
<file path=[Content_Types].xml><?xml version="1.0" encoding="utf-8"?>
<Types xmlns="http://schemas.openxmlformats.org/package/2006/content-types">
  <Override PartName="/xl/worksheets/sheet13.xml" ContentType="application/vnd.openxmlformats-officedocument.spreadsheetml.worksheet+xml"/>
  <Override PartName="/xl/styles.xml" ContentType="application/vnd.openxmlformats-officedocument.spreadsheetml.styles+xml"/>
  <Override PartName="/xl/charts/chart4.xml" ContentType="application/vnd.openxmlformats-officedocument.drawingml.chart+xml"/>
  <Override PartName="/xl/worksheets/sheet7.xml" ContentType="application/vnd.openxmlformats-officedocument.spreadsheetml.worksheet+xml"/>
  <Override PartName="/xl/charts/chart78.xml" ContentType="application/vnd.openxmlformats-officedocument.drawingml.chart+xml"/>
  <Override PartName="/xl/charts/chart89.xml" ContentType="application/vnd.openxmlformats-officedocument.drawingml.chart+xml"/>
  <Override PartName="/xl/charts/chart109.xml" ContentType="application/vnd.openxmlformats-officedocument.drawingml.chart+xml"/>
  <Override PartName="/xl/charts/chart138.xml" ContentType="application/vnd.openxmlformats-officedocument.drawingml.chart+xml"/>
  <Override PartName="/xl/drawings/drawing17.xml" ContentType="application/vnd.openxmlformats-officedocument.drawing+xml"/>
  <Override PartName="/xl/vbaProject.bin" ContentType="application/vnd.ms-office.vbaProject"/>
  <Default Extension="xml" ContentType="application/xml"/>
  <Override PartName="/xl/drawings/drawing2.xml" ContentType="application/vnd.openxmlformats-officedocument.drawing+xml"/>
  <Override PartName="/xl/charts/chart49.xml" ContentType="application/vnd.openxmlformats-officedocument.drawingml.chart+xml"/>
  <Override PartName="/xl/charts/chart67.xml" ContentType="application/vnd.openxmlformats-officedocument.drawingml.chart+xml"/>
  <Override PartName="/xl/charts/chart96.xml" ContentType="application/vnd.openxmlformats-officedocument.drawingml.chart+xml"/>
  <Override PartName="/xl/charts/chart116.xml" ContentType="application/vnd.openxmlformats-officedocument.drawingml.chart+xml"/>
  <Override PartName="/xl/charts/chart127.xml" ContentType="application/vnd.openxmlformats-officedocument.drawingml.chart+xml"/>
  <Override PartName="/xl/charts/chart145.xml" ContentType="application/vnd.openxmlformats-officedocument.drawingml.chart+xml"/>
  <Override PartName="/xl/comments4.xml" ContentType="application/vnd.openxmlformats-officedocument.spreadsheetml.comments+xml"/>
  <Override PartName="/xl/worksheets/sheet3.xml" ContentType="application/vnd.openxmlformats-officedocument.spreadsheetml.worksheet+xml"/>
  <Override PartName="/xl/charts/chart27.xml" ContentType="application/vnd.openxmlformats-officedocument.drawingml.chart+xml"/>
  <Override PartName="/xl/charts/chart38.xml" ContentType="application/vnd.openxmlformats-officedocument.drawingml.chart+xml"/>
  <Override PartName="/xl/charts/chart56.xml" ContentType="application/vnd.openxmlformats-officedocument.drawingml.chart+xml"/>
  <Override PartName="/xl/charts/chart74.xml" ContentType="application/vnd.openxmlformats-officedocument.drawingml.chart+xml"/>
  <Override PartName="/xl/charts/chart85.xml" ContentType="application/vnd.openxmlformats-officedocument.drawingml.chart+xml"/>
  <Override PartName="/xl/charts/chart105.xml" ContentType="application/vnd.openxmlformats-officedocument.drawingml.chart+xml"/>
  <Override PartName="/xl/charts/chart134.xml" ContentType="application/vnd.openxmlformats-officedocument.drawingml.chart+xml"/>
  <Override PartName="/xl/drawings/drawing13.xml" ContentType="application/vnd.openxmlformats-officedocument.drawing+xml"/>
  <Override PartName="/docProps/custom.xml" ContentType="application/vnd.openxmlformats-officedocument.custom-properties+xml"/>
  <Override PartName="/xl/charts/chart16.xml" ContentType="application/vnd.openxmlformats-officedocument.drawingml.chart+xml"/>
  <Override PartName="/xl/charts/chart34.xml" ContentType="application/vnd.openxmlformats-officedocument.drawingml.chart+xml"/>
  <Override PartName="/xl/charts/chart45.xml" ContentType="application/vnd.openxmlformats-officedocument.drawingml.chart+xml"/>
  <Override PartName="/xl/charts/chart63.xml" ContentType="application/vnd.openxmlformats-officedocument.drawingml.chart+xml"/>
  <Override PartName="/xl/charts/chart81.xml" ContentType="application/vnd.openxmlformats-officedocument.drawingml.chart+xml"/>
  <Override PartName="/xl/charts/chart92.xml" ContentType="application/vnd.openxmlformats-officedocument.drawingml.chart+xml"/>
  <Override PartName="/xl/charts/chart112.xml" ContentType="application/vnd.openxmlformats-officedocument.drawingml.chart+xml"/>
  <Override PartName="/xl/charts/chart123.xml" ContentType="application/vnd.openxmlformats-officedocument.drawingml.chart+xml"/>
  <Override PartName="/xl/charts/chart141.xml" ContentType="application/vnd.openxmlformats-officedocument.drawingml.chart+xml"/>
  <Override PartName="/xl/sharedStrings.xml" ContentType="application/vnd.openxmlformats-officedocument.spreadsheetml.sharedStrings+xml"/>
  <Override PartName="/xl/charts/chart23.xml" ContentType="application/vnd.openxmlformats-officedocument.drawingml.chart+xml"/>
  <Override PartName="/xl/charts/chart52.xml" ContentType="application/vnd.openxmlformats-officedocument.drawingml.chart+xml"/>
  <Override PartName="/xl/charts/chart70.xml" ContentType="application/vnd.openxmlformats-officedocument.drawingml.chart+xml"/>
  <Override PartName="/xl/charts/chart101.xml" ContentType="application/vnd.openxmlformats-officedocument.drawingml.chart+xml"/>
  <Override PartName="/xl/charts/chart130.xml" ContentType="application/vnd.openxmlformats-officedocument.drawingml.chart+xml"/>
  <Override PartName="/xl/worksheets/sheet18.xml" ContentType="application/vnd.openxmlformats-officedocument.spreadsheetml.worksheet+xml"/>
  <Override PartName="/xl/charts/chart9.xml" ContentType="application/vnd.openxmlformats-officedocument.drawingml.chart+xml"/>
  <Override PartName="/xl/charts/chart12.xml" ContentType="application/vnd.openxmlformats-officedocument.drawingml.chart+xml"/>
  <Override PartName="/xl/charts/chart30.xml" ContentType="application/vnd.openxmlformats-officedocument.drawingml.chart+xml"/>
  <Override PartName="/xl/charts/chart41.xml" ContentType="application/vnd.openxmlformats-officedocument.drawingml.chart+xml"/>
  <Default Extension="bin" ContentType="application/vnd.openxmlformats-officedocument.spreadsheetml.printerSettings"/>
  <Override PartName="/xl/worksheets/sheet14.xml" ContentType="application/vnd.openxmlformats-officedocument.spreadsheetml.worksheet+xml"/>
  <Override PartName="/xl/charts/chart5.xml" ContentType="application/vnd.openxmlformats-officedocument.drawingml.chart+xml"/>
  <Override PartName="/xl/drawings/drawing7.xml" ContentType="application/vnd.openxmlformats-officedocument.drawing+xml"/>
  <Override PartName="/xl/charts/chart139.xml" ContentType="application/vnd.openxmlformats-officedocument.drawingml.chart+xml"/>
  <Override PartName="/xl/worksheets/sheet8.xml" ContentType="application/vnd.openxmlformats-officedocument.spreadsheetml.worksheet+xml"/>
  <Override PartName="/xl/charts/chart79.xml" ContentType="application/vnd.openxmlformats-officedocument.drawingml.chart+xml"/>
  <Override PartName="/xl/charts/chart97.xml" ContentType="application/vnd.openxmlformats-officedocument.drawingml.chart+xml"/>
  <Override PartName="/xl/charts/chart128.xml" ContentType="application/vnd.openxmlformats-officedocument.drawingml.chart+xml"/>
  <Override PartName="/xl/workbook.xml" ContentType="application/vnd.ms-excel.sheet.macroEnabled.main+xml"/>
  <Override PartName="/xl/worksheets/sheet4.xml" ContentType="application/vnd.openxmlformats-officedocument.spreadsheetml.worksheet+xml"/>
  <Override PartName="/xl/worksheets/sheet10.xml" ContentType="application/vnd.openxmlformats-officedocument.spreadsheetml.worksheet+xml"/>
  <Override PartName="/xl/drawings/drawing3.xml" ContentType="application/vnd.openxmlformats-officedocument.drawing+xml"/>
  <Override PartName="/xl/charts/chart1.xml" ContentType="application/vnd.openxmlformats-officedocument.drawingml.chart+xml"/>
  <Override PartName="/xl/charts/chart39.xml" ContentType="application/vnd.openxmlformats-officedocument.drawingml.chart+xml"/>
  <Override PartName="/xl/charts/chart57.xml" ContentType="application/vnd.openxmlformats-officedocument.drawingml.chart+xml"/>
  <Override PartName="/xl/charts/chart68.xml" ContentType="application/vnd.openxmlformats-officedocument.drawingml.chart+xml"/>
  <Override PartName="/xl/charts/chart86.xml" ContentType="application/vnd.openxmlformats-officedocument.drawingml.chart+xml"/>
  <Override PartName="/xl/charts/chart117.xml" ContentType="application/vnd.openxmlformats-officedocument.drawingml.chart+xml"/>
  <Override PartName="/xl/charts/chart135.xml" ContentType="application/vnd.openxmlformats-officedocument.drawingml.chart+xml"/>
  <Override PartName="/xl/charts/chart146.xml" ContentType="application/vnd.openxmlformats-officedocument.drawingml.chart+xml"/>
  <Override PartName="/xl/comments5.xml" ContentType="application/vnd.openxmlformats-officedocument.spreadsheetml.comments+xml"/>
  <Override PartName="/docProps/app.xml" ContentType="application/vnd.openxmlformats-officedocument.extended-properties+xml"/>
  <Override PartName="/xl/charts/chart28.xml" ContentType="application/vnd.openxmlformats-officedocument.drawingml.chart+xml"/>
  <Override PartName="/xl/charts/chart46.xml" ContentType="application/vnd.openxmlformats-officedocument.drawingml.chart+xml"/>
  <Override PartName="/xl/charts/chart75.xml" ContentType="application/vnd.openxmlformats-officedocument.drawingml.chart+xml"/>
  <Override PartName="/xl/charts/chart93.xml" ContentType="application/vnd.openxmlformats-officedocument.drawingml.chart+xml"/>
  <Override PartName="/xl/charts/chart106.xml" ContentType="application/vnd.openxmlformats-officedocument.drawingml.chart+xml"/>
  <Override PartName="/xl/charts/chart124.xml" ContentType="application/vnd.openxmlformats-officedocument.drawingml.chart+xml"/>
  <Override PartName="/xl/charts/chart142.xml" ContentType="application/vnd.openxmlformats-officedocument.drawingml.chart+xml"/>
  <Override PartName="/xl/drawings/drawing14.xml" ContentType="application/vnd.openxmlformats-officedocument.drawing+xml"/>
  <Default Extension="vml" ContentType="application/vnd.openxmlformats-officedocument.vmlDrawing"/>
  <Override PartName="/xl/comments1.xml" ContentType="application/vnd.openxmlformats-officedocument.spreadsheetml.comments+xml"/>
  <Override PartName="/xl/charts/chart17.xml" ContentType="application/vnd.openxmlformats-officedocument.drawingml.chart+xml"/>
  <Override PartName="/xl/charts/chart35.xml" ContentType="application/vnd.openxmlformats-officedocument.drawingml.chart+xml"/>
  <Override PartName="/xl/charts/chart53.xml" ContentType="application/vnd.openxmlformats-officedocument.drawingml.chart+xml"/>
  <Override PartName="/xl/charts/chart64.xml" ContentType="application/vnd.openxmlformats-officedocument.drawingml.chart+xml"/>
  <Override PartName="/xl/charts/chart82.xml" ContentType="application/vnd.openxmlformats-officedocument.drawingml.chart+xml"/>
  <Override PartName="/xl/charts/chart113.xml" ContentType="application/vnd.openxmlformats-officedocument.drawingml.chart+xml"/>
  <Override PartName="/xl/charts/chart131.xml" ContentType="application/vnd.openxmlformats-officedocument.drawingml.chart+xml"/>
  <Override PartName="/xl/calcChain.xml" ContentType="application/vnd.openxmlformats-officedocument.spreadsheetml.calcChain+xml"/>
  <Override PartName="/xl/charts/chart13.xml" ContentType="application/vnd.openxmlformats-officedocument.drawingml.chart+xml"/>
  <Override PartName="/xl/charts/chart24.xml" ContentType="application/vnd.openxmlformats-officedocument.drawingml.chart+xml"/>
  <Override PartName="/xl/charts/chart42.xml" ContentType="application/vnd.openxmlformats-officedocument.drawingml.chart+xml"/>
  <Override PartName="/xl/charts/chart71.xml" ContentType="application/vnd.openxmlformats-officedocument.drawingml.chart+xml"/>
  <Override PartName="/xl/charts/chart102.xml" ContentType="application/vnd.openxmlformats-officedocument.drawingml.chart+xml"/>
  <Override PartName="/xl/charts/chart120.xml" ContentType="application/vnd.openxmlformats-officedocument.drawingml.chart+xml"/>
  <Override PartName="/xl/drawings/drawing10.xml" ContentType="application/vnd.openxmlformats-officedocument.drawing+xml"/>
  <Override PartName="/xl/charts/chart31.xml" ContentType="application/vnd.openxmlformats-officedocument.drawingml.chart+xml"/>
  <Override PartName="/xl/charts/chart60.xml" ContentType="application/vnd.openxmlformats-officedocument.drawingml.chart+xml"/>
  <Override PartName="/docProps/core.xml" ContentType="application/vnd.openxmlformats-package.core-properties+xml"/>
  <Override PartName="/xl/worksheets/sheet15.xml" ContentType="application/vnd.openxmlformats-officedocument.spreadsheetml.worksheet+xml"/>
  <Override PartName="/xl/charts/chart6.xml" ContentType="application/vnd.openxmlformats-officedocument.drawingml.chart+xml"/>
  <Override PartName="/xl/charts/chart20.xml" ContentType="application/vnd.openxmlformats-officedocument.drawingml.chart+xml"/>
  <Override PartName="/xl/worksheets/sheet9.xml" ContentType="application/vnd.openxmlformats-officedocument.spreadsheetml.worksheet+xml"/>
  <Override PartName="/xl/theme/theme1.xml" ContentType="application/vnd.openxmlformats-officedocument.theme+xml"/>
  <Override PartName="/xl/drawings/drawing8.xml" ContentType="application/vnd.openxmlformats-officedocument.drawing+xml"/>
  <Override PartName="/xl/worksheets/sheet11.xml" ContentType="application/vnd.openxmlformats-officedocument.spreadsheetml.worksheet+xml"/>
  <Override PartName="/xl/charts/chart2.xml" ContentType="application/vnd.openxmlformats-officedocument.drawingml.chart+xml"/>
  <Override PartName="/xl/drawings/drawing4.xml" ContentType="application/vnd.openxmlformats-officedocument.drawing+xml"/>
  <Override PartName="/xl/charts/chart69.xml" ContentType="application/vnd.openxmlformats-officedocument.drawingml.chart+xml"/>
  <Override PartName="/xl/charts/chart98.xml" ContentType="application/vnd.openxmlformats-officedocument.drawingml.chart+xml"/>
  <Override PartName="/xl/charts/chart118.xml" ContentType="application/vnd.openxmlformats-officedocument.drawingml.chart+xml"/>
  <Override PartName="/xl/charts/chart129.xml" ContentType="application/vnd.openxmlformats-officedocument.drawingml.chart+xml"/>
  <Override PartName="/xl/charts/chart147.xml" ContentType="application/vnd.openxmlformats-officedocument.drawingml.chart+xml"/>
  <Default Extension="rels" ContentType="application/vnd.openxmlformats-package.relationships+xml"/>
  <Override PartName="/xl/worksheets/sheet5.xml" ContentType="application/vnd.openxmlformats-officedocument.spreadsheetml.worksheet+xml"/>
  <Override PartName="/xl/charts/chart29.xml" ContentType="application/vnd.openxmlformats-officedocument.drawingml.chart+xml"/>
  <Override PartName="/xl/charts/chart58.xml" ContentType="application/vnd.openxmlformats-officedocument.drawingml.chart+xml"/>
  <Override PartName="/xl/charts/chart76.xml" ContentType="application/vnd.openxmlformats-officedocument.drawingml.chart+xml"/>
  <Override PartName="/xl/charts/chart87.xml" ContentType="application/vnd.openxmlformats-officedocument.drawingml.chart+xml"/>
  <Override PartName="/xl/charts/chart107.xml" ContentType="application/vnd.openxmlformats-officedocument.drawingml.chart+xml"/>
  <Override PartName="/xl/charts/chart136.xml" ContentType="application/vnd.openxmlformats-officedocument.drawingml.chart+xml"/>
  <Override PartName="/xl/drawings/drawing15.xml" ContentType="application/vnd.openxmlformats-officedocument.drawing+xml"/>
  <Override PartName="/xl/comments2.xml" ContentType="application/vnd.openxmlformats-officedocument.spreadsheetml.comments+xml"/>
  <Override PartName="/xl/charts/chart18.xml" ContentType="application/vnd.openxmlformats-officedocument.drawingml.chart+xml"/>
  <Override PartName="/xl/charts/chart36.xml" ContentType="application/vnd.openxmlformats-officedocument.drawingml.chart+xml"/>
  <Override PartName="/xl/charts/chart47.xml" ContentType="application/vnd.openxmlformats-officedocument.drawingml.chart+xml"/>
  <Override PartName="/xl/charts/chart65.xml" ContentType="application/vnd.openxmlformats-officedocument.drawingml.chart+xml"/>
  <Override PartName="/xl/charts/chart83.xml" ContentType="application/vnd.openxmlformats-officedocument.drawingml.chart+xml"/>
  <Override PartName="/xl/charts/chart94.xml" ContentType="application/vnd.openxmlformats-officedocument.drawingml.chart+xml"/>
  <Override PartName="/xl/charts/chart114.xml" ContentType="application/vnd.openxmlformats-officedocument.drawingml.chart+xml"/>
  <Override PartName="/xl/charts/chart125.xml" ContentType="application/vnd.openxmlformats-officedocument.drawingml.chart+xml"/>
  <Override PartName="/xl/charts/chart143.xml" ContentType="application/vnd.openxmlformats-officedocument.drawingml.chart+xml"/>
  <Override PartName="/xl/worksheets/sheet1.xml" ContentType="application/vnd.openxmlformats-officedocument.spreadsheetml.worksheet+xml"/>
  <Override PartName="/xl/charts/chart25.xml" ContentType="application/vnd.openxmlformats-officedocument.drawingml.chart+xml"/>
  <Override PartName="/xl/charts/chart54.xml" ContentType="application/vnd.openxmlformats-officedocument.drawingml.chart+xml"/>
  <Override PartName="/xl/charts/chart72.xml" ContentType="application/vnd.openxmlformats-officedocument.drawingml.chart+xml"/>
  <Override PartName="/xl/charts/chart103.xml" ContentType="application/vnd.openxmlformats-officedocument.drawingml.chart+xml"/>
  <Override PartName="/xl/charts/chart132.xml" ContentType="application/vnd.openxmlformats-officedocument.drawingml.chart+xml"/>
  <Override PartName="/xl/drawings/drawing11.xml" ContentType="application/vnd.openxmlformats-officedocument.drawing+xml"/>
  <Override PartName="/xl/charts/chart14.xml" ContentType="application/vnd.openxmlformats-officedocument.drawingml.chart+xml"/>
  <Override PartName="/xl/charts/chart32.xml" ContentType="application/vnd.openxmlformats-officedocument.drawingml.chart+xml"/>
  <Override PartName="/xl/charts/chart43.xml" ContentType="application/vnd.openxmlformats-officedocument.drawingml.chart+xml"/>
  <Override PartName="/xl/charts/chart61.xml" ContentType="application/vnd.openxmlformats-officedocument.drawingml.chart+xml"/>
  <Override PartName="/xl/charts/chart90.xml" ContentType="application/vnd.openxmlformats-officedocument.drawingml.chart+xml"/>
  <Override PartName="/xl/charts/chart110.xml" ContentType="application/vnd.openxmlformats-officedocument.drawingml.chart+xml"/>
  <Override PartName="/xl/charts/chart121.xml" ContentType="application/vnd.openxmlformats-officedocument.drawingml.chart+xml"/>
  <Override PartName="/xl/charts/chart21.xml" ContentType="application/vnd.openxmlformats-officedocument.drawingml.chart+xml"/>
  <Override PartName="/xl/charts/chart50.xml" ContentType="application/vnd.openxmlformats-officedocument.drawingml.chart+xml"/>
  <Override PartName="/xl/worksheets/sheet16.xml" ContentType="application/vnd.openxmlformats-officedocument.spreadsheetml.worksheet+xml"/>
  <Override PartName="/xl/charts/chart7.xml" ContentType="application/vnd.openxmlformats-officedocument.drawingml.chart+xml"/>
  <Override PartName="/xl/charts/chart10.xml" ContentType="application/vnd.openxmlformats-officedocument.drawingml.chart+xml"/>
  <Override PartName="/xl/drawings/drawing9.xml" ContentType="application/vnd.openxmlformats-officedocument.drawing+xml"/>
  <Override PartName="/xl/charts/chart99.xml" ContentType="application/vnd.openxmlformats-officedocument.drawingml.chart+xml"/>
  <Override PartName="/xl/worksheets/sheet6.xml" ContentType="application/vnd.openxmlformats-officedocument.spreadsheetml.worksheet+xml"/>
  <Override PartName="/xl/worksheets/sheet12.xml" ContentType="application/vnd.openxmlformats-officedocument.spreadsheetml.worksheet+xml"/>
  <Override PartName="/xl/drawings/drawing5.xml" ContentType="application/vnd.openxmlformats-officedocument.drawing+xml"/>
  <Override PartName="/xl/charts/chart3.xml" ContentType="application/vnd.openxmlformats-officedocument.drawingml.chart+xml"/>
  <Override PartName="/xl/charts/chart59.xml" ContentType="application/vnd.openxmlformats-officedocument.drawingml.chart+xml"/>
  <Override PartName="/xl/charts/chart88.xml" ContentType="application/vnd.openxmlformats-officedocument.drawingml.chart+xml"/>
  <Override PartName="/xl/charts/chart119.xml" ContentType="application/vnd.openxmlformats-officedocument.drawingml.chart+xml"/>
  <Override PartName="/xl/charts/chart137.xml" ContentType="application/vnd.openxmlformats-officedocument.drawingml.chart+xml"/>
  <Override PartName="/xl/charts/chart148.xml" ContentType="application/vnd.openxmlformats-officedocument.drawingml.chart+xml"/>
  <Override PartName="/xl/charts/chart48.xml" ContentType="application/vnd.openxmlformats-officedocument.drawingml.chart+xml"/>
  <Override PartName="/xl/charts/chart77.xml" ContentType="application/vnd.openxmlformats-officedocument.drawingml.chart+xml"/>
  <Override PartName="/xl/charts/chart95.xml" ContentType="application/vnd.openxmlformats-officedocument.drawingml.chart+xml"/>
  <Override PartName="/xl/charts/chart108.xml" ContentType="application/vnd.openxmlformats-officedocument.drawingml.chart+xml"/>
  <Override PartName="/xl/charts/chart126.xml" ContentType="application/vnd.openxmlformats-officedocument.drawingml.chart+xml"/>
  <Override PartName="/xl/drawings/drawing16.xml" ContentType="application/vnd.openxmlformats-officedocument.drawing+xml"/>
  <Override PartName="/xl/worksheets/sheet2.xml" ContentType="application/vnd.openxmlformats-officedocument.spreadsheetml.worksheet+xml"/>
  <Override PartName="/xl/drawings/drawing1.xml" ContentType="application/vnd.openxmlformats-officedocument.drawing+xml"/>
  <Override PartName="/xl/comments3.xml" ContentType="application/vnd.openxmlformats-officedocument.spreadsheetml.comments+xml"/>
  <Override PartName="/xl/charts/chart19.xml" ContentType="application/vnd.openxmlformats-officedocument.drawingml.chart+xml"/>
  <Override PartName="/xl/charts/chart37.xml" ContentType="application/vnd.openxmlformats-officedocument.drawingml.chart+xml"/>
  <Override PartName="/xl/charts/chart55.xml" ContentType="application/vnd.openxmlformats-officedocument.drawingml.chart+xml"/>
  <Override PartName="/xl/charts/chart66.xml" ContentType="application/vnd.openxmlformats-officedocument.drawingml.chart+xml"/>
  <Override PartName="/xl/charts/chart84.xml" ContentType="application/vnd.openxmlformats-officedocument.drawingml.chart+xml"/>
  <Override PartName="/xl/charts/chart115.xml" ContentType="application/vnd.openxmlformats-officedocument.drawingml.chart+xml"/>
  <Override PartName="/xl/charts/chart133.xml" ContentType="application/vnd.openxmlformats-officedocument.drawingml.chart+xml"/>
  <Override PartName="/xl/charts/chart144.xml" ContentType="application/vnd.openxmlformats-officedocument.drawingml.chart+xml"/>
  <Override PartName="/xl/charts/chart26.xml" ContentType="application/vnd.openxmlformats-officedocument.drawingml.chart+xml"/>
  <Override PartName="/xl/charts/chart44.xml" ContentType="application/vnd.openxmlformats-officedocument.drawingml.chart+xml"/>
  <Override PartName="/xl/charts/chart73.xml" ContentType="application/vnd.openxmlformats-officedocument.drawingml.chart+xml"/>
  <Override PartName="/xl/charts/chart91.xml" ContentType="application/vnd.openxmlformats-officedocument.drawingml.chart+xml"/>
  <Override PartName="/xl/charts/chart104.xml" ContentType="application/vnd.openxmlformats-officedocument.drawingml.chart+xml"/>
  <Override PartName="/xl/charts/chart122.xml" ContentType="application/vnd.openxmlformats-officedocument.drawingml.chart+xml"/>
  <Override PartName="/xl/charts/chart140.xml" ContentType="application/vnd.openxmlformats-officedocument.drawingml.chart+xml"/>
  <Override PartName="/xl/drawings/drawing12.xml" ContentType="application/vnd.openxmlformats-officedocument.drawing+xml"/>
  <Override PartName="/xl/charts/chart15.xml" ContentType="application/vnd.openxmlformats-officedocument.drawingml.chart+xml"/>
  <Override PartName="/xl/charts/chart33.xml" ContentType="application/vnd.openxmlformats-officedocument.drawingml.chart+xml"/>
  <Override PartName="/xl/charts/chart51.xml" ContentType="application/vnd.openxmlformats-officedocument.drawingml.chart+xml"/>
  <Override PartName="/xl/charts/chart62.xml" ContentType="application/vnd.openxmlformats-officedocument.drawingml.chart+xml"/>
  <Override PartName="/xl/charts/chart80.xml" ContentType="application/vnd.openxmlformats-officedocument.drawingml.chart+xml"/>
  <Override PartName="/xl/charts/chart111.xml" ContentType="application/vnd.openxmlformats-officedocument.drawingml.chart+xml"/>
  <Override PartName="/xl/worksheets/sheet17.xml" ContentType="application/vnd.openxmlformats-officedocument.spreadsheetml.worksheet+xml"/>
  <Override PartName="/xl/charts/chart8.xml" ContentType="application/vnd.openxmlformats-officedocument.drawingml.chart+xml"/>
  <Override PartName="/xl/charts/chart11.xml" ContentType="application/vnd.openxmlformats-officedocument.drawingml.chart+xml"/>
  <Override PartName="/xl/charts/chart22.xml" ContentType="application/vnd.openxmlformats-officedocument.drawingml.chart+xml"/>
  <Override PartName="/xl/charts/chart40.xml" ContentType="application/vnd.openxmlformats-officedocument.drawingml.chart+xml"/>
  <Override PartName="/xl/charts/chart100.xml" ContentType="application/vnd.openxmlformats-officedocument.drawingml.chart+xml"/>
  <Override PartName="/xl/drawings/drawing6.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6" codeName="{B7FE6334-C1A2-E50D-BD3D-5F4D41BBC2E3}"/>
  <workbookPr codeName="ThisWorkbook" defaultThemeVersion="124226"/>
  <bookViews>
    <workbookView xWindow="-30" yWindow="15" windowWidth="24390" windowHeight="12180" tabRatio="757"/>
  </bookViews>
  <sheets>
    <sheet name="Main menu" sheetId="37" r:id="rId1"/>
    <sheet name="Elec Demand" sheetId="43" r:id="rId2"/>
    <sheet name="Tech Parameters" sheetId="23" r:id="rId3"/>
    <sheet name="Fuel Costs" sheetId="24" r:id="rId4"/>
    <sheet name="Cost Curves" sheetId="38" r:id="rId5"/>
    <sheet name="Investment Plan" sheetId="33" r:id="rId6"/>
    <sheet name="Costs graphs" sheetId="34" r:id="rId7"/>
    <sheet name="Environmental Impacts" sheetId="35" r:id="rId8"/>
    <sheet name="Output tables" sheetId="42" r:id="rId9"/>
    <sheet name="Ref scen Calcs" sheetId="30" r:id="rId10"/>
    <sheet name="Alt scen Calcs" sheetId="44" r:id="rId11"/>
    <sheet name="TechnologyDataRaw" sheetId="46" r:id="rId12"/>
    <sheet name="RetiringCapacity" sheetId="47" r:id="rId13"/>
    <sheet name="ExistingCapacity" sheetId="18" r:id="rId14"/>
    <sheet name="EskomCoalEfficiency" sheetId="19" r:id="rId15"/>
    <sheet name="CurrencyConversion" sheetId="45" r:id="rId16"/>
    <sheet name="LOLP_parameters" sheetId="39" r:id="rId17"/>
    <sheet name="Plan Archive" sheetId="48" r:id="rId18"/>
  </sheets>
  <definedNames>
    <definedName name="derate" localSheetId="2">'Tech Parameters'!$O$7</definedName>
    <definedName name="disc_rate">TechnologyDataRaw!$D$6</definedName>
    <definedName name="discount_rate">'Tech Parameters'!$C$27</definedName>
    <definedName name="emissions_factors_fuel">'Fuel Costs'!$B$153:$I$167</definedName>
    <definedName name="eps">'Ref scen Calcs'!$AE$3</definedName>
    <definedName name="euro_ppi_2008">CurrencyConversion!$D$32</definedName>
    <definedName name="euro_rand_2008">CurrencyConversion!$J$32</definedName>
    <definedName name="FOR">'Tech Parameters'!$K$6:$K$26</definedName>
    <definedName name="fuel_types">'Fuel Costs'!$B$79:$B$93</definedName>
    <definedName name="look_col">TechnologyDataRaw!$D$119:$G$122</definedName>
    <definedName name="PDF_1">LOLP_parameters!$F$7:$G$16</definedName>
    <definedName name="PDF_2">LOLP_parameters!$J$7:$K$16</definedName>
    <definedName name="place_complete_main">'Output tables'!$A$1</definedName>
    <definedName name="place_costs_BAU">'Costs graphs'!$A$1</definedName>
    <definedName name="place_costs_compare">'Costs graphs'!$A$121</definedName>
    <definedName name="place_costs_scenario">'Costs graphs'!$A$61</definedName>
    <definedName name="place_demand">'Elec Demand'!$A$1</definedName>
    <definedName name="place_env_bau">'Environmental Impacts'!$A$1</definedName>
    <definedName name="place_env_compare">'Environmental Impacts'!$A$120</definedName>
    <definedName name="place_env_scenario">'Environmental Impacts'!$A$60</definedName>
    <definedName name="place_ES_BAU">'Investment Plan'!$A$1</definedName>
    <definedName name="place_ES_compare">'Investment Plan'!$A$120</definedName>
    <definedName name="place_ES_scenario">'Investment Plan'!$A$60</definedName>
    <definedName name="place_fuel_costs">'Fuel Costs'!$A$1</definedName>
    <definedName name="place_levellised_costs">'Cost Curves'!$A$1</definedName>
    <definedName name="place_main_menu">'Main menu'!$A$1</definedName>
    <definedName name="place_plant_costs">'Tech Parameters'!$A$1</definedName>
    <definedName name="plant_descriptions">'Tech Parameters'!$B$6:$B$25</definedName>
    <definedName name="PPI_table">CurrencyConversion!$B$22:$U$32</definedName>
    <definedName name="sa_ppi_2008">CurrencyConversion!$F$32</definedName>
    <definedName name="Simulations">LOLP_parameters!$C$5</definedName>
    <definedName name="technology_learning_index">'Tech Parameters'!$B$38:$AM$63</definedName>
    <definedName name="technology_type">'Tech Parameters'!$B$38:$B$63</definedName>
    <definedName name="UnitSize">'Tech Parameters'!$J$6:$J$26</definedName>
    <definedName name="us_ppi_2008">CurrencyConversion!$C$32</definedName>
    <definedName name="US_rand_2008">CurrencyConversion!$K$32</definedName>
    <definedName name="usd_ecu_split">TechnologyDataRaw!$M$6</definedName>
    <definedName name="yorn">'Tech Parameters'!$B$32:$B$33</definedName>
  </definedNames>
  <calcPr calcId="125725"/>
</workbook>
</file>

<file path=xl/calcChain.xml><?xml version="1.0" encoding="utf-8"?>
<calcChain xmlns="http://schemas.openxmlformats.org/spreadsheetml/2006/main">
  <c r="BN136" i="33"/>
  <c r="BO136"/>
  <c r="BP136"/>
  <c r="BQ136"/>
  <c r="BR136"/>
  <c r="BS136"/>
  <c r="BT136"/>
  <c r="BU136"/>
  <c r="BV136"/>
  <c r="BW136"/>
  <c r="BX136"/>
  <c r="BY136"/>
  <c r="BZ136"/>
  <c r="CA136"/>
  <c r="CB136"/>
  <c r="CC136"/>
  <c r="CD136"/>
  <c r="CE136"/>
  <c r="CF136"/>
  <c r="CG136"/>
  <c r="BM136"/>
  <c r="BM132"/>
  <c r="BL128" s="1"/>
  <c r="V64" i="43"/>
  <c r="W64"/>
  <c r="X64"/>
  <c r="Y64"/>
  <c r="Z64"/>
  <c r="AA64"/>
  <c r="AB64"/>
  <c r="AC64"/>
  <c r="AD64"/>
  <c r="AE64"/>
  <c r="P64"/>
  <c r="Q64"/>
  <c r="R64"/>
  <c r="S64"/>
  <c r="T64"/>
  <c r="U64"/>
  <c r="E86" i="33"/>
  <c r="F86" s="1"/>
  <c r="G86" s="1"/>
  <c r="H86" s="1"/>
  <c r="I86" s="1"/>
  <c r="J86" s="1"/>
  <c r="K86" s="1"/>
  <c r="L86" s="1"/>
  <c r="M86" s="1"/>
  <c r="N86" s="1"/>
  <c r="O86" s="1"/>
  <c r="P86" s="1"/>
  <c r="Q86" s="1"/>
  <c r="R86" s="1"/>
  <c r="S86" s="1"/>
  <c r="T86" s="1"/>
  <c r="U86" s="1"/>
  <c r="V86" s="1"/>
  <c r="W86" s="1"/>
  <c r="D86"/>
  <c r="I35" i="46"/>
  <c r="H35"/>
  <c r="G35"/>
  <c r="L35"/>
  <c r="R35"/>
  <c r="A75"/>
  <c r="D75"/>
  <c r="E75"/>
  <c r="G75" s="1"/>
  <c r="H75"/>
  <c r="J75"/>
  <c r="L75"/>
  <c r="O75" s="1"/>
  <c r="Q75"/>
  <c r="T75" s="1"/>
  <c r="F1" i="48"/>
  <c r="G1"/>
  <c r="H1" s="1"/>
  <c r="I1" s="1"/>
  <c r="J1" s="1"/>
  <c r="K1" s="1"/>
  <c r="L1" s="1"/>
  <c r="M1" s="1"/>
  <c r="N1" s="1"/>
  <c r="O1" s="1"/>
  <c r="P1" s="1"/>
  <c r="Q1" s="1"/>
  <c r="R1" s="1"/>
  <c r="S1" s="1"/>
  <c r="T1" s="1"/>
  <c r="U1" s="1"/>
  <c r="V1" s="1"/>
  <c r="W1" s="1"/>
  <c r="X1" s="1"/>
  <c r="E1"/>
  <c r="BL137" i="33" l="1"/>
  <c r="BL129"/>
  <c r="R75" i="46"/>
  <c r="U75" s="1"/>
  <c r="P75"/>
  <c r="S75" s="1"/>
  <c r="M75"/>
  <c r="K75"/>
  <c r="N75" s="1"/>
  <c r="X75" s="1"/>
  <c r="O35" s="1"/>
  <c r="I75"/>
  <c r="W75" l="1"/>
  <c r="J35" s="1"/>
  <c r="M35" s="1"/>
  <c r="Y75"/>
  <c r="P35" s="1"/>
  <c r="F20" i="48" l="1"/>
  <c r="G20" s="1"/>
  <c r="H20" s="1"/>
  <c r="I20" s="1"/>
  <c r="J20" s="1"/>
  <c r="K20" s="1"/>
  <c r="L20" s="1"/>
  <c r="M20" s="1"/>
  <c r="N20" s="1"/>
  <c r="O20" s="1"/>
  <c r="P20" s="1"/>
  <c r="Q20" s="1"/>
  <c r="R20" s="1"/>
  <c r="S20" s="1"/>
  <c r="T20" s="1"/>
  <c r="U20" s="1"/>
  <c r="V20" s="1"/>
  <c r="W20" s="1"/>
  <c r="X20" s="1"/>
  <c r="E20"/>
  <c r="Y20" s="1"/>
  <c r="Y19"/>
  <c r="Y18"/>
  <c r="Y17"/>
  <c r="Y16"/>
  <c r="Y15"/>
  <c r="Y14"/>
  <c r="Y13"/>
  <c r="Y12"/>
  <c r="Y11"/>
  <c r="Y10"/>
  <c r="Y9"/>
  <c r="Y8"/>
  <c r="Y7"/>
  <c r="Y6"/>
  <c r="Y5"/>
  <c r="Y4"/>
  <c r="Y3"/>
  <c r="Y2"/>
  <c r="H34" i="43" l="1"/>
  <c r="G32"/>
  <c r="B24" i="37"/>
  <c r="B25" s="1"/>
  <c r="B26" s="1"/>
  <c r="B27" s="1"/>
  <c r="B28" s="1"/>
  <c r="X86" i="33"/>
  <c r="B70" i="44" l="1"/>
  <c r="B70" i="30"/>
  <c r="J26" i="23"/>
  <c r="S38" i="46"/>
  <c r="J10" i="18"/>
  <c r="J9"/>
  <c r="I27" i="47"/>
  <c r="J27"/>
  <c r="K27"/>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H27"/>
  <c r="G27"/>
  <c r="H39" i="44" s="1"/>
  <c r="I39" s="1"/>
  <c r="J39" s="1"/>
  <c r="D27" i="33"/>
  <c r="X89"/>
  <c r="X30"/>
  <c r="M42" i="18"/>
  <c r="M43"/>
  <c r="M41"/>
  <c r="E27" i="33" l="1"/>
  <c r="F27" s="1"/>
  <c r="G27" s="1"/>
  <c r="H27" s="1"/>
  <c r="I27" s="1"/>
  <c r="J27" s="1"/>
  <c r="K27" s="1"/>
  <c r="L27" s="1"/>
  <c r="M27" s="1"/>
  <c r="N27" s="1"/>
  <c r="O27" s="1"/>
  <c r="P27" s="1"/>
  <c r="Q27" s="1"/>
  <c r="R27" s="1"/>
  <c r="S27" s="1"/>
  <c r="T27" s="1"/>
  <c r="U27" s="1"/>
  <c r="V27" s="1"/>
  <c r="W27" s="1"/>
  <c r="X27"/>
  <c r="K39" i="44"/>
  <c r="L39" s="1"/>
  <c r="M39" s="1"/>
  <c r="N39" s="1"/>
  <c r="O39" s="1"/>
  <c r="P39" s="1"/>
  <c r="Q39" s="1"/>
  <c r="R39" s="1"/>
  <c r="S39" s="1"/>
  <c r="T39" s="1"/>
  <c r="U39" s="1"/>
  <c r="V39" s="1"/>
  <c r="W39" s="1"/>
  <c r="X39" s="1"/>
  <c r="Y39" s="1"/>
  <c r="Z39" s="1"/>
  <c r="AA39" s="1"/>
  <c r="AB39" s="1"/>
  <c r="AC39" s="1"/>
  <c r="F27" i="47"/>
  <c r="H39" i="30"/>
  <c r="I39" s="1"/>
  <c r="J39" s="1"/>
  <c r="K39" s="1"/>
  <c r="L39" s="1"/>
  <c r="M39" s="1"/>
  <c r="N39" s="1"/>
  <c r="O39" s="1"/>
  <c r="P39" s="1"/>
  <c r="Q39" s="1"/>
  <c r="R39" s="1"/>
  <c r="S39" s="1"/>
  <c r="T39" s="1"/>
  <c r="U39" s="1"/>
  <c r="V39" s="1"/>
  <c r="W39" s="1"/>
  <c r="X39" s="1"/>
  <c r="Y39" s="1"/>
  <c r="Z39" s="1"/>
  <c r="AA39" s="1"/>
  <c r="AB39" s="1"/>
  <c r="AC39" s="1"/>
  <c r="B173"/>
  <c r="AW66" i="33"/>
  <c r="AP66"/>
  <c r="AW7"/>
  <c r="AP7"/>
  <c r="J138" i="23"/>
  <c r="K138"/>
  <c r="L138"/>
  <c r="M138"/>
  <c r="N138"/>
  <c r="O138"/>
  <c r="P138"/>
  <c r="Q138"/>
  <c r="R138"/>
  <c r="S138"/>
  <c r="T138"/>
  <c r="U138"/>
  <c r="V138"/>
  <c r="W138"/>
  <c r="X138"/>
  <c r="Y138"/>
  <c r="Z138"/>
  <c r="AA138"/>
  <c r="AB138"/>
  <c r="AC138"/>
  <c r="I138"/>
  <c r="D139"/>
  <c r="F134"/>
  <c r="F135"/>
  <c r="F136"/>
  <c r="C164" i="42"/>
  <c r="AQ164" s="1"/>
  <c r="D164"/>
  <c r="AR164" s="1"/>
  <c r="B164"/>
  <c r="AP164" s="1"/>
  <c r="I57" i="43"/>
  <c r="H9"/>
  <c r="AC22" i="38"/>
  <c r="AD22"/>
  <c r="AE22"/>
  <c r="AF22"/>
  <c r="AG22"/>
  <c r="AH22"/>
  <c r="AI22"/>
  <c r="AJ22"/>
  <c r="AK22"/>
  <c r="AL22"/>
  <c r="AM22"/>
  <c r="AN22"/>
  <c r="AO22"/>
  <c r="AP22"/>
  <c r="AQ22"/>
  <c r="AR22"/>
  <c r="AS22"/>
  <c r="AT22"/>
  <c r="AU22"/>
  <c r="AV22"/>
  <c r="AC23"/>
  <c r="AD23"/>
  <c r="AE23"/>
  <c r="AF23"/>
  <c r="AG23"/>
  <c r="AH23"/>
  <c r="AI23"/>
  <c r="AJ23"/>
  <c r="AK23"/>
  <c r="AL23"/>
  <c r="AM23"/>
  <c r="AN23"/>
  <c r="AO23"/>
  <c r="AP23"/>
  <c r="AQ23"/>
  <c r="AR23"/>
  <c r="AS23"/>
  <c r="AT23"/>
  <c r="AU23"/>
  <c r="AV23"/>
  <c r="AC24"/>
  <c r="AD24"/>
  <c r="AE24"/>
  <c r="AF24"/>
  <c r="AG24"/>
  <c r="AH24"/>
  <c r="AI24"/>
  <c r="AJ24"/>
  <c r="AK24"/>
  <c r="AL24"/>
  <c r="AM24"/>
  <c r="AN24"/>
  <c r="AO24"/>
  <c r="AP24"/>
  <c r="AQ24"/>
  <c r="AR24"/>
  <c r="AS24"/>
  <c r="AT24"/>
  <c r="AU24"/>
  <c r="AV24"/>
  <c r="AB22"/>
  <c r="AB23"/>
  <c r="AB24"/>
  <c r="A24"/>
  <c r="AA24" s="1"/>
  <c r="A25"/>
  <c r="AA25" s="1"/>
  <c r="A7"/>
  <c r="AA7" s="1"/>
  <c r="A8"/>
  <c r="AA8" s="1"/>
  <c r="A9"/>
  <c r="AA9" s="1"/>
  <c r="A10"/>
  <c r="AA10" s="1"/>
  <c r="A11"/>
  <c r="AA11" s="1"/>
  <c r="A12"/>
  <c r="AA12" s="1"/>
  <c r="A13"/>
  <c r="AA13" s="1"/>
  <c r="A14"/>
  <c r="AA14" s="1"/>
  <c r="A15"/>
  <c r="AA15" s="1"/>
  <c r="A16"/>
  <c r="AA16" s="1"/>
  <c r="A17"/>
  <c r="AA17" s="1"/>
  <c r="A18"/>
  <c r="AA18" s="1"/>
  <c r="A19"/>
  <c r="AA19" s="1"/>
  <c r="A20"/>
  <c r="AA20" s="1"/>
  <c r="A21"/>
  <c r="AA21" s="1"/>
  <c r="A22"/>
  <c r="AA22" s="1"/>
  <c r="A23"/>
  <c r="AA23" s="1"/>
  <c r="A6"/>
  <c r="AA6" s="1"/>
  <c r="A189" i="42"/>
  <c r="A180"/>
  <c r="J947" i="44"/>
  <c r="K947"/>
  <c r="L947"/>
  <c r="M947"/>
  <c r="N947"/>
  <c r="O947"/>
  <c r="P947"/>
  <c r="Q947"/>
  <c r="R947"/>
  <c r="S947"/>
  <c r="T947"/>
  <c r="U947"/>
  <c r="V947"/>
  <c r="W947"/>
  <c r="X947"/>
  <c r="Y947"/>
  <c r="Z947"/>
  <c r="AA947"/>
  <c r="AB947"/>
  <c r="AC947"/>
  <c r="I947"/>
  <c r="J947" i="30"/>
  <c r="K947"/>
  <c r="L947"/>
  <c r="M947"/>
  <c r="N947"/>
  <c r="O947"/>
  <c r="P947"/>
  <c r="Q947"/>
  <c r="R947"/>
  <c r="S947"/>
  <c r="T947"/>
  <c r="U947"/>
  <c r="V947"/>
  <c r="W947"/>
  <c r="X947"/>
  <c r="Y947"/>
  <c r="Z947"/>
  <c r="AA947"/>
  <c r="AB947"/>
  <c r="AC947"/>
  <c r="I947"/>
  <c r="C970" i="44"/>
  <c r="C970" i="30"/>
  <c r="B39" i="37"/>
  <c r="B40" s="1"/>
  <c r="B41" s="1"/>
  <c r="B42" s="1"/>
  <c r="L38" i="46"/>
  <c r="R38"/>
  <c r="T38"/>
  <c r="U38"/>
  <c r="V38"/>
  <c r="W38"/>
  <c r="D78"/>
  <c r="L78" s="1"/>
  <c r="O78" s="1"/>
  <c r="E78"/>
  <c r="J78"/>
  <c r="M78" s="1"/>
  <c r="Q78"/>
  <c r="T78" s="1"/>
  <c r="S4"/>
  <c r="AE9" i="43"/>
  <c r="AD9"/>
  <c r="AC9"/>
  <c r="AB9"/>
  <c r="AA9"/>
  <c r="Z9"/>
  <c r="Y9"/>
  <c r="X9"/>
  <c r="W9"/>
  <c r="V9"/>
  <c r="U9"/>
  <c r="T9"/>
  <c r="S9"/>
  <c r="R9"/>
  <c r="Q9"/>
  <c r="P9"/>
  <c r="O9"/>
  <c r="N9"/>
  <c r="M9"/>
  <c r="L9"/>
  <c r="J9"/>
  <c r="I9"/>
  <c r="H10"/>
  <c r="B11" i="37"/>
  <c r="B12" s="1"/>
  <c r="B13" s="1"/>
  <c r="B14" s="1"/>
  <c r="B15" s="1"/>
  <c r="B16" s="1"/>
  <c r="B17" s="1"/>
  <c r="F12" i="47"/>
  <c r="E12"/>
  <c r="F11"/>
  <c r="E11"/>
  <c r="AV10"/>
  <c r="AU10"/>
  <c r="AT10"/>
  <c r="AS10"/>
  <c r="AR10"/>
  <c r="AQ10"/>
  <c r="AP10"/>
  <c r="AO10"/>
  <c r="AN10"/>
  <c r="AM10"/>
  <c r="AL10"/>
  <c r="AK10"/>
  <c r="AJ10"/>
  <c r="AI10"/>
  <c r="AH10"/>
  <c r="AG10"/>
  <c r="AF10"/>
  <c r="AE10"/>
  <c r="AD10"/>
  <c r="AC10"/>
  <c r="AB10"/>
  <c r="AA10"/>
  <c r="Z10"/>
  <c r="Y10"/>
  <c r="X10"/>
  <c r="W10"/>
  <c r="V10"/>
  <c r="U10"/>
  <c r="T10"/>
  <c r="S10"/>
  <c r="R10"/>
  <c r="Q10"/>
  <c r="P10"/>
  <c r="O10"/>
  <c r="N10"/>
  <c r="M10"/>
  <c r="L10"/>
  <c r="K10"/>
  <c r="J10"/>
  <c r="I10"/>
  <c r="H10"/>
  <c r="G10"/>
  <c r="F10" s="1"/>
  <c r="AV9"/>
  <c r="AU9"/>
  <c r="AT9"/>
  <c r="AS9"/>
  <c r="AR9"/>
  <c r="AQ9"/>
  <c r="AP9"/>
  <c r="AO9"/>
  <c r="AN9"/>
  <c r="AM9"/>
  <c r="AL9"/>
  <c r="AK9"/>
  <c r="AJ9"/>
  <c r="AI9"/>
  <c r="AH9"/>
  <c r="AG9"/>
  <c r="AF9"/>
  <c r="AE9"/>
  <c r="AD9"/>
  <c r="AC9"/>
  <c r="AB9"/>
  <c r="AA9"/>
  <c r="Z9"/>
  <c r="Y9"/>
  <c r="X9"/>
  <c r="W9"/>
  <c r="V9"/>
  <c r="U9"/>
  <c r="T9"/>
  <c r="S9"/>
  <c r="R9"/>
  <c r="Q9"/>
  <c r="P9"/>
  <c r="O9"/>
  <c r="N9"/>
  <c r="M9"/>
  <c r="L9"/>
  <c r="K9"/>
  <c r="J9"/>
  <c r="I9"/>
  <c r="H9"/>
  <c r="G9"/>
  <c r="F9" s="1"/>
  <c r="E9" s="1"/>
  <c r="AV8"/>
  <c r="AU8"/>
  <c r="AT8"/>
  <c r="AS8"/>
  <c r="AR8"/>
  <c r="AQ8"/>
  <c r="AP8"/>
  <c r="AO8"/>
  <c r="AN8"/>
  <c r="AM8"/>
  <c r="AL8"/>
  <c r="AK8"/>
  <c r="AJ8"/>
  <c r="AI8"/>
  <c r="AH8"/>
  <c r="AG8"/>
  <c r="AF8"/>
  <c r="AE8"/>
  <c r="AD8"/>
  <c r="AC8"/>
  <c r="AB8"/>
  <c r="AA8"/>
  <c r="Z8"/>
  <c r="Y8"/>
  <c r="X8"/>
  <c r="W8"/>
  <c r="V8"/>
  <c r="U8"/>
  <c r="T8"/>
  <c r="S8"/>
  <c r="R8"/>
  <c r="Q8"/>
  <c r="P8"/>
  <c r="O8"/>
  <c r="N8"/>
  <c r="M8"/>
  <c r="L8"/>
  <c r="K8"/>
  <c r="J8"/>
  <c r="I8"/>
  <c r="H8"/>
  <c r="G8"/>
  <c r="F8" s="1"/>
  <c r="D6" i="46"/>
  <c r="G73" i="24"/>
  <c r="G64"/>
  <c r="G79" s="1"/>
  <c r="H64"/>
  <c r="H79" s="1"/>
  <c r="I64"/>
  <c r="I79" s="1"/>
  <c r="J64"/>
  <c r="J79" s="1"/>
  <c r="K64"/>
  <c r="K79" s="1"/>
  <c r="L64"/>
  <c r="L79" s="1"/>
  <c r="M64"/>
  <c r="M79" s="1"/>
  <c r="N64"/>
  <c r="N79" s="1"/>
  <c r="O64"/>
  <c r="O79" s="1"/>
  <c r="P64"/>
  <c r="P79" s="1"/>
  <c r="Q64"/>
  <c r="Q79" s="1"/>
  <c r="R64"/>
  <c r="R79" s="1"/>
  <c r="S64"/>
  <c r="S79" s="1"/>
  <c r="T64"/>
  <c r="T79" s="1"/>
  <c r="U64"/>
  <c r="U79" s="1"/>
  <c r="V64"/>
  <c r="V79" s="1"/>
  <c r="W64"/>
  <c r="W79" s="1"/>
  <c r="X64"/>
  <c r="X79" s="1"/>
  <c r="Y64"/>
  <c r="Y79" s="1"/>
  <c r="Z64"/>
  <c r="Z79" s="1"/>
  <c r="AA64"/>
  <c r="AA79" s="1"/>
  <c r="AB64"/>
  <c r="AB79" s="1"/>
  <c r="AC64"/>
  <c r="AC79" s="1"/>
  <c r="AD64"/>
  <c r="AD79" s="1"/>
  <c r="AE64"/>
  <c r="AE79" s="1"/>
  <c r="AF64"/>
  <c r="AF79" s="1"/>
  <c r="AG64"/>
  <c r="AG79" s="1"/>
  <c r="AH64"/>
  <c r="AH79" s="1"/>
  <c r="AI64"/>
  <c r="AI79" s="1"/>
  <c r="AJ64"/>
  <c r="AJ79" s="1"/>
  <c r="AK64"/>
  <c r="AK79" s="1"/>
  <c r="AL64"/>
  <c r="AL79" s="1"/>
  <c r="AM64"/>
  <c r="AM79" s="1"/>
  <c r="AN64"/>
  <c r="AN79" s="1"/>
  <c r="AO64"/>
  <c r="AO79" s="1"/>
  <c r="AP64"/>
  <c r="AP79" s="1"/>
  <c r="AQ64"/>
  <c r="AQ79" s="1"/>
  <c r="AR64"/>
  <c r="AR79" s="1"/>
  <c r="AS64"/>
  <c r="AS79" s="1"/>
  <c r="AT64"/>
  <c r="AT79" s="1"/>
  <c r="AU64"/>
  <c r="AU79" s="1"/>
  <c r="AV64"/>
  <c r="AV79" s="1"/>
  <c r="AW64"/>
  <c r="AW79" s="1"/>
  <c r="AX64"/>
  <c r="AX79" s="1"/>
  <c r="AY64"/>
  <c r="AY79" s="1"/>
  <c r="AZ64"/>
  <c r="AZ79" s="1"/>
  <c r="BA64"/>
  <c r="BA79" s="1"/>
  <c r="BB64"/>
  <c r="BB79" s="1"/>
  <c r="BC64"/>
  <c r="BC79" s="1"/>
  <c r="BD64"/>
  <c r="BD79" s="1"/>
  <c r="BE64"/>
  <c r="BE79" s="1"/>
  <c r="BF64"/>
  <c r="BF79" s="1"/>
  <c r="BG64"/>
  <c r="BG79" s="1"/>
  <c r="BH64"/>
  <c r="BH79" s="1"/>
  <c r="BI64"/>
  <c r="BI79" s="1"/>
  <c r="BJ64"/>
  <c r="BJ79" s="1"/>
  <c r="BK64"/>
  <c r="BK79" s="1"/>
  <c r="BL64"/>
  <c r="BL79" s="1"/>
  <c r="BM64"/>
  <c r="BM79" s="1"/>
  <c r="BN64"/>
  <c r="BN79" s="1"/>
  <c r="BO64"/>
  <c r="BO79" s="1"/>
  <c r="BP64"/>
  <c r="BP79" s="1"/>
  <c r="BQ64"/>
  <c r="BQ79" s="1"/>
  <c r="BR64"/>
  <c r="BR79" s="1"/>
  <c r="BS64"/>
  <c r="BS79" s="1"/>
  <c r="BT64"/>
  <c r="BT79" s="1"/>
  <c r="BU64"/>
  <c r="BU79" s="1"/>
  <c r="BV64"/>
  <c r="BV79" s="1"/>
  <c r="BW64"/>
  <c r="BW79" s="1"/>
  <c r="BX64"/>
  <c r="BX79" s="1"/>
  <c r="BY64"/>
  <c r="BY79" s="1"/>
  <c r="BZ64"/>
  <c r="BZ79" s="1"/>
  <c r="CA64"/>
  <c r="CA79" s="1"/>
  <c r="CB64"/>
  <c r="CB79" s="1"/>
  <c r="CC64"/>
  <c r="CC79" s="1"/>
  <c r="CD64"/>
  <c r="CD79" s="1"/>
  <c r="CE64"/>
  <c r="CE79" s="1"/>
  <c r="CF64"/>
  <c r="CF79" s="1"/>
  <c r="CG64"/>
  <c r="CG79" s="1"/>
  <c r="CH64"/>
  <c r="CH79" s="1"/>
  <c r="CI64"/>
  <c r="CI79" s="1"/>
  <c r="CJ64"/>
  <c r="CJ79" s="1"/>
  <c r="CK64"/>
  <c r="CK79" s="1"/>
  <c r="CL64"/>
  <c r="CL79" s="1"/>
  <c r="CM64"/>
  <c r="CM79" s="1"/>
  <c r="G65"/>
  <c r="G80" s="1"/>
  <c r="H65"/>
  <c r="H80" s="1"/>
  <c r="I65"/>
  <c r="I80" s="1"/>
  <c r="J65"/>
  <c r="J80" s="1"/>
  <c r="K65"/>
  <c r="K80" s="1"/>
  <c r="L65"/>
  <c r="L80" s="1"/>
  <c r="M65"/>
  <c r="M80" s="1"/>
  <c r="N65"/>
  <c r="N80" s="1"/>
  <c r="O65"/>
  <c r="O80" s="1"/>
  <c r="P65"/>
  <c r="P80" s="1"/>
  <c r="Q65"/>
  <c r="Q80" s="1"/>
  <c r="R65"/>
  <c r="R80" s="1"/>
  <c r="S65"/>
  <c r="S80" s="1"/>
  <c r="T65"/>
  <c r="T80" s="1"/>
  <c r="U65"/>
  <c r="U80" s="1"/>
  <c r="V65"/>
  <c r="V80" s="1"/>
  <c r="W65"/>
  <c r="W80" s="1"/>
  <c r="X65"/>
  <c r="X80" s="1"/>
  <c r="Y65"/>
  <c r="Y80" s="1"/>
  <c r="Z65"/>
  <c r="Z80" s="1"/>
  <c r="AA65"/>
  <c r="AA80" s="1"/>
  <c r="AB65"/>
  <c r="AB80" s="1"/>
  <c r="AC65"/>
  <c r="AC80" s="1"/>
  <c r="AD65"/>
  <c r="AD80" s="1"/>
  <c r="AE65"/>
  <c r="AE80" s="1"/>
  <c r="AF65"/>
  <c r="AF80" s="1"/>
  <c r="AG65"/>
  <c r="AG80" s="1"/>
  <c r="AH65"/>
  <c r="AH80" s="1"/>
  <c r="AI65"/>
  <c r="AI80" s="1"/>
  <c r="AJ65"/>
  <c r="AJ80" s="1"/>
  <c r="AK65"/>
  <c r="AK80" s="1"/>
  <c r="AL65"/>
  <c r="AL80" s="1"/>
  <c r="AM65"/>
  <c r="AM80" s="1"/>
  <c r="AN65"/>
  <c r="AN80" s="1"/>
  <c r="AO65"/>
  <c r="AO80" s="1"/>
  <c r="AP65"/>
  <c r="AP80" s="1"/>
  <c r="AQ65"/>
  <c r="AQ80" s="1"/>
  <c r="AR65"/>
  <c r="AR80" s="1"/>
  <c r="AS65"/>
  <c r="AS80" s="1"/>
  <c r="AT65"/>
  <c r="AT80" s="1"/>
  <c r="AU65"/>
  <c r="AU80" s="1"/>
  <c r="AV65"/>
  <c r="AV80" s="1"/>
  <c r="AW65"/>
  <c r="AW80" s="1"/>
  <c r="AX65"/>
  <c r="AX80" s="1"/>
  <c r="AY65"/>
  <c r="AY80" s="1"/>
  <c r="AZ65"/>
  <c r="AZ80" s="1"/>
  <c r="BA65"/>
  <c r="BA80" s="1"/>
  <c r="BB65"/>
  <c r="BB80" s="1"/>
  <c r="BC65"/>
  <c r="BC80" s="1"/>
  <c r="BD65"/>
  <c r="BD80" s="1"/>
  <c r="BE65"/>
  <c r="BE80" s="1"/>
  <c r="BF65"/>
  <c r="BF80" s="1"/>
  <c r="BG65"/>
  <c r="BG80" s="1"/>
  <c r="BH65"/>
  <c r="BH80" s="1"/>
  <c r="BI65"/>
  <c r="BI80" s="1"/>
  <c r="BJ65"/>
  <c r="BJ80" s="1"/>
  <c r="BK65"/>
  <c r="BK80" s="1"/>
  <c r="BL65"/>
  <c r="BL80" s="1"/>
  <c r="BM65"/>
  <c r="BM80" s="1"/>
  <c r="BN65"/>
  <c r="BN80" s="1"/>
  <c r="BO65"/>
  <c r="BO80" s="1"/>
  <c r="BP65"/>
  <c r="BP80" s="1"/>
  <c r="BQ65"/>
  <c r="BQ80" s="1"/>
  <c r="BR65"/>
  <c r="BR80" s="1"/>
  <c r="BS65"/>
  <c r="BS80" s="1"/>
  <c r="BT65"/>
  <c r="BT80" s="1"/>
  <c r="BU65"/>
  <c r="BU80" s="1"/>
  <c r="BV65"/>
  <c r="BV80" s="1"/>
  <c r="BW65"/>
  <c r="BW80" s="1"/>
  <c r="BX65"/>
  <c r="BX80" s="1"/>
  <c r="BY65"/>
  <c r="BY80" s="1"/>
  <c r="BZ65"/>
  <c r="BZ80" s="1"/>
  <c r="CA65"/>
  <c r="CA80" s="1"/>
  <c r="CB65"/>
  <c r="CB80" s="1"/>
  <c r="CC65"/>
  <c r="CC80" s="1"/>
  <c r="CD65"/>
  <c r="CD80" s="1"/>
  <c r="CE65"/>
  <c r="CE80" s="1"/>
  <c r="CF65"/>
  <c r="CF80" s="1"/>
  <c r="CG65"/>
  <c r="CG80" s="1"/>
  <c r="CH65"/>
  <c r="CH80" s="1"/>
  <c r="CI65"/>
  <c r="CI80" s="1"/>
  <c r="CJ65"/>
  <c r="CJ80" s="1"/>
  <c r="CK65"/>
  <c r="CK80" s="1"/>
  <c r="CL65"/>
  <c r="CL80" s="1"/>
  <c r="CM65"/>
  <c r="CM80" s="1"/>
  <c r="G66"/>
  <c r="G81" s="1"/>
  <c r="H66"/>
  <c r="H81" s="1"/>
  <c r="I66"/>
  <c r="I81" s="1"/>
  <c r="J66"/>
  <c r="J81" s="1"/>
  <c r="K66"/>
  <c r="K81" s="1"/>
  <c r="L66"/>
  <c r="L81" s="1"/>
  <c r="M66"/>
  <c r="M81" s="1"/>
  <c r="N66"/>
  <c r="N81" s="1"/>
  <c r="O66"/>
  <c r="O81" s="1"/>
  <c r="P66"/>
  <c r="P81" s="1"/>
  <c r="Q66"/>
  <c r="Q81" s="1"/>
  <c r="R66"/>
  <c r="R81" s="1"/>
  <c r="S66"/>
  <c r="S81" s="1"/>
  <c r="T66"/>
  <c r="T81" s="1"/>
  <c r="U66"/>
  <c r="U81" s="1"/>
  <c r="V66"/>
  <c r="V81" s="1"/>
  <c r="W66"/>
  <c r="W81" s="1"/>
  <c r="X66"/>
  <c r="X81" s="1"/>
  <c r="Y66"/>
  <c r="Y81" s="1"/>
  <c r="Z66"/>
  <c r="Z81" s="1"/>
  <c r="AA66"/>
  <c r="AA81" s="1"/>
  <c r="AB66"/>
  <c r="AB81" s="1"/>
  <c r="AC66"/>
  <c r="AC81" s="1"/>
  <c r="AD66"/>
  <c r="AD81" s="1"/>
  <c r="AE66"/>
  <c r="AE81" s="1"/>
  <c r="AF66"/>
  <c r="AF81" s="1"/>
  <c r="AG66"/>
  <c r="AG81" s="1"/>
  <c r="AH66"/>
  <c r="AH81" s="1"/>
  <c r="AI66"/>
  <c r="AI81" s="1"/>
  <c r="AJ66"/>
  <c r="AJ81" s="1"/>
  <c r="AK66"/>
  <c r="AK81" s="1"/>
  <c r="AL66"/>
  <c r="AL81" s="1"/>
  <c r="AM66"/>
  <c r="AM81" s="1"/>
  <c r="AN66"/>
  <c r="AN81" s="1"/>
  <c r="AO66"/>
  <c r="AO81" s="1"/>
  <c r="AP66"/>
  <c r="AP81" s="1"/>
  <c r="AQ66"/>
  <c r="AQ81" s="1"/>
  <c r="AR66"/>
  <c r="AR81" s="1"/>
  <c r="AS66"/>
  <c r="AS81" s="1"/>
  <c r="AT66"/>
  <c r="AT81" s="1"/>
  <c r="AU66"/>
  <c r="AU81" s="1"/>
  <c r="AV66"/>
  <c r="AV81" s="1"/>
  <c r="AW66"/>
  <c r="AW81" s="1"/>
  <c r="AX66"/>
  <c r="AX81" s="1"/>
  <c r="AY66"/>
  <c r="AY81" s="1"/>
  <c r="AZ66"/>
  <c r="AZ81" s="1"/>
  <c r="BA66"/>
  <c r="BA81" s="1"/>
  <c r="BB66"/>
  <c r="BB81" s="1"/>
  <c r="BC66"/>
  <c r="BC81" s="1"/>
  <c r="BD66"/>
  <c r="BD81" s="1"/>
  <c r="BE66"/>
  <c r="BE81" s="1"/>
  <c r="BF66"/>
  <c r="BF81" s="1"/>
  <c r="BG66"/>
  <c r="BG81" s="1"/>
  <c r="BH66"/>
  <c r="BH81" s="1"/>
  <c r="BI66"/>
  <c r="BI81" s="1"/>
  <c r="BJ66"/>
  <c r="BJ81" s="1"/>
  <c r="BK66"/>
  <c r="BK81" s="1"/>
  <c r="BL66"/>
  <c r="BL81" s="1"/>
  <c r="BM66"/>
  <c r="BM81" s="1"/>
  <c r="BN66"/>
  <c r="BN81" s="1"/>
  <c r="BO66"/>
  <c r="BO81" s="1"/>
  <c r="BP66"/>
  <c r="BP81" s="1"/>
  <c r="BQ66"/>
  <c r="BQ81" s="1"/>
  <c r="BR66"/>
  <c r="BR81" s="1"/>
  <c r="BS66"/>
  <c r="BS81" s="1"/>
  <c r="BT66"/>
  <c r="BT81" s="1"/>
  <c r="BU66"/>
  <c r="BU81" s="1"/>
  <c r="BV66"/>
  <c r="BV81" s="1"/>
  <c r="BW66"/>
  <c r="BW81" s="1"/>
  <c r="BX66"/>
  <c r="BX81" s="1"/>
  <c r="BY66"/>
  <c r="BY81" s="1"/>
  <c r="BZ66"/>
  <c r="BZ81" s="1"/>
  <c r="CA66"/>
  <c r="CA81" s="1"/>
  <c r="CB66"/>
  <c r="CB81" s="1"/>
  <c r="CC66"/>
  <c r="CC81" s="1"/>
  <c r="CD66"/>
  <c r="CD81" s="1"/>
  <c r="CE66"/>
  <c r="CE81" s="1"/>
  <c r="CF66"/>
  <c r="CF81" s="1"/>
  <c r="CG66"/>
  <c r="CG81" s="1"/>
  <c r="CH66"/>
  <c r="CH81" s="1"/>
  <c r="CI66"/>
  <c r="CI81" s="1"/>
  <c r="CJ66"/>
  <c r="CJ81" s="1"/>
  <c r="CK66"/>
  <c r="CK81" s="1"/>
  <c r="CL66"/>
  <c r="CL81" s="1"/>
  <c r="CM66"/>
  <c r="CM81" s="1"/>
  <c r="G67"/>
  <c r="G82" s="1"/>
  <c r="H67"/>
  <c r="H82" s="1"/>
  <c r="I67"/>
  <c r="I82" s="1"/>
  <c r="J67"/>
  <c r="J82" s="1"/>
  <c r="K67"/>
  <c r="K82" s="1"/>
  <c r="L67"/>
  <c r="L82" s="1"/>
  <c r="M67"/>
  <c r="M82" s="1"/>
  <c r="N67"/>
  <c r="N82" s="1"/>
  <c r="O67"/>
  <c r="O82" s="1"/>
  <c r="P67"/>
  <c r="P82" s="1"/>
  <c r="Q67"/>
  <c r="Q82" s="1"/>
  <c r="R67"/>
  <c r="R82" s="1"/>
  <c r="S67"/>
  <c r="S82" s="1"/>
  <c r="T67"/>
  <c r="T82" s="1"/>
  <c r="U67"/>
  <c r="U82" s="1"/>
  <c r="V67"/>
  <c r="V82" s="1"/>
  <c r="W67"/>
  <c r="W82" s="1"/>
  <c r="X67"/>
  <c r="X82" s="1"/>
  <c r="Y67"/>
  <c r="Y82" s="1"/>
  <c r="Z67"/>
  <c r="Z82" s="1"/>
  <c r="AA67"/>
  <c r="AA82" s="1"/>
  <c r="AB67"/>
  <c r="AB82" s="1"/>
  <c r="AC67"/>
  <c r="AC82" s="1"/>
  <c r="AD67"/>
  <c r="AD82" s="1"/>
  <c r="AE67"/>
  <c r="AE82" s="1"/>
  <c r="AF67"/>
  <c r="AF82" s="1"/>
  <c r="AG67"/>
  <c r="AG82" s="1"/>
  <c r="AH67"/>
  <c r="AH82" s="1"/>
  <c r="AI67"/>
  <c r="AI82" s="1"/>
  <c r="AJ67"/>
  <c r="AJ82" s="1"/>
  <c r="AK67"/>
  <c r="AK82" s="1"/>
  <c r="AL67"/>
  <c r="AL82" s="1"/>
  <c r="AM67"/>
  <c r="AM82" s="1"/>
  <c r="AN67"/>
  <c r="AN82" s="1"/>
  <c r="AO67"/>
  <c r="AO82" s="1"/>
  <c r="AP67"/>
  <c r="AP82" s="1"/>
  <c r="AQ67"/>
  <c r="AQ82" s="1"/>
  <c r="AR67"/>
  <c r="AR82" s="1"/>
  <c r="AS67"/>
  <c r="AS82" s="1"/>
  <c r="AT67"/>
  <c r="AT82" s="1"/>
  <c r="AU67"/>
  <c r="AU82" s="1"/>
  <c r="AV67"/>
  <c r="AV82" s="1"/>
  <c r="AW67"/>
  <c r="AW82" s="1"/>
  <c r="AX67"/>
  <c r="AX82" s="1"/>
  <c r="AY67"/>
  <c r="AY82" s="1"/>
  <c r="AZ67"/>
  <c r="AZ82" s="1"/>
  <c r="BA67"/>
  <c r="BA82" s="1"/>
  <c r="BB67"/>
  <c r="BB82" s="1"/>
  <c r="BC67"/>
  <c r="BC82" s="1"/>
  <c r="BD67"/>
  <c r="BD82" s="1"/>
  <c r="BE67"/>
  <c r="BE82" s="1"/>
  <c r="BF67"/>
  <c r="BF82" s="1"/>
  <c r="BG67"/>
  <c r="BG82" s="1"/>
  <c r="BH67"/>
  <c r="BH82" s="1"/>
  <c r="BI67"/>
  <c r="BI82" s="1"/>
  <c r="BJ67"/>
  <c r="BJ82" s="1"/>
  <c r="BK67"/>
  <c r="BK82" s="1"/>
  <c r="BL67"/>
  <c r="BL82" s="1"/>
  <c r="BM67"/>
  <c r="BM82" s="1"/>
  <c r="BN67"/>
  <c r="BN82" s="1"/>
  <c r="BO67"/>
  <c r="BO82" s="1"/>
  <c r="BP67"/>
  <c r="BP82" s="1"/>
  <c r="BQ67"/>
  <c r="BQ82" s="1"/>
  <c r="BR67"/>
  <c r="BR82" s="1"/>
  <c r="BS67"/>
  <c r="BS82" s="1"/>
  <c r="BT67"/>
  <c r="BT82" s="1"/>
  <c r="BU67"/>
  <c r="BU82" s="1"/>
  <c r="BV67"/>
  <c r="BV82" s="1"/>
  <c r="BW67"/>
  <c r="BW82" s="1"/>
  <c r="BX67"/>
  <c r="BX82" s="1"/>
  <c r="BY67"/>
  <c r="BY82" s="1"/>
  <c r="BZ67"/>
  <c r="BZ82" s="1"/>
  <c r="CA67"/>
  <c r="CA82" s="1"/>
  <c r="CB67"/>
  <c r="CB82" s="1"/>
  <c r="CC67"/>
  <c r="CC82" s="1"/>
  <c r="CD67"/>
  <c r="CD82" s="1"/>
  <c r="CE67"/>
  <c r="CE82" s="1"/>
  <c r="CF67"/>
  <c r="CF82" s="1"/>
  <c r="CG67"/>
  <c r="CG82" s="1"/>
  <c r="CH67"/>
  <c r="CH82" s="1"/>
  <c r="CI67"/>
  <c r="CI82" s="1"/>
  <c r="CJ67"/>
  <c r="CJ82" s="1"/>
  <c r="CK67"/>
  <c r="CK82" s="1"/>
  <c r="CL67"/>
  <c r="CL82" s="1"/>
  <c r="CM67"/>
  <c r="CM82" s="1"/>
  <c r="G68"/>
  <c r="G83" s="1"/>
  <c r="H68"/>
  <c r="H83" s="1"/>
  <c r="I68"/>
  <c r="I83" s="1"/>
  <c r="J68"/>
  <c r="J83" s="1"/>
  <c r="K68"/>
  <c r="K83" s="1"/>
  <c r="L68"/>
  <c r="L83" s="1"/>
  <c r="M68"/>
  <c r="M83" s="1"/>
  <c r="N68"/>
  <c r="N83" s="1"/>
  <c r="O68"/>
  <c r="O83" s="1"/>
  <c r="P68"/>
  <c r="P83" s="1"/>
  <c r="Q68"/>
  <c r="Q83" s="1"/>
  <c r="R68"/>
  <c r="R83" s="1"/>
  <c r="S68"/>
  <c r="S83" s="1"/>
  <c r="T68"/>
  <c r="T83" s="1"/>
  <c r="U68"/>
  <c r="U83" s="1"/>
  <c r="V68"/>
  <c r="V83" s="1"/>
  <c r="W68"/>
  <c r="W83" s="1"/>
  <c r="X68"/>
  <c r="X83" s="1"/>
  <c r="Y68"/>
  <c r="Y83" s="1"/>
  <c r="Z68"/>
  <c r="Z83" s="1"/>
  <c r="AA68"/>
  <c r="AA83" s="1"/>
  <c r="AB68"/>
  <c r="AB83" s="1"/>
  <c r="AC68"/>
  <c r="AC83" s="1"/>
  <c r="AD68"/>
  <c r="AD83" s="1"/>
  <c r="AE68"/>
  <c r="AE83" s="1"/>
  <c r="AF68"/>
  <c r="AF83" s="1"/>
  <c r="AG68"/>
  <c r="AG83" s="1"/>
  <c r="AH68"/>
  <c r="AH83" s="1"/>
  <c r="AI68"/>
  <c r="AI83" s="1"/>
  <c r="AJ68"/>
  <c r="AJ83" s="1"/>
  <c r="AK68"/>
  <c r="AK83" s="1"/>
  <c r="AL68"/>
  <c r="AL83" s="1"/>
  <c r="AM68"/>
  <c r="AM83" s="1"/>
  <c r="AN68"/>
  <c r="AN83" s="1"/>
  <c r="AO68"/>
  <c r="AO83" s="1"/>
  <c r="AP68"/>
  <c r="AP83" s="1"/>
  <c r="AQ68"/>
  <c r="AQ83" s="1"/>
  <c r="AR68"/>
  <c r="AR83" s="1"/>
  <c r="AS68"/>
  <c r="AS83" s="1"/>
  <c r="AT68"/>
  <c r="AT83" s="1"/>
  <c r="AU68"/>
  <c r="AU83" s="1"/>
  <c r="AV68"/>
  <c r="AV83" s="1"/>
  <c r="AW68"/>
  <c r="AW83" s="1"/>
  <c r="AX68"/>
  <c r="AX83" s="1"/>
  <c r="AY68"/>
  <c r="AY83" s="1"/>
  <c r="AZ68"/>
  <c r="AZ83" s="1"/>
  <c r="BA68"/>
  <c r="BA83" s="1"/>
  <c r="BB68"/>
  <c r="BB83" s="1"/>
  <c r="BC68"/>
  <c r="BC83" s="1"/>
  <c r="BD68"/>
  <c r="BD83" s="1"/>
  <c r="BE68"/>
  <c r="BE83" s="1"/>
  <c r="BF68"/>
  <c r="BF83" s="1"/>
  <c r="BG68"/>
  <c r="BG83" s="1"/>
  <c r="BH68"/>
  <c r="BH83" s="1"/>
  <c r="BI68"/>
  <c r="BI83" s="1"/>
  <c r="BJ68"/>
  <c r="BJ83" s="1"/>
  <c r="BK68"/>
  <c r="BK83" s="1"/>
  <c r="BL68"/>
  <c r="BL83" s="1"/>
  <c r="BM68"/>
  <c r="BM83" s="1"/>
  <c r="BN68"/>
  <c r="BN83" s="1"/>
  <c r="BO68"/>
  <c r="BO83" s="1"/>
  <c r="BP68"/>
  <c r="BP83" s="1"/>
  <c r="BQ68"/>
  <c r="BQ83" s="1"/>
  <c r="BR68"/>
  <c r="BR83" s="1"/>
  <c r="BS68"/>
  <c r="BS83" s="1"/>
  <c r="BT68"/>
  <c r="BT83" s="1"/>
  <c r="BU68"/>
  <c r="BU83" s="1"/>
  <c r="BV68"/>
  <c r="BV83" s="1"/>
  <c r="BW68"/>
  <c r="BW83" s="1"/>
  <c r="BX68"/>
  <c r="BX83" s="1"/>
  <c r="BY68"/>
  <c r="BY83" s="1"/>
  <c r="BZ68"/>
  <c r="BZ83" s="1"/>
  <c r="CA68"/>
  <c r="CA83" s="1"/>
  <c r="CB68"/>
  <c r="CB83" s="1"/>
  <c r="CC68"/>
  <c r="CC83" s="1"/>
  <c r="CD68"/>
  <c r="CD83" s="1"/>
  <c r="CE68"/>
  <c r="CE83" s="1"/>
  <c r="CF68"/>
  <c r="CF83" s="1"/>
  <c r="CG68"/>
  <c r="CG83" s="1"/>
  <c r="CH68"/>
  <c r="CH83" s="1"/>
  <c r="CI68"/>
  <c r="CI83" s="1"/>
  <c r="CJ68"/>
  <c r="CJ83" s="1"/>
  <c r="CK68"/>
  <c r="CK83" s="1"/>
  <c r="CL68"/>
  <c r="CL83" s="1"/>
  <c r="CM68"/>
  <c r="CM83" s="1"/>
  <c r="G69"/>
  <c r="G84" s="1"/>
  <c r="H69"/>
  <c r="H84" s="1"/>
  <c r="I69"/>
  <c r="I84" s="1"/>
  <c r="J69"/>
  <c r="J84" s="1"/>
  <c r="K69"/>
  <c r="K84" s="1"/>
  <c r="L69"/>
  <c r="L84" s="1"/>
  <c r="M69"/>
  <c r="M84" s="1"/>
  <c r="N69"/>
  <c r="N84" s="1"/>
  <c r="O69"/>
  <c r="O84" s="1"/>
  <c r="P69"/>
  <c r="P84" s="1"/>
  <c r="Q69"/>
  <c r="Q84" s="1"/>
  <c r="R69"/>
  <c r="R84" s="1"/>
  <c r="S69"/>
  <c r="S84" s="1"/>
  <c r="T69"/>
  <c r="T84" s="1"/>
  <c r="U69"/>
  <c r="U84" s="1"/>
  <c r="V69"/>
  <c r="V84" s="1"/>
  <c r="W69"/>
  <c r="W84" s="1"/>
  <c r="X69"/>
  <c r="X84" s="1"/>
  <c r="Y69"/>
  <c r="Y84" s="1"/>
  <c r="Z69"/>
  <c r="Z84" s="1"/>
  <c r="AA69"/>
  <c r="AA84" s="1"/>
  <c r="AB69"/>
  <c r="AB84" s="1"/>
  <c r="AC69"/>
  <c r="AC84" s="1"/>
  <c r="AD69"/>
  <c r="AD84" s="1"/>
  <c r="AE69"/>
  <c r="AE84" s="1"/>
  <c r="AF69"/>
  <c r="AF84" s="1"/>
  <c r="AG69"/>
  <c r="AG84" s="1"/>
  <c r="AH69"/>
  <c r="AH84" s="1"/>
  <c r="AI69"/>
  <c r="AI84" s="1"/>
  <c r="AJ69"/>
  <c r="AJ84" s="1"/>
  <c r="AK69"/>
  <c r="AK84" s="1"/>
  <c r="AL69"/>
  <c r="AL84" s="1"/>
  <c r="AM69"/>
  <c r="AM84" s="1"/>
  <c r="AN69"/>
  <c r="AN84" s="1"/>
  <c r="AO69"/>
  <c r="AO84" s="1"/>
  <c r="AP69"/>
  <c r="AP84" s="1"/>
  <c r="AQ69"/>
  <c r="AQ84" s="1"/>
  <c r="AR69"/>
  <c r="AR84" s="1"/>
  <c r="AS69"/>
  <c r="AS84" s="1"/>
  <c r="AT69"/>
  <c r="AT84" s="1"/>
  <c r="AU69"/>
  <c r="AU84" s="1"/>
  <c r="AV69"/>
  <c r="AV84" s="1"/>
  <c r="AW69"/>
  <c r="AW84" s="1"/>
  <c r="AX69"/>
  <c r="AX84" s="1"/>
  <c r="AY69"/>
  <c r="AY84" s="1"/>
  <c r="AZ69"/>
  <c r="AZ84" s="1"/>
  <c r="BA69"/>
  <c r="BA84" s="1"/>
  <c r="BB69"/>
  <c r="BB84" s="1"/>
  <c r="BC69"/>
  <c r="BC84" s="1"/>
  <c r="BD69"/>
  <c r="BD84" s="1"/>
  <c r="BE69"/>
  <c r="BE84" s="1"/>
  <c r="BF69"/>
  <c r="BF84" s="1"/>
  <c r="BG69"/>
  <c r="BG84" s="1"/>
  <c r="BH69"/>
  <c r="BH84" s="1"/>
  <c r="BI69"/>
  <c r="BI84" s="1"/>
  <c r="BJ69"/>
  <c r="BJ84" s="1"/>
  <c r="BK69"/>
  <c r="BK84" s="1"/>
  <c r="BL69"/>
  <c r="BL84" s="1"/>
  <c r="BM69"/>
  <c r="BM84" s="1"/>
  <c r="BN69"/>
  <c r="BN84" s="1"/>
  <c r="BO69"/>
  <c r="BO84" s="1"/>
  <c r="BP69"/>
  <c r="BP84" s="1"/>
  <c r="BQ69"/>
  <c r="BQ84" s="1"/>
  <c r="BR69"/>
  <c r="BR84" s="1"/>
  <c r="BS69"/>
  <c r="BS84" s="1"/>
  <c r="BT69"/>
  <c r="BT84" s="1"/>
  <c r="BU69"/>
  <c r="BU84" s="1"/>
  <c r="BV69"/>
  <c r="BV84" s="1"/>
  <c r="BW69"/>
  <c r="BW84" s="1"/>
  <c r="BX69"/>
  <c r="BX84" s="1"/>
  <c r="BY69"/>
  <c r="BY84" s="1"/>
  <c r="BZ69"/>
  <c r="BZ84" s="1"/>
  <c r="CA69"/>
  <c r="CA84" s="1"/>
  <c r="CB69"/>
  <c r="CB84" s="1"/>
  <c r="CC69"/>
  <c r="CC84" s="1"/>
  <c r="CD69"/>
  <c r="CD84" s="1"/>
  <c r="CE69"/>
  <c r="CE84" s="1"/>
  <c r="CF69"/>
  <c r="CF84" s="1"/>
  <c r="CG69"/>
  <c r="CG84" s="1"/>
  <c r="CH69"/>
  <c r="CH84" s="1"/>
  <c r="CI69"/>
  <c r="CI84" s="1"/>
  <c r="CJ69"/>
  <c r="CJ84" s="1"/>
  <c r="CK69"/>
  <c r="CK84" s="1"/>
  <c r="CL69"/>
  <c r="CL84" s="1"/>
  <c r="CM69"/>
  <c r="CM84" s="1"/>
  <c r="G70"/>
  <c r="G85" s="1"/>
  <c r="H70"/>
  <c r="H85" s="1"/>
  <c r="I70"/>
  <c r="I85" s="1"/>
  <c r="J70"/>
  <c r="J85" s="1"/>
  <c r="K70"/>
  <c r="K85" s="1"/>
  <c r="L70"/>
  <c r="L85" s="1"/>
  <c r="M70"/>
  <c r="M85" s="1"/>
  <c r="N70"/>
  <c r="N85" s="1"/>
  <c r="O70"/>
  <c r="O85" s="1"/>
  <c r="P70"/>
  <c r="P85" s="1"/>
  <c r="Q70"/>
  <c r="Q85" s="1"/>
  <c r="R70"/>
  <c r="R85" s="1"/>
  <c r="S70"/>
  <c r="S85" s="1"/>
  <c r="T70"/>
  <c r="T85" s="1"/>
  <c r="U70"/>
  <c r="U85" s="1"/>
  <c r="V70"/>
  <c r="V85" s="1"/>
  <c r="W70"/>
  <c r="W85" s="1"/>
  <c r="X70"/>
  <c r="X85" s="1"/>
  <c r="Y70"/>
  <c r="Y85" s="1"/>
  <c r="Z70"/>
  <c r="Z85" s="1"/>
  <c r="AA70"/>
  <c r="AA85" s="1"/>
  <c r="AB70"/>
  <c r="AB85" s="1"/>
  <c r="AC70"/>
  <c r="AC85" s="1"/>
  <c r="AD70"/>
  <c r="AD85" s="1"/>
  <c r="AE70"/>
  <c r="AE85" s="1"/>
  <c r="AF70"/>
  <c r="AF85" s="1"/>
  <c r="AG70"/>
  <c r="AG85" s="1"/>
  <c r="AH70"/>
  <c r="AH85" s="1"/>
  <c r="AI70"/>
  <c r="AI85" s="1"/>
  <c r="AJ70"/>
  <c r="AJ85" s="1"/>
  <c r="AK70"/>
  <c r="AK85" s="1"/>
  <c r="AL70"/>
  <c r="AL85" s="1"/>
  <c r="AM70"/>
  <c r="AM85" s="1"/>
  <c r="AN70"/>
  <c r="AN85" s="1"/>
  <c r="AO70"/>
  <c r="AO85" s="1"/>
  <c r="AP70"/>
  <c r="AP85" s="1"/>
  <c r="AQ70"/>
  <c r="AQ85" s="1"/>
  <c r="AR70"/>
  <c r="AR85" s="1"/>
  <c r="AS70"/>
  <c r="AS85" s="1"/>
  <c r="AT70"/>
  <c r="AT85" s="1"/>
  <c r="AU70"/>
  <c r="AU85" s="1"/>
  <c r="AV70"/>
  <c r="AV85" s="1"/>
  <c r="AW70"/>
  <c r="AW85" s="1"/>
  <c r="AX70"/>
  <c r="AX85" s="1"/>
  <c r="AY70"/>
  <c r="AY85" s="1"/>
  <c r="AZ70"/>
  <c r="AZ85" s="1"/>
  <c r="BA70"/>
  <c r="BA85" s="1"/>
  <c r="BB70"/>
  <c r="BB85" s="1"/>
  <c r="BC70"/>
  <c r="BC85" s="1"/>
  <c r="BD70"/>
  <c r="BD85" s="1"/>
  <c r="BE70"/>
  <c r="BE85" s="1"/>
  <c r="BF70"/>
  <c r="BF85" s="1"/>
  <c r="BG70"/>
  <c r="BG85" s="1"/>
  <c r="BH70"/>
  <c r="BH85" s="1"/>
  <c r="BI70"/>
  <c r="BI85" s="1"/>
  <c r="BJ70"/>
  <c r="BJ85" s="1"/>
  <c r="BK70"/>
  <c r="BK85" s="1"/>
  <c r="BL70"/>
  <c r="BL85" s="1"/>
  <c r="BM70"/>
  <c r="BM85" s="1"/>
  <c r="BN70"/>
  <c r="BN85" s="1"/>
  <c r="BO70"/>
  <c r="BO85" s="1"/>
  <c r="BP70"/>
  <c r="BP85" s="1"/>
  <c r="BQ70"/>
  <c r="BQ85" s="1"/>
  <c r="BR70"/>
  <c r="BR85" s="1"/>
  <c r="BS70"/>
  <c r="BS85" s="1"/>
  <c r="BT70"/>
  <c r="BT85" s="1"/>
  <c r="BU70"/>
  <c r="BU85" s="1"/>
  <c r="BV70"/>
  <c r="BV85" s="1"/>
  <c r="BW70"/>
  <c r="BW85" s="1"/>
  <c r="BX70"/>
  <c r="BX85" s="1"/>
  <c r="BY70"/>
  <c r="BY85" s="1"/>
  <c r="BZ70"/>
  <c r="BZ85" s="1"/>
  <c r="CA70"/>
  <c r="CA85" s="1"/>
  <c r="CB70"/>
  <c r="CB85" s="1"/>
  <c r="CC70"/>
  <c r="CC85" s="1"/>
  <c r="CD70"/>
  <c r="CD85" s="1"/>
  <c r="CE70"/>
  <c r="CE85" s="1"/>
  <c r="CF70"/>
  <c r="CF85" s="1"/>
  <c r="CG70"/>
  <c r="CG85" s="1"/>
  <c r="CH70"/>
  <c r="CH85" s="1"/>
  <c r="CI70"/>
  <c r="CI85" s="1"/>
  <c r="CJ70"/>
  <c r="CJ85" s="1"/>
  <c r="CK70"/>
  <c r="CK85" s="1"/>
  <c r="CL70"/>
  <c r="CL85" s="1"/>
  <c r="CM70"/>
  <c r="CM85" s="1"/>
  <c r="F65"/>
  <c r="F80" s="1"/>
  <c r="F66"/>
  <c r="F81" s="1"/>
  <c r="F67"/>
  <c r="F82" s="1"/>
  <c r="F68"/>
  <c r="F83" s="1"/>
  <c r="F69"/>
  <c r="F84" s="1"/>
  <c r="F70"/>
  <c r="F85" s="1"/>
  <c r="F64"/>
  <c r="F79" s="1"/>
  <c r="I49"/>
  <c r="J49" s="1"/>
  <c r="K49" s="1"/>
  <c r="H49"/>
  <c r="G49"/>
  <c r="F49"/>
  <c r="I48"/>
  <c r="J48" s="1"/>
  <c r="K48" s="1"/>
  <c r="H48"/>
  <c r="G48"/>
  <c r="F48"/>
  <c r="I47"/>
  <c r="J47" s="1"/>
  <c r="K47" s="1"/>
  <c r="H47"/>
  <c r="G47"/>
  <c r="F47"/>
  <c r="I46"/>
  <c r="J46" s="1"/>
  <c r="K46" s="1"/>
  <c r="H46"/>
  <c r="G46"/>
  <c r="F46"/>
  <c r="I45"/>
  <c r="J45" s="1"/>
  <c r="K45" s="1"/>
  <c r="H45"/>
  <c r="G45"/>
  <c r="F45"/>
  <c r="I44"/>
  <c r="J44" s="1"/>
  <c r="K44" s="1"/>
  <c r="H44"/>
  <c r="G44"/>
  <c r="F44"/>
  <c r="I43"/>
  <c r="J43" s="1"/>
  <c r="K43" s="1"/>
  <c r="H43"/>
  <c r="G43"/>
  <c r="F43"/>
  <c r="O13"/>
  <c r="N15" s="1"/>
  <c r="G13"/>
  <c r="H11"/>
  <c r="E40" i="44"/>
  <c r="E40" i="30"/>
  <c r="F27" i="43"/>
  <c r="D40" i="44" s="1"/>
  <c r="H27" i="43"/>
  <c r="I27" s="1"/>
  <c r="I64"/>
  <c r="G14"/>
  <c r="G19"/>
  <c r="G23" s="1"/>
  <c r="J27" i="45"/>
  <c r="K27"/>
  <c r="L27"/>
  <c r="J28"/>
  <c r="K28"/>
  <c r="L28"/>
  <c r="J29"/>
  <c r="K29"/>
  <c r="L29"/>
  <c r="J30"/>
  <c r="K30"/>
  <c r="L30"/>
  <c r="J31"/>
  <c r="K31"/>
  <c r="L31"/>
  <c r="J32"/>
  <c r="K32"/>
  <c r="L32"/>
  <c r="D7" i="19"/>
  <c r="E7"/>
  <c r="F7"/>
  <c r="G7"/>
  <c r="D9"/>
  <c r="E9"/>
  <c r="F9"/>
  <c r="G9"/>
  <c r="D10"/>
  <c r="E10"/>
  <c r="F10"/>
  <c r="G10"/>
  <c r="D11"/>
  <c r="G5" i="39"/>
  <c r="K5"/>
  <c r="E8"/>
  <c r="I8"/>
  <c r="E9"/>
  <c r="I9"/>
  <c r="E10"/>
  <c r="G10"/>
  <c r="I10"/>
  <c r="K10"/>
  <c r="E11"/>
  <c r="G11"/>
  <c r="I11"/>
  <c r="K11"/>
  <c r="E12"/>
  <c r="G12"/>
  <c r="I12"/>
  <c r="K12"/>
  <c r="E13"/>
  <c r="G13"/>
  <c r="I13"/>
  <c r="K13"/>
  <c r="E14"/>
  <c r="G14"/>
  <c r="I14"/>
  <c r="K14"/>
  <c r="E15"/>
  <c r="G15"/>
  <c r="I15"/>
  <c r="K15"/>
  <c r="E16"/>
  <c r="G16"/>
  <c r="I16"/>
  <c r="K16"/>
  <c r="A9" i="42"/>
  <c r="A10"/>
  <c r="A145"/>
  <c r="A11"/>
  <c r="A12"/>
  <c r="A13"/>
  <c r="A14"/>
  <c r="A115" s="1"/>
  <c r="A15"/>
  <c r="A16"/>
  <c r="A17"/>
  <c r="A18"/>
  <c r="A153" s="1"/>
  <c r="A19"/>
  <c r="A20"/>
  <c r="A21"/>
  <c r="A22"/>
  <c r="A123" s="1"/>
  <c r="A23"/>
  <c r="A24"/>
  <c r="A25"/>
  <c r="A26"/>
  <c r="A27"/>
  <c r="A28"/>
  <c r="A38"/>
  <c r="A39"/>
  <c r="A40"/>
  <c r="A41"/>
  <c r="A42"/>
  <c r="A43"/>
  <c r="A44"/>
  <c r="A45"/>
  <c r="A46"/>
  <c r="A47"/>
  <c r="A48"/>
  <c r="A49"/>
  <c r="A50"/>
  <c r="A51"/>
  <c r="A52"/>
  <c r="A53"/>
  <c r="A54"/>
  <c r="A55"/>
  <c r="A56"/>
  <c r="A57"/>
  <c r="G62"/>
  <c r="BZ62"/>
  <c r="G63"/>
  <c r="A111"/>
  <c r="B144"/>
  <c r="C144"/>
  <c r="D144"/>
  <c r="E144"/>
  <c r="F144"/>
  <c r="G144"/>
  <c r="H144"/>
  <c r="I144"/>
  <c r="J144"/>
  <c r="K144"/>
  <c r="L144"/>
  <c r="M144"/>
  <c r="N144"/>
  <c r="O144"/>
  <c r="P144"/>
  <c r="Q144"/>
  <c r="R144"/>
  <c r="S144"/>
  <c r="T144"/>
  <c r="U144"/>
  <c r="V144"/>
  <c r="W144"/>
  <c r="X144"/>
  <c r="Y144"/>
  <c r="Z144"/>
  <c r="AA144"/>
  <c r="AP144"/>
  <c r="AQ144"/>
  <c r="AR144"/>
  <c r="AS144"/>
  <c r="AT144"/>
  <c r="AU144"/>
  <c r="AV144"/>
  <c r="AW144"/>
  <c r="AX144"/>
  <c r="AY144"/>
  <c r="AZ144"/>
  <c r="BA144"/>
  <c r="BB144"/>
  <c r="BC144"/>
  <c r="BD144"/>
  <c r="BE144"/>
  <c r="BF144"/>
  <c r="BG144"/>
  <c r="BH144"/>
  <c r="BI144"/>
  <c r="BJ144"/>
  <c r="BK144"/>
  <c r="BL144"/>
  <c r="BM144"/>
  <c r="BN144"/>
  <c r="BO144"/>
  <c r="B145"/>
  <c r="C145"/>
  <c r="D145"/>
  <c r="E145"/>
  <c r="F145"/>
  <c r="G145"/>
  <c r="H145"/>
  <c r="I145"/>
  <c r="J145"/>
  <c r="K145"/>
  <c r="L145"/>
  <c r="M145"/>
  <c r="N145"/>
  <c r="O145"/>
  <c r="P145"/>
  <c r="Q145"/>
  <c r="R145"/>
  <c r="S145"/>
  <c r="T145"/>
  <c r="U145"/>
  <c r="V145"/>
  <c r="W145"/>
  <c r="X145"/>
  <c r="Y145"/>
  <c r="Z145"/>
  <c r="AA145"/>
  <c r="AP145"/>
  <c r="AQ145"/>
  <c r="AR145"/>
  <c r="AS145"/>
  <c r="AT145"/>
  <c r="AU145"/>
  <c r="AV145"/>
  <c r="AW145"/>
  <c r="AX145"/>
  <c r="AY145"/>
  <c r="AZ145"/>
  <c r="BA145"/>
  <c r="BB145"/>
  <c r="BC145"/>
  <c r="BD145"/>
  <c r="BE145"/>
  <c r="BF145"/>
  <c r="BG145"/>
  <c r="BH145"/>
  <c r="BI145"/>
  <c r="BJ145"/>
  <c r="BK145"/>
  <c r="BL145"/>
  <c r="BM145"/>
  <c r="BN145"/>
  <c r="BO145"/>
  <c r="A157"/>
  <c r="J172"/>
  <c r="J173"/>
  <c r="CC173"/>
  <c r="CC174" s="1"/>
  <c r="A176"/>
  <c r="A177"/>
  <c r="A178"/>
  <c r="A179"/>
  <c r="A181"/>
  <c r="A185"/>
  <c r="A186"/>
  <c r="A187"/>
  <c r="A188"/>
  <c r="A190"/>
  <c r="CC222"/>
  <c r="CC257"/>
  <c r="F288"/>
  <c r="L288"/>
  <c r="F289"/>
  <c r="L289"/>
  <c r="CI289"/>
  <c r="A291"/>
  <c r="A292"/>
  <c r="A293"/>
  <c r="A294"/>
  <c r="A295"/>
  <c r="A298"/>
  <c r="A299"/>
  <c r="A300"/>
  <c r="A301"/>
  <c r="A302"/>
  <c r="I7" i="44"/>
  <c r="J7"/>
  <c r="K7"/>
  <c r="L7"/>
  <c r="M7"/>
  <c r="N7"/>
  <c r="O7"/>
  <c r="P7"/>
  <c r="Q7"/>
  <c r="R7"/>
  <c r="S7"/>
  <c r="T7"/>
  <c r="U7"/>
  <c r="V7"/>
  <c r="W7"/>
  <c r="X7"/>
  <c r="Y7"/>
  <c r="Z7"/>
  <c r="AA7"/>
  <c r="AB7"/>
  <c r="AC7"/>
  <c r="AD7"/>
  <c r="AE7"/>
  <c r="AF7"/>
  <c r="AG7"/>
  <c r="AH7"/>
  <c r="AI7"/>
  <c r="AJ7"/>
  <c r="AK7"/>
  <c r="AL7"/>
  <c r="AM7"/>
  <c r="AN7"/>
  <c r="AO7"/>
  <c r="AP7"/>
  <c r="AQ7"/>
  <c r="AR7"/>
  <c r="AS7"/>
  <c r="AT7"/>
  <c r="AU7"/>
  <c r="AV7"/>
  <c r="AW7"/>
  <c r="C8"/>
  <c r="C9"/>
  <c r="C951" s="1"/>
  <c r="C10"/>
  <c r="C11"/>
  <c r="C953" s="1"/>
  <c r="C12"/>
  <c r="C13"/>
  <c r="C955" s="1"/>
  <c r="G13"/>
  <c r="AS14" i="42" s="1"/>
  <c r="H13" i="44"/>
  <c r="AT14" i="42" s="1"/>
  <c r="C14" i="44"/>
  <c r="G14"/>
  <c r="H14"/>
  <c r="AT15" i="42" s="1"/>
  <c r="C15" i="44"/>
  <c r="C957" s="1"/>
  <c r="D15"/>
  <c r="E15"/>
  <c r="AQ16" i="42" s="1"/>
  <c r="F15" i="44"/>
  <c r="G15"/>
  <c r="AS16" i="42" s="1"/>
  <c r="H15" i="44"/>
  <c r="C16"/>
  <c r="C958" s="1"/>
  <c r="D16"/>
  <c r="E16"/>
  <c r="F16"/>
  <c r="AR17" i="42" s="1"/>
  <c r="G16" i="44"/>
  <c r="H16"/>
  <c r="C17"/>
  <c r="D17"/>
  <c r="AP18" i="42"/>
  <c r="E17" i="44"/>
  <c r="AQ18" i="42"/>
  <c r="F17" i="44"/>
  <c r="AR18" i="42"/>
  <c r="G17" i="44"/>
  <c r="AS18" i="42"/>
  <c r="H17" i="44"/>
  <c r="AT18" i="42"/>
  <c r="C18" i="44"/>
  <c r="C960" s="1"/>
  <c r="D18"/>
  <c r="E18"/>
  <c r="F18"/>
  <c r="F400" s="1"/>
  <c r="G18"/>
  <c r="G400" s="1"/>
  <c r="H18"/>
  <c r="AT19" i="42" s="1"/>
  <c r="C19" i="44"/>
  <c r="C961" s="1"/>
  <c r="D19"/>
  <c r="AP20" i="42" s="1"/>
  <c r="E19" i="44"/>
  <c r="F19"/>
  <c r="AR20" i="42" s="1"/>
  <c r="G19" i="44"/>
  <c r="H19"/>
  <c r="AT20" i="42" s="1"/>
  <c r="C20" i="44"/>
  <c r="D20"/>
  <c r="E20"/>
  <c r="E402" s="1"/>
  <c r="F20"/>
  <c r="G20"/>
  <c r="H20"/>
  <c r="C21"/>
  <c r="C963" s="1"/>
  <c r="D21"/>
  <c r="E21"/>
  <c r="AQ22" i="42" s="1"/>
  <c r="F21" i="44"/>
  <c r="G21"/>
  <c r="AS22" i="42" s="1"/>
  <c r="H21" i="44"/>
  <c r="C22"/>
  <c r="C964" s="1"/>
  <c r="D22"/>
  <c r="E22"/>
  <c r="F22"/>
  <c r="G22"/>
  <c r="G404" s="1"/>
  <c r="H22"/>
  <c r="C23"/>
  <c r="C965" s="1"/>
  <c r="D23"/>
  <c r="AP24" i="42" s="1"/>
  <c r="E23" i="44"/>
  <c r="F23"/>
  <c r="AR24" i="42" s="1"/>
  <c r="G23" i="44"/>
  <c r="H23"/>
  <c r="AT24" i="42" s="1"/>
  <c r="C24" i="44"/>
  <c r="D24"/>
  <c r="E24"/>
  <c r="F24"/>
  <c r="G24"/>
  <c r="H24"/>
  <c r="C25"/>
  <c r="C967" s="1"/>
  <c r="D25"/>
  <c r="AP26" i="42" s="1"/>
  <c r="E25" i="44"/>
  <c r="AQ26" i="42" s="1"/>
  <c r="F25" i="44"/>
  <c r="G25"/>
  <c r="AS26" i="42" s="1"/>
  <c r="H25" i="44"/>
  <c r="AT26" i="42" s="1"/>
  <c r="C26" i="44"/>
  <c r="C968" s="1"/>
  <c r="D26"/>
  <c r="E26"/>
  <c r="AQ27" i="42" s="1"/>
  <c r="F26" i="44"/>
  <c r="G26"/>
  <c r="H26"/>
  <c r="C27"/>
  <c r="C969" s="1"/>
  <c r="D27"/>
  <c r="AP28" i="42" s="1"/>
  <c r="E27" i="44"/>
  <c r="AQ28" i="42" s="1"/>
  <c r="F27" i="44"/>
  <c r="AR28" i="42" s="1"/>
  <c r="G27" i="44"/>
  <c r="AS28" i="42" s="1"/>
  <c r="H27" i="44"/>
  <c r="AT28" i="42" s="1"/>
  <c r="D38" i="44"/>
  <c r="E38"/>
  <c r="I49"/>
  <c r="J49"/>
  <c r="K49"/>
  <c r="L49"/>
  <c r="M49"/>
  <c r="N49"/>
  <c r="O49"/>
  <c r="P49"/>
  <c r="Q49"/>
  <c r="R49"/>
  <c r="S49"/>
  <c r="T49"/>
  <c r="U49"/>
  <c r="V49"/>
  <c r="W49"/>
  <c r="X49"/>
  <c r="Y49"/>
  <c r="Z49"/>
  <c r="AA49"/>
  <c r="AB49"/>
  <c r="AC49"/>
  <c r="C50"/>
  <c r="I50"/>
  <c r="J50"/>
  <c r="K50"/>
  <c r="L50"/>
  <c r="M50"/>
  <c r="N50"/>
  <c r="O50"/>
  <c r="P50"/>
  <c r="Q50"/>
  <c r="R50"/>
  <c r="S50"/>
  <c r="T50"/>
  <c r="U50"/>
  <c r="V50"/>
  <c r="W50"/>
  <c r="X50"/>
  <c r="Y50"/>
  <c r="Z50"/>
  <c r="AA50"/>
  <c r="AB50"/>
  <c r="AC50"/>
  <c r="I51"/>
  <c r="J51"/>
  <c r="K51"/>
  <c r="L51"/>
  <c r="M51"/>
  <c r="N51"/>
  <c r="O51"/>
  <c r="P51"/>
  <c r="Q51"/>
  <c r="R51"/>
  <c r="S51"/>
  <c r="T51"/>
  <c r="U51"/>
  <c r="V51"/>
  <c r="W51"/>
  <c r="X51"/>
  <c r="Y51"/>
  <c r="Z51"/>
  <c r="AA51"/>
  <c r="AB51"/>
  <c r="AC51"/>
  <c r="I52"/>
  <c r="J52"/>
  <c r="K52"/>
  <c r="L52"/>
  <c r="M52"/>
  <c r="N52"/>
  <c r="O52"/>
  <c r="P52"/>
  <c r="Q52"/>
  <c r="R52"/>
  <c r="S52"/>
  <c r="T52"/>
  <c r="U52"/>
  <c r="V52"/>
  <c r="W52"/>
  <c r="X52"/>
  <c r="Y52"/>
  <c r="Z52"/>
  <c r="AA52"/>
  <c r="AB52"/>
  <c r="AC52"/>
  <c r="I53"/>
  <c r="J53"/>
  <c r="K53"/>
  <c r="L53"/>
  <c r="M53"/>
  <c r="N53"/>
  <c r="O53"/>
  <c r="P53"/>
  <c r="Q53"/>
  <c r="R53"/>
  <c r="S53"/>
  <c r="T53"/>
  <c r="U53"/>
  <c r="V53"/>
  <c r="W53"/>
  <c r="X53"/>
  <c r="Y53"/>
  <c r="Z53"/>
  <c r="AA53"/>
  <c r="AB53"/>
  <c r="AC53"/>
  <c r="C54"/>
  <c r="I54"/>
  <c r="J54"/>
  <c r="K54"/>
  <c r="L54"/>
  <c r="M54"/>
  <c r="N54"/>
  <c r="O54"/>
  <c r="P54"/>
  <c r="Q54"/>
  <c r="R54"/>
  <c r="S54"/>
  <c r="T54"/>
  <c r="U54"/>
  <c r="V54"/>
  <c r="W54"/>
  <c r="X54"/>
  <c r="Y54"/>
  <c r="Z54"/>
  <c r="AA54"/>
  <c r="AB54"/>
  <c r="AC54"/>
  <c r="I55"/>
  <c r="J55"/>
  <c r="K55"/>
  <c r="L55"/>
  <c r="M55"/>
  <c r="N55"/>
  <c r="O55"/>
  <c r="P55"/>
  <c r="Q55"/>
  <c r="R55"/>
  <c r="S55"/>
  <c r="T55"/>
  <c r="U55"/>
  <c r="V55"/>
  <c r="W55"/>
  <c r="X55"/>
  <c r="Y55"/>
  <c r="Z55"/>
  <c r="AA55"/>
  <c r="AB55"/>
  <c r="AC55"/>
  <c r="I56"/>
  <c r="J56"/>
  <c r="K56"/>
  <c r="L56"/>
  <c r="M56"/>
  <c r="N56"/>
  <c r="O56"/>
  <c r="P56"/>
  <c r="Q56"/>
  <c r="R56"/>
  <c r="S56"/>
  <c r="T56"/>
  <c r="U56"/>
  <c r="V56"/>
  <c r="W56"/>
  <c r="X56"/>
  <c r="Y56"/>
  <c r="Z56"/>
  <c r="AA56"/>
  <c r="AB56"/>
  <c r="AC56"/>
  <c r="I57"/>
  <c r="J57"/>
  <c r="K57"/>
  <c r="L57"/>
  <c r="M57"/>
  <c r="N57"/>
  <c r="O57"/>
  <c r="P57"/>
  <c r="Q57"/>
  <c r="R57"/>
  <c r="S57"/>
  <c r="T57"/>
  <c r="U57"/>
  <c r="V57"/>
  <c r="W57"/>
  <c r="X57"/>
  <c r="Y57"/>
  <c r="Z57"/>
  <c r="AA57"/>
  <c r="AB57"/>
  <c r="AC57"/>
  <c r="I58"/>
  <c r="J58"/>
  <c r="K58"/>
  <c r="L58"/>
  <c r="M58"/>
  <c r="N58"/>
  <c r="O58"/>
  <c r="P58"/>
  <c r="Q58"/>
  <c r="R58"/>
  <c r="S58"/>
  <c r="T58"/>
  <c r="U58"/>
  <c r="V58"/>
  <c r="W58"/>
  <c r="X58"/>
  <c r="Y58"/>
  <c r="Z58"/>
  <c r="AA58"/>
  <c r="AB58"/>
  <c r="AC58"/>
  <c r="I59"/>
  <c r="J59"/>
  <c r="K59"/>
  <c r="L59"/>
  <c r="M59"/>
  <c r="N59"/>
  <c r="O59"/>
  <c r="P59"/>
  <c r="Q59"/>
  <c r="R59"/>
  <c r="S59"/>
  <c r="T59"/>
  <c r="U59"/>
  <c r="V59"/>
  <c r="W59"/>
  <c r="X59"/>
  <c r="Y59"/>
  <c r="Z59"/>
  <c r="AA59"/>
  <c r="AB59"/>
  <c r="AC59"/>
  <c r="I60"/>
  <c r="J60"/>
  <c r="K60"/>
  <c r="L60"/>
  <c r="M60"/>
  <c r="N60"/>
  <c r="O60"/>
  <c r="P60"/>
  <c r="Q60"/>
  <c r="R60"/>
  <c r="S60"/>
  <c r="T60"/>
  <c r="U60"/>
  <c r="V60"/>
  <c r="W60"/>
  <c r="X60"/>
  <c r="Y60"/>
  <c r="Z60"/>
  <c r="AA60"/>
  <c r="AB60"/>
  <c r="AC60"/>
  <c r="I61"/>
  <c r="J61"/>
  <c r="K61"/>
  <c r="L61"/>
  <c r="M61"/>
  <c r="N61"/>
  <c r="O61"/>
  <c r="P61"/>
  <c r="Q61"/>
  <c r="R61"/>
  <c r="S61"/>
  <c r="T61"/>
  <c r="U61"/>
  <c r="V61"/>
  <c r="W61"/>
  <c r="X61"/>
  <c r="Y61"/>
  <c r="Z61"/>
  <c r="AA61"/>
  <c r="AB61"/>
  <c r="AC61"/>
  <c r="C62"/>
  <c r="I62"/>
  <c r="J62"/>
  <c r="K62"/>
  <c r="L62"/>
  <c r="M62"/>
  <c r="N62"/>
  <c r="O62"/>
  <c r="P62"/>
  <c r="Q62"/>
  <c r="R62"/>
  <c r="S62"/>
  <c r="T62"/>
  <c r="U62"/>
  <c r="V62"/>
  <c r="W62"/>
  <c r="X62"/>
  <c r="Y62"/>
  <c r="Z62"/>
  <c r="AA62"/>
  <c r="AB62"/>
  <c r="AC62"/>
  <c r="I63"/>
  <c r="J63"/>
  <c r="K63"/>
  <c r="L63"/>
  <c r="M63"/>
  <c r="N63"/>
  <c r="O63"/>
  <c r="P63"/>
  <c r="Q63"/>
  <c r="R63"/>
  <c r="S63"/>
  <c r="T63"/>
  <c r="U63"/>
  <c r="V63"/>
  <c r="W63"/>
  <c r="X63"/>
  <c r="Y63"/>
  <c r="Z63"/>
  <c r="AA63"/>
  <c r="AB63"/>
  <c r="AC63"/>
  <c r="I64"/>
  <c r="J64"/>
  <c r="K64"/>
  <c r="L64"/>
  <c r="M64"/>
  <c r="N64"/>
  <c r="O64"/>
  <c r="P64"/>
  <c r="Q64"/>
  <c r="R64"/>
  <c r="S64"/>
  <c r="T64"/>
  <c r="U64"/>
  <c r="V64"/>
  <c r="W64"/>
  <c r="X64"/>
  <c r="Y64"/>
  <c r="Z64"/>
  <c r="AA64"/>
  <c r="AB64"/>
  <c r="AC64"/>
  <c r="I65"/>
  <c r="J65"/>
  <c r="K65"/>
  <c r="L65"/>
  <c r="M65"/>
  <c r="N65"/>
  <c r="O65"/>
  <c r="P65"/>
  <c r="Q65"/>
  <c r="R65"/>
  <c r="S65"/>
  <c r="T65"/>
  <c r="U65"/>
  <c r="V65"/>
  <c r="W65"/>
  <c r="X65"/>
  <c r="Y65"/>
  <c r="Z65"/>
  <c r="AA65"/>
  <c r="AB65"/>
  <c r="AC65"/>
  <c r="I66"/>
  <c r="J66"/>
  <c r="K66"/>
  <c r="L66"/>
  <c r="M66"/>
  <c r="N66"/>
  <c r="O66"/>
  <c r="P66"/>
  <c r="Q66"/>
  <c r="R66"/>
  <c r="S66"/>
  <c r="T66"/>
  <c r="U66"/>
  <c r="V66"/>
  <c r="W66"/>
  <c r="X66"/>
  <c r="Y66"/>
  <c r="Z66"/>
  <c r="AA66"/>
  <c r="AB66"/>
  <c r="AC66"/>
  <c r="I67"/>
  <c r="J67"/>
  <c r="K67"/>
  <c r="L67"/>
  <c r="M67"/>
  <c r="N67"/>
  <c r="O67"/>
  <c r="P67"/>
  <c r="Q67"/>
  <c r="R67"/>
  <c r="S67"/>
  <c r="T67"/>
  <c r="U67"/>
  <c r="V67"/>
  <c r="W67"/>
  <c r="X67"/>
  <c r="Y67"/>
  <c r="Z67"/>
  <c r="AA67"/>
  <c r="AB67"/>
  <c r="AC67"/>
  <c r="I68"/>
  <c r="J68"/>
  <c r="K68"/>
  <c r="L68"/>
  <c r="M68"/>
  <c r="N68"/>
  <c r="O68"/>
  <c r="P68"/>
  <c r="Q68"/>
  <c r="R68"/>
  <c r="S68"/>
  <c r="T68"/>
  <c r="U68"/>
  <c r="V68"/>
  <c r="W68"/>
  <c r="X68"/>
  <c r="Y68"/>
  <c r="Z68"/>
  <c r="AA68"/>
  <c r="AB68"/>
  <c r="AC68"/>
  <c r="I69"/>
  <c r="J69"/>
  <c r="K69"/>
  <c r="L69"/>
  <c r="M69"/>
  <c r="N69"/>
  <c r="O69"/>
  <c r="P69"/>
  <c r="Q69"/>
  <c r="R69"/>
  <c r="S69"/>
  <c r="T69"/>
  <c r="U69"/>
  <c r="V69"/>
  <c r="W69"/>
  <c r="X69"/>
  <c r="Y69"/>
  <c r="Z69"/>
  <c r="AA69"/>
  <c r="AB69"/>
  <c r="AC69"/>
  <c r="C72"/>
  <c r="C76"/>
  <c r="C84"/>
  <c r="C122"/>
  <c r="C124"/>
  <c r="C127"/>
  <c r="D141"/>
  <c r="E141"/>
  <c r="F141"/>
  <c r="G141"/>
  <c r="H141"/>
  <c r="C144"/>
  <c r="C148"/>
  <c r="C156"/>
  <c r="C164"/>
  <c r="B173"/>
  <c r="C173"/>
  <c r="B174"/>
  <c r="C174"/>
  <c r="B175"/>
  <c r="C175"/>
  <c r="B176"/>
  <c r="C176"/>
  <c r="B177"/>
  <c r="C177"/>
  <c r="B178"/>
  <c r="C178"/>
  <c r="B179"/>
  <c r="C179"/>
  <c r="B180"/>
  <c r="C180"/>
  <c r="B181"/>
  <c r="C181"/>
  <c r="B182"/>
  <c r="C182"/>
  <c r="E182"/>
  <c r="B183"/>
  <c r="C183"/>
  <c r="B184"/>
  <c r="C184"/>
  <c r="B185"/>
  <c r="C185"/>
  <c r="B186"/>
  <c r="C186"/>
  <c r="B187"/>
  <c r="C187"/>
  <c r="B188"/>
  <c r="C188"/>
  <c r="B189"/>
  <c r="C189"/>
  <c r="B190"/>
  <c r="C190"/>
  <c r="B191"/>
  <c r="C191"/>
  <c r="B192"/>
  <c r="C192"/>
  <c r="B195"/>
  <c r="C195"/>
  <c r="B196"/>
  <c r="C196"/>
  <c r="B197"/>
  <c r="C197"/>
  <c r="B198"/>
  <c r="C198"/>
  <c r="B199"/>
  <c r="C199"/>
  <c r="B200"/>
  <c r="C200"/>
  <c r="B201"/>
  <c r="C201"/>
  <c r="B202"/>
  <c r="C202"/>
  <c r="B203"/>
  <c r="C203"/>
  <c r="B204"/>
  <c r="C204"/>
  <c r="B205"/>
  <c r="C205"/>
  <c r="B206"/>
  <c r="C206"/>
  <c r="B207"/>
  <c r="C207"/>
  <c r="B208"/>
  <c r="C208"/>
  <c r="B209"/>
  <c r="C209"/>
  <c r="B210"/>
  <c r="C210"/>
  <c r="B211"/>
  <c r="C211"/>
  <c r="B212"/>
  <c r="C212"/>
  <c r="B213"/>
  <c r="C213"/>
  <c r="B214"/>
  <c r="C214"/>
  <c r="E268"/>
  <c r="E269"/>
  <c r="C369"/>
  <c r="C373"/>
  <c r="C377"/>
  <c r="C379"/>
  <c r="C382"/>
  <c r="C390"/>
  <c r="C394"/>
  <c r="C397"/>
  <c r="E397"/>
  <c r="G397"/>
  <c r="C398"/>
  <c r="E399"/>
  <c r="G399"/>
  <c r="E400"/>
  <c r="D401"/>
  <c r="F401"/>
  <c r="H401"/>
  <c r="G402"/>
  <c r="E403"/>
  <c r="G403"/>
  <c r="E404"/>
  <c r="C405"/>
  <c r="D405"/>
  <c r="F405"/>
  <c r="H405"/>
  <c r="D407"/>
  <c r="H407"/>
  <c r="J427"/>
  <c r="C432" s="1"/>
  <c r="AO68" i="42" s="1"/>
  <c r="J428" i="44"/>
  <c r="C433" s="1"/>
  <c r="AO69" i="42" s="1"/>
  <c r="J438" i="44"/>
  <c r="C441" s="1"/>
  <c r="BW69" i="42" s="1"/>
  <c r="C449" i="44"/>
  <c r="C453"/>
  <c r="C459"/>
  <c r="C462"/>
  <c r="C470"/>
  <c r="C474"/>
  <c r="C479"/>
  <c r="C486"/>
  <c r="C495"/>
  <c r="C499"/>
  <c r="C516"/>
  <c r="C520"/>
  <c r="C523"/>
  <c r="C534"/>
  <c r="C541"/>
  <c r="C545"/>
  <c r="C549"/>
  <c r="C551"/>
  <c r="C554"/>
  <c r="C561"/>
  <c r="C565"/>
  <c r="C568"/>
  <c r="C579"/>
  <c r="C587"/>
  <c r="C591"/>
  <c r="C595"/>
  <c r="C597"/>
  <c r="C600"/>
  <c r="C610"/>
  <c r="C614"/>
  <c r="C617"/>
  <c r="C628"/>
  <c r="C636"/>
  <c r="C640"/>
  <c r="C644"/>
  <c r="C646"/>
  <c r="C649"/>
  <c r="H656"/>
  <c r="H657"/>
  <c r="H676"/>
  <c r="C693"/>
  <c r="C697"/>
  <c r="C709"/>
  <c r="C716"/>
  <c r="C720"/>
  <c r="C732"/>
  <c r="C739"/>
  <c r="C743"/>
  <c r="C755"/>
  <c r="C762"/>
  <c r="C766"/>
  <c r="C778"/>
  <c r="C785"/>
  <c r="C789"/>
  <c r="C801"/>
  <c r="C808"/>
  <c r="C812"/>
  <c r="C824"/>
  <c r="C831"/>
  <c r="C835"/>
  <c r="C847"/>
  <c r="C854"/>
  <c r="C858"/>
  <c r="C870"/>
  <c r="C877"/>
  <c r="C881"/>
  <c r="C893"/>
  <c r="D895"/>
  <c r="E895"/>
  <c r="F895"/>
  <c r="G895"/>
  <c r="H895"/>
  <c r="I895"/>
  <c r="J895"/>
  <c r="K895"/>
  <c r="L895"/>
  <c r="M895"/>
  <c r="N895"/>
  <c r="O895"/>
  <c r="P895"/>
  <c r="Q895"/>
  <c r="R895"/>
  <c r="S895"/>
  <c r="T895"/>
  <c r="U895"/>
  <c r="V895"/>
  <c r="W895"/>
  <c r="X895"/>
  <c r="Y895"/>
  <c r="Z895"/>
  <c r="AA895"/>
  <c r="AB895"/>
  <c r="AC895"/>
  <c r="C900"/>
  <c r="C904"/>
  <c r="C916"/>
  <c r="D918"/>
  <c r="E918"/>
  <c r="F918"/>
  <c r="G918"/>
  <c r="H918"/>
  <c r="I918"/>
  <c r="J918"/>
  <c r="K918"/>
  <c r="L918"/>
  <c r="M918"/>
  <c r="N918"/>
  <c r="O918"/>
  <c r="P918"/>
  <c r="Q918"/>
  <c r="R918"/>
  <c r="S918"/>
  <c r="T918"/>
  <c r="U918"/>
  <c r="V918"/>
  <c r="W918"/>
  <c r="X918"/>
  <c r="Y918"/>
  <c r="Z918"/>
  <c r="AA918"/>
  <c r="AB918"/>
  <c r="AC918"/>
  <c r="I921"/>
  <c r="I922"/>
  <c r="I936"/>
  <c r="I7" i="30"/>
  <c r="J7"/>
  <c r="C8"/>
  <c r="C9"/>
  <c r="C10"/>
  <c r="C11"/>
  <c r="C12"/>
  <c r="C13"/>
  <c r="G13"/>
  <c r="H13"/>
  <c r="C14"/>
  <c r="C697" s="1"/>
  <c r="G14"/>
  <c r="E15" i="42" s="1"/>
  <c r="H14" i="30"/>
  <c r="C15"/>
  <c r="C957" s="1"/>
  <c r="D15"/>
  <c r="E15"/>
  <c r="F15"/>
  <c r="D16" i="42" s="1"/>
  <c r="G15" i="30"/>
  <c r="H15"/>
  <c r="C16"/>
  <c r="C958" s="1"/>
  <c r="D16"/>
  <c r="E16"/>
  <c r="F16"/>
  <c r="F398" s="1"/>
  <c r="G16"/>
  <c r="G398" s="1"/>
  <c r="H16"/>
  <c r="C17"/>
  <c r="C959" s="1"/>
  <c r="D17"/>
  <c r="D399" s="1"/>
  <c r="E17"/>
  <c r="F17"/>
  <c r="F399" s="1"/>
  <c r="G17"/>
  <c r="G399"/>
  <c r="H17"/>
  <c r="C18"/>
  <c r="D18"/>
  <c r="E18"/>
  <c r="E400" s="1"/>
  <c r="F18"/>
  <c r="G18"/>
  <c r="G400" s="1"/>
  <c r="H18"/>
  <c r="H400" s="1"/>
  <c r="C19"/>
  <c r="C961" s="1"/>
  <c r="D19"/>
  <c r="E19"/>
  <c r="F19"/>
  <c r="G19"/>
  <c r="G401" s="1"/>
  <c r="H19"/>
  <c r="C20"/>
  <c r="C962" s="1"/>
  <c r="D20"/>
  <c r="E20"/>
  <c r="F20"/>
  <c r="G20"/>
  <c r="G402" s="1"/>
  <c r="H20"/>
  <c r="C21"/>
  <c r="D21"/>
  <c r="E21"/>
  <c r="E403" s="1"/>
  <c r="F21"/>
  <c r="G21"/>
  <c r="E22" i="42" s="1"/>
  <c r="H21" i="30"/>
  <c r="H403" s="1"/>
  <c r="C22"/>
  <c r="C964" s="1"/>
  <c r="D22"/>
  <c r="E22"/>
  <c r="E404" s="1"/>
  <c r="F22"/>
  <c r="F404" s="1"/>
  <c r="G22"/>
  <c r="G404" s="1"/>
  <c r="H22"/>
  <c r="C23"/>
  <c r="C965" s="1"/>
  <c r="D23"/>
  <c r="E23"/>
  <c r="F23"/>
  <c r="G23"/>
  <c r="E24" i="42" s="1"/>
  <c r="H23" i="30"/>
  <c r="C24"/>
  <c r="C966" s="1"/>
  <c r="D24"/>
  <c r="E24"/>
  <c r="F24"/>
  <c r="G24"/>
  <c r="G406" s="1"/>
  <c r="H24"/>
  <c r="C25"/>
  <c r="D25"/>
  <c r="E25"/>
  <c r="F25"/>
  <c r="D26" i="42" s="1"/>
  <c r="G25" i="30"/>
  <c r="H25"/>
  <c r="C26"/>
  <c r="D26"/>
  <c r="E26"/>
  <c r="F26"/>
  <c r="F408" s="1"/>
  <c r="G26"/>
  <c r="H26"/>
  <c r="C27"/>
  <c r="C969" s="1"/>
  <c r="D27"/>
  <c r="E27"/>
  <c r="F27"/>
  <c r="G27"/>
  <c r="E28" i="42" s="1"/>
  <c r="H27" i="30"/>
  <c r="D38"/>
  <c r="E38"/>
  <c r="I49"/>
  <c r="I50"/>
  <c r="J50"/>
  <c r="K50"/>
  <c r="L50"/>
  <c r="M50"/>
  <c r="N50"/>
  <c r="O50"/>
  <c r="P50"/>
  <c r="Q50"/>
  <c r="R50"/>
  <c r="S50"/>
  <c r="T50"/>
  <c r="U50"/>
  <c r="V50"/>
  <c r="W50"/>
  <c r="X50"/>
  <c r="Y50"/>
  <c r="Z50"/>
  <c r="AA50"/>
  <c r="AB50"/>
  <c r="AC50"/>
  <c r="I51"/>
  <c r="J51"/>
  <c r="K51"/>
  <c r="L51"/>
  <c r="M51"/>
  <c r="N51"/>
  <c r="O51"/>
  <c r="P51"/>
  <c r="Q51"/>
  <c r="R51"/>
  <c r="S51"/>
  <c r="T51"/>
  <c r="U51"/>
  <c r="V51"/>
  <c r="W51"/>
  <c r="X51"/>
  <c r="Y51"/>
  <c r="Z51"/>
  <c r="AA51"/>
  <c r="AB51"/>
  <c r="AC51"/>
  <c r="I52"/>
  <c r="J52"/>
  <c r="K52"/>
  <c r="L52"/>
  <c r="M52"/>
  <c r="N52"/>
  <c r="O52"/>
  <c r="P52"/>
  <c r="Q52"/>
  <c r="R52"/>
  <c r="S52"/>
  <c r="T52"/>
  <c r="U52"/>
  <c r="V52"/>
  <c r="W52"/>
  <c r="X52"/>
  <c r="Y52"/>
  <c r="Z52"/>
  <c r="AA52"/>
  <c r="AB52"/>
  <c r="AC52"/>
  <c r="I53"/>
  <c r="J53"/>
  <c r="K53"/>
  <c r="L53"/>
  <c r="M53"/>
  <c r="N53"/>
  <c r="O53"/>
  <c r="P53"/>
  <c r="Q53"/>
  <c r="R53"/>
  <c r="S53"/>
  <c r="T53"/>
  <c r="U53"/>
  <c r="V53"/>
  <c r="W53"/>
  <c r="X53"/>
  <c r="Y53"/>
  <c r="Z53"/>
  <c r="AA53"/>
  <c r="AB53"/>
  <c r="AC53"/>
  <c r="C54"/>
  <c r="I54"/>
  <c r="J54"/>
  <c r="K54"/>
  <c r="L54"/>
  <c r="M54"/>
  <c r="N54"/>
  <c r="O54"/>
  <c r="P54"/>
  <c r="Q54"/>
  <c r="R54"/>
  <c r="S54"/>
  <c r="T54"/>
  <c r="U54"/>
  <c r="V54"/>
  <c r="W54"/>
  <c r="X54"/>
  <c r="Y54"/>
  <c r="Z54"/>
  <c r="AA54"/>
  <c r="AB54"/>
  <c r="AC54"/>
  <c r="I55"/>
  <c r="J55"/>
  <c r="K55"/>
  <c r="L55"/>
  <c r="M55"/>
  <c r="N55"/>
  <c r="O55"/>
  <c r="P55"/>
  <c r="Q55"/>
  <c r="R55"/>
  <c r="S55"/>
  <c r="T55"/>
  <c r="U55"/>
  <c r="V55"/>
  <c r="W55"/>
  <c r="X55"/>
  <c r="Y55"/>
  <c r="Z55"/>
  <c r="AA55"/>
  <c r="AB55"/>
  <c r="AC55"/>
  <c r="I56"/>
  <c r="J56"/>
  <c r="K56"/>
  <c r="L56"/>
  <c r="M56"/>
  <c r="N56"/>
  <c r="O56"/>
  <c r="P56"/>
  <c r="Q56"/>
  <c r="R56"/>
  <c r="S56"/>
  <c r="T56"/>
  <c r="U56"/>
  <c r="V56"/>
  <c r="W56"/>
  <c r="X56"/>
  <c r="Y56"/>
  <c r="Z56"/>
  <c r="AA56"/>
  <c r="AB56"/>
  <c r="AC56"/>
  <c r="I57"/>
  <c r="J57"/>
  <c r="K57"/>
  <c r="L57"/>
  <c r="M57"/>
  <c r="N57"/>
  <c r="O57"/>
  <c r="P57"/>
  <c r="Q57"/>
  <c r="R57"/>
  <c r="S57"/>
  <c r="T57"/>
  <c r="U57"/>
  <c r="V57"/>
  <c r="W57"/>
  <c r="X57"/>
  <c r="Y57"/>
  <c r="Z57"/>
  <c r="AA57"/>
  <c r="AB57"/>
  <c r="AC57"/>
  <c r="I58"/>
  <c r="J58"/>
  <c r="K58"/>
  <c r="L58"/>
  <c r="M58"/>
  <c r="N58"/>
  <c r="O58"/>
  <c r="P58"/>
  <c r="Q58"/>
  <c r="R58"/>
  <c r="S58"/>
  <c r="T58"/>
  <c r="U58"/>
  <c r="V58"/>
  <c r="W58"/>
  <c r="X58"/>
  <c r="Y58"/>
  <c r="Z58"/>
  <c r="AA58"/>
  <c r="AB58"/>
  <c r="AC58"/>
  <c r="I59"/>
  <c r="J59"/>
  <c r="K59"/>
  <c r="L59"/>
  <c r="M59"/>
  <c r="N59"/>
  <c r="O59"/>
  <c r="P59"/>
  <c r="Q59"/>
  <c r="R59"/>
  <c r="S59"/>
  <c r="T59"/>
  <c r="U59"/>
  <c r="V59"/>
  <c r="W59"/>
  <c r="X59"/>
  <c r="Y59"/>
  <c r="Z59"/>
  <c r="AA59"/>
  <c r="AB59"/>
  <c r="AC59"/>
  <c r="I60"/>
  <c r="J60"/>
  <c r="K60"/>
  <c r="L60"/>
  <c r="M60"/>
  <c r="N60"/>
  <c r="O60"/>
  <c r="P60"/>
  <c r="Q60"/>
  <c r="R60"/>
  <c r="S60"/>
  <c r="T60"/>
  <c r="U60"/>
  <c r="V60"/>
  <c r="W60"/>
  <c r="X60"/>
  <c r="Y60"/>
  <c r="Z60"/>
  <c r="AA60"/>
  <c r="AB60"/>
  <c r="AC60"/>
  <c r="I61"/>
  <c r="J61"/>
  <c r="K61"/>
  <c r="L61"/>
  <c r="M61"/>
  <c r="N61"/>
  <c r="O61"/>
  <c r="P61"/>
  <c r="Q61"/>
  <c r="R61"/>
  <c r="S61"/>
  <c r="T61"/>
  <c r="U61"/>
  <c r="V61"/>
  <c r="W61"/>
  <c r="X61"/>
  <c r="Y61"/>
  <c r="Z61"/>
  <c r="AA61"/>
  <c r="AB61"/>
  <c r="AC61"/>
  <c r="I62"/>
  <c r="J62"/>
  <c r="K62"/>
  <c r="L62"/>
  <c r="M62"/>
  <c r="N62"/>
  <c r="O62"/>
  <c r="P62"/>
  <c r="Q62"/>
  <c r="R62"/>
  <c r="S62"/>
  <c r="T62"/>
  <c r="U62"/>
  <c r="V62"/>
  <c r="W62"/>
  <c r="X62"/>
  <c r="Y62"/>
  <c r="Z62"/>
  <c r="AA62"/>
  <c r="AB62"/>
  <c r="AC62"/>
  <c r="C63"/>
  <c r="I63"/>
  <c r="J63"/>
  <c r="K63"/>
  <c r="L63"/>
  <c r="M63"/>
  <c r="N63"/>
  <c r="O63"/>
  <c r="P63"/>
  <c r="Q63"/>
  <c r="R63"/>
  <c r="S63"/>
  <c r="T63"/>
  <c r="U63"/>
  <c r="V63"/>
  <c r="W63"/>
  <c r="X63"/>
  <c r="Y63"/>
  <c r="Z63"/>
  <c r="AA63"/>
  <c r="AB63"/>
  <c r="AC63"/>
  <c r="I64"/>
  <c r="J64"/>
  <c r="K64"/>
  <c r="L64"/>
  <c r="M64"/>
  <c r="N64"/>
  <c r="O64"/>
  <c r="P64"/>
  <c r="Q64"/>
  <c r="R64"/>
  <c r="S64"/>
  <c r="T64"/>
  <c r="U64"/>
  <c r="V64"/>
  <c r="W64"/>
  <c r="X64"/>
  <c r="Y64"/>
  <c r="Z64"/>
  <c r="AA64"/>
  <c r="AB64"/>
  <c r="AC64"/>
  <c r="I65"/>
  <c r="J65"/>
  <c r="K65"/>
  <c r="L65"/>
  <c r="M65"/>
  <c r="N65"/>
  <c r="O65"/>
  <c r="P65"/>
  <c r="Q65"/>
  <c r="R65"/>
  <c r="S65"/>
  <c r="T65"/>
  <c r="U65"/>
  <c r="V65"/>
  <c r="W65"/>
  <c r="X65"/>
  <c r="Y65"/>
  <c r="Z65"/>
  <c r="AA65"/>
  <c r="AB65"/>
  <c r="AC65"/>
  <c r="C66"/>
  <c r="I66"/>
  <c r="J66"/>
  <c r="K66"/>
  <c r="L66"/>
  <c r="M66"/>
  <c r="N66"/>
  <c r="O66"/>
  <c r="P66"/>
  <c r="Q66"/>
  <c r="R66"/>
  <c r="S66"/>
  <c r="T66"/>
  <c r="U66"/>
  <c r="V66"/>
  <c r="W66"/>
  <c r="X66"/>
  <c r="Y66"/>
  <c r="Z66"/>
  <c r="AA66"/>
  <c r="AB66"/>
  <c r="AC66"/>
  <c r="I67"/>
  <c r="J67"/>
  <c r="K67"/>
  <c r="L67"/>
  <c r="M67"/>
  <c r="N67"/>
  <c r="O67"/>
  <c r="P67"/>
  <c r="Q67"/>
  <c r="R67"/>
  <c r="S67"/>
  <c r="T67"/>
  <c r="U67"/>
  <c r="V67"/>
  <c r="W67"/>
  <c r="X67"/>
  <c r="Y67"/>
  <c r="Z67"/>
  <c r="AA67"/>
  <c r="AB67"/>
  <c r="AC67"/>
  <c r="I68"/>
  <c r="J68"/>
  <c r="K68"/>
  <c r="L68"/>
  <c r="M68"/>
  <c r="N68"/>
  <c r="O68"/>
  <c r="P68"/>
  <c r="Q68"/>
  <c r="R68"/>
  <c r="S68"/>
  <c r="T68"/>
  <c r="U68"/>
  <c r="V68"/>
  <c r="W68"/>
  <c r="X68"/>
  <c r="Y68"/>
  <c r="Z68"/>
  <c r="AA68"/>
  <c r="AB68"/>
  <c r="AC68"/>
  <c r="I69"/>
  <c r="J69"/>
  <c r="K69"/>
  <c r="L69"/>
  <c r="M69"/>
  <c r="N69"/>
  <c r="O69"/>
  <c r="P69"/>
  <c r="Q69"/>
  <c r="R69"/>
  <c r="S69"/>
  <c r="T69"/>
  <c r="U69"/>
  <c r="V69"/>
  <c r="W69"/>
  <c r="X69"/>
  <c r="Y69"/>
  <c r="Z69"/>
  <c r="AA69"/>
  <c r="AB69"/>
  <c r="AC69"/>
  <c r="C76"/>
  <c r="C79"/>
  <c r="C85"/>
  <c r="C125"/>
  <c r="C127"/>
  <c r="C128"/>
  <c r="C134"/>
  <c r="C137"/>
  <c r="D141"/>
  <c r="E141"/>
  <c r="F141"/>
  <c r="G141"/>
  <c r="H141"/>
  <c r="C145"/>
  <c r="C151"/>
  <c r="C164"/>
  <c r="C173"/>
  <c r="B174"/>
  <c r="C174"/>
  <c r="B175"/>
  <c r="C175"/>
  <c r="B176"/>
  <c r="C176"/>
  <c r="B177"/>
  <c r="C177"/>
  <c r="B178"/>
  <c r="C178"/>
  <c r="B179"/>
  <c r="C179"/>
  <c r="B180"/>
  <c r="C180"/>
  <c r="B181"/>
  <c r="G181" s="1"/>
  <c r="G203" s="1"/>
  <c r="C181"/>
  <c r="E181"/>
  <c r="B182"/>
  <c r="C182"/>
  <c r="B183"/>
  <c r="C183"/>
  <c r="B184"/>
  <c r="C184"/>
  <c r="B185"/>
  <c r="C185"/>
  <c r="B186"/>
  <c r="C186"/>
  <c r="B187"/>
  <c r="C187"/>
  <c r="B188"/>
  <c r="C188"/>
  <c r="B189"/>
  <c r="C189"/>
  <c r="B190"/>
  <c r="C190"/>
  <c r="B191"/>
  <c r="C191"/>
  <c r="B192"/>
  <c r="C192"/>
  <c r="B195"/>
  <c r="C195"/>
  <c r="B196"/>
  <c r="C196"/>
  <c r="B197"/>
  <c r="C197"/>
  <c r="B198"/>
  <c r="C198"/>
  <c r="B199"/>
  <c r="C199"/>
  <c r="B200"/>
  <c r="C200"/>
  <c r="B201"/>
  <c r="C201"/>
  <c r="B202"/>
  <c r="C202"/>
  <c r="B203"/>
  <c r="C203"/>
  <c r="B204"/>
  <c r="C204"/>
  <c r="B205"/>
  <c r="C205"/>
  <c r="B206"/>
  <c r="C206"/>
  <c r="B207"/>
  <c r="C207"/>
  <c r="B208"/>
  <c r="C208"/>
  <c r="B209"/>
  <c r="C209"/>
  <c r="B210"/>
  <c r="C210"/>
  <c r="B211"/>
  <c r="C211"/>
  <c r="B212"/>
  <c r="C212"/>
  <c r="B213"/>
  <c r="C213"/>
  <c r="B214"/>
  <c r="C214"/>
  <c r="E268"/>
  <c r="E269"/>
  <c r="C369"/>
  <c r="C373"/>
  <c r="C376"/>
  <c r="C380"/>
  <c r="C386"/>
  <c r="C390"/>
  <c r="C392"/>
  <c r="C394"/>
  <c r="C396"/>
  <c r="C397"/>
  <c r="D397"/>
  <c r="E397"/>
  <c r="F397"/>
  <c r="H397"/>
  <c r="C398"/>
  <c r="D398"/>
  <c r="H398"/>
  <c r="E399"/>
  <c r="H399"/>
  <c r="D400"/>
  <c r="F400"/>
  <c r="E402"/>
  <c r="D403"/>
  <c r="F403"/>
  <c r="G403"/>
  <c r="D404"/>
  <c r="H404"/>
  <c r="D405"/>
  <c r="E405"/>
  <c r="F405"/>
  <c r="H405"/>
  <c r="C406"/>
  <c r="D406"/>
  <c r="H406"/>
  <c r="D407"/>
  <c r="E407"/>
  <c r="F407"/>
  <c r="G407"/>
  <c r="H407"/>
  <c r="D408"/>
  <c r="H408"/>
  <c r="J427"/>
  <c r="I62" i="42" s="1"/>
  <c r="J428" i="30"/>
  <c r="C431" s="1"/>
  <c r="A67" i="42" s="1"/>
  <c r="J438" i="30"/>
  <c r="C440" s="1"/>
  <c r="BW66" i="42" s="1"/>
  <c r="C448" i="30"/>
  <c r="C454"/>
  <c r="C458"/>
  <c r="C466"/>
  <c r="C471"/>
  <c r="C473"/>
  <c r="C475"/>
  <c r="C485"/>
  <c r="C497"/>
  <c r="C500"/>
  <c r="C504"/>
  <c r="C512"/>
  <c r="C520"/>
  <c r="C524"/>
  <c r="C529"/>
  <c r="C535"/>
  <c r="C543"/>
  <c r="C547"/>
  <c r="C552"/>
  <c r="C565"/>
  <c r="C570"/>
  <c r="C576"/>
  <c r="C589"/>
  <c r="C592"/>
  <c r="C596"/>
  <c r="C613"/>
  <c r="C615"/>
  <c r="C626"/>
  <c r="C638"/>
  <c r="C644"/>
  <c r="C650"/>
  <c r="H656"/>
  <c r="H657"/>
  <c r="H676"/>
  <c r="C699"/>
  <c r="C710"/>
  <c r="C722"/>
  <c r="C733"/>
  <c r="C745"/>
  <c r="C756"/>
  <c r="C768"/>
  <c r="A232" i="42" s="1"/>
  <c r="C779" i="30"/>
  <c r="A243" i="42" s="1"/>
  <c r="C791" i="30"/>
  <c r="C802"/>
  <c r="C814"/>
  <c r="C825"/>
  <c r="C837"/>
  <c r="C848"/>
  <c r="C860"/>
  <c r="C871"/>
  <c r="C883"/>
  <c r="C894"/>
  <c r="D895"/>
  <c r="E895"/>
  <c r="F895"/>
  <c r="G895"/>
  <c r="H895"/>
  <c r="I895"/>
  <c r="J895"/>
  <c r="K895"/>
  <c r="L895"/>
  <c r="M895"/>
  <c r="N895"/>
  <c r="O895"/>
  <c r="P895"/>
  <c r="Q895"/>
  <c r="R895"/>
  <c r="S895"/>
  <c r="T895"/>
  <c r="U895"/>
  <c r="V895"/>
  <c r="W895"/>
  <c r="X895"/>
  <c r="Y895"/>
  <c r="Z895"/>
  <c r="AA895"/>
  <c r="AB895"/>
  <c r="AC895"/>
  <c r="C906"/>
  <c r="C914"/>
  <c r="C917"/>
  <c r="D918"/>
  <c r="E918"/>
  <c r="F918"/>
  <c r="G918"/>
  <c r="H918"/>
  <c r="I918"/>
  <c r="J918"/>
  <c r="K918"/>
  <c r="L918"/>
  <c r="M918"/>
  <c r="N918"/>
  <c r="O918"/>
  <c r="P918"/>
  <c r="Q918"/>
  <c r="R918"/>
  <c r="S918"/>
  <c r="T918"/>
  <c r="U918"/>
  <c r="V918"/>
  <c r="W918"/>
  <c r="X918"/>
  <c r="Y918"/>
  <c r="Z918"/>
  <c r="AA918"/>
  <c r="AB918"/>
  <c r="AC918"/>
  <c r="I921"/>
  <c r="I922"/>
  <c r="I936"/>
  <c r="U6" i="35"/>
  <c r="AB6"/>
  <c r="U65"/>
  <c r="AB65"/>
  <c r="AK124"/>
  <c r="AR124"/>
  <c r="Y5" i="34"/>
  <c r="AF5"/>
  <c r="Y65"/>
  <c r="AF65"/>
  <c r="AR124"/>
  <c r="AY124"/>
  <c r="A6" i="33"/>
  <c r="A7"/>
  <c r="A8"/>
  <c r="A9"/>
  <c r="A10"/>
  <c r="A11"/>
  <c r="A12"/>
  <c r="A13"/>
  <c r="A14"/>
  <c r="A15"/>
  <c r="A16"/>
  <c r="A17"/>
  <c r="A18"/>
  <c r="A19"/>
  <c r="A20"/>
  <c r="A21"/>
  <c r="A22"/>
  <c r="A23"/>
  <c r="A24"/>
  <c r="A25"/>
  <c r="A26"/>
  <c r="A40"/>
  <c r="A41"/>
  <c r="A42"/>
  <c r="A43"/>
  <c r="A45"/>
  <c r="A46"/>
  <c r="A47"/>
  <c r="A48"/>
  <c r="A49"/>
  <c r="A65"/>
  <c r="A66"/>
  <c r="A67"/>
  <c r="A68"/>
  <c r="A69"/>
  <c r="A70"/>
  <c r="A71"/>
  <c r="A72"/>
  <c r="A73"/>
  <c r="A74"/>
  <c r="A75"/>
  <c r="A76"/>
  <c r="A77"/>
  <c r="A78"/>
  <c r="A79"/>
  <c r="A80"/>
  <c r="A81"/>
  <c r="A82"/>
  <c r="A83"/>
  <c r="A84"/>
  <c r="A85"/>
  <c r="A99"/>
  <c r="A100"/>
  <c r="A101"/>
  <c r="A102"/>
  <c r="H18" i="43"/>
  <c r="I18" s="1"/>
  <c r="J18" s="1"/>
  <c r="K18" s="1"/>
  <c r="L18" s="1"/>
  <c r="M18" s="1"/>
  <c r="N18" s="1"/>
  <c r="O18" s="1"/>
  <c r="P18" s="1"/>
  <c r="Q18" s="1"/>
  <c r="R18" s="1"/>
  <c r="S18" s="1"/>
  <c r="T18" s="1"/>
  <c r="U18" s="1"/>
  <c r="V18" s="1"/>
  <c r="W18" s="1"/>
  <c r="X18" s="1"/>
  <c r="Y18" s="1"/>
  <c r="Z18" s="1"/>
  <c r="AA18" s="1"/>
  <c r="AB18" s="1"/>
  <c r="AC18" s="1"/>
  <c r="AD18" s="1"/>
  <c r="AE18" s="1"/>
  <c r="F26"/>
  <c r="D269" i="30" s="1"/>
  <c r="H26" i="43"/>
  <c r="F269" i="30" s="1"/>
  <c r="F29" i="43"/>
  <c r="D268" i="30" s="1"/>
  <c r="H29" i="43"/>
  <c r="F268" i="30" s="1"/>
  <c r="G36" i="43"/>
  <c r="H36"/>
  <c r="I36"/>
  <c r="J36"/>
  <c r="K36"/>
  <c r="L36"/>
  <c r="M36"/>
  <c r="N36"/>
  <c r="O36"/>
  <c r="G37"/>
  <c r="F41"/>
  <c r="F48" s="1"/>
  <c r="G41"/>
  <c r="G48" s="1"/>
  <c r="H41"/>
  <c r="H48" s="1"/>
  <c r="I41"/>
  <c r="I48" s="1"/>
  <c r="J41"/>
  <c r="J48" s="1"/>
  <c r="K41"/>
  <c r="K48" s="1"/>
  <c r="L41"/>
  <c r="L48" s="1"/>
  <c r="M41"/>
  <c r="M48" s="1"/>
  <c r="N41"/>
  <c r="N48" s="1"/>
  <c r="O41"/>
  <c r="O48" s="1"/>
  <c r="P41"/>
  <c r="P48" s="1"/>
  <c r="Q41"/>
  <c r="Q48" s="1"/>
  <c r="R41"/>
  <c r="R48" s="1"/>
  <c r="S41"/>
  <c r="S48" s="1"/>
  <c r="T41"/>
  <c r="T48" s="1"/>
  <c r="U41"/>
  <c r="U48" s="1"/>
  <c r="V41"/>
  <c r="V48" s="1"/>
  <c r="W41"/>
  <c r="W48" s="1"/>
  <c r="X41"/>
  <c r="X48" s="1"/>
  <c r="Y41"/>
  <c r="Y48" s="1"/>
  <c r="Z41"/>
  <c r="Z48" s="1"/>
  <c r="AA41"/>
  <c r="AA48" s="1"/>
  <c r="AB41"/>
  <c r="AB48"/>
  <c r="AC41"/>
  <c r="AC48"/>
  <c r="AD41"/>
  <c r="AD48"/>
  <c r="AE41"/>
  <c r="AE48"/>
  <c r="E50"/>
  <c r="J52"/>
  <c r="K52" s="1"/>
  <c r="I54"/>
  <c r="J54" s="1"/>
  <c r="J64"/>
  <c r="K64"/>
  <c r="L64"/>
  <c r="M64"/>
  <c r="N64"/>
  <c r="O64"/>
  <c r="I65"/>
  <c r="I66" s="1"/>
  <c r="B102" i="24"/>
  <c r="C102"/>
  <c r="D102" s="1"/>
  <c r="B103"/>
  <c r="B172" s="1"/>
  <c r="AA30" i="38" s="1"/>
  <c r="C103" i="24"/>
  <c r="B104"/>
  <c r="C104"/>
  <c r="D104" s="1"/>
  <c r="B105"/>
  <c r="B129" s="1"/>
  <c r="C105"/>
  <c r="D105" s="1"/>
  <c r="B106"/>
  <c r="C106"/>
  <c r="D106" s="1"/>
  <c r="B107"/>
  <c r="C107"/>
  <c r="C131" s="1"/>
  <c r="B108"/>
  <c r="C108"/>
  <c r="B109"/>
  <c r="B133" s="1"/>
  <c r="C109"/>
  <c r="C133" s="1"/>
  <c r="B110"/>
  <c r="C110"/>
  <c r="D110" s="1"/>
  <c r="B111"/>
  <c r="B135" s="1"/>
  <c r="C111"/>
  <c r="D111" s="1"/>
  <c r="B112"/>
  <c r="B181" s="1"/>
  <c r="AA39" i="38" s="1"/>
  <c r="C112" i="24"/>
  <c r="B113"/>
  <c r="B137" s="1"/>
  <c r="C113"/>
  <c r="D113" s="1"/>
  <c r="B114"/>
  <c r="B138" s="1"/>
  <c r="C114"/>
  <c r="D114" s="1"/>
  <c r="D138" s="1"/>
  <c r="B115"/>
  <c r="C115"/>
  <c r="B116"/>
  <c r="C116"/>
  <c r="D116" s="1"/>
  <c r="B117"/>
  <c r="C117"/>
  <c r="B118"/>
  <c r="B187" s="1"/>
  <c r="AA45" i="38" s="1"/>
  <c r="C118" i="24"/>
  <c r="B119"/>
  <c r="B143" s="1"/>
  <c r="C119"/>
  <c r="B120"/>
  <c r="B144" s="1"/>
  <c r="C120"/>
  <c r="D120" s="1"/>
  <c r="D144" s="1"/>
  <c r="B121"/>
  <c r="B190" s="1"/>
  <c r="AA48" i="38" s="1"/>
  <c r="C121" i="24"/>
  <c r="D121" s="1"/>
  <c r="D145" s="1"/>
  <c r="B124"/>
  <c r="C124"/>
  <c r="D124"/>
  <c r="C129"/>
  <c r="B153"/>
  <c r="B154"/>
  <c r="B155"/>
  <c r="B156"/>
  <c r="B157"/>
  <c r="B158"/>
  <c r="B159"/>
  <c r="B160"/>
  <c r="B161"/>
  <c r="B162"/>
  <c r="B163"/>
  <c r="B164"/>
  <c r="B165"/>
  <c r="B166"/>
  <c r="B167"/>
  <c r="B178"/>
  <c r="AA36" i="38" s="1"/>
  <c r="H4" i="18"/>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C8"/>
  <c r="I8"/>
  <c r="J8"/>
  <c r="M8"/>
  <c r="Q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C9"/>
  <c r="I9"/>
  <c r="M9"/>
  <c r="Q9"/>
  <c r="S9"/>
  <c r="T9"/>
  <c r="U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C10"/>
  <c r="H10"/>
  <c r="I10"/>
  <c r="M10"/>
  <c r="Q10"/>
  <c r="S10"/>
  <c r="T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C12"/>
  <c r="I12"/>
  <c r="J12"/>
  <c r="M12"/>
  <c r="Q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C13"/>
  <c r="I13"/>
  <c r="J13"/>
  <c r="M13"/>
  <c r="Q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C14"/>
  <c r="I14"/>
  <c r="J14"/>
  <c r="M14"/>
  <c r="Q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C15"/>
  <c r="I15"/>
  <c r="J15"/>
  <c r="M15"/>
  <c r="Q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C16"/>
  <c r="I16"/>
  <c r="J16"/>
  <c r="M16"/>
  <c r="Q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C17"/>
  <c r="I17"/>
  <c r="J17"/>
  <c r="M17"/>
  <c r="Q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C18"/>
  <c r="I18"/>
  <c r="J18"/>
  <c r="M18"/>
  <c r="Q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C19"/>
  <c r="I19"/>
  <c r="J19"/>
  <c r="M19"/>
  <c r="Q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C20"/>
  <c r="I20"/>
  <c r="J20"/>
  <c r="M20"/>
  <c r="Q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C21"/>
  <c r="I21"/>
  <c r="J21"/>
  <c r="M21"/>
  <c r="Q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C22"/>
  <c r="I22"/>
  <c r="J22"/>
  <c r="M22"/>
  <c r="Q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C23"/>
  <c r="C24"/>
  <c r="I24"/>
  <c r="J24"/>
  <c r="M24"/>
  <c r="Q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C25"/>
  <c r="I25"/>
  <c r="J25"/>
  <c r="M25"/>
  <c r="O25"/>
  <c r="Q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C26"/>
  <c r="I26"/>
  <c r="J26"/>
  <c r="M26"/>
  <c r="Q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C27"/>
  <c r="I27"/>
  <c r="J27"/>
  <c r="M27"/>
  <c r="Q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C28"/>
  <c r="I28"/>
  <c r="J28"/>
  <c r="M28"/>
  <c r="O28"/>
  <c r="Q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E29"/>
  <c r="G29"/>
  <c r="H29" s="1"/>
  <c r="U20" i="46" s="1"/>
  <c r="I29" i="18"/>
  <c r="J29"/>
  <c r="G6" i="47" s="1"/>
  <c r="U29" i="18"/>
  <c r="H6" i="47" s="1"/>
  <c r="V29" i="18"/>
  <c r="I6" i="47" s="1"/>
  <c r="W29" i="18"/>
  <c r="J6" i="47" s="1"/>
  <c r="X29" i="18"/>
  <c r="K6" i="47" s="1"/>
  <c r="Y29" i="18"/>
  <c r="L6" i="47" s="1"/>
  <c r="Z29" i="18"/>
  <c r="M6" i="47" s="1"/>
  <c r="AA29" i="18"/>
  <c r="N6" i="47" s="1"/>
  <c r="AB29" i="18"/>
  <c r="O6" i="47" s="1"/>
  <c r="AC29" i="18"/>
  <c r="P6" i="47" s="1"/>
  <c r="AD29" i="18"/>
  <c r="Q6" i="47" s="1"/>
  <c r="AE29" i="18"/>
  <c r="R6" i="47" s="1"/>
  <c r="AF29" i="18"/>
  <c r="S6" i="47" s="1"/>
  <c r="AG29" i="18"/>
  <c r="T6" i="47" s="1"/>
  <c r="AH29" i="18"/>
  <c r="U6" i="47" s="1"/>
  <c r="AI29" i="18"/>
  <c r="V6" i="47" s="1"/>
  <c r="AJ29" i="18"/>
  <c r="W6" i="47" s="1"/>
  <c r="AK29" i="18"/>
  <c r="X6" i="47" s="1"/>
  <c r="AL29" i="18"/>
  <c r="Y6" i="47" s="1"/>
  <c r="AM29" i="18"/>
  <c r="Z6" i="47" s="1"/>
  <c r="AN29" i="18"/>
  <c r="AA6" i="47" s="1"/>
  <c r="AO29" i="18"/>
  <c r="AB6" i="47" s="1"/>
  <c r="AP29" i="18"/>
  <c r="AC6" i="47" s="1"/>
  <c r="AQ29" i="18"/>
  <c r="AD6" i="47" s="1"/>
  <c r="AR29" i="18"/>
  <c r="AE6" i="47" s="1"/>
  <c r="AS29" i="18"/>
  <c r="AF6" i="47" s="1"/>
  <c r="AT29" i="18"/>
  <c r="AG6" i="47" s="1"/>
  <c r="AU29" i="18"/>
  <c r="AH6" i="47" s="1"/>
  <c r="AV29" i="18"/>
  <c r="AI6" i="47" s="1"/>
  <c r="AW29" i="18"/>
  <c r="AJ6" i="47" s="1"/>
  <c r="AX29" i="18"/>
  <c r="AK6" i="47" s="1"/>
  <c r="AY29" i="18"/>
  <c r="AL6" i="47" s="1"/>
  <c r="AZ29" i="18"/>
  <c r="AM6" i="47" s="1"/>
  <c r="BA29" i="18"/>
  <c r="AN6" i="47" s="1"/>
  <c r="BB29" i="18"/>
  <c r="AO6" i="47" s="1"/>
  <c r="BC29" i="18"/>
  <c r="AP6" i="47" s="1"/>
  <c r="BD29" i="18"/>
  <c r="AQ6" i="47" s="1"/>
  <c r="BE29" i="18"/>
  <c r="AR6" i="47" s="1"/>
  <c r="BF29" i="18"/>
  <c r="AS6" i="47" s="1"/>
  <c r="BG29" i="18"/>
  <c r="AT6" i="47" s="1"/>
  <c r="BH29" i="18"/>
  <c r="AU6" i="47" s="1"/>
  <c r="BI29" i="18"/>
  <c r="AV6" i="47" s="1"/>
  <c r="BJ29" i="18"/>
  <c r="BK29"/>
  <c r="E30"/>
  <c r="G30"/>
  <c r="H30" s="1"/>
  <c r="U19" i="46" s="1"/>
  <c r="I30" i="18"/>
  <c r="J30"/>
  <c r="G7" i="47" s="1"/>
  <c r="N30" i="18"/>
  <c r="U30"/>
  <c r="H7" i="47" s="1"/>
  <c r="V30" i="18"/>
  <c r="I7" i="47" s="1"/>
  <c r="W30" i="18"/>
  <c r="J7" i="47" s="1"/>
  <c r="X30" i="18"/>
  <c r="K7" i="47" s="1"/>
  <c r="Y30" i="18"/>
  <c r="L7" i="47" s="1"/>
  <c r="Z30" i="18"/>
  <c r="M7" i="47" s="1"/>
  <c r="AA30" i="18"/>
  <c r="N7" i="47" s="1"/>
  <c r="AB30" i="18"/>
  <c r="O7" i="47" s="1"/>
  <c r="AC30" i="18"/>
  <c r="P7" i="47" s="1"/>
  <c r="AD30" i="18"/>
  <c r="Q7" i="47" s="1"/>
  <c r="AE30" i="18"/>
  <c r="R7" i="47" s="1"/>
  <c r="AF30" i="18"/>
  <c r="S7" i="47" s="1"/>
  <c r="AG30" i="18"/>
  <c r="T7" i="47" s="1"/>
  <c r="AH30" i="18"/>
  <c r="U7" i="47" s="1"/>
  <c r="AI30" i="18"/>
  <c r="V7" i="47" s="1"/>
  <c r="AJ30" i="18"/>
  <c r="W7" i="47" s="1"/>
  <c r="AK30" i="18"/>
  <c r="X7" i="47" s="1"/>
  <c r="AL30" i="18"/>
  <c r="Y7" i="47" s="1"/>
  <c r="AM30" i="18"/>
  <c r="Z7" i="47" s="1"/>
  <c r="AN30" i="18"/>
  <c r="AA7" i="47" s="1"/>
  <c r="AO30" i="18"/>
  <c r="AB7" i="47" s="1"/>
  <c r="AP30" i="18"/>
  <c r="AC7" i="47" s="1"/>
  <c r="AQ30" i="18"/>
  <c r="AD7" i="47" s="1"/>
  <c r="AR30" i="18"/>
  <c r="AE7" i="47" s="1"/>
  <c r="AS30" i="18"/>
  <c r="AF7" i="47" s="1"/>
  <c r="AT30" i="18"/>
  <c r="AG7" i="47" s="1"/>
  <c r="AU30" i="18"/>
  <c r="AH7" i="47" s="1"/>
  <c r="AV30" i="18"/>
  <c r="AI7" i="47" s="1"/>
  <c r="AW30" i="18"/>
  <c r="AJ7" i="47" s="1"/>
  <c r="AX30" i="18"/>
  <c r="AK7" i="47" s="1"/>
  <c r="AY30" i="18"/>
  <c r="AL7" i="47" s="1"/>
  <c r="AZ30" i="18"/>
  <c r="AM7" i="47" s="1"/>
  <c r="BA30" i="18"/>
  <c r="AN7" i="47" s="1"/>
  <c r="BB30" i="18"/>
  <c r="AO7" i="47" s="1"/>
  <c r="BC30" i="18"/>
  <c r="AP7" i="47" s="1"/>
  <c r="BD30" i="18"/>
  <c r="AQ7" i="47" s="1"/>
  <c r="BE30" i="18"/>
  <c r="AR7" i="47" s="1"/>
  <c r="BF30" i="18"/>
  <c r="AS7" i="47" s="1"/>
  <c r="BG30" i="18"/>
  <c r="AT7" i="47" s="1"/>
  <c r="BH30" i="18"/>
  <c r="AU7" i="47" s="1"/>
  <c r="BI30" i="18"/>
  <c r="AV7" i="47" s="1"/>
  <c r="BJ30" i="18"/>
  <c r="BK30"/>
  <c r="C31"/>
  <c r="J31"/>
  <c r="Q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C32"/>
  <c r="J32"/>
  <c r="N32"/>
  <c r="Q32"/>
  <c r="S32"/>
  <c r="T32"/>
  <c r="U32"/>
  <c r="V32"/>
  <c r="W32"/>
  <c r="X32"/>
  <c r="Y32"/>
  <c r="Z32"/>
  <c r="AA32"/>
  <c r="AB32"/>
  <c r="AC32"/>
  <c r="AD32"/>
  <c r="AE32"/>
  <c r="AF32"/>
  <c r="AG32"/>
  <c r="AH32"/>
  <c r="AI32"/>
  <c r="AJ32"/>
  <c r="AK32"/>
  <c r="AL32"/>
  <c r="AM32"/>
  <c r="AN32"/>
  <c r="AO32"/>
  <c r="AP32"/>
  <c r="AR32"/>
  <c r="AS32"/>
  <c r="AT32"/>
  <c r="AU32"/>
  <c r="AV32"/>
  <c r="AW32"/>
  <c r="AX32"/>
  <c r="AY32"/>
  <c r="AZ32"/>
  <c r="BA32"/>
  <c r="BB32"/>
  <c r="BC32"/>
  <c r="BD32"/>
  <c r="BE32"/>
  <c r="BF32"/>
  <c r="BG32"/>
  <c r="BH32"/>
  <c r="BI32"/>
  <c r="BJ32"/>
  <c r="BK32"/>
  <c r="C33"/>
  <c r="J33"/>
  <c r="AQ33"/>
  <c r="N33"/>
  <c r="Q33"/>
  <c r="S33"/>
  <c r="T33"/>
  <c r="U33"/>
  <c r="U35"/>
  <c r="V33"/>
  <c r="V35"/>
  <c r="W33"/>
  <c r="W35"/>
  <c r="X33"/>
  <c r="Y33"/>
  <c r="Y35"/>
  <c r="Z33"/>
  <c r="Z35"/>
  <c r="AA33"/>
  <c r="AA35"/>
  <c r="AB33"/>
  <c r="AB35"/>
  <c r="AC33"/>
  <c r="AC35"/>
  <c r="AD33"/>
  <c r="AD35"/>
  <c r="AE33"/>
  <c r="AE35"/>
  <c r="AF33"/>
  <c r="AG33"/>
  <c r="AG35"/>
  <c r="AH33"/>
  <c r="AH35"/>
  <c r="AI33"/>
  <c r="AI35"/>
  <c r="AJ33"/>
  <c r="AJ35"/>
  <c r="AK33"/>
  <c r="AK35"/>
  <c r="AL33"/>
  <c r="AL35"/>
  <c r="AM33"/>
  <c r="AM35"/>
  <c r="AN33"/>
  <c r="AO33"/>
  <c r="AO35"/>
  <c r="AP33"/>
  <c r="AP35"/>
  <c r="AR33"/>
  <c r="AS33"/>
  <c r="AT33"/>
  <c r="AU33"/>
  <c r="AV33"/>
  <c r="AW33"/>
  <c r="AX33"/>
  <c r="AY33"/>
  <c r="AZ33"/>
  <c r="BA33"/>
  <c r="BB33"/>
  <c r="BC33"/>
  <c r="BD33"/>
  <c r="BE33"/>
  <c r="BF33"/>
  <c r="BG33"/>
  <c r="BH33"/>
  <c r="BI33"/>
  <c r="BJ33"/>
  <c r="BK33"/>
  <c r="C34"/>
  <c r="J34"/>
  <c r="N34"/>
  <c r="Q34"/>
  <c r="S34"/>
  <c r="T34"/>
  <c r="U34"/>
  <c r="V34"/>
  <c r="W34"/>
  <c r="X34"/>
  <c r="Y34"/>
  <c r="Z34"/>
  <c r="AA34"/>
  <c r="AB34"/>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G35"/>
  <c r="H35"/>
  <c r="N35"/>
  <c r="X35"/>
  <c r="AR35"/>
  <c r="AT35"/>
  <c r="AV35"/>
  <c r="AX35"/>
  <c r="AZ35"/>
  <c r="BB35"/>
  <c r="BD35"/>
  <c r="BF35"/>
  <c r="BH35"/>
  <c r="BJ35"/>
  <c r="J36"/>
  <c r="Q36"/>
  <c r="R36"/>
  <c r="S36"/>
  <c r="T36"/>
  <c r="U36"/>
  <c r="V36"/>
  <c r="W36"/>
  <c r="X36"/>
  <c r="Y36"/>
  <c r="Z36"/>
  <c r="AA36"/>
  <c r="AB36"/>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J37"/>
  <c r="O37"/>
  <c r="S37"/>
  <c r="T37"/>
  <c r="U37"/>
  <c r="V37"/>
  <c r="W37"/>
  <c r="X37"/>
  <c r="Y37"/>
  <c r="Z37"/>
  <c r="AA37"/>
  <c r="AB37"/>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J38"/>
  <c r="Q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J39"/>
  <c r="S39"/>
  <c r="T39"/>
  <c r="U39"/>
  <c r="V39"/>
  <c r="W39"/>
  <c r="X39"/>
  <c r="Y39"/>
  <c r="Z39"/>
  <c r="AA39"/>
  <c r="AB39"/>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E40"/>
  <c r="F40"/>
  <c r="G40"/>
  <c r="H40"/>
  <c r="J40"/>
  <c r="L40"/>
  <c r="M40"/>
  <c r="J41"/>
  <c r="Q41"/>
  <c r="S41"/>
  <c r="T41"/>
  <c r="U41"/>
  <c r="V41"/>
  <c r="W41"/>
  <c r="X41"/>
  <c r="Y41"/>
  <c r="Z41"/>
  <c r="AA41"/>
  <c r="AB41"/>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J42"/>
  <c r="Q42"/>
  <c r="S42"/>
  <c r="T42"/>
  <c r="U42"/>
  <c r="V42"/>
  <c r="W42"/>
  <c r="X42"/>
  <c r="Y42"/>
  <c r="Z42"/>
  <c r="AA42"/>
  <c r="AB42"/>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J43"/>
  <c r="O43"/>
  <c r="Q43"/>
  <c r="S43"/>
  <c r="U43"/>
  <c r="V43"/>
  <c r="W43"/>
  <c r="X43"/>
  <c r="Y43"/>
  <c r="Z43"/>
  <c r="AA43"/>
  <c r="AB43"/>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C44"/>
  <c r="D44"/>
  <c r="E44"/>
  <c r="F44"/>
  <c r="G44"/>
  <c r="H44"/>
  <c r="J44"/>
  <c r="K44"/>
  <c r="L44"/>
  <c r="M44"/>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J45"/>
  <c r="M45"/>
  <c r="Q45"/>
  <c r="S45"/>
  <c r="T45"/>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J46"/>
  <c r="U46"/>
  <c r="V46"/>
  <c r="W46"/>
  <c r="X46"/>
  <c r="Y46"/>
  <c r="Z46"/>
  <c r="AA46"/>
  <c r="AB46"/>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J47"/>
  <c r="U47"/>
  <c r="V47"/>
  <c r="W47"/>
  <c r="X47"/>
  <c r="Y47"/>
  <c r="Z47"/>
  <c r="AA47"/>
  <c r="AB47"/>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J48"/>
  <c r="U48"/>
  <c r="V48"/>
  <c r="W48"/>
  <c r="X48"/>
  <c r="Y48"/>
  <c r="Z48"/>
  <c r="AA48"/>
  <c r="AB48"/>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J49"/>
  <c r="U49"/>
  <c r="V49"/>
  <c r="W49"/>
  <c r="X49"/>
  <c r="Y49"/>
  <c r="Z49"/>
  <c r="AA49"/>
  <c r="AB49"/>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J50"/>
  <c r="U50"/>
  <c r="V50"/>
  <c r="W50"/>
  <c r="X50"/>
  <c r="Y50"/>
  <c r="Z50"/>
  <c r="AA50"/>
  <c r="AB50"/>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J51"/>
  <c r="U51"/>
  <c r="V51"/>
  <c r="W51"/>
  <c r="X51"/>
  <c r="Y51"/>
  <c r="Z51"/>
  <c r="AA51"/>
  <c r="AB5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J52"/>
  <c r="U52"/>
  <c r="V52"/>
  <c r="W52"/>
  <c r="X52"/>
  <c r="Y52"/>
  <c r="Z52"/>
  <c r="AA52"/>
  <c r="AB52"/>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J53"/>
  <c r="U53"/>
  <c r="V53"/>
  <c r="W53"/>
  <c r="X53"/>
  <c r="Y53"/>
  <c r="Z53"/>
  <c r="AA53"/>
  <c r="AB53"/>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D54"/>
  <c r="J54"/>
  <c r="X54"/>
  <c r="Y54"/>
  <c r="AC54"/>
  <c r="AD54"/>
  <c r="L10" i="46"/>
  <c r="R10"/>
  <c r="S10"/>
  <c r="T10"/>
  <c r="V10"/>
  <c r="W10"/>
  <c r="L11"/>
  <c r="R11"/>
  <c r="S11"/>
  <c r="T11"/>
  <c r="V11"/>
  <c r="W11"/>
  <c r="L12"/>
  <c r="R12"/>
  <c r="S12"/>
  <c r="T12"/>
  <c r="V12"/>
  <c r="W12"/>
  <c r="L13"/>
  <c r="R13"/>
  <c r="S13"/>
  <c r="L14"/>
  <c r="R14"/>
  <c r="S14"/>
  <c r="L15"/>
  <c r="R15"/>
  <c r="S15"/>
  <c r="L16"/>
  <c r="R16"/>
  <c r="S16"/>
  <c r="L17"/>
  <c r="R17"/>
  <c r="S17"/>
  <c r="L18"/>
  <c r="R18"/>
  <c r="S18"/>
  <c r="L19"/>
  <c r="G20"/>
  <c r="L20"/>
  <c r="H21"/>
  <c r="I21"/>
  <c r="L21"/>
  <c r="S21"/>
  <c r="U21"/>
  <c r="V21"/>
  <c r="L22"/>
  <c r="R22"/>
  <c r="S22"/>
  <c r="L23"/>
  <c r="R23"/>
  <c r="S23"/>
  <c r="T23"/>
  <c r="V23"/>
  <c r="W23"/>
  <c r="L24"/>
  <c r="R24"/>
  <c r="S24"/>
  <c r="T24"/>
  <c r="V24"/>
  <c r="W24"/>
  <c r="L25"/>
  <c r="R25"/>
  <c r="S25"/>
  <c r="T25"/>
  <c r="V25"/>
  <c r="W25"/>
  <c r="L26"/>
  <c r="R26"/>
  <c r="S26"/>
  <c r="L27"/>
  <c r="R27"/>
  <c r="S27"/>
  <c r="L28"/>
  <c r="R28"/>
  <c r="S28"/>
  <c r="L29"/>
  <c r="R29"/>
  <c r="S29"/>
  <c r="L30"/>
  <c r="R30"/>
  <c r="S30"/>
  <c r="T30"/>
  <c r="V30"/>
  <c r="W30"/>
  <c r="L31"/>
  <c r="R31"/>
  <c r="S31"/>
  <c r="L32"/>
  <c r="R32"/>
  <c r="S32"/>
  <c r="L33"/>
  <c r="I38" i="23" s="1"/>
  <c r="I19" s="1"/>
  <c r="R33" i="46"/>
  <c r="T33"/>
  <c r="V33"/>
  <c r="L34"/>
  <c r="R34"/>
  <c r="L36"/>
  <c r="R36"/>
  <c r="G37"/>
  <c r="H37"/>
  <c r="I37"/>
  <c r="L37"/>
  <c r="R37"/>
  <c r="T37"/>
  <c r="U37"/>
  <c r="V37"/>
  <c r="W37"/>
  <c r="L39"/>
  <c r="R39"/>
  <c r="S39"/>
  <c r="T39"/>
  <c r="V39"/>
  <c r="W39"/>
  <c r="L40"/>
  <c r="R40"/>
  <c r="S40"/>
  <c r="L41"/>
  <c r="R41"/>
  <c r="S41"/>
  <c r="L42"/>
  <c r="R42"/>
  <c r="S42"/>
  <c r="T42"/>
  <c r="L43"/>
  <c r="R43"/>
  <c r="S43"/>
  <c r="A50"/>
  <c r="D50"/>
  <c r="H50" s="1"/>
  <c r="E50"/>
  <c r="A51"/>
  <c r="D51"/>
  <c r="E51"/>
  <c r="A52"/>
  <c r="D52"/>
  <c r="J52" s="1"/>
  <c r="M52" s="1"/>
  <c r="E52"/>
  <c r="A53"/>
  <c r="D53"/>
  <c r="E53"/>
  <c r="A54"/>
  <c r="D54"/>
  <c r="H54" s="1"/>
  <c r="E54"/>
  <c r="A55"/>
  <c r="D55"/>
  <c r="E55"/>
  <c r="A56"/>
  <c r="D56"/>
  <c r="J56" s="1"/>
  <c r="M56" s="1"/>
  <c r="E56"/>
  <c r="A57"/>
  <c r="D57"/>
  <c r="E57"/>
  <c r="A58"/>
  <c r="D58"/>
  <c r="I58" s="1"/>
  <c r="E58"/>
  <c r="A59"/>
  <c r="D59"/>
  <c r="E59"/>
  <c r="A60"/>
  <c r="D60"/>
  <c r="J60" s="1"/>
  <c r="M60" s="1"/>
  <c r="E60"/>
  <c r="A61"/>
  <c r="D61"/>
  <c r="E61"/>
  <c r="A62"/>
  <c r="D62"/>
  <c r="E62"/>
  <c r="K62"/>
  <c r="N62" s="1"/>
  <c r="A63"/>
  <c r="D63"/>
  <c r="R63" s="1"/>
  <c r="U63" s="1"/>
  <c r="E63"/>
  <c r="A64"/>
  <c r="D64"/>
  <c r="E64"/>
  <c r="K64" s="1"/>
  <c r="N64" s="1"/>
  <c r="A65"/>
  <c r="D65"/>
  <c r="Q65" s="1"/>
  <c r="T65" s="1"/>
  <c r="E65"/>
  <c r="A66"/>
  <c r="D66"/>
  <c r="E66"/>
  <c r="A67"/>
  <c r="D67"/>
  <c r="E67"/>
  <c r="A68"/>
  <c r="D68"/>
  <c r="E68"/>
  <c r="A69"/>
  <c r="D69"/>
  <c r="G69" s="1"/>
  <c r="E69"/>
  <c r="A70"/>
  <c r="D70"/>
  <c r="E70"/>
  <c r="A71"/>
  <c r="D71"/>
  <c r="I71" s="1"/>
  <c r="E71"/>
  <c r="L71"/>
  <c r="O71" s="1"/>
  <c r="A72"/>
  <c r="D72"/>
  <c r="H72" s="1"/>
  <c r="E72"/>
  <c r="A73"/>
  <c r="D73"/>
  <c r="E73"/>
  <c r="K73" s="1"/>
  <c r="N73" s="1"/>
  <c r="A74"/>
  <c r="D74"/>
  <c r="K74" s="1"/>
  <c r="N74" s="1"/>
  <c r="E74"/>
  <c r="A76"/>
  <c r="D76"/>
  <c r="E76"/>
  <c r="A77"/>
  <c r="D77"/>
  <c r="P77" s="1"/>
  <c r="S77" s="1"/>
  <c r="E77"/>
  <c r="A79"/>
  <c r="D79"/>
  <c r="E79"/>
  <c r="A80"/>
  <c r="D80"/>
  <c r="H80" s="1"/>
  <c r="E80"/>
  <c r="A81"/>
  <c r="D81"/>
  <c r="E81"/>
  <c r="Q81"/>
  <c r="T81" s="1"/>
  <c r="A82"/>
  <c r="D82"/>
  <c r="Q82" s="1"/>
  <c r="T82" s="1"/>
  <c r="E82"/>
  <c r="A83"/>
  <c r="D83"/>
  <c r="K83" s="1"/>
  <c r="N83" s="1"/>
  <c r="E83"/>
  <c r="R88"/>
  <c r="S88"/>
  <c r="T88"/>
  <c r="U88"/>
  <c r="V88"/>
  <c r="W88"/>
  <c r="X88"/>
  <c r="Y88"/>
  <c r="Z88"/>
  <c r="AA88"/>
  <c r="P89"/>
  <c r="R89"/>
  <c r="S89"/>
  <c r="T89"/>
  <c r="U89"/>
  <c r="V89"/>
  <c r="W89"/>
  <c r="X89"/>
  <c r="Y89"/>
  <c r="Z89"/>
  <c r="AA89"/>
  <c r="P90"/>
  <c r="R90"/>
  <c r="S90"/>
  <c r="T90"/>
  <c r="U90"/>
  <c r="V90"/>
  <c r="W90"/>
  <c r="X90"/>
  <c r="Y90"/>
  <c r="Z90"/>
  <c r="AA90"/>
  <c r="P91"/>
  <c r="R91"/>
  <c r="S91"/>
  <c r="T91"/>
  <c r="U91"/>
  <c r="V91"/>
  <c r="W91"/>
  <c r="X91"/>
  <c r="Y91"/>
  <c r="Z91"/>
  <c r="AA91"/>
  <c r="P92"/>
  <c r="R92"/>
  <c r="S92"/>
  <c r="T92"/>
  <c r="U92"/>
  <c r="V92"/>
  <c r="W92"/>
  <c r="X92"/>
  <c r="Y92"/>
  <c r="Z92"/>
  <c r="AA92"/>
  <c r="P93"/>
  <c r="R93"/>
  <c r="S93"/>
  <c r="T93"/>
  <c r="U93"/>
  <c r="V93"/>
  <c r="W93"/>
  <c r="X93"/>
  <c r="Y93"/>
  <c r="Z93"/>
  <c r="AA93"/>
  <c r="P94"/>
  <c r="R94"/>
  <c r="S94"/>
  <c r="T94"/>
  <c r="U94"/>
  <c r="V94"/>
  <c r="W94"/>
  <c r="X94"/>
  <c r="Y94"/>
  <c r="Z94"/>
  <c r="AA94"/>
  <c r="P95"/>
  <c r="R95"/>
  <c r="S95"/>
  <c r="T95"/>
  <c r="U95"/>
  <c r="V95"/>
  <c r="W95"/>
  <c r="X95"/>
  <c r="Y95"/>
  <c r="Z95"/>
  <c r="AA95"/>
  <c r="P96"/>
  <c r="R96"/>
  <c r="S96"/>
  <c r="T96"/>
  <c r="U96"/>
  <c r="V96"/>
  <c r="W96"/>
  <c r="X96"/>
  <c r="Y96"/>
  <c r="Z96"/>
  <c r="AA96"/>
  <c r="P97"/>
  <c r="R97"/>
  <c r="S97"/>
  <c r="T97"/>
  <c r="U97"/>
  <c r="V97"/>
  <c r="W97"/>
  <c r="X97"/>
  <c r="Y97"/>
  <c r="Z97"/>
  <c r="AA97"/>
  <c r="P98"/>
  <c r="R98"/>
  <c r="S98"/>
  <c r="T98"/>
  <c r="U98"/>
  <c r="V98"/>
  <c r="W98"/>
  <c r="X98"/>
  <c r="Y98"/>
  <c r="Z98"/>
  <c r="AA98"/>
  <c r="P99"/>
  <c r="R99"/>
  <c r="S99"/>
  <c r="T99"/>
  <c r="U99"/>
  <c r="V99"/>
  <c r="W99"/>
  <c r="X99"/>
  <c r="Y99"/>
  <c r="Z99"/>
  <c r="AA99"/>
  <c r="P100"/>
  <c r="R100"/>
  <c r="S100"/>
  <c r="T100"/>
  <c r="U100"/>
  <c r="V100"/>
  <c r="W100"/>
  <c r="X100"/>
  <c r="Y100"/>
  <c r="Z100"/>
  <c r="AA100"/>
  <c r="P101"/>
  <c r="R101"/>
  <c r="S101"/>
  <c r="T101"/>
  <c r="U101"/>
  <c r="V101"/>
  <c r="W101"/>
  <c r="X101"/>
  <c r="Y101"/>
  <c r="Z101"/>
  <c r="AA101"/>
  <c r="P102"/>
  <c r="R102"/>
  <c r="S102"/>
  <c r="T102"/>
  <c r="U102"/>
  <c r="V102"/>
  <c r="W102"/>
  <c r="X102"/>
  <c r="Y102"/>
  <c r="Z102"/>
  <c r="AA102"/>
  <c r="P103"/>
  <c r="R103"/>
  <c r="S103"/>
  <c r="T103"/>
  <c r="U103"/>
  <c r="V103"/>
  <c r="W103"/>
  <c r="X103"/>
  <c r="Y103"/>
  <c r="Z103"/>
  <c r="AA103"/>
  <c r="P104"/>
  <c r="R104"/>
  <c r="S104"/>
  <c r="T104"/>
  <c r="U104"/>
  <c r="V104"/>
  <c r="W104"/>
  <c r="X104"/>
  <c r="Y104"/>
  <c r="Z104"/>
  <c r="AA104"/>
  <c r="P105"/>
  <c r="R105"/>
  <c r="S105"/>
  <c r="T105"/>
  <c r="U105"/>
  <c r="V105"/>
  <c r="W105"/>
  <c r="X105"/>
  <c r="Y105"/>
  <c r="Z105"/>
  <c r="AA105"/>
  <c r="P106"/>
  <c r="R106"/>
  <c r="S106"/>
  <c r="T106"/>
  <c r="U106"/>
  <c r="V106"/>
  <c r="W106"/>
  <c r="X106"/>
  <c r="Y106"/>
  <c r="Z106"/>
  <c r="AA106"/>
  <c r="P107"/>
  <c r="R107"/>
  <c r="S107"/>
  <c r="T107"/>
  <c r="U107"/>
  <c r="V107"/>
  <c r="W107"/>
  <c r="X107"/>
  <c r="Y107"/>
  <c r="Z107"/>
  <c r="AA107"/>
  <c r="P108"/>
  <c r="R108"/>
  <c r="S108"/>
  <c r="T108"/>
  <c r="U108"/>
  <c r="V108"/>
  <c r="W108"/>
  <c r="X108"/>
  <c r="Y108"/>
  <c r="Z108"/>
  <c r="AA108"/>
  <c r="P109"/>
  <c r="R109"/>
  <c r="S109"/>
  <c r="T109"/>
  <c r="U109"/>
  <c r="V109"/>
  <c r="W109"/>
  <c r="X109"/>
  <c r="Y109"/>
  <c r="Z109"/>
  <c r="AA109"/>
  <c r="P110"/>
  <c r="R110"/>
  <c r="S110"/>
  <c r="T110"/>
  <c r="U110"/>
  <c r="V110"/>
  <c r="W110"/>
  <c r="X110"/>
  <c r="Y110"/>
  <c r="Z110"/>
  <c r="AA110"/>
  <c r="P111"/>
  <c r="R111"/>
  <c r="S111"/>
  <c r="T111"/>
  <c r="U111"/>
  <c r="V111"/>
  <c r="W111"/>
  <c r="X111"/>
  <c r="Y111"/>
  <c r="Z111"/>
  <c r="AA111"/>
  <c r="P112"/>
  <c r="R112"/>
  <c r="S112"/>
  <c r="T112"/>
  <c r="U112"/>
  <c r="V112"/>
  <c r="W112"/>
  <c r="X112"/>
  <c r="Y112"/>
  <c r="Z112"/>
  <c r="AA112"/>
  <c r="P113"/>
  <c r="R113"/>
  <c r="S113"/>
  <c r="T113"/>
  <c r="U113"/>
  <c r="V113"/>
  <c r="W113"/>
  <c r="X113"/>
  <c r="Y113"/>
  <c r="Z113"/>
  <c r="AA113"/>
  <c r="L14" i="23"/>
  <c r="L15"/>
  <c r="G38"/>
  <c r="G19" s="1"/>
  <c r="E115" i="24" s="1"/>
  <c r="K38" i="23"/>
  <c r="K19" s="1"/>
  <c r="L19" s="1"/>
  <c r="J39"/>
  <c r="J8" s="1"/>
  <c r="B9" i="33" s="1"/>
  <c r="X9" s="1"/>
  <c r="D40" i="23"/>
  <c r="F40"/>
  <c r="H40"/>
  <c r="J40"/>
  <c r="G41"/>
  <c r="G13" s="1"/>
  <c r="E109" i="24" s="1"/>
  <c r="I41" i="23"/>
  <c r="I13" s="1"/>
  <c r="K41"/>
  <c r="K13" s="1"/>
  <c r="L13" s="1"/>
  <c r="H42"/>
  <c r="J42"/>
  <c r="G43"/>
  <c r="G21" s="1"/>
  <c r="E117" i="24" s="1"/>
  <c r="I43" i="23"/>
  <c r="I21" s="1"/>
  <c r="N159" i="44" s="1"/>
  <c r="K43" i="23"/>
  <c r="K21" s="1"/>
  <c r="L21" s="1"/>
  <c r="H44"/>
  <c r="H9" s="1"/>
  <c r="J44"/>
  <c r="J9" s="1"/>
  <c r="G45"/>
  <c r="G20" s="1"/>
  <c r="E116" i="24" s="1"/>
  <c r="BG116" s="1"/>
  <c r="I45" i="23"/>
  <c r="I20" s="1"/>
  <c r="K45"/>
  <c r="K20" s="1"/>
  <c r="L20" s="1"/>
  <c r="H46"/>
  <c r="J46"/>
  <c r="J14" s="1"/>
  <c r="G47"/>
  <c r="G18" s="1"/>
  <c r="E114" i="24" s="1"/>
  <c r="I47" i="23"/>
  <c r="I18" s="1"/>
  <c r="N156" i="44" s="1"/>
  <c r="K47" i="23"/>
  <c r="K18" s="1"/>
  <c r="L18" s="1"/>
  <c r="H48"/>
  <c r="H17" s="1"/>
  <c r="E184" i="44" s="1"/>
  <c r="E206" s="1"/>
  <c r="J48" i="23"/>
  <c r="J17" s="1"/>
  <c r="G49"/>
  <c r="G16" s="1"/>
  <c r="E112" i="24" s="1"/>
  <c r="I49" i="23"/>
  <c r="I16" s="1"/>
  <c r="K49"/>
  <c r="K16" s="1"/>
  <c r="L16" s="1"/>
  <c r="H50"/>
  <c r="H12" s="1"/>
  <c r="J50"/>
  <c r="J12" s="1"/>
  <c r="H51"/>
  <c r="J51"/>
  <c r="I52"/>
  <c r="I6" s="1"/>
  <c r="H55"/>
  <c r="H11" s="1"/>
  <c r="E101" s="1"/>
  <c r="J55"/>
  <c r="J11" s="1"/>
  <c r="B71" i="33" s="1"/>
  <c r="X71" s="1"/>
  <c r="D56" i="23"/>
  <c r="F56"/>
  <c r="H56"/>
  <c r="J56"/>
  <c r="D57"/>
  <c r="F57"/>
  <c r="H57"/>
  <c r="J57"/>
  <c r="J58"/>
  <c r="J25" s="1"/>
  <c r="D59"/>
  <c r="F59"/>
  <c r="H59"/>
  <c r="J59"/>
  <c r="D60"/>
  <c r="F60"/>
  <c r="H60"/>
  <c r="J60"/>
  <c r="D61"/>
  <c r="F61"/>
  <c r="H61"/>
  <c r="J61"/>
  <c r="D62"/>
  <c r="F62"/>
  <c r="H62"/>
  <c r="J62"/>
  <c r="D63"/>
  <c r="F63"/>
  <c r="H63"/>
  <c r="J63"/>
  <c r="J22" s="1"/>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68"/>
  <c r="C68"/>
  <c r="D68"/>
  <c r="E68"/>
  <c r="F68"/>
  <c r="G68"/>
  <c r="H68"/>
  <c r="B69"/>
  <c r="C69"/>
  <c r="D69"/>
  <c r="E69"/>
  <c r="F69"/>
  <c r="G69"/>
  <c r="H69"/>
  <c r="B70"/>
  <c r="C70"/>
  <c r="D70"/>
  <c r="E70"/>
  <c r="F70"/>
  <c r="G70"/>
  <c r="H70"/>
  <c r="B71"/>
  <c r="C71"/>
  <c r="D71"/>
  <c r="E71"/>
  <c r="F71"/>
  <c r="G71"/>
  <c r="H71"/>
  <c r="B72"/>
  <c r="C72"/>
  <c r="D72"/>
  <c r="E72"/>
  <c r="F72"/>
  <c r="G72"/>
  <c r="H72"/>
  <c r="B73"/>
  <c r="C73"/>
  <c r="D73"/>
  <c r="E73"/>
  <c r="F73"/>
  <c r="G73"/>
  <c r="H73"/>
  <c r="B74"/>
  <c r="C74"/>
  <c r="D74"/>
  <c r="E74"/>
  <c r="F74"/>
  <c r="G74"/>
  <c r="H74"/>
  <c r="B75"/>
  <c r="C75"/>
  <c r="D75"/>
  <c r="E75"/>
  <c r="F75"/>
  <c r="G75"/>
  <c r="H75"/>
  <c r="B76"/>
  <c r="C76"/>
  <c r="D76"/>
  <c r="E76"/>
  <c r="F76"/>
  <c r="G76"/>
  <c r="H76"/>
  <c r="B77"/>
  <c r="C77"/>
  <c r="D77"/>
  <c r="E77"/>
  <c r="F77"/>
  <c r="G77"/>
  <c r="H77"/>
  <c r="B78"/>
  <c r="C78"/>
  <c r="D78"/>
  <c r="E78"/>
  <c r="F78"/>
  <c r="G78"/>
  <c r="H78"/>
  <c r="B79"/>
  <c r="C79"/>
  <c r="D79"/>
  <c r="E79"/>
  <c r="F79"/>
  <c r="G79"/>
  <c r="H79"/>
  <c r="B80"/>
  <c r="C80"/>
  <c r="D80"/>
  <c r="E80"/>
  <c r="F80"/>
  <c r="G80"/>
  <c r="H80"/>
  <c r="B81"/>
  <c r="C81"/>
  <c r="D81"/>
  <c r="E81"/>
  <c r="F81"/>
  <c r="G81"/>
  <c r="H81"/>
  <c r="B82"/>
  <c r="C82"/>
  <c r="D82"/>
  <c r="E82"/>
  <c r="F82"/>
  <c r="G82"/>
  <c r="H82"/>
  <c r="B83"/>
  <c r="C83"/>
  <c r="D83"/>
  <c r="E83"/>
  <c r="F83"/>
  <c r="G83"/>
  <c r="H83"/>
  <c r="B84"/>
  <c r="C84"/>
  <c r="D84"/>
  <c r="C212"/>
  <c r="E84"/>
  <c r="D212"/>
  <c r="G84"/>
  <c r="B85"/>
  <c r="C85"/>
  <c r="D85"/>
  <c r="E85"/>
  <c r="F85"/>
  <c r="G85"/>
  <c r="H85"/>
  <c r="B86"/>
  <c r="C86"/>
  <c r="D86"/>
  <c r="E86"/>
  <c r="F86"/>
  <c r="G86"/>
  <c r="H86"/>
  <c r="B87"/>
  <c r="C87"/>
  <c r="D87"/>
  <c r="E87"/>
  <c r="F87"/>
  <c r="G87"/>
  <c r="H87"/>
  <c r="B96"/>
  <c r="B97"/>
  <c r="B98"/>
  <c r="B99"/>
  <c r="B100"/>
  <c r="B101"/>
  <c r="B102"/>
  <c r="B103"/>
  <c r="B104"/>
  <c r="E104"/>
  <c r="B105"/>
  <c r="E105"/>
  <c r="B106"/>
  <c r="B107"/>
  <c r="B108"/>
  <c r="B109"/>
  <c r="B110"/>
  <c r="B111"/>
  <c r="B112"/>
  <c r="B113"/>
  <c r="B114"/>
  <c r="B115"/>
  <c r="G118"/>
  <c r="H118"/>
  <c r="I118"/>
  <c r="J118"/>
  <c r="K118"/>
  <c r="L118"/>
  <c r="M118"/>
  <c r="N118"/>
  <c r="O118"/>
  <c r="P118"/>
  <c r="Q118"/>
  <c r="R118"/>
  <c r="S118"/>
  <c r="T118"/>
  <c r="U118"/>
  <c r="V118"/>
  <c r="W118"/>
  <c r="X118"/>
  <c r="Y118"/>
  <c r="Z118"/>
  <c r="AA118"/>
  <c r="AB118"/>
  <c r="AC118"/>
  <c r="F119"/>
  <c r="F120"/>
  <c r="F121"/>
  <c r="F122"/>
  <c r="F123"/>
  <c r="F124"/>
  <c r="F125"/>
  <c r="F126"/>
  <c r="F127"/>
  <c r="F128"/>
  <c r="F129"/>
  <c r="F130"/>
  <c r="F131"/>
  <c r="F132"/>
  <c r="F133"/>
  <c r="B147"/>
  <c r="B148"/>
  <c r="B149"/>
  <c r="B150"/>
  <c r="B151"/>
  <c r="B152"/>
  <c r="B153"/>
  <c r="B154"/>
  <c r="B155"/>
  <c r="B156"/>
  <c r="B157"/>
  <c r="B158"/>
  <c r="B159"/>
  <c r="B160"/>
  <c r="B161"/>
  <c r="B162"/>
  <c r="B163"/>
  <c r="B164"/>
  <c r="B165"/>
  <c r="B166"/>
  <c r="B170"/>
  <c r="B171"/>
  <c r="B172"/>
  <c r="B173"/>
  <c r="B174"/>
  <c r="B175"/>
  <c r="B176"/>
  <c r="B177"/>
  <c r="B178"/>
  <c r="B179"/>
  <c r="B180"/>
  <c r="B181"/>
  <c r="B182"/>
  <c r="B183"/>
  <c r="B184"/>
  <c r="B185"/>
  <c r="B186"/>
  <c r="B187"/>
  <c r="B188"/>
  <c r="B189"/>
  <c r="B196"/>
  <c r="C196"/>
  <c r="D196"/>
  <c r="E196"/>
  <c r="F196"/>
  <c r="B197"/>
  <c r="C197"/>
  <c r="D197"/>
  <c r="E197"/>
  <c r="F197"/>
  <c r="B198"/>
  <c r="C198"/>
  <c r="D198"/>
  <c r="E198"/>
  <c r="F198"/>
  <c r="B199"/>
  <c r="C199"/>
  <c r="D199"/>
  <c r="E199"/>
  <c r="F199"/>
  <c r="B200"/>
  <c r="C200"/>
  <c r="D200"/>
  <c r="E200"/>
  <c r="F200"/>
  <c r="B201"/>
  <c r="C201"/>
  <c r="D201"/>
  <c r="E201"/>
  <c r="F201"/>
  <c r="B202"/>
  <c r="C202"/>
  <c r="D202"/>
  <c r="E202"/>
  <c r="F202"/>
  <c r="B203"/>
  <c r="C203"/>
  <c r="D203"/>
  <c r="E203"/>
  <c r="F203"/>
  <c r="B204"/>
  <c r="C204"/>
  <c r="D204"/>
  <c r="E204"/>
  <c r="F204"/>
  <c r="B205"/>
  <c r="C205"/>
  <c r="D205"/>
  <c r="E205"/>
  <c r="F205"/>
  <c r="B206"/>
  <c r="C206"/>
  <c r="D206"/>
  <c r="E206"/>
  <c r="F206"/>
  <c r="B207"/>
  <c r="C207"/>
  <c r="D207"/>
  <c r="E207"/>
  <c r="F207"/>
  <c r="B208"/>
  <c r="C208"/>
  <c r="D208"/>
  <c r="E208"/>
  <c r="F208"/>
  <c r="B209"/>
  <c r="C209"/>
  <c r="D209"/>
  <c r="E209"/>
  <c r="F209"/>
  <c r="B210"/>
  <c r="C210"/>
  <c r="D210"/>
  <c r="E210"/>
  <c r="F210"/>
  <c r="B211"/>
  <c r="C211"/>
  <c r="D211"/>
  <c r="E211"/>
  <c r="F211"/>
  <c r="B212"/>
  <c r="B213"/>
  <c r="C213"/>
  <c r="D213"/>
  <c r="E213"/>
  <c r="F213"/>
  <c r="B214"/>
  <c r="C214"/>
  <c r="D214"/>
  <c r="E214"/>
  <c r="F214"/>
  <c r="B215"/>
  <c r="C215"/>
  <c r="D215"/>
  <c r="E215"/>
  <c r="F215"/>
  <c r="C217"/>
  <c r="B220"/>
  <c r="B221"/>
  <c r="B222"/>
  <c r="B223"/>
  <c r="B224"/>
  <c r="B225"/>
  <c r="B226"/>
  <c r="B227"/>
  <c r="B228"/>
  <c r="B229"/>
  <c r="B230"/>
  <c r="B231"/>
  <c r="B232"/>
  <c r="B233"/>
  <c r="B234"/>
  <c r="B235"/>
  <c r="B236"/>
  <c r="B237"/>
  <c r="B238"/>
  <c r="B239"/>
  <c r="B244"/>
  <c r="I244"/>
  <c r="J244"/>
  <c r="K244"/>
  <c r="L244"/>
  <c r="M244"/>
  <c r="N244"/>
  <c r="O244"/>
  <c r="P244"/>
  <c r="Q244"/>
  <c r="R244"/>
  <c r="S244"/>
  <c r="T244"/>
  <c r="U244"/>
  <c r="V244"/>
  <c r="W244"/>
  <c r="X244"/>
  <c r="Y244"/>
  <c r="Z244"/>
  <c r="AA244"/>
  <c r="AB244"/>
  <c r="AC244"/>
  <c r="AD244"/>
  <c r="AE244"/>
  <c r="AF244"/>
  <c r="AG244"/>
  <c r="B245"/>
  <c r="I245"/>
  <c r="J245"/>
  <c r="K245"/>
  <c r="L245"/>
  <c r="M245"/>
  <c r="N245"/>
  <c r="O245"/>
  <c r="P245"/>
  <c r="Q245"/>
  <c r="R245"/>
  <c r="S245"/>
  <c r="T245"/>
  <c r="U245"/>
  <c r="V245"/>
  <c r="W245"/>
  <c r="X245"/>
  <c r="Y245"/>
  <c r="Z245"/>
  <c r="AA245"/>
  <c r="AB245"/>
  <c r="AC245"/>
  <c r="AD245"/>
  <c r="AE245"/>
  <c r="AF245"/>
  <c r="AG245"/>
  <c r="B246"/>
  <c r="I246"/>
  <c r="J246"/>
  <c r="K246"/>
  <c r="L246"/>
  <c r="M246"/>
  <c r="N246"/>
  <c r="O246"/>
  <c r="P246"/>
  <c r="Q246"/>
  <c r="R246"/>
  <c r="S246"/>
  <c r="T246"/>
  <c r="U246"/>
  <c r="V246"/>
  <c r="W246"/>
  <c r="X246"/>
  <c r="Y246"/>
  <c r="Z246"/>
  <c r="AA246"/>
  <c r="AB246"/>
  <c r="AC246"/>
  <c r="AD246"/>
  <c r="AE246"/>
  <c r="AF246"/>
  <c r="AG246"/>
  <c r="B247"/>
  <c r="H247"/>
  <c r="I247"/>
  <c r="J247"/>
  <c r="K247"/>
  <c r="L247"/>
  <c r="M247"/>
  <c r="N247"/>
  <c r="O247"/>
  <c r="P247"/>
  <c r="Q247"/>
  <c r="R247"/>
  <c r="S247"/>
  <c r="T247"/>
  <c r="U247"/>
  <c r="V247"/>
  <c r="W247"/>
  <c r="X247"/>
  <c r="Y247"/>
  <c r="Z247"/>
  <c r="AA247"/>
  <c r="AB247"/>
  <c r="AC247"/>
  <c r="AD247"/>
  <c r="AE247"/>
  <c r="AF247"/>
  <c r="AG247"/>
  <c r="B248"/>
  <c r="H248"/>
  <c r="I248"/>
  <c r="J248"/>
  <c r="K248"/>
  <c r="L248"/>
  <c r="M248"/>
  <c r="N248"/>
  <c r="O248"/>
  <c r="P248"/>
  <c r="Q248"/>
  <c r="R248"/>
  <c r="S248"/>
  <c r="T248"/>
  <c r="U248"/>
  <c r="V248"/>
  <c r="W248"/>
  <c r="X248"/>
  <c r="Y248"/>
  <c r="Z248"/>
  <c r="AA248"/>
  <c r="AB248"/>
  <c r="AC248"/>
  <c r="AD248"/>
  <c r="AE248"/>
  <c r="AF248"/>
  <c r="AG248"/>
  <c r="B249"/>
  <c r="H249"/>
  <c r="I249"/>
  <c r="J249"/>
  <c r="K249"/>
  <c r="L249"/>
  <c r="M249"/>
  <c r="N249"/>
  <c r="O249"/>
  <c r="P249"/>
  <c r="Q249"/>
  <c r="R249"/>
  <c r="S249"/>
  <c r="T249"/>
  <c r="U249"/>
  <c r="V249"/>
  <c r="W249"/>
  <c r="X249"/>
  <c r="Y249"/>
  <c r="Z249"/>
  <c r="AA249"/>
  <c r="AB249"/>
  <c r="AC249"/>
  <c r="AD249"/>
  <c r="AE249"/>
  <c r="AF249"/>
  <c r="AG249"/>
  <c r="B250"/>
  <c r="I250"/>
  <c r="J250" s="1"/>
  <c r="K250" s="1"/>
  <c r="B251"/>
  <c r="I251"/>
  <c r="J251" s="1"/>
  <c r="K251" s="1"/>
  <c r="L251" s="1"/>
  <c r="M251" s="1"/>
  <c r="N251" s="1"/>
  <c r="O251" s="1"/>
  <c r="P251" s="1"/>
  <c r="Q251" s="1"/>
  <c r="R251" s="1"/>
  <c r="S251" s="1"/>
  <c r="T251" s="1"/>
  <c r="U251" s="1"/>
  <c r="V251" s="1"/>
  <c r="W251" s="1"/>
  <c r="X251" s="1"/>
  <c r="Y251" s="1"/>
  <c r="Z251" s="1"/>
  <c r="AA251" s="1"/>
  <c r="AB251" s="1"/>
  <c r="AC251" s="1"/>
  <c r="AD251" s="1"/>
  <c r="AE251" s="1"/>
  <c r="AF251" s="1"/>
  <c r="AG251" s="1"/>
  <c r="B252"/>
  <c r="I252"/>
  <c r="J252"/>
  <c r="K252"/>
  <c r="L252"/>
  <c r="M252"/>
  <c r="N252"/>
  <c r="O252"/>
  <c r="P252"/>
  <c r="Q252"/>
  <c r="R252"/>
  <c r="S252"/>
  <c r="T252"/>
  <c r="U252"/>
  <c r="V252"/>
  <c r="W252"/>
  <c r="X252"/>
  <c r="Y252"/>
  <c r="Z252"/>
  <c r="AA252"/>
  <c r="AB252"/>
  <c r="AC252"/>
  <c r="AD252"/>
  <c r="AE252"/>
  <c r="AF252"/>
  <c r="AG252"/>
  <c r="B253"/>
  <c r="I253"/>
  <c r="J253"/>
  <c r="K253"/>
  <c r="L253"/>
  <c r="M253"/>
  <c r="N253"/>
  <c r="O253"/>
  <c r="P253"/>
  <c r="Q253"/>
  <c r="R253"/>
  <c r="S253"/>
  <c r="T253"/>
  <c r="U253"/>
  <c r="V253"/>
  <c r="W253"/>
  <c r="X253"/>
  <c r="Y253"/>
  <c r="Z253"/>
  <c r="AA253"/>
  <c r="AB253"/>
  <c r="AC253"/>
  <c r="AD253"/>
  <c r="AE253"/>
  <c r="AF253"/>
  <c r="AG253"/>
  <c r="B254"/>
  <c r="I254"/>
  <c r="J254"/>
  <c r="K254"/>
  <c r="L254"/>
  <c r="M254"/>
  <c r="N254"/>
  <c r="O254"/>
  <c r="P254"/>
  <c r="Q254"/>
  <c r="R254"/>
  <c r="S254"/>
  <c r="T254"/>
  <c r="U254"/>
  <c r="V254"/>
  <c r="W254"/>
  <c r="X254"/>
  <c r="Y254"/>
  <c r="Z254"/>
  <c r="AA254"/>
  <c r="AB254"/>
  <c r="AC254"/>
  <c r="AD254"/>
  <c r="AE254"/>
  <c r="AF254"/>
  <c r="AG254"/>
  <c r="B255"/>
  <c r="I255"/>
  <c r="J255"/>
  <c r="K255"/>
  <c r="L255"/>
  <c r="M255"/>
  <c r="N255"/>
  <c r="O255"/>
  <c r="P255"/>
  <c r="Q255"/>
  <c r="R255"/>
  <c r="S255"/>
  <c r="T255"/>
  <c r="U255"/>
  <c r="V255"/>
  <c r="W255"/>
  <c r="X255"/>
  <c r="Y255"/>
  <c r="Z255"/>
  <c r="AA255"/>
  <c r="AB255"/>
  <c r="AC255"/>
  <c r="AD255"/>
  <c r="AE255"/>
  <c r="AF255"/>
  <c r="AG255"/>
  <c r="B256"/>
  <c r="I256"/>
  <c r="J256"/>
  <c r="K256"/>
  <c r="L256"/>
  <c r="M256"/>
  <c r="N256"/>
  <c r="O256"/>
  <c r="P256"/>
  <c r="Q256"/>
  <c r="R256"/>
  <c r="S256"/>
  <c r="T256"/>
  <c r="U256"/>
  <c r="V256"/>
  <c r="W256"/>
  <c r="X256"/>
  <c r="Y256"/>
  <c r="Z256"/>
  <c r="AA256"/>
  <c r="AB256"/>
  <c r="AC256"/>
  <c r="AD256"/>
  <c r="AE256"/>
  <c r="AF256"/>
  <c r="AG256"/>
  <c r="B257"/>
  <c r="I257"/>
  <c r="J257"/>
  <c r="K257"/>
  <c r="L257"/>
  <c r="M257"/>
  <c r="N257"/>
  <c r="O257"/>
  <c r="P257"/>
  <c r="Q257"/>
  <c r="R257"/>
  <c r="S257"/>
  <c r="T257"/>
  <c r="U257"/>
  <c r="V257"/>
  <c r="W257"/>
  <c r="X257"/>
  <c r="Y257"/>
  <c r="Z257"/>
  <c r="AA257"/>
  <c r="AB257"/>
  <c r="AC257"/>
  <c r="AD257"/>
  <c r="AE257"/>
  <c r="AF257"/>
  <c r="AG257"/>
  <c r="B258"/>
  <c r="I258"/>
  <c r="J258"/>
  <c r="K258"/>
  <c r="L258"/>
  <c r="M258"/>
  <c r="N258"/>
  <c r="O258"/>
  <c r="P258"/>
  <c r="Q258"/>
  <c r="R258"/>
  <c r="S258"/>
  <c r="T258"/>
  <c r="U258"/>
  <c r="V258"/>
  <c r="W258"/>
  <c r="X258"/>
  <c r="Y258"/>
  <c r="Z258"/>
  <c r="AA258"/>
  <c r="AB258"/>
  <c r="AC258"/>
  <c r="AD258"/>
  <c r="AE258"/>
  <c r="AF258"/>
  <c r="AG258"/>
  <c r="B259"/>
  <c r="I259"/>
  <c r="J259"/>
  <c r="K259"/>
  <c r="L259"/>
  <c r="M259"/>
  <c r="N259"/>
  <c r="O259"/>
  <c r="P259"/>
  <c r="Q259"/>
  <c r="R259"/>
  <c r="S259"/>
  <c r="T259"/>
  <c r="U259"/>
  <c r="V259"/>
  <c r="W259"/>
  <c r="X259"/>
  <c r="Y259"/>
  <c r="Z259"/>
  <c r="AA259"/>
  <c r="AB259"/>
  <c r="AC259"/>
  <c r="AD259"/>
  <c r="AE259"/>
  <c r="AF259"/>
  <c r="AG259"/>
  <c r="B260"/>
  <c r="I260"/>
  <c r="J260"/>
  <c r="K260"/>
  <c r="L260"/>
  <c r="M260"/>
  <c r="N260"/>
  <c r="O260"/>
  <c r="P260"/>
  <c r="Q260"/>
  <c r="R260"/>
  <c r="S260"/>
  <c r="T260"/>
  <c r="U260"/>
  <c r="V260"/>
  <c r="W260"/>
  <c r="X260"/>
  <c r="Y260"/>
  <c r="Z260"/>
  <c r="AA260"/>
  <c r="AB260"/>
  <c r="AC260"/>
  <c r="AD260"/>
  <c r="AE260"/>
  <c r="AF260"/>
  <c r="AG260"/>
  <c r="B261"/>
  <c r="I261"/>
  <c r="J261"/>
  <c r="K261"/>
  <c r="L261"/>
  <c r="M261"/>
  <c r="N261"/>
  <c r="O261"/>
  <c r="P261"/>
  <c r="Q261"/>
  <c r="R261"/>
  <c r="S261"/>
  <c r="T261"/>
  <c r="U261"/>
  <c r="V261"/>
  <c r="W261"/>
  <c r="X261"/>
  <c r="Y261"/>
  <c r="Z261"/>
  <c r="AA261"/>
  <c r="AB261"/>
  <c r="AC261"/>
  <c r="AD261"/>
  <c r="AE261"/>
  <c r="AF261"/>
  <c r="AG261"/>
  <c r="B262"/>
  <c r="I262"/>
  <c r="J262"/>
  <c r="K262"/>
  <c r="L262"/>
  <c r="M262"/>
  <c r="N262"/>
  <c r="O262"/>
  <c r="P262"/>
  <c r="Q262"/>
  <c r="R262"/>
  <c r="S262"/>
  <c r="T262"/>
  <c r="U262"/>
  <c r="V262"/>
  <c r="W262"/>
  <c r="X262"/>
  <c r="Y262"/>
  <c r="Z262"/>
  <c r="AA262"/>
  <c r="AB262"/>
  <c r="AC262"/>
  <c r="AD262"/>
  <c r="AE262"/>
  <c r="AF262"/>
  <c r="AG262"/>
  <c r="B263"/>
  <c r="I263"/>
  <c r="J263"/>
  <c r="K263"/>
  <c r="L263"/>
  <c r="M263"/>
  <c r="N263"/>
  <c r="O263"/>
  <c r="P263"/>
  <c r="Q263"/>
  <c r="R263"/>
  <c r="S263"/>
  <c r="T263"/>
  <c r="U263"/>
  <c r="V263"/>
  <c r="W263"/>
  <c r="X263"/>
  <c r="Y263"/>
  <c r="Z263"/>
  <c r="AA263"/>
  <c r="AB263"/>
  <c r="AC263"/>
  <c r="AD263"/>
  <c r="AE263"/>
  <c r="AF263"/>
  <c r="AG263"/>
  <c r="B264"/>
  <c r="I264"/>
  <c r="J264" s="1"/>
  <c r="B265"/>
  <c r="I265"/>
  <c r="J265"/>
  <c r="K265"/>
  <c r="L265"/>
  <c r="M265"/>
  <c r="N265"/>
  <c r="O265"/>
  <c r="P265"/>
  <c r="Q265"/>
  <c r="R265"/>
  <c r="S265"/>
  <c r="T265"/>
  <c r="U265"/>
  <c r="V265"/>
  <c r="W265"/>
  <c r="X265"/>
  <c r="Y265"/>
  <c r="Z265"/>
  <c r="AA265"/>
  <c r="AB265"/>
  <c r="AC265"/>
  <c r="AD265"/>
  <c r="AE265"/>
  <c r="AF265"/>
  <c r="AG265"/>
  <c r="B266"/>
  <c r="I266"/>
  <c r="J266"/>
  <c r="K266"/>
  <c r="L266"/>
  <c r="M266"/>
  <c r="N266"/>
  <c r="O266"/>
  <c r="P266"/>
  <c r="Q266"/>
  <c r="R266"/>
  <c r="S266"/>
  <c r="T266"/>
  <c r="U266"/>
  <c r="V266"/>
  <c r="W266"/>
  <c r="X266"/>
  <c r="Y266"/>
  <c r="Z266"/>
  <c r="AA266"/>
  <c r="AB266"/>
  <c r="AC266"/>
  <c r="AD266"/>
  <c r="AE266"/>
  <c r="AF266"/>
  <c r="AG266"/>
  <c r="B267"/>
  <c r="I267"/>
  <c r="J267"/>
  <c r="K267"/>
  <c r="L267"/>
  <c r="M267"/>
  <c r="N267"/>
  <c r="O267"/>
  <c r="P267"/>
  <c r="Q267"/>
  <c r="R267"/>
  <c r="S267"/>
  <c r="T267"/>
  <c r="U267"/>
  <c r="V267"/>
  <c r="W267"/>
  <c r="X267"/>
  <c r="Y267"/>
  <c r="Z267"/>
  <c r="AA267"/>
  <c r="AB267"/>
  <c r="AC267"/>
  <c r="AD267"/>
  <c r="AE267"/>
  <c r="AF267"/>
  <c r="AG267"/>
  <c r="B268"/>
  <c r="I268"/>
  <c r="J268"/>
  <c r="K268"/>
  <c r="L268"/>
  <c r="M268"/>
  <c r="N268"/>
  <c r="O268"/>
  <c r="P268"/>
  <c r="Q268"/>
  <c r="R268"/>
  <c r="S268"/>
  <c r="T268"/>
  <c r="U268"/>
  <c r="V268"/>
  <c r="W268"/>
  <c r="X268"/>
  <c r="Y268"/>
  <c r="Z268"/>
  <c r="AA268"/>
  <c r="AB268"/>
  <c r="AC268"/>
  <c r="AD268"/>
  <c r="AE268"/>
  <c r="AF268"/>
  <c r="AG268"/>
  <c r="B269"/>
  <c r="I269"/>
  <c r="J269"/>
  <c r="K269"/>
  <c r="L269"/>
  <c r="M269"/>
  <c r="N269"/>
  <c r="O269"/>
  <c r="P269"/>
  <c r="Q269"/>
  <c r="R269"/>
  <c r="S269"/>
  <c r="T269"/>
  <c r="U269"/>
  <c r="V269"/>
  <c r="W269"/>
  <c r="X269"/>
  <c r="Y269"/>
  <c r="Z269"/>
  <c r="AA269"/>
  <c r="AB269"/>
  <c r="AC269"/>
  <c r="AD269"/>
  <c r="AE269"/>
  <c r="AF269"/>
  <c r="AG269"/>
  <c r="B273"/>
  <c r="I273"/>
  <c r="J273" s="1"/>
  <c r="K273" s="1"/>
  <c r="L273" s="1"/>
  <c r="M273" s="1"/>
  <c r="N273" s="1"/>
  <c r="O273" s="1"/>
  <c r="P273" s="1"/>
  <c r="Q273" s="1"/>
  <c r="R273" s="1"/>
  <c r="S273" s="1"/>
  <c r="T273" s="1"/>
  <c r="U273" s="1"/>
  <c r="V273" s="1"/>
  <c r="W273" s="1"/>
  <c r="X273" s="1"/>
  <c r="Y273" s="1"/>
  <c r="Z273" s="1"/>
  <c r="AA273" s="1"/>
  <c r="AB273" s="1"/>
  <c r="AC273" s="1"/>
  <c r="AD273" s="1"/>
  <c r="AE273" s="1"/>
  <c r="AF273" s="1"/>
  <c r="AG273" s="1"/>
  <c r="B274"/>
  <c r="I274"/>
  <c r="J274" s="1"/>
  <c r="K274" s="1"/>
  <c r="L274" s="1"/>
  <c r="M274" s="1"/>
  <c r="N274" s="1"/>
  <c r="O274" s="1"/>
  <c r="P274" s="1"/>
  <c r="Q274" s="1"/>
  <c r="R274" s="1"/>
  <c r="S274" s="1"/>
  <c r="T274" s="1"/>
  <c r="U274" s="1"/>
  <c r="V274" s="1"/>
  <c r="W274" s="1"/>
  <c r="X274" s="1"/>
  <c r="Y274" s="1"/>
  <c r="Z274" s="1"/>
  <c r="AA274" s="1"/>
  <c r="AB274" s="1"/>
  <c r="AC274" s="1"/>
  <c r="AD274" s="1"/>
  <c r="AE274" s="1"/>
  <c r="AF274" s="1"/>
  <c r="AG274" s="1"/>
  <c r="B275"/>
  <c r="I275"/>
  <c r="J275" s="1"/>
  <c r="K275" s="1"/>
  <c r="L275" s="1"/>
  <c r="M275" s="1"/>
  <c r="N275" s="1"/>
  <c r="O275" s="1"/>
  <c r="P275" s="1"/>
  <c r="Q275" s="1"/>
  <c r="R275" s="1"/>
  <c r="S275" s="1"/>
  <c r="T275" s="1"/>
  <c r="U275" s="1"/>
  <c r="V275" s="1"/>
  <c r="W275" s="1"/>
  <c r="X275" s="1"/>
  <c r="Y275" s="1"/>
  <c r="Z275" s="1"/>
  <c r="AA275" s="1"/>
  <c r="AB275" s="1"/>
  <c r="AC275" s="1"/>
  <c r="AD275" s="1"/>
  <c r="AE275" s="1"/>
  <c r="AF275" s="1"/>
  <c r="AG275" s="1"/>
  <c r="B276"/>
  <c r="I276"/>
  <c r="J276"/>
  <c r="K276"/>
  <c r="L276"/>
  <c r="M276"/>
  <c r="N276"/>
  <c r="O276"/>
  <c r="P276"/>
  <c r="Q276"/>
  <c r="R276"/>
  <c r="S276"/>
  <c r="T276"/>
  <c r="U276"/>
  <c r="V276"/>
  <c r="W276"/>
  <c r="X276"/>
  <c r="Y276"/>
  <c r="Z276"/>
  <c r="AA276"/>
  <c r="AB276"/>
  <c r="AC276"/>
  <c r="AD276"/>
  <c r="AE276"/>
  <c r="AF276"/>
  <c r="AG276"/>
  <c r="B277"/>
  <c r="I277"/>
  <c r="J277"/>
  <c r="K277"/>
  <c r="L277"/>
  <c r="M277"/>
  <c r="N277"/>
  <c r="O277"/>
  <c r="P277"/>
  <c r="Q277"/>
  <c r="R277"/>
  <c r="S277"/>
  <c r="T277"/>
  <c r="U277"/>
  <c r="V277"/>
  <c r="W277"/>
  <c r="X277"/>
  <c r="Y277"/>
  <c r="Z277"/>
  <c r="AA277"/>
  <c r="AB277"/>
  <c r="AC277"/>
  <c r="AD277"/>
  <c r="AE277"/>
  <c r="AF277"/>
  <c r="AG277"/>
  <c r="B278"/>
  <c r="I278"/>
  <c r="J278"/>
  <c r="K278"/>
  <c r="L278"/>
  <c r="M278"/>
  <c r="N278"/>
  <c r="O278"/>
  <c r="P278"/>
  <c r="Q278"/>
  <c r="R278"/>
  <c r="S278"/>
  <c r="T278"/>
  <c r="U278"/>
  <c r="V278"/>
  <c r="W278"/>
  <c r="X278"/>
  <c r="Y278"/>
  <c r="Z278"/>
  <c r="AA278"/>
  <c r="AB278"/>
  <c r="AC278"/>
  <c r="AD278"/>
  <c r="AE278"/>
  <c r="AF278"/>
  <c r="AG278"/>
  <c r="B279"/>
  <c r="I279"/>
  <c r="J279" s="1"/>
  <c r="K279" s="1"/>
  <c r="B280"/>
  <c r="I280"/>
  <c r="J280" s="1"/>
  <c r="K280" s="1"/>
  <c r="L280" s="1"/>
  <c r="M280" s="1"/>
  <c r="N280" s="1"/>
  <c r="O280" s="1"/>
  <c r="P280" s="1"/>
  <c r="Q280" s="1"/>
  <c r="R280" s="1"/>
  <c r="S280" s="1"/>
  <c r="T280" s="1"/>
  <c r="U280" s="1"/>
  <c r="V280" s="1"/>
  <c r="W280" s="1"/>
  <c r="X280" s="1"/>
  <c r="Y280" s="1"/>
  <c r="Z280" s="1"/>
  <c r="AA280" s="1"/>
  <c r="AB280" s="1"/>
  <c r="AC280" s="1"/>
  <c r="AD280" s="1"/>
  <c r="AE280" s="1"/>
  <c r="AF280" s="1"/>
  <c r="AG280" s="1"/>
  <c r="B281"/>
  <c r="I281"/>
  <c r="J281"/>
  <c r="K281"/>
  <c r="L281"/>
  <c r="M281"/>
  <c r="N281"/>
  <c r="O281"/>
  <c r="P281"/>
  <c r="Q281"/>
  <c r="R281"/>
  <c r="S281"/>
  <c r="T281"/>
  <c r="U281"/>
  <c r="V281"/>
  <c r="W281"/>
  <c r="X281"/>
  <c r="Y281"/>
  <c r="Z281"/>
  <c r="AA281"/>
  <c r="AB281"/>
  <c r="AC281"/>
  <c r="AD281"/>
  <c r="AE281"/>
  <c r="AF281"/>
  <c r="AG281"/>
  <c r="B282"/>
  <c r="I282"/>
  <c r="J282"/>
  <c r="K282"/>
  <c r="L282"/>
  <c r="M282"/>
  <c r="N282"/>
  <c r="O282"/>
  <c r="P282"/>
  <c r="Q282"/>
  <c r="R282"/>
  <c r="S282"/>
  <c r="T282"/>
  <c r="U282"/>
  <c r="V282"/>
  <c r="W282"/>
  <c r="X282"/>
  <c r="Y282"/>
  <c r="Z282"/>
  <c r="AA282"/>
  <c r="AB282"/>
  <c r="AC282"/>
  <c r="AD282"/>
  <c r="AE282"/>
  <c r="AF282"/>
  <c r="AG282"/>
  <c r="B283"/>
  <c r="I283"/>
  <c r="J283"/>
  <c r="K283"/>
  <c r="L283"/>
  <c r="M283"/>
  <c r="N283"/>
  <c r="O283"/>
  <c r="P283"/>
  <c r="Q283"/>
  <c r="R283"/>
  <c r="S283"/>
  <c r="T283"/>
  <c r="U283"/>
  <c r="V283"/>
  <c r="W283"/>
  <c r="X283"/>
  <c r="Y283"/>
  <c r="Z283"/>
  <c r="AA283"/>
  <c r="AB283"/>
  <c r="AC283"/>
  <c r="AD283"/>
  <c r="AE283"/>
  <c r="AF283"/>
  <c r="AG283"/>
  <c r="B284"/>
  <c r="I284"/>
  <c r="J284"/>
  <c r="K284"/>
  <c r="L284"/>
  <c r="M284"/>
  <c r="N284"/>
  <c r="O284"/>
  <c r="P284"/>
  <c r="Q284"/>
  <c r="R284"/>
  <c r="S284"/>
  <c r="T284"/>
  <c r="U284"/>
  <c r="V284"/>
  <c r="W284"/>
  <c r="X284"/>
  <c r="Y284"/>
  <c r="Z284"/>
  <c r="AA284"/>
  <c r="AB284"/>
  <c r="AC284"/>
  <c r="AD284"/>
  <c r="AE284"/>
  <c r="AF284"/>
  <c r="AG284"/>
  <c r="B285"/>
  <c r="I285"/>
  <c r="J285"/>
  <c r="K285"/>
  <c r="L285"/>
  <c r="M285"/>
  <c r="N285"/>
  <c r="O285"/>
  <c r="P285"/>
  <c r="Q285"/>
  <c r="R285"/>
  <c r="S285"/>
  <c r="T285"/>
  <c r="U285"/>
  <c r="V285"/>
  <c r="W285"/>
  <c r="X285"/>
  <c r="Y285"/>
  <c r="Z285"/>
  <c r="AA285"/>
  <c r="AB285"/>
  <c r="AC285"/>
  <c r="AD285"/>
  <c r="AE285"/>
  <c r="AF285"/>
  <c r="AG285"/>
  <c r="B286"/>
  <c r="I286"/>
  <c r="J286"/>
  <c r="K286"/>
  <c r="L286"/>
  <c r="M286"/>
  <c r="N286"/>
  <c r="O286"/>
  <c r="P286"/>
  <c r="Q286"/>
  <c r="R286"/>
  <c r="S286"/>
  <c r="T286"/>
  <c r="U286"/>
  <c r="V286"/>
  <c r="W286"/>
  <c r="X286"/>
  <c r="Y286"/>
  <c r="Z286"/>
  <c r="AA286"/>
  <c r="AB286"/>
  <c r="AC286"/>
  <c r="AD286"/>
  <c r="AE286"/>
  <c r="AF286"/>
  <c r="AG286"/>
  <c r="B287"/>
  <c r="I287"/>
  <c r="J287"/>
  <c r="K287"/>
  <c r="L287"/>
  <c r="M287"/>
  <c r="N287"/>
  <c r="O287"/>
  <c r="P287"/>
  <c r="Q287"/>
  <c r="R287"/>
  <c r="S287"/>
  <c r="T287"/>
  <c r="U287"/>
  <c r="V287"/>
  <c r="W287"/>
  <c r="X287"/>
  <c r="Y287"/>
  <c r="Z287"/>
  <c r="AA287"/>
  <c r="AB287"/>
  <c r="AC287"/>
  <c r="AD287"/>
  <c r="AE287"/>
  <c r="AF287"/>
  <c r="AG287"/>
  <c r="B288"/>
  <c r="I288"/>
  <c r="J288"/>
  <c r="K288"/>
  <c r="L288"/>
  <c r="M288"/>
  <c r="N288"/>
  <c r="O288"/>
  <c r="P288"/>
  <c r="Q288"/>
  <c r="R288"/>
  <c r="S288"/>
  <c r="T288"/>
  <c r="U288"/>
  <c r="V288"/>
  <c r="W288"/>
  <c r="X288"/>
  <c r="Y288"/>
  <c r="Z288"/>
  <c r="AA288"/>
  <c r="AB288"/>
  <c r="AC288"/>
  <c r="AD288"/>
  <c r="AE288"/>
  <c r="AF288"/>
  <c r="AG288"/>
  <c r="B289"/>
  <c r="I289"/>
  <c r="J289" s="1"/>
  <c r="K289" s="1"/>
  <c r="L289" s="1"/>
  <c r="M289" s="1"/>
  <c r="N289" s="1"/>
  <c r="O289" s="1"/>
  <c r="P289" s="1"/>
  <c r="Q289" s="1"/>
  <c r="R289" s="1"/>
  <c r="S289" s="1"/>
  <c r="T289" s="1"/>
  <c r="U289" s="1"/>
  <c r="V289" s="1"/>
  <c r="W289" s="1"/>
  <c r="X289" s="1"/>
  <c r="Y289" s="1"/>
  <c r="Z289" s="1"/>
  <c r="AA289" s="1"/>
  <c r="AB289" s="1"/>
  <c r="AC289" s="1"/>
  <c r="AD289" s="1"/>
  <c r="AE289" s="1"/>
  <c r="AF289" s="1"/>
  <c r="AG289" s="1"/>
  <c r="B290"/>
  <c r="I290"/>
  <c r="J290"/>
  <c r="K290"/>
  <c r="L290"/>
  <c r="M290"/>
  <c r="N290"/>
  <c r="O290"/>
  <c r="P290"/>
  <c r="Q290"/>
  <c r="R290"/>
  <c r="S290"/>
  <c r="T290"/>
  <c r="U290"/>
  <c r="V290"/>
  <c r="W290"/>
  <c r="X290"/>
  <c r="Y290"/>
  <c r="Z290"/>
  <c r="AA290"/>
  <c r="AB290"/>
  <c r="AC290"/>
  <c r="AD290"/>
  <c r="AE290"/>
  <c r="AF290"/>
  <c r="AG290"/>
  <c r="B291"/>
  <c r="I291"/>
  <c r="J291"/>
  <c r="K291"/>
  <c r="L291"/>
  <c r="M291"/>
  <c r="N291"/>
  <c r="O291"/>
  <c r="P291"/>
  <c r="Q291"/>
  <c r="R291"/>
  <c r="S291"/>
  <c r="T291"/>
  <c r="U291"/>
  <c r="V291"/>
  <c r="W291"/>
  <c r="X291"/>
  <c r="Y291"/>
  <c r="Z291"/>
  <c r="AA291"/>
  <c r="AB291"/>
  <c r="AC291"/>
  <c r="AD291"/>
  <c r="AE291"/>
  <c r="AF291"/>
  <c r="AG291"/>
  <c r="B292"/>
  <c r="I292"/>
  <c r="J292"/>
  <c r="K292"/>
  <c r="L292"/>
  <c r="M292"/>
  <c r="N292"/>
  <c r="O292"/>
  <c r="P292"/>
  <c r="Q292"/>
  <c r="R292"/>
  <c r="S292"/>
  <c r="T292"/>
  <c r="U292"/>
  <c r="V292"/>
  <c r="W292"/>
  <c r="X292"/>
  <c r="Y292"/>
  <c r="Z292"/>
  <c r="AA292"/>
  <c r="AB292"/>
  <c r="AC292"/>
  <c r="AD292"/>
  <c r="AE292"/>
  <c r="AF292"/>
  <c r="AG292"/>
  <c r="B293"/>
  <c r="I293"/>
  <c r="J293" s="1"/>
  <c r="K293" s="1"/>
  <c r="L293" s="1"/>
  <c r="M293" s="1"/>
  <c r="N293" s="1"/>
  <c r="O293" s="1"/>
  <c r="P293" s="1"/>
  <c r="Q293" s="1"/>
  <c r="R293" s="1"/>
  <c r="S293" s="1"/>
  <c r="T293" s="1"/>
  <c r="U293" s="1"/>
  <c r="V293" s="1"/>
  <c r="W293" s="1"/>
  <c r="X293" s="1"/>
  <c r="Y293" s="1"/>
  <c r="Z293" s="1"/>
  <c r="AA293" s="1"/>
  <c r="AB293" s="1"/>
  <c r="AC293" s="1"/>
  <c r="AD293" s="1"/>
  <c r="AE293" s="1"/>
  <c r="AF293" s="1"/>
  <c r="AG293" s="1"/>
  <c r="B294"/>
  <c r="I294"/>
  <c r="J294"/>
  <c r="K294"/>
  <c r="L294"/>
  <c r="M294"/>
  <c r="N294"/>
  <c r="O294"/>
  <c r="P294"/>
  <c r="Q294"/>
  <c r="R294"/>
  <c r="S294"/>
  <c r="T294"/>
  <c r="U294"/>
  <c r="V294"/>
  <c r="W294"/>
  <c r="X294"/>
  <c r="Y294"/>
  <c r="Z294"/>
  <c r="AA294"/>
  <c r="AB294"/>
  <c r="AC294"/>
  <c r="AD294"/>
  <c r="AE294"/>
  <c r="AF294"/>
  <c r="AG294"/>
  <c r="B295"/>
  <c r="I295"/>
  <c r="J295"/>
  <c r="K295"/>
  <c r="L295"/>
  <c r="M295"/>
  <c r="N295"/>
  <c r="O295"/>
  <c r="P295"/>
  <c r="Q295"/>
  <c r="R295"/>
  <c r="S295"/>
  <c r="T295"/>
  <c r="U295"/>
  <c r="V295"/>
  <c r="W295"/>
  <c r="X295"/>
  <c r="Y295"/>
  <c r="Z295"/>
  <c r="AA295"/>
  <c r="AB295"/>
  <c r="AC295"/>
  <c r="AD295"/>
  <c r="AE295"/>
  <c r="AF295"/>
  <c r="AG295"/>
  <c r="B296"/>
  <c r="I296"/>
  <c r="J296"/>
  <c r="K296"/>
  <c r="L296"/>
  <c r="M296"/>
  <c r="N296"/>
  <c r="O296"/>
  <c r="P296"/>
  <c r="Q296"/>
  <c r="R296"/>
  <c r="S296"/>
  <c r="T296"/>
  <c r="U296"/>
  <c r="V296"/>
  <c r="W296"/>
  <c r="X296"/>
  <c r="Y296"/>
  <c r="Z296"/>
  <c r="AA296"/>
  <c r="AB296"/>
  <c r="AC296"/>
  <c r="AD296"/>
  <c r="AE296"/>
  <c r="AF296"/>
  <c r="AG296"/>
  <c r="B297"/>
  <c r="I297"/>
  <c r="J297"/>
  <c r="K297"/>
  <c r="L297"/>
  <c r="M297"/>
  <c r="N297"/>
  <c r="O297"/>
  <c r="P297"/>
  <c r="Q297"/>
  <c r="R297"/>
  <c r="S297"/>
  <c r="T297"/>
  <c r="U297"/>
  <c r="V297"/>
  <c r="W297"/>
  <c r="X297"/>
  <c r="Y297"/>
  <c r="Z297"/>
  <c r="AA297"/>
  <c r="AB297"/>
  <c r="AC297"/>
  <c r="AD297"/>
  <c r="AE297"/>
  <c r="AF297"/>
  <c r="AG297"/>
  <c r="B298"/>
  <c r="I298"/>
  <c r="J298"/>
  <c r="K298"/>
  <c r="L298"/>
  <c r="M298"/>
  <c r="N298"/>
  <c r="O298"/>
  <c r="P298"/>
  <c r="Q298"/>
  <c r="R298"/>
  <c r="S298"/>
  <c r="T298"/>
  <c r="U298"/>
  <c r="V298"/>
  <c r="W298"/>
  <c r="X298"/>
  <c r="Y298"/>
  <c r="Z298"/>
  <c r="AA298"/>
  <c r="AB298"/>
  <c r="AC298"/>
  <c r="AD298"/>
  <c r="AE298"/>
  <c r="AF298"/>
  <c r="AG298"/>
  <c r="AP306"/>
  <c r="AQ306"/>
  <c r="AR306"/>
  <c r="AS306"/>
  <c r="AT306"/>
  <c r="AU306"/>
  <c r="AV306"/>
  <c r="AW306"/>
  <c r="AX306"/>
  <c r="AY306"/>
  <c r="Q308"/>
  <c r="R308"/>
  <c r="S308"/>
  <c r="T308"/>
  <c r="U308"/>
  <c r="V308"/>
  <c r="W308"/>
  <c r="X308"/>
  <c r="Y308"/>
  <c r="Z308"/>
  <c r="AE308"/>
  <c r="AF308"/>
  <c r="AG308"/>
  <c r="AH308"/>
  <c r="AI308"/>
  <c r="AJ308"/>
  <c r="AK308"/>
  <c r="AL308"/>
  <c r="AM308"/>
  <c r="AN308"/>
  <c r="AP308"/>
  <c r="AQ308"/>
  <c r="AR308"/>
  <c r="AS308"/>
  <c r="AT308"/>
  <c r="AU308"/>
  <c r="AV308"/>
  <c r="AW308"/>
  <c r="AX308"/>
  <c r="AY308"/>
  <c r="B309"/>
  <c r="O309"/>
  <c r="Q309"/>
  <c r="Q353" s="1"/>
  <c r="R309"/>
  <c r="R353" s="1"/>
  <c r="S309"/>
  <c r="S353" s="1"/>
  <c r="T309"/>
  <c r="T353" s="1"/>
  <c r="U309"/>
  <c r="V309"/>
  <c r="V353" s="1"/>
  <c r="W309"/>
  <c r="W353" s="1"/>
  <c r="X309"/>
  <c r="X353" s="1"/>
  <c r="Y309"/>
  <c r="Y353" s="1"/>
  <c r="Z309"/>
  <c r="Z353" s="1"/>
  <c r="AQ309" a="1"/>
  <c r="AR309" a="1"/>
  <c r="AS309" a="1"/>
  <c r="AT309" a="1"/>
  <c r="AU309" a="1"/>
  <c r="AV309" a="1"/>
  <c r="AW309" a="1"/>
  <c r="AX309" a="1"/>
  <c r="AY309" a="1"/>
  <c r="B310"/>
  <c r="O310"/>
  <c r="Q310"/>
  <c r="R310"/>
  <c r="R342" s="1"/>
  <c r="S310"/>
  <c r="S342" s="1"/>
  <c r="T310"/>
  <c r="U310"/>
  <c r="U342" s="1"/>
  <c r="V310"/>
  <c r="V342" s="1"/>
  <c r="W310"/>
  <c r="W342" s="1"/>
  <c r="X310"/>
  <c r="X342" s="1"/>
  <c r="Y310"/>
  <c r="Y342" s="1"/>
  <c r="Z310"/>
  <c r="Z342" s="1"/>
  <c r="AQ310" a="1"/>
  <c r="AR310" a="1"/>
  <c r="AS310" a="1"/>
  <c r="AT310" a="1"/>
  <c r="AU310" a="1"/>
  <c r="AV310" a="1"/>
  <c r="AW310" a="1"/>
  <c r="AX310" a="1"/>
  <c r="AY310" a="1"/>
  <c r="B311"/>
  <c r="O311"/>
  <c r="Q311"/>
  <c r="R311"/>
  <c r="S311"/>
  <c r="T311"/>
  <c r="U311"/>
  <c r="V311"/>
  <c r="W311"/>
  <c r="X311"/>
  <c r="Y311"/>
  <c r="Z311"/>
  <c r="AQ311" a="1"/>
  <c r="AR311" a="1"/>
  <c r="AS311" a="1"/>
  <c r="AT311" a="1"/>
  <c r="AU311" a="1"/>
  <c r="AV311" a="1"/>
  <c r="AW311" a="1"/>
  <c r="AX311" a="1"/>
  <c r="AY311" a="1"/>
  <c r="B312"/>
  <c r="O312"/>
  <c r="Q312"/>
  <c r="Q347" s="1"/>
  <c r="R312"/>
  <c r="R347" s="1"/>
  <c r="S312"/>
  <c r="S347" s="1"/>
  <c r="T312"/>
  <c r="T347" s="1"/>
  <c r="U312"/>
  <c r="U347" s="1"/>
  <c r="V312"/>
  <c r="V347" s="1"/>
  <c r="W312"/>
  <c r="W347" s="1"/>
  <c r="X312"/>
  <c r="Y312"/>
  <c r="Y347" s="1"/>
  <c r="Z312"/>
  <c r="Z347" s="1"/>
  <c r="AQ312" a="1"/>
  <c r="AR312" a="1"/>
  <c r="AS312" a="1"/>
  <c r="AT312" a="1"/>
  <c r="AU312" a="1"/>
  <c r="AV312" a="1"/>
  <c r="AW312" a="1"/>
  <c r="AX312" a="1"/>
  <c r="AY312" a="1"/>
  <c r="B313"/>
  <c r="O313"/>
  <c r="Q313"/>
  <c r="R313"/>
  <c r="S313"/>
  <c r="T313"/>
  <c r="U313"/>
  <c r="V313"/>
  <c r="W313"/>
  <c r="X313"/>
  <c r="Y313"/>
  <c r="Z313"/>
  <c r="AQ313" a="1"/>
  <c r="AR313" a="1"/>
  <c r="AS313" a="1"/>
  <c r="AT313" a="1"/>
  <c r="AU313" a="1"/>
  <c r="AV313" a="1"/>
  <c r="AW313" a="1"/>
  <c r="AX313" a="1"/>
  <c r="AY313" a="1"/>
  <c r="B314"/>
  <c r="O314"/>
  <c r="Q314"/>
  <c r="Q355" s="1"/>
  <c r="R314"/>
  <c r="R355" s="1"/>
  <c r="S314"/>
  <c r="S355" s="1"/>
  <c r="T314"/>
  <c r="U314"/>
  <c r="U355" s="1"/>
  <c r="V314"/>
  <c r="V355" s="1"/>
  <c r="W314"/>
  <c r="W355" s="1"/>
  <c r="X314"/>
  <c r="Y314"/>
  <c r="Y355" s="1"/>
  <c r="Z314"/>
  <c r="Z355" s="1"/>
  <c r="AQ314" a="1"/>
  <c r="AR314" a="1"/>
  <c r="AS314" a="1"/>
  <c r="AT314" a="1"/>
  <c r="AU314" a="1"/>
  <c r="AV314" a="1"/>
  <c r="AW314" a="1"/>
  <c r="AX314" a="1"/>
  <c r="AY314" a="1"/>
  <c r="B315"/>
  <c r="O315"/>
  <c r="Q315"/>
  <c r="Q343" s="1"/>
  <c r="R315"/>
  <c r="R343" s="1"/>
  <c r="S315"/>
  <c r="S343" s="1"/>
  <c r="T315"/>
  <c r="T343" s="1"/>
  <c r="U315"/>
  <c r="V315"/>
  <c r="V343" s="1"/>
  <c r="W315"/>
  <c r="X315"/>
  <c r="X343" s="1"/>
  <c r="Y315"/>
  <c r="Z315"/>
  <c r="Z343" s="1"/>
  <c r="AQ315" a="1"/>
  <c r="AR315" a="1"/>
  <c r="AS315" a="1"/>
  <c r="AT315" a="1"/>
  <c r="AU315" a="1"/>
  <c r="AV315" a="1"/>
  <c r="AW315" a="1"/>
  <c r="AX315" a="1"/>
  <c r="AY315" a="1"/>
  <c r="B316"/>
  <c r="O316"/>
  <c r="Q316"/>
  <c r="R316"/>
  <c r="R354" s="1"/>
  <c r="S316"/>
  <c r="S354" s="1"/>
  <c r="T316"/>
  <c r="U316"/>
  <c r="U354" s="1"/>
  <c r="V316"/>
  <c r="W316"/>
  <c r="W354" s="1"/>
  <c r="X316"/>
  <c r="Y316"/>
  <c r="Y354" s="1"/>
  <c r="Z316"/>
  <c r="Z354" s="1"/>
  <c r="AQ316" a="1"/>
  <c r="AR316" a="1"/>
  <c r="AS316" a="1"/>
  <c r="AT316" a="1"/>
  <c r="AU316" a="1"/>
  <c r="AV316" a="1"/>
  <c r="AW316" a="1"/>
  <c r="AX316" a="1"/>
  <c r="AY316" a="1"/>
  <c r="B317"/>
  <c r="O317"/>
  <c r="Q317"/>
  <c r="Q348" s="1"/>
  <c r="R317"/>
  <c r="R349" s="1"/>
  <c r="S317"/>
  <c r="S349" s="1"/>
  <c r="T317"/>
  <c r="T348" s="1"/>
  <c r="U317"/>
  <c r="U349" s="1"/>
  <c r="V317"/>
  <c r="W317"/>
  <c r="W348" s="1"/>
  <c r="X317"/>
  <c r="X348" s="1"/>
  <c r="Y317"/>
  <c r="Y349" s="1"/>
  <c r="Z317"/>
  <c r="AQ317" a="1"/>
  <c r="AR317" a="1"/>
  <c r="AS317" a="1"/>
  <c r="AT317" a="1"/>
  <c r="AU317" a="1"/>
  <c r="AV317" a="1"/>
  <c r="AW317" a="1"/>
  <c r="AX317" a="1"/>
  <c r="AY317" a="1"/>
  <c r="B318"/>
  <c r="O318"/>
  <c r="Q318"/>
  <c r="Q352" s="1"/>
  <c r="R318"/>
  <c r="R352" s="1"/>
  <c r="S318"/>
  <c r="S352" s="1"/>
  <c r="T318"/>
  <c r="T352" s="1"/>
  <c r="U318"/>
  <c r="U352" s="1"/>
  <c r="V318"/>
  <c r="V352" s="1"/>
  <c r="W318"/>
  <c r="W352" s="1"/>
  <c r="X318"/>
  <c r="X352" s="1"/>
  <c r="Y318"/>
  <c r="Y352" s="1"/>
  <c r="Z318"/>
  <c r="AQ318" a="1"/>
  <c r="AR318" a="1"/>
  <c r="AS318" a="1"/>
  <c r="AT318" a="1"/>
  <c r="AU318" a="1"/>
  <c r="AV318" a="1"/>
  <c r="AW318" a="1"/>
  <c r="AX318" a="1"/>
  <c r="AY318" a="1"/>
  <c r="B319"/>
  <c r="O319"/>
  <c r="Q319"/>
  <c r="R319"/>
  <c r="R351" s="1"/>
  <c r="S319"/>
  <c r="S351" s="1"/>
  <c r="T319"/>
  <c r="U319"/>
  <c r="U351" s="1"/>
  <c r="V319"/>
  <c r="V351" s="1"/>
  <c r="W319"/>
  <c r="W351" s="1"/>
  <c r="X319"/>
  <c r="X351" s="1"/>
  <c r="Y319"/>
  <c r="Y351" s="1"/>
  <c r="Z319"/>
  <c r="Z351" s="1"/>
  <c r="AQ319" a="1"/>
  <c r="AR319" a="1"/>
  <c r="AS319" a="1"/>
  <c r="AT319" a="1"/>
  <c r="AU319" a="1"/>
  <c r="AV319" a="1"/>
  <c r="AW319" a="1"/>
  <c r="AX319" a="1"/>
  <c r="AY319" a="1"/>
  <c r="B320"/>
  <c r="O320"/>
  <c r="Q320"/>
  <c r="Q350" s="1"/>
  <c r="R320"/>
  <c r="R350" s="1"/>
  <c r="S320"/>
  <c r="S350" s="1"/>
  <c r="T320"/>
  <c r="T350" s="1"/>
  <c r="U320"/>
  <c r="U350" s="1"/>
  <c r="V320"/>
  <c r="W320"/>
  <c r="W350" s="1"/>
  <c r="X320"/>
  <c r="X350" s="1"/>
  <c r="Y320"/>
  <c r="Y350" s="1"/>
  <c r="Z320"/>
  <c r="Z350" s="1"/>
  <c r="AQ320" a="1"/>
  <c r="AR320" a="1"/>
  <c r="AS320" a="1"/>
  <c r="AT320" a="1"/>
  <c r="AU320" a="1"/>
  <c r="AV320" a="1"/>
  <c r="AW320" a="1"/>
  <c r="AX320" a="1"/>
  <c r="AY320" a="1"/>
  <c r="B321"/>
  <c r="O321"/>
  <c r="Q321"/>
  <c r="Q346" s="1"/>
  <c r="R321"/>
  <c r="R346" s="1"/>
  <c r="S321"/>
  <c r="S346" s="1"/>
  <c r="T321"/>
  <c r="T346" s="1"/>
  <c r="U321"/>
  <c r="U346" s="1"/>
  <c r="V321"/>
  <c r="V346" s="1"/>
  <c r="W321"/>
  <c r="X321"/>
  <c r="X346" s="1"/>
  <c r="Y321"/>
  <c r="Y346" s="1"/>
  <c r="Z321"/>
  <c r="Z346" s="1"/>
  <c r="AQ321" a="1"/>
  <c r="AR321" a="1"/>
  <c r="AS321" a="1"/>
  <c r="AT321" a="1"/>
  <c r="AU321" a="1"/>
  <c r="AV321" a="1"/>
  <c r="AW321" a="1"/>
  <c r="AX321" a="1"/>
  <c r="AY321" a="1"/>
  <c r="B322"/>
  <c r="O322"/>
  <c r="Q322"/>
  <c r="R322"/>
  <c r="S322"/>
  <c r="T322"/>
  <c r="U322"/>
  <c r="V322"/>
  <c r="W322"/>
  <c r="X322"/>
  <c r="Y322"/>
  <c r="Z322"/>
  <c r="AQ322" a="1"/>
  <c r="AR322" a="1"/>
  <c r="AS322" a="1"/>
  <c r="AT322" a="1"/>
  <c r="AU322" a="1"/>
  <c r="AV322" a="1"/>
  <c r="AW322" a="1"/>
  <c r="AX322" a="1"/>
  <c r="AY322" a="1"/>
  <c r="B323"/>
  <c r="O323"/>
  <c r="Q323"/>
  <c r="R323"/>
  <c r="S323"/>
  <c r="S340" s="1"/>
  <c r="T323"/>
  <c r="T340" s="1"/>
  <c r="U323"/>
  <c r="U340" s="1"/>
  <c r="V323"/>
  <c r="V340" s="1"/>
  <c r="W323"/>
  <c r="W340" s="1"/>
  <c r="X323"/>
  <c r="X340" s="1"/>
  <c r="Y323"/>
  <c r="Y340" s="1"/>
  <c r="Z323"/>
  <c r="Z340" s="1"/>
  <c r="AQ323" a="1"/>
  <c r="AR323" a="1"/>
  <c r="AS323" a="1"/>
  <c r="AT323" a="1"/>
  <c r="AU323" a="1"/>
  <c r="AV323" a="1"/>
  <c r="AW323" a="1"/>
  <c r="AX323" a="1"/>
  <c r="AY323" a="1"/>
  <c r="B324"/>
  <c r="O324"/>
  <c r="Q324"/>
  <c r="Q341" s="1"/>
  <c r="R324"/>
  <c r="R341" s="1"/>
  <c r="S324"/>
  <c r="S341" s="1"/>
  <c r="T324"/>
  <c r="T341" s="1"/>
  <c r="U324"/>
  <c r="U341" s="1"/>
  <c r="V324"/>
  <c r="V341" s="1"/>
  <c r="W324"/>
  <c r="W341" s="1"/>
  <c r="X324"/>
  <c r="X341" s="1"/>
  <c r="Y324"/>
  <c r="Y341" s="1"/>
  <c r="Z324"/>
  <c r="Z341" s="1"/>
  <c r="AQ324" a="1"/>
  <c r="AR324" a="1"/>
  <c r="AS324" a="1"/>
  <c r="AT324" a="1"/>
  <c r="AU324" a="1"/>
  <c r="AV324" a="1"/>
  <c r="AW324" a="1"/>
  <c r="AX324" a="1"/>
  <c r="AY324" a="1"/>
  <c r="B325"/>
  <c r="O325"/>
  <c r="Q325"/>
  <c r="Q344" s="1"/>
  <c r="R325"/>
  <c r="R344" s="1"/>
  <c r="S325"/>
  <c r="S344" s="1"/>
  <c r="T325"/>
  <c r="T344" s="1"/>
  <c r="U325"/>
  <c r="U344" s="1"/>
  <c r="V325"/>
  <c r="V344" s="1"/>
  <c r="W325"/>
  <c r="W344" s="1"/>
  <c r="X325"/>
  <c r="X344" s="1"/>
  <c r="Y325"/>
  <c r="Y344" s="1"/>
  <c r="Z325"/>
  <c r="Z344" s="1"/>
  <c r="AQ325" a="1"/>
  <c r="AR325" a="1"/>
  <c r="AS325" a="1"/>
  <c r="AT325" a="1"/>
  <c r="AU325" a="1"/>
  <c r="AV325" a="1"/>
  <c r="AW325" a="1"/>
  <c r="AX325" a="1"/>
  <c r="AY325" a="1"/>
  <c r="B326"/>
  <c r="O326"/>
  <c r="Q326"/>
  <c r="Q345" s="1"/>
  <c r="R326"/>
  <c r="R345" s="1"/>
  <c r="S326"/>
  <c r="S345" s="1"/>
  <c r="T326"/>
  <c r="T345" s="1"/>
  <c r="U326"/>
  <c r="U345" s="1"/>
  <c r="V326"/>
  <c r="V345" s="1"/>
  <c r="W326"/>
  <c r="W345" s="1"/>
  <c r="X326"/>
  <c r="Y326"/>
  <c r="Y345" s="1"/>
  <c r="Z326"/>
  <c r="Z345" s="1"/>
  <c r="AQ326" a="1"/>
  <c r="AR326" a="1"/>
  <c r="AS326" a="1"/>
  <c r="AT326" a="1"/>
  <c r="AU326" a="1"/>
  <c r="AV326" a="1"/>
  <c r="AW326" a="1"/>
  <c r="AX326" a="1"/>
  <c r="AY326" a="1"/>
  <c r="B327"/>
  <c r="O327"/>
  <c r="Q327"/>
  <c r="R327"/>
  <c r="S327"/>
  <c r="T327"/>
  <c r="U327"/>
  <c r="V327"/>
  <c r="W327"/>
  <c r="X327"/>
  <c r="Y327"/>
  <c r="Z327"/>
  <c r="AQ327" a="1"/>
  <c r="AR327" a="1"/>
  <c r="AS327" a="1"/>
  <c r="AT327" a="1"/>
  <c r="AU327" a="1"/>
  <c r="AV327" a="1"/>
  <c r="AW327" a="1"/>
  <c r="AX327" a="1"/>
  <c r="AY327" a="1"/>
  <c r="B328"/>
  <c r="O328"/>
  <c r="Q328"/>
  <c r="R328"/>
  <c r="S328"/>
  <c r="T328"/>
  <c r="U328"/>
  <c r="V328"/>
  <c r="W328"/>
  <c r="X328"/>
  <c r="Y328"/>
  <c r="Z328"/>
  <c r="AQ328" a="1"/>
  <c r="AR328" a="1"/>
  <c r="AS328" a="1"/>
  <c r="AT328" a="1"/>
  <c r="AU328" a="1"/>
  <c r="AV328" a="1"/>
  <c r="AW328" a="1"/>
  <c r="AX328" a="1"/>
  <c r="AY328" a="1"/>
  <c r="B329"/>
  <c r="O329"/>
  <c r="Q329"/>
  <c r="Q359" s="1"/>
  <c r="R329"/>
  <c r="S329"/>
  <c r="S359" s="1"/>
  <c r="T329"/>
  <c r="U329"/>
  <c r="U359" s="1"/>
  <c r="V329"/>
  <c r="W329"/>
  <c r="W359" s="1"/>
  <c r="X329"/>
  <c r="Y329"/>
  <c r="Y359" s="1"/>
  <c r="Z329"/>
  <c r="AQ329" a="1"/>
  <c r="AR329" a="1"/>
  <c r="AS329" a="1"/>
  <c r="AT329" a="1"/>
  <c r="AU329" a="1"/>
  <c r="AV329" a="1"/>
  <c r="AW329" a="1"/>
  <c r="AX329" a="1"/>
  <c r="AY329" a="1"/>
  <c r="B330"/>
  <c r="O330"/>
  <c r="Q330"/>
  <c r="R330"/>
  <c r="S330"/>
  <c r="T330"/>
  <c r="U330"/>
  <c r="V330"/>
  <c r="W330"/>
  <c r="X330"/>
  <c r="Y330"/>
  <c r="Z330"/>
  <c r="AQ330" a="1"/>
  <c r="AR330" a="1"/>
  <c r="AS330" a="1"/>
  <c r="AT330" a="1"/>
  <c r="AU330" a="1"/>
  <c r="AV330" a="1"/>
  <c r="AW330" a="1"/>
  <c r="AX330" a="1"/>
  <c r="AY330" a="1"/>
  <c r="B331"/>
  <c r="O331"/>
  <c r="Q331"/>
  <c r="R331"/>
  <c r="S331"/>
  <c r="T331"/>
  <c r="U331"/>
  <c r="V331"/>
  <c r="W331"/>
  <c r="X331"/>
  <c r="Y331"/>
  <c r="Z331"/>
  <c r="AQ331" a="1"/>
  <c r="AR331" a="1"/>
  <c r="AS331" a="1"/>
  <c r="AT331" a="1"/>
  <c r="AU331" a="1"/>
  <c r="AV331" a="1"/>
  <c r="AW331" a="1"/>
  <c r="AX331" a="1"/>
  <c r="AY331" a="1"/>
  <c r="B332"/>
  <c r="O332"/>
  <c r="Q332"/>
  <c r="R332"/>
  <c r="S332"/>
  <c r="T332"/>
  <c r="U332"/>
  <c r="V332"/>
  <c r="W332"/>
  <c r="X332"/>
  <c r="Y332"/>
  <c r="Z332"/>
  <c r="AQ332" a="1"/>
  <c r="AR332" a="1"/>
  <c r="AS332" a="1"/>
  <c r="AT332" a="1"/>
  <c r="AU332" a="1"/>
  <c r="AV332" a="1"/>
  <c r="AW332" a="1"/>
  <c r="AX332" a="1"/>
  <c r="AY332" a="1"/>
  <c r="B333"/>
  <c r="O333"/>
  <c r="Q333"/>
  <c r="R333"/>
  <c r="S333"/>
  <c r="T333"/>
  <c r="U333"/>
  <c r="V333"/>
  <c r="W333"/>
  <c r="X333"/>
  <c r="Y333"/>
  <c r="Z333"/>
  <c r="AQ333" a="1"/>
  <c r="AR333" a="1"/>
  <c r="AS333" a="1"/>
  <c r="AT333" a="1"/>
  <c r="AU333" a="1"/>
  <c r="AV333" a="1"/>
  <c r="AW333" a="1"/>
  <c r="AX333" a="1"/>
  <c r="AY333" a="1"/>
  <c r="B334"/>
  <c r="B340"/>
  <c r="C340"/>
  <c r="D340"/>
  <c r="E340"/>
  <c r="F340"/>
  <c r="G340"/>
  <c r="H340"/>
  <c r="I340"/>
  <c r="J340"/>
  <c r="K340"/>
  <c r="L340"/>
  <c r="M340"/>
  <c r="Q340"/>
  <c r="B341"/>
  <c r="C341"/>
  <c r="D341"/>
  <c r="E341"/>
  <c r="F341"/>
  <c r="G341"/>
  <c r="H341"/>
  <c r="I341"/>
  <c r="J341"/>
  <c r="K341"/>
  <c r="L341"/>
  <c r="M341"/>
  <c r="B342"/>
  <c r="C342"/>
  <c r="D342"/>
  <c r="E342"/>
  <c r="F342"/>
  <c r="G342"/>
  <c r="H342"/>
  <c r="I342"/>
  <c r="J342"/>
  <c r="K342"/>
  <c r="L342"/>
  <c r="M342"/>
  <c r="T342"/>
  <c r="B343"/>
  <c r="C343"/>
  <c r="D343"/>
  <c r="E343"/>
  <c r="F343"/>
  <c r="G343"/>
  <c r="H343"/>
  <c r="I343"/>
  <c r="J343"/>
  <c r="K343"/>
  <c r="L343"/>
  <c r="M343"/>
  <c r="U343"/>
  <c r="W343"/>
  <c r="Y343"/>
  <c r="B344"/>
  <c r="C344"/>
  <c r="D344"/>
  <c r="E344"/>
  <c r="F344"/>
  <c r="G344"/>
  <c r="H344"/>
  <c r="I344"/>
  <c r="J344"/>
  <c r="K344"/>
  <c r="L344"/>
  <c r="M344"/>
  <c r="B345"/>
  <c r="C345"/>
  <c r="D345"/>
  <c r="E345"/>
  <c r="F345"/>
  <c r="G345"/>
  <c r="H345"/>
  <c r="I345"/>
  <c r="J345"/>
  <c r="K345"/>
  <c r="L345"/>
  <c r="M345"/>
  <c r="X345"/>
  <c r="B346"/>
  <c r="C346"/>
  <c r="D346"/>
  <c r="E346"/>
  <c r="F346"/>
  <c r="G346"/>
  <c r="H346"/>
  <c r="I346"/>
  <c r="J346"/>
  <c r="K346"/>
  <c r="L346"/>
  <c r="M346"/>
  <c r="W346"/>
  <c r="B347"/>
  <c r="C347"/>
  <c r="D347"/>
  <c r="E347"/>
  <c r="F347"/>
  <c r="G347"/>
  <c r="H347"/>
  <c r="I347"/>
  <c r="J347"/>
  <c r="K347"/>
  <c r="L347"/>
  <c r="M347"/>
  <c r="X347"/>
  <c r="B348"/>
  <c r="C348"/>
  <c r="D348"/>
  <c r="E348"/>
  <c r="F348"/>
  <c r="G348"/>
  <c r="H348"/>
  <c r="I348"/>
  <c r="J348"/>
  <c r="K348"/>
  <c r="L348"/>
  <c r="M348"/>
  <c r="S348"/>
  <c r="B349"/>
  <c r="C349"/>
  <c r="D349"/>
  <c r="E349"/>
  <c r="F349"/>
  <c r="G349"/>
  <c r="H349"/>
  <c r="I349"/>
  <c r="J349"/>
  <c r="K349"/>
  <c r="L349"/>
  <c r="M349"/>
  <c r="Q349"/>
  <c r="W349"/>
  <c r="B350"/>
  <c r="C350"/>
  <c r="D350"/>
  <c r="E350"/>
  <c r="F350"/>
  <c r="G350"/>
  <c r="H350"/>
  <c r="I350"/>
  <c r="J350"/>
  <c r="K350"/>
  <c r="L350"/>
  <c r="M350"/>
  <c r="V350"/>
  <c r="B351"/>
  <c r="C351"/>
  <c r="D351"/>
  <c r="E351"/>
  <c r="F351"/>
  <c r="G351"/>
  <c r="H351"/>
  <c r="I351"/>
  <c r="J351"/>
  <c r="K351"/>
  <c r="L351"/>
  <c r="M351"/>
  <c r="T351"/>
  <c r="B352"/>
  <c r="C352"/>
  <c r="D352"/>
  <c r="E352"/>
  <c r="F352"/>
  <c r="G352"/>
  <c r="H352"/>
  <c r="I352"/>
  <c r="J352"/>
  <c r="K352"/>
  <c r="L352"/>
  <c r="M352"/>
  <c r="Z352"/>
  <c r="B353"/>
  <c r="C353"/>
  <c r="D353"/>
  <c r="E353"/>
  <c r="F353"/>
  <c r="G353"/>
  <c r="H353"/>
  <c r="I353"/>
  <c r="J353"/>
  <c r="K353"/>
  <c r="L353"/>
  <c r="M353"/>
  <c r="U353"/>
  <c r="B354"/>
  <c r="C354"/>
  <c r="D354"/>
  <c r="E354"/>
  <c r="F354"/>
  <c r="G354"/>
  <c r="H354"/>
  <c r="I354"/>
  <c r="J354"/>
  <c r="K354"/>
  <c r="L354"/>
  <c r="M354"/>
  <c r="T354"/>
  <c r="V354"/>
  <c r="X354"/>
  <c r="B355"/>
  <c r="C355"/>
  <c r="D355"/>
  <c r="E355"/>
  <c r="F355"/>
  <c r="G355"/>
  <c r="H355"/>
  <c r="I355"/>
  <c r="J355"/>
  <c r="K355"/>
  <c r="L355"/>
  <c r="M355"/>
  <c r="T355"/>
  <c r="X355"/>
  <c r="B356"/>
  <c r="C356"/>
  <c r="D356"/>
  <c r="E356"/>
  <c r="I356"/>
  <c r="K356"/>
  <c r="M356"/>
  <c r="B357"/>
  <c r="C357"/>
  <c r="D357"/>
  <c r="E357"/>
  <c r="F357"/>
  <c r="G357"/>
  <c r="H357"/>
  <c r="I357"/>
  <c r="J357"/>
  <c r="K357"/>
  <c r="L357"/>
  <c r="M357"/>
  <c r="B358"/>
  <c r="C358"/>
  <c r="D358"/>
  <c r="E358"/>
  <c r="F358"/>
  <c r="G358"/>
  <c r="H358"/>
  <c r="I358"/>
  <c r="J358"/>
  <c r="K358"/>
  <c r="L358"/>
  <c r="M358"/>
  <c r="B359"/>
  <c r="C359"/>
  <c r="D359"/>
  <c r="E359"/>
  <c r="F359"/>
  <c r="G359"/>
  <c r="H359"/>
  <c r="I359"/>
  <c r="J359"/>
  <c r="K359"/>
  <c r="L359"/>
  <c r="M359"/>
  <c r="R359"/>
  <c r="T359"/>
  <c r="V359"/>
  <c r="X359"/>
  <c r="Z359"/>
  <c r="BK35" i="18"/>
  <c r="BI35"/>
  <c r="BG35"/>
  <c r="BE35"/>
  <c r="BC35"/>
  <c r="BA35"/>
  <c r="AY35"/>
  <c r="AW35"/>
  <c r="AU35"/>
  <c r="AS35"/>
  <c r="AN35"/>
  <c r="AF35"/>
  <c r="J35"/>
  <c r="AQ32"/>
  <c r="G182" i="44"/>
  <c r="F40" i="30"/>
  <c r="F40" i="44"/>
  <c r="I68" i="43"/>
  <c r="I29"/>
  <c r="G12"/>
  <c r="G15" s="1"/>
  <c r="H11"/>
  <c r="I11" s="1"/>
  <c r="I26"/>
  <c r="J26" s="1"/>
  <c r="D269" i="44"/>
  <c r="D268"/>
  <c r="E401" i="30"/>
  <c r="F182" i="44"/>
  <c r="F204" s="1"/>
  <c r="H402" i="30"/>
  <c r="D402"/>
  <c r="H401"/>
  <c r="F401"/>
  <c r="D401"/>
  <c r="H12" i="44"/>
  <c r="AT13" i="42" s="1"/>
  <c r="H12" i="30"/>
  <c r="F13" i="42" s="1"/>
  <c r="H11" i="30"/>
  <c r="F28" i="42"/>
  <c r="D28"/>
  <c r="B28"/>
  <c r="F27"/>
  <c r="D27"/>
  <c r="B27"/>
  <c r="B26"/>
  <c r="F25"/>
  <c r="D25"/>
  <c r="B25"/>
  <c r="F24"/>
  <c r="D24"/>
  <c r="B24"/>
  <c r="F23"/>
  <c r="D23"/>
  <c r="B23"/>
  <c r="F22"/>
  <c r="D22"/>
  <c r="B22"/>
  <c r="F21"/>
  <c r="D21"/>
  <c r="B21"/>
  <c r="F20"/>
  <c r="D20"/>
  <c r="B20"/>
  <c r="F19"/>
  <c r="D19"/>
  <c r="B19"/>
  <c r="F18"/>
  <c r="D18"/>
  <c r="B18"/>
  <c r="F17"/>
  <c r="D17"/>
  <c r="B17"/>
  <c r="F16"/>
  <c r="F15"/>
  <c r="F14"/>
  <c r="C28"/>
  <c r="C27"/>
  <c r="C26"/>
  <c r="C25"/>
  <c r="C24"/>
  <c r="C23"/>
  <c r="C22"/>
  <c r="C21"/>
  <c r="C20"/>
  <c r="E18"/>
  <c r="E17"/>
  <c r="C16"/>
  <c r="E14"/>
  <c r="C35" i="18"/>
  <c r="F35"/>
  <c r="L35"/>
  <c r="D35"/>
  <c r="M35"/>
  <c r="J56"/>
  <c r="J57" s="1"/>
  <c r="AQ35"/>
  <c r="G269" i="44"/>
  <c r="G269" i="30"/>
  <c r="H10" i="44"/>
  <c r="AT11" i="42" s="1"/>
  <c r="H10" i="30"/>
  <c r="B183" i="24"/>
  <c r="AA41" i="38" s="1"/>
  <c r="C135" i="24"/>
  <c r="C128"/>
  <c r="D119"/>
  <c r="D143" s="1"/>
  <c r="C143"/>
  <c r="C140"/>
  <c r="C138"/>
  <c r="C145"/>
  <c r="Y356" i="23"/>
  <c r="U358"/>
  <c r="J58" i="46"/>
  <c r="M58" s="1"/>
  <c r="P58"/>
  <c r="S58" s="1"/>
  <c r="H56"/>
  <c r="L56"/>
  <c r="O56" s="1"/>
  <c r="R56"/>
  <c r="U56" s="1"/>
  <c r="J54"/>
  <c r="M54" s="1"/>
  <c r="P54"/>
  <c r="S54" s="1"/>
  <c r="H52"/>
  <c r="L52"/>
  <c r="O52" s="1"/>
  <c r="R52"/>
  <c r="U52" s="1"/>
  <c r="J50"/>
  <c r="M50" s="1"/>
  <c r="P50"/>
  <c r="S50" s="1"/>
  <c r="C144" i="24"/>
  <c r="D117"/>
  <c r="C186" s="1"/>
  <c r="J186" s="1"/>
  <c r="C141"/>
  <c r="C134"/>
  <c r="D181" i="30"/>
  <c r="D203" s="1"/>
  <c r="H181"/>
  <c r="H203" s="1"/>
  <c r="C87"/>
  <c r="C159"/>
  <c r="C405"/>
  <c r="C508"/>
  <c r="C729"/>
  <c r="C775"/>
  <c r="A239" i="42" s="1"/>
  <c r="C821" i="30"/>
  <c r="C867"/>
  <c r="C913"/>
  <c r="C86"/>
  <c r="C404"/>
  <c r="C507"/>
  <c r="C553"/>
  <c r="C599"/>
  <c r="C648"/>
  <c r="E398"/>
  <c r="T349" i="23"/>
  <c r="Q77" i="46"/>
  <c r="T77" s="1"/>
  <c r="Q72"/>
  <c r="T72" s="1"/>
  <c r="Q68"/>
  <c r="T68" s="1"/>
  <c r="Q66"/>
  <c r="T66" s="1"/>
  <c r="Q64"/>
  <c r="T64" s="1"/>
  <c r="C910" i="30"/>
  <c r="C904"/>
  <c r="C900"/>
  <c r="C898"/>
  <c r="C887"/>
  <c r="C881"/>
  <c r="C877"/>
  <c r="C875"/>
  <c r="C864"/>
  <c r="C858"/>
  <c r="C854"/>
  <c r="C852"/>
  <c r="C841"/>
  <c r="C835"/>
  <c r="C831"/>
  <c r="C829"/>
  <c r="C818"/>
  <c r="C812"/>
  <c r="C808"/>
  <c r="C806"/>
  <c r="C795"/>
  <c r="C789"/>
  <c r="C785"/>
  <c r="C783"/>
  <c r="C772"/>
  <c r="A236" i="42" s="1"/>
  <c r="C766" i="30"/>
  <c r="A230" i="42" s="1"/>
  <c r="C762" i="30"/>
  <c r="A226" i="42" s="1"/>
  <c r="C760" i="30"/>
  <c r="A224" i="42" s="1"/>
  <c r="C749" i="30"/>
  <c r="C743"/>
  <c r="C739"/>
  <c r="C737"/>
  <c r="C726"/>
  <c r="C720"/>
  <c r="C716"/>
  <c r="C714"/>
  <c r="C693"/>
  <c r="C691"/>
  <c r="C627"/>
  <c r="C533"/>
  <c r="C495"/>
  <c r="C493"/>
  <c r="C74"/>
  <c r="F181"/>
  <c r="F203" s="1"/>
  <c r="H82" i="46"/>
  <c r="J82"/>
  <c r="M82" s="1"/>
  <c r="L82"/>
  <c r="O82" s="1"/>
  <c r="P82"/>
  <c r="S82" s="1"/>
  <c r="R82"/>
  <c r="U82" s="1"/>
  <c r="J77"/>
  <c r="M77" s="1"/>
  <c r="H74"/>
  <c r="J72"/>
  <c r="M72" s="1"/>
  <c r="P72"/>
  <c r="S72" s="1"/>
  <c r="H70"/>
  <c r="H68"/>
  <c r="J68"/>
  <c r="M68" s="1"/>
  <c r="L68"/>
  <c r="O68" s="1"/>
  <c r="P68"/>
  <c r="S68" s="1"/>
  <c r="R68"/>
  <c r="U68" s="1"/>
  <c r="H66"/>
  <c r="J66"/>
  <c r="M66" s="1"/>
  <c r="L66"/>
  <c r="O66" s="1"/>
  <c r="P66"/>
  <c r="S66" s="1"/>
  <c r="R66"/>
  <c r="U66" s="1"/>
  <c r="H64"/>
  <c r="J64"/>
  <c r="M64" s="1"/>
  <c r="L64"/>
  <c r="O64" s="1"/>
  <c r="P64"/>
  <c r="S64" s="1"/>
  <c r="R64"/>
  <c r="U64" s="1"/>
  <c r="H62"/>
  <c r="P60"/>
  <c r="S60" s="1"/>
  <c r="Q61"/>
  <c r="T61" s="1"/>
  <c r="B182" i="24"/>
  <c r="AA40" i="38" s="1"/>
  <c r="D109" i="24"/>
  <c r="F109" s="1"/>
  <c r="D107"/>
  <c r="B174"/>
  <c r="AA32" i="38" s="1"/>
  <c r="H11" i="44"/>
  <c r="F26" i="42"/>
  <c r="C67" i="30"/>
  <c r="C138"/>
  <c r="C384"/>
  <c r="C464"/>
  <c r="C708"/>
  <c r="C754"/>
  <c r="C800"/>
  <c r="C846"/>
  <c r="C892"/>
  <c r="F402"/>
  <c r="C84"/>
  <c r="C156"/>
  <c r="C459"/>
  <c r="C505"/>
  <c r="C551"/>
  <c r="C597"/>
  <c r="C646"/>
  <c r="C19" i="42"/>
  <c r="B16"/>
  <c r="C56" i="30"/>
  <c r="C78"/>
  <c r="C150"/>
  <c r="C453"/>
  <c r="C476"/>
  <c r="C499"/>
  <c r="C522"/>
  <c r="C545"/>
  <c r="C567"/>
  <c r="C591"/>
  <c r="C616"/>
  <c r="C640"/>
  <c r="C123"/>
  <c r="C146"/>
  <c r="C449"/>
  <c r="C518"/>
  <c r="C541"/>
  <c r="C563"/>
  <c r="C587"/>
  <c r="C612"/>
  <c r="C636"/>
  <c r="C121"/>
  <c r="C50"/>
  <c r="C144"/>
  <c r="C447"/>
  <c r="C516"/>
  <c r="C539"/>
  <c r="C561"/>
  <c r="C585"/>
  <c r="C610"/>
  <c r="C634"/>
  <c r="AB321" i="23"/>
  <c r="AC321" s="1"/>
  <c r="C442" i="44"/>
  <c r="BW74" i="42" s="1"/>
  <c r="AR27"/>
  <c r="F408" i="44"/>
  <c r="C67"/>
  <c r="C138"/>
  <c r="C487"/>
  <c r="C708"/>
  <c r="C754"/>
  <c r="C800"/>
  <c r="C846"/>
  <c r="C892"/>
  <c r="AT23" i="42"/>
  <c r="H404" i="44"/>
  <c r="AP23" i="42"/>
  <c r="D404" i="44"/>
  <c r="AS21" i="42"/>
  <c r="H400" i="44"/>
  <c r="D400"/>
  <c r="AQ17" i="42"/>
  <c r="F182" i="30"/>
  <c r="F204" s="1"/>
  <c r="G182"/>
  <c r="G204" s="1"/>
  <c r="C91"/>
  <c r="C68"/>
  <c r="C139"/>
  <c r="C130"/>
  <c r="C91" i="44"/>
  <c r="C466"/>
  <c r="C710"/>
  <c r="C756"/>
  <c r="C802"/>
  <c r="C848"/>
  <c r="C894"/>
  <c r="AT25" i="42"/>
  <c r="H406" i="44"/>
  <c r="AR25" i="42"/>
  <c r="F406" i="44"/>
  <c r="AP25" i="42"/>
  <c r="D406" i="44"/>
  <c r="C65"/>
  <c r="C136"/>
  <c r="C508"/>
  <c r="C729"/>
  <c r="C775"/>
  <c r="C821"/>
  <c r="C867"/>
  <c r="C913"/>
  <c r="AQ23" i="42"/>
  <c r="AT21"/>
  <c r="H402" i="44"/>
  <c r="AR21" i="42"/>
  <c r="F402" i="44"/>
  <c r="D402"/>
  <c r="C132"/>
  <c r="C481"/>
  <c r="C702"/>
  <c r="C748"/>
  <c r="C794"/>
  <c r="C840"/>
  <c r="C886"/>
  <c r="AS19" i="42"/>
  <c r="AQ19"/>
  <c r="AT17"/>
  <c r="H398" i="44"/>
  <c r="F181"/>
  <c r="F203" s="1"/>
  <c r="AP17" i="42"/>
  <c r="D398" i="44"/>
  <c r="C79"/>
  <c r="C500"/>
  <c r="C721"/>
  <c r="C767"/>
  <c r="C813"/>
  <c r="C859"/>
  <c r="C905"/>
  <c r="AS15" i="42"/>
  <c r="C53" i="44"/>
  <c r="C496"/>
  <c r="C717"/>
  <c r="C763"/>
  <c r="C809"/>
  <c r="C855"/>
  <c r="C901"/>
  <c r="C73"/>
  <c r="C494"/>
  <c r="C715"/>
  <c r="C761"/>
  <c r="C807"/>
  <c r="C853"/>
  <c r="C899"/>
  <c r="A128" i="42"/>
  <c r="A162"/>
  <c r="A126"/>
  <c r="A160"/>
  <c r="A124"/>
  <c r="A158"/>
  <c r="A122"/>
  <c r="A156"/>
  <c r="A120"/>
  <c r="A154"/>
  <c r="A118"/>
  <c r="A152"/>
  <c r="A116"/>
  <c r="A150"/>
  <c r="A114"/>
  <c r="A148"/>
  <c r="A112"/>
  <c r="A146"/>
  <c r="A110"/>
  <c r="A144"/>
  <c r="H182" i="30"/>
  <c r="H204" s="1"/>
  <c r="D182"/>
  <c r="D204" s="1"/>
  <c r="C647" i="44"/>
  <c r="C639"/>
  <c r="C623"/>
  <c r="C615"/>
  <c r="C598"/>
  <c r="C590"/>
  <c r="C574"/>
  <c r="C566"/>
  <c r="C552"/>
  <c r="C544"/>
  <c r="C529"/>
  <c r="C521"/>
  <c r="H440"/>
  <c r="CB67" i="42" s="1"/>
  <c r="C407" i="44"/>
  <c r="C403"/>
  <c r="E398"/>
  <c r="C384"/>
  <c r="C376"/>
  <c r="E181"/>
  <c r="E203" s="1"/>
  <c r="AT27" i="42"/>
  <c r="H408" i="44"/>
  <c r="AP27" i="42"/>
  <c r="D408" i="44"/>
  <c r="AR23" i="42"/>
  <c r="F404" i="44"/>
  <c r="C134"/>
  <c r="C506"/>
  <c r="C727"/>
  <c r="C773"/>
  <c r="C819"/>
  <c r="C865"/>
  <c r="C911"/>
  <c r="AQ21" i="42"/>
  <c r="AR19"/>
  <c r="C81" i="44"/>
  <c r="C153"/>
  <c r="C700"/>
  <c r="C746"/>
  <c r="C792"/>
  <c r="C838"/>
  <c r="C884"/>
  <c r="AS17" i="42"/>
  <c r="C77" i="44"/>
  <c r="C719"/>
  <c r="C765"/>
  <c r="C811"/>
  <c r="C857"/>
  <c r="C903"/>
  <c r="AT12" i="42"/>
  <c r="G11" i="44"/>
  <c r="AS12" i="42" s="1"/>
  <c r="G11" i="30"/>
  <c r="P78" i="46"/>
  <c r="S78" s="1"/>
  <c r="G78"/>
  <c r="Q357" i="23"/>
  <c r="G81" i="46"/>
  <c r="G79"/>
  <c r="G76"/>
  <c r="G71"/>
  <c r="K68"/>
  <c r="N68" s="1"/>
  <c r="K66"/>
  <c r="N66" s="1"/>
  <c r="E182" i="30"/>
  <c r="E203"/>
  <c r="H181" i="44"/>
  <c r="H203" s="1"/>
  <c r="D181"/>
  <c r="D203" s="1"/>
  <c r="K77" i="46"/>
  <c r="N77" s="1"/>
  <c r="G73"/>
  <c r="G63"/>
  <c r="G61"/>
  <c r="G59"/>
  <c r="H38" i="23"/>
  <c r="H19" s="1"/>
  <c r="D186" i="44" s="1"/>
  <c r="D208" s="1"/>
  <c r="J38" i="23"/>
  <c r="J19" s="1"/>
  <c r="B63" i="44" s="1"/>
  <c r="G39" i="23"/>
  <c r="G8" s="1"/>
  <c r="E104" i="24" s="1"/>
  <c r="I39" i="23"/>
  <c r="I8" s="1"/>
  <c r="K39"/>
  <c r="K8" s="1"/>
  <c r="L8" s="1"/>
  <c r="E40"/>
  <c r="G40"/>
  <c r="I40"/>
  <c r="K40"/>
  <c r="H41"/>
  <c r="H13" s="1"/>
  <c r="J41"/>
  <c r="J13" s="1"/>
  <c r="G42"/>
  <c r="I42"/>
  <c r="K42"/>
  <c r="H43"/>
  <c r="H21" s="1"/>
  <c r="D188" i="30" s="1"/>
  <c r="D210" s="1"/>
  <c r="J43" i="23"/>
  <c r="J21" s="1"/>
  <c r="G44"/>
  <c r="G9" s="1"/>
  <c r="E105" i="24" s="1"/>
  <c r="I44" i="23"/>
  <c r="I9" s="1"/>
  <c r="K44"/>
  <c r="K9" s="1"/>
  <c r="L9" s="1"/>
  <c r="H45"/>
  <c r="H20" s="1"/>
  <c r="J45"/>
  <c r="J20" s="1"/>
  <c r="G46"/>
  <c r="I46"/>
  <c r="K46"/>
  <c r="H47"/>
  <c r="J47"/>
  <c r="J18" s="1"/>
  <c r="G48"/>
  <c r="G17" s="1"/>
  <c r="E113" i="24" s="1"/>
  <c r="I48" i="23"/>
  <c r="I17" s="1"/>
  <c r="K48"/>
  <c r="K17" s="1"/>
  <c r="L17" s="1"/>
  <c r="H49"/>
  <c r="H16" s="1"/>
  <c r="J49"/>
  <c r="J16" s="1"/>
  <c r="G50"/>
  <c r="G12" s="1"/>
  <c r="E108" i="24" s="1"/>
  <c r="I50" i="23"/>
  <c r="I12" s="1"/>
  <c r="K50"/>
  <c r="K12" s="1"/>
  <c r="L12" s="1"/>
  <c r="G51"/>
  <c r="I51"/>
  <c r="K51"/>
  <c r="I53"/>
  <c r="I7" s="1"/>
  <c r="G54"/>
  <c r="G10" s="1"/>
  <c r="E106" i="24" s="1"/>
  <c r="I54" i="23"/>
  <c r="I10" s="1"/>
  <c r="G55"/>
  <c r="G11" s="1"/>
  <c r="E107" i="24" s="1"/>
  <c r="I55" i="23"/>
  <c r="I11" s="1"/>
  <c r="K55"/>
  <c r="K11" s="1"/>
  <c r="L11" s="1"/>
  <c r="E56"/>
  <c r="G56"/>
  <c r="I56"/>
  <c r="K56"/>
  <c r="E57"/>
  <c r="G57"/>
  <c r="I57"/>
  <c r="K57"/>
  <c r="I58"/>
  <c r="I25" s="1"/>
  <c r="K58"/>
  <c r="K25" s="1"/>
  <c r="L25" s="1"/>
  <c r="E59"/>
  <c r="G59"/>
  <c r="I59"/>
  <c r="K59"/>
  <c r="E60"/>
  <c r="G60"/>
  <c r="I60"/>
  <c r="K60"/>
  <c r="E61"/>
  <c r="G61"/>
  <c r="I61"/>
  <c r="K61"/>
  <c r="E62"/>
  <c r="G62"/>
  <c r="I62"/>
  <c r="K62"/>
  <c r="E63"/>
  <c r="E23" s="1"/>
  <c r="C113" s="1"/>
  <c r="G63"/>
  <c r="G22" s="1"/>
  <c r="E118" i="24" s="1"/>
  <c r="I63" i="23"/>
  <c r="I22" s="1"/>
  <c r="K63"/>
  <c r="K24" s="1"/>
  <c r="L24" s="1"/>
  <c r="H58"/>
  <c r="H25" s="1"/>
  <c r="I81" i="46"/>
  <c r="I79"/>
  <c r="I76"/>
  <c r="I74"/>
  <c r="Q71"/>
  <c r="T71" s="1"/>
  <c r="I70"/>
  <c r="I68"/>
  <c r="H63"/>
  <c r="J61"/>
  <c r="M61" s="1"/>
  <c r="J59"/>
  <c r="M59" s="1"/>
  <c r="K56"/>
  <c r="N56" s="1"/>
  <c r="I55"/>
  <c r="H356" i="23"/>
  <c r="F356"/>
  <c r="H84"/>
  <c r="F212"/>
  <c r="F84"/>
  <c r="E212"/>
  <c r="AS25" i="42"/>
  <c r="E406" i="44"/>
  <c r="F398"/>
  <c r="AP21" i="42"/>
  <c r="AS23"/>
  <c r="AP19"/>
  <c r="C17"/>
  <c r="G405" i="30"/>
  <c r="F11" i="42"/>
  <c r="C18"/>
  <c r="E19"/>
  <c r="E20"/>
  <c r="E21"/>
  <c r="E23"/>
  <c r="E25"/>
  <c r="E26"/>
  <c r="E27"/>
  <c r="D182" i="44"/>
  <c r="D204" s="1"/>
  <c r="H182"/>
  <c r="H204" s="1"/>
  <c r="G408" i="30"/>
  <c r="E408"/>
  <c r="E406"/>
  <c r="E408" i="44"/>
  <c r="G407"/>
  <c r="E407"/>
  <c r="G406"/>
  <c r="H399"/>
  <c r="F399"/>
  <c r="D399"/>
  <c r="H14" i="43"/>
  <c r="I10"/>
  <c r="J10" s="1"/>
  <c r="H12"/>
  <c r="H15" s="1"/>
  <c r="R340" i="23"/>
  <c r="Q351"/>
  <c r="Q342"/>
  <c r="D103" i="24"/>
  <c r="D127" s="1"/>
  <c r="C127"/>
  <c r="A129" i="42"/>
  <c r="A163"/>
  <c r="A125"/>
  <c r="A159"/>
  <c r="A121"/>
  <c r="A155"/>
  <c r="A117"/>
  <c r="A151"/>
  <c r="A113"/>
  <c r="A147"/>
  <c r="AB311" i="23"/>
  <c r="AC311" s="1"/>
  <c r="S358"/>
  <c r="T358"/>
  <c r="R348"/>
  <c r="Q354"/>
  <c r="B136" i="24"/>
  <c r="B127"/>
  <c r="C163" i="30"/>
  <c r="C409"/>
  <c r="C489"/>
  <c r="C558"/>
  <c r="C580"/>
  <c r="C653"/>
  <c r="C604"/>
  <c r="C629"/>
  <c r="C140"/>
  <c r="C385"/>
  <c r="C408"/>
  <c r="C465"/>
  <c r="C511"/>
  <c r="C534"/>
  <c r="C603"/>
  <c r="C628"/>
  <c r="C709"/>
  <c r="C732"/>
  <c r="C755"/>
  <c r="C778"/>
  <c r="A242" i="42" s="1"/>
  <c r="C801" i="30"/>
  <c r="C824"/>
  <c r="C847"/>
  <c r="C870"/>
  <c r="C893"/>
  <c r="C488"/>
  <c r="C579"/>
  <c r="C652"/>
  <c r="C916"/>
  <c r="C90"/>
  <c r="C487"/>
  <c r="C556"/>
  <c r="C651"/>
  <c r="C578"/>
  <c r="C89"/>
  <c r="C161"/>
  <c r="C407"/>
  <c r="C510"/>
  <c r="C731"/>
  <c r="C777"/>
  <c r="A241" i="42" s="1"/>
  <c r="C823" i="30"/>
  <c r="C869"/>
  <c r="C915"/>
  <c r="C88"/>
  <c r="C160"/>
  <c r="C486"/>
  <c r="C577"/>
  <c r="C601"/>
  <c r="C383"/>
  <c r="C463"/>
  <c r="C509"/>
  <c r="C532"/>
  <c r="C555"/>
  <c r="C707"/>
  <c r="C730"/>
  <c r="C753"/>
  <c r="C776"/>
  <c r="A240" i="42" s="1"/>
  <c r="C799" i="30"/>
  <c r="C822"/>
  <c r="C845"/>
  <c r="C868"/>
  <c r="C891"/>
  <c r="C531"/>
  <c r="C554"/>
  <c r="C625"/>
  <c r="C649"/>
  <c r="C600"/>
  <c r="C65"/>
  <c r="C136"/>
  <c r="C382"/>
  <c r="C462"/>
  <c r="C706"/>
  <c r="C752"/>
  <c r="C798"/>
  <c r="C844"/>
  <c r="C890"/>
  <c r="C381"/>
  <c r="C484"/>
  <c r="C705"/>
  <c r="C728"/>
  <c r="C751"/>
  <c r="C774"/>
  <c r="A238" i="42" s="1"/>
  <c r="C797" i="30"/>
  <c r="C820"/>
  <c r="C843"/>
  <c r="C866"/>
  <c r="C889"/>
  <c r="C158"/>
  <c r="C912"/>
  <c r="C64"/>
  <c r="C135"/>
  <c r="C461"/>
  <c r="C530"/>
  <c r="C575"/>
  <c r="C624"/>
  <c r="C157"/>
  <c r="C460"/>
  <c r="C506"/>
  <c r="C574"/>
  <c r="C598"/>
  <c r="C483"/>
  <c r="C623"/>
  <c r="C647"/>
  <c r="C703"/>
  <c r="C379"/>
  <c r="C62"/>
  <c r="C133"/>
  <c r="C402"/>
  <c r="C482"/>
  <c r="C528"/>
  <c r="C573"/>
  <c r="C622"/>
  <c r="C61"/>
  <c r="C83"/>
  <c r="C132"/>
  <c r="C401"/>
  <c r="C481"/>
  <c r="C527"/>
  <c r="C550"/>
  <c r="C621"/>
  <c r="C645"/>
  <c r="C702"/>
  <c r="C725"/>
  <c r="C748"/>
  <c r="C771"/>
  <c r="A235" i="42" s="1"/>
  <c r="C794" i="30"/>
  <c r="C817"/>
  <c r="C840"/>
  <c r="C863"/>
  <c r="C886"/>
  <c r="C909"/>
  <c r="C378"/>
  <c r="C572"/>
  <c r="C60"/>
  <c r="C154"/>
  <c r="C377"/>
  <c r="C457"/>
  <c r="C503"/>
  <c r="C571"/>
  <c r="C595"/>
  <c r="C82"/>
  <c r="C131"/>
  <c r="C400"/>
  <c r="C526"/>
  <c r="C549"/>
  <c r="C701"/>
  <c r="C724"/>
  <c r="C747"/>
  <c r="C770"/>
  <c r="A234" i="42" s="1"/>
  <c r="C793" i="30"/>
  <c r="C816"/>
  <c r="C839"/>
  <c r="C862"/>
  <c r="C885"/>
  <c r="C908"/>
  <c r="C59"/>
  <c r="C399"/>
  <c r="C479"/>
  <c r="C525"/>
  <c r="C548"/>
  <c r="C619"/>
  <c r="C643"/>
  <c r="C700"/>
  <c r="C723"/>
  <c r="C746"/>
  <c r="C769"/>
  <c r="A233" i="42" s="1"/>
  <c r="C792" i="30"/>
  <c r="C815"/>
  <c r="C838"/>
  <c r="C861"/>
  <c r="C884"/>
  <c r="C907"/>
  <c r="C153"/>
  <c r="C456"/>
  <c r="C502"/>
  <c r="C594"/>
  <c r="C81"/>
  <c r="C58"/>
  <c r="C80"/>
  <c r="C129"/>
  <c r="C152"/>
  <c r="C375"/>
  <c r="C455"/>
  <c r="C501"/>
  <c r="C569"/>
  <c r="C593"/>
  <c r="C478"/>
  <c r="C618"/>
  <c r="C642"/>
  <c r="C57"/>
  <c r="C477"/>
  <c r="C523"/>
  <c r="C546"/>
  <c r="C617"/>
  <c r="C641"/>
  <c r="C698"/>
  <c r="C721"/>
  <c r="C744"/>
  <c r="C767"/>
  <c r="A231" i="42" s="1"/>
  <c r="C790" i="30"/>
  <c r="C813"/>
  <c r="C836"/>
  <c r="C859"/>
  <c r="C882"/>
  <c r="C905"/>
  <c r="C374"/>
  <c r="C568"/>
  <c r="C77"/>
  <c r="C149"/>
  <c r="C452"/>
  <c r="C498"/>
  <c r="C566"/>
  <c r="C590"/>
  <c r="C55"/>
  <c r="C372"/>
  <c r="C521"/>
  <c r="C544"/>
  <c r="C696"/>
  <c r="C719"/>
  <c r="C742"/>
  <c r="C765"/>
  <c r="A229" i="42" s="1"/>
  <c r="C788" i="30"/>
  <c r="C811"/>
  <c r="C834"/>
  <c r="C857"/>
  <c r="C880"/>
  <c r="C903"/>
  <c r="C75"/>
  <c r="C147"/>
  <c r="C450"/>
  <c r="C496"/>
  <c r="C564"/>
  <c r="C588"/>
  <c r="C53"/>
  <c r="C370"/>
  <c r="C519"/>
  <c r="C542"/>
  <c r="C694"/>
  <c r="C717"/>
  <c r="C740"/>
  <c r="C763"/>
  <c r="A227" i="42" s="1"/>
  <c r="C786" i="30"/>
  <c r="C809"/>
  <c r="C832"/>
  <c r="C855"/>
  <c r="C878"/>
  <c r="C901"/>
  <c r="C51"/>
  <c r="C122"/>
  <c r="C517"/>
  <c r="C540"/>
  <c r="C611"/>
  <c r="C635"/>
  <c r="C692"/>
  <c r="C715"/>
  <c r="C738"/>
  <c r="C761"/>
  <c r="A225" i="42" s="1"/>
  <c r="C784" i="30"/>
  <c r="C807"/>
  <c r="C830"/>
  <c r="C853"/>
  <c r="C876"/>
  <c r="C899"/>
  <c r="C368"/>
  <c r="C562"/>
  <c r="C69" i="44"/>
  <c r="C386"/>
  <c r="C535"/>
  <c r="C558"/>
  <c r="C580"/>
  <c r="C604"/>
  <c r="C629"/>
  <c r="C653"/>
  <c r="C163"/>
  <c r="C409"/>
  <c r="C489"/>
  <c r="C140"/>
  <c r="C512"/>
  <c r="C733"/>
  <c r="C779"/>
  <c r="C825"/>
  <c r="C871"/>
  <c r="C917"/>
  <c r="C68"/>
  <c r="C162"/>
  <c r="C408"/>
  <c r="C488"/>
  <c r="C511"/>
  <c r="C139"/>
  <c r="C385"/>
  <c r="C465"/>
  <c r="C557"/>
  <c r="C603"/>
  <c r="C652"/>
  <c r="C89"/>
  <c r="C161"/>
  <c r="C510"/>
  <c r="C731"/>
  <c r="C777"/>
  <c r="C823"/>
  <c r="C869"/>
  <c r="C915"/>
  <c r="C651"/>
  <c r="C627"/>
  <c r="C602"/>
  <c r="C578"/>
  <c r="C556"/>
  <c r="C533"/>
  <c r="C464"/>
  <c r="C88"/>
  <c r="C383"/>
  <c r="C463"/>
  <c r="C532"/>
  <c r="C555"/>
  <c r="C577"/>
  <c r="C601"/>
  <c r="C626"/>
  <c r="C650"/>
  <c r="C707"/>
  <c r="C730"/>
  <c r="C753"/>
  <c r="C776"/>
  <c r="C799"/>
  <c r="C822"/>
  <c r="C845"/>
  <c r="C868"/>
  <c r="C891"/>
  <c r="C914"/>
  <c r="C137"/>
  <c r="C509"/>
  <c r="C159"/>
  <c r="C531"/>
  <c r="C576"/>
  <c r="C625"/>
  <c r="C87"/>
  <c r="C485"/>
  <c r="C706"/>
  <c r="C752"/>
  <c r="C798"/>
  <c r="C844"/>
  <c r="C890"/>
  <c r="C64"/>
  <c r="C135"/>
  <c r="C381"/>
  <c r="C404"/>
  <c r="C461"/>
  <c r="C484"/>
  <c r="C507"/>
  <c r="C530"/>
  <c r="C553"/>
  <c r="C575"/>
  <c r="C599"/>
  <c r="C624"/>
  <c r="C648"/>
  <c r="C86"/>
  <c r="C158"/>
  <c r="C705"/>
  <c r="C728"/>
  <c r="C751"/>
  <c r="C774"/>
  <c r="C797"/>
  <c r="C820"/>
  <c r="C843"/>
  <c r="C866"/>
  <c r="C889"/>
  <c r="C912"/>
  <c r="C63"/>
  <c r="C157"/>
  <c r="C460"/>
  <c r="C380"/>
  <c r="C85"/>
  <c r="C483"/>
  <c r="C704"/>
  <c r="C750"/>
  <c r="C796"/>
  <c r="C842"/>
  <c r="C888"/>
  <c r="C378"/>
  <c r="C527"/>
  <c r="C550"/>
  <c r="C572"/>
  <c r="C596"/>
  <c r="C621"/>
  <c r="C645"/>
  <c r="C61"/>
  <c r="C401"/>
  <c r="C458"/>
  <c r="C83"/>
  <c r="C155"/>
  <c r="C504"/>
  <c r="C725"/>
  <c r="C771"/>
  <c r="C817"/>
  <c r="C863"/>
  <c r="C909"/>
  <c r="C131"/>
  <c r="C154"/>
  <c r="C400"/>
  <c r="C457"/>
  <c r="C480"/>
  <c r="C503"/>
  <c r="C60"/>
  <c r="C82"/>
  <c r="C526"/>
  <c r="C571"/>
  <c r="C620"/>
  <c r="C701"/>
  <c r="C724"/>
  <c r="C747"/>
  <c r="C770"/>
  <c r="C793"/>
  <c r="C816"/>
  <c r="C839"/>
  <c r="C862"/>
  <c r="C885"/>
  <c r="C908"/>
  <c r="C59"/>
  <c r="C643"/>
  <c r="C619"/>
  <c r="C594"/>
  <c r="C570"/>
  <c r="C548"/>
  <c r="C525"/>
  <c r="C399"/>
  <c r="C130"/>
  <c r="C502"/>
  <c r="C723"/>
  <c r="C769"/>
  <c r="C815"/>
  <c r="C861"/>
  <c r="C907"/>
  <c r="C58"/>
  <c r="C80"/>
  <c r="C375"/>
  <c r="C455"/>
  <c r="C478"/>
  <c r="C524"/>
  <c r="C547"/>
  <c r="C569"/>
  <c r="C593"/>
  <c r="C618"/>
  <c r="C642"/>
  <c r="C699"/>
  <c r="C722"/>
  <c r="C745"/>
  <c r="C768"/>
  <c r="C791"/>
  <c r="C814"/>
  <c r="C837"/>
  <c r="C860"/>
  <c r="C883"/>
  <c r="C906"/>
  <c r="C129"/>
  <c r="C152"/>
  <c r="C501"/>
  <c r="C128"/>
  <c r="C374"/>
  <c r="C454"/>
  <c r="C477"/>
  <c r="C546"/>
  <c r="C592"/>
  <c r="C641"/>
  <c r="C57"/>
  <c r="C151"/>
  <c r="C698"/>
  <c r="C744"/>
  <c r="C790"/>
  <c r="C836"/>
  <c r="C882"/>
  <c r="C126"/>
  <c r="C149"/>
  <c r="C452"/>
  <c r="C475"/>
  <c r="C498"/>
  <c r="C395"/>
  <c r="C372"/>
  <c r="C55"/>
  <c r="C696"/>
  <c r="C742"/>
  <c r="C788"/>
  <c r="C834"/>
  <c r="C880"/>
  <c r="C370"/>
  <c r="C393"/>
  <c r="C519"/>
  <c r="C542"/>
  <c r="C564"/>
  <c r="C588"/>
  <c r="C613"/>
  <c r="C637"/>
  <c r="C147"/>
  <c r="C450"/>
  <c r="C473"/>
  <c r="C75"/>
  <c r="C694"/>
  <c r="C740"/>
  <c r="C786"/>
  <c r="C832"/>
  <c r="C878"/>
  <c r="C368"/>
  <c r="C391"/>
  <c r="C517"/>
  <c r="C540"/>
  <c r="C562"/>
  <c r="C586"/>
  <c r="C611"/>
  <c r="C635"/>
  <c r="C145"/>
  <c r="G440"/>
  <c r="CA67" i="42" s="1"/>
  <c r="C471" i="44"/>
  <c r="C51"/>
  <c r="C448"/>
  <c r="C692"/>
  <c r="C738"/>
  <c r="C784"/>
  <c r="C830"/>
  <c r="C876"/>
  <c r="AB309" i="23"/>
  <c r="AC309" s="1"/>
  <c r="AB317"/>
  <c r="AC317" s="1"/>
  <c r="B12" i="33"/>
  <c r="X12" s="1"/>
  <c r="Y348" i="23"/>
  <c r="AB315"/>
  <c r="AC315" s="1"/>
  <c r="C126" i="24"/>
  <c r="A149" i="42"/>
  <c r="A119"/>
  <c r="E204" i="30"/>
  <c r="I63" i="42"/>
  <c r="C435" i="30"/>
  <c r="A74" i="42" s="1"/>
  <c r="C434" i="44"/>
  <c r="AO73" i="42" s="1"/>
  <c r="Q76" i="46"/>
  <c r="T76" s="1"/>
  <c r="P73"/>
  <c r="S73" s="1"/>
  <c r="I73"/>
  <c r="Q67"/>
  <c r="T67" s="1"/>
  <c r="K58"/>
  <c r="N58" s="1"/>
  <c r="G80"/>
  <c r="Q73"/>
  <c r="T73" s="1"/>
  <c r="L73"/>
  <c r="O73" s="1"/>
  <c r="J73"/>
  <c r="M73" s="1"/>
  <c r="P71"/>
  <c r="S71" s="1"/>
  <c r="I69"/>
  <c r="P61"/>
  <c r="S61" s="1"/>
  <c r="P51"/>
  <c r="S51" s="1"/>
  <c r="K50"/>
  <c r="N50" s="1"/>
  <c r="B14" i="33"/>
  <c r="X14" s="1"/>
  <c r="AC101" i="46"/>
  <c r="L81"/>
  <c r="O81" s="1"/>
  <c r="K79"/>
  <c r="N79" s="1"/>
  <c r="L76"/>
  <c r="O76" s="1"/>
  <c r="L69"/>
  <c r="O69" s="1"/>
  <c r="G68"/>
  <c r="P65"/>
  <c r="S65" s="1"/>
  <c r="J65"/>
  <c r="M65" s="1"/>
  <c r="P63"/>
  <c r="S63" s="1"/>
  <c r="J63"/>
  <c r="M63" s="1"/>
  <c r="K57"/>
  <c r="N57" s="1"/>
  <c r="Q54"/>
  <c r="T54" s="1"/>
  <c r="P53"/>
  <c r="S53" s="1"/>
  <c r="I53"/>
  <c r="U158" i="44"/>
  <c r="AC158"/>
  <c r="AK158"/>
  <c r="AK135" s="1"/>
  <c r="AS158"/>
  <c r="AS135" s="1"/>
  <c r="D158" i="30"/>
  <c r="R158" i="44"/>
  <c r="D158"/>
  <c r="T158"/>
  <c r="AJ158"/>
  <c r="AJ135" s="1"/>
  <c r="E461"/>
  <c r="E140" i="24"/>
  <c r="V158" i="44"/>
  <c r="F159"/>
  <c r="V159"/>
  <c r="AL159"/>
  <c r="AL136" s="1"/>
  <c r="I159"/>
  <c r="E141" i="24"/>
  <c r="D462" i="30"/>
  <c r="H159" i="44"/>
  <c r="X159"/>
  <c r="I159" i="30"/>
  <c r="U159" i="44"/>
  <c r="E462" i="30"/>
  <c r="F145" i="44"/>
  <c r="AL145"/>
  <c r="E145"/>
  <c r="AI145"/>
  <c r="X145"/>
  <c r="G145"/>
  <c r="AO145"/>
  <c r="AB328" i="23"/>
  <c r="AC328" s="1"/>
  <c r="AB326"/>
  <c r="AC326" s="1"/>
  <c r="AB324"/>
  <c r="AC324" s="1"/>
  <c r="AC89" i="46"/>
  <c r="B145" i="24"/>
  <c r="F156" i="44"/>
  <c r="V156"/>
  <c r="O156"/>
  <c r="H156" i="30"/>
  <c r="F108" i="23"/>
  <c r="D459" i="30"/>
  <c r="H156" i="44"/>
  <c r="P156"/>
  <c r="D459"/>
  <c r="D482" s="1" a="1"/>
  <c r="D482" s="1"/>
  <c r="I156" i="30"/>
  <c r="U156" i="44"/>
  <c r="S156"/>
  <c r="D156" i="30"/>
  <c r="I156" i="44"/>
  <c r="S149"/>
  <c r="H149" i="30"/>
  <c r="P149" i="44"/>
  <c r="D449" i="30"/>
  <c r="K146" i="44"/>
  <c r="S146"/>
  <c r="AA146"/>
  <c r="D449"/>
  <c r="F146"/>
  <c r="H146"/>
  <c r="X146"/>
  <c r="D472" a="1"/>
  <c r="D472" s="1"/>
  <c r="F98" i="23"/>
  <c r="AD146" i="44"/>
  <c r="AD123" s="1"/>
  <c r="E146"/>
  <c r="M146"/>
  <c r="U146"/>
  <c r="AC146"/>
  <c r="D146" i="30"/>
  <c r="R146" i="44"/>
  <c r="L146"/>
  <c r="AB146"/>
  <c r="G146" i="30"/>
  <c r="J146" i="44"/>
  <c r="K14" i="46"/>
  <c r="AB322" i="23"/>
  <c r="AC322" s="1"/>
  <c r="AC112" i="46"/>
  <c r="H430" i="44"/>
  <c r="AT66" i="42" s="1"/>
  <c r="AB330" i="23"/>
  <c r="AC330" s="1"/>
  <c r="AC113" i="46"/>
  <c r="AC95"/>
  <c r="K27" s="1"/>
  <c r="Q83"/>
  <c r="T83" s="1"/>
  <c r="P81"/>
  <c r="S81" s="1"/>
  <c r="Q79"/>
  <c r="T79" s="1"/>
  <c r="P76"/>
  <c r="S76" s="1"/>
  <c r="G70"/>
  <c r="R61"/>
  <c r="U61" s="1"/>
  <c r="P59"/>
  <c r="S59" s="1"/>
  <c r="Q57"/>
  <c r="T57" s="1"/>
  <c r="Q55"/>
  <c r="T55" s="1"/>
  <c r="P55"/>
  <c r="S55" s="1"/>
  <c r="L55"/>
  <c r="O55" s="1"/>
  <c r="J55"/>
  <c r="M55" s="1"/>
  <c r="K54"/>
  <c r="N54" s="1"/>
  <c r="Q53"/>
  <c r="T53" s="1"/>
  <c r="L53"/>
  <c r="O53" s="1"/>
  <c r="J53"/>
  <c r="M53" s="1"/>
  <c r="B142" i="24"/>
  <c r="D128"/>
  <c r="AH116"/>
  <c r="AZ116"/>
  <c r="W116"/>
  <c r="BZ116"/>
  <c r="S116"/>
  <c r="AB320" i="23"/>
  <c r="AC320" s="1"/>
  <c r="AB312"/>
  <c r="AC312" s="1"/>
  <c r="B189" i="24"/>
  <c r="AA47" i="38" s="1"/>
  <c r="B180" i="24"/>
  <c r="AA38" i="38" s="1"/>
  <c r="C137" i="24"/>
  <c r="J15" i="23"/>
  <c r="H67" i="46"/>
  <c r="J67"/>
  <c r="M67" s="1"/>
  <c r="L67"/>
  <c r="O67" s="1"/>
  <c r="P67"/>
  <c r="S67" s="1"/>
  <c r="R67"/>
  <c r="U67" s="1"/>
  <c r="I66"/>
  <c r="G66"/>
  <c r="I64"/>
  <c r="G64"/>
  <c r="I62"/>
  <c r="G62"/>
  <c r="C185" i="24"/>
  <c r="J185" s="1"/>
  <c r="C183"/>
  <c r="F183" s="1"/>
  <c r="AC106" i="46"/>
  <c r="K24" s="1"/>
  <c r="AC103"/>
  <c r="K20" s="1"/>
  <c r="AC100"/>
  <c r="K35" s="1"/>
  <c r="N35" s="1"/>
  <c r="AC94"/>
  <c r="K23" s="1"/>
  <c r="AC90"/>
  <c r="K31" s="1"/>
  <c r="H83"/>
  <c r="J83"/>
  <c r="M83" s="1"/>
  <c r="L83"/>
  <c r="O83" s="1"/>
  <c r="P83"/>
  <c r="S83" s="1"/>
  <c r="R83"/>
  <c r="U83" s="1"/>
  <c r="I82"/>
  <c r="G82"/>
  <c r="H81"/>
  <c r="J81"/>
  <c r="M81" s="1"/>
  <c r="W81" s="1"/>
  <c r="J41" s="1"/>
  <c r="K81"/>
  <c r="N81" s="1"/>
  <c r="R81"/>
  <c r="U81" s="1"/>
  <c r="H79"/>
  <c r="J79"/>
  <c r="M79" s="1"/>
  <c r="L79"/>
  <c r="O79" s="1"/>
  <c r="P79"/>
  <c r="S79" s="1"/>
  <c r="W79" s="1"/>
  <c r="J39" s="1"/>
  <c r="R79"/>
  <c r="U79" s="1"/>
  <c r="I77"/>
  <c r="G77"/>
  <c r="H76"/>
  <c r="J76"/>
  <c r="M76" s="1"/>
  <c r="K76"/>
  <c r="N76" s="1"/>
  <c r="R76"/>
  <c r="U76" s="1"/>
  <c r="H71"/>
  <c r="J71"/>
  <c r="M71" s="1"/>
  <c r="K71"/>
  <c r="N71" s="1"/>
  <c r="R71"/>
  <c r="U71" s="1"/>
  <c r="H61"/>
  <c r="I61"/>
  <c r="L61"/>
  <c r="O61" s="1"/>
  <c r="H57"/>
  <c r="J57"/>
  <c r="M57" s="1"/>
  <c r="L57"/>
  <c r="O57" s="1"/>
  <c r="P57"/>
  <c r="S57" s="1"/>
  <c r="R57"/>
  <c r="U57" s="1"/>
  <c r="I52"/>
  <c r="Y52" s="1"/>
  <c r="P12" s="1"/>
  <c r="F38" i="23" s="1"/>
  <c r="F19" s="1"/>
  <c r="D109" s="1"/>
  <c r="Q52" i="46"/>
  <c r="T52" s="1"/>
  <c r="H51"/>
  <c r="J51"/>
  <c r="M51" s="1"/>
  <c r="K51"/>
  <c r="N51" s="1"/>
  <c r="R51"/>
  <c r="U51" s="1"/>
  <c r="N149" i="44"/>
  <c r="AB149"/>
  <c r="R149"/>
  <c r="AC149"/>
  <c r="M149"/>
  <c r="K154"/>
  <c r="AG154"/>
  <c r="AG131" s="1"/>
  <c r="AE154"/>
  <c r="AE131" s="1"/>
  <c r="AH154"/>
  <c r="AH131" s="1"/>
  <c r="R154"/>
  <c r="AC109" i="46"/>
  <c r="K32" s="1"/>
  <c r="AC107"/>
  <c r="AC99"/>
  <c r="K37" s="1"/>
  <c r="AC97"/>
  <c r="K43" s="1"/>
  <c r="AC93"/>
  <c r="K22" s="1"/>
  <c r="AC91"/>
  <c r="I67"/>
  <c r="Y67" s="1"/>
  <c r="AC108"/>
  <c r="AC105"/>
  <c r="K21" s="1"/>
  <c r="AC102"/>
  <c r="K38" s="1"/>
  <c r="AC98"/>
  <c r="K36" s="1"/>
  <c r="AC96"/>
  <c r="K29" s="1"/>
  <c r="AC92"/>
  <c r="K41" s="1"/>
  <c r="K116" i="24"/>
  <c r="BY116"/>
  <c r="V116"/>
  <c r="BB116"/>
  <c r="BN116"/>
  <c r="BM116"/>
  <c r="AB116"/>
  <c r="BA116"/>
  <c r="CI116"/>
  <c r="AV116"/>
  <c r="Q116"/>
  <c r="C180"/>
  <c r="AS117"/>
  <c r="BV117"/>
  <c r="J117"/>
  <c r="BX117"/>
  <c r="BC117"/>
  <c r="D186"/>
  <c r="AB44" i="38" s="1"/>
  <c r="D129" i="24"/>
  <c r="F23" i="23"/>
  <c r="D113" s="1"/>
  <c r="C434" i="30"/>
  <c r="A73" i="42" s="1"/>
  <c r="C430" i="30"/>
  <c r="A66" i="42" s="1"/>
  <c r="I55" i="43"/>
  <c r="G268" i="44"/>
  <c r="J29" i="43"/>
  <c r="G268" i="30"/>
  <c r="F268" i="44"/>
  <c r="F269"/>
  <c r="J65" i="43"/>
  <c r="I56"/>
  <c r="H19"/>
  <c r="H23" s="1"/>
  <c r="H32" s="1"/>
  <c r="J57"/>
  <c r="D40" i="30"/>
  <c r="F14" i="44"/>
  <c r="F14" i="30"/>
  <c r="D12" i="47"/>
  <c r="D11"/>
  <c r="F13" i="44"/>
  <c r="F13" i="30"/>
  <c r="E12" i="42"/>
  <c r="E186" i="30"/>
  <c r="E208" s="1"/>
  <c r="E102" i="23"/>
  <c r="E183" i="44"/>
  <c r="E205" s="1"/>
  <c r="H22" i="23"/>
  <c r="F189" i="44" s="1"/>
  <c r="F211" s="1"/>
  <c r="G185" i="24"/>
  <c r="D22" i="23"/>
  <c r="I84" s="1"/>
  <c r="F115"/>
  <c r="H163" i="30"/>
  <c r="R163" i="44"/>
  <c r="AH163"/>
  <c r="AH140" s="1"/>
  <c r="E466"/>
  <c r="E163"/>
  <c r="U163"/>
  <c r="AK163"/>
  <c r="AK140" s="1"/>
  <c r="E163" i="30"/>
  <c r="G163" i="44"/>
  <c r="AI163"/>
  <c r="AI140" s="1"/>
  <c r="J163" i="30"/>
  <c r="AD163" i="44"/>
  <c r="AD140" s="1"/>
  <c r="AU163"/>
  <c r="AU140" s="1"/>
  <c r="AG163"/>
  <c r="AG140" s="1"/>
  <c r="D466" i="30"/>
  <c r="E145" i="24"/>
  <c r="V163" i="44"/>
  <c r="W163"/>
  <c r="Y163"/>
  <c r="G163" i="30"/>
  <c r="AQ163" i="44"/>
  <c r="AQ140" s="1"/>
  <c r="E148"/>
  <c r="Y148"/>
  <c r="X148"/>
  <c r="E451" i="30"/>
  <c r="E148"/>
  <c r="H148" i="44"/>
  <c r="Z148"/>
  <c r="N148"/>
  <c r="H183"/>
  <c r="H205" s="1"/>
  <c r="D183" i="30"/>
  <c r="D205" s="1"/>
  <c r="F183" i="44"/>
  <c r="F205" s="1"/>
  <c r="F183" i="30"/>
  <c r="F205" s="1"/>
  <c r="B62" i="44"/>
  <c r="B78" i="33"/>
  <c r="X78" s="1"/>
  <c r="H147" i="44"/>
  <c r="AN147"/>
  <c r="AN124" s="1"/>
  <c r="E147"/>
  <c r="E129" i="24"/>
  <c r="D147" i="30"/>
  <c r="W147" i="44"/>
  <c r="S147"/>
  <c r="AV147"/>
  <c r="AV124" s="1"/>
  <c r="B22" i="33"/>
  <c r="X22" s="1"/>
  <c r="G180" i="30"/>
  <c r="G202" s="1"/>
  <c r="H180"/>
  <c r="B20" i="33"/>
  <c r="X20" s="1"/>
  <c r="BC107" i="24"/>
  <c r="AQ107"/>
  <c r="N107"/>
  <c r="AR107"/>
  <c r="BX107"/>
  <c r="U107"/>
  <c r="AY107"/>
  <c r="AX107"/>
  <c r="Q107"/>
  <c r="J107"/>
  <c r="BZ107"/>
  <c r="CK107"/>
  <c r="BO107"/>
  <c r="V107"/>
  <c r="AZ107"/>
  <c r="CF107"/>
  <c r="AM107"/>
  <c r="CI107"/>
  <c r="BN107"/>
  <c r="G107"/>
  <c r="Z107"/>
  <c r="BE107"/>
  <c r="BQ106"/>
  <c r="J106"/>
  <c r="AP106"/>
  <c r="BV106"/>
  <c r="M106"/>
  <c r="CK106"/>
  <c r="AZ106"/>
  <c r="BS106"/>
  <c r="K106"/>
  <c r="BD106"/>
  <c r="CI106"/>
  <c r="BY106"/>
  <c r="N106"/>
  <c r="AT106"/>
  <c r="BZ106"/>
  <c r="AI106"/>
  <c r="CM106"/>
  <c r="BH106"/>
  <c r="AU106"/>
  <c r="I106"/>
  <c r="BL106"/>
  <c r="B60" i="30"/>
  <c r="B17" i="33"/>
  <c r="X17" s="1"/>
  <c r="B76"/>
  <c r="X76" s="1"/>
  <c r="B60" i="44"/>
  <c r="H82" s="1"/>
  <c r="K113" i="24"/>
  <c r="AQ113"/>
  <c r="BC113"/>
  <c r="L113"/>
  <c r="AB113"/>
  <c r="AT113"/>
  <c r="BJ113"/>
  <c r="BZ113"/>
  <c r="CG113"/>
  <c r="BA113"/>
  <c r="U113"/>
  <c r="BG113"/>
  <c r="I113"/>
  <c r="AD113"/>
  <c r="BH113"/>
  <c r="CK113"/>
  <c r="Y113"/>
  <c r="O113"/>
  <c r="V113"/>
  <c r="BD113"/>
  <c r="CJ113"/>
  <c r="AG113"/>
  <c r="BW113"/>
  <c r="AM113"/>
  <c r="J113"/>
  <c r="Z113"/>
  <c r="AP113"/>
  <c r="BF113"/>
  <c r="BV113"/>
  <c r="CL113"/>
  <c r="BI113"/>
  <c r="AC113"/>
  <c r="AY113"/>
  <c r="CA113"/>
  <c r="X113"/>
  <c r="AZ113"/>
  <c r="CF113"/>
  <c r="AO113"/>
  <c r="AA113"/>
  <c r="P113"/>
  <c r="AV113"/>
  <c r="CB113"/>
  <c r="AW113"/>
  <c r="I14" i="23"/>
  <c r="X152" i="44" s="1"/>
  <c r="I15" i="23"/>
  <c r="BR105" i="24"/>
  <c r="Z105"/>
  <c r="CI105"/>
  <c r="I105"/>
  <c r="Y105"/>
  <c r="AO105"/>
  <c r="BE105"/>
  <c r="BU105"/>
  <c r="CF105"/>
  <c r="AZ105"/>
  <c r="T105"/>
  <c r="BB105"/>
  <c r="AT105"/>
  <c r="AA105"/>
  <c r="BG105"/>
  <c r="CH105"/>
  <c r="X105"/>
  <c r="CM105"/>
  <c r="W105"/>
  <c r="BC105"/>
  <c r="CL105"/>
  <c r="AF105"/>
  <c r="J105"/>
  <c r="BV105"/>
  <c r="AD105"/>
  <c r="U105"/>
  <c r="AK105"/>
  <c r="BA105"/>
  <c r="BQ105"/>
  <c r="CJ105"/>
  <c r="BH105"/>
  <c r="AB105"/>
  <c r="AL105"/>
  <c r="CD105"/>
  <c r="S105"/>
  <c r="AY105"/>
  <c r="CE105"/>
  <c r="AN105"/>
  <c r="BN105"/>
  <c r="O105"/>
  <c r="AU105"/>
  <c r="CA105"/>
  <c r="AV105"/>
  <c r="D188" i="44"/>
  <c r="D210" s="1"/>
  <c r="E188"/>
  <c r="E210" s="1"/>
  <c r="H188" i="30"/>
  <c r="H210" s="1"/>
  <c r="F188" i="44"/>
  <c r="F210" s="1"/>
  <c r="B57"/>
  <c r="AR104" i="24"/>
  <c r="AH104"/>
  <c r="CJ104"/>
  <c r="Q104"/>
  <c r="AW104"/>
  <c r="CC104"/>
  <c r="F104"/>
  <c r="BZ104"/>
  <c r="O104"/>
  <c r="AU104"/>
  <c r="CA104"/>
  <c r="AD104"/>
  <c r="CH104"/>
  <c r="K104"/>
  <c r="AQ104"/>
  <c r="BW104"/>
  <c r="BX104"/>
  <c r="AZ104"/>
  <c r="Z104"/>
  <c r="BF104"/>
  <c r="CL104"/>
  <c r="AN104"/>
  <c r="M104"/>
  <c r="AC104"/>
  <c r="AS104"/>
  <c r="BI104"/>
  <c r="BY104"/>
  <c r="L104"/>
  <c r="V104"/>
  <c r="CB104"/>
  <c r="W104"/>
  <c r="BC104"/>
  <c r="CI104"/>
  <c r="AL104"/>
  <c r="BL104"/>
  <c r="S104"/>
  <c r="AY104"/>
  <c r="CE104"/>
  <c r="E109" i="23"/>
  <c r="G23"/>
  <c r="E119" i="24" s="1"/>
  <c r="K17" i="46"/>
  <c r="AE315" i="23"/>
  <c r="AP315" s="1"/>
  <c r="AI315"/>
  <c r="AM315"/>
  <c r="BB315" s="1"/>
  <c r="BB343" s="1"/>
  <c r="AJ315"/>
  <c r="AH315"/>
  <c r="AH343" s="1"/>
  <c r="AK315"/>
  <c r="AN315"/>
  <c r="AN343" s="1"/>
  <c r="AG315"/>
  <c r="AF315"/>
  <c r="AF343" s="1"/>
  <c r="AL315"/>
  <c r="K42" i="46"/>
  <c r="K25"/>
  <c r="F185" i="24"/>
  <c r="K11" i="46"/>
  <c r="K10"/>
  <c r="W63"/>
  <c r="J23" s="1"/>
  <c r="M23" s="1"/>
  <c r="K40"/>
  <c r="D472" i="30" a="1"/>
  <c r="D472" s="1"/>
  <c r="K18" i="46"/>
  <c r="K13"/>
  <c r="E485" i="30" a="1"/>
  <c r="E485" s="1"/>
  <c r="D485" a="1"/>
  <c r="D485" s="1"/>
  <c r="D482" a="1"/>
  <c r="D482" s="1"/>
  <c r="B23" i="33"/>
  <c r="X23" s="1"/>
  <c r="B82"/>
  <c r="X82" s="1"/>
  <c r="D183" i="24"/>
  <c r="AB41" i="38" s="1"/>
  <c r="I183" i="24"/>
  <c r="B59" i="30"/>
  <c r="B75" i="33"/>
  <c r="X75" s="1"/>
  <c r="B59" i="44"/>
  <c r="B16" i="33"/>
  <c r="X16" s="1"/>
  <c r="K30" i="46"/>
  <c r="B58" i="30"/>
  <c r="H80" s="1"/>
  <c r="B74" i="33"/>
  <c r="X74" s="1"/>
  <c r="B58" i="44"/>
  <c r="AC129" s="1"/>
  <c r="AW152" s="1"/>
  <c r="AW129" s="1"/>
  <c r="B15" i="33"/>
  <c r="X15" s="1"/>
  <c r="P27" i="46"/>
  <c r="H268" i="30"/>
  <c r="H268" i="44"/>
  <c r="K29" i="43"/>
  <c r="K65"/>
  <c r="J68"/>
  <c r="J66"/>
  <c r="D14" i="42"/>
  <c r="F178" i="30"/>
  <c r="F200" s="1"/>
  <c r="C11" i="47"/>
  <c r="E13" i="30"/>
  <c r="E13" i="44"/>
  <c r="E178" s="1"/>
  <c r="E200" s="1"/>
  <c r="C12" i="47"/>
  <c r="E14" i="30"/>
  <c r="E179" s="1"/>
  <c r="E201" s="1"/>
  <c r="E14" i="44"/>
  <c r="AR15" i="42"/>
  <c r="F179" i="44"/>
  <c r="F201" s="1"/>
  <c r="AR14" i="42"/>
  <c r="F178" i="44"/>
  <c r="F200" s="1"/>
  <c r="D15" i="42"/>
  <c r="F179" i="30"/>
  <c r="F201" s="1"/>
  <c r="E112" i="23"/>
  <c r="E189" i="30"/>
  <c r="E211" s="1"/>
  <c r="H189"/>
  <c r="H211" s="1"/>
  <c r="D189" i="44"/>
  <c r="D211" s="1"/>
  <c r="F189" i="30"/>
  <c r="F211" s="1"/>
  <c r="E189" i="44"/>
  <c r="E211" s="1"/>
  <c r="AB128"/>
  <c r="F79"/>
  <c r="D79"/>
  <c r="G79"/>
  <c r="T128"/>
  <c r="X128"/>
  <c r="J128"/>
  <c r="AN151" s="1"/>
  <c r="E79"/>
  <c r="Z128"/>
  <c r="R128"/>
  <c r="AV151" s="1"/>
  <c r="L128"/>
  <c r="AP151" s="1"/>
  <c r="H79"/>
  <c r="V128"/>
  <c r="N128"/>
  <c r="AR151" s="1"/>
  <c r="E153"/>
  <c r="I153"/>
  <c r="M153"/>
  <c r="Q153"/>
  <c r="U153"/>
  <c r="Y153"/>
  <c r="D456"/>
  <c r="D479" s="1" a="1"/>
  <c r="D479" s="1"/>
  <c r="F153" i="30"/>
  <c r="J153"/>
  <c r="J153" i="44"/>
  <c r="Z153"/>
  <c r="H153"/>
  <c r="P153"/>
  <c r="X153"/>
  <c r="E456"/>
  <c r="E135" i="24"/>
  <c r="N153" i="44"/>
  <c r="I153" i="30"/>
  <c r="D456"/>
  <c r="D479" s="1" a="1"/>
  <c r="D479" s="1"/>
  <c r="G153" i="44"/>
  <c r="K153"/>
  <c r="O153"/>
  <c r="S153"/>
  <c r="W153"/>
  <c r="AA153"/>
  <c r="D153" i="30"/>
  <c r="H153"/>
  <c r="R153" i="44"/>
  <c r="D153"/>
  <c r="L153"/>
  <c r="T153"/>
  <c r="AB153"/>
  <c r="G153" i="30"/>
  <c r="E456"/>
  <c r="F153" i="44"/>
  <c r="V153"/>
  <c r="E153" i="30"/>
  <c r="F105" i="23"/>
  <c r="N131" i="44"/>
  <c r="AR154" s="1"/>
  <c r="AR131" s="1"/>
  <c r="U131"/>
  <c r="I131"/>
  <c r="AM154" s="1"/>
  <c r="AM131" s="1"/>
  <c r="F82"/>
  <c r="R134"/>
  <c r="U134"/>
  <c r="O134"/>
  <c r="W134"/>
  <c r="G85"/>
  <c r="I134"/>
  <c r="M134"/>
  <c r="K134"/>
  <c r="S134"/>
  <c r="AA134"/>
  <c r="F85"/>
  <c r="Y134"/>
  <c r="H85"/>
  <c r="Q134"/>
  <c r="AC134"/>
  <c r="D85"/>
  <c r="T134"/>
  <c r="E85"/>
  <c r="P134"/>
  <c r="D489" i="30" a="1"/>
  <c r="D489" s="1"/>
  <c r="D152" i="44"/>
  <c r="U152"/>
  <c r="O152"/>
  <c r="D152" i="30"/>
  <c r="T152" i="44"/>
  <c r="G152" i="30"/>
  <c r="E455"/>
  <c r="S152" i="44"/>
  <c r="N152"/>
  <c r="Q152"/>
  <c r="M131" i="30"/>
  <c r="E82"/>
  <c r="U131"/>
  <c r="I131"/>
  <c r="AM154" s="1"/>
  <c r="AM131" s="1"/>
  <c r="L131"/>
  <c r="Z131"/>
  <c r="W131"/>
  <c r="X131"/>
  <c r="D82"/>
  <c r="Q131"/>
  <c r="G82"/>
  <c r="V131"/>
  <c r="F82"/>
  <c r="H82"/>
  <c r="T131"/>
  <c r="S131"/>
  <c r="R133" i="44"/>
  <c r="AG156" s="1"/>
  <c r="AG133" s="1"/>
  <c r="AV156" s="1"/>
  <c r="AV133" s="1"/>
  <c r="Z133"/>
  <c r="AO156" s="1"/>
  <c r="AO133" s="1"/>
  <c r="J133"/>
  <c r="Y156" s="1"/>
  <c r="D84"/>
  <c r="Q133"/>
  <c r="AF156" s="1"/>
  <c r="AF133" s="1"/>
  <c r="P133"/>
  <c r="AE156" s="1"/>
  <c r="AE133" s="1"/>
  <c r="AT156" s="1"/>
  <c r="AT133" s="1"/>
  <c r="X133"/>
  <c r="AM156" s="1"/>
  <c r="AM133" s="1"/>
  <c r="H84"/>
  <c r="F84"/>
  <c r="E84"/>
  <c r="V133"/>
  <c r="AK156" s="1"/>
  <c r="AK133" s="1"/>
  <c r="G84"/>
  <c r="L133"/>
  <c r="AA156" s="1"/>
  <c r="T133"/>
  <c r="AI156" s="1"/>
  <c r="AI133" s="1"/>
  <c r="AB133"/>
  <c r="AQ156" s="1"/>
  <c r="AQ133" s="1"/>
  <c r="N133"/>
  <c r="AC156" s="1"/>
  <c r="I133"/>
  <c r="X156" s="1"/>
  <c r="AL343" i="23"/>
  <c r="BC315"/>
  <c r="BC343" s="1"/>
  <c r="BH315"/>
  <c r="BH343" s="1"/>
  <c r="AG343"/>
  <c r="BD315"/>
  <c r="BD343" s="1"/>
  <c r="AK343"/>
  <c r="AJ343"/>
  <c r="BE315"/>
  <c r="BE343" s="1"/>
  <c r="BF315"/>
  <c r="BF343" s="1"/>
  <c r="AI343"/>
  <c r="BI315"/>
  <c r="BI343" s="1"/>
  <c r="BA315"/>
  <c r="BA343" s="1"/>
  <c r="BG315"/>
  <c r="BG343" s="1"/>
  <c r="AM343"/>
  <c r="BJ315"/>
  <c r="BJ343" s="1"/>
  <c r="AB130" i="44"/>
  <c r="AV153" s="1"/>
  <c r="AV130" s="1"/>
  <c r="X130"/>
  <c r="AR153" s="1"/>
  <c r="AR130" s="1"/>
  <c r="T130"/>
  <c r="AN153" s="1"/>
  <c r="AN130" s="1"/>
  <c r="P130"/>
  <c r="AJ153" s="1"/>
  <c r="AJ130" s="1"/>
  <c r="L130"/>
  <c r="AF153" s="1"/>
  <c r="AF130" s="1"/>
  <c r="Q130"/>
  <c r="AK153" s="1"/>
  <c r="AK130" s="1"/>
  <c r="F81"/>
  <c r="H81"/>
  <c r="D81"/>
  <c r="Z130"/>
  <c r="AT153" s="1"/>
  <c r="AT130" s="1"/>
  <c r="V130"/>
  <c r="AP153" s="1"/>
  <c r="AP130" s="1"/>
  <c r="R130"/>
  <c r="AL153" s="1"/>
  <c r="AL130" s="1"/>
  <c r="N130"/>
  <c r="AH153" s="1"/>
  <c r="AH130" s="1"/>
  <c r="J130"/>
  <c r="AD153" s="1"/>
  <c r="AD130" s="1"/>
  <c r="U130"/>
  <c r="AO153" s="1"/>
  <c r="AO130" s="1"/>
  <c r="G81"/>
  <c r="E81"/>
  <c r="Z130" i="30"/>
  <c r="G81"/>
  <c r="N130"/>
  <c r="AH153" s="1"/>
  <c r="AH130" s="1"/>
  <c r="E81"/>
  <c r="I130"/>
  <c r="AC153" s="1"/>
  <c r="Y130"/>
  <c r="AA130"/>
  <c r="J130"/>
  <c r="F81"/>
  <c r="U130"/>
  <c r="H81"/>
  <c r="D81"/>
  <c r="X130"/>
  <c r="M130"/>
  <c r="S130"/>
  <c r="L130"/>
  <c r="AF153" s="1"/>
  <c r="AF130" s="1"/>
  <c r="AB130"/>
  <c r="G80" i="44"/>
  <c r="Y129"/>
  <c r="AS152" s="1"/>
  <c r="AS129" s="1"/>
  <c r="D80"/>
  <c r="E80"/>
  <c r="E80" i="30"/>
  <c r="D80"/>
  <c r="T129"/>
  <c r="AA129"/>
  <c r="AU152" s="1"/>
  <c r="AU129" s="1"/>
  <c r="AU25" i="38"/>
  <c r="AS25"/>
  <c r="AR25"/>
  <c r="AI25"/>
  <c r="AO25"/>
  <c r="AC25"/>
  <c r="AD25"/>
  <c r="AV25"/>
  <c r="AM25"/>
  <c r="AH25"/>
  <c r="AG25"/>
  <c r="AJ25"/>
  <c r="AL25"/>
  <c r="AN25"/>
  <c r="AB25"/>
  <c r="AP25"/>
  <c r="AQ25"/>
  <c r="AT25"/>
  <c r="AF25"/>
  <c r="AK25"/>
  <c r="AE25"/>
  <c r="K66" i="43"/>
  <c r="K68"/>
  <c r="I268" i="44"/>
  <c r="L29" i="43"/>
  <c r="I268" i="30"/>
  <c r="AQ15" i="42"/>
  <c r="E179" i="44"/>
  <c r="E201" s="1"/>
  <c r="D14"/>
  <c r="D179" s="1"/>
  <c r="D201" s="1"/>
  <c r="D14" i="30"/>
  <c r="D179" s="1"/>
  <c r="D201" s="1"/>
  <c r="AQ14" i="42"/>
  <c r="D13" i="44"/>
  <c r="D178" s="1"/>
  <c r="D200" s="1"/>
  <c r="D13" i="30"/>
  <c r="C15" i="42"/>
  <c r="C14"/>
  <c r="E178" i="30"/>
  <c r="E200" s="1"/>
  <c r="M29" i="43"/>
  <c r="K268" i="44" s="1"/>
  <c r="J268"/>
  <c r="J268" i="30"/>
  <c r="B14" i="42"/>
  <c r="D178" i="30"/>
  <c r="D200" s="1"/>
  <c r="AP15" i="42"/>
  <c r="B15"/>
  <c r="K268" i="30"/>
  <c r="N29" i="43"/>
  <c r="L268" i="30"/>
  <c r="L268" i="44"/>
  <c r="O29" i="43"/>
  <c r="M268" i="30" s="1"/>
  <c r="M268" i="44"/>
  <c r="E192" i="30"/>
  <c r="E214" s="1"/>
  <c r="AO107" i="24"/>
  <c r="BR107"/>
  <c r="AL107"/>
  <c r="CA107"/>
  <c r="BM107"/>
  <c r="AG107"/>
  <c r="BV107"/>
  <c r="AP107"/>
  <c r="L107"/>
  <c r="S107"/>
  <c r="CC107"/>
  <c r="AC107"/>
  <c r="CJ107"/>
  <c r="BT107"/>
  <c r="BD107"/>
  <c r="AN107"/>
  <c r="X107"/>
  <c r="H107"/>
  <c r="BW107"/>
  <c r="AA107"/>
  <c r="F12" i="42"/>
  <c r="Z358" i="23"/>
  <c r="Z356"/>
  <c r="X356"/>
  <c r="X358"/>
  <c r="V356"/>
  <c r="V358"/>
  <c r="V357"/>
  <c r="Y358"/>
  <c r="Y357"/>
  <c r="W356"/>
  <c r="W357"/>
  <c r="W358"/>
  <c r="Q358"/>
  <c r="Q356"/>
  <c r="AB327"/>
  <c r="AC327" s="1"/>
  <c r="F22"/>
  <c r="D112" s="1"/>
  <c r="F24"/>
  <c r="D114" s="1"/>
  <c r="B55" i="44"/>
  <c r="B55" i="30"/>
  <c r="D447" i="44"/>
  <c r="D470" s="1" a="1"/>
  <c r="D470" s="1"/>
  <c r="D447" i="30"/>
  <c r="D470" s="1" a="1"/>
  <c r="D470" s="1"/>
  <c r="E447" i="44"/>
  <c r="E447" i="30"/>
  <c r="E470" s="1" a="1"/>
  <c r="E470" s="1"/>
  <c r="N154" i="44"/>
  <c r="F154"/>
  <c r="AL154"/>
  <c r="AL131" s="1"/>
  <c r="E457"/>
  <c r="D457" i="30"/>
  <c r="D480" s="1" a="1"/>
  <c r="D480" s="1"/>
  <c r="F106" i="23"/>
  <c r="AD154" i="44"/>
  <c r="AD131" s="1"/>
  <c r="D184"/>
  <c r="D206" s="1"/>
  <c r="H184" i="30"/>
  <c r="H206" s="1"/>
  <c r="E99" i="23"/>
  <c r="Q80" i="46"/>
  <c r="T80" s="1"/>
  <c r="J80"/>
  <c r="M80" s="1"/>
  <c r="L80"/>
  <c r="O80" s="1"/>
  <c r="P80"/>
  <c r="S80" s="1"/>
  <c r="W80" s="1"/>
  <c r="J40" s="1"/>
  <c r="R80"/>
  <c r="U80" s="1"/>
  <c r="I80"/>
  <c r="H77"/>
  <c r="L77"/>
  <c r="O77" s="1"/>
  <c r="R77"/>
  <c r="U77" s="1"/>
  <c r="Q74"/>
  <c r="T74" s="1"/>
  <c r="J74"/>
  <c r="M74" s="1"/>
  <c r="L74"/>
  <c r="O74" s="1"/>
  <c r="P74"/>
  <c r="S74" s="1"/>
  <c r="R74"/>
  <c r="U74" s="1"/>
  <c r="Y74" s="1"/>
  <c r="P34" s="1"/>
  <c r="R73"/>
  <c r="U73" s="1"/>
  <c r="H73"/>
  <c r="Q70"/>
  <c r="T70" s="1"/>
  <c r="J70"/>
  <c r="M70" s="1"/>
  <c r="L70"/>
  <c r="O70" s="1"/>
  <c r="P70"/>
  <c r="S70" s="1"/>
  <c r="W70" s="1"/>
  <c r="J30" s="1"/>
  <c r="R70"/>
  <c r="U70" s="1"/>
  <c r="Y70" s="1"/>
  <c r="P30" s="1"/>
  <c r="F39" i="23" s="1"/>
  <c r="F8" s="1"/>
  <c r="D98" s="1"/>
  <c r="K70" i="46"/>
  <c r="N70" s="1"/>
  <c r="G67"/>
  <c r="W67" s="1"/>
  <c r="J27" s="1"/>
  <c r="N27" s="1"/>
  <c r="K67"/>
  <c r="N67" s="1"/>
  <c r="X67" s="1"/>
  <c r="O27" s="1"/>
  <c r="Q63"/>
  <c r="T63" s="1"/>
  <c r="I63"/>
  <c r="K63"/>
  <c r="N63" s="1"/>
  <c r="Q62"/>
  <c r="T62" s="1"/>
  <c r="X62" s="1"/>
  <c r="O22" s="1"/>
  <c r="E42" i="23" s="1"/>
  <c r="J62" i="46"/>
  <c r="M62" s="1"/>
  <c r="L62"/>
  <c r="O62" s="1"/>
  <c r="P62"/>
  <c r="S62" s="1"/>
  <c r="W62" s="1"/>
  <c r="J22" s="1"/>
  <c r="R62"/>
  <c r="U62" s="1"/>
  <c r="Y62" s="1"/>
  <c r="P22" s="1"/>
  <c r="F42" i="23" s="1"/>
  <c r="I57" i="46"/>
  <c r="G57"/>
  <c r="H55"/>
  <c r="G55"/>
  <c r="W55" s="1"/>
  <c r="J15" s="1"/>
  <c r="K55"/>
  <c r="N55" s="1"/>
  <c r="R55"/>
  <c r="U55" s="1"/>
  <c r="Y55" s="1"/>
  <c r="P15" s="1"/>
  <c r="H53"/>
  <c r="G53"/>
  <c r="R53"/>
  <c r="U53" s="1"/>
  <c r="Y53" s="1"/>
  <c r="P13" s="1"/>
  <c r="K53"/>
  <c r="N53" s="1"/>
  <c r="I51"/>
  <c r="Q51"/>
  <c r="T51" s="1"/>
  <c r="X51" s="1"/>
  <c r="O11" s="1"/>
  <c r="L51"/>
  <c r="O51" s="1"/>
  <c r="Y51" s="1"/>
  <c r="P11" s="1"/>
  <c r="B95" i="33"/>
  <c r="E10" i="47"/>
  <c r="G12" i="30"/>
  <c r="G430" s="1"/>
  <c r="E66" i="42" s="1"/>
  <c r="G12" i="44"/>
  <c r="AB331" i="23"/>
  <c r="AC331" s="1"/>
  <c r="AB329"/>
  <c r="AC329" s="1"/>
  <c r="AB319"/>
  <c r="AC319" s="1"/>
  <c r="Z348"/>
  <c r="Z349"/>
  <c r="V348"/>
  <c r="V349"/>
  <c r="B85" i="33"/>
  <c r="X85" s="1"/>
  <c r="B26"/>
  <c r="X26" s="1"/>
  <c r="B68"/>
  <c r="X68" s="1"/>
  <c r="B52" i="44"/>
  <c r="B52" i="30"/>
  <c r="B139" i="24"/>
  <c r="B184"/>
  <c r="AA42" i="38" s="1"/>
  <c r="B134" i="24"/>
  <c r="B179"/>
  <c r="AA37" i="38" s="1"/>
  <c r="B177" i="24"/>
  <c r="AA35" i="38" s="1"/>
  <c r="B132" i="24"/>
  <c r="X357" i="23"/>
  <c r="AB316"/>
  <c r="AC316" s="1"/>
  <c r="AB310"/>
  <c r="AC310" s="1"/>
  <c r="D448" i="44"/>
  <c r="D448" i="30"/>
  <c r="D471" i="44" a="1"/>
  <c r="D471" s="1"/>
  <c r="E448"/>
  <c r="E448" i="30"/>
  <c r="AR10" i="38"/>
  <c r="AM10"/>
  <c r="AJ10"/>
  <c r="AL10"/>
  <c r="AT10"/>
  <c r="AQ10"/>
  <c r="AU10"/>
  <c r="AE10"/>
  <c r="AC10"/>
  <c r="AP10"/>
  <c r="AG10"/>
  <c r="AN10"/>
  <c r="AH10"/>
  <c r="AK10"/>
  <c r="AS10"/>
  <c r="AB10"/>
  <c r="K26" i="46"/>
  <c r="C130" i="24"/>
  <c r="C155" i="30"/>
  <c r="C69"/>
  <c r="AE324" i="23"/>
  <c r="AF324"/>
  <c r="AK324"/>
  <c r="AI324"/>
  <c r="AJ324"/>
  <c r="AB333"/>
  <c r="AC333" s="1"/>
  <c r="AB323"/>
  <c r="AC323" s="1"/>
  <c r="AB313"/>
  <c r="AC313" s="1"/>
  <c r="K147" i="44"/>
  <c r="AC147"/>
  <c r="AM147"/>
  <c r="AM124" s="1"/>
  <c r="AR147"/>
  <c r="AR124" s="1"/>
  <c r="AB147"/>
  <c r="L147"/>
  <c r="AI147"/>
  <c r="AI124" s="1"/>
  <c r="AS147"/>
  <c r="AS124" s="1"/>
  <c r="M147"/>
  <c r="E147" i="30"/>
  <c r="AJ147" i="44"/>
  <c r="AJ124" s="1"/>
  <c r="T147"/>
  <c r="F99" i="23"/>
  <c r="J147" i="44"/>
  <c r="R147"/>
  <c r="Z147"/>
  <c r="AH147"/>
  <c r="AH124" s="1"/>
  <c r="AP147"/>
  <c r="AP124" s="1"/>
  <c r="D450"/>
  <c r="AE147"/>
  <c r="AE124" s="1"/>
  <c r="I147"/>
  <c r="Y147"/>
  <c r="AO147"/>
  <c r="AO124" s="1"/>
  <c r="E450" i="30"/>
  <c r="O147" i="44"/>
  <c r="AQ147"/>
  <c r="AQ124" s="1"/>
  <c r="D180"/>
  <c r="D202" s="1"/>
  <c r="H180"/>
  <c r="H202" s="1"/>
  <c r="E180" i="30"/>
  <c r="E202" s="1"/>
  <c r="G144" i="44"/>
  <c r="O144"/>
  <c r="W144"/>
  <c r="AE144"/>
  <c r="AM144"/>
  <c r="AU144"/>
  <c r="H144" i="30"/>
  <c r="AD144" i="44"/>
  <c r="H144"/>
  <c r="X144"/>
  <c r="AN144"/>
  <c r="F96" i="23"/>
  <c r="AH144" i="44"/>
  <c r="E126" i="24"/>
  <c r="I144" i="44"/>
  <c r="Q144"/>
  <c r="Y144"/>
  <c r="G179"/>
  <c r="G201" s="1"/>
  <c r="G179" i="30"/>
  <c r="G201" s="1"/>
  <c r="H179" i="44"/>
  <c r="H201" s="1"/>
  <c r="H179" i="30"/>
  <c r="H201" s="1"/>
  <c r="E186" i="44"/>
  <c r="E208" s="1"/>
  <c r="G186" i="30"/>
  <c r="H186"/>
  <c r="G186" i="44"/>
  <c r="E186" i="24"/>
  <c r="B56" i="44"/>
  <c r="B56" i="30"/>
  <c r="B13" i="33"/>
  <c r="X13" s="1"/>
  <c r="B72"/>
  <c r="X72" s="1"/>
  <c r="BE114" i="24"/>
  <c r="BX114"/>
  <c r="AR114"/>
  <c r="J114"/>
  <c r="S114"/>
  <c r="BM114"/>
  <c r="BT114"/>
  <c r="AN114"/>
  <c r="L114"/>
  <c r="I114"/>
  <c r="Q114"/>
  <c r="AS114"/>
  <c r="BY114"/>
  <c r="CD114"/>
  <c r="BN114"/>
  <c r="AX114"/>
  <c r="AH114"/>
  <c r="R114"/>
  <c r="O114"/>
  <c r="BW114"/>
  <c r="K114"/>
  <c r="Y114"/>
  <c r="CK114"/>
  <c r="BH114"/>
  <c r="AB114"/>
  <c r="CE114"/>
  <c r="AG114"/>
  <c r="CJ114"/>
  <c r="BD114"/>
  <c r="Z114"/>
  <c r="BO114"/>
  <c r="G114"/>
  <c r="AC114"/>
  <c r="BI114"/>
  <c r="CL114"/>
  <c r="BV114"/>
  <c r="BF114"/>
  <c r="AP114"/>
  <c r="X114"/>
  <c r="H114"/>
  <c r="CA114"/>
  <c r="AQ114"/>
  <c r="M151" i="44"/>
  <c r="AC151"/>
  <c r="H151"/>
  <c r="I151" i="30"/>
  <c r="E151" i="44"/>
  <c r="AK151"/>
  <c r="AL151"/>
  <c r="G151"/>
  <c r="O151"/>
  <c r="W151"/>
  <c r="AE151"/>
  <c r="D454"/>
  <c r="D151"/>
  <c r="AJ151"/>
  <c r="R151"/>
  <c r="AH151"/>
  <c r="E454" i="30"/>
  <c r="AF151" i="44"/>
  <c r="H151" i="30"/>
  <c r="D454"/>
  <c r="F151"/>
  <c r="N151" i="44"/>
  <c r="E151" i="30"/>
  <c r="Y151" i="44"/>
  <c r="I151"/>
  <c r="V151"/>
  <c r="L151"/>
  <c r="U151"/>
  <c r="F151"/>
  <c r="D151" i="30"/>
  <c r="F103" i="23"/>
  <c r="K151" i="44"/>
  <c r="S151"/>
  <c r="AA151"/>
  <c r="AI151"/>
  <c r="G151" i="30"/>
  <c r="T151" i="44"/>
  <c r="J151"/>
  <c r="Z151"/>
  <c r="E454"/>
  <c r="P151"/>
  <c r="E133" i="24"/>
  <c r="X151" i="44"/>
  <c r="AD151"/>
  <c r="AB151"/>
  <c r="AG151"/>
  <c r="Q151"/>
  <c r="R357" i="23"/>
  <c r="T356"/>
  <c r="S356"/>
  <c r="D192" i="30"/>
  <c r="D214" s="1"/>
  <c r="AB314" i="23"/>
  <c r="AC314" s="1"/>
  <c r="Z357"/>
  <c r="U357"/>
  <c r="AB325"/>
  <c r="AC325" s="1"/>
  <c r="U348"/>
  <c r="AB332"/>
  <c r="AC332" s="1"/>
  <c r="C90" i="44"/>
  <c r="C431"/>
  <c r="AO67" i="42" s="1"/>
  <c r="K7" i="30"/>
  <c r="J49"/>
  <c r="J151"/>
  <c r="J148"/>
  <c r="J144"/>
  <c r="J145"/>
  <c r="J156"/>
  <c r="J146"/>
  <c r="J147"/>
  <c r="J158"/>
  <c r="J159"/>
  <c r="J149"/>
  <c r="J154"/>
  <c r="E479" a="1"/>
  <c r="E479" s="1"/>
  <c r="C72"/>
  <c r="C956"/>
  <c r="C952"/>
  <c r="M39" i="46"/>
  <c r="E479" i="44" a="1"/>
  <c r="E479" s="1"/>
  <c r="AG322" i="23"/>
  <c r="AJ322"/>
  <c r="AK322"/>
  <c r="AM322"/>
  <c r="AE322"/>
  <c r="AL322"/>
  <c r="AE328"/>
  <c r="AI328"/>
  <c r="AN328"/>
  <c r="AL328"/>
  <c r="AF328"/>
  <c r="AM328"/>
  <c r="AG317"/>
  <c r="AF317"/>
  <c r="AL317"/>
  <c r="AI317"/>
  <c r="AJ317"/>
  <c r="AK317"/>
  <c r="AN317"/>
  <c r="AE317"/>
  <c r="AM317"/>
  <c r="AH317"/>
  <c r="J126" i="44"/>
  <c r="AI149" s="1"/>
  <c r="AI126" s="1"/>
  <c r="N126"/>
  <c r="AM149" s="1"/>
  <c r="AM126" s="1"/>
  <c r="V126"/>
  <c r="P126"/>
  <c r="AO149" s="1"/>
  <c r="AO126" s="1"/>
  <c r="X126"/>
  <c r="H184"/>
  <c r="E184" i="30"/>
  <c r="H206" i="44"/>
  <c r="E206" i="30"/>
  <c r="AT117" i="24"/>
  <c r="T117"/>
  <c r="CA117"/>
  <c r="K117"/>
  <c r="BE117"/>
  <c r="N117"/>
  <c r="AU117"/>
  <c r="I117"/>
  <c r="O117"/>
  <c r="AD117"/>
  <c r="Y117"/>
  <c r="K28" i="46"/>
  <c r="K12"/>
  <c r="H178" i="44"/>
  <c r="H200" s="1"/>
  <c r="G178" i="30"/>
  <c r="G200" s="1"/>
  <c r="CI114" i="24"/>
  <c r="BG114"/>
  <c r="N114"/>
  <c r="AT114"/>
  <c r="BZ114"/>
  <c r="BA114"/>
  <c r="BS114"/>
  <c r="AF114"/>
  <c r="CC114"/>
  <c r="BK114"/>
  <c r="BP114"/>
  <c r="CF114"/>
  <c r="P114"/>
  <c r="AW114"/>
  <c r="AV114"/>
  <c r="AI114"/>
  <c r="AK114"/>
  <c r="CH114"/>
  <c r="BB114"/>
  <c r="V114"/>
  <c r="CM114"/>
  <c r="W114"/>
  <c r="AM114"/>
  <c r="AU114"/>
  <c r="AD114"/>
  <c r="BJ114"/>
  <c r="CG114"/>
  <c r="U114"/>
  <c r="AE114"/>
  <c r="BL114"/>
  <c r="BC114"/>
  <c r="AJ114"/>
  <c r="BU114"/>
  <c r="AO114"/>
  <c r="AZ114"/>
  <c r="AY114"/>
  <c r="CB114"/>
  <c r="T114"/>
  <c r="M114"/>
  <c r="BQ114"/>
  <c r="BR114"/>
  <c r="AL114"/>
  <c r="F114"/>
  <c r="AA114"/>
  <c r="Y128" i="44"/>
  <c r="G83" i="46"/>
  <c r="G65"/>
  <c r="W65" s="1"/>
  <c r="J25" s="1"/>
  <c r="G58"/>
  <c r="G54"/>
  <c r="G51"/>
  <c r="B188" i="24"/>
  <c r="AA46" i="38" s="1"/>
  <c r="C441" i="30"/>
  <c r="BW68" i="42" s="1"/>
  <c r="AB318" i="23"/>
  <c r="AC318" s="1"/>
  <c r="N84"/>
  <c r="R84"/>
  <c r="V84"/>
  <c r="Z84"/>
  <c r="AD84"/>
  <c r="AH84"/>
  <c r="AL84"/>
  <c r="AP84"/>
  <c r="AT84"/>
  <c r="AX84"/>
  <c r="K84"/>
  <c r="O84"/>
  <c r="S84"/>
  <c r="W84"/>
  <c r="AA84"/>
  <c r="AE84"/>
  <c r="AI84"/>
  <c r="AM84"/>
  <c r="AQ84"/>
  <c r="AU84"/>
  <c r="AY84"/>
  <c r="L84"/>
  <c r="P84"/>
  <c r="T84"/>
  <c r="X84"/>
  <c r="AB84"/>
  <c r="AF84"/>
  <c r="AJ84"/>
  <c r="AN84"/>
  <c r="AR84"/>
  <c r="AV84"/>
  <c r="AZ84"/>
  <c r="M84"/>
  <c r="Q84"/>
  <c r="U84"/>
  <c r="Y84"/>
  <c r="AC84"/>
  <c r="AG84"/>
  <c r="AK84"/>
  <c r="AO84"/>
  <c r="AS84"/>
  <c r="AW84"/>
  <c r="J84"/>
  <c r="L356"/>
  <c r="J356"/>
  <c r="G356"/>
  <c r="AE310"/>
  <c r="AF310"/>
  <c r="AM310"/>
  <c r="AH310"/>
  <c r="AJ310"/>
  <c r="AG310"/>
  <c r="AN310"/>
  <c r="AL310"/>
  <c r="AK310"/>
  <c r="AI310"/>
  <c r="I123" i="30"/>
  <c r="AH146" s="1"/>
  <c r="AH123" s="1"/>
  <c r="N123"/>
  <c r="AM146" s="1"/>
  <c r="AM123" s="1"/>
  <c r="K123"/>
  <c r="P123"/>
  <c r="AO146" s="1"/>
  <c r="AO123" s="1"/>
  <c r="T123"/>
  <c r="AS146" s="1"/>
  <c r="AS123" s="1"/>
  <c r="Y123"/>
  <c r="Z123"/>
  <c r="H74"/>
  <c r="J123"/>
  <c r="AI146" s="1"/>
  <c r="AI123" s="1"/>
  <c r="AB123"/>
  <c r="W123"/>
  <c r="E13" i="42"/>
  <c r="U126" i="30"/>
  <c r="AT149" s="1"/>
  <c r="AT126" s="1"/>
  <c r="O126"/>
  <c r="W126"/>
  <c r="AV149" s="1"/>
  <c r="AV126" s="1"/>
  <c r="G77"/>
  <c r="Z126"/>
  <c r="L126"/>
  <c r="AA126"/>
  <c r="AC126"/>
  <c r="H77"/>
  <c r="N126"/>
  <c r="AM149" s="1"/>
  <c r="AM126" s="1"/>
  <c r="Y126"/>
  <c r="F77"/>
  <c r="E77"/>
  <c r="I126"/>
  <c r="AH149" s="1"/>
  <c r="AH126" s="1"/>
  <c r="D77"/>
  <c r="AE327" i="23"/>
  <c r="AM327"/>
  <c r="BB327" s="1"/>
  <c r="AH327"/>
  <c r="AN327"/>
  <c r="BA327" s="1"/>
  <c r="AF327"/>
  <c r="AI327"/>
  <c r="AI357" s="1"/>
  <c r="AJ327"/>
  <c r="AK327"/>
  <c r="AG327"/>
  <c r="AL327"/>
  <c r="AL358" s="1"/>
  <c r="AF7" i="38"/>
  <c r="E471" i="30" a="1"/>
  <c r="E471" s="1"/>
  <c r="D471" a="1"/>
  <c r="D471" s="1"/>
  <c r="AE316" i="23"/>
  <c r="BJ316" s="1"/>
  <c r="BJ354" s="1"/>
  <c r="AG316"/>
  <c r="AI316"/>
  <c r="BF316" s="1"/>
  <c r="BF354" s="1"/>
  <c r="AN316"/>
  <c r="AJ316"/>
  <c r="BE316" s="1"/>
  <c r="BE354" s="1"/>
  <c r="AL316"/>
  <c r="AH316"/>
  <c r="BG316" s="1"/>
  <c r="BG354" s="1"/>
  <c r="AF316"/>
  <c r="AK316"/>
  <c r="BD316" s="1"/>
  <c r="BD354" s="1"/>
  <c r="AM316"/>
  <c r="H74" i="44"/>
  <c r="P123"/>
  <c r="AO146" s="1"/>
  <c r="AO123" s="1"/>
  <c r="U123"/>
  <c r="AT146" s="1"/>
  <c r="AT123" s="1"/>
  <c r="X123"/>
  <c r="AW146" s="1"/>
  <c r="AW123" s="1"/>
  <c r="K123"/>
  <c r="AJ146" s="1"/>
  <c r="AJ123" s="1"/>
  <c r="J123"/>
  <c r="AI146" s="1"/>
  <c r="AI123" s="1"/>
  <c r="N123"/>
  <c r="AM146" s="1"/>
  <c r="AM123" s="1"/>
  <c r="R123"/>
  <c r="AQ146" s="1"/>
  <c r="AQ123" s="1"/>
  <c r="O123"/>
  <c r="AN146" s="1"/>
  <c r="AN123" s="1"/>
  <c r="AB123"/>
  <c r="S123"/>
  <c r="AR146" s="1"/>
  <c r="AR123" s="1"/>
  <c r="T123"/>
  <c r="AS146" s="1"/>
  <c r="AS123" s="1"/>
  <c r="L123"/>
  <c r="AK146" s="1"/>
  <c r="AK123" s="1"/>
  <c r="Z123"/>
  <c r="AA123"/>
  <c r="V123"/>
  <c r="AU146" s="1"/>
  <c r="AU123" s="1"/>
  <c r="AS13" i="42"/>
  <c r="F12" i="30"/>
  <c r="F430" s="1"/>
  <c r="D66" i="42" s="1"/>
  <c r="F12" i="44"/>
  <c r="AR13" i="42" s="1"/>
  <c r="D10" i="47"/>
  <c r="H77" i="44"/>
  <c r="T126"/>
  <c r="AS149" s="1"/>
  <c r="AS126" s="1"/>
  <c r="R126"/>
  <c r="AQ149" s="1"/>
  <c r="AQ126" s="1"/>
  <c r="G77"/>
  <c r="AB126"/>
  <c r="AC126"/>
  <c r="Z126"/>
  <c r="L126"/>
  <c r="AK149" s="1"/>
  <c r="AK126" s="1"/>
  <c r="Q126"/>
  <c r="AP149" s="1"/>
  <c r="AP126" s="1"/>
  <c r="F77"/>
  <c r="E77"/>
  <c r="D77"/>
  <c r="AV20" i="38"/>
  <c r="AC20"/>
  <c r="AO20"/>
  <c r="AL20"/>
  <c r="AG20"/>
  <c r="AV10"/>
  <c r="AE8"/>
  <c r="AK8"/>
  <c r="AP8"/>
  <c r="AF8"/>
  <c r="AI20"/>
  <c r="AL11"/>
  <c r="AV11"/>
  <c r="AL8"/>
  <c r="AO10"/>
  <c r="AN8"/>
  <c r="AD11"/>
  <c r="AR11"/>
  <c r="AI11"/>
  <c r="AQ11"/>
  <c r="AF11"/>
  <c r="AO11"/>
  <c r="AU11"/>
  <c r="AE11"/>
  <c r="AI10"/>
  <c r="AH11"/>
  <c r="AH20"/>
  <c r="AQ20"/>
  <c r="AP20"/>
  <c r="AJ20"/>
  <c r="AT20"/>
  <c r="AN11"/>
  <c r="AD10"/>
  <c r="AV8"/>
  <c r="AQ8"/>
  <c r="AM8"/>
  <c r="AE20"/>
  <c r="AF20"/>
  <c r="AF10"/>
  <c r="AR8"/>
  <c r="AO8"/>
  <c r="AU20"/>
  <c r="AS11"/>
  <c r="AG11"/>
  <c r="AK11"/>
  <c r="AT11"/>
  <c r="AM11"/>
  <c r="AC11"/>
  <c r="AJ11"/>
  <c r="AP11"/>
  <c r="AB20"/>
  <c r="AB8"/>
  <c r="AB11"/>
  <c r="AE323" i="23"/>
  <c r="AM323"/>
  <c r="AH323"/>
  <c r="AF323"/>
  <c r="AK323"/>
  <c r="AI323"/>
  <c r="AJ323"/>
  <c r="AG323"/>
  <c r="AL323"/>
  <c r="AN323"/>
  <c r="AJ341"/>
  <c r="BE324"/>
  <c r="BE341" s="1"/>
  <c r="AI341"/>
  <c r="BF324"/>
  <c r="BF341" s="1"/>
  <c r="BD324"/>
  <c r="BD341" s="1"/>
  <c r="AK341"/>
  <c r="AF341"/>
  <c r="BI324"/>
  <c r="BI341" s="1"/>
  <c r="BJ324"/>
  <c r="BJ341" s="1"/>
  <c r="AE341"/>
  <c r="AP324"/>
  <c r="AG313"/>
  <c r="AF313"/>
  <c r="AL313"/>
  <c r="AI313"/>
  <c r="AJ313"/>
  <c r="AK313"/>
  <c r="AN313"/>
  <c r="AE313"/>
  <c r="AM313"/>
  <c r="AH313"/>
  <c r="AG333"/>
  <c r="AF333"/>
  <c r="AL333"/>
  <c r="BC333" s="1"/>
  <c r="AI333"/>
  <c r="AJ333"/>
  <c r="BE333" s="1"/>
  <c r="AK333"/>
  <c r="BD333" s="1"/>
  <c r="AN333"/>
  <c r="BA333" s="1"/>
  <c r="AE333"/>
  <c r="AM333"/>
  <c r="BB333" s="1"/>
  <c r="AH333"/>
  <c r="E477" i="30" a="1"/>
  <c r="E477" s="1"/>
  <c r="D477" a="1"/>
  <c r="D477" s="1"/>
  <c r="E477" i="44" a="1"/>
  <c r="E477" s="1"/>
  <c r="D477" a="1"/>
  <c r="D477" s="1"/>
  <c r="O127" i="30"/>
  <c r="Y127"/>
  <c r="G78"/>
  <c r="Z127"/>
  <c r="H78"/>
  <c r="Q127"/>
  <c r="AP150" s="1"/>
  <c r="AP127" s="1"/>
  <c r="P127"/>
  <c r="AO150" s="1"/>
  <c r="AO127" s="1"/>
  <c r="M127"/>
  <c r="J127"/>
  <c r="AI150" s="1"/>
  <c r="AI127" s="1"/>
  <c r="R127"/>
  <c r="AQ150" s="1"/>
  <c r="AQ127" s="1"/>
  <c r="K127"/>
  <c r="AJ150" s="1"/>
  <c r="AJ127" s="1"/>
  <c r="L127"/>
  <c r="AK150" s="1"/>
  <c r="AK127" s="1"/>
  <c r="F78"/>
  <c r="E78"/>
  <c r="D78"/>
  <c r="D473" i="44" a="1"/>
  <c r="D473" s="1"/>
  <c r="AM7" i="38"/>
  <c r="AO7"/>
  <c r="AN7"/>
  <c r="J127" i="44"/>
  <c r="I127"/>
  <c r="AH150" s="1"/>
  <c r="AH127" s="1"/>
  <c r="G78"/>
  <c r="H78"/>
  <c r="AA127"/>
  <c r="S127"/>
  <c r="K127"/>
  <c r="Y127"/>
  <c r="M127"/>
  <c r="U127"/>
  <c r="AC127"/>
  <c r="T127"/>
  <c r="Q127"/>
  <c r="W127"/>
  <c r="AV150" s="1"/>
  <c r="AV127" s="1"/>
  <c r="O127"/>
  <c r="F78"/>
  <c r="E78"/>
  <c r="D78"/>
  <c r="K144" i="30"/>
  <c r="K159"/>
  <c r="K145"/>
  <c r="K149"/>
  <c r="L7"/>
  <c r="K49"/>
  <c r="K151"/>
  <c r="K148"/>
  <c r="K147"/>
  <c r="K158"/>
  <c r="K156"/>
  <c r="K146"/>
  <c r="K154"/>
  <c r="K163"/>
  <c r="K153"/>
  <c r="K152"/>
  <c r="AW149" i="44"/>
  <c r="AW126" s="1"/>
  <c r="AM349" i="23"/>
  <c r="BB317"/>
  <c r="AM348"/>
  <c r="AN349"/>
  <c r="BA317"/>
  <c r="AN348"/>
  <c r="AJ348"/>
  <c r="AJ349"/>
  <c r="BE317"/>
  <c r="AL349"/>
  <c r="BC317"/>
  <c r="AL348"/>
  <c r="AG348"/>
  <c r="AG349"/>
  <c r="BH317"/>
  <c r="AF358"/>
  <c r="AF356"/>
  <c r="AF357"/>
  <c r="BI328"/>
  <c r="BA328"/>
  <c r="AN357"/>
  <c r="AN356"/>
  <c r="BJ328"/>
  <c r="AE356"/>
  <c r="AE357"/>
  <c r="AP328"/>
  <c r="AQ328" s="1"/>
  <c r="BT328" s="1"/>
  <c r="AE358"/>
  <c r="AP322"/>
  <c r="BJ322"/>
  <c r="BD322"/>
  <c r="BH322"/>
  <c r="AP7" i="38"/>
  <c r="AC7"/>
  <c r="AE7"/>
  <c r="AI7"/>
  <c r="AL7"/>
  <c r="AB7"/>
  <c r="AH7"/>
  <c r="AU7"/>
  <c r="M25" i="46"/>
  <c r="N25"/>
  <c r="D44" i="23" s="1"/>
  <c r="D9" s="1"/>
  <c r="I71" s="1"/>
  <c r="BG317"/>
  <c r="AH348"/>
  <c r="AH349"/>
  <c r="AP317"/>
  <c r="AQ317" s="1"/>
  <c r="BJ317"/>
  <c r="AE348"/>
  <c r="AE349"/>
  <c r="AK349"/>
  <c r="BD317"/>
  <c r="AK348"/>
  <c r="AI348"/>
  <c r="AI349"/>
  <c r="BF317"/>
  <c r="AF349"/>
  <c r="AF348"/>
  <c r="BI317"/>
  <c r="BI349" s="1"/>
  <c r="BB328"/>
  <c r="AM356"/>
  <c r="AM358"/>
  <c r="BC328"/>
  <c r="AL356"/>
  <c r="AL357"/>
  <c r="AI358"/>
  <c r="BF328"/>
  <c r="AI356"/>
  <c r="BC322"/>
  <c r="BB322"/>
  <c r="BE322"/>
  <c r="AU149" i="44"/>
  <c r="AU126" s="1"/>
  <c r="AK7" i="38"/>
  <c r="AJ7"/>
  <c r="AT7"/>
  <c r="AG7"/>
  <c r="AV7"/>
  <c r="AQ7"/>
  <c r="AS7"/>
  <c r="AD7"/>
  <c r="AR7"/>
  <c r="E12" i="44"/>
  <c r="C10" i="47"/>
  <c r="E12" i="30"/>
  <c r="E430" s="1"/>
  <c r="C66" i="42" s="1"/>
  <c r="D13"/>
  <c r="AK354" i="23"/>
  <c r="AH354"/>
  <c r="AJ354"/>
  <c r="AI354"/>
  <c r="AP316"/>
  <c r="AE354"/>
  <c r="BD327"/>
  <c r="AK342"/>
  <c r="BD310"/>
  <c r="BD342" s="1"/>
  <c r="BA310"/>
  <c r="BA342" s="1"/>
  <c r="AN342"/>
  <c r="BE310"/>
  <c r="BE342" s="1"/>
  <c r="AJ342"/>
  <c r="BB310"/>
  <c r="BB342" s="1"/>
  <c r="AM342"/>
  <c r="AE342"/>
  <c r="AP310"/>
  <c r="BJ310"/>
  <c r="BJ342" s="1"/>
  <c r="AM354"/>
  <c r="BB316"/>
  <c r="BB354" s="1"/>
  <c r="AF354"/>
  <c r="BI316"/>
  <c r="BI354" s="1"/>
  <c r="AL354"/>
  <c r="BC316"/>
  <c r="BC354" s="1"/>
  <c r="BA316"/>
  <c r="BA354" s="1"/>
  <c r="AN354"/>
  <c r="AG354"/>
  <c r="BH316"/>
  <c r="BH354" s="1"/>
  <c r="BH327"/>
  <c r="BE327"/>
  <c r="BI327"/>
  <c r="BG327"/>
  <c r="AP327"/>
  <c r="AP356" s="1"/>
  <c r="BJ327"/>
  <c r="BF310"/>
  <c r="BF342" s="1"/>
  <c r="AI342"/>
  <c r="BC310"/>
  <c r="BC342" s="1"/>
  <c r="AL342"/>
  <c r="BH310"/>
  <c r="BH342" s="1"/>
  <c r="AG342"/>
  <c r="BG310"/>
  <c r="BG342" s="1"/>
  <c r="AH342"/>
  <c r="BI310"/>
  <c r="BI342" s="1"/>
  <c r="AF342"/>
  <c r="AQ310"/>
  <c r="AI8" i="38"/>
  <c r="AD12"/>
  <c r="AG8"/>
  <c r="AU12"/>
  <c r="AC8"/>
  <c r="AT8"/>
  <c r="AH8"/>
  <c r="AD8"/>
  <c r="AS20"/>
  <c r="AJ18"/>
  <c r="AH18"/>
  <c r="AO18"/>
  <c r="AQ18"/>
  <c r="AJ8"/>
  <c r="AE18"/>
  <c r="AG18"/>
  <c r="AT18"/>
  <c r="AD18"/>
  <c r="AC18"/>
  <c r="AK20"/>
  <c r="AM20"/>
  <c r="AS8"/>
  <c r="AQ12"/>
  <c r="AU8"/>
  <c r="AC12"/>
  <c r="AL12"/>
  <c r="AN12"/>
  <c r="AR20"/>
  <c r="AM18"/>
  <c r="AN18"/>
  <c r="AL18"/>
  <c r="AK18"/>
  <c r="AI18"/>
  <c r="AR18"/>
  <c r="AP18"/>
  <c r="AU18"/>
  <c r="AF18"/>
  <c r="AS18"/>
  <c r="AV18"/>
  <c r="AN20"/>
  <c r="AD20"/>
  <c r="AB18"/>
  <c r="BG333" i="23"/>
  <c r="AP333"/>
  <c r="BJ333"/>
  <c r="BF333"/>
  <c r="BI333"/>
  <c r="AQ333"/>
  <c r="BT333" s="1"/>
  <c r="BG313"/>
  <c r="AP313"/>
  <c r="BU313" s="1"/>
  <c r="BJ313"/>
  <c r="BD313"/>
  <c r="BF313"/>
  <c r="BI313"/>
  <c r="AN340"/>
  <c r="BA323"/>
  <c r="BA340" s="1"/>
  <c r="BH323"/>
  <c r="BH340" s="1"/>
  <c r="AG340"/>
  <c r="BF323"/>
  <c r="BF340" s="1"/>
  <c r="AI340"/>
  <c r="AF340"/>
  <c r="BI323"/>
  <c r="BI340" s="1"/>
  <c r="BB323"/>
  <c r="BB340" s="1"/>
  <c r="AM340"/>
  <c r="AQ324"/>
  <c r="BH333"/>
  <c r="BB313"/>
  <c r="BA313"/>
  <c r="BE313"/>
  <c r="BC313"/>
  <c r="BH313"/>
  <c r="BU324"/>
  <c r="BU341" s="1"/>
  <c r="AP341"/>
  <c r="BC323"/>
  <c r="BC340" s="1"/>
  <c r="AL340"/>
  <c r="AJ340"/>
  <c r="BE323"/>
  <c r="BE340" s="1"/>
  <c r="AK340"/>
  <c r="BD323"/>
  <c r="BD340" s="1"/>
  <c r="AH340"/>
  <c r="BG323"/>
  <c r="BG340" s="1"/>
  <c r="AP323"/>
  <c r="BJ323"/>
  <c r="BJ340" s="1"/>
  <c r="AE340"/>
  <c r="AT150" i="44"/>
  <c r="AT127" s="1"/>
  <c r="M7" i="30"/>
  <c r="L49"/>
  <c r="L154"/>
  <c r="L159"/>
  <c r="L145"/>
  <c r="L156"/>
  <c r="L146"/>
  <c r="L150"/>
  <c r="L151"/>
  <c r="L163"/>
  <c r="L155"/>
  <c r="L144"/>
  <c r="L158"/>
  <c r="L149"/>
  <c r="L148"/>
  <c r="L153"/>
  <c r="L152"/>
  <c r="L147"/>
  <c r="BB357" i="23"/>
  <c r="BB356"/>
  <c r="BB358"/>
  <c r="BI348"/>
  <c r="BF348"/>
  <c r="BF349"/>
  <c r="BU317"/>
  <c r="AP349"/>
  <c r="BG348"/>
  <c r="BG349"/>
  <c r="BJ356"/>
  <c r="BJ358"/>
  <c r="BJ357"/>
  <c r="BI358"/>
  <c r="BH349"/>
  <c r="BH348"/>
  <c r="BE348"/>
  <c r="BE349"/>
  <c r="AQ349"/>
  <c r="BT317"/>
  <c r="BT349" s="1"/>
  <c r="AQ348"/>
  <c r="BD348"/>
  <c r="BD349"/>
  <c r="BJ349"/>
  <c r="BJ348"/>
  <c r="BU322"/>
  <c r="AP358"/>
  <c r="BU328"/>
  <c r="BU358" s="1"/>
  <c r="AP357"/>
  <c r="BC349"/>
  <c r="BC348"/>
  <c r="BA349"/>
  <c r="BA348"/>
  <c r="BB349"/>
  <c r="BB348"/>
  <c r="AR317"/>
  <c r="AR349" s="1"/>
  <c r="BU310"/>
  <c r="BU342" s="1"/>
  <c r="AP342"/>
  <c r="AP354"/>
  <c r="D12" i="30"/>
  <c r="D430" s="1"/>
  <c r="B66" i="42" s="1"/>
  <c r="D12" i="44"/>
  <c r="AR310" i="23"/>
  <c r="AR342" s="1"/>
  <c r="BT310"/>
  <c r="BT342" s="1"/>
  <c r="AQ342"/>
  <c r="BU327"/>
  <c r="C13" i="42"/>
  <c r="AQ13"/>
  <c r="AQ327" i="23"/>
  <c r="AR327" s="1"/>
  <c r="AT12" i="38"/>
  <c r="AF12"/>
  <c r="AI12"/>
  <c r="AH12"/>
  <c r="AP12"/>
  <c r="AS12"/>
  <c r="AE12"/>
  <c r="AG12"/>
  <c r="AO12"/>
  <c r="AJ12"/>
  <c r="AR12"/>
  <c r="AM12"/>
  <c r="AV12"/>
  <c r="AK12"/>
  <c r="AB12"/>
  <c r="AQ323" i="23"/>
  <c r="AR323" s="1"/>
  <c r="AP340"/>
  <c r="BU323"/>
  <c r="BU340" s="1"/>
  <c r="AQ341"/>
  <c r="BT324"/>
  <c r="BT341" s="1"/>
  <c r="BU333"/>
  <c r="M154" i="30"/>
  <c r="M151"/>
  <c r="M147"/>
  <c r="M144"/>
  <c r="M159"/>
  <c r="M149"/>
  <c r="N7"/>
  <c r="M49"/>
  <c r="M148"/>
  <c r="M158"/>
  <c r="M145"/>
  <c r="M156"/>
  <c r="M146"/>
  <c r="M150"/>
  <c r="M163"/>
  <c r="M153"/>
  <c r="M152"/>
  <c r="M155"/>
  <c r="BU356" i="23"/>
  <c r="BU357"/>
  <c r="BT348"/>
  <c r="BU348"/>
  <c r="BU349"/>
  <c r="AR348"/>
  <c r="AS317"/>
  <c r="AT317" s="1"/>
  <c r="AQ356"/>
  <c r="B13" i="42"/>
  <c r="AP13"/>
  <c r="O7" i="30"/>
  <c r="N49"/>
  <c r="N158"/>
  <c r="N159"/>
  <c r="N156"/>
  <c r="N149"/>
  <c r="N151"/>
  <c r="N147"/>
  <c r="N148"/>
  <c r="N144"/>
  <c r="N145"/>
  <c r="N146"/>
  <c r="N150"/>
  <c r="N154"/>
  <c r="N155"/>
  <c r="N153"/>
  <c r="N152"/>
  <c r="N163"/>
  <c r="AS349" i="23"/>
  <c r="O151" i="30"/>
  <c r="O148"/>
  <c r="O147"/>
  <c r="O144"/>
  <c r="O158"/>
  <c r="O156"/>
  <c r="O154"/>
  <c r="P7"/>
  <c r="O49"/>
  <c r="O155"/>
  <c r="O159"/>
  <c r="O145"/>
  <c r="O146"/>
  <c r="O150"/>
  <c r="O149"/>
  <c r="O163"/>
  <c r="O153"/>
  <c r="O152"/>
  <c r="Q7"/>
  <c r="P49"/>
  <c r="P151"/>
  <c r="P148"/>
  <c r="P155"/>
  <c r="P144"/>
  <c r="P158"/>
  <c r="P156"/>
  <c r="P149"/>
  <c r="P159"/>
  <c r="P145"/>
  <c r="P146"/>
  <c r="P150"/>
  <c r="P154"/>
  <c r="P163"/>
  <c r="P147"/>
  <c r="P153"/>
  <c r="P152"/>
  <c r="Q151"/>
  <c r="Q148"/>
  <c r="Q144"/>
  <c r="Q145"/>
  <c r="Q156"/>
  <c r="Q149"/>
  <c r="Q146"/>
  <c r="Q150"/>
  <c r="R7"/>
  <c r="Q49"/>
  <c r="Q158"/>
  <c r="Q159"/>
  <c r="Q153"/>
  <c r="Q152"/>
  <c r="Q154"/>
  <c r="Q163"/>
  <c r="Q155"/>
  <c r="Q147"/>
  <c r="S7"/>
  <c r="R49"/>
  <c r="R154"/>
  <c r="R155"/>
  <c r="R148"/>
  <c r="R147"/>
  <c r="R144"/>
  <c r="R159"/>
  <c r="R156"/>
  <c r="R149"/>
  <c r="R146"/>
  <c r="R150"/>
  <c r="R151"/>
  <c r="R158"/>
  <c r="R145"/>
  <c r="R152"/>
  <c r="R163"/>
  <c r="R153"/>
  <c r="S155"/>
  <c r="S159"/>
  <c r="S145"/>
  <c r="S146"/>
  <c r="S149"/>
  <c r="T7"/>
  <c r="S49"/>
  <c r="S151"/>
  <c r="S147"/>
  <c r="S144"/>
  <c r="S158"/>
  <c r="S156"/>
  <c r="S150"/>
  <c r="S154"/>
  <c r="S148"/>
  <c r="S152"/>
  <c r="S163"/>
  <c r="S153"/>
  <c r="U7"/>
  <c r="T49"/>
  <c r="T151"/>
  <c r="T163"/>
  <c r="T146"/>
  <c r="T150"/>
  <c r="T154"/>
  <c r="T155"/>
  <c r="T144"/>
  <c r="T158"/>
  <c r="T159"/>
  <c r="T145"/>
  <c r="T156"/>
  <c r="T149"/>
  <c r="T148"/>
  <c r="T147"/>
  <c r="T153"/>
  <c r="T152"/>
  <c r="U148"/>
  <c r="U158"/>
  <c r="U159"/>
  <c r="U146"/>
  <c r="V7"/>
  <c r="U49"/>
  <c r="U151"/>
  <c r="U154"/>
  <c r="U147"/>
  <c r="U155"/>
  <c r="U144"/>
  <c r="U145"/>
  <c r="U156"/>
  <c r="U149"/>
  <c r="U150"/>
  <c r="U163"/>
  <c r="U153"/>
  <c r="U152"/>
  <c r="W7"/>
  <c r="V49"/>
  <c r="V151"/>
  <c r="V158"/>
  <c r="V145"/>
  <c r="V156"/>
  <c r="V154"/>
  <c r="V148"/>
  <c r="V144"/>
  <c r="V159"/>
  <c r="V146"/>
  <c r="V150"/>
  <c r="V149"/>
  <c r="V163"/>
  <c r="V155"/>
  <c r="V153"/>
  <c r="V147"/>
  <c r="V152"/>
  <c r="W151"/>
  <c r="W147"/>
  <c r="W158"/>
  <c r="W156"/>
  <c r="W146"/>
  <c r="W150"/>
  <c r="W154"/>
  <c r="X7"/>
  <c r="W49"/>
  <c r="W148"/>
  <c r="W144"/>
  <c r="W159"/>
  <c r="W145"/>
  <c r="W149"/>
  <c r="W155"/>
  <c r="W153"/>
  <c r="W152"/>
  <c r="W163"/>
  <c r="Y7"/>
  <c r="X49"/>
  <c r="X151"/>
  <c r="X155"/>
  <c r="X147"/>
  <c r="X144"/>
  <c r="X158"/>
  <c r="X145"/>
  <c r="X148"/>
  <c r="X159"/>
  <c r="X149"/>
  <c r="X146"/>
  <c r="X150"/>
  <c r="X154"/>
  <c r="X152"/>
  <c r="X163"/>
  <c r="X153"/>
  <c r="Y144"/>
  <c r="Y158"/>
  <c r="Y145"/>
  <c r="Y146"/>
  <c r="Y150"/>
  <c r="Z7"/>
  <c r="Y49"/>
  <c r="Y151"/>
  <c r="Y159"/>
  <c r="Y149"/>
  <c r="Y154"/>
  <c r="Y148"/>
  <c r="Y155"/>
  <c r="Y152"/>
  <c r="Y163"/>
  <c r="Y147"/>
  <c r="Y153"/>
  <c r="AA7"/>
  <c r="Z49"/>
  <c r="Z151"/>
  <c r="Z148"/>
  <c r="Z144"/>
  <c r="Z145"/>
  <c r="Z149"/>
  <c r="Z146"/>
  <c r="Z150"/>
  <c r="Z155"/>
  <c r="Z147"/>
  <c r="Z158"/>
  <c r="Z159"/>
  <c r="Z154"/>
  <c r="Z163"/>
  <c r="Z153"/>
  <c r="Z152"/>
  <c r="AA148"/>
  <c r="AA144"/>
  <c r="AA158"/>
  <c r="AA159"/>
  <c r="AA145"/>
  <c r="AA150"/>
  <c r="AA149"/>
  <c r="AB7"/>
  <c r="AA49"/>
  <c r="AA151"/>
  <c r="AA155"/>
  <c r="AA147"/>
  <c r="AA146"/>
  <c r="AA154"/>
  <c r="AA163"/>
  <c r="AA153"/>
  <c r="AA152"/>
  <c r="AC7"/>
  <c r="AB49"/>
  <c r="AB151"/>
  <c r="AB149"/>
  <c r="AB146"/>
  <c r="AB150"/>
  <c r="AB163"/>
  <c r="AB155"/>
  <c r="AB144"/>
  <c r="AB158"/>
  <c r="AB159"/>
  <c r="AB145"/>
  <c r="AB154"/>
  <c r="AB147"/>
  <c r="AB153"/>
  <c r="AB148"/>
  <c r="AB152"/>
  <c r="AC151"/>
  <c r="AC147"/>
  <c r="AC148"/>
  <c r="AC159"/>
  <c r="AC149"/>
  <c r="AC146"/>
  <c r="AC150"/>
  <c r="AD7"/>
  <c r="AC49"/>
  <c r="AC154"/>
  <c r="AC144"/>
  <c r="AC158"/>
  <c r="AC145"/>
  <c r="AC163"/>
  <c r="AC155"/>
  <c r="AE7"/>
  <c r="AD151"/>
  <c r="AD147"/>
  <c r="AD124" s="1"/>
  <c r="AD158"/>
  <c r="AD135" s="1"/>
  <c r="AD159"/>
  <c r="AD136" s="1"/>
  <c r="AD149"/>
  <c r="AD126" s="1"/>
  <c r="AD148"/>
  <c r="AD125" s="1"/>
  <c r="AD144"/>
  <c r="AD145"/>
  <c r="AD146"/>
  <c r="AD123" s="1"/>
  <c r="AD150"/>
  <c r="AD127" s="1"/>
  <c r="AD160"/>
  <c r="AD137" s="1"/>
  <c r="AD154"/>
  <c r="AD131" s="1"/>
  <c r="AD163"/>
  <c r="AD140" s="1"/>
  <c r="AD155"/>
  <c r="AD132" s="1"/>
  <c r="AD153"/>
  <c r="AD130" s="1"/>
  <c r="AE151"/>
  <c r="AE155"/>
  <c r="AE132" s="1"/>
  <c r="AE148"/>
  <c r="AE125" s="1"/>
  <c r="AE147"/>
  <c r="AE124" s="1"/>
  <c r="AE144"/>
  <c r="AE154"/>
  <c r="AE131" s="1"/>
  <c r="AF7"/>
  <c r="AE158"/>
  <c r="AE135" s="1"/>
  <c r="AE159"/>
  <c r="AE136" s="1"/>
  <c r="AE145"/>
  <c r="AE146"/>
  <c r="AE123" s="1"/>
  <c r="AE150"/>
  <c r="AE127" s="1"/>
  <c r="AE149"/>
  <c r="AE126" s="1"/>
  <c r="AE163"/>
  <c r="AE140" s="1"/>
  <c r="AE160"/>
  <c r="AE137" s="1"/>
  <c r="AG7"/>
  <c r="AF151"/>
  <c r="AF154"/>
  <c r="AF131" s="1"/>
  <c r="AF148"/>
  <c r="AF125" s="1"/>
  <c r="AF155"/>
  <c r="AF132" s="1"/>
  <c r="AF144"/>
  <c r="AF158"/>
  <c r="AF135" s="1"/>
  <c r="AF159"/>
  <c r="AF136" s="1"/>
  <c r="AF145"/>
  <c r="AF149"/>
  <c r="AF126" s="1"/>
  <c r="AF146"/>
  <c r="AF123" s="1"/>
  <c r="AF150"/>
  <c r="AF127" s="1"/>
  <c r="AF163"/>
  <c r="AF140" s="1"/>
  <c r="AF147"/>
  <c r="AF124" s="1"/>
  <c r="AF160"/>
  <c r="AF137" s="1"/>
  <c r="AG145"/>
  <c r="AG149"/>
  <c r="AG126" s="1"/>
  <c r="AH7"/>
  <c r="AG151"/>
  <c r="AG148"/>
  <c r="AG125" s="1"/>
  <c r="AG144"/>
  <c r="AG158"/>
  <c r="AG135" s="1"/>
  <c r="AG159"/>
  <c r="AG136" s="1"/>
  <c r="AG146"/>
  <c r="AG123" s="1"/>
  <c r="AG150"/>
  <c r="AG127" s="1"/>
  <c r="AG154"/>
  <c r="AG131" s="1"/>
  <c r="AG155"/>
  <c r="AG132" s="1"/>
  <c r="AG147"/>
  <c r="AG124" s="1"/>
  <c r="AG160"/>
  <c r="AG137" s="1"/>
  <c r="AG153"/>
  <c r="AG130" s="1"/>
  <c r="AG163"/>
  <c r="AG140" s="1"/>
  <c r="AI7"/>
  <c r="AH154"/>
  <c r="AH131" s="1"/>
  <c r="AH155"/>
  <c r="AH132" s="1"/>
  <c r="AH148"/>
  <c r="AH125" s="1"/>
  <c r="AH147"/>
  <c r="AH124" s="1"/>
  <c r="AH144"/>
  <c r="AH159"/>
  <c r="AH136" s="1"/>
  <c r="AH151"/>
  <c r="AH158"/>
  <c r="AH135" s="1"/>
  <c r="AH145"/>
  <c r="AH163"/>
  <c r="AH140" s="1"/>
  <c r="AH160"/>
  <c r="AH137" s="1"/>
  <c r="AI155"/>
  <c r="AI132" s="1"/>
  <c r="AI158"/>
  <c r="AI135" s="1"/>
  <c r="AI159"/>
  <c r="AI136" s="1"/>
  <c r="AI145"/>
  <c r="AJ7"/>
  <c r="AI151"/>
  <c r="AI147"/>
  <c r="AI124" s="1"/>
  <c r="AI144"/>
  <c r="AI154"/>
  <c r="AI131" s="1"/>
  <c r="AI160"/>
  <c r="AI137" s="1"/>
  <c r="AI163"/>
  <c r="AI140" s="1"/>
  <c r="AI148"/>
  <c r="AI125" s="1"/>
  <c r="AK7"/>
  <c r="AJ151"/>
  <c r="AJ163"/>
  <c r="AJ140" s="1"/>
  <c r="AJ159"/>
  <c r="AJ136" s="1"/>
  <c r="AJ145"/>
  <c r="AJ155"/>
  <c r="AJ132" s="1"/>
  <c r="AJ144"/>
  <c r="AJ158"/>
  <c r="AJ135" s="1"/>
  <c r="AJ154"/>
  <c r="AJ131" s="1"/>
  <c r="AJ160"/>
  <c r="AJ137" s="1"/>
  <c r="AJ148"/>
  <c r="AJ125" s="1"/>
  <c r="AJ147"/>
  <c r="AJ124" s="1"/>
  <c r="AJ146"/>
  <c r="AJ123" s="1"/>
  <c r="AK154"/>
  <c r="AK131" s="1"/>
  <c r="AK155"/>
  <c r="AK132" s="1"/>
  <c r="AK144"/>
  <c r="AK158"/>
  <c r="AK135" s="1"/>
  <c r="AK159"/>
  <c r="AK136" s="1"/>
  <c r="AK160"/>
  <c r="AK137" s="1"/>
  <c r="AL7"/>
  <c r="AK151"/>
  <c r="AK147"/>
  <c r="AK124" s="1"/>
  <c r="AK145"/>
  <c r="AK163"/>
  <c r="AK140" s="1"/>
  <c r="AK148"/>
  <c r="AK125" s="1"/>
  <c r="AK149"/>
  <c r="AK126" s="1"/>
  <c r="AM7"/>
  <c r="AL158"/>
  <c r="AL135" s="1"/>
  <c r="AL145"/>
  <c r="AL160"/>
  <c r="AL137" s="1"/>
  <c r="AL154"/>
  <c r="AL131" s="1"/>
  <c r="AL151"/>
  <c r="AL148"/>
  <c r="AL125" s="1"/>
  <c r="AL144"/>
  <c r="AL159"/>
  <c r="AL136" s="1"/>
  <c r="AL147"/>
  <c r="AL124" s="1"/>
  <c r="AL163"/>
  <c r="AL140" s="1"/>
  <c r="AL155"/>
  <c r="AL132" s="1"/>
  <c r="AL150"/>
  <c r="AL127" s="1"/>
  <c r="AM147"/>
  <c r="AM124" s="1"/>
  <c r="AN7"/>
  <c r="AM148"/>
  <c r="AM125" s="1"/>
  <c r="AM144"/>
  <c r="AM158"/>
  <c r="AM135" s="1"/>
  <c r="AM145"/>
  <c r="AM160"/>
  <c r="AM137" s="1"/>
  <c r="AM163"/>
  <c r="AM140" s="1"/>
  <c r="AM153"/>
  <c r="AM130" s="1"/>
  <c r="AO7"/>
  <c r="AN144"/>
  <c r="AN158"/>
  <c r="AN135" s="1"/>
  <c r="AN148"/>
  <c r="AN125" s="1"/>
  <c r="AN147"/>
  <c r="AN124" s="1"/>
  <c r="AN145"/>
  <c r="AN163"/>
  <c r="AN140" s="1"/>
  <c r="AN152"/>
  <c r="AN129" s="1"/>
  <c r="AN160"/>
  <c r="AN137" s="1"/>
  <c r="AN150"/>
  <c r="AN127" s="1"/>
  <c r="AN149"/>
  <c r="AN126" s="1"/>
  <c r="AO158"/>
  <c r="AO135" s="1"/>
  <c r="AO145"/>
  <c r="AP7"/>
  <c r="AO148"/>
  <c r="AO125" s="1"/>
  <c r="AO144"/>
  <c r="AO147"/>
  <c r="AO124" s="1"/>
  <c r="AO163"/>
  <c r="AO140" s="1"/>
  <c r="AO160"/>
  <c r="AO137" s="1"/>
  <c r="AO153"/>
  <c r="AO130" s="1"/>
  <c r="AQ7"/>
  <c r="AP148"/>
  <c r="AP125" s="1"/>
  <c r="AP144"/>
  <c r="AP145"/>
  <c r="AP147"/>
  <c r="AP124" s="1"/>
  <c r="AP158"/>
  <c r="AP135" s="1"/>
  <c r="AP163"/>
  <c r="AP140" s="1"/>
  <c r="AP160"/>
  <c r="AP137" s="1"/>
  <c r="AP154"/>
  <c r="AP131" s="1"/>
  <c r="AQ144"/>
  <c r="AQ145"/>
  <c r="AR7"/>
  <c r="AQ148"/>
  <c r="AQ125" s="1"/>
  <c r="AQ147"/>
  <c r="AQ124" s="1"/>
  <c r="AQ158"/>
  <c r="AQ135" s="1"/>
  <c r="AQ163"/>
  <c r="AQ140" s="1"/>
  <c r="AQ160"/>
  <c r="AQ137" s="1"/>
  <c r="AQ154"/>
  <c r="AQ131" s="1"/>
  <c r="AS7"/>
  <c r="AR145"/>
  <c r="AR163"/>
  <c r="AR140" s="1"/>
  <c r="AR144"/>
  <c r="AR158"/>
  <c r="AR135" s="1"/>
  <c r="AR148"/>
  <c r="AR125" s="1"/>
  <c r="AR147"/>
  <c r="AR124" s="1"/>
  <c r="AR160"/>
  <c r="AR137" s="1"/>
  <c r="AR153"/>
  <c r="AR130" s="1"/>
  <c r="AS147"/>
  <c r="AS124" s="1"/>
  <c r="AS144"/>
  <c r="AT7"/>
  <c r="AS148"/>
  <c r="AS125" s="1"/>
  <c r="AS158"/>
  <c r="AS135" s="1"/>
  <c r="AS145"/>
  <c r="AS163"/>
  <c r="AS140" s="1"/>
  <c r="AS160"/>
  <c r="AS137" s="1"/>
  <c r="AS153"/>
  <c r="AS130" s="1"/>
  <c r="AU7"/>
  <c r="AT158"/>
  <c r="AT135" s="1"/>
  <c r="AT147"/>
  <c r="AT124" s="1"/>
  <c r="AT148"/>
  <c r="AT125" s="1"/>
  <c r="AT144"/>
  <c r="AT145"/>
  <c r="AT163"/>
  <c r="AT140" s="1"/>
  <c r="AT160"/>
  <c r="AT137" s="1"/>
  <c r="AT153"/>
  <c r="AT130" s="1"/>
  <c r="AU148"/>
  <c r="AU125" s="1"/>
  <c r="AU147"/>
  <c r="AU124" s="1"/>
  <c r="AU144"/>
  <c r="AU158"/>
  <c r="AU135" s="1"/>
  <c r="AV7"/>
  <c r="AU145"/>
  <c r="AU163"/>
  <c r="AU140" s="1"/>
  <c r="AU160"/>
  <c r="AU137" s="1"/>
  <c r="AU154"/>
  <c r="AU131" s="1"/>
  <c r="AU153"/>
  <c r="AU130" s="1"/>
  <c r="AW7"/>
  <c r="AV148"/>
  <c r="AV125" s="1"/>
  <c r="AV144"/>
  <c r="AV158"/>
  <c r="AV135" s="1"/>
  <c r="AV145"/>
  <c r="AV163"/>
  <c r="AV140" s="1"/>
  <c r="AV147"/>
  <c r="AV124" s="1"/>
  <c r="AV153"/>
  <c r="AV130" s="1"/>
  <c r="AV146"/>
  <c r="AV123" s="1"/>
  <c r="AV160"/>
  <c r="AV137" s="1"/>
  <c r="AW148"/>
  <c r="AW125" s="1"/>
  <c r="AW144"/>
  <c r="AW145"/>
  <c r="AW158"/>
  <c r="AW135" s="1"/>
  <c r="AW163"/>
  <c r="AW140" s="1"/>
  <c r="AW154"/>
  <c r="AW131" s="1"/>
  <c r="AW160"/>
  <c r="AW137" s="1"/>
  <c r="AQ340" i="23" l="1"/>
  <c r="AS327"/>
  <c r="BS310"/>
  <c r="BS342" s="1"/>
  <c r="AQ357"/>
  <c r="BS317"/>
  <c r="AP14" i="42"/>
  <c r="L65" i="43"/>
  <c r="L66"/>
  <c r="M65"/>
  <c r="L68"/>
  <c r="BI356" i="23"/>
  <c r="BI357"/>
  <c r="AQ316"/>
  <c r="BU316"/>
  <c r="BU354" s="1"/>
  <c r="BU315"/>
  <c r="BU343" s="1"/>
  <c r="AP343"/>
  <c r="AQ315"/>
  <c r="AD160" i="44"/>
  <c r="AD137" s="1"/>
  <c r="AE160"/>
  <c r="AE137" s="1"/>
  <c r="E160"/>
  <c r="E160" i="30"/>
  <c r="AH160" i="44"/>
  <c r="AH137" s="1"/>
  <c r="AQ160"/>
  <c r="AQ137" s="1"/>
  <c r="F160"/>
  <c r="AJ160"/>
  <c r="AJ137" s="1"/>
  <c r="G160" i="30"/>
  <c r="K463"/>
  <c r="S463"/>
  <c r="AA463" i="44"/>
  <c r="AI463"/>
  <c r="AQ463"/>
  <c r="H463"/>
  <c r="P463"/>
  <c r="X463"/>
  <c r="AF463" i="30"/>
  <c r="AN463"/>
  <c r="AV463" i="44"/>
  <c r="M463"/>
  <c r="U463" i="30"/>
  <c r="AC463"/>
  <c r="AK463"/>
  <c r="AS463" i="44"/>
  <c r="J463"/>
  <c r="R463"/>
  <c r="Z463"/>
  <c r="AH463"/>
  <c r="AP463" i="30"/>
  <c r="G463"/>
  <c r="N463"/>
  <c r="AO463"/>
  <c r="AG463"/>
  <c r="W463"/>
  <c r="AU463" i="44"/>
  <c r="T463"/>
  <c r="AC463"/>
  <c r="P463" i="30"/>
  <c r="U463" i="44"/>
  <c r="AS463" i="30"/>
  <c r="AH463"/>
  <c r="AN463" i="44"/>
  <c r="AA463" i="30"/>
  <c r="Z463"/>
  <c r="I463" i="44"/>
  <c r="H463" i="30"/>
  <c r="AW463"/>
  <c r="AL463"/>
  <c r="AB463" i="44"/>
  <c r="R463" i="30"/>
  <c r="V463" i="44"/>
  <c r="AV160"/>
  <c r="AV137" s="1"/>
  <c r="E463"/>
  <c r="H160"/>
  <c r="AR160"/>
  <c r="AR137" s="1"/>
  <c r="H160" i="30"/>
  <c r="D463"/>
  <c r="AO160" i="44"/>
  <c r="AO137" s="1"/>
  <c r="F463"/>
  <c r="O463" i="30"/>
  <c r="W463" i="44"/>
  <c r="AE463"/>
  <c r="AM463" i="30"/>
  <c r="AU463"/>
  <c r="L463"/>
  <c r="T463"/>
  <c r="AB463"/>
  <c r="AJ463"/>
  <c r="AR463"/>
  <c r="I463"/>
  <c r="Q463"/>
  <c r="Y463"/>
  <c r="AG463" i="44"/>
  <c r="AO463"/>
  <c r="AW463"/>
  <c r="N463"/>
  <c r="V463" i="30"/>
  <c r="AD463" i="44"/>
  <c r="AL463"/>
  <c r="AT463" i="30"/>
  <c r="AF463" i="44"/>
  <c r="AJ463"/>
  <c r="AP463"/>
  <c r="AQ463" i="30"/>
  <c r="Y463" i="44"/>
  <c r="O463"/>
  <c r="AK463"/>
  <c r="AT463"/>
  <c r="AV463" i="30"/>
  <c r="X463"/>
  <c r="G463" i="44"/>
  <c r="F486" s="1" a="1"/>
  <c r="F486" s="1"/>
  <c r="S463"/>
  <c r="AI463" i="30"/>
  <c r="K463" i="44"/>
  <c r="AE463" i="30"/>
  <c r="AM463" i="44"/>
  <c r="AD463" i="30"/>
  <c r="M463"/>
  <c r="L463" i="44"/>
  <c r="J463" i="30"/>
  <c r="AR463" i="44"/>
  <c r="Q463"/>
  <c r="AS160"/>
  <c r="AS137" s="1"/>
  <c r="AW486" i="30" a="1"/>
  <c r="AW486" s="1"/>
  <c r="BR317" i="23"/>
  <c r="AS348"/>
  <c r="BT323"/>
  <c r="BT340" s="1"/>
  <c r="AS310"/>
  <c r="AQ358"/>
  <c r="BT327"/>
  <c r="B81" i="33"/>
  <c r="X81" s="1"/>
  <c r="B65" i="44"/>
  <c r="B65" i="30"/>
  <c r="B66" i="44"/>
  <c r="B66" i="30"/>
  <c r="AC111" i="46"/>
  <c r="AC110"/>
  <c r="AC104"/>
  <c r="K19" s="1"/>
  <c r="K61"/>
  <c r="N61" s="1"/>
  <c r="AB137" i="30"/>
  <c r="Z137"/>
  <c r="X137"/>
  <c r="V137"/>
  <c r="T137"/>
  <c r="R137"/>
  <c r="P137"/>
  <c r="N137"/>
  <c r="L137"/>
  <c r="J137"/>
  <c r="AB136"/>
  <c r="Z136"/>
  <c r="X136"/>
  <c r="V136"/>
  <c r="T136"/>
  <c r="R136"/>
  <c r="P136"/>
  <c r="N136"/>
  <c r="L136"/>
  <c r="J136"/>
  <c r="E88"/>
  <c r="E87"/>
  <c r="AC137" i="44"/>
  <c r="AA137"/>
  <c r="Y137"/>
  <c r="W137"/>
  <c r="U137"/>
  <c r="S137"/>
  <c r="Q137"/>
  <c r="O137"/>
  <c r="M137"/>
  <c r="K137"/>
  <c r="I137"/>
  <c r="AB136"/>
  <c r="Z136"/>
  <c r="X136"/>
  <c r="V136"/>
  <c r="T136"/>
  <c r="R136"/>
  <c r="P136"/>
  <c r="N136"/>
  <c r="L136"/>
  <c r="H88"/>
  <c r="AP348" i="23"/>
  <c r="BF327"/>
  <c r="BC327"/>
  <c r="AM357"/>
  <c r="AN358"/>
  <c r="G80" i="30"/>
  <c r="F80"/>
  <c r="N129"/>
  <c r="AH152" s="1"/>
  <c r="AH129" s="1"/>
  <c r="M129" i="44"/>
  <c r="AG152" s="1"/>
  <c r="AG129" s="1"/>
  <c r="AA129"/>
  <c r="AU152" s="1"/>
  <c r="AU129" s="1"/>
  <c r="K129"/>
  <c r="AE152" s="1"/>
  <c r="AE129" s="1"/>
  <c r="Q129"/>
  <c r="AK152" s="1"/>
  <c r="AK129" s="1"/>
  <c r="AE343" i="23"/>
  <c r="F104"/>
  <c r="D455" i="44"/>
  <c r="D478" s="1" a="1"/>
  <c r="D478" s="1"/>
  <c r="L152"/>
  <c r="E134" i="24"/>
  <c r="I152" i="44"/>
  <c r="R152"/>
  <c r="M152"/>
  <c r="P152"/>
  <c r="E152" i="30"/>
  <c r="W131" i="44"/>
  <c r="Y131"/>
  <c r="K131"/>
  <c r="AO154" s="1"/>
  <c r="AO131" s="1"/>
  <c r="S131"/>
  <c r="AW154" s="1"/>
  <c r="AW131" s="1"/>
  <c r="K39" i="46"/>
  <c r="N39" s="1"/>
  <c r="D41" i="23" s="1"/>
  <c r="D13" s="1"/>
  <c r="I75" s="1"/>
  <c r="X66" i="46"/>
  <c r="O26" s="1"/>
  <c r="AA137" i="30"/>
  <c r="Y137"/>
  <c r="W137"/>
  <c r="S137"/>
  <c r="Q137"/>
  <c r="O137"/>
  <c r="K137"/>
  <c r="I137"/>
  <c r="AC136"/>
  <c r="AA136"/>
  <c r="W136"/>
  <c r="U136"/>
  <c r="S136"/>
  <c r="O136"/>
  <c r="M136"/>
  <c r="K136"/>
  <c r="H87"/>
  <c r="AB137" i="44"/>
  <c r="Z137"/>
  <c r="X137"/>
  <c r="V137"/>
  <c r="T137"/>
  <c r="R137"/>
  <c r="N137"/>
  <c r="L137"/>
  <c r="J137"/>
  <c r="AC136"/>
  <c r="AA136"/>
  <c r="Y136"/>
  <c r="W136"/>
  <c r="U136"/>
  <c r="S136"/>
  <c r="Q136"/>
  <c r="O136"/>
  <c r="M136"/>
  <c r="K136"/>
  <c r="I136"/>
  <c r="AM159" s="1"/>
  <c r="AM136" s="1"/>
  <c r="G88"/>
  <c r="F109" i="23"/>
  <c r="N157" i="44"/>
  <c r="AD157"/>
  <c r="AD134" s="1"/>
  <c r="O157"/>
  <c r="Y157"/>
  <c r="S157"/>
  <c r="L157"/>
  <c r="AB157"/>
  <c r="K157"/>
  <c r="U157"/>
  <c r="E139" i="24"/>
  <c r="J157" i="30"/>
  <c r="K157"/>
  <c r="N157"/>
  <c r="R157"/>
  <c r="S157"/>
  <c r="V157"/>
  <c r="X157"/>
  <c r="Z157"/>
  <c r="AA157"/>
  <c r="AB157"/>
  <c r="AD157"/>
  <c r="AD134" s="1"/>
  <c r="F157" i="44"/>
  <c r="V157"/>
  <c r="G157" i="30"/>
  <c r="I157" i="44"/>
  <c r="I21" s="1"/>
  <c r="I403" s="1"/>
  <c r="D157" i="30"/>
  <c r="D157" i="44"/>
  <c r="T157"/>
  <c r="E157" i="30"/>
  <c r="E157" i="44"/>
  <c r="E460"/>
  <c r="D460" i="30"/>
  <c r="D483" s="1" a="1"/>
  <c r="D483" s="1"/>
  <c r="L157"/>
  <c r="M157"/>
  <c r="O157"/>
  <c r="P157"/>
  <c r="Q157"/>
  <c r="T157"/>
  <c r="U157"/>
  <c r="W157"/>
  <c r="Y157"/>
  <c r="AC157"/>
  <c r="AE157"/>
  <c r="AE134" s="1"/>
  <c r="AF157"/>
  <c r="AF134" s="1"/>
  <c r="AG157"/>
  <c r="AG134" s="1"/>
  <c r="AO157" i="44"/>
  <c r="AO134" s="1"/>
  <c r="AS157"/>
  <c r="AS134" s="1"/>
  <c r="AR157"/>
  <c r="AR134" s="1"/>
  <c r="AL157"/>
  <c r="AL134" s="1"/>
  <c r="AN157"/>
  <c r="AN134" s="1"/>
  <c r="AQ157"/>
  <c r="AQ134" s="1"/>
  <c r="H39" i="23"/>
  <c r="H8" s="1"/>
  <c r="J54"/>
  <c r="J10" s="1"/>
  <c r="J53"/>
  <c r="J7" s="1"/>
  <c r="AP157" i="44"/>
  <c r="AP134" s="1"/>
  <c r="AJ157"/>
  <c r="AJ134" s="1"/>
  <c r="AH157"/>
  <c r="AH134" s="1"/>
  <c r="AV157"/>
  <c r="AV134" s="1"/>
  <c r="AT157"/>
  <c r="AT134" s="1"/>
  <c r="G58" i="23"/>
  <c r="G25" s="1"/>
  <c r="K54"/>
  <c r="K10" s="1"/>
  <c r="L10" s="1"/>
  <c r="H54"/>
  <c r="H10" s="1"/>
  <c r="G177" i="44" s="1"/>
  <c r="G199" s="1"/>
  <c r="J52" i="23"/>
  <c r="J6" s="1"/>
  <c r="D24"/>
  <c r="I86" s="1"/>
  <c r="AO86" s="1"/>
  <c r="CK117" i="24"/>
  <c r="BU117"/>
  <c r="BW117"/>
  <c r="AN117"/>
  <c r="H117"/>
  <c r="CF117"/>
  <c r="BZ117"/>
  <c r="BJ117"/>
  <c r="AZ117"/>
  <c r="BT117"/>
  <c r="AQ117"/>
  <c r="AO117"/>
  <c r="F186"/>
  <c r="G186"/>
  <c r="BL117"/>
  <c r="L117"/>
  <c r="AY117"/>
  <c r="AP117"/>
  <c r="BY117"/>
  <c r="M117"/>
  <c r="AJ86" i="23"/>
  <c r="AP86"/>
  <c r="AW86"/>
  <c r="AB86"/>
  <c r="V86"/>
  <c r="AE86"/>
  <c r="Z86"/>
  <c r="AR86"/>
  <c r="G486" i="44" a="1"/>
  <c r="G486" s="1"/>
  <c r="J183" i="24"/>
  <c r="C172"/>
  <c r="D23" i="23"/>
  <c r="I85" s="1"/>
  <c r="AF117" i="24"/>
  <c r="CI117"/>
  <c r="W117"/>
  <c r="AR117"/>
  <c r="CE117"/>
  <c r="S117"/>
  <c r="Z117"/>
  <c r="BF117"/>
  <c r="CL117"/>
  <c r="BI117"/>
  <c r="AC117"/>
  <c r="G486" i="30" a="1"/>
  <c r="G486" s="1"/>
  <c r="P129"/>
  <c r="AJ152" s="1"/>
  <c r="AJ129" s="1"/>
  <c r="I129"/>
  <c r="AC152" s="1"/>
  <c r="M129"/>
  <c r="AG152" s="1"/>
  <c r="AG129" s="1"/>
  <c r="O129"/>
  <c r="AI152" s="1"/>
  <c r="AI129" s="1"/>
  <c r="V129"/>
  <c r="AP152" s="1"/>
  <c r="AP129" s="1"/>
  <c r="O129" i="44"/>
  <c r="AI152" s="1"/>
  <c r="AI129" s="1"/>
  <c r="S129"/>
  <c r="AM152" s="1"/>
  <c r="AM129" s="1"/>
  <c r="H80"/>
  <c r="F80"/>
  <c r="I129"/>
  <c r="AC152" s="1"/>
  <c r="R129"/>
  <c r="AL152" s="1"/>
  <c r="AL129" s="1"/>
  <c r="W129"/>
  <c r="AQ152" s="1"/>
  <c r="AQ129" s="1"/>
  <c r="U129"/>
  <c r="AO152" s="1"/>
  <c r="AO129" s="1"/>
  <c r="H152"/>
  <c r="G152"/>
  <c r="H152" i="30"/>
  <c r="E152" i="44"/>
  <c r="D455" i="30"/>
  <c r="E478" s="1" a="1"/>
  <c r="E478" s="1"/>
  <c r="J152"/>
  <c r="D478" a="1"/>
  <c r="D478" s="1"/>
  <c r="I152"/>
  <c r="I16" s="1"/>
  <c r="G17" i="42" s="1"/>
  <c r="J152" i="44"/>
  <c r="Z152"/>
  <c r="K152"/>
  <c r="Y152"/>
  <c r="W152"/>
  <c r="E455"/>
  <c r="E478" s="1" a="1"/>
  <c r="E478" s="1"/>
  <c r="AB152"/>
  <c r="F152"/>
  <c r="V152"/>
  <c r="AA152"/>
  <c r="F152" i="30"/>
  <c r="D82" i="44"/>
  <c r="M131"/>
  <c r="AQ154" s="1"/>
  <c r="AQ131" s="1"/>
  <c r="G82"/>
  <c r="L131"/>
  <c r="AP154" s="1"/>
  <c r="AP131" s="1"/>
  <c r="AA131"/>
  <c r="E82"/>
  <c r="Q131"/>
  <c r="AU154" s="1"/>
  <c r="AU131" s="1"/>
  <c r="AC131"/>
  <c r="O131"/>
  <c r="AS154" s="1"/>
  <c r="AS131" s="1"/>
  <c r="K33" i="46"/>
  <c r="K34"/>
  <c r="D160" i="44"/>
  <c r="F160" i="30"/>
  <c r="AT160" i="44"/>
  <c r="AT137" s="1"/>
  <c r="AS486" s="1" a="1"/>
  <c r="AS486" s="1"/>
  <c r="AF160"/>
  <c r="AF137" s="1"/>
  <c r="D160" i="30"/>
  <c r="F112" i="23"/>
  <c r="E142" i="24"/>
  <c r="AG160" i="44"/>
  <c r="AG137" s="1"/>
  <c r="X160"/>
  <c r="AK160"/>
  <c r="AK137" s="1"/>
  <c r="AP160"/>
  <c r="AP137" s="1"/>
  <c r="AW160"/>
  <c r="AW137" s="1"/>
  <c r="AW486" s="1" a="1"/>
  <c r="AW486" s="1"/>
  <c r="E115" i="23"/>
  <c r="E192" i="44"/>
  <c r="E214" s="1"/>
  <c r="E466" i="30"/>
  <c r="E489" s="1" a="1"/>
  <c r="E489" s="1"/>
  <c r="J163" i="44"/>
  <c r="Z163"/>
  <c r="AP163"/>
  <c r="AP140" s="1"/>
  <c r="AM163"/>
  <c r="AM140" s="1"/>
  <c r="M163"/>
  <c r="AC163"/>
  <c r="AS163"/>
  <c r="AS140" s="1"/>
  <c r="I163" i="30"/>
  <c r="S163" i="44"/>
  <c r="D466"/>
  <c r="N163"/>
  <c r="AT163"/>
  <c r="AT140" s="1"/>
  <c r="Q163"/>
  <c r="AW163"/>
  <c r="AW140" s="1"/>
  <c r="AA163"/>
  <c r="F163"/>
  <c r="AL163"/>
  <c r="AL140" s="1"/>
  <c r="I163"/>
  <c r="AO163"/>
  <c r="AO140" s="1"/>
  <c r="K163"/>
  <c r="F163" i="30"/>
  <c r="E22" i="23"/>
  <c r="E24"/>
  <c r="C114" s="1"/>
  <c r="F101"/>
  <c r="D452" i="44"/>
  <c r="D475" s="1" a="1"/>
  <c r="D475" s="1"/>
  <c r="J149"/>
  <c r="F149"/>
  <c r="E149" i="30"/>
  <c r="E452"/>
  <c r="F149"/>
  <c r="L149" i="44"/>
  <c r="U149"/>
  <c r="D149"/>
  <c r="I148"/>
  <c r="AL148"/>
  <c r="AL125" s="1"/>
  <c r="AQ148"/>
  <c r="AQ125" s="1"/>
  <c r="AT148"/>
  <c r="AT125" s="1"/>
  <c r="D148" i="30"/>
  <c r="E451" i="44"/>
  <c r="Q148"/>
  <c r="AI148"/>
  <c r="AI125" s="1"/>
  <c r="N145"/>
  <c r="AD145"/>
  <c r="AD128" s="1"/>
  <c r="AT145"/>
  <c r="W145"/>
  <c r="U145"/>
  <c r="F145" i="30"/>
  <c r="F97" i="23"/>
  <c r="P145" i="44"/>
  <c r="AF145"/>
  <c r="AV145"/>
  <c r="AE145"/>
  <c r="AE128" s="1"/>
  <c r="Y145"/>
  <c r="E127" i="24"/>
  <c r="E106" i="23"/>
  <c r="G183" i="44"/>
  <c r="G205" s="1"/>
  <c r="H183" i="30"/>
  <c r="H205" s="1"/>
  <c r="G183"/>
  <c r="G205" s="1"/>
  <c r="E183"/>
  <c r="E205" s="1"/>
  <c r="B19" i="33"/>
  <c r="X19" s="1"/>
  <c r="B62" i="30"/>
  <c r="G14" i="23"/>
  <c r="E110" i="24" s="1"/>
  <c r="G15" i="23"/>
  <c r="E111" i="24" s="1"/>
  <c r="D147" i="44"/>
  <c r="X147"/>
  <c r="I147" i="30"/>
  <c r="AK147" i="44"/>
  <c r="AK124" s="1"/>
  <c r="D450" i="30"/>
  <c r="D473" s="1" a="1"/>
  <c r="D473" s="1"/>
  <c r="AF147" i="44"/>
  <c r="AF124" s="1"/>
  <c r="F147" i="30"/>
  <c r="P147" i="44"/>
  <c r="U147"/>
  <c r="D180" i="30"/>
  <c r="G180" i="44"/>
  <c r="E146" i="30"/>
  <c r="G146" i="44"/>
  <c r="O146"/>
  <c r="W146"/>
  <c r="AE146"/>
  <c r="AE123" s="1"/>
  <c r="F146" i="30"/>
  <c r="Z146" i="44"/>
  <c r="P146"/>
  <c r="AF146"/>
  <c r="AF123" s="1"/>
  <c r="E449" i="30"/>
  <c r="N146" i="44"/>
  <c r="I146" i="30"/>
  <c r="I10" s="1"/>
  <c r="J10" s="1"/>
  <c r="H11" i="42" s="1"/>
  <c r="I146" i="44"/>
  <c r="Q146"/>
  <c r="Y146"/>
  <c r="AG146"/>
  <c r="AG123" s="1"/>
  <c r="H146" i="30"/>
  <c r="D146" i="44"/>
  <c r="T146"/>
  <c r="E449"/>
  <c r="E472" s="1" a="1"/>
  <c r="E472" s="1"/>
  <c r="E128" i="24"/>
  <c r="V146" i="44"/>
  <c r="E472" i="30" a="1"/>
  <c r="E472" s="1"/>
  <c r="I23" i="23"/>
  <c r="K16" i="46"/>
  <c r="K15"/>
  <c r="G189" i="30"/>
  <c r="G211" s="1"/>
  <c r="D189"/>
  <c r="D211" s="1"/>
  <c r="H189" i="44"/>
  <c r="H211" s="1"/>
  <c r="G189"/>
  <c r="G211" s="1"/>
  <c r="E486" a="1"/>
  <c r="E486" s="1"/>
  <c r="D463"/>
  <c r="D486" s="1" a="1"/>
  <c r="D486" s="1"/>
  <c r="AM160"/>
  <c r="AM137" s="1"/>
  <c r="F463" i="30"/>
  <c r="F486" s="1" a="1"/>
  <c r="F486" s="1"/>
  <c r="AU160" i="44"/>
  <c r="AU137" s="1"/>
  <c r="AL160"/>
  <c r="AL137" s="1"/>
  <c r="E463" i="30"/>
  <c r="D192" i="44"/>
  <c r="D214" s="1"/>
  <c r="X71" i="46"/>
  <c r="O31" s="1"/>
  <c r="D452" i="30"/>
  <c r="W149" i="44"/>
  <c r="I149"/>
  <c r="AQ145"/>
  <c r="I145"/>
  <c r="AN145"/>
  <c r="AN128" s="1"/>
  <c r="H145"/>
  <c r="AK145"/>
  <c r="I145" i="30"/>
  <c r="V145" i="44"/>
  <c r="I24" i="23"/>
  <c r="J23"/>
  <c r="Y71" i="46"/>
  <c r="P31" s="1"/>
  <c r="Y76"/>
  <c r="P36" s="1"/>
  <c r="F47" i="23" s="1"/>
  <c r="F18" s="1"/>
  <c r="D108" s="1"/>
  <c r="Y79" i="46"/>
  <c r="BH116" i="24"/>
  <c r="BQ116"/>
  <c r="L116"/>
  <c r="O116"/>
  <c r="AW116"/>
  <c r="AA157" i="44"/>
  <c r="H157" i="30"/>
  <c r="AC157" i="44"/>
  <c r="M157"/>
  <c r="W157"/>
  <c r="I157" i="30"/>
  <c r="AF157" i="44"/>
  <c r="AF134" s="1"/>
  <c r="X157"/>
  <c r="P157"/>
  <c r="H157"/>
  <c r="F157" i="30"/>
  <c r="E460"/>
  <c r="E483" s="1" a="1"/>
  <c r="E483" s="1"/>
  <c r="AG157" i="44"/>
  <c r="AG134" s="1"/>
  <c r="Q157"/>
  <c r="AE157"/>
  <c r="AE134" s="1"/>
  <c r="G157"/>
  <c r="D460"/>
  <c r="Z157"/>
  <c r="R157"/>
  <c r="J157"/>
  <c r="E138" i="24"/>
  <c r="E459" i="44"/>
  <c r="E482" s="1" a="1"/>
  <c r="E482" s="1"/>
  <c r="K156"/>
  <c r="E156"/>
  <c r="E156" i="30"/>
  <c r="T156" i="44"/>
  <c r="L156"/>
  <c r="D156"/>
  <c r="Q156"/>
  <c r="E459" i="30"/>
  <c r="W156" i="44"/>
  <c r="M156"/>
  <c r="O159"/>
  <c r="AK159"/>
  <c r="AK136" s="1"/>
  <c r="E159"/>
  <c r="AF159"/>
  <c r="AF136" s="1"/>
  <c r="P159"/>
  <c r="F111" i="23"/>
  <c r="S159" i="44"/>
  <c r="Y159"/>
  <c r="W159"/>
  <c r="AD159"/>
  <c r="AD136" s="1"/>
  <c r="G60" i="46"/>
  <c r="L63"/>
  <c r="O63" s="1"/>
  <c r="Y63" s="1"/>
  <c r="P23" s="1"/>
  <c r="F43" i="23" s="1"/>
  <c r="F21" s="1"/>
  <c r="D111" s="1"/>
  <c r="L65" i="46"/>
  <c r="O65" s="1"/>
  <c r="R65"/>
  <c r="U65" s="1"/>
  <c r="Y65" s="1"/>
  <c r="P25" s="1"/>
  <c r="F44" i="23" s="1"/>
  <c r="F9" s="1"/>
  <c r="D99" s="1"/>
  <c r="J69" i="46"/>
  <c r="M69" s="1"/>
  <c r="Q69"/>
  <c r="T69" s="1"/>
  <c r="X69" s="1"/>
  <c r="O29" s="1"/>
  <c r="E45" i="23" s="1"/>
  <c r="E20" s="1"/>
  <c r="I65" i="46"/>
  <c r="P69"/>
  <c r="S69" s="1"/>
  <c r="G72"/>
  <c r="G74"/>
  <c r="W74" s="1"/>
  <c r="J34" s="1"/>
  <c r="Q50"/>
  <c r="T50" s="1"/>
  <c r="K65"/>
  <c r="N65" s="1"/>
  <c r="H178" i="30"/>
  <c r="H200" s="1"/>
  <c r="Q58" i="46"/>
  <c r="T58" s="1"/>
  <c r="H69"/>
  <c r="I72"/>
  <c r="K80"/>
  <c r="N80" s="1"/>
  <c r="X80" s="1"/>
  <c r="O40" s="1"/>
  <c r="X68"/>
  <c r="O28" s="1"/>
  <c r="K72"/>
  <c r="N72" s="1"/>
  <c r="K78"/>
  <c r="N78" s="1"/>
  <c r="R78"/>
  <c r="U78" s="1"/>
  <c r="R72"/>
  <c r="U72" s="1"/>
  <c r="L72"/>
  <c r="O72" s="1"/>
  <c r="R50"/>
  <c r="U50" s="1"/>
  <c r="L50"/>
  <c r="O50" s="1"/>
  <c r="P52"/>
  <c r="S52" s="1"/>
  <c r="R54"/>
  <c r="U54" s="1"/>
  <c r="L54"/>
  <c r="O54" s="1"/>
  <c r="P56"/>
  <c r="S56" s="1"/>
  <c r="R58"/>
  <c r="U58" s="1"/>
  <c r="Y58" s="1"/>
  <c r="P18" s="1"/>
  <c r="L58"/>
  <c r="O58" s="1"/>
  <c r="H58"/>
  <c r="K69"/>
  <c r="N69" s="1"/>
  <c r="Q56"/>
  <c r="T56" s="1"/>
  <c r="H78"/>
  <c r="W53"/>
  <c r="J13" s="1"/>
  <c r="X57"/>
  <c r="O17" s="1"/>
  <c r="X56"/>
  <c r="O16" s="1"/>
  <c r="W59"/>
  <c r="J19" s="1"/>
  <c r="Y160" i="30"/>
  <c r="Q160"/>
  <c r="AQ159"/>
  <c r="AQ136" s="1"/>
  <c r="W133"/>
  <c r="AL156" s="1"/>
  <c r="AL133" s="1"/>
  <c r="S133"/>
  <c r="AH156" s="1"/>
  <c r="AH133" s="1"/>
  <c r="AW156" s="1"/>
  <c r="AW133" s="1"/>
  <c r="Q133"/>
  <c r="AF156" s="1"/>
  <c r="AF133" s="1"/>
  <c r="AU156" s="1"/>
  <c r="AU133" s="1"/>
  <c r="M133"/>
  <c r="AB156" s="1"/>
  <c r="K133"/>
  <c r="Z156" s="1"/>
  <c r="I133"/>
  <c r="X156" s="1"/>
  <c r="AC131"/>
  <c r="AA131"/>
  <c r="Y131"/>
  <c r="O131"/>
  <c r="AS154" s="1"/>
  <c r="AS131" s="1"/>
  <c r="K131"/>
  <c r="AO154" s="1"/>
  <c r="AO131" s="1"/>
  <c r="V130"/>
  <c r="AP153" s="1"/>
  <c r="AP130" s="1"/>
  <c r="T130"/>
  <c r="AN153" s="1"/>
  <c r="AN130" s="1"/>
  <c r="R130"/>
  <c r="AL153" s="1"/>
  <c r="AL130" s="1"/>
  <c r="P130"/>
  <c r="AJ153" s="1"/>
  <c r="AJ130" s="1"/>
  <c r="AC129"/>
  <c r="AW152" s="1"/>
  <c r="AW129" s="1"/>
  <c r="Y129"/>
  <c r="AS152" s="1"/>
  <c r="AS129" s="1"/>
  <c r="W129"/>
  <c r="AQ152" s="1"/>
  <c r="AQ129" s="1"/>
  <c r="U129"/>
  <c r="AO152" s="1"/>
  <c r="AO129" s="1"/>
  <c r="S129"/>
  <c r="AM152" s="1"/>
  <c r="AM129" s="1"/>
  <c r="Q129"/>
  <c r="AK152" s="1"/>
  <c r="AK129" s="1"/>
  <c r="AC127"/>
  <c r="AA127"/>
  <c r="W127"/>
  <c r="AV150" s="1"/>
  <c r="AV127" s="1"/>
  <c r="U127"/>
  <c r="AT150" s="1"/>
  <c r="AT127" s="1"/>
  <c r="S127"/>
  <c r="AR150" s="1"/>
  <c r="AR127" s="1"/>
  <c r="I127"/>
  <c r="AH150" s="1"/>
  <c r="AH127" s="1"/>
  <c r="AB126"/>
  <c r="X126"/>
  <c r="AW149" s="1"/>
  <c r="AW126" s="1"/>
  <c r="V126"/>
  <c r="AU149" s="1"/>
  <c r="AU126" s="1"/>
  <c r="T126"/>
  <c r="AS149" s="1"/>
  <c r="AS126" s="1"/>
  <c r="R126"/>
  <c r="AQ149" s="1"/>
  <c r="AQ126" s="1"/>
  <c r="P126"/>
  <c r="AO149" s="1"/>
  <c r="AO126" s="1"/>
  <c r="J126"/>
  <c r="AI149" s="1"/>
  <c r="AI126" s="1"/>
  <c r="X123"/>
  <c r="AW146" s="1"/>
  <c r="AW123" s="1"/>
  <c r="V123"/>
  <c r="AU146" s="1"/>
  <c r="AU123" s="1"/>
  <c r="R123"/>
  <c r="AQ146" s="1"/>
  <c r="AQ123" s="1"/>
  <c r="L123"/>
  <c r="AK146" s="1"/>
  <c r="AK123" s="1"/>
  <c r="W58" i="46"/>
  <c r="J18" s="1"/>
  <c r="W71"/>
  <c r="J31" s="1"/>
  <c r="M31" s="1"/>
  <c r="X54"/>
  <c r="O14" s="1"/>
  <c r="W69"/>
  <c r="J29" s="1"/>
  <c r="W61"/>
  <c r="J21" s="1"/>
  <c r="I83"/>
  <c r="Y83" s="1"/>
  <c r="P43" s="1"/>
  <c r="R69"/>
  <c r="U69" s="1"/>
  <c r="Y69" s="1"/>
  <c r="P29" s="1"/>
  <c r="F45" i="23" s="1"/>
  <c r="F20" s="1"/>
  <c r="D110" s="1"/>
  <c r="H65" i="46"/>
  <c r="I54"/>
  <c r="Z133" i="30"/>
  <c r="AO156" s="1"/>
  <c r="AO133" s="1"/>
  <c r="X133"/>
  <c r="AM156" s="1"/>
  <c r="AM133" s="1"/>
  <c r="R133"/>
  <c r="AG156" s="1"/>
  <c r="AG133" s="1"/>
  <c r="AV156" s="1"/>
  <c r="AV133" s="1"/>
  <c r="P133"/>
  <c r="AE156" s="1"/>
  <c r="AE133" s="1"/>
  <c r="AT156" s="1"/>
  <c r="AT133" s="1"/>
  <c r="J133"/>
  <c r="Y156" s="1"/>
  <c r="AB131"/>
  <c r="R131"/>
  <c r="AV154" s="1"/>
  <c r="AV131" s="1"/>
  <c r="P131"/>
  <c r="AT154" s="1"/>
  <c r="AT131" s="1"/>
  <c r="N131"/>
  <c r="AR154" s="1"/>
  <c r="AR131" s="1"/>
  <c r="J131"/>
  <c r="AN154" s="1"/>
  <c r="AN131" s="1"/>
  <c r="AC130"/>
  <c r="AW153" s="1"/>
  <c r="AW130" s="1"/>
  <c r="W130"/>
  <c r="AQ153" s="1"/>
  <c r="AQ130" s="1"/>
  <c r="Q130"/>
  <c r="AK153" s="1"/>
  <c r="AK130" s="1"/>
  <c r="O130"/>
  <c r="AI153" s="1"/>
  <c r="AI130" s="1"/>
  <c r="K130"/>
  <c r="AE153" s="1"/>
  <c r="AE130" s="1"/>
  <c r="AB129"/>
  <c r="AV152" s="1"/>
  <c r="AV129" s="1"/>
  <c r="Z129"/>
  <c r="AT152" s="1"/>
  <c r="AT129" s="1"/>
  <c r="X129"/>
  <c r="AR152" s="1"/>
  <c r="AR129" s="1"/>
  <c r="R129"/>
  <c r="AL152" s="1"/>
  <c r="AL129" s="1"/>
  <c r="L129"/>
  <c r="AF152" s="1"/>
  <c r="AF129" s="1"/>
  <c r="J129"/>
  <c r="AD152" s="1"/>
  <c r="AD129" s="1"/>
  <c r="AB127"/>
  <c r="X127"/>
  <c r="AW150" s="1"/>
  <c r="AW127" s="1"/>
  <c r="V127"/>
  <c r="AU150" s="1"/>
  <c r="AU127" s="1"/>
  <c r="T127"/>
  <c r="AS150" s="1"/>
  <c r="AS127" s="1"/>
  <c r="N127"/>
  <c r="AM150" s="1"/>
  <c r="AM127" s="1"/>
  <c r="S126"/>
  <c r="AR149" s="1"/>
  <c r="AR126" s="1"/>
  <c r="Q126"/>
  <c r="AP149" s="1"/>
  <c r="AP126" s="1"/>
  <c r="M126"/>
  <c r="AL149" s="1"/>
  <c r="AL126" s="1"/>
  <c r="K126"/>
  <c r="AJ149" s="1"/>
  <c r="AJ126" s="1"/>
  <c r="AC123"/>
  <c r="AA123"/>
  <c r="U123"/>
  <c r="AT146" s="1"/>
  <c r="AT123" s="1"/>
  <c r="S123"/>
  <c r="AR146" s="1"/>
  <c r="AR123" s="1"/>
  <c r="Q123"/>
  <c r="AP146" s="1"/>
  <c r="AP123" s="1"/>
  <c r="O123"/>
  <c r="AN146" s="1"/>
  <c r="AN123" s="1"/>
  <c r="M123"/>
  <c r="AL146" s="1"/>
  <c r="AL123" s="1"/>
  <c r="AV159" i="44"/>
  <c r="AV136" s="1"/>
  <c r="AT159"/>
  <c r="AT136" s="1"/>
  <c r="AB134"/>
  <c r="Z134"/>
  <c r="X134"/>
  <c r="AW157" s="1"/>
  <c r="AW134" s="1"/>
  <c r="V134"/>
  <c r="AU157" s="1"/>
  <c r="AU134" s="1"/>
  <c r="N134"/>
  <c r="AM157" s="1"/>
  <c r="AM134" s="1"/>
  <c r="L134"/>
  <c r="AK157" s="1"/>
  <c r="AK134" s="1"/>
  <c r="J134"/>
  <c r="AI157" s="1"/>
  <c r="AI134" s="1"/>
  <c r="AC133"/>
  <c r="AR156" s="1"/>
  <c r="AR133" s="1"/>
  <c r="AA133"/>
  <c r="AP156" s="1"/>
  <c r="AP133" s="1"/>
  <c r="Y133"/>
  <c r="AN156" s="1"/>
  <c r="AN133" s="1"/>
  <c r="W133"/>
  <c r="AL156" s="1"/>
  <c r="AL133" s="1"/>
  <c r="U133"/>
  <c r="AJ156" s="1"/>
  <c r="AJ133" s="1"/>
  <c r="S133"/>
  <c r="AH156" s="1"/>
  <c r="AH133" s="1"/>
  <c r="AW156" s="1"/>
  <c r="AW133" s="1"/>
  <c r="O133"/>
  <c r="AD156" s="1"/>
  <c r="AD133" s="1"/>
  <c r="AS156" s="1"/>
  <c r="AS133" s="1"/>
  <c r="M133"/>
  <c r="AB156" s="1"/>
  <c r="K133"/>
  <c r="Z156" s="1"/>
  <c r="AB131"/>
  <c r="Z131"/>
  <c r="X131"/>
  <c r="V131"/>
  <c r="T131"/>
  <c r="R131"/>
  <c r="AV154" s="1"/>
  <c r="AV131" s="1"/>
  <c r="J131"/>
  <c r="AN154" s="1"/>
  <c r="AN131" s="1"/>
  <c r="AC130"/>
  <c r="AW153" s="1"/>
  <c r="AW130" s="1"/>
  <c r="AA130"/>
  <c r="AU153" s="1"/>
  <c r="AU130" s="1"/>
  <c r="Y130"/>
  <c r="AS153" s="1"/>
  <c r="AS130" s="1"/>
  <c r="W130"/>
  <c r="AQ153" s="1"/>
  <c r="AQ130" s="1"/>
  <c r="S130"/>
  <c r="AM153" s="1"/>
  <c r="AM130" s="1"/>
  <c r="O130"/>
  <c r="AI153" s="1"/>
  <c r="AI130" s="1"/>
  <c r="M130"/>
  <c r="AG153" s="1"/>
  <c r="AG130" s="1"/>
  <c r="K130"/>
  <c r="AE153" s="1"/>
  <c r="AE130" s="1"/>
  <c r="I130"/>
  <c r="AC153" s="1"/>
  <c r="AB129"/>
  <c r="AV152" s="1"/>
  <c r="AV129" s="1"/>
  <c r="Z129"/>
  <c r="AT152" s="1"/>
  <c r="AT129" s="1"/>
  <c r="X129"/>
  <c r="AR152" s="1"/>
  <c r="AR129" s="1"/>
  <c r="V129"/>
  <c r="AP152" s="1"/>
  <c r="AP129" s="1"/>
  <c r="T129"/>
  <c r="AN152" s="1"/>
  <c r="AN129" s="1"/>
  <c r="P129"/>
  <c r="AJ152" s="1"/>
  <c r="AJ129" s="1"/>
  <c r="N129"/>
  <c r="AH152" s="1"/>
  <c r="AH129" s="1"/>
  <c r="L129"/>
  <c r="AF152" s="1"/>
  <c r="AF129" s="1"/>
  <c r="J129"/>
  <c r="AD152" s="1"/>
  <c r="AD129" s="1"/>
  <c r="AC128"/>
  <c r="AA128"/>
  <c r="W128"/>
  <c r="U128"/>
  <c r="S128"/>
  <c r="AW151" s="1"/>
  <c r="Q128"/>
  <c r="AU151" s="1"/>
  <c r="O128"/>
  <c r="AS151" s="1"/>
  <c r="M128"/>
  <c r="AQ151" s="1"/>
  <c r="K128"/>
  <c r="AO151" s="1"/>
  <c r="I128"/>
  <c r="AM151" s="1"/>
  <c r="AB127"/>
  <c r="Z127"/>
  <c r="X127"/>
  <c r="AW150" s="1"/>
  <c r="AW127" s="1"/>
  <c r="V127"/>
  <c r="AU150" s="1"/>
  <c r="AU127" s="1"/>
  <c r="R127"/>
  <c r="P127"/>
  <c r="N127"/>
  <c r="L127"/>
  <c r="AA126"/>
  <c r="Y126"/>
  <c r="W126"/>
  <c r="AV149" s="1"/>
  <c r="AV126" s="1"/>
  <c r="U126"/>
  <c r="AT149" s="1"/>
  <c r="AT126" s="1"/>
  <c r="S126"/>
  <c r="AR149" s="1"/>
  <c r="AR126" s="1"/>
  <c r="O126"/>
  <c r="AN149" s="1"/>
  <c r="AN126" s="1"/>
  <c r="M126"/>
  <c r="AL149" s="1"/>
  <c r="AL126" s="1"/>
  <c r="K126"/>
  <c r="AJ149" s="1"/>
  <c r="AJ126" s="1"/>
  <c r="I126"/>
  <c r="AH149" s="1"/>
  <c r="AH126" s="1"/>
  <c r="AC123"/>
  <c r="Y123"/>
  <c r="W123"/>
  <c r="AV146" s="1"/>
  <c r="AV123" s="1"/>
  <c r="Q123"/>
  <c r="AP146" s="1"/>
  <c r="AP123" s="1"/>
  <c r="M123"/>
  <c r="AL146" s="1"/>
  <c r="AL123" s="1"/>
  <c r="I123"/>
  <c r="AH146" s="1"/>
  <c r="AH123" s="1"/>
  <c r="I160" i="30"/>
  <c r="I24" s="1"/>
  <c r="I88" s="1"/>
  <c r="H486" a="1"/>
  <c r="H486" s="1"/>
  <c r="C442"/>
  <c r="BW73" i="42" s="1"/>
  <c r="H440" i="30"/>
  <c r="CB66" i="42" s="1"/>
  <c r="G440" i="30"/>
  <c r="CA66" i="42" s="1"/>
  <c r="C432" i="30"/>
  <c r="A68" i="42" s="1"/>
  <c r="C435" i="44"/>
  <c r="AO74" i="42" s="1"/>
  <c r="B96" i="33"/>
  <c r="B37"/>
  <c r="C430" i="44"/>
  <c r="AO66" i="42" s="1"/>
  <c r="B36" i="33"/>
  <c r="C433" i="30"/>
  <c r="A69" i="42" s="1"/>
  <c r="C440" i="44"/>
  <c r="BW67" i="42" s="1"/>
  <c r="AR316" i="23"/>
  <c r="AQ354"/>
  <c r="BT316"/>
  <c r="BT354" s="1"/>
  <c r="G39" i="30"/>
  <c r="G39" i="44"/>
  <c r="E27" i="47"/>
  <c r="X53" i="46"/>
  <c r="O13" s="1"/>
  <c r="X70"/>
  <c r="O30" s="1"/>
  <c r="E39" i="23" s="1"/>
  <c r="E8" s="1"/>
  <c r="W57" i="46"/>
  <c r="J17" s="1"/>
  <c r="E482" i="30" a="1"/>
  <c r="E482" s="1"/>
  <c r="W73" i="46"/>
  <c r="J33" s="1"/>
  <c r="M33" s="1"/>
  <c r="X77"/>
  <c r="O37" s="1"/>
  <c r="E48" i="23" s="1"/>
  <c r="E17" s="1"/>
  <c r="Y82" i="46"/>
  <c r="P42" s="1"/>
  <c r="F46" i="23" s="1"/>
  <c r="H175" i="44"/>
  <c r="AA160" i="30"/>
  <c r="W160"/>
  <c r="S160"/>
  <c r="O160"/>
  <c r="K160"/>
  <c r="AW159"/>
  <c r="AW136" s="1"/>
  <c r="AS159"/>
  <c r="AS136" s="1"/>
  <c r="AO159"/>
  <c r="AO136" s="1"/>
  <c r="K129"/>
  <c r="AE152" s="1"/>
  <c r="AE129" s="1"/>
  <c r="P131" i="44"/>
  <c r="AT154" s="1"/>
  <c r="AT131" s="1"/>
  <c r="P39" i="46"/>
  <c r="F41" i="23" s="1"/>
  <c r="F13" s="1"/>
  <c r="D103" s="1"/>
  <c r="H154" s="1"/>
  <c r="H203" s="1"/>
  <c r="W83" i="46"/>
  <c r="J43" s="1"/>
  <c r="X58"/>
  <c r="O18" s="1"/>
  <c r="P128" i="44"/>
  <c r="AT151" s="1"/>
  <c r="H430" i="30"/>
  <c r="F66" i="42" s="1"/>
  <c r="H180" i="24"/>
  <c r="F180"/>
  <c r="E185"/>
  <c r="D185"/>
  <c r="AB43" i="38" s="1"/>
  <c r="H185" i="24"/>
  <c r="E183"/>
  <c r="H183"/>
  <c r="G183"/>
  <c r="H18" i="23"/>
  <c r="E62" i="43"/>
  <c r="F188" i="30"/>
  <c r="F210" s="1"/>
  <c r="H188" i="44"/>
  <c r="H210" s="1"/>
  <c r="G188" i="30"/>
  <c r="G210" s="1"/>
  <c r="H186" i="44"/>
  <c r="D186" i="30"/>
  <c r="D208" s="1"/>
  <c r="F186" i="44"/>
  <c r="D131" i="24"/>
  <c r="C176"/>
  <c r="BI107"/>
  <c r="CE107"/>
  <c r="AD107"/>
  <c r="BH107"/>
  <c r="BA107"/>
  <c r="CG107"/>
  <c r="R107"/>
  <c r="CD107"/>
  <c r="BQ107"/>
  <c r="AT107"/>
  <c r="Y107"/>
  <c r="K107"/>
  <c r="F107"/>
  <c r="AJ107"/>
  <c r="BP107"/>
  <c r="AK107"/>
  <c r="I107"/>
  <c r="AH107"/>
  <c r="AW107"/>
  <c r="BK107"/>
  <c r="BJ107"/>
  <c r="CC116"/>
  <c r="F116"/>
  <c r="CH116"/>
  <c r="BK116"/>
  <c r="M116"/>
  <c r="BX116"/>
  <c r="BW116"/>
  <c r="AP116"/>
  <c r="AG116"/>
  <c r="CB116"/>
  <c r="Z116"/>
  <c r="D140"/>
  <c r="AM116"/>
  <c r="BO116"/>
  <c r="H116"/>
  <c r="AL116"/>
  <c r="CD116"/>
  <c r="AO116"/>
  <c r="CA116"/>
  <c r="CJ116"/>
  <c r="BU116"/>
  <c r="N116"/>
  <c r="BP116"/>
  <c r="C182"/>
  <c r="D137"/>
  <c r="BO113"/>
  <c r="W113"/>
  <c r="CI113"/>
  <c r="T113"/>
  <c r="AL113"/>
  <c r="BB113"/>
  <c r="BR113"/>
  <c r="CH113"/>
  <c r="BQ113"/>
  <c r="AK113"/>
  <c r="S113"/>
  <c r="AU113"/>
  <c r="N113"/>
  <c r="AR113"/>
  <c r="BX113"/>
  <c r="BE113"/>
  <c r="CM113"/>
  <c r="F113"/>
  <c r="AN113"/>
  <c r="BT113"/>
  <c r="BM113"/>
  <c r="AI113"/>
  <c r="G113"/>
  <c r="BS113"/>
  <c r="R113"/>
  <c r="AH113"/>
  <c r="AX113"/>
  <c r="BN113"/>
  <c r="CD113"/>
  <c r="BY113"/>
  <c r="AS113"/>
  <c r="M113"/>
  <c r="AE113"/>
  <c r="H113"/>
  <c r="AJ113"/>
  <c r="BP113"/>
  <c r="BU113"/>
  <c r="CE113"/>
  <c r="BK113"/>
  <c r="AF113"/>
  <c r="BL113"/>
  <c r="CC113"/>
  <c r="Q113"/>
  <c r="D135"/>
  <c r="K111"/>
  <c r="CE111"/>
  <c r="AU111"/>
  <c r="F111"/>
  <c r="T111"/>
  <c r="AJ111"/>
  <c r="AZ111"/>
  <c r="BP111"/>
  <c r="CF111"/>
  <c r="BQ111"/>
  <c r="C179"/>
  <c r="AX110"/>
  <c r="AV110"/>
  <c r="CE110"/>
  <c r="AO110"/>
  <c r="C175"/>
  <c r="D130"/>
  <c r="AE106"/>
  <c r="BO106"/>
  <c r="Z106"/>
  <c r="BF106"/>
  <c r="CL106"/>
  <c r="G106"/>
  <c r="T106"/>
  <c r="CF106"/>
  <c r="BM106"/>
  <c r="X106"/>
  <c r="CJ106"/>
  <c r="AS106"/>
  <c r="AY106"/>
  <c r="AD106"/>
  <c r="BJ106"/>
  <c r="AK106"/>
  <c r="AM106"/>
  <c r="AB106"/>
  <c r="AG106"/>
  <c r="CC106"/>
  <c r="AF106"/>
  <c r="AO106"/>
  <c r="C174"/>
  <c r="CG105"/>
  <c r="BF105"/>
  <c r="BJ105"/>
  <c r="Q105"/>
  <c r="AG105"/>
  <c r="AW105"/>
  <c r="BM105"/>
  <c r="CC105"/>
  <c r="BP105"/>
  <c r="AJ105"/>
  <c r="V105"/>
  <c r="AX105"/>
  <c r="K105"/>
  <c r="AQ105"/>
  <c r="BW105"/>
  <c r="BD105"/>
  <c r="AH105"/>
  <c r="G105"/>
  <c r="AM105"/>
  <c r="BS105"/>
  <c r="BL105"/>
  <c r="F105"/>
  <c r="AP105"/>
  <c r="CK105"/>
  <c r="M105"/>
  <c r="AC105"/>
  <c r="AS105"/>
  <c r="BI105"/>
  <c r="BY105"/>
  <c r="BX105"/>
  <c r="AR105"/>
  <c r="L105"/>
  <c r="R105"/>
  <c r="N105"/>
  <c r="AI105"/>
  <c r="BO105"/>
  <c r="BT105"/>
  <c r="H105"/>
  <c r="BZ105"/>
  <c r="AE105"/>
  <c r="BK105"/>
  <c r="CB105"/>
  <c r="P105"/>
  <c r="C173"/>
  <c r="T104"/>
  <c r="BN104"/>
  <c r="X104"/>
  <c r="AG104"/>
  <c r="BM104"/>
  <c r="AB104"/>
  <c r="AT104"/>
  <c r="AV104"/>
  <c r="AE104"/>
  <c r="BK104"/>
  <c r="BP104"/>
  <c r="BB104"/>
  <c r="AF104"/>
  <c r="AA104"/>
  <c r="BG104"/>
  <c r="CM104"/>
  <c r="BH104"/>
  <c r="J104"/>
  <c r="AP104"/>
  <c r="BV104"/>
  <c r="BT104"/>
  <c r="H104"/>
  <c r="U104"/>
  <c r="AK104"/>
  <c r="BA104"/>
  <c r="BQ104"/>
  <c r="CG104"/>
  <c r="AJ104"/>
  <c r="BJ104"/>
  <c r="G104"/>
  <c r="AM104"/>
  <c r="BS104"/>
  <c r="N104"/>
  <c r="BR104"/>
  <c r="P104"/>
  <c r="AI104"/>
  <c r="BO104"/>
  <c r="K67" i="43"/>
  <c r="H23" i="23"/>
  <c r="R110" i="24"/>
  <c r="B67" i="33"/>
  <c r="B8"/>
  <c r="B51" i="30"/>
  <c r="B51" i="44"/>
  <c r="B66" i="33"/>
  <c r="B50" i="44"/>
  <c r="AB138" i="24"/>
  <c r="I20" i="44"/>
  <c r="I402" s="1"/>
  <c r="K138" i="24"/>
  <c r="K23" i="23"/>
  <c r="L23" s="1"/>
  <c r="G24"/>
  <c r="E120" i="24" s="1"/>
  <c r="AK120" s="1"/>
  <c r="H24" i="23"/>
  <c r="D191" i="30" s="1"/>
  <c r="D213" s="1"/>
  <c r="N29" i="18"/>
  <c r="Z138" i="24"/>
  <c r="F120"/>
  <c r="H165" i="23" s="1"/>
  <c r="H214" s="1"/>
  <c r="AO120" i="24"/>
  <c r="R120"/>
  <c r="T165" i="23" s="1"/>
  <c r="T214" s="1"/>
  <c r="AB120" i="24"/>
  <c r="AD165" i="23" s="1"/>
  <c r="AD214" s="1"/>
  <c r="CK120" i="24"/>
  <c r="AY120"/>
  <c r="T120"/>
  <c r="BJ120"/>
  <c r="F189"/>
  <c r="BX120"/>
  <c r="BV120"/>
  <c r="BW120"/>
  <c r="AM120"/>
  <c r="I120"/>
  <c r="K165" i="23" s="1"/>
  <c r="K214" s="1"/>
  <c r="BZ120" i="24"/>
  <c r="BO120"/>
  <c r="Q120"/>
  <c r="BB120"/>
  <c r="CJ120"/>
  <c r="BP110"/>
  <c r="BE110"/>
  <c r="AY110"/>
  <c r="CD110"/>
  <c r="K22" i="23"/>
  <c r="L22" s="1"/>
  <c r="L30" i="18"/>
  <c r="V19" i="46" s="1"/>
  <c r="K53" i="23" s="1"/>
  <c r="K7" s="1"/>
  <c r="L7" s="1"/>
  <c r="L29" i="18"/>
  <c r="V20" i="46" s="1"/>
  <c r="K52" i="23" s="1"/>
  <c r="K6" s="1"/>
  <c r="L6" s="1"/>
  <c r="AA118" i="24"/>
  <c r="AC163" i="23" s="1"/>
  <c r="BG118" i="24"/>
  <c r="CM118"/>
  <c r="BZ118"/>
  <c r="AT118"/>
  <c r="V118"/>
  <c r="X163" i="23" s="1"/>
  <c r="F118" i="24"/>
  <c r="H163" i="23" s="1"/>
  <c r="BU118" i="24"/>
  <c r="BL118"/>
  <c r="AC118"/>
  <c r="AE163" i="23" s="1"/>
  <c r="AE212" s="1"/>
  <c r="G187" i="24"/>
  <c r="BC118"/>
  <c r="BV118"/>
  <c r="AE118"/>
  <c r="AG163" i="23" s="1"/>
  <c r="AG212" s="1"/>
  <c r="BS118" i="24"/>
  <c r="BN118"/>
  <c r="X118"/>
  <c r="Z163" i="23" s="1"/>
  <c r="BM118" i="24"/>
  <c r="Y118"/>
  <c r="AA163" i="23" s="1"/>
  <c r="AJ118" i="24"/>
  <c r="L118"/>
  <c r="N163" i="23" s="1"/>
  <c r="CJ118" i="24"/>
  <c r="BQ118"/>
  <c r="S118"/>
  <c r="U163" i="23" s="1"/>
  <c r="AY118" i="24"/>
  <c r="CE118"/>
  <c r="CH118"/>
  <c r="BB118"/>
  <c r="Z118"/>
  <c r="AB163" i="23" s="1"/>
  <c r="AB212" s="1"/>
  <c r="J118" i="24"/>
  <c r="L163" i="23" s="1"/>
  <c r="L212" s="1"/>
  <c r="BE118" i="24"/>
  <c r="CB118"/>
  <c r="M118"/>
  <c r="O163" i="23" s="1"/>
  <c r="O212" s="1"/>
  <c r="BY118" i="24"/>
  <c r="AR118"/>
  <c r="CL118"/>
  <c r="W118"/>
  <c r="Y163" i="23" s="1"/>
  <c r="Y212" s="1"/>
  <c r="BK118" i="24"/>
  <c r="CD118"/>
  <c r="AH118"/>
  <c r="AG118"/>
  <c r="AN118"/>
  <c r="BP118"/>
  <c r="T118"/>
  <c r="V163" i="23" s="1"/>
  <c r="V212" s="1"/>
  <c r="CC118" i="24"/>
  <c r="AK118"/>
  <c r="K118"/>
  <c r="M163" i="23" s="1"/>
  <c r="AQ118" i="24"/>
  <c r="BW118"/>
  <c r="J187"/>
  <c r="BJ118"/>
  <c r="AD118"/>
  <c r="AF163" i="23" s="1"/>
  <c r="N118" i="24"/>
  <c r="P163" i="23" s="1"/>
  <c r="AO118" i="24"/>
  <c r="I187"/>
  <c r="AF118"/>
  <c r="BI118"/>
  <c r="BH118"/>
  <c r="D187"/>
  <c r="AB45" i="38" s="1"/>
  <c r="O118" i="24"/>
  <c r="Q163" i="23" s="1"/>
  <c r="Q212" s="1"/>
  <c r="AU118" i="24"/>
  <c r="H187"/>
  <c r="AX118"/>
  <c r="H118"/>
  <c r="J163" i="23" s="1"/>
  <c r="BT118" i="24"/>
  <c r="CG118"/>
  <c r="AB118"/>
  <c r="AD163" i="23" s="1"/>
  <c r="AW118" i="24"/>
  <c r="I118"/>
  <c r="K163" i="23" s="1"/>
  <c r="AZ118" i="24"/>
  <c r="AI118"/>
  <c r="BO118"/>
  <c r="F187"/>
  <c r="BR118"/>
  <c r="AL118"/>
  <c r="R118"/>
  <c r="T163" i="23" s="1"/>
  <c r="T212" s="1"/>
  <c r="U118" i="24"/>
  <c r="W163" i="23" s="1"/>
  <c r="W212" s="1"/>
  <c r="CK118" i="24"/>
  <c r="AV118"/>
  <c r="AS118"/>
  <c r="BX118"/>
  <c r="CA118"/>
  <c r="G118"/>
  <c r="I163" i="23" s="1"/>
  <c r="I212" s="1"/>
  <c r="AM118" i="24"/>
  <c r="CI118"/>
  <c r="BF118"/>
  <c r="P118"/>
  <c r="R163" i="23" s="1"/>
  <c r="R212" s="1"/>
  <c r="E187" i="24"/>
  <c r="BA118"/>
  <c r="AP118"/>
  <c r="Q118"/>
  <c r="S163" i="23" s="1"/>
  <c r="S212" s="1"/>
  <c r="BD118" i="24"/>
  <c r="CF118"/>
  <c r="F7" i="47"/>
  <c r="H9" i="44"/>
  <c r="H9" i="30"/>
  <c r="F6" i="47"/>
  <c r="H8" i="30"/>
  <c r="H8" i="44"/>
  <c r="M30" i="18"/>
  <c r="K30"/>
  <c r="W19" i="46" s="1"/>
  <c r="C30" i="18"/>
  <c r="M29"/>
  <c r="K29"/>
  <c r="W20" i="46" s="1"/>
  <c r="S20" s="1"/>
  <c r="H52" i="23" s="1"/>
  <c r="H6" s="1"/>
  <c r="C29" i="18"/>
  <c r="F30"/>
  <c r="H19" i="46" s="1"/>
  <c r="D30" i="18"/>
  <c r="I19" i="46" s="1"/>
  <c r="F29" i="18"/>
  <c r="H20" i="46" s="1"/>
  <c r="D29" i="18"/>
  <c r="I20" i="46" s="1"/>
  <c r="J24" i="23"/>
  <c r="H138" i="24"/>
  <c r="O129"/>
  <c r="N138"/>
  <c r="I138"/>
  <c r="Q138"/>
  <c r="R129"/>
  <c r="AC129"/>
  <c r="F129"/>
  <c r="I129"/>
  <c r="AD138"/>
  <c r="P138"/>
  <c r="V129"/>
  <c r="S138"/>
  <c r="X138"/>
  <c r="G138"/>
  <c r="F191" i="44"/>
  <c r="F213" s="1"/>
  <c r="D141" i="24"/>
  <c r="E114" i="23"/>
  <c r="I78" i="46"/>
  <c r="BS323" i="23"/>
  <c r="BS340" s="1"/>
  <c r="AS323"/>
  <c r="AR340"/>
  <c r="M21" i="46"/>
  <c r="N21"/>
  <c r="D54" i="23" s="1"/>
  <c r="D10" s="1"/>
  <c r="I72" s="1"/>
  <c r="V159"/>
  <c r="V208" s="1"/>
  <c r="Y159"/>
  <c r="Y208" s="1"/>
  <c r="AC159"/>
  <c r="AC208" s="1"/>
  <c r="W159"/>
  <c r="W208" s="1"/>
  <c r="X159"/>
  <c r="X208" s="1"/>
  <c r="M43" i="46"/>
  <c r="N43"/>
  <c r="E8" i="47"/>
  <c r="G10" i="44"/>
  <c r="G430" s="1"/>
  <c r="AS66" i="42" s="1"/>
  <c r="G10" i="30"/>
  <c r="X61" i="46"/>
  <c r="O21" s="1"/>
  <c r="E54" i="23" s="1"/>
  <c r="E10" s="1"/>
  <c r="W60" i="46"/>
  <c r="J20" s="1"/>
  <c r="M20" s="1"/>
  <c r="AT310" i="23"/>
  <c r="Y57" i="46"/>
  <c r="P17" s="1"/>
  <c r="Y81"/>
  <c r="P41" s="1"/>
  <c r="W82"/>
  <c r="J42" s="1"/>
  <c r="Y66"/>
  <c r="P26" s="1"/>
  <c r="X50"/>
  <c r="O10" s="1"/>
  <c r="E50" i="23" s="1"/>
  <c r="E12" s="1"/>
  <c r="X78" i="46"/>
  <c r="O38" s="1"/>
  <c r="E51" i="23" s="1"/>
  <c r="Y78" i="46"/>
  <c r="P38" s="1"/>
  <c r="F51" i="23" s="1"/>
  <c r="W54" i="46"/>
  <c r="J14" s="1"/>
  <c r="P159" i="23"/>
  <c r="P208" s="1"/>
  <c r="X74" i="46"/>
  <c r="O34" s="1"/>
  <c r="W51"/>
  <c r="J11" s="1"/>
  <c r="N11" s="1"/>
  <c r="W66"/>
  <c r="J26" s="1"/>
  <c r="M26" s="1"/>
  <c r="X79"/>
  <c r="O39" s="1"/>
  <c r="E41" i="23" s="1"/>
  <c r="E13" s="1"/>
  <c r="X83" i="46"/>
  <c r="O43" s="1"/>
  <c r="X73"/>
  <c r="O33" s="1"/>
  <c r="E49" i="23" s="1"/>
  <c r="E16" s="1"/>
  <c r="X65" i="46"/>
  <c r="O25" s="1"/>
  <c r="E44" i="23" s="1"/>
  <c r="E9" s="1"/>
  <c r="W78" i="46"/>
  <c r="J38" s="1"/>
  <c r="T357" i="23"/>
  <c r="R358"/>
  <c r="K82" i="46"/>
  <c r="N82" s="1"/>
  <c r="X82" s="1"/>
  <c r="O42" s="1"/>
  <c r="E46" i="23" s="1"/>
  <c r="AN329"/>
  <c r="AM329"/>
  <c r="AG329"/>
  <c r="AL329"/>
  <c r="AJ329"/>
  <c r="AK329"/>
  <c r="AE329"/>
  <c r="AH329"/>
  <c r="AF329"/>
  <c r="AI329"/>
  <c r="M29" i="46"/>
  <c r="N29"/>
  <c r="D45" i="23" s="1"/>
  <c r="D20" s="1"/>
  <c r="I82" s="1"/>
  <c r="M11" i="46"/>
  <c r="L155" i="44"/>
  <c r="V155"/>
  <c r="T155"/>
  <c r="AE155"/>
  <c r="AE132" s="1"/>
  <c r="O155"/>
  <c r="F107" i="23"/>
  <c r="I155" i="44"/>
  <c r="Q155"/>
  <c r="Y155"/>
  <c r="AG155"/>
  <c r="AG132" s="1"/>
  <c r="D155" i="30"/>
  <c r="H155" i="44"/>
  <c r="J155"/>
  <c r="Z155"/>
  <c r="E458"/>
  <c r="P155"/>
  <c r="E137" i="24"/>
  <c r="E155" i="30"/>
  <c r="K155" i="44"/>
  <c r="F155" i="30"/>
  <c r="G155"/>
  <c r="AI155" i="44"/>
  <c r="AI132" s="1"/>
  <c r="X155"/>
  <c r="AJ155"/>
  <c r="AJ132" s="1"/>
  <c r="J155" i="30"/>
  <c r="K155"/>
  <c r="AL155" i="44"/>
  <c r="AL132" s="1"/>
  <c r="F155"/>
  <c r="D458"/>
  <c r="D481" s="1" a="1"/>
  <c r="D481" s="1"/>
  <c r="W155"/>
  <c r="E155"/>
  <c r="M155"/>
  <c r="U155"/>
  <c r="AC155"/>
  <c r="AK155"/>
  <c r="AK132" s="1"/>
  <c r="H155" i="30"/>
  <c r="AB155" i="44"/>
  <c r="R155"/>
  <c r="AH155"/>
  <c r="AH132" s="1"/>
  <c r="D155"/>
  <c r="AF155"/>
  <c r="AF132" s="1"/>
  <c r="D458" i="30"/>
  <c r="D481" s="1" a="1"/>
  <c r="D481" s="1"/>
  <c r="G155" i="44"/>
  <c r="AA155"/>
  <c r="N155"/>
  <c r="E458" i="30"/>
  <c r="AD155" i="44"/>
  <c r="AD132" s="1"/>
  <c r="S155"/>
  <c r="I155" i="30"/>
  <c r="E481" a="1"/>
  <c r="E481" s="1"/>
  <c r="AU310" i="23"/>
  <c r="N18" i="46"/>
  <c r="M18"/>
  <c r="AI319" i="23"/>
  <c r="AG319"/>
  <c r="AL319"/>
  <c r="AM319"/>
  <c r="AF319"/>
  <c r="AJ319"/>
  <c r="AN319"/>
  <c r="AE319"/>
  <c r="AH319"/>
  <c r="AK319"/>
  <c r="AI331"/>
  <c r="BF331" s="1"/>
  <c r="AG331"/>
  <c r="BH331" s="1"/>
  <c r="AN331"/>
  <c r="BA331" s="1"/>
  <c r="AM331"/>
  <c r="BB331" s="1"/>
  <c r="AF331"/>
  <c r="AJ331"/>
  <c r="BE331" s="1"/>
  <c r="AL331"/>
  <c r="BC331" s="1"/>
  <c r="AE331"/>
  <c r="AH331"/>
  <c r="BG331" s="1"/>
  <c r="AK331"/>
  <c r="BD331" s="1"/>
  <c r="N17" i="46"/>
  <c r="M17"/>
  <c r="F14" i="23"/>
  <c r="D104" s="1"/>
  <c r="F15"/>
  <c r="D105" s="1"/>
  <c r="M41" i="46"/>
  <c r="N41"/>
  <c r="I150" i="30"/>
  <c r="I14" s="1"/>
  <c r="H150" i="44"/>
  <c r="P150"/>
  <c r="X150"/>
  <c r="AF150"/>
  <c r="AF127" s="1"/>
  <c r="K150"/>
  <c r="I150"/>
  <c r="I14" s="1"/>
  <c r="Y150"/>
  <c r="G150" i="30"/>
  <c r="O150" i="44"/>
  <c r="E132" i="24"/>
  <c r="E150" i="30"/>
  <c r="J150" i="44"/>
  <c r="R150"/>
  <c r="Z150"/>
  <c r="D453"/>
  <c r="D476" s="1" a="1"/>
  <c r="D476" s="1"/>
  <c r="H150" i="30"/>
  <c r="E150" i="44"/>
  <c r="U150"/>
  <c r="E453"/>
  <c r="G150"/>
  <c r="K150" i="30"/>
  <c r="D150" i="44"/>
  <c r="L150"/>
  <c r="T150"/>
  <c r="AB150"/>
  <c r="F150" i="30"/>
  <c r="AA150" i="44"/>
  <c r="Q150"/>
  <c r="AG150"/>
  <c r="AG127" s="1"/>
  <c r="F102" i="23"/>
  <c r="AE150" i="44"/>
  <c r="AE127" s="1"/>
  <c r="D453" i="30"/>
  <c r="F150" i="44"/>
  <c r="N150"/>
  <c r="V150"/>
  <c r="AD150"/>
  <c r="AD127" s="1"/>
  <c r="D150" i="30"/>
  <c r="S150" i="44"/>
  <c r="M150"/>
  <c r="AC150"/>
  <c r="E453" i="30"/>
  <c r="W150" i="44"/>
  <c r="E476" a="1"/>
  <c r="E476" s="1"/>
  <c r="D476" i="30" a="1"/>
  <c r="D476" s="1"/>
  <c r="J150"/>
  <c r="X63" i="46"/>
  <c r="O23" s="1"/>
  <c r="E43" i="23" s="1"/>
  <c r="E21" s="1"/>
  <c r="W76" i="46"/>
  <c r="J36" s="1"/>
  <c r="M36" s="1"/>
  <c r="C960" i="30"/>
  <c r="C480"/>
  <c r="C620"/>
  <c r="C954"/>
  <c r="C148"/>
  <c r="C371"/>
  <c r="C451"/>
  <c r="C474"/>
  <c r="C614"/>
  <c r="C695"/>
  <c r="C718"/>
  <c r="C741"/>
  <c r="C764"/>
  <c r="A228" i="42" s="1"/>
  <c r="C787" i="30"/>
  <c r="C810"/>
  <c r="C833"/>
  <c r="C856"/>
  <c r="C879"/>
  <c r="C902"/>
  <c r="C52"/>
  <c r="C472"/>
  <c r="C950"/>
  <c r="C367"/>
  <c r="C470"/>
  <c r="E204" i="44"/>
  <c r="G204"/>
  <c r="AR26" i="42"/>
  <c r="F407" i="44"/>
  <c r="AT22" i="42"/>
  <c r="H403" i="44"/>
  <c r="AR22" i="42"/>
  <c r="F403" i="44"/>
  <c r="AP22" i="42"/>
  <c r="D403" i="44"/>
  <c r="AT16" i="42"/>
  <c r="H397" i="44"/>
  <c r="AR16" i="42"/>
  <c r="F397" i="44"/>
  <c r="AP16" i="42"/>
  <c r="D397" i="44"/>
  <c r="C956"/>
  <c r="C56"/>
  <c r="C78"/>
  <c r="C150"/>
  <c r="C396"/>
  <c r="C476"/>
  <c r="C522"/>
  <c r="C567"/>
  <c r="C616"/>
  <c r="C954"/>
  <c r="C125"/>
  <c r="C371"/>
  <c r="C451"/>
  <c r="C497"/>
  <c r="C543"/>
  <c r="C589"/>
  <c r="C638"/>
  <c r="C695"/>
  <c r="C718"/>
  <c r="C741"/>
  <c r="C764"/>
  <c r="C787"/>
  <c r="C810"/>
  <c r="C833"/>
  <c r="C856"/>
  <c r="C879"/>
  <c r="C902"/>
  <c r="C952"/>
  <c r="C52"/>
  <c r="C74"/>
  <c r="C123"/>
  <c r="C146"/>
  <c r="C392"/>
  <c r="C472"/>
  <c r="C518"/>
  <c r="C563"/>
  <c r="C612"/>
  <c r="C950"/>
  <c r="C121"/>
  <c r="C367"/>
  <c r="C447"/>
  <c r="C493"/>
  <c r="C539"/>
  <c r="C585"/>
  <c r="C634"/>
  <c r="C691"/>
  <c r="C714"/>
  <c r="C737"/>
  <c r="C760"/>
  <c r="C783"/>
  <c r="C806"/>
  <c r="C829"/>
  <c r="C852"/>
  <c r="C875"/>
  <c r="C898"/>
  <c r="AN150"/>
  <c r="AN127" s="1"/>
  <c r="AP150"/>
  <c r="AP127" s="1"/>
  <c r="AL150"/>
  <c r="AL127" s="1"/>
  <c r="AJ150"/>
  <c r="AJ127" s="1"/>
  <c r="AQ150"/>
  <c r="AQ127" s="1"/>
  <c r="AM150"/>
  <c r="AM127" s="1"/>
  <c r="F138" i="24"/>
  <c r="L138"/>
  <c r="AE138"/>
  <c r="N26" i="46"/>
  <c r="X55"/>
  <c r="O15" s="1"/>
  <c r="Y73"/>
  <c r="P33" s="1"/>
  <c r="F49" i="23" s="1"/>
  <c r="F16" s="1"/>
  <c r="D106" s="1"/>
  <c r="Y77" i="46"/>
  <c r="P37" s="1"/>
  <c r="F48" i="23" s="1"/>
  <c r="F17" s="1"/>
  <c r="D107" s="1"/>
  <c r="Y80" i="46"/>
  <c r="P40" s="1"/>
  <c r="N36"/>
  <c r="D47" i="23" s="1"/>
  <c r="Y64" i="46"/>
  <c r="P24" s="1"/>
  <c r="F55" i="23" s="1"/>
  <c r="F11" s="1"/>
  <c r="D101" s="1"/>
  <c r="Y68" i="46"/>
  <c r="P28" s="1"/>
  <c r="Y72"/>
  <c r="P32" s="1"/>
  <c r="F58" i="23" s="1"/>
  <c r="F25" s="1"/>
  <c r="D115" s="1"/>
  <c r="W77" i="46"/>
  <c r="J37" s="1"/>
  <c r="M37" s="1"/>
  <c r="X64"/>
  <c r="O24" s="1"/>
  <c r="E55" i="23" s="1"/>
  <c r="E11" s="1"/>
  <c r="X349"/>
  <c r="I56" i="46"/>
  <c r="Y56" s="1"/>
  <c r="P16" s="1"/>
  <c r="G56"/>
  <c r="K52"/>
  <c r="N52" s="1"/>
  <c r="X52" s="1"/>
  <c r="O12" s="1"/>
  <c r="E38" i="23" s="1"/>
  <c r="E19" s="1"/>
  <c r="C109" s="1"/>
  <c r="G52" i="46"/>
  <c r="I50"/>
  <c r="Y50" s="1"/>
  <c r="P10" s="1"/>
  <c r="F50" i="23" s="1"/>
  <c r="F12" s="1"/>
  <c r="D102" s="1"/>
  <c r="G50" i="46"/>
  <c r="W50" s="1"/>
  <c r="J10" s="1"/>
  <c r="BM74" i="33"/>
  <c r="BL70" s="1"/>
  <c r="BM73"/>
  <c r="C968" i="30"/>
  <c r="C162"/>
  <c r="C557"/>
  <c r="C967"/>
  <c r="C602"/>
  <c r="F88"/>
  <c r="F406"/>
  <c r="C963"/>
  <c r="C403"/>
  <c r="C704"/>
  <c r="C727"/>
  <c r="C750"/>
  <c r="C773"/>
  <c r="A237" i="42" s="1"/>
  <c r="C796" i="30"/>
  <c r="C819"/>
  <c r="C842"/>
  <c r="C865"/>
  <c r="C888"/>
  <c r="C911"/>
  <c r="E16" i="42"/>
  <c r="G397" i="30"/>
  <c r="C955"/>
  <c r="C126"/>
  <c r="C395"/>
  <c r="C639"/>
  <c r="C953"/>
  <c r="C124"/>
  <c r="C393"/>
  <c r="C637"/>
  <c r="C951"/>
  <c r="C73"/>
  <c r="C391"/>
  <c r="C494"/>
  <c r="C586"/>
  <c r="AS27" i="42"/>
  <c r="G408" i="44"/>
  <c r="AQ25" i="42"/>
  <c r="E88" i="44"/>
  <c r="C966"/>
  <c r="C66"/>
  <c r="C160"/>
  <c r="C406"/>
  <c r="AS24" i="42"/>
  <c r="G405" i="44"/>
  <c r="AQ24" i="42"/>
  <c r="E405" i="44"/>
  <c r="C962"/>
  <c r="C133"/>
  <c r="C402"/>
  <c r="C482"/>
  <c r="C505"/>
  <c r="C528"/>
  <c r="C573"/>
  <c r="C622"/>
  <c r="C703"/>
  <c r="C726"/>
  <c r="C749"/>
  <c r="C772"/>
  <c r="C795"/>
  <c r="C818"/>
  <c r="C841"/>
  <c r="C864"/>
  <c r="C887"/>
  <c r="C910"/>
  <c r="AS20" i="42"/>
  <c r="G401" i="44"/>
  <c r="AQ20" i="42"/>
  <c r="E401" i="44"/>
  <c r="C959"/>
  <c r="C456"/>
  <c r="G181"/>
  <c r="G203" s="1"/>
  <c r="G398"/>
  <c r="A161" i="42"/>
  <c r="A127"/>
  <c r="AS150" i="44"/>
  <c r="AS127" s="1"/>
  <c r="AO150"/>
  <c r="AO127" s="1"/>
  <c r="AK150"/>
  <c r="AK127" s="1"/>
  <c r="AR150"/>
  <c r="AR127" s="1"/>
  <c r="AI150"/>
  <c r="AI127" s="1"/>
  <c r="D660" i="30"/>
  <c r="B176" i="42" s="1"/>
  <c r="W64" i="46"/>
  <c r="J24" s="1"/>
  <c r="M24" s="1"/>
  <c r="W68"/>
  <c r="J28" s="1"/>
  <c r="M28" s="1"/>
  <c r="W72"/>
  <c r="J32" s="1"/>
  <c r="M32" s="1"/>
  <c r="W52"/>
  <c r="J12" s="1"/>
  <c r="M12" s="1"/>
  <c r="W56"/>
  <c r="J16" s="1"/>
  <c r="Y54"/>
  <c r="P14" s="1"/>
  <c r="B94" i="33"/>
  <c r="X81" i="46"/>
  <c r="O41" s="1"/>
  <c r="H177" i="44"/>
  <c r="AB160"/>
  <c r="T160"/>
  <c r="L160"/>
  <c r="H267"/>
  <c r="G267"/>
  <c r="F267"/>
  <c r="E267"/>
  <c r="D267"/>
  <c r="AC138" i="24"/>
  <c r="O138"/>
  <c r="D267" i="30"/>
  <c r="F267"/>
  <c r="H267"/>
  <c r="E267"/>
  <c r="G267"/>
  <c r="V138" i="24"/>
  <c r="W138"/>
  <c r="U138"/>
  <c r="T138"/>
  <c r="R138"/>
  <c r="AA138"/>
  <c r="Y138"/>
  <c r="R159" i="23"/>
  <c r="R208" s="1"/>
  <c r="J138" i="24"/>
  <c r="M138"/>
  <c r="G176" i="44"/>
  <c r="G198" s="1"/>
  <c r="L250" i="23"/>
  <c r="G176" i="30"/>
  <c r="G198" s="1"/>
  <c r="H197" i="44"/>
  <c r="G208"/>
  <c r="G208" i="30"/>
  <c r="F208" i="44"/>
  <c r="H208" i="30"/>
  <c r="H208" i="44"/>
  <c r="H199"/>
  <c r="L279" i="23"/>
  <c r="M279" s="1"/>
  <c r="N279" s="1"/>
  <c r="O279" s="1"/>
  <c r="P279" s="1"/>
  <c r="Q279" s="1"/>
  <c r="R279" s="1"/>
  <c r="S279" s="1"/>
  <c r="T279" s="1"/>
  <c r="U279" s="1"/>
  <c r="V279" s="1"/>
  <c r="W279" s="1"/>
  <c r="X279" s="1"/>
  <c r="Y279" s="1"/>
  <c r="Z279" s="1"/>
  <c r="AA279" s="1"/>
  <c r="AB279" s="1"/>
  <c r="AC279" s="1"/>
  <c r="AD279" s="1"/>
  <c r="AE279" s="1"/>
  <c r="AF279" s="1"/>
  <c r="AG279" s="1"/>
  <c r="F192" i="30"/>
  <c r="F214" s="1"/>
  <c r="K264" i="23"/>
  <c r="F192" i="44"/>
  <c r="F214" s="1"/>
  <c r="E665" i="30"/>
  <c r="C185" i="42" s="1"/>
  <c r="D665" i="30"/>
  <c r="B185" i="42" s="1"/>
  <c r="AR354" i="23"/>
  <c r="AS316"/>
  <c r="BS316"/>
  <c r="BS354" s="1"/>
  <c r="M13" i="46"/>
  <c r="N13"/>
  <c r="Y149" i="23"/>
  <c r="Y198" s="1"/>
  <c r="Z149"/>
  <c r="Z198" s="1"/>
  <c r="N149"/>
  <c r="N198" s="1"/>
  <c r="AC149"/>
  <c r="AC198" s="1"/>
  <c r="M149"/>
  <c r="M198" s="1"/>
  <c r="Q149"/>
  <c r="Q198" s="1"/>
  <c r="R149"/>
  <c r="R198" s="1"/>
  <c r="O149"/>
  <c r="O198" s="1"/>
  <c r="H495" i="44"/>
  <c r="G495"/>
  <c r="G495" i="30"/>
  <c r="H158" i="23"/>
  <c r="H207" s="1"/>
  <c r="AD158"/>
  <c r="AD207" s="1"/>
  <c r="N150"/>
  <c r="N199" s="1"/>
  <c r="AD150"/>
  <c r="AD199" s="1"/>
  <c r="D500" i="44"/>
  <c r="F500" i="30"/>
  <c r="F500" i="44"/>
  <c r="E500" i="30"/>
  <c r="G500" i="44"/>
  <c r="D500" i="30"/>
  <c r="H500"/>
  <c r="H500" i="44"/>
  <c r="C103" i="23"/>
  <c r="F506" i="44"/>
  <c r="G506"/>
  <c r="D506" i="30"/>
  <c r="D506" i="44"/>
  <c r="G506" i="30"/>
  <c r="M38" i="46"/>
  <c r="N38"/>
  <c r="D51" i="23" s="1"/>
  <c r="N15" i="46"/>
  <c r="M15"/>
  <c r="M22"/>
  <c r="N22"/>
  <c r="D42" i="23" s="1"/>
  <c r="M30" i="46"/>
  <c r="N30"/>
  <c r="D39" i="23" s="1"/>
  <c r="D8" s="1"/>
  <c r="I70" s="1"/>
  <c r="N40" i="46"/>
  <c r="M40"/>
  <c r="H159" i="23"/>
  <c r="H208" s="1"/>
  <c r="O159"/>
  <c r="O208" s="1"/>
  <c r="AG159"/>
  <c r="AG208" s="1"/>
  <c r="AF159"/>
  <c r="AF208" s="1"/>
  <c r="M19" i="46"/>
  <c r="N19"/>
  <c r="D53" i="23" s="1"/>
  <c r="D7" s="1"/>
  <c r="I69" s="1"/>
  <c r="AR333"/>
  <c r="K110" i="24"/>
  <c r="O110"/>
  <c r="Q155" i="23" s="1"/>
  <c r="Q204" s="1"/>
  <c r="AH110" i="24"/>
  <c r="BN110"/>
  <c r="BY110"/>
  <c r="M110"/>
  <c r="O155" i="23" s="1"/>
  <c r="O204" s="1"/>
  <c r="P110" i="24"/>
  <c r="CB110"/>
  <c r="G110"/>
  <c r="AJ110"/>
  <c r="BM110"/>
  <c r="G187" i="30"/>
  <c r="G209" s="1"/>
  <c r="D187" i="44"/>
  <c r="D209" s="1"/>
  <c r="H187" i="30"/>
  <c r="H209" s="1"/>
  <c r="F187"/>
  <c r="F209" s="1"/>
  <c r="G187" i="44"/>
  <c r="G209" s="1"/>
  <c r="E187"/>
  <c r="E187" i="30"/>
  <c r="E209" s="1"/>
  <c r="F187" i="44"/>
  <c r="F209" s="1"/>
  <c r="E110" i="23"/>
  <c r="H187" i="44"/>
  <c r="H209" s="1"/>
  <c r="D187" i="30"/>
  <c r="D209" s="1"/>
  <c r="E209" i="44"/>
  <c r="I154"/>
  <c r="I18" s="1"/>
  <c r="Y154"/>
  <c r="H154"/>
  <c r="P154"/>
  <c r="X154"/>
  <c r="AF154"/>
  <c r="AF131" s="1"/>
  <c r="D457"/>
  <c r="D480" s="1" a="1"/>
  <c r="D480" s="1"/>
  <c r="W154"/>
  <c r="M154"/>
  <c r="AC154"/>
  <c r="F154" i="30"/>
  <c r="G154" i="44"/>
  <c r="AA154"/>
  <c r="H154" i="30"/>
  <c r="E154"/>
  <c r="V154" i="44"/>
  <c r="S154"/>
  <c r="D154"/>
  <c r="L154"/>
  <c r="T154"/>
  <c r="AB154"/>
  <c r="AJ154"/>
  <c r="AJ131" s="1"/>
  <c r="G154" i="30"/>
  <c r="E154" i="44"/>
  <c r="U154"/>
  <c r="AK154"/>
  <c r="AK131" s="1"/>
  <c r="E136" i="24"/>
  <c r="O154" i="44"/>
  <c r="D154" i="30"/>
  <c r="AI154" i="44"/>
  <c r="AI131" s="1"/>
  <c r="E457" i="30"/>
  <c r="E480" s="1" a="1"/>
  <c r="E480" s="1"/>
  <c r="Q154" i="44"/>
  <c r="I154" i="30"/>
  <c r="I18" s="1"/>
  <c r="Z154" i="44"/>
  <c r="J154"/>
  <c r="E121" i="24"/>
  <c r="G9" i="30"/>
  <c r="E7" i="47"/>
  <c r="G9" i="44"/>
  <c r="G431" s="1"/>
  <c r="AS67" i="42" s="1"/>
  <c r="Z159" i="23"/>
  <c r="Z208" s="1"/>
  <c r="AE159"/>
  <c r="AE208" s="1"/>
  <c r="AD159"/>
  <c r="AD208" s="1"/>
  <c r="M159"/>
  <c r="M208" s="1"/>
  <c r="Q159"/>
  <c r="Q208" s="1"/>
  <c r="S159"/>
  <c r="S208" s="1"/>
  <c r="N159"/>
  <c r="N208" s="1"/>
  <c r="U159"/>
  <c r="U208" s="1"/>
  <c r="G177" i="30"/>
  <c r="G199" s="1"/>
  <c r="Y61" i="46"/>
  <c r="P21" s="1"/>
  <c r="F54" i="23" s="1"/>
  <c r="F10" s="1"/>
  <c r="D100" s="1"/>
  <c r="X76" i="46"/>
  <c r="O36" s="1"/>
  <c r="E47" i="23" s="1"/>
  <c r="E18" s="1"/>
  <c r="X72" i="46"/>
  <c r="O32" s="1"/>
  <c r="E58" i="23" s="1"/>
  <c r="E25" s="1"/>
  <c r="B64" i="44"/>
  <c r="B64" i="30"/>
  <c r="B21" i="33"/>
  <c r="X21" s="1"/>
  <c r="B80"/>
  <c r="X80" s="1"/>
  <c r="E111" i="23"/>
  <c r="E188" i="30"/>
  <c r="E210" s="1"/>
  <c r="G188" i="44"/>
  <c r="G210" s="1"/>
  <c r="E98" i="23"/>
  <c r="G175" i="44"/>
  <c r="G197" s="1"/>
  <c r="H175" i="30"/>
  <c r="H197" s="1"/>
  <c r="D9" i="47"/>
  <c r="F11" i="44"/>
  <c r="F11" i="30"/>
  <c r="J159" i="23"/>
  <c r="J208" s="1"/>
  <c r="I159"/>
  <c r="AB159"/>
  <c r="AB208" s="1"/>
  <c r="AA159"/>
  <c r="T159"/>
  <c r="T208" s="1"/>
  <c r="K159"/>
  <c r="L159"/>
  <c r="L208" s="1"/>
  <c r="E480" i="44" a="1"/>
  <c r="E480" s="1"/>
  <c r="N37" i="46"/>
  <c r="D48" i="23" s="1"/>
  <c r="D17" s="1"/>
  <c r="I79" s="1"/>
  <c r="N23" i="46"/>
  <c r="D43" i="23" s="1"/>
  <c r="D21" s="1"/>
  <c r="I83" s="1"/>
  <c r="N20" i="46"/>
  <c r="D52" i="23" s="1"/>
  <c r="D6" s="1"/>
  <c r="I68" s="1"/>
  <c r="F447" i="30" s="1"/>
  <c r="F470" s="1" a="1"/>
  <c r="F470" s="1"/>
  <c r="I23" i="44"/>
  <c r="I508" s="1"/>
  <c r="R356" i="23"/>
  <c r="AU159" i="44"/>
  <c r="AU136" s="1"/>
  <c r="AS159"/>
  <c r="AS136" s="1"/>
  <c r="AQ159"/>
  <c r="AQ136" s="1"/>
  <c r="AO159"/>
  <c r="AO136" s="1"/>
  <c r="B35" i="33"/>
  <c r="N33" i="46"/>
  <c r="D49" i="23" s="1"/>
  <c r="D16" s="1"/>
  <c r="I78" s="1"/>
  <c r="N24" i="46"/>
  <c r="D55" i="23" s="1"/>
  <c r="D11" s="1"/>
  <c r="I73" s="1"/>
  <c r="M27" i="46"/>
  <c r="S357" i="23"/>
  <c r="AV159" i="30"/>
  <c r="AV136" s="1"/>
  <c r="AT159"/>
  <c r="AT136" s="1"/>
  <c r="AR159"/>
  <c r="AR136" s="1"/>
  <c r="AP159"/>
  <c r="AP136" s="1"/>
  <c r="AN159"/>
  <c r="AN136" s="1"/>
  <c r="Q486" a="1"/>
  <c r="Q486" s="1"/>
  <c r="R160"/>
  <c r="R486" a="1"/>
  <c r="R486" s="1"/>
  <c r="S486" i="44" a="1"/>
  <c r="S486" s="1"/>
  <c r="S160"/>
  <c r="Y486" i="30" a="1"/>
  <c r="Y486" s="1"/>
  <c r="Z160"/>
  <c r="Z486" a="1"/>
  <c r="Z486" s="1"/>
  <c r="K486" i="44" a="1"/>
  <c r="K486" s="1"/>
  <c r="K160"/>
  <c r="J160" i="30"/>
  <c r="J486" a="1"/>
  <c r="J486" s="1"/>
  <c r="I486" a="1"/>
  <c r="I486" s="1"/>
  <c r="AA160" i="44"/>
  <c r="AA486" a="1"/>
  <c r="AA486" s="1"/>
  <c r="N160" i="30"/>
  <c r="N486" a="1"/>
  <c r="N486" s="1"/>
  <c r="O160" i="44"/>
  <c r="V160" i="30"/>
  <c r="V486" a="1"/>
  <c r="V486" s="1"/>
  <c r="W160" i="44"/>
  <c r="W486" a="1"/>
  <c r="W486" s="1"/>
  <c r="AB160" i="30"/>
  <c r="AA486" a="1"/>
  <c r="AA486" s="1"/>
  <c r="S486" a="1"/>
  <c r="S486" s="1"/>
  <c r="T160"/>
  <c r="L160"/>
  <c r="K486" a="1"/>
  <c r="K486" s="1"/>
  <c r="Y160" i="44"/>
  <c r="Y486" a="1"/>
  <c r="Y486" s="1"/>
  <c r="X486" a="1"/>
  <c r="X486" s="1"/>
  <c r="V486" a="1"/>
  <c r="V486" s="1"/>
  <c r="V160"/>
  <c r="Q486" a="1"/>
  <c r="Q486" s="1"/>
  <c r="Q160"/>
  <c r="N160"/>
  <c r="N486" a="1"/>
  <c r="N486" s="1"/>
  <c r="I486" a="1"/>
  <c r="I486" s="1"/>
  <c r="I160"/>
  <c r="I24" s="1"/>
  <c r="I88" s="1"/>
  <c r="H486" a="1"/>
  <c r="H486" s="1"/>
  <c r="W486" i="30" a="1"/>
  <c r="W486" s="1"/>
  <c r="X160"/>
  <c r="X486" a="1"/>
  <c r="X486" s="1"/>
  <c r="O486" a="1"/>
  <c r="O486" s="1"/>
  <c r="P486" a="1"/>
  <c r="P486" s="1"/>
  <c r="P160"/>
  <c r="AC160" i="44"/>
  <c r="AB486" a="1"/>
  <c r="AB486" s="1"/>
  <c r="Z486" a="1"/>
  <c r="Z486" s="1"/>
  <c r="Z160"/>
  <c r="U160"/>
  <c r="U486" a="1"/>
  <c r="U486" s="1"/>
  <c r="T486" a="1"/>
  <c r="T486" s="1"/>
  <c r="R486" a="1"/>
  <c r="R486" s="1"/>
  <c r="R160"/>
  <c r="M160"/>
  <c r="L486" a="1"/>
  <c r="L486" s="1"/>
  <c r="M486" a="1"/>
  <c r="M486" s="1"/>
  <c r="J160"/>
  <c r="J486" a="1"/>
  <c r="J486" s="1"/>
  <c r="BQ317" i="23"/>
  <c r="AT349"/>
  <c r="AT348"/>
  <c r="AU317"/>
  <c r="AK318"/>
  <c r="AI318"/>
  <c r="AG318"/>
  <c r="AN318"/>
  <c r="AL318"/>
  <c r="AE318"/>
  <c r="AJ318"/>
  <c r="AH318"/>
  <c r="AF318"/>
  <c r="AM318"/>
  <c r="AK325"/>
  <c r="AE325"/>
  <c r="AH325"/>
  <c r="AF325"/>
  <c r="AI325"/>
  <c r="AN325"/>
  <c r="AM325"/>
  <c r="AG325"/>
  <c r="AL325"/>
  <c r="AJ325"/>
  <c r="AO83"/>
  <c r="W83"/>
  <c r="V83"/>
  <c r="J83"/>
  <c r="AU83"/>
  <c r="AT83"/>
  <c r="T83"/>
  <c r="AH83"/>
  <c r="M83"/>
  <c r="AF83"/>
  <c r="Q83"/>
  <c r="AB83"/>
  <c r="AX83"/>
  <c r="U83"/>
  <c r="AN83"/>
  <c r="AA83"/>
  <c r="AG83"/>
  <c r="AZ83"/>
  <c r="AY83"/>
  <c r="AS83"/>
  <c r="AE83"/>
  <c r="AD83"/>
  <c r="AM312"/>
  <c r="AL312"/>
  <c r="AG312"/>
  <c r="AF312"/>
  <c r="AN312"/>
  <c r="AI312"/>
  <c r="AH312"/>
  <c r="AE312"/>
  <c r="AK312"/>
  <c r="AJ312"/>
  <c r="AG309"/>
  <c r="AN309"/>
  <c r="AM309"/>
  <c r="AJ309"/>
  <c r="AL309"/>
  <c r="AK309"/>
  <c r="AE309"/>
  <c r="AH309"/>
  <c r="AI309"/>
  <c r="AF309"/>
  <c r="AE314"/>
  <c r="AJ314"/>
  <c r="AH314"/>
  <c r="AF314"/>
  <c r="AM314"/>
  <c r="AK314"/>
  <c r="AI314"/>
  <c r="AG314"/>
  <c r="AN314"/>
  <c r="AL314"/>
  <c r="S78"/>
  <c r="AY78"/>
  <c r="AP78"/>
  <c r="AW78"/>
  <c r="M78"/>
  <c r="AF78"/>
  <c r="X78"/>
  <c r="J78"/>
  <c r="AO78"/>
  <c r="AL78"/>
  <c r="AU78"/>
  <c r="AA78"/>
  <c r="R78"/>
  <c r="AX78"/>
  <c r="T78"/>
  <c r="Y78"/>
  <c r="AV78"/>
  <c r="AS78"/>
  <c r="AR78"/>
  <c r="U78"/>
  <c r="AD78"/>
  <c r="AM78"/>
  <c r="O78"/>
  <c r="AI78"/>
  <c r="Z78"/>
  <c r="F457" i="30"/>
  <c r="AJ78" i="23"/>
  <c r="AK78"/>
  <c r="F457" i="44"/>
  <c r="AE78" i="23"/>
  <c r="AB78"/>
  <c r="K78"/>
  <c r="V78"/>
  <c r="AC78"/>
  <c r="AQ78"/>
  <c r="AH78"/>
  <c r="AG78"/>
  <c r="AZ78"/>
  <c r="L78"/>
  <c r="AN78"/>
  <c r="Q78"/>
  <c r="P78"/>
  <c r="AT78"/>
  <c r="N78"/>
  <c r="W78"/>
  <c r="AM320"/>
  <c r="AL320"/>
  <c r="AG320"/>
  <c r="AF320"/>
  <c r="AN320"/>
  <c r="AI320"/>
  <c r="AH320"/>
  <c r="AE320"/>
  <c r="AK320"/>
  <c r="AJ320"/>
  <c r="AG330"/>
  <c r="AE330"/>
  <c r="AJ330"/>
  <c r="AL330"/>
  <c r="AF330"/>
  <c r="AH330"/>
  <c r="AK330"/>
  <c r="AM330"/>
  <c r="BB330" s="1"/>
  <c r="AI330"/>
  <c r="AN330"/>
  <c r="BA330" s="1"/>
  <c r="AE311"/>
  <c r="AK311"/>
  <c r="BD311" s="1"/>
  <c r="AL311"/>
  <c r="AI311"/>
  <c r="AM311"/>
  <c r="AJ311"/>
  <c r="AH311"/>
  <c r="AG311"/>
  <c r="AN311"/>
  <c r="AF311"/>
  <c r="AQ313"/>
  <c r="AR313" s="1"/>
  <c r="U356"/>
  <c r="BA357"/>
  <c r="BA356"/>
  <c r="BA358"/>
  <c r="BS327"/>
  <c r="AE332"/>
  <c r="AH332"/>
  <c r="AN332"/>
  <c r="AM332"/>
  <c r="AL332"/>
  <c r="AK332"/>
  <c r="AJ332"/>
  <c r="AG332"/>
  <c r="AI332"/>
  <c r="AF332"/>
  <c r="AU342"/>
  <c r="AI322"/>
  <c r="AF322"/>
  <c r="AH322"/>
  <c r="AN322"/>
  <c r="AF326"/>
  <c r="AM326"/>
  <c r="AE326"/>
  <c r="AJ326"/>
  <c r="AH326"/>
  <c r="AG326"/>
  <c r="AN326"/>
  <c r="AL326"/>
  <c r="AK326"/>
  <c r="AI326"/>
  <c r="BH309"/>
  <c r="BH353" s="1"/>
  <c r="AG353"/>
  <c r="AH324"/>
  <c r="AM324"/>
  <c r="AG324"/>
  <c r="AN324"/>
  <c r="AL324"/>
  <c r="AG328"/>
  <c r="AK328"/>
  <c r="AH328"/>
  <c r="AJ328"/>
  <c r="AM86"/>
  <c r="AX86"/>
  <c r="AY86"/>
  <c r="S86"/>
  <c r="AD86"/>
  <c r="J86"/>
  <c r="AK86"/>
  <c r="U86"/>
  <c r="AV86"/>
  <c r="AF86"/>
  <c r="P86"/>
  <c r="AZ86"/>
  <c r="AL86"/>
  <c r="AU86"/>
  <c r="Y86"/>
  <c r="AA86"/>
  <c r="W86"/>
  <c r="AH86"/>
  <c r="AI86"/>
  <c r="AT86"/>
  <c r="R86"/>
  <c r="AS86"/>
  <c r="AC86"/>
  <c r="M86"/>
  <c r="AN86"/>
  <c r="X86"/>
  <c r="AG321"/>
  <c r="AF321"/>
  <c r="AL321"/>
  <c r="AI321"/>
  <c r="AJ321"/>
  <c r="AK321"/>
  <c r="AN321"/>
  <c r="AE321"/>
  <c r="AM321"/>
  <c r="AH321"/>
  <c r="I17" i="44"/>
  <c r="I399" s="1"/>
  <c r="S165" i="23"/>
  <c r="V165"/>
  <c r="E470" i="44" a="1"/>
  <c r="E470" s="1"/>
  <c r="E678" s="1"/>
  <c r="BX185" i="42" s="1"/>
  <c r="H504" i="30"/>
  <c r="E504"/>
  <c r="D504"/>
  <c r="F504" i="44"/>
  <c r="C107" i="23"/>
  <c r="E504" i="44"/>
  <c r="D504"/>
  <c r="H504"/>
  <c r="G504" i="30"/>
  <c r="G504" i="44"/>
  <c r="F504" i="30"/>
  <c r="X69" i="23"/>
  <c r="O69"/>
  <c r="AU69"/>
  <c r="AH69"/>
  <c r="Y69"/>
  <c r="L69"/>
  <c r="AR69"/>
  <c r="AI69"/>
  <c r="V69"/>
  <c r="M69"/>
  <c r="AS69"/>
  <c r="AF69"/>
  <c r="W69"/>
  <c r="K69"/>
  <c r="AP69"/>
  <c r="AG69"/>
  <c r="T69"/>
  <c r="AZ69"/>
  <c r="AQ69"/>
  <c r="AD69"/>
  <c r="U69"/>
  <c r="J69"/>
  <c r="F448" i="44"/>
  <c r="F448" i="30"/>
  <c r="AN69" i="23"/>
  <c r="AE69"/>
  <c r="R69"/>
  <c r="AX69"/>
  <c r="AO69"/>
  <c r="AB69"/>
  <c r="S69"/>
  <c r="AY69"/>
  <c r="AL69"/>
  <c r="AC69"/>
  <c r="P69"/>
  <c r="AV69"/>
  <c r="AM69"/>
  <c r="Z69"/>
  <c r="Q69"/>
  <c r="AW69"/>
  <c r="AJ69"/>
  <c r="AA69"/>
  <c r="N69"/>
  <c r="AT69"/>
  <c r="AK69"/>
  <c r="BK106" i="24"/>
  <c r="BA106"/>
  <c r="CG106"/>
  <c r="AA106"/>
  <c r="R106"/>
  <c r="T151" i="23" s="1"/>
  <c r="T200" s="1"/>
  <c r="AH106" i="24"/>
  <c r="AX106"/>
  <c r="BN106"/>
  <c r="CD106"/>
  <c r="AC106"/>
  <c r="AE151" i="23" s="1"/>
  <c r="AE200" s="1"/>
  <c r="S106" i="24"/>
  <c r="BE106"/>
  <c r="BG106"/>
  <c r="AJ106"/>
  <c r="BP106"/>
  <c r="Q106"/>
  <c r="S151" i="23" s="1"/>
  <c r="S200" s="1"/>
  <c r="W106" i="24"/>
  <c r="BW106"/>
  <c r="H106"/>
  <c r="J151" i="23" s="1"/>
  <c r="J200" s="1"/>
  <c r="AN106" i="24"/>
  <c r="BT106"/>
  <c r="Y106"/>
  <c r="AA151" i="23" s="1"/>
  <c r="AA200" s="1"/>
  <c r="O106" i="24"/>
  <c r="Q151" i="23" s="1"/>
  <c r="Q200" s="1"/>
  <c r="BI106" i="24"/>
  <c r="CE106"/>
  <c r="F106"/>
  <c r="H151" i="23" s="1"/>
  <c r="H200" s="1"/>
  <c r="V106" i="24"/>
  <c r="X151" i="23" s="1"/>
  <c r="X200" s="1"/>
  <c r="AL106" i="24"/>
  <c r="BB106"/>
  <c r="BR106"/>
  <c r="CH106"/>
  <c r="U106"/>
  <c r="W151" i="23" s="1"/>
  <c r="W200" s="1"/>
  <c r="CA106" i="24"/>
  <c r="BU106"/>
  <c r="L106"/>
  <c r="N151" i="23" s="1"/>
  <c r="N200" s="1"/>
  <c r="AR106" i="24"/>
  <c r="BX106"/>
  <c r="BC106"/>
  <c r="AW106"/>
  <c r="AQ106"/>
  <c r="P106"/>
  <c r="R151" i="23" s="1"/>
  <c r="R200" s="1"/>
  <c r="AV106" i="24"/>
  <c r="CB106"/>
  <c r="B7" i="33"/>
  <c r="B50" i="30"/>
  <c r="B57"/>
  <c r="B73" i="33"/>
  <c r="X73" s="1"/>
  <c r="CF104" i="24"/>
  <c r="R104"/>
  <c r="AX104"/>
  <c r="CD104"/>
  <c r="BD104"/>
  <c r="I104"/>
  <c r="Y104"/>
  <c r="AO104"/>
  <c r="BE104"/>
  <c r="BU104"/>
  <c r="CK104"/>
  <c r="D184" i="30"/>
  <c r="D206" s="1"/>
  <c r="F184"/>
  <c r="F206" s="1"/>
  <c r="E107" i="23"/>
  <c r="F184" i="44"/>
  <c r="F206" s="1"/>
  <c r="G184"/>
  <c r="G206" s="1"/>
  <c r="G184" i="30"/>
  <c r="G206" s="1"/>
  <c r="BC116" i="24"/>
  <c r="CM116"/>
  <c r="T116"/>
  <c r="AX116"/>
  <c r="BR116"/>
  <c r="G116"/>
  <c r="R116"/>
  <c r="BL116"/>
  <c r="BS116"/>
  <c r="AN116"/>
  <c r="AC116"/>
  <c r="AA116"/>
  <c r="BI116"/>
  <c r="X116"/>
  <c r="BF116"/>
  <c r="BJ116"/>
  <c r="I116"/>
  <c r="AJ116"/>
  <c r="AK116"/>
  <c r="CG116"/>
  <c r="BD116"/>
  <c r="CK116"/>
  <c r="AQ116"/>
  <c r="CE116"/>
  <c r="AE116"/>
  <c r="P116"/>
  <c r="AD116"/>
  <c r="AT116"/>
  <c r="CL116"/>
  <c r="BV116"/>
  <c r="BE116"/>
  <c r="U116"/>
  <c r="AI116"/>
  <c r="J116"/>
  <c r="AR116"/>
  <c r="BT116"/>
  <c r="Y116"/>
  <c r="AY116"/>
  <c r="AU116"/>
  <c r="AF116"/>
  <c r="CF116"/>
  <c r="AS116"/>
  <c r="I185"/>
  <c r="J159" i="44"/>
  <c r="R159"/>
  <c r="Z159"/>
  <c r="AH159"/>
  <c r="AH136" s="1"/>
  <c r="AP159"/>
  <c r="AP136" s="1"/>
  <c r="D462"/>
  <c r="G159" i="30"/>
  <c r="AI159" i="44"/>
  <c r="AI136" s="1"/>
  <c r="Q159"/>
  <c r="AG159"/>
  <c r="AG136" s="1"/>
  <c r="F159" i="30"/>
  <c r="K159" i="44"/>
  <c r="D159" i="30"/>
  <c r="H159"/>
  <c r="D159" i="44"/>
  <c r="L159"/>
  <c r="T159"/>
  <c r="AB159"/>
  <c r="AJ159"/>
  <c r="AJ136" s="1"/>
  <c r="AR159"/>
  <c r="AR136" s="1"/>
  <c r="E159" i="30"/>
  <c r="AA159" i="44"/>
  <c r="M159"/>
  <c r="AC159"/>
  <c r="E462"/>
  <c r="G159"/>
  <c r="AE159"/>
  <c r="AE136" s="1"/>
  <c r="AW159"/>
  <c r="AW136" s="1"/>
  <c r="E471" a="1"/>
  <c r="E471" s="1"/>
  <c r="E665" s="1"/>
  <c r="AQ185" i="42" s="1"/>
  <c r="G160" i="44"/>
  <c r="AI160"/>
  <c r="AI137" s="1"/>
  <c r="AN160"/>
  <c r="AN137" s="1"/>
  <c r="K149"/>
  <c r="AA149"/>
  <c r="I149" i="30"/>
  <c r="I13" s="1"/>
  <c r="G14" i="42" s="1"/>
  <c r="X149" i="44"/>
  <c r="E131" i="24"/>
  <c r="D149" i="30"/>
  <c r="O149" i="44"/>
  <c r="AE149"/>
  <c r="AE126" s="1"/>
  <c r="Z149"/>
  <c r="AF149"/>
  <c r="AF126" s="1"/>
  <c r="V149"/>
  <c r="AD149"/>
  <c r="AD126" s="1"/>
  <c r="G149"/>
  <c r="E452"/>
  <c r="E475" s="1" a="1"/>
  <c r="E475" s="1"/>
  <c r="T149"/>
  <c r="E149"/>
  <c r="G149" i="30"/>
  <c r="AG149" i="44"/>
  <c r="AG126" s="1"/>
  <c r="Y149"/>
  <c r="Q149"/>
  <c r="H149"/>
  <c r="J145"/>
  <c r="R145"/>
  <c r="Z145"/>
  <c r="AH145"/>
  <c r="AH128" s="1"/>
  <c r="AP145"/>
  <c r="E145" i="30"/>
  <c r="K145" i="44"/>
  <c r="AM145"/>
  <c r="M145"/>
  <c r="AC145"/>
  <c r="AS145"/>
  <c r="S145"/>
  <c r="H145" i="30"/>
  <c r="D145" i="44"/>
  <c r="L145"/>
  <c r="T145"/>
  <c r="AB145"/>
  <c r="AJ145"/>
  <c r="AR145"/>
  <c r="G145" i="30"/>
  <c r="O145" i="44"/>
  <c r="AU145"/>
  <c r="Q145"/>
  <c r="AG145"/>
  <c r="AW145"/>
  <c r="AA145"/>
  <c r="D145" i="30"/>
  <c r="E180" i="44"/>
  <c r="E202" s="1"/>
  <c r="F180"/>
  <c r="F202" s="1"/>
  <c r="F180" i="30"/>
  <c r="F202" s="1"/>
  <c r="E103" i="23"/>
  <c r="D202" i="30"/>
  <c r="H202"/>
  <c r="G202" i="44"/>
  <c r="G498"/>
  <c r="H498" i="30"/>
  <c r="H498" i="44"/>
  <c r="B69"/>
  <c r="B69" i="30"/>
  <c r="G178" i="44"/>
  <c r="G200" s="1"/>
  <c r="B77" i="33"/>
  <c r="X77" s="1"/>
  <c r="B18"/>
  <c r="X18" s="1"/>
  <c r="B61" i="30"/>
  <c r="B61" i="44"/>
  <c r="F471" i="30" a="1"/>
  <c r="F471" s="1"/>
  <c r="X71" i="23"/>
  <c r="Q71"/>
  <c r="AW71"/>
  <c r="AI71"/>
  <c r="AT71"/>
  <c r="L71"/>
  <c r="AR71"/>
  <c r="AK71"/>
  <c r="AH71"/>
  <c r="F450" i="30"/>
  <c r="M71" i="23"/>
  <c r="P71"/>
  <c r="AV71"/>
  <c r="AO71"/>
  <c r="Z71"/>
  <c r="AY71"/>
  <c r="O71"/>
  <c r="T71"/>
  <c r="AZ71"/>
  <c r="AS71"/>
  <c r="AX71"/>
  <c r="AL71"/>
  <c r="K71"/>
  <c r="AN71"/>
  <c r="AG71"/>
  <c r="AP71"/>
  <c r="N71"/>
  <c r="AE71"/>
  <c r="AB71"/>
  <c r="U71"/>
  <c r="J71"/>
  <c r="AA71"/>
  <c r="V71"/>
  <c r="AM71"/>
  <c r="AF71"/>
  <c r="Y71"/>
  <c r="F450" i="44"/>
  <c r="S71" i="23"/>
  <c r="AD71"/>
  <c r="AU71"/>
  <c r="AJ71"/>
  <c r="AC71"/>
  <c r="R71"/>
  <c r="AQ71"/>
  <c r="W71"/>
  <c r="M70"/>
  <c r="AF70"/>
  <c r="AP70"/>
  <c r="K70"/>
  <c r="R70"/>
  <c r="T70"/>
  <c r="AG70"/>
  <c r="J70"/>
  <c r="AM70"/>
  <c r="O70"/>
  <c r="AR70"/>
  <c r="U70"/>
  <c r="P70"/>
  <c r="AY70"/>
  <c r="AT70"/>
  <c r="AX70"/>
  <c r="AJ70"/>
  <c r="Q70"/>
  <c r="AN70"/>
  <c r="F449" i="44"/>
  <c r="AD70" i="23"/>
  <c r="AH70"/>
  <c r="AK70"/>
  <c r="AO70"/>
  <c r="S70"/>
  <c r="N70"/>
  <c r="AE70"/>
  <c r="AZ70"/>
  <c r="AC70"/>
  <c r="X70"/>
  <c r="Z70"/>
  <c r="AL70"/>
  <c r="AQ70"/>
  <c r="L70"/>
  <c r="Y70"/>
  <c r="AV70"/>
  <c r="W70"/>
  <c r="V70"/>
  <c r="AA70"/>
  <c r="AS70"/>
  <c r="AW70"/>
  <c r="AI70"/>
  <c r="AU70"/>
  <c r="F449" i="30"/>
  <c r="AB70" i="23"/>
  <c r="H173" i="30"/>
  <c r="H195" s="1"/>
  <c r="T73" i="23"/>
  <c r="AZ73"/>
  <c r="AQ73"/>
  <c r="AP73"/>
  <c r="N73"/>
  <c r="AK73"/>
  <c r="AL73"/>
  <c r="Y73"/>
  <c r="K73"/>
  <c r="W73"/>
  <c r="AF73"/>
  <c r="AB73"/>
  <c r="S73"/>
  <c r="AY73"/>
  <c r="Q73"/>
  <c r="AD73"/>
  <c r="J73"/>
  <c r="M73"/>
  <c r="AO73"/>
  <c r="R73"/>
  <c r="AE73"/>
  <c r="AN73"/>
  <c r="P73"/>
  <c r="AJ73"/>
  <c r="AA73"/>
  <c r="F452" i="30"/>
  <c r="AG73" i="23"/>
  <c r="AT73"/>
  <c r="AC73"/>
  <c r="F452" i="44"/>
  <c r="AH73" i="23"/>
  <c r="AM73"/>
  <c r="AV73"/>
  <c r="L73"/>
  <c r="AR73"/>
  <c r="AI73"/>
  <c r="Z73"/>
  <c r="AW73"/>
  <c r="U73"/>
  <c r="AS73"/>
  <c r="V73"/>
  <c r="AX73"/>
  <c r="AU73"/>
  <c r="O73"/>
  <c r="X73"/>
  <c r="M72"/>
  <c r="AS72"/>
  <c r="AJ72"/>
  <c r="AA72"/>
  <c r="AX72"/>
  <c r="V72"/>
  <c r="AD72"/>
  <c r="F451" i="30"/>
  <c r="AI72" i="23"/>
  <c r="AN72"/>
  <c r="AW72"/>
  <c r="S72"/>
  <c r="L72"/>
  <c r="AR72"/>
  <c r="AQ72"/>
  <c r="U72"/>
  <c r="AL72"/>
  <c r="N72"/>
  <c r="AP72"/>
  <c r="Q72"/>
  <c r="AF72"/>
  <c r="AO72"/>
  <c r="O72"/>
  <c r="AC72"/>
  <c r="T72"/>
  <c r="AZ72"/>
  <c r="R72"/>
  <c r="AE72"/>
  <c r="K72"/>
  <c r="AM72"/>
  <c r="Z72"/>
  <c r="J72"/>
  <c r="X72"/>
  <c r="AG72"/>
  <c r="AK72"/>
  <c r="AB72"/>
  <c r="F451" i="44"/>
  <c r="AH72" i="23"/>
  <c r="AU72"/>
  <c r="AT72"/>
  <c r="W72"/>
  <c r="AY72"/>
  <c r="AV72"/>
  <c r="P72"/>
  <c r="Y72"/>
  <c r="G503" i="44"/>
  <c r="G503" i="30"/>
  <c r="D503" i="44"/>
  <c r="F503"/>
  <c r="H503"/>
  <c r="C106" i="23"/>
  <c r="F503" i="30"/>
  <c r="D503"/>
  <c r="E503" i="44"/>
  <c r="H503" i="30"/>
  <c r="E503"/>
  <c r="O68" i="23"/>
  <c r="AA68"/>
  <c r="AQ68"/>
  <c r="R68"/>
  <c r="AH68"/>
  <c r="AX68"/>
  <c r="AG68"/>
  <c r="X68"/>
  <c r="J68"/>
  <c r="AK68"/>
  <c r="AB68"/>
  <c r="AZ68"/>
  <c r="T68"/>
  <c r="AC68"/>
  <c r="AV68"/>
  <c r="P68"/>
  <c r="Y68"/>
  <c r="AT68"/>
  <c r="AD68"/>
  <c r="N68"/>
  <c r="AM68"/>
  <c r="W68"/>
  <c r="S68"/>
  <c r="AI68"/>
  <c r="AY68"/>
  <c r="Z68"/>
  <c r="AP68"/>
  <c r="Q68"/>
  <c r="AW68"/>
  <c r="AN68"/>
  <c r="U68"/>
  <c r="L68"/>
  <c r="AR68"/>
  <c r="AJ68"/>
  <c r="AS68"/>
  <c r="M68"/>
  <c r="AF68"/>
  <c r="AO68"/>
  <c r="K68"/>
  <c r="AL68"/>
  <c r="V68"/>
  <c r="AU68"/>
  <c r="AE68"/>
  <c r="F447" i="44"/>
  <c r="Y83" i="23"/>
  <c r="L83"/>
  <c r="AR83"/>
  <c r="R83"/>
  <c r="AI83"/>
  <c r="K83"/>
  <c r="AK83"/>
  <c r="X83"/>
  <c r="F462" i="30"/>
  <c r="AP83" i="23"/>
  <c r="N83"/>
  <c r="O83"/>
  <c r="AW83"/>
  <c r="AJ83"/>
  <c r="AM83"/>
  <c r="S83"/>
  <c r="AL83"/>
  <c r="AC83"/>
  <c r="P83"/>
  <c r="AV83"/>
  <c r="Z83"/>
  <c r="AQ83"/>
  <c r="F462" i="44"/>
  <c r="Z82" i="23"/>
  <c r="O82"/>
  <c r="AU82"/>
  <c r="AJ82"/>
  <c r="Y82"/>
  <c r="AS82"/>
  <c r="M82"/>
  <c r="X82"/>
  <c r="AI82"/>
  <c r="AT82"/>
  <c r="F461" i="30"/>
  <c r="AH82" i="23"/>
  <c r="W82"/>
  <c r="L82"/>
  <c r="AR82"/>
  <c r="AG82"/>
  <c r="J82"/>
  <c r="U82"/>
  <c r="AF82"/>
  <c r="AQ82"/>
  <c r="K82"/>
  <c r="V82"/>
  <c r="N82"/>
  <c r="AP82"/>
  <c r="AE82"/>
  <c r="T82"/>
  <c r="AZ82"/>
  <c r="AO82"/>
  <c r="AC82"/>
  <c r="AN82"/>
  <c r="AY82"/>
  <c r="S82"/>
  <c r="AD82"/>
  <c r="R82"/>
  <c r="AX82"/>
  <c r="AM82"/>
  <c r="AB82"/>
  <c r="Q82"/>
  <c r="AW82"/>
  <c r="AK82"/>
  <c r="AV82"/>
  <c r="P82"/>
  <c r="AA82"/>
  <c r="AL82"/>
  <c r="F461" i="44"/>
  <c r="X149" i="23"/>
  <c r="X198" s="1"/>
  <c r="S149"/>
  <c r="S198" s="1"/>
  <c r="P149"/>
  <c r="P198" s="1"/>
  <c r="U149"/>
  <c r="U198" s="1"/>
  <c r="L149"/>
  <c r="L198" s="1"/>
  <c r="V149"/>
  <c r="V198" s="1"/>
  <c r="J149"/>
  <c r="J198" s="1"/>
  <c r="H149"/>
  <c r="H198" s="1"/>
  <c r="AE149"/>
  <c r="AE198" s="1"/>
  <c r="AG149"/>
  <c r="AG198" s="1"/>
  <c r="AB149"/>
  <c r="AB198" s="1"/>
  <c r="W149"/>
  <c r="W198" s="1"/>
  <c r="AD149"/>
  <c r="AD198" s="1"/>
  <c r="AF149"/>
  <c r="AF198" s="1"/>
  <c r="I149"/>
  <c r="I198" s="1"/>
  <c r="C98"/>
  <c r="H495" i="30"/>
  <c r="P158" i="23"/>
  <c r="P207" s="1"/>
  <c r="M158"/>
  <c r="M207" s="1"/>
  <c r="Q158"/>
  <c r="Q207" s="1"/>
  <c r="R158"/>
  <c r="R207" s="1"/>
  <c r="I158"/>
  <c r="I207" s="1"/>
  <c r="AE158"/>
  <c r="AE207" s="1"/>
  <c r="N158"/>
  <c r="N207" s="1"/>
  <c r="X158"/>
  <c r="X207" s="1"/>
  <c r="AC158"/>
  <c r="AC207" s="1"/>
  <c r="Y158"/>
  <c r="Y207" s="1"/>
  <c r="W150"/>
  <c r="W199" s="1"/>
  <c r="L150"/>
  <c r="L199" s="1"/>
  <c r="Z150"/>
  <c r="Z199" s="1"/>
  <c r="K150"/>
  <c r="K199" s="1"/>
  <c r="H150"/>
  <c r="H199" s="1"/>
  <c r="X150"/>
  <c r="X199" s="1"/>
  <c r="I150"/>
  <c r="I199" s="1"/>
  <c r="T150"/>
  <c r="T199" s="1"/>
  <c r="J150"/>
  <c r="J199" s="1"/>
  <c r="R150"/>
  <c r="R199" s="1"/>
  <c r="V150"/>
  <c r="V199" s="1"/>
  <c r="Q150"/>
  <c r="Q199" s="1"/>
  <c r="AF150"/>
  <c r="AF199" s="1"/>
  <c r="Y150"/>
  <c r="Y199" s="1"/>
  <c r="AA150"/>
  <c r="AA199" s="1"/>
  <c r="AB150"/>
  <c r="AB199" s="1"/>
  <c r="AE150"/>
  <c r="AE199" s="1"/>
  <c r="U150"/>
  <c r="U199" s="1"/>
  <c r="M150"/>
  <c r="M199" s="1"/>
  <c r="O150"/>
  <c r="O199" s="1"/>
  <c r="P150"/>
  <c r="P199" s="1"/>
  <c r="AG150"/>
  <c r="AG199" s="1"/>
  <c r="S150"/>
  <c r="S199" s="1"/>
  <c r="AC150"/>
  <c r="AC199" s="1"/>
  <c r="G500" i="30"/>
  <c r="E500" i="44"/>
  <c r="G505"/>
  <c r="E505"/>
  <c r="F471" a="1"/>
  <c r="F471" s="1"/>
  <c r="F665" s="1"/>
  <c r="AR185" i="42" s="1"/>
  <c r="F119" i="24"/>
  <c r="H164" i="23" s="1"/>
  <c r="H213" s="1"/>
  <c r="CF119" i="24"/>
  <c r="BW119"/>
  <c r="S119"/>
  <c r="U164" i="23" s="1"/>
  <c r="U213" s="1"/>
  <c r="AO119" i="24"/>
  <c r="AZ119"/>
  <c r="AT119"/>
  <c r="Y119"/>
  <c r="AA164" i="23" s="1"/>
  <c r="AA213" s="1"/>
  <c r="CM119" i="24"/>
  <c r="BP119"/>
  <c r="J119"/>
  <c r="L164" i="23" s="1"/>
  <c r="L213" s="1"/>
  <c r="BB119" i="24"/>
  <c r="CC119"/>
  <c r="Q119"/>
  <c r="S164" i="23" s="1"/>
  <c r="S213" s="1"/>
  <c r="BL119" i="24"/>
  <c r="BO119"/>
  <c r="G119"/>
  <c r="I164" i="23" s="1"/>
  <c r="I213" s="1"/>
  <c r="I188" i="24"/>
  <c r="AM119"/>
  <c r="P119"/>
  <c r="R164" i="23" s="1"/>
  <c r="AH119" i="24"/>
  <c r="BN119"/>
  <c r="H188"/>
  <c r="BQ119"/>
  <c r="AK119"/>
  <c r="N119"/>
  <c r="P164" i="23" s="1"/>
  <c r="P213" s="1"/>
  <c r="AU119" i="24"/>
  <c r="AQ119"/>
  <c r="V119"/>
  <c r="X164" i="23" s="1"/>
  <c r="X213" s="1"/>
  <c r="BE119" i="24"/>
  <c r="BG119"/>
  <c r="E188"/>
  <c r="R119"/>
  <c r="T164" i="23" s="1"/>
  <c r="T213" s="1"/>
  <c r="BR119" i="24"/>
  <c r="BM119"/>
  <c r="AV119"/>
  <c r="CE119"/>
  <c r="AA119"/>
  <c r="AC164" i="23" s="1"/>
  <c r="AC213" s="1"/>
  <c r="BX119" i="24"/>
  <c r="BC119"/>
  <c r="L119"/>
  <c r="N164" i="23" s="1"/>
  <c r="N213" s="1"/>
  <c r="AB119" i="24"/>
  <c r="AD164" i="23" s="1"/>
  <c r="AD213" s="1"/>
  <c r="BF119" i="24"/>
  <c r="CL119"/>
  <c r="BY119"/>
  <c r="AS119"/>
  <c r="M119"/>
  <c r="O164" i="23" s="1"/>
  <c r="O213" s="1"/>
  <c r="I119" i="24"/>
  <c r="K164" i="23" s="1"/>
  <c r="K213" s="1"/>
  <c r="BJ119" i="24"/>
  <c r="BU119"/>
  <c r="AD119"/>
  <c r="AF164" i="23" s="1"/>
  <c r="CJ119" i="24"/>
  <c r="K119"/>
  <c r="M164" i="23" s="1"/>
  <c r="CK119" i="24"/>
  <c r="AN119"/>
  <c r="AE119"/>
  <c r="AG164" i="23" s="1"/>
  <c r="BK119" i="24"/>
  <c r="Z119"/>
  <c r="AB164" i="23" s="1"/>
  <c r="AB213" s="1"/>
  <c r="CH119" i="24"/>
  <c r="AW119"/>
  <c r="AF119"/>
  <c r="G188"/>
  <c r="AI119"/>
  <c r="BH119"/>
  <c r="BS119"/>
  <c r="H119"/>
  <c r="J164" i="23" s="1"/>
  <c r="X119" i="24"/>
  <c r="Z164" i="23" s="1"/>
  <c r="AX119" i="24"/>
  <c r="CD119"/>
  <c r="CG119"/>
  <c r="BA119"/>
  <c r="U119"/>
  <c r="W164" i="23" s="1"/>
  <c r="BD119" i="24"/>
  <c r="J188"/>
  <c r="CA119"/>
  <c r="BZ119"/>
  <c r="BT119"/>
  <c r="AJ119"/>
  <c r="W119"/>
  <c r="Y164" i="23" s="1"/>
  <c r="AL119" i="24"/>
  <c r="F188"/>
  <c r="AG119"/>
  <c r="CB119"/>
  <c r="AY119"/>
  <c r="AR119"/>
  <c r="CI119"/>
  <c r="O119"/>
  <c r="Q164" i="23" s="1"/>
  <c r="T119" i="24"/>
  <c r="V164" i="23" s="1"/>
  <c r="V213" s="1"/>
  <c r="AP119" i="24"/>
  <c r="BV119"/>
  <c r="D188"/>
  <c r="AB46" i="38" s="1"/>
  <c r="BI119" i="24"/>
  <c r="AC119"/>
  <c r="AE164" i="23" s="1"/>
  <c r="L151"/>
  <c r="L200" s="1"/>
  <c r="AD151"/>
  <c r="AD200" s="1"/>
  <c r="Y151"/>
  <c r="Y200" s="1"/>
  <c r="AF151"/>
  <c r="AF200" s="1"/>
  <c r="O151"/>
  <c r="O200" s="1"/>
  <c r="U151"/>
  <c r="U200" s="1"/>
  <c r="AC151"/>
  <c r="AC200" s="1"/>
  <c r="K151"/>
  <c r="K200" s="1"/>
  <c r="Z151"/>
  <c r="Z200" s="1"/>
  <c r="L152"/>
  <c r="L201" s="1"/>
  <c r="T152"/>
  <c r="T201" s="1"/>
  <c r="W152"/>
  <c r="W201" s="1"/>
  <c r="I152"/>
  <c r="I201" s="1"/>
  <c r="D163" i="44"/>
  <c r="L163"/>
  <c r="T163"/>
  <c r="AB163"/>
  <c r="AJ163"/>
  <c r="AJ140" s="1"/>
  <c r="AR163"/>
  <c r="AR140" s="1"/>
  <c r="O163"/>
  <c r="D163" i="30"/>
  <c r="H163" i="44"/>
  <c r="P163"/>
  <c r="X163"/>
  <c r="AF163"/>
  <c r="AF140" s="1"/>
  <c r="AN163"/>
  <c r="AN140" s="1"/>
  <c r="AV163"/>
  <c r="AV140" s="1"/>
  <c r="AE163"/>
  <c r="AE140" s="1"/>
  <c r="I148" i="30"/>
  <c r="J148" i="44"/>
  <c r="AM148"/>
  <c r="AM125" s="1"/>
  <c r="P148"/>
  <c r="AD148"/>
  <c r="AD125" s="1"/>
  <c r="AC148"/>
  <c r="M148"/>
  <c r="G148"/>
  <c r="O148"/>
  <c r="W148"/>
  <c r="D451"/>
  <c r="F148" i="30"/>
  <c r="V148" i="44"/>
  <c r="AP148"/>
  <c r="AP125" s="1"/>
  <c r="L148"/>
  <c r="AB148"/>
  <c r="AK148"/>
  <c r="AK125" s="1"/>
  <c r="AS148"/>
  <c r="AS125" s="1"/>
  <c r="G148" i="30"/>
  <c r="R148" i="44"/>
  <c r="AN148"/>
  <c r="AN125" s="1"/>
  <c r="E130" i="24"/>
  <c r="D451" i="30"/>
  <c r="AJ148" i="44"/>
  <c r="AJ125" s="1"/>
  <c r="AU148"/>
  <c r="AU125" s="1"/>
  <c r="AE148"/>
  <c r="AE125" s="1"/>
  <c r="AR148"/>
  <c r="AR125" s="1"/>
  <c r="H148" i="30"/>
  <c r="U148" i="44"/>
  <c r="K148"/>
  <c r="S148"/>
  <c r="AA148"/>
  <c r="D474" a="1"/>
  <c r="D474" s="1"/>
  <c r="F148"/>
  <c r="AH148"/>
  <c r="AH125" s="1"/>
  <c r="D148"/>
  <c r="T148"/>
  <c r="AG148"/>
  <c r="AG125" s="1"/>
  <c r="AO148"/>
  <c r="AO125" s="1"/>
  <c r="AW148"/>
  <c r="AW125" s="1"/>
  <c r="F100" i="23"/>
  <c r="AF148" i="44"/>
  <c r="AF125" s="1"/>
  <c r="AV148"/>
  <c r="AV125" s="1"/>
  <c r="D183"/>
  <c r="D205" s="1"/>
  <c r="AK110" i="24"/>
  <c r="AR110"/>
  <c r="BC110"/>
  <c r="F110"/>
  <c r="H155" i="23" s="1"/>
  <c r="H204" s="1"/>
  <c r="BG110" i="24"/>
  <c r="AT110"/>
  <c r="BA110"/>
  <c r="AN110"/>
  <c r="BO110"/>
  <c r="Q110"/>
  <c r="S155" i="23" s="1"/>
  <c r="S204" s="1"/>
  <c r="CJ110" i="24"/>
  <c r="BR110"/>
  <c r="N110"/>
  <c r="BZ110"/>
  <c r="S110"/>
  <c r="BU110"/>
  <c r="BH110"/>
  <c r="F186" i="30"/>
  <c r="F208" s="1"/>
  <c r="K144" i="44"/>
  <c r="AA144"/>
  <c r="AQ144"/>
  <c r="R144"/>
  <c r="P144"/>
  <c r="AV144"/>
  <c r="E144" i="30"/>
  <c r="M144" i="44"/>
  <c r="AC144"/>
  <c r="AK144"/>
  <c r="AS144"/>
  <c r="F144" i="30"/>
  <c r="V144" i="44"/>
  <c r="D144"/>
  <c r="T144"/>
  <c r="AJ144"/>
  <c r="G144" i="30"/>
  <c r="Z144" i="44"/>
  <c r="I144" i="30"/>
  <c r="S144" i="44"/>
  <c r="AI144"/>
  <c r="AI128" s="1"/>
  <c r="D144" i="30"/>
  <c r="AT144" i="44"/>
  <c r="AF144"/>
  <c r="N144"/>
  <c r="E144"/>
  <c r="U144"/>
  <c r="AG144"/>
  <c r="AO144"/>
  <c r="AW144"/>
  <c r="J144"/>
  <c r="AL144"/>
  <c r="AL128" s="1"/>
  <c r="L144"/>
  <c r="AB144"/>
  <c r="AR144"/>
  <c r="F144"/>
  <c r="AP144"/>
  <c r="B53"/>
  <c r="B69" i="33"/>
  <c r="X69" s="1"/>
  <c r="B10"/>
  <c r="X10" s="1"/>
  <c r="B53" i="30"/>
  <c r="BD117" i="24"/>
  <c r="AJ117"/>
  <c r="AA117"/>
  <c r="BR117"/>
  <c r="AW117"/>
  <c r="BK117"/>
  <c r="CM117"/>
  <c r="AL117"/>
  <c r="CC117"/>
  <c r="I20" i="30"/>
  <c r="G21" i="42" s="1"/>
  <c r="W107" i="24"/>
  <c r="AI107"/>
  <c r="AB107"/>
  <c r="AD152" i="23" s="1"/>
  <c r="AD201" s="1"/>
  <c r="AS107" i="24"/>
  <c r="AF107"/>
  <c r="AE107"/>
  <c r="AG152" i="23" s="1"/>
  <c r="AG201" s="1"/>
  <c r="BB107" i="24"/>
  <c r="CL107"/>
  <c r="AU107"/>
  <c r="BL107"/>
  <c r="CM107"/>
  <c r="BU107"/>
  <c r="E185" i="30"/>
  <c r="D185" i="44"/>
  <c r="D207" s="1"/>
  <c r="E207" i="30"/>
  <c r="G185"/>
  <c r="G207" s="1"/>
  <c r="F147" i="44"/>
  <c r="V147"/>
  <c r="AL147"/>
  <c r="AL124" s="1"/>
  <c r="G147" i="30"/>
  <c r="Q147" i="44"/>
  <c r="E450"/>
  <c r="AA147"/>
  <c r="N147"/>
  <c r="AD147"/>
  <c r="AD124" s="1"/>
  <c r="AT147"/>
  <c r="AT124" s="1"/>
  <c r="AU147"/>
  <c r="AU124" s="1"/>
  <c r="AG147"/>
  <c r="AG124" s="1"/>
  <c r="G147"/>
  <c r="H147" i="30"/>
  <c r="B79" i="33"/>
  <c r="X79" s="1"/>
  <c r="B63" i="30"/>
  <c r="F156"/>
  <c r="J156" i="44"/>
  <c r="R156"/>
  <c r="G156" i="30"/>
  <c r="G156" i="44"/>
  <c r="K158"/>
  <c r="S158"/>
  <c r="AA158"/>
  <c r="AI158"/>
  <c r="AI135" s="1"/>
  <c r="AQ158"/>
  <c r="AQ135" s="1"/>
  <c r="D461"/>
  <c r="F158" i="30"/>
  <c r="Z158" i="44"/>
  <c r="H158"/>
  <c r="X158"/>
  <c r="AN158"/>
  <c r="AN135" s="1"/>
  <c r="E158" i="30"/>
  <c r="F110" i="23"/>
  <c r="AD158" i="44"/>
  <c r="AD135" s="1"/>
  <c r="G158" i="30"/>
  <c r="I158" i="44"/>
  <c r="Q158"/>
  <c r="Y158"/>
  <c r="AG158"/>
  <c r="AG135" s="1"/>
  <c r="AO158"/>
  <c r="AO135" s="1"/>
  <c r="AW158"/>
  <c r="AW135" s="1"/>
  <c r="H158" i="30"/>
  <c r="AH158" i="44"/>
  <c r="AH135" s="1"/>
  <c r="L158"/>
  <c r="AB158"/>
  <c r="AR158"/>
  <c r="AR135" s="1"/>
  <c r="I158" i="30"/>
  <c r="F158" i="44"/>
  <c r="AL158"/>
  <c r="AL135" s="1"/>
  <c r="G158"/>
  <c r="O158"/>
  <c r="W158"/>
  <c r="AE158"/>
  <c r="AE135" s="1"/>
  <c r="AM158"/>
  <c r="AM135" s="1"/>
  <c r="AU158"/>
  <c r="AU135" s="1"/>
  <c r="D484" a="1"/>
  <c r="D484" s="1"/>
  <c r="J158"/>
  <c r="AP158"/>
  <c r="AP135" s="1"/>
  <c r="P158"/>
  <c r="AF158"/>
  <c r="AF135" s="1"/>
  <c r="AV158"/>
  <c r="AV135" s="1"/>
  <c r="E461" i="30"/>
  <c r="N158" i="44"/>
  <c r="AT158"/>
  <c r="AT135" s="1"/>
  <c r="D461" i="30"/>
  <c r="E158" i="44"/>
  <c r="M158"/>
  <c r="BO109" i="24"/>
  <c r="AF109"/>
  <c r="BY109"/>
  <c r="R109"/>
  <c r="K109"/>
  <c r="AT109"/>
  <c r="AW109"/>
  <c r="H109"/>
  <c r="BT109"/>
  <c r="AY109"/>
  <c r="CK109"/>
  <c r="V109"/>
  <c r="CH109"/>
  <c r="CE109"/>
  <c r="BC109"/>
  <c r="AB109"/>
  <c r="BH109"/>
  <c r="CG109"/>
  <c r="U109"/>
  <c r="Z109"/>
  <c r="CL109"/>
  <c r="BW109"/>
  <c r="BS109"/>
  <c r="BL109"/>
  <c r="M109"/>
  <c r="CD109"/>
  <c r="N109"/>
  <c r="BZ109"/>
  <c r="BG109"/>
  <c r="AN109"/>
  <c r="BI109"/>
  <c r="AH109"/>
  <c r="AE109"/>
  <c r="BB109"/>
  <c r="AG109"/>
  <c r="AA109"/>
  <c r="L109"/>
  <c r="AR109"/>
  <c r="BX109"/>
  <c r="BA109"/>
  <c r="O109"/>
  <c r="BF109"/>
  <c r="AO109"/>
  <c r="I17" i="30"/>
  <c r="G18" i="42" s="1"/>
  <c r="F176" i="24"/>
  <c r="G179"/>
  <c r="P29" i="43"/>
  <c r="I74"/>
  <c r="K10"/>
  <c r="J12"/>
  <c r="J11"/>
  <c r="K11" s="1"/>
  <c r="L11" s="1"/>
  <c r="M11" s="1"/>
  <c r="N11" s="1"/>
  <c r="O11" s="1"/>
  <c r="P11" s="1"/>
  <c r="Q11" s="1"/>
  <c r="R11" s="1"/>
  <c r="S11" s="1"/>
  <c r="T11" s="1"/>
  <c r="U11" s="1"/>
  <c r="V11" s="1"/>
  <c r="W11" s="1"/>
  <c r="X11" s="1"/>
  <c r="Y11" s="1"/>
  <c r="Z11" s="1"/>
  <c r="AA11" s="1"/>
  <c r="AB11" s="1"/>
  <c r="AC11" s="1"/>
  <c r="AD11" s="1"/>
  <c r="AE11" s="1"/>
  <c r="I12"/>
  <c r="I15" s="1"/>
  <c r="J55"/>
  <c r="K54"/>
  <c r="L54" s="1"/>
  <c r="M54" s="1"/>
  <c r="N54" s="1"/>
  <c r="J56"/>
  <c r="G40" i="44"/>
  <c r="G40" i="30"/>
  <c r="J27" i="43"/>
  <c r="F266" i="30"/>
  <c r="F271" s="1"/>
  <c r="F266" i="44"/>
  <c r="H20" i="43"/>
  <c r="H24" s="1"/>
  <c r="H33" s="1"/>
  <c r="H16"/>
  <c r="H269" i="30"/>
  <c r="H269" i="44"/>
  <c r="K26" i="43"/>
  <c r="G20"/>
  <c r="G24" s="1"/>
  <c r="G16"/>
  <c r="K57"/>
  <c r="L52"/>
  <c r="E266" i="30"/>
  <c r="E266" i="44"/>
  <c r="E271" s="1"/>
  <c r="G34" i="43"/>
  <c r="F23"/>
  <c r="J74"/>
  <c r="Q29"/>
  <c r="CH107" i="24"/>
  <c r="T107"/>
  <c r="O107"/>
  <c r="BF107"/>
  <c r="BS107"/>
  <c r="M107"/>
  <c r="CB107"/>
  <c r="AV107"/>
  <c r="P107"/>
  <c r="BG107"/>
  <c r="BY107"/>
  <c r="B141"/>
  <c r="B186"/>
  <c r="AA44" i="38" s="1"/>
  <c r="B185" i="24"/>
  <c r="AA43" i="38" s="1"/>
  <c r="B140" i="24"/>
  <c r="B176"/>
  <c r="AA34" i="38" s="1"/>
  <c r="B131" i="24"/>
  <c r="B175"/>
  <c r="AA33" i="38" s="1"/>
  <c r="B130" i="24"/>
  <c r="B173"/>
  <c r="AA31" i="38" s="1"/>
  <c r="B128" i="24"/>
  <c r="B126"/>
  <c r="B171"/>
  <c r="AA29" i="38" s="1"/>
  <c r="C178" i="24"/>
  <c r="F178" s="1"/>
  <c r="D133"/>
  <c r="Q117"/>
  <c r="X117"/>
  <c r="CJ117"/>
  <c r="AE117"/>
  <c r="BP117"/>
  <c r="BG117"/>
  <c r="V117"/>
  <c r="BB117"/>
  <c r="CH117"/>
  <c r="BM117"/>
  <c r="AG117"/>
  <c r="U117"/>
  <c r="AK117"/>
  <c r="BA117"/>
  <c r="BQ117"/>
  <c r="CG117"/>
  <c r="CD117"/>
  <c r="BN117"/>
  <c r="AX117"/>
  <c r="AH117"/>
  <c r="R117"/>
  <c r="H186"/>
  <c r="AI117"/>
  <c r="BO117"/>
  <c r="F117"/>
  <c r="BH117"/>
  <c r="AB117"/>
  <c r="G117"/>
  <c r="AM117"/>
  <c r="BS117"/>
  <c r="CB117"/>
  <c r="AV117"/>
  <c r="P117"/>
  <c r="I186"/>
  <c r="G109"/>
  <c r="P109"/>
  <c r="AV109"/>
  <c r="CB109"/>
  <c r="AS109"/>
  <c r="AQ109"/>
  <c r="AX109"/>
  <c r="BE109"/>
  <c r="CA109"/>
  <c r="AD109"/>
  <c r="BJ109"/>
  <c r="CC109"/>
  <c r="Q109"/>
  <c r="AM109"/>
  <c r="X109"/>
  <c r="BD109"/>
  <c r="CJ109"/>
  <c r="AC109"/>
  <c r="BK109"/>
  <c r="BN109"/>
  <c r="Y109"/>
  <c r="I109"/>
  <c r="AL109"/>
  <c r="BR109"/>
  <c r="BM109"/>
  <c r="CM109"/>
  <c r="W109"/>
  <c r="CI109"/>
  <c r="T109"/>
  <c r="AJ109"/>
  <c r="AZ109"/>
  <c r="BP109"/>
  <c r="CF109"/>
  <c r="BQ109"/>
  <c r="AK109"/>
  <c r="S109"/>
  <c r="J109"/>
  <c r="AP109"/>
  <c r="BV109"/>
  <c r="BU109"/>
  <c r="AI109"/>
  <c r="AU109"/>
  <c r="D118"/>
  <c r="D142" s="1"/>
  <c r="C142"/>
  <c r="D115"/>
  <c r="C139"/>
  <c r="D112"/>
  <c r="BV112" s="1"/>
  <c r="C136"/>
  <c r="D134"/>
  <c r="CM110"/>
  <c r="L110"/>
  <c r="AW110"/>
  <c r="I110"/>
  <c r="X110"/>
  <c r="BQ110"/>
  <c r="AL110"/>
  <c r="BS110"/>
  <c r="AU110"/>
  <c r="AD110"/>
  <c r="BJ110"/>
  <c r="CG110"/>
  <c r="U110"/>
  <c r="H110"/>
  <c r="BT110"/>
  <c r="W110"/>
  <c r="AB110"/>
  <c r="CC110"/>
  <c r="CI110"/>
  <c r="AQ110"/>
  <c r="CA110"/>
  <c r="J110"/>
  <c r="Z110"/>
  <c r="AP110"/>
  <c r="BF110"/>
  <c r="BV110"/>
  <c r="CL110"/>
  <c r="BI110"/>
  <c r="AC110"/>
  <c r="AM110"/>
  <c r="BK110"/>
  <c r="AF110"/>
  <c r="BL110"/>
  <c r="CK110"/>
  <c r="Y110"/>
  <c r="AI110"/>
  <c r="T110"/>
  <c r="AZ110"/>
  <c r="CF110"/>
  <c r="AG110"/>
  <c r="D108"/>
  <c r="C132"/>
  <c r="J175"/>
  <c r="I175"/>
  <c r="AA110"/>
  <c r="E678" i="30"/>
  <c r="BX176" i="42" s="1"/>
  <c r="L47" i="24"/>
  <c r="M47" s="1"/>
  <c r="N47" s="1"/>
  <c r="O47" s="1"/>
  <c r="P47" s="1"/>
  <c r="O38"/>
  <c r="R213" i="23"/>
  <c r="L48" i="24"/>
  <c r="M48" s="1"/>
  <c r="N48" s="1"/>
  <c r="O48" s="1"/>
  <c r="P48" s="1"/>
  <c r="O39"/>
  <c r="AS486" i="30" a="1"/>
  <c r="AS486" s="1"/>
  <c r="U212" i="23"/>
  <c r="N212"/>
  <c r="AA212"/>
  <c r="Z212"/>
  <c r="P212"/>
  <c r="AF212"/>
  <c r="M212"/>
  <c r="AA208"/>
  <c r="V214"/>
  <c r="J213"/>
  <c r="M213"/>
  <c r="AF213"/>
  <c r="K212"/>
  <c r="AD212"/>
  <c r="J212"/>
  <c r="H212"/>
  <c r="X212"/>
  <c r="AC212"/>
  <c r="I208"/>
  <c r="K208"/>
  <c r="S214"/>
  <c r="AE213"/>
  <c r="Q213"/>
  <c r="Y213"/>
  <c r="W213"/>
  <c r="Z213"/>
  <c r="AG213"/>
  <c r="H178" i="24"/>
  <c r="I178"/>
  <c r="G178"/>
  <c r="E178"/>
  <c r="D178"/>
  <c r="AB36" i="38" s="1"/>
  <c r="J178" i="24"/>
  <c r="BM112"/>
  <c r="AA112"/>
  <c r="F112"/>
  <c r="X112"/>
  <c r="AE112"/>
  <c r="BP112"/>
  <c r="Z112"/>
  <c r="BR112"/>
  <c r="BT112"/>
  <c r="L46"/>
  <c r="M46" s="1"/>
  <c r="N46" s="1"/>
  <c r="O46" s="1"/>
  <c r="P46" s="1"/>
  <c r="O37"/>
  <c r="Q47"/>
  <c r="R47" s="1"/>
  <c r="S47" s="1"/>
  <c r="T47" s="1"/>
  <c r="U47" s="1"/>
  <c r="P38"/>
  <c r="Q48"/>
  <c r="R48" s="1"/>
  <c r="S48" s="1"/>
  <c r="T48" s="1"/>
  <c r="U48" s="1"/>
  <c r="P39"/>
  <c r="D126"/>
  <c r="C171"/>
  <c r="L43"/>
  <c r="M43" s="1"/>
  <c r="N43" s="1"/>
  <c r="O43" s="1"/>
  <c r="P43" s="1"/>
  <c r="O34"/>
  <c r="L44"/>
  <c r="M44" s="1"/>
  <c r="N44" s="1"/>
  <c r="O44" s="1"/>
  <c r="P44" s="1"/>
  <c r="O35"/>
  <c r="L45"/>
  <c r="M45" s="1"/>
  <c r="N45" s="1"/>
  <c r="O45" s="1"/>
  <c r="P45" s="1"/>
  <c r="O36"/>
  <c r="L49"/>
  <c r="M49" s="1"/>
  <c r="N49" s="1"/>
  <c r="O49" s="1"/>
  <c r="P49" s="1"/>
  <c r="O40"/>
  <c r="D665" i="44"/>
  <c r="AP185" i="42" s="1"/>
  <c r="D678" i="30"/>
  <c r="BW176" i="42" s="1"/>
  <c r="D678" i="44"/>
  <c r="BW185" i="42" s="1"/>
  <c r="AL128" i="30"/>
  <c r="U683" i="44"/>
  <c r="CN190" i="42" s="1"/>
  <c r="AD128" i="30"/>
  <c r="AG128"/>
  <c r="T683" i="44"/>
  <c r="CM190" i="42" s="1"/>
  <c r="AT486" i="30" a="1"/>
  <c r="AT486" s="1"/>
  <c r="AH128"/>
  <c r="Z683" i="44"/>
  <c r="CS190" i="42" s="1"/>
  <c r="AI128" i="30"/>
  <c r="X636" a="1"/>
  <c r="X636" s="1"/>
  <c r="AB683" i="44"/>
  <c r="CU190" i="42" s="1"/>
  <c r="AA683" i="44"/>
  <c r="CT190" i="42" s="1"/>
  <c r="Y636" i="30" a="1"/>
  <c r="Y636" s="1"/>
  <c r="AU156" i="44"/>
  <c r="AU133" s="1"/>
  <c r="AK128" i="30"/>
  <c r="AJ128"/>
  <c r="AF128"/>
  <c r="AC648" a="1"/>
  <c r="AC648" s="1"/>
  <c r="W683" i="44"/>
  <c r="CP190" i="42" s="1"/>
  <c r="Z636" i="30" a="1"/>
  <c r="Z636" s="1"/>
  <c r="AE486" a="1"/>
  <c r="AE486" s="1"/>
  <c r="AE128"/>
  <c r="V683" i="44"/>
  <c r="CO190" i="42" s="1"/>
  <c r="AR486" i="30" a="1"/>
  <c r="AR486" s="1"/>
  <c r="AO486" a="1"/>
  <c r="AO486" s="1"/>
  <c r="AF486" a="1"/>
  <c r="AF486" s="1"/>
  <c r="AG486" i="44" a="1"/>
  <c r="AG486" s="1"/>
  <c r="AU486" i="30" a="1"/>
  <c r="AU486" s="1"/>
  <c r="AV486" a="1"/>
  <c r="AV486" s="1"/>
  <c r="AP486" a="1"/>
  <c r="AP486" s="1"/>
  <c r="AQ486" a="1"/>
  <c r="AQ486" s="1"/>
  <c r="AK486" a="1"/>
  <c r="AK486" s="1"/>
  <c r="AL486" a="1"/>
  <c r="AL486" s="1"/>
  <c r="AC637" a="1"/>
  <c r="AC637" s="1"/>
  <c r="AI486" a="1"/>
  <c r="AI486" s="1"/>
  <c r="AJ486" a="1"/>
  <c r="AJ486" s="1"/>
  <c r="AN486" a="1"/>
  <c r="AN486" s="1"/>
  <c r="AM486" a="1"/>
  <c r="AM486" s="1"/>
  <c r="AD486" a="1"/>
  <c r="AD486" s="1"/>
  <c r="U636" a="1"/>
  <c r="U636" s="1"/>
  <c r="T636" a="1"/>
  <c r="T636" s="1"/>
  <c r="W636" a="1"/>
  <c r="W636" s="1"/>
  <c r="V636" a="1"/>
  <c r="V636" s="1"/>
  <c r="AH486" a="1"/>
  <c r="AH486" s="1"/>
  <c r="AG486" a="1"/>
  <c r="AG486" s="1"/>
  <c r="AQ486" i="44" l="1" a="1"/>
  <c r="AQ486" s="1"/>
  <c r="BL69" i="33"/>
  <c r="BN69"/>
  <c r="BP69"/>
  <c r="BR69"/>
  <c r="BT69"/>
  <c r="BV69"/>
  <c r="BX69"/>
  <c r="BZ69"/>
  <c r="CB69"/>
  <c r="CD69"/>
  <c r="CF69"/>
  <c r="BM69"/>
  <c r="BO69"/>
  <c r="BQ69"/>
  <c r="BS69"/>
  <c r="BU69"/>
  <c r="BW69"/>
  <c r="BY69"/>
  <c r="CA69"/>
  <c r="CC69"/>
  <c r="CE69"/>
  <c r="CG69"/>
  <c r="AT327" i="23"/>
  <c r="BR327"/>
  <c r="AA636" i="30" a="1"/>
  <c r="AA636" s="1"/>
  <c r="I10" i="44"/>
  <c r="I495" s="1"/>
  <c r="D660"/>
  <c r="AP176" i="42" s="1"/>
  <c r="AC486" i="44" a="1"/>
  <c r="AC486" s="1"/>
  <c r="BS348" i="23"/>
  <c r="BS349"/>
  <c r="CA120" i="24"/>
  <c r="S120"/>
  <c r="U165" i="23" s="1"/>
  <c r="U214" s="1"/>
  <c r="CC120" i="24"/>
  <c r="AA120"/>
  <c r="AC165" i="23" s="1"/>
  <c r="AC214" s="1"/>
  <c r="N120" i="24"/>
  <c r="P165" i="23" s="1"/>
  <c r="P214" s="1"/>
  <c r="BE120" i="24"/>
  <c r="CF120"/>
  <c r="BL120"/>
  <c r="X120"/>
  <c r="Z165" i="23" s="1"/>
  <c r="Z214" s="1"/>
  <c r="BI120" i="24"/>
  <c r="J120"/>
  <c r="L165" i="23" s="1"/>
  <c r="L214" s="1"/>
  <c r="BK120" i="24"/>
  <c r="W120"/>
  <c r="Y165" i="23" s="1"/>
  <c r="Y214" s="1"/>
  <c r="BA120" i="24"/>
  <c r="G189"/>
  <c r="AF120"/>
  <c r="AS120"/>
  <c r="AN120"/>
  <c r="CM120"/>
  <c r="L86" i="23"/>
  <c r="AG86"/>
  <c r="AQ86"/>
  <c r="N86"/>
  <c r="T86"/>
  <c r="Q86"/>
  <c r="K86"/>
  <c r="O86"/>
  <c r="I16" i="44"/>
  <c r="M68" i="43"/>
  <c r="M66"/>
  <c r="N65"/>
  <c r="V636" i="44" a="1"/>
  <c r="V636" s="1"/>
  <c r="AM486" a="1"/>
  <c r="AM486" s="1"/>
  <c r="AR486" a="1"/>
  <c r="AR486" s="1"/>
  <c r="AI486" a="1"/>
  <c r="AI486" s="1"/>
  <c r="AJ486" a="1"/>
  <c r="AJ486" s="1"/>
  <c r="AV486" a="1"/>
  <c r="AV486" s="1"/>
  <c r="AD486" a="1"/>
  <c r="AD486" s="1"/>
  <c r="AQ128"/>
  <c r="AO486" a="1"/>
  <c r="AO486" s="1"/>
  <c r="AE486" a="1"/>
  <c r="AE486" s="1"/>
  <c r="B84" i="33"/>
  <c r="X84" s="1"/>
  <c r="B68" i="44"/>
  <c r="B68" i="30"/>
  <c r="V75" i="23"/>
  <c r="AL75"/>
  <c r="M75"/>
  <c r="AA75"/>
  <c r="AQ75"/>
  <c r="F454" i="44"/>
  <c r="X75" i="23"/>
  <c r="AN75"/>
  <c r="O75"/>
  <c r="AG75"/>
  <c r="AW75"/>
  <c r="R75"/>
  <c r="AH75"/>
  <c r="AX75"/>
  <c r="Y75"/>
  <c r="AM75"/>
  <c r="K75"/>
  <c r="T75"/>
  <c r="AJ75"/>
  <c r="AZ75"/>
  <c r="AC75"/>
  <c r="AS75"/>
  <c r="N75"/>
  <c r="AD75"/>
  <c r="AT75"/>
  <c r="U75"/>
  <c r="AI75"/>
  <c r="AY75"/>
  <c r="P75"/>
  <c r="AF75"/>
  <c r="AV75"/>
  <c r="W75"/>
  <c r="AO75"/>
  <c r="F454" i="30"/>
  <c r="Z75" i="23"/>
  <c r="AP75"/>
  <c r="Q75"/>
  <c r="AE75"/>
  <c r="AU75"/>
  <c r="L75"/>
  <c r="AB75"/>
  <c r="AR75"/>
  <c r="S75"/>
  <c r="AK75"/>
  <c r="J75"/>
  <c r="BC356"/>
  <c r="BC357"/>
  <c r="BC358"/>
  <c r="P137" i="44"/>
  <c r="F88"/>
  <c r="D88"/>
  <c r="H87"/>
  <c r="D87"/>
  <c r="J136"/>
  <c r="AN159" s="1"/>
  <c r="AN136" s="1"/>
  <c r="E87"/>
  <c r="F87"/>
  <c r="G87"/>
  <c r="BT356" i="23"/>
  <c r="BT357"/>
  <c r="BT358"/>
  <c r="BR310"/>
  <c r="BR342" s="1"/>
  <c r="AS342"/>
  <c r="AR315"/>
  <c r="BT315"/>
  <c r="BT343" s="1"/>
  <c r="AQ343"/>
  <c r="H173" i="44"/>
  <c r="H195" s="1"/>
  <c r="B67"/>
  <c r="B67" i="30"/>
  <c r="BF357" i="23"/>
  <c r="BF358"/>
  <c r="BF356"/>
  <c r="G88" i="30"/>
  <c r="M137"/>
  <c r="AC137"/>
  <c r="D88"/>
  <c r="H88"/>
  <c r="U137"/>
  <c r="F87"/>
  <c r="I136"/>
  <c r="Y136"/>
  <c r="G87"/>
  <c r="D87"/>
  <c r="Q136"/>
  <c r="AU159" s="1"/>
  <c r="AU136" s="1"/>
  <c r="BR349" i="23"/>
  <c r="BR348"/>
  <c r="E660" i="44"/>
  <c r="AQ176" i="42" s="1"/>
  <c r="F660" i="30"/>
  <c r="D176" i="42" s="1"/>
  <c r="I15" i="44"/>
  <c r="I180" s="1"/>
  <c r="I202" s="1"/>
  <c r="I13"/>
  <c r="I498" s="1"/>
  <c r="AT486" a="1"/>
  <c r="AT486" s="1"/>
  <c r="AL486" a="1"/>
  <c r="AL486" s="1"/>
  <c r="W636" a="1"/>
  <c r="W636" s="1"/>
  <c r="AK486" a="1"/>
  <c r="AK486" s="1"/>
  <c r="AF486" a="1"/>
  <c r="AF486" s="1"/>
  <c r="G25" i="42"/>
  <c r="Z636" i="44" a="1"/>
  <c r="Z636" s="1"/>
  <c r="AU486" a="1"/>
  <c r="AU486" s="1"/>
  <c r="X636" a="1"/>
  <c r="X636" s="1"/>
  <c r="AB636" a="1"/>
  <c r="AB636" s="1"/>
  <c r="AK128"/>
  <c r="AV128"/>
  <c r="AU128"/>
  <c r="I189" i="30"/>
  <c r="I211" s="1"/>
  <c r="AB636" a="1"/>
  <c r="AB636" s="1"/>
  <c r="AC636" a="1"/>
  <c r="AC636" s="1"/>
  <c r="AF128" i="44"/>
  <c r="AC636" a="1"/>
  <c r="AC636" s="1"/>
  <c r="AP486" a="1"/>
  <c r="AP486" s="1"/>
  <c r="AA636" a="1"/>
  <c r="AA636" s="1"/>
  <c r="Y636" a="1"/>
  <c r="Y636" s="1"/>
  <c r="AO128"/>
  <c r="B11" i="33"/>
  <c r="X11" s="1"/>
  <c r="B54" i="44"/>
  <c r="B70" i="33"/>
  <c r="X70" s="1"/>
  <c r="B54" i="30"/>
  <c r="H177"/>
  <c r="H199" s="1"/>
  <c r="F177"/>
  <c r="F199" s="1"/>
  <c r="E177"/>
  <c r="E199" s="1"/>
  <c r="E177" i="44"/>
  <c r="E199" s="1"/>
  <c r="D177"/>
  <c r="D199" s="1"/>
  <c r="E100" i="23"/>
  <c r="F177" i="44"/>
  <c r="F199" s="1"/>
  <c r="D177" i="30"/>
  <c r="D199" s="1"/>
  <c r="H120" i="24"/>
  <c r="J165" i="23" s="1"/>
  <c r="J214" s="1"/>
  <c r="AP120" i="24"/>
  <c r="D189"/>
  <c r="AB47" i="38" s="1"/>
  <c r="U120" i="24"/>
  <c r="W165" i="23" s="1"/>
  <c r="W214" s="1"/>
  <c r="BD120" i="24"/>
  <c r="AL120"/>
  <c r="AG120"/>
  <c r="E189"/>
  <c r="AJ120"/>
  <c r="BG120"/>
  <c r="CD120"/>
  <c r="AR120"/>
  <c r="CH120"/>
  <c r="G120"/>
  <c r="I165" i="23" s="1"/>
  <c r="I214" s="1"/>
  <c r="AZ120" i="24"/>
  <c r="AQ120"/>
  <c r="CL120"/>
  <c r="AU120"/>
  <c r="BM120"/>
  <c r="AD120"/>
  <c r="AF165" i="23" s="1"/>
  <c r="AF214" s="1"/>
  <c r="BC120" i="24"/>
  <c r="BN120"/>
  <c r="H112"/>
  <c r="BG112"/>
  <c r="AM112"/>
  <c r="CL112"/>
  <c r="AJ112"/>
  <c r="CI112"/>
  <c r="CJ112"/>
  <c r="CH112"/>
  <c r="AP112"/>
  <c r="AI85" i="23"/>
  <c r="X85"/>
  <c r="M85"/>
  <c r="AS85"/>
  <c r="AH85"/>
  <c r="AT85"/>
  <c r="N85"/>
  <c r="Y85"/>
  <c r="AJ85"/>
  <c r="AU85"/>
  <c r="O85"/>
  <c r="AQ85"/>
  <c r="AF85"/>
  <c r="U85"/>
  <c r="J85"/>
  <c r="AP85"/>
  <c r="AL85"/>
  <c r="AW85"/>
  <c r="Q85"/>
  <c r="AB85"/>
  <c r="AM85"/>
  <c r="S85"/>
  <c r="AY85"/>
  <c r="AN85"/>
  <c r="AC85"/>
  <c r="R85"/>
  <c r="AX85"/>
  <c r="AD85"/>
  <c r="AO85"/>
  <c r="AZ85"/>
  <c r="T85"/>
  <c r="AE85"/>
  <c r="AA85"/>
  <c r="P85"/>
  <c r="AV85"/>
  <c r="AK85"/>
  <c r="Z85"/>
  <c r="K85"/>
  <c r="V85"/>
  <c r="AG85"/>
  <c r="AR85"/>
  <c r="L85"/>
  <c r="W85"/>
  <c r="I112" i="24"/>
  <c r="AN112"/>
  <c r="BI112"/>
  <c r="AL112"/>
  <c r="BU112"/>
  <c r="BW112"/>
  <c r="BF112"/>
  <c r="AG112"/>
  <c r="AZ112"/>
  <c r="T112"/>
  <c r="AY112"/>
  <c r="BO112"/>
  <c r="BD112"/>
  <c r="AC112"/>
  <c r="BB112"/>
  <c r="AO112"/>
  <c r="J112"/>
  <c r="E191" i="30"/>
  <c r="E213" s="1"/>
  <c r="H191"/>
  <c r="H213" s="1"/>
  <c r="E191" i="44"/>
  <c r="E213" s="1"/>
  <c r="N34" i="46"/>
  <c r="M34"/>
  <c r="AF162" i="23"/>
  <c r="AF211" s="1"/>
  <c r="K162"/>
  <c r="K211" s="1"/>
  <c r="AA162"/>
  <c r="AA211" s="1"/>
  <c r="P162"/>
  <c r="P211" s="1"/>
  <c r="L162"/>
  <c r="L211" s="1"/>
  <c r="U162"/>
  <c r="U211" s="1"/>
  <c r="O162"/>
  <c r="O211" s="1"/>
  <c r="Y162"/>
  <c r="Y211" s="1"/>
  <c r="J162"/>
  <c r="J211" s="1"/>
  <c r="M162"/>
  <c r="M211" s="1"/>
  <c r="Q162"/>
  <c r="Q211" s="1"/>
  <c r="V162"/>
  <c r="V211" s="1"/>
  <c r="AE162"/>
  <c r="AE211" s="1"/>
  <c r="N162"/>
  <c r="N211" s="1"/>
  <c r="AB162"/>
  <c r="AB211" s="1"/>
  <c r="B83" i="33"/>
  <c r="X83" s="1"/>
  <c r="B24"/>
  <c r="X24" s="1"/>
  <c r="E486" i="30" a="1"/>
  <c r="E486" s="1"/>
  <c r="D486" a="1"/>
  <c r="D486" s="1"/>
  <c r="AS110" i="24"/>
  <c r="BX110"/>
  <c r="BW110"/>
  <c r="CH110"/>
  <c r="AE110"/>
  <c r="V110"/>
  <c r="BD110"/>
  <c r="BB110"/>
  <c r="P120"/>
  <c r="R165" i="23" s="1"/>
  <c r="R214" s="1"/>
  <c r="BQ120" i="24"/>
  <c r="D483" i="44" a="1"/>
  <c r="D483" s="1"/>
  <c r="E483" a="1"/>
  <c r="E483" s="1"/>
  <c r="F162"/>
  <c r="AI162"/>
  <c r="AI139" s="1"/>
  <c r="AQ162"/>
  <c r="AQ139" s="1"/>
  <c r="E465"/>
  <c r="L465"/>
  <c r="T465"/>
  <c r="AC465"/>
  <c r="AJ465"/>
  <c r="AR465"/>
  <c r="AH162"/>
  <c r="AH139" s="1"/>
  <c r="AE465"/>
  <c r="AF162"/>
  <c r="AF139" s="1"/>
  <c r="AV162"/>
  <c r="AV139" s="1"/>
  <c r="R465"/>
  <c r="AG465"/>
  <c r="AW465"/>
  <c r="D465" i="30"/>
  <c r="M465"/>
  <c r="T465"/>
  <c r="AC465"/>
  <c r="AK465"/>
  <c r="AS465"/>
  <c r="AL162" i="44"/>
  <c r="AL139" s="1"/>
  <c r="Q465"/>
  <c r="D162" i="30"/>
  <c r="L465"/>
  <c r="Z465"/>
  <c r="AP465"/>
  <c r="G465"/>
  <c r="X465"/>
  <c r="AN465"/>
  <c r="D162" i="44"/>
  <c r="AG162"/>
  <c r="AG139" s="1"/>
  <c r="AO162"/>
  <c r="AO139" s="1"/>
  <c r="AW162"/>
  <c r="AW139" s="1"/>
  <c r="K465"/>
  <c r="S465"/>
  <c r="Z465"/>
  <c r="AH465"/>
  <c r="AP465"/>
  <c r="G162"/>
  <c r="AP162"/>
  <c r="AP139" s="1"/>
  <c r="AM465"/>
  <c r="AJ162"/>
  <c r="AJ139" s="1"/>
  <c r="D465"/>
  <c r="U465"/>
  <c r="AK465"/>
  <c r="E162" i="30"/>
  <c r="K465"/>
  <c r="R465"/>
  <c r="AA465"/>
  <c r="AI465"/>
  <c r="AQ465"/>
  <c r="F114" i="23"/>
  <c r="N465" i="44"/>
  <c r="AQ465"/>
  <c r="H465" i="30"/>
  <c r="V465"/>
  <c r="AL465"/>
  <c r="F162"/>
  <c r="U465"/>
  <c r="AJ465"/>
  <c r="AE162" i="44"/>
  <c r="AE139" s="1"/>
  <c r="AU162"/>
  <c r="AU139" s="1"/>
  <c r="P465"/>
  <c r="AF465"/>
  <c r="AV465"/>
  <c r="AU465"/>
  <c r="J465"/>
  <c r="AO465"/>
  <c r="I465" i="30"/>
  <c r="Y465"/>
  <c r="AO465"/>
  <c r="I465" i="44"/>
  <c r="E465" i="30"/>
  <c r="D488" s="1" a="1"/>
  <c r="D488" s="1"/>
  <c r="AH465"/>
  <c r="Q465"/>
  <c r="AV465"/>
  <c r="AK162" i="44"/>
  <c r="AK139" s="1"/>
  <c r="G465"/>
  <c r="W465"/>
  <c r="AL465"/>
  <c r="AD162"/>
  <c r="AD139" s="1"/>
  <c r="E162"/>
  <c r="M465"/>
  <c r="AS465"/>
  <c r="N465" i="30"/>
  <c r="AE465"/>
  <c r="AU465"/>
  <c r="V465" i="44"/>
  <c r="O465" i="30"/>
  <c r="AT465"/>
  <c r="AB465"/>
  <c r="G488" a="1"/>
  <c r="G488" s="1"/>
  <c r="AD162"/>
  <c r="AD139" s="1"/>
  <c r="AF162"/>
  <c r="AF139" s="1"/>
  <c r="AI162"/>
  <c r="AI139" s="1"/>
  <c r="AL162"/>
  <c r="AL139" s="1"/>
  <c r="AP162"/>
  <c r="AP139" s="1"/>
  <c r="AW162"/>
  <c r="AW139" s="1"/>
  <c r="AM162" i="44"/>
  <c r="AM139" s="1"/>
  <c r="H465"/>
  <c r="Y465"/>
  <c r="AN465"/>
  <c r="F465"/>
  <c r="E488" s="1" a="1"/>
  <c r="E488" s="1"/>
  <c r="AN162"/>
  <c r="AN139" s="1"/>
  <c r="AN488" s="1" a="1"/>
  <c r="AN488" s="1"/>
  <c r="X465"/>
  <c r="G162" i="30"/>
  <c r="P465"/>
  <c r="AG465"/>
  <c r="AW465"/>
  <c r="AI465" i="44"/>
  <c r="S465" i="30"/>
  <c r="E144" i="24"/>
  <c r="AF465" i="30"/>
  <c r="H162" i="44"/>
  <c r="AS162"/>
  <c r="AS139" s="1"/>
  <c r="O465"/>
  <c r="AD465"/>
  <c r="AT465"/>
  <c r="AB465"/>
  <c r="AR162"/>
  <c r="AR139" s="1"/>
  <c r="AA465"/>
  <c r="F465" i="30"/>
  <c r="F488" s="1" a="1"/>
  <c r="F488" s="1"/>
  <c r="W465"/>
  <c r="AM465"/>
  <c r="AT162" i="44"/>
  <c r="AT139" s="1"/>
  <c r="H162" i="30"/>
  <c r="AD465"/>
  <c r="J465"/>
  <c r="AR465"/>
  <c r="D488" i="44" a="1"/>
  <c r="D488" s="1"/>
  <c r="F488" a="1"/>
  <c r="F488" s="1"/>
  <c r="E488" i="30" a="1"/>
  <c r="E488" s="1"/>
  <c r="AE162"/>
  <c r="AE139" s="1"/>
  <c r="AG162"/>
  <c r="AG139" s="1"/>
  <c r="AJ162"/>
  <c r="AJ139" s="1"/>
  <c r="AK162"/>
  <c r="AK139" s="1"/>
  <c r="AM162"/>
  <c r="AM139" s="1"/>
  <c r="AO162"/>
  <c r="AO139" s="1"/>
  <c r="AQ162"/>
  <c r="AQ139" s="1"/>
  <c r="AR162"/>
  <c r="AR139" s="1"/>
  <c r="AT162"/>
  <c r="AT139" s="1"/>
  <c r="AU162"/>
  <c r="AU139" s="1"/>
  <c r="AH162"/>
  <c r="AH139" s="1"/>
  <c r="AN162"/>
  <c r="AN139" s="1"/>
  <c r="AN488" s="1" a="1"/>
  <c r="AN488" s="1"/>
  <c r="AS162"/>
  <c r="AS139" s="1"/>
  <c r="AS488" s="1" a="1"/>
  <c r="AS488" s="1"/>
  <c r="AV162"/>
  <c r="AV139" s="1"/>
  <c r="E475" a="1"/>
  <c r="E475" s="1"/>
  <c r="D475" a="1"/>
  <c r="D475" s="1"/>
  <c r="F464" i="44"/>
  <c r="M464"/>
  <c r="V464"/>
  <c r="AD464"/>
  <c r="AL464"/>
  <c r="AT464"/>
  <c r="AH161"/>
  <c r="AH138" s="1"/>
  <c r="AV161"/>
  <c r="AV138" s="1"/>
  <c r="Q464"/>
  <c r="AU464"/>
  <c r="AE161"/>
  <c r="AE138" s="1"/>
  <c r="AM161"/>
  <c r="AM138" s="1"/>
  <c r="AU161"/>
  <c r="AU138" s="1"/>
  <c r="O464"/>
  <c r="AG464"/>
  <c r="AW464"/>
  <c r="E464" i="30"/>
  <c r="L464"/>
  <c r="S464"/>
  <c r="E161" i="44"/>
  <c r="R464"/>
  <c r="AH464"/>
  <c r="F161"/>
  <c r="K464"/>
  <c r="H161"/>
  <c r="AQ161"/>
  <c r="AQ138" s="1"/>
  <c r="X464"/>
  <c r="G161" i="30"/>
  <c r="O464"/>
  <c r="AB464"/>
  <c r="AI464"/>
  <c r="AQ464"/>
  <c r="AJ161" i="44"/>
  <c r="AJ138" s="1"/>
  <c r="T464"/>
  <c r="AQ464"/>
  <c r="D464" i="30"/>
  <c r="U464"/>
  <c r="AN464"/>
  <c r="D161"/>
  <c r="P464"/>
  <c r="AD464"/>
  <c r="AT464"/>
  <c r="D464" i="44"/>
  <c r="S464"/>
  <c r="AJ464"/>
  <c r="AL161"/>
  <c r="AL138" s="1"/>
  <c r="D161"/>
  <c r="AO161"/>
  <c r="AO138" s="1"/>
  <c r="U464"/>
  <c r="E161" i="30"/>
  <c r="Q464"/>
  <c r="AG464"/>
  <c r="AW464"/>
  <c r="N464" i="44"/>
  <c r="R464" i="30"/>
  <c r="E143" i="24"/>
  <c r="AA464" i="30"/>
  <c r="P464" i="44"/>
  <c r="AF464"/>
  <c r="AV464"/>
  <c r="AT161"/>
  <c r="AT138" s="1"/>
  <c r="AK161"/>
  <c r="AK138" s="1"/>
  <c r="J464"/>
  <c r="AS464"/>
  <c r="M464" i="30"/>
  <c r="AC464"/>
  <c r="AS464"/>
  <c r="Y464" i="44"/>
  <c r="Y464" i="30"/>
  <c r="H161"/>
  <c r="AH464"/>
  <c r="Z464" i="44"/>
  <c r="AP161"/>
  <c r="AP138" s="1"/>
  <c r="AI161"/>
  <c r="AI138" s="1"/>
  <c r="AI141" s="1"/>
  <c r="AO464"/>
  <c r="X464" i="30"/>
  <c r="AM464"/>
  <c r="AR161" i="44"/>
  <c r="AR138" s="1"/>
  <c r="F161" i="30"/>
  <c r="AF464"/>
  <c r="F464"/>
  <c r="AL464"/>
  <c r="L464" i="44"/>
  <c r="AR464"/>
  <c r="AG161"/>
  <c r="AG138" s="1"/>
  <c r="AK464"/>
  <c r="Z464" i="30"/>
  <c r="AF161" i="44"/>
  <c r="AF138" s="1"/>
  <c r="AF141" s="1"/>
  <c r="AJ464" i="30"/>
  <c r="AP464"/>
  <c r="W464" i="44"/>
  <c r="AD161"/>
  <c r="AD138" s="1"/>
  <c r="AS161"/>
  <c r="AS138" s="1"/>
  <c r="G464" i="30"/>
  <c r="AK464"/>
  <c r="K464"/>
  <c r="T464"/>
  <c r="AE161"/>
  <c r="AE138" s="1"/>
  <c r="AG161"/>
  <c r="AG138" s="1"/>
  <c r="AK161"/>
  <c r="AK138" s="1"/>
  <c r="AO161"/>
  <c r="AO138" s="1"/>
  <c r="AU161"/>
  <c r="AU138" s="1"/>
  <c r="I464" i="44"/>
  <c r="AP464"/>
  <c r="AE464"/>
  <c r="G464"/>
  <c r="H464" i="30"/>
  <c r="AE464"/>
  <c r="AU464"/>
  <c r="AB464" i="44"/>
  <c r="N464" i="30"/>
  <c r="AV464"/>
  <c r="W464"/>
  <c r="G161" i="44"/>
  <c r="AA464"/>
  <c r="E464"/>
  <c r="E487" s="1" a="1"/>
  <c r="E487" s="1"/>
  <c r="AW161"/>
  <c r="AW138" s="1"/>
  <c r="AW487" s="1" a="1"/>
  <c r="AW487" s="1"/>
  <c r="J464" i="30"/>
  <c r="AO464"/>
  <c r="AI464" i="44"/>
  <c r="I464" i="30"/>
  <c r="H464" i="44"/>
  <c r="AN464"/>
  <c r="AM464"/>
  <c r="AC464"/>
  <c r="V464" i="30"/>
  <c r="AN161" i="44"/>
  <c r="AN138" s="1"/>
  <c r="AR464" i="30"/>
  <c r="F113" i="23"/>
  <c r="F487" i="30" a="1"/>
  <c r="F487" s="1"/>
  <c r="AD161"/>
  <c r="AD138" s="1"/>
  <c r="AH161"/>
  <c r="AH138" s="1"/>
  <c r="AL161"/>
  <c r="AL138" s="1"/>
  <c r="AN161"/>
  <c r="AN138" s="1"/>
  <c r="AP161"/>
  <c r="AP138" s="1"/>
  <c r="AS161"/>
  <c r="AS138" s="1"/>
  <c r="AV161"/>
  <c r="AV138" s="1"/>
  <c r="AW161"/>
  <c r="AW138" s="1"/>
  <c r="AW487" s="1" a="1"/>
  <c r="AW487" s="1"/>
  <c r="AF161"/>
  <c r="AF138" s="1"/>
  <c r="AI161"/>
  <c r="AI138" s="1"/>
  <c r="AJ161"/>
  <c r="AJ138" s="1"/>
  <c r="AM161"/>
  <c r="AM138" s="1"/>
  <c r="AM487" s="1" a="1"/>
  <c r="AM487" s="1"/>
  <c r="AQ161"/>
  <c r="AQ138" s="1"/>
  <c r="AR161"/>
  <c r="AR138" s="1"/>
  <c r="AR487" s="1" a="1"/>
  <c r="AR487" s="1"/>
  <c r="AT161"/>
  <c r="AT138" s="1"/>
  <c r="J180" i="24"/>
  <c r="I180"/>
  <c r="E180"/>
  <c r="O111"/>
  <c r="L111"/>
  <c r="AR111"/>
  <c r="BX111"/>
  <c r="BA111"/>
  <c r="U111"/>
  <c r="W111"/>
  <c r="V111"/>
  <c r="BB111"/>
  <c r="CH111"/>
  <c r="AO111"/>
  <c r="G111"/>
  <c r="R111"/>
  <c r="AX111"/>
  <c r="CD111"/>
  <c r="AW111"/>
  <c r="S111"/>
  <c r="AA111"/>
  <c r="AE111"/>
  <c r="I111"/>
  <c r="P111"/>
  <c r="AF111"/>
  <c r="AV111"/>
  <c r="BL111"/>
  <c r="CB111"/>
  <c r="BY111"/>
  <c r="AS111"/>
  <c r="M111"/>
  <c r="BC111"/>
  <c r="AD111"/>
  <c r="BJ111"/>
  <c r="CK111"/>
  <c r="Y111"/>
  <c r="AM111"/>
  <c r="Z111"/>
  <c r="BF111"/>
  <c r="CL111"/>
  <c r="AG111"/>
  <c r="CM111"/>
  <c r="AB111"/>
  <c r="CG111"/>
  <c r="AQ111"/>
  <c r="AL111"/>
  <c r="BU111"/>
  <c r="BS111"/>
  <c r="BN111"/>
  <c r="Q111"/>
  <c r="AY111"/>
  <c r="H111"/>
  <c r="AN111"/>
  <c r="BT111"/>
  <c r="BI111"/>
  <c r="BO111"/>
  <c r="AT111"/>
  <c r="BE111"/>
  <c r="J111"/>
  <c r="BV111"/>
  <c r="G180"/>
  <c r="CA111"/>
  <c r="BH111"/>
  <c r="AK111"/>
  <c r="CI111"/>
  <c r="BR111"/>
  <c r="BG111"/>
  <c r="AH111"/>
  <c r="CC111"/>
  <c r="BW111"/>
  <c r="BK111"/>
  <c r="X111"/>
  <c r="BD111"/>
  <c r="CJ111"/>
  <c r="AC111"/>
  <c r="N111"/>
  <c r="BZ111"/>
  <c r="AI111"/>
  <c r="AP111"/>
  <c r="BM111"/>
  <c r="D180"/>
  <c r="AB38" i="38" s="1"/>
  <c r="L133" i="30"/>
  <c r="AA156" s="1"/>
  <c r="AB133"/>
  <c r="AQ156" s="1"/>
  <c r="AQ133" s="1"/>
  <c r="O133"/>
  <c r="AD156" s="1"/>
  <c r="AD133" s="1"/>
  <c r="AS156" s="1"/>
  <c r="AS133" s="1"/>
  <c r="V133"/>
  <c r="AK156" s="1"/>
  <c r="AK133" s="1"/>
  <c r="U133"/>
  <c r="AJ156" s="1"/>
  <c r="AJ133" s="1"/>
  <c r="E84"/>
  <c r="Y133"/>
  <c r="AN156" s="1"/>
  <c r="AN133" s="1"/>
  <c r="AA133"/>
  <c r="AP156" s="1"/>
  <c r="AP133" s="1"/>
  <c r="T133"/>
  <c r="AI156" s="1"/>
  <c r="AI133" s="1"/>
  <c r="N133"/>
  <c r="AC156" s="1"/>
  <c r="F84"/>
  <c r="G84"/>
  <c r="H84"/>
  <c r="D84"/>
  <c r="AC133"/>
  <c r="AR156" s="1"/>
  <c r="AR133" s="1"/>
  <c r="F509" i="44"/>
  <c r="G509" i="30"/>
  <c r="C112" i="23"/>
  <c r="H509" i="30"/>
  <c r="D509" i="44"/>
  <c r="E509"/>
  <c r="D509" i="30"/>
  <c r="G509" i="44"/>
  <c r="H509"/>
  <c r="E509" i="30"/>
  <c r="F509"/>
  <c r="D489" i="44" a="1"/>
  <c r="D489" s="1"/>
  <c r="E489" a="1"/>
  <c r="E489" s="1"/>
  <c r="AD142" i="24"/>
  <c r="AE142"/>
  <c r="Y142"/>
  <c r="AB142"/>
  <c r="O142"/>
  <c r="U142"/>
  <c r="T142"/>
  <c r="H142"/>
  <c r="G142"/>
  <c r="Z142"/>
  <c r="S142"/>
  <c r="M142"/>
  <c r="F142"/>
  <c r="P142"/>
  <c r="R142"/>
  <c r="AA142"/>
  <c r="N142"/>
  <c r="W142"/>
  <c r="J142"/>
  <c r="V142"/>
  <c r="L142"/>
  <c r="K142"/>
  <c r="I142"/>
  <c r="Q142"/>
  <c r="AC142"/>
  <c r="X142"/>
  <c r="AD141" i="30"/>
  <c r="AC162" i="23"/>
  <c r="AC211" s="1"/>
  <c r="E473" i="30" a="1"/>
  <c r="E473" s="1"/>
  <c r="P161" i="23"/>
  <c r="P210" s="1"/>
  <c r="M161"/>
  <c r="M210" s="1"/>
  <c r="N161"/>
  <c r="N210" s="1"/>
  <c r="L161"/>
  <c r="L210" s="1"/>
  <c r="S161"/>
  <c r="S210" s="1"/>
  <c r="J161"/>
  <c r="J210" s="1"/>
  <c r="Q161"/>
  <c r="Q210" s="1"/>
  <c r="AB161"/>
  <c r="AB210" s="1"/>
  <c r="X161"/>
  <c r="X210" s="1"/>
  <c r="Y161"/>
  <c r="Y210" s="1"/>
  <c r="O161"/>
  <c r="O210" s="1"/>
  <c r="U161"/>
  <c r="U210" s="1"/>
  <c r="AD161"/>
  <c r="AD210" s="1"/>
  <c r="H161"/>
  <c r="H210" s="1"/>
  <c r="AA161"/>
  <c r="AA210" s="1"/>
  <c r="F507" i="44"/>
  <c r="H507" i="30"/>
  <c r="H507" i="44"/>
  <c r="D507"/>
  <c r="C110" i="23"/>
  <c r="F507" i="30"/>
  <c r="D507"/>
  <c r="E507" i="44"/>
  <c r="E507" i="30"/>
  <c r="G507" i="44"/>
  <c r="G507" i="30"/>
  <c r="W161" i="23"/>
  <c r="W210" s="1"/>
  <c r="R161"/>
  <c r="R210" s="1"/>
  <c r="Z161"/>
  <c r="Z210" s="1"/>
  <c r="AC161"/>
  <c r="AC210" s="1"/>
  <c r="I161"/>
  <c r="I210" s="1"/>
  <c r="N31" i="46"/>
  <c r="AF161" i="23"/>
  <c r="AF210" s="1"/>
  <c r="AG161"/>
  <c r="AG210" s="1"/>
  <c r="K161"/>
  <c r="K210" s="1"/>
  <c r="AE161"/>
  <c r="AE210" s="1"/>
  <c r="T161"/>
  <c r="T210" s="1"/>
  <c r="V161"/>
  <c r="V210" s="1"/>
  <c r="V120" i="24"/>
  <c r="X165" i="23" s="1"/>
  <c r="X214" s="1"/>
  <c r="BU120" i="24"/>
  <c r="CI120"/>
  <c r="CB120"/>
  <c r="K120"/>
  <c r="M165" i="23" s="1"/>
  <c r="M214" s="1"/>
  <c r="AX120" i="24"/>
  <c r="CG120"/>
  <c r="AC120"/>
  <c r="AE165" i="23" s="1"/>
  <c r="AE214" s="1"/>
  <c r="O120" i="24"/>
  <c r="Q165" i="23" s="1"/>
  <c r="Q214" s="1"/>
  <c r="Z120" i="24"/>
  <c r="AB165" i="23" s="1"/>
  <c r="AB214" s="1"/>
  <c r="AW120" i="24"/>
  <c r="BT120"/>
  <c r="AT120"/>
  <c r="Y120"/>
  <c r="AA165" i="23" s="1"/>
  <c r="AA214" s="1"/>
  <c r="BS120" i="24"/>
  <c r="I189"/>
  <c r="L120"/>
  <c r="N165" i="23" s="1"/>
  <c r="N214" s="1"/>
  <c r="BF120" i="24"/>
  <c r="BY120"/>
  <c r="M120"/>
  <c r="O165" i="23" s="1"/>
  <c r="O214" s="1"/>
  <c r="CE120" i="24"/>
  <c r="BR120"/>
  <c r="BH120"/>
  <c r="AI120"/>
  <c r="J189"/>
  <c r="BP120"/>
  <c r="AV120"/>
  <c r="AE120"/>
  <c r="AG165" i="23" s="1"/>
  <c r="AG214" s="1"/>
  <c r="AH120" i="24"/>
  <c r="H189"/>
  <c r="AE129"/>
  <c r="AB135"/>
  <c r="I509" i="30"/>
  <c r="I406"/>
  <c r="J15" i="44"/>
  <c r="J79" s="1"/>
  <c r="AM128"/>
  <c r="J24" i="30"/>
  <c r="J189" s="1"/>
  <c r="Q154" i="23"/>
  <c r="Q203" s="1"/>
  <c r="N154"/>
  <c r="N203" s="1"/>
  <c r="AG154"/>
  <c r="AG203" s="1"/>
  <c r="P154"/>
  <c r="P203" s="1"/>
  <c r="O154"/>
  <c r="O203" s="1"/>
  <c r="W154"/>
  <c r="W203" s="1"/>
  <c r="M154"/>
  <c r="M203" s="1"/>
  <c r="M129" i="24"/>
  <c r="L129"/>
  <c r="U129"/>
  <c r="G129"/>
  <c r="D27" i="47"/>
  <c r="F39" i="44"/>
  <c r="F39" i="30"/>
  <c r="AC154" i="23"/>
  <c r="AC203" s="1"/>
  <c r="AB154"/>
  <c r="AB203" s="1"/>
  <c r="AD154"/>
  <c r="AD203" s="1"/>
  <c r="X154"/>
  <c r="X203" s="1"/>
  <c r="J154"/>
  <c r="J203" s="1"/>
  <c r="T154"/>
  <c r="T203" s="1"/>
  <c r="F191" i="30"/>
  <c r="F213" s="1"/>
  <c r="AT128" i="44"/>
  <c r="I84"/>
  <c r="AU21" i="42"/>
  <c r="J158" i="23"/>
  <c r="J207" s="1"/>
  <c r="AB129" i="24"/>
  <c r="X129"/>
  <c r="Q135"/>
  <c r="R135"/>
  <c r="W135"/>
  <c r="U135"/>
  <c r="S135"/>
  <c r="P129"/>
  <c r="I185" i="44"/>
  <c r="I207" s="1"/>
  <c r="J20"/>
  <c r="J402" s="1"/>
  <c r="I505"/>
  <c r="AU24" i="42"/>
  <c r="J10" i="44"/>
  <c r="K10" s="1"/>
  <c r="G190"/>
  <c r="G212" s="1"/>
  <c r="E190" i="30"/>
  <c r="E212" s="1"/>
  <c r="F190"/>
  <c r="F212" s="1"/>
  <c r="H190"/>
  <c r="H212" s="1"/>
  <c r="F190" i="44"/>
  <c r="F212" s="1"/>
  <c r="H190"/>
  <c r="H212" s="1"/>
  <c r="D190"/>
  <c r="D212" s="1"/>
  <c r="D190" i="30"/>
  <c r="D212" s="1"/>
  <c r="E113" i="23"/>
  <c r="G190" i="30"/>
  <c r="G212" s="1"/>
  <c r="E190" i="44"/>
  <c r="E212" s="1"/>
  <c r="J129" i="24"/>
  <c r="K129"/>
  <c r="S129"/>
  <c r="T129"/>
  <c r="I179"/>
  <c r="J179"/>
  <c r="E179"/>
  <c r="F179"/>
  <c r="D179"/>
  <c r="AB37" i="38" s="1"/>
  <c r="H179" i="24"/>
  <c r="N135"/>
  <c r="M135"/>
  <c r="T135"/>
  <c r="F182"/>
  <c r="H182"/>
  <c r="J182"/>
  <c r="G182"/>
  <c r="E182"/>
  <c r="I182"/>
  <c r="D182"/>
  <c r="AB40" i="38" s="1"/>
  <c r="F185" i="44"/>
  <c r="F207" s="1"/>
  <c r="H185" i="30"/>
  <c r="H207" s="1"/>
  <c r="E185" i="44"/>
  <c r="E207" s="1"/>
  <c r="F185" i="30"/>
  <c r="F207" s="1"/>
  <c r="G185" i="44"/>
  <c r="G207" s="1"/>
  <c r="H185"/>
  <c r="H207" s="1"/>
  <c r="E108" i="23"/>
  <c r="D185" i="30"/>
  <c r="D207" s="1"/>
  <c r="I135" i="24"/>
  <c r="D173"/>
  <c r="AB31" i="38" s="1"/>
  <c r="G173" i="24"/>
  <c r="H173"/>
  <c r="J173"/>
  <c r="E173"/>
  <c r="F173"/>
  <c r="I173"/>
  <c r="W129"/>
  <c r="Z129"/>
  <c r="Y129"/>
  <c r="AA129"/>
  <c r="H174"/>
  <c r="F174"/>
  <c r="D174"/>
  <c r="AB32" i="38" s="1"/>
  <c r="I174" i="24"/>
  <c r="G174"/>
  <c r="E174"/>
  <c r="J174"/>
  <c r="H175"/>
  <c r="F175"/>
  <c r="G175"/>
  <c r="D175"/>
  <c r="AB33" i="38" s="1"/>
  <c r="E175" i="24"/>
  <c r="V135"/>
  <c r="AE135"/>
  <c r="X135"/>
  <c r="Y135"/>
  <c r="H176"/>
  <c r="G176"/>
  <c r="I176"/>
  <c r="D176"/>
  <c r="AB34" i="38" s="1"/>
  <c r="J176" i="24"/>
  <c r="E176"/>
  <c r="J67" i="43"/>
  <c r="J73" s="1"/>
  <c r="J14" s="1"/>
  <c r="J19" s="1"/>
  <c r="J23" s="1"/>
  <c r="J32" s="1"/>
  <c r="N67"/>
  <c r="I67"/>
  <c r="I73" s="1"/>
  <c r="I14" s="1"/>
  <c r="I19" s="1"/>
  <c r="I23" s="1"/>
  <c r="L67"/>
  <c r="M67"/>
  <c r="AD129" i="24"/>
  <c r="H129"/>
  <c r="N129"/>
  <c r="Q129"/>
  <c r="U122" i="30"/>
  <c r="AB122"/>
  <c r="Q122"/>
  <c r="AA122"/>
  <c r="M122"/>
  <c r="N122"/>
  <c r="I122"/>
  <c r="I9" s="1"/>
  <c r="G10" i="42" s="1"/>
  <c r="K122" i="30"/>
  <c r="T122"/>
  <c r="R122"/>
  <c r="L122"/>
  <c r="W122"/>
  <c r="X122"/>
  <c r="O122"/>
  <c r="S122"/>
  <c r="V122"/>
  <c r="P122"/>
  <c r="Y122"/>
  <c r="AC122"/>
  <c r="Z122"/>
  <c r="J122"/>
  <c r="B25" i="33"/>
  <c r="X25" s="1"/>
  <c r="R121" i="44"/>
  <c r="V121"/>
  <c r="M121"/>
  <c r="U121"/>
  <c r="AC121"/>
  <c r="T121"/>
  <c r="K121"/>
  <c r="S121"/>
  <c r="AA121"/>
  <c r="L121"/>
  <c r="Z121"/>
  <c r="J121"/>
  <c r="I121"/>
  <c r="I8" s="1"/>
  <c r="Q121"/>
  <c r="Y121"/>
  <c r="AB121"/>
  <c r="N121"/>
  <c r="O121"/>
  <c r="W121"/>
  <c r="P121"/>
  <c r="X121"/>
  <c r="K122"/>
  <c r="AC122"/>
  <c r="Y122"/>
  <c r="W122"/>
  <c r="L122"/>
  <c r="P122"/>
  <c r="U122"/>
  <c r="N122"/>
  <c r="R122"/>
  <c r="X122"/>
  <c r="AA122"/>
  <c r="O122"/>
  <c r="M122"/>
  <c r="I122"/>
  <c r="I9" s="1"/>
  <c r="I73" s="1"/>
  <c r="S122"/>
  <c r="AB122"/>
  <c r="J122"/>
  <c r="Q122"/>
  <c r="T122"/>
  <c r="V122"/>
  <c r="Z122"/>
  <c r="I406"/>
  <c r="E271" i="30"/>
  <c r="F271" i="44"/>
  <c r="U155" i="23"/>
  <c r="U204" s="1"/>
  <c r="P155"/>
  <c r="P204" s="1"/>
  <c r="G505" i="30"/>
  <c r="F505"/>
  <c r="K158" i="23"/>
  <c r="K207" s="1"/>
  <c r="AG158"/>
  <c r="AG207" s="1"/>
  <c r="Z158"/>
  <c r="Z207" s="1"/>
  <c r="AA158"/>
  <c r="AA207" s="1"/>
  <c r="AB158"/>
  <c r="AB207" s="1"/>
  <c r="U158"/>
  <c r="U207" s="1"/>
  <c r="S158"/>
  <c r="S207" s="1"/>
  <c r="L158"/>
  <c r="L207" s="1"/>
  <c r="AF158"/>
  <c r="AF207" s="1"/>
  <c r="O158"/>
  <c r="O207" s="1"/>
  <c r="T158"/>
  <c r="T207" s="1"/>
  <c r="E96"/>
  <c r="I155"/>
  <c r="I204" s="1"/>
  <c r="R155"/>
  <c r="R204" s="1"/>
  <c r="M155"/>
  <c r="M204" s="1"/>
  <c r="H506" i="44"/>
  <c r="H506" i="30"/>
  <c r="E506" i="44"/>
  <c r="F506" i="30"/>
  <c r="E506"/>
  <c r="V158" i="23"/>
  <c r="V207" s="1"/>
  <c r="W158"/>
  <c r="W207" s="1"/>
  <c r="G191" i="30"/>
  <c r="G213" s="1"/>
  <c r="H191" i="44"/>
  <c r="H213" s="1"/>
  <c r="S19" i="46"/>
  <c r="H53" i="23" s="1"/>
  <c r="H7" s="1"/>
  <c r="H174" i="44" s="1"/>
  <c r="H196" s="1"/>
  <c r="D191"/>
  <c r="D213" s="1"/>
  <c r="G191"/>
  <c r="G213" s="1"/>
  <c r="K60" i="46"/>
  <c r="N60" s="1"/>
  <c r="Q60"/>
  <c r="T60" s="1"/>
  <c r="H60"/>
  <c r="Q59"/>
  <c r="T59" s="1"/>
  <c r="H59"/>
  <c r="K59"/>
  <c r="N59" s="1"/>
  <c r="AT9" i="42"/>
  <c r="H28" i="44"/>
  <c r="H41"/>
  <c r="H72"/>
  <c r="G8" i="30"/>
  <c r="E6" i="47"/>
  <c r="G8" i="44"/>
  <c r="AT10" i="42"/>
  <c r="H73" i="44"/>
  <c r="H431"/>
  <c r="AT67" i="42" s="1"/>
  <c r="L60" i="46"/>
  <c r="O60" s="1"/>
  <c r="I60"/>
  <c r="R60"/>
  <c r="U60" s="1"/>
  <c r="I59"/>
  <c r="L59"/>
  <c r="O59" s="1"/>
  <c r="R59"/>
  <c r="U59" s="1"/>
  <c r="C7" i="18"/>
  <c r="B30" s="1"/>
  <c r="R19" i="46" s="1"/>
  <c r="G53" i="23" s="1"/>
  <c r="G7" s="1"/>
  <c r="E103" i="24" s="1"/>
  <c r="H174" i="30"/>
  <c r="H196" s="1"/>
  <c r="F9" i="42"/>
  <c r="H28" i="30"/>
  <c r="H41"/>
  <c r="H431"/>
  <c r="F67" i="42" s="1"/>
  <c r="F10"/>
  <c r="H73" i="30"/>
  <c r="I81" i="44"/>
  <c r="I509"/>
  <c r="I189"/>
  <c r="I211" s="1"/>
  <c r="J18"/>
  <c r="K18" s="1"/>
  <c r="K82" s="1"/>
  <c r="J17"/>
  <c r="K17" s="1"/>
  <c r="AU22" i="42"/>
  <c r="J24" i="44"/>
  <c r="J509" s="1"/>
  <c r="AU25" i="42"/>
  <c r="I74" i="44"/>
  <c r="J23"/>
  <c r="J405" s="1"/>
  <c r="G266" i="30"/>
  <c r="E14" i="23"/>
  <c r="I501" i="30" s="1"/>
  <c r="E15" i="23"/>
  <c r="H497" i="30"/>
  <c r="G497"/>
  <c r="G497" i="44"/>
  <c r="F497"/>
  <c r="D497" i="30"/>
  <c r="D497" i="44"/>
  <c r="H497"/>
  <c r="C100" i="23"/>
  <c r="F497" i="30"/>
  <c r="E497"/>
  <c r="E497" i="44"/>
  <c r="AS11" i="42"/>
  <c r="G74" i="44"/>
  <c r="AS340" i="23"/>
  <c r="BR323"/>
  <c r="BR340" s="1"/>
  <c r="H496" i="30"/>
  <c r="G496" i="44"/>
  <c r="G496" i="30"/>
  <c r="H496" i="44"/>
  <c r="C99" i="23"/>
  <c r="M14" i="46"/>
  <c r="N14"/>
  <c r="G499" i="30"/>
  <c r="G499" i="44"/>
  <c r="F499"/>
  <c r="E499"/>
  <c r="D499" i="30"/>
  <c r="H499"/>
  <c r="C102" i="23"/>
  <c r="H499" i="44"/>
  <c r="F499" i="30"/>
  <c r="E499"/>
  <c r="D499" i="44"/>
  <c r="M42" i="46"/>
  <c r="N42"/>
  <c r="D46" i="23" s="1"/>
  <c r="BQ310"/>
  <c r="BQ342" s="1"/>
  <c r="AT342"/>
  <c r="E11" i="42"/>
  <c r="G74" i="30"/>
  <c r="G175"/>
  <c r="G197" s="1"/>
  <c r="D8" i="47"/>
  <c r="F10" i="30"/>
  <c r="F10" i="44"/>
  <c r="E476" i="30" a="1"/>
  <c r="E476" s="1"/>
  <c r="AT323" i="23"/>
  <c r="I78" i="30"/>
  <c r="I499"/>
  <c r="I74"/>
  <c r="J16" i="44"/>
  <c r="K16" s="1"/>
  <c r="I405"/>
  <c r="I179" i="30"/>
  <c r="I201" s="1"/>
  <c r="J14" i="44"/>
  <c r="J78" s="1"/>
  <c r="I179"/>
  <c r="I201" s="1"/>
  <c r="I499"/>
  <c r="I402" i="30"/>
  <c r="F678"/>
  <c r="BY176" i="42" s="1"/>
  <c r="J21" i="44"/>
  <c r="J403" s="1"/>
  <c r="J14" i="30"/>
  <c r="H15" i="42" s="1"/>
  <c r="I186" i="44"/>
  <c r="I208" s="1"/>
  <c r="I506"/>
  <c r="M16" i="46"/>
  <c r="N16"/>
  <c r="G666" i="30"/>
  <c r="E186" i="42" s="1"/>
  <c r="E666" i="30"/>
  <c r="C186" i="42" s="1"/>
  <c r="O673" i="30"/>
  <c r="M181" i="42" s="1"/>
  <c r="L673" i="30"/>
  <c r="J181" i="42" s="1"/>
  <c r="F673" i="30"/>
  <c r="D181" i="42" s="1"/>
  <c r="E673" i="30"/>
  <c r="C181" i="42" s="1"/>
  <c r="J673" i="30"/>
  <c r="H181" i="42" s="1"/>
  <c r="M673" i="30"/>
  <c r="K181" i="42" s="1"/>
  <c r="R673" i="30"/>
  <c r="P181" i="42" s="1"/>
  <c r="G673" i="30"/>
  <c r="E181" i="42" s="1"/>
  <c r="L683" i="30"/>
  <c r="CE181" i="42" s="1"/>
  <c r="F683" i="30"/>
  <c r="BY181" i="42" s="1"/>
  <c r="M683" i="30"/>
  <c r="CF181" i="42" s="1"/>
  <c r="S683" i="30"/>
  <c r="CL181" i="42" s="1"/>
  <c r="G683" i="30"/>
  <c r="BZ181" i="42" s="1"/>
  <c r="D683" i="30"/>
  <c r="BW181" i="42" s="1"/>
  <c r="K683" i="30"/>
  <c r="CD181" i="42" s="1"/>
  <c r="T673" i="30"/>
  <c r="R181" i="42" s="1"/>
  <c r="X673" i="30"/>
  <c r="V181" i="42" s="1"/>
  <c r="Y673" i="30"/>
  <c r="W181" i="42" s="1"/>
  <c r="AB673" i="30"/>
  <c r="Z181" i="42" s="1"/>
  <c r="AA673" i="30"/>
  <c r="Y181" i="42" s="1"/>
  <c r="F666" i="30"/>
  <c r="D186" i="42" s="1"/>
  <c r="D666" i="30"/>
  <c r="B186" i="42" s="1"/>
  <c r="H673" i="30"/>
  <c r="F181" i="42" s="1"/>
  <c r="P673" i="30"/>
  <c r="N181" i="42" s="1"/>
  <c r="S673" i="30"/>
  <c r="Q181" i="42" s="1"/>
  <c r="I673" i="30"/>
  <c r="G181" i="42" s="1"/>
  <c r="Q673" i="30"/>
  <c r="O181" i="42" s="1"/>
  <c r="N673" i="30"/>
  <c r="L181" i="42" s="1"/>
  <c r="K673" i="30"/>
  <c r="I181" i="42" s="1"/>
  <c r="D673" i="30"/>
  <c r="B181" i="42" s="1"/>
  <c r="N683" i="30"/>
  <c r="CG181" i="42" s="1"/>
  <c r="P683" i="30"/>
  <c r="CI181" i="42" s="1"/>
  <c r="R683" i="30"/>
  <c r="CK181" i="42" s="1"/>
  <c r="Q683" i="30"/>
  <c r="CJ181" i="42" s="1"/>
  <c r="J683" i="30"/>
  <c r="CC181" i="42" s="1"/>
  <c r="E683" i="30"/>
  <c r="BX181" i="42" s="1"/>
  <c r="H683" i="30"/>
  <c r="CA181" i="42" s="1"/>
  <c r="I683" i="30"/>
  <c r="CB181" i="42" s="1"/>
  <c r="O683" i="30"/>
  <c r="CH181" i="42" s="1"/>
  <c r="U673" i="30"/>
  <c r="S181" i="42" s="1"/>
  <c r="V673" i="30"/>
  <c r="T181" i="42" s="1"/>
  <c r="W673" i="30"/>
  <c r="U181" i="42" s="1"/>
  <c r="Z673" i="30"/>
  <c r="X181" i="42" s="1"/>
  <c r="AC673" i="30"/>
  <c r="AA181" i="42" s="1"/>
  <c r="D18" i="23"/>
  <c r="I80" s="1"/>
  <c r="E63" i="43"/>
  <c r="S674" i="44"/>
  <c r="BE190" i="42" s="1"/>
  <c r="G674" i="44"/>
  <c r="AS190" i="42" s="1"/>
  <c r="N674" i="44"/>
  <c r="AZ190" i="42" s="1"/>
  <c r="D674" i="44"/>
  <c r="AP190" i="42" s="1"/>
  <c r="R674" i="44"/>
  <c r="BD190" i="42" s="1"/>
  <c r="L674" i="44"/>
  <c r="AX190" i="42" s="1"/>
  <c r="P674" i="44"/>
  <c r="BB190" i="42" s="1"/>
  <c r="O674" i="44"/>
  <c r="BA190" i="42" s="1"/>
  <c r="V674" i="44"/>
  <c r="BH190" i="42" s="1"/>
  <c r="AC674" i="44"/>
  <c r="BO190" i="42" s="1"/>
  <c r="Z674" i="44"/>
  <c r="BL190" i="42" s="1"/>
  <c r="AA674" i="44"/>
  <c r="BM190" i="42" s="1"/>
  <c r="U674" i="44"/>
  <c r="BG190" i="42" s="1"/>
  <c r="W674" i="44"/>
  <c r="BI190" i="42" s="1"/>
  <c r="L683" i="44"/>
  <c r="CE190" i="42" s="1"/>
  <c r="F683" i="44"/>
  <c r="BY190" i="42" s="1"/>
  <c r="M683" i="44"/>
  <c r="CF190" i="42" s="1"/>
  <c r="S683" i="44"/>
  <c r="CL190" i="42" s="1"/>
  <c r="E683" i="44"/>
  <c r="BX190" i="42" s="1"/>
  <c r="R683" i="44"/>
  <c r="CK190" i="42" s="1"/>
  <c r="G683" i="44"/>
  <c r="BZ190" i="42" s="1"/>
  <c r="D683" i="44"/>
  <c r="BW190" i="42" s="1"/>
  <c r="K683" i="44"/>
  <c r="CD190" i="42" s="1"/>
  <c r="J674" i="44"/>
  <c r="AV190" i="42" s="1"/>
  <c r="E674" i="44"/>
  <c r="AQ190" i="42" s="1"/>
  <c r="Q674" i="44"/>
  <c r="BC190" i="42" s="1"/>
  <c r="M674" i="44"/>
  <c r="AY190" i="42" s="1"/>
  <c r="K674" i="44"/>
  <c r="AW190" i="42" s="1"/>
  <c r="I674" i="44"/>
  <c r="AU190" i="42" s="1"/>
  <c r="F674" i="44"/>
  <c r="AR190" i="42" s="1"/>
  <c r="H674" i="44"/>
  <c r="AT190" i="42" s="1"/>
  <c r="AB674" i="44"/>
  <c r="BN190" i="42" s="1"/>
  <c r="X674" i="44"/>
  <c r="BJ190" i="42" s="1"/>
  <c r="T674" i="44"/>
  <c r="BF190" i="42" s="1"/>
  <c r="Y674" i="44"/>
  <c r="BK190" i="42" s="1"/>
  <c r="H683" i="44"/>
  <c r="CA190" i="42" s="1"/>
  <c r="P683" i="44"/>
  <c r="CI190" i="42" s="1"/>
  <c r="N683" i="44"/>
  <c r="CG190" i="42" s="1"/>
  <c r="Q683" i="44"/>
  <c r="CJ190" i="42" s="1"/>
  <c r="I683" i="44"/>
  <c r="CB190" i="42" s="1"/>
  <c r="J683" i="44"/>
  <c r="CC190" i="42" s="1"/>
  <c r="O683" i="44"/>
  <c r="CH190" i="42" s="1"/>
  <c r="AG155" i="23"/>
  <c r="AG204" s="1"/>
  <c r="T155"/>
  <c r="T204" s="1"/>
  <c r="X155"/>
  <c r="X204" s="1"/>
  <c r="BI331"/>
  <c r="AH351"/>
  <c r="BG319"/>
  <c r="BG351" s="1"/>
  <c r="BA319"/>
  <c r="BA351" s="1"/>
  <c r="AN351"/>
  <c r="BI319"/>
  <c r="BI351" s="1"/>
  <c r="AF351"/>
  <c r="BC319"/>
  <c r="BC351" s="1"/>
  <c r="AL351"/>
  <c r="BF319"/>
  <c r="BF351" s="1"/>
  <c r="AI351"/>
  <c r="BP310"/>
  <c r="BP342" s="1"/>
  <c r="AV310"/>
  <c r="BI329"/>
  <c r="BI359" s="1"/>
  <c r="AF359"/>
  <c r="AE359"/>
  <c r="BJ329"/>
  <c r="BJ359" s="1"/>
  <c r="AP329"/>
  <c r="AJ359"/>
  <c r="BE329"/>
  <c r="BE359" s="1"/>
  <c r="BH329"/>
  <c r="BH359" s="1"/>
  <c r="AG359"/>
  <c r="AN359"/>
  <c r="BA329"/>
  <c r="BA359" s="1"/>
  <c r="M10" i="46"/>
  <c r="N10"/>
  <c r="D50" i="23" s="1"/>
  <c r="D12" s="1"/>
  <c r="I74" s="1"/>
  <c r="C101"/>
  <c r="G498" i="30"/>
  <c r="F498" i="44"/>
  <c r="D498" i="30"/>
  <c r="D498" i="44"/>
  <c r="F498" i="30"/>
  <c r="E498" i="44"/>
  <c r="E498" i="30"/>
  <c r="AB152" i="23"/>
  <c r="AB201" s="1"/>
  <c r="Z152"/>
  <c r="Z201" s="1"/>
  <c r="AA152"/>
  <c r="AA201" s="1"/>
  <c r="P152"/>
  <c r="P201" s="1"/>
  <c r="K152"/>
  <c r="K201" s="1"/>
  <c r="U152"/>
  <c r="U201" s="1"/>
  <c r="H152"/>
  <c r="H201" s="1"/>
  <c r="S152"/>
  <c r="S201" s="1"/>
  <c r="X152"/>
  <c r="X201" s="1"/>
  <c r="AE152"/>
  <c r="AE201" s="1"/>
  <c r="AC152"/>
  <c r="AC201" s="1"/>
  <c r="AF152"/>
  <c r="AF201" s="1"/>
  <c r="M152"/>
  <c r="M201" s="1"/>
  <c r="N152"/>
  <c r="N201" s="1"/>
  <c r="J152"/>
  <c r="J201" s="1"/>
  <c r="F508" i="44"/>
  <c r="C111" i="23"/>
  <c r="E508" i="44"/>
  <c r="D508" i="30"/>
  <c r="H508"/>
  <c r="D508" i="44"/>
  <c r="G508" i="30"/>
  <c r="H508" i="44"/>
  <c r="E508" i="30"/>
  <c r="G508" i="44"/>
  <c r="F508" i="30"/>
  <c r="AE156" i="23"/>
  <c r="AE205" s="1"/>
  <c r="S156"/>
  <c r="S205" s="1"/>
  <c r="M156"/>
  <c r="M205" s="1"/>
  <c r="AA156"/>
  <c r="AA205" s="1"/>
  <c r="O156"/>
  <c r="O205" s="1"/>
  <c r="K156"/>
  <c r="K205" s="1"/>
  <c r="I156"/>
  <c r="I205" s="1"/>
  <c r="Y156"/>
  <c r="Y205" s="1"/>
  <c r="N156"/>
  <c r="N205" s="1"/>
  <c r="L156"/>
  <c r="L205" s="1"/>
  <c r="V156"/>
  <c r="V205" s="1"/>
  <c r="AC156"/>
  <c r="AC205" s="1"/>
  <c r="AD156"/>
  <c r="AD205" s="1"/>
  <c r="P156"/>
  <c r="P205" s="1"/>
  <c r="J156"/>
  <c r="J205" s="1"/>
  <c r="H156"/>
  <c r="H205" s="1"/>
  <c r="AB156"/>
  <c r="AB205" s="1"/>
  <c r="AF156"/>
  <c r="AF205" s="1"/>
  <c r="R156"/>
  <c r="R205" s="1"/>
  <c r="T156"/>
  <c r="T205" s="1"/>
  <c r="X156"/>
  <c r="X205" s="1"/>
  <c r="W156"/>
  <c r="W205" s="1"/>
  <c r="Q156"/>
  <c r="Q205" s="1"/>
  <c r="Z156"/>
  <c r="Z205" s="1"/>
  <c r="AG156"/>
  <c r="AG205" s="1"/>
  <c r="U156"/>
  <c r="U205" s="1"/>
  <c r="AP331"/>
  <c r="AQ331" s="1"/>
  <c r="BJ331"/>
  <c r="BD319"/>
  <c r="BD351" s="1"/>
  <c r="AK351"/>
  <c r="AP319"/>
  <c r="AE351"/>
  <c r="BJ319"/>
  <c r="BJ351" s="1"/>
  <c r="AJ351"/>
  <c r="BE319"/>
  <c r="BE351" s="1"/>
  <c r="BB319"/>
  <c r="BB351" s="1"/>
  <c r="AM351"/>
  <c r="AG351"/>
  <c r="BH319"/>
  <c r="BH351" s="1"/>
  <c r="I137" i="24"/>
  <c r="AA137"/>
  <c r="AC137"/>
  <c r="K137"/>
  <c r="N137"/>
  <c r="Q137"/>
  <c r="AD137"/>
  <c r="S137"/>
  <c r="W137"/>
  <c r="F137"/>
  <c r="O137"/>
  <c r="Z137"/>
  <c r="AB137"/>
  <c r="Y137"/>
  <c r="X137"/>
  <c r="AE137"/>
  <c r="G137"/>
  <c r="P137"/>
  <c r="M137"/>
  <c r="H137"/>
  <c r="J137"/>
  <c r="T137"/>
  <c r="R137"/>
  <c r="V137"/>
  <c r="U137"/>
  <c r="L137"/>
  <c r="AI359" i="23"/>
  <c r="BF329"/>
  <c r="BF359" s="1"/>
  <c r="AH359"/>
  <c r="BG329"/>
  <c r="BG359" s="1"/>
  <c r="AK359"/>
  <c r="BD329"/>
  <c r="BD359" s="1"/>
  <c r="AL359"/>
  <c r="BC329"/>
  <c r="BC359" s="1"/>
  <c r="BB329"/>
  <c r="BB359" s="1"/>
  <c r="AM359"/>
  <c r="N32" i="46"/>
  <c r="D58" i="23" s="1"/>
  <c r="D25" s="1"/>
  <c r="I87" s="1"/>
  <c r="N28" i="46"/>
  <c r="N12"/>
  <c r="D38" i="23" s="1"/>
  <c r="D19" s="1"/>
  <c r="I81" s="1"/>
  <c r="E660" i="30"/>
  <c r="C176" i="42" s="1"/>
  <c r="E481" i="44" a="1"/>
  <c r="E481" s="1"/>
  <c r="M250" i="23"/>
  <c r="N250" s="1"/>
  <c r="O250" s="1"/>
  <c r="P250" s="1"/>
  <c r="Q250" s="1"/>
  <c r="R250" s="1"/>
  <c r="S250" s="1"/>
  <c r="T250" s="1"/>
  <c r="U250" s="1"/>
  <c r="V250" s="1"/>
  <c r="W250" s="1"/>
  <c r="X250" s="1"/>
  <c r="Y250" s="1"/>
  <c r="Z250" s="1"/>
  <c r="AA250" s="1"/>
  <c r="AB250" s="1"/>
  <c r="AC250" s="1"/>
  <c r="AD250" s="1"/>
  <c r="AE250" s="1"/>
  <c r="AF250" s="1"/>
  <c r="AG250" s="1"/>
  <c r="H176" i="30"/>
  <c r="H198" s="1"/>
  <c r="H176" i="44"/>
  <c r="H198" s="1"/>
  <c r="L264" i="23"/>
  <c r="G192" i="44"/>
  <c r="G214" s="1"/>
  <c r="G192" i="30"/>
  <c r="G214" s="1"/>
  <c r="G271"/>
  <c r="AW128" i="44"/>
  <c r="I80" i="30"/>
  <c r="AU11" i="42"/>
  <c r="I188" i="44"/>
  <c r="I210" s="1"/>
  <c r="I87"/>
  <c r="I430"/>
  <c r="AU66" i="42" s="1"/>
  <c r="I175" i="44"/>
  <c r="I197" s="1"/>
  <c r="J16" i="30"/>
  <c r="K16" s="1"/>
  <c r="L16" s="1"/>
  <c r="L80" s="1"/>
  <c r="I181"/>
  <c r="I203" s="1"/>
  <c r="I78" i="44"/>
  <c r="AU15" i="42"/>
  <c r="G19"/>
  <c r="I400" i="30"/>
  <c r="I503"/>
  <c r="I82"/>
  <c r="I183"/>
  <c r="I205" s="1"/>
  <c r="I93"/>
  <c r="J18"/>
  <c r="J503" s="1"/>
  <c r="I85" i="44"/>
  <c r="G15" i="42"/>
  <c r="AP128" i="44"/>
  <c r="AN486" a="1"/>
  <c r="AN486" s="1"/>
  <c r="I93"/>
  <c r="AU17" i="42"/>
  <c r="AR128" i="44"/>
  <c r="AS128"/>
  <c r="R79" i="23"/>
  <c r="AX79"/>
  <c r="AO79"/>
  <c r="AF79"/>
  <c r="K79"/>
  <c r="AI79"/>
  <c r="AA79"/>
  <c r="AJ79"/>
  <c r="O79"/>
  <c r="AS79"/>
  <c r="AC79"/>
  <c r="AT79"/>
  <c r="AD79"/>
  <c r="Z79"/>
  <c r="Q79"/>
  <c r="AW79"/>
  <c r="AV79"/>
  <c r="AB79"/>
  <c r="AY79"/>
  <c r="AU79"/>
  <c r="AN79"/>
  <c r="P79"/>
  <c r="T79"/>
  <c r="AH79"/>
  <c r="Y79"/>
  <c r="F458" i="44"/>
  <c r="W79" i="23"/>
  <c r="AR79"/>
  <c r="AQ79"/>
  <c r="AZ79"/>
  <c r="L79"/>
  <c r="J79"/>
  <c r="AK79"/>
  <c r="U79"/>
  <c r="AL79"/>
  <c r="N79"/>
  <c r="AP79"/>
  <c r="AG79"/>
  <c r="V79"/>
  <c r="AM79"/>
  <c r="S79"/>
  <c r="F458" i="30"/>
  <c r="AE79" i="23"/>
  <c r="X79"/>
  <c r="M79"/>
  <c r="F440" i="44"/>
  <c r="BZ67" i="42" s="1"/>
  <c r="AR12"/>
  <c r="F176" i="44"/>
  <c r="F198" s="1"/>
  <c r="F496"/>
  <c r="Q135" i="30"/>
  <c r="G86"/>
  <c r="P135"/>
  <c r="X135"/>
  <c r="D86"/>
  <c r="H86"/>
  <c r="E86"/>
  <c r="V135"/>
  <c r="AA135"/>
  <c r="J135"/>
  <c r="Z135"/>
  <c r="O135"/>
  <c r="AC135"/>
  <c r="AB648" s="1" a="1"/>
  <c r="AB648" s="1"/>
  <c r="Y135"/>
  <c r="I135"/>
  <c r="L135"/>
  <c r="T135"/>
  <c r="AB135"/>
  <c r="S135"/>
  <c r="W135"/>
  <c r="N135"/>
  <c r="F86"/>
  <c r="U135"/>
  <c r="R135"/>
  <c r="K135"/>
  <c r="M135"/>
  <c r="G512" i="44"/>
  <c r="D512" i="30"/>
  <c r="C115" i="23"/>
  <c r="G512" i="30"/>
  <c r="D512" i="44"/>
  <c r="F512" i="30"/>
  <c r="H512" i="44"/>
  <c r="E512" i="30"/>
  <c r="E512" i="44"/>
  <c r="F512"/>
  <c r="H512" i="30"/>
  <c r="P151" i="23"/>
  <c r="P200" s="1"/>
  <c r="V151"/>
  <c r="V200" s="1"/>
  <c r="AG151"/>
  <c r="AG200" s="1"/>
  <c r="AB151"/>
  <c r="AB200" s="1"/>
  <c r="M151"/>
  <c r="M200" s="1"/>
  <c r="I151"/>
  <c r="I200" s="1"/>
  <c r="D7" i="47"/>
  <c r="F9" i="30"/>
  <c r="F9" i="44"/>
  <c r="F431" s="1"/>
  <c r="AR67" i="42" s="1"/>
  <c r="H190" i="24"/>
  <c r="Q121"/>
  <c r="AG121"/>
  <c r="AW121"/>
  <c r="BM121"/>
  <c r="CC121"/>
  <c r="CH121"/>
  <c r="BR121"/>
  <c r="BB121"/>
  <c r="AL121"/>
  <c r="V121"/>
  <c r="I190"/>
  <c r="S121"/>
  <c r="AY121"/>
  <c r="CE121"/>
  <c r="BP121"/>
  <c r="AJ121"/>
  <c r="F190"/>
  <c r="AE121"/>
  <c r="BK121"/>
  <c r="M121"/>
  <c r="AS121"/>
  <c r="BY121"/>
  <c r="BV121"/>
  <c r="AP121"/>
  <c r="J121"/>
  <c r="AQ121"/>
  <c r="BX121"/>
  <c r="L121"/>
  <c r="BC121"/>
  <c r="CJ121"/>
  <c r="BD121"/>
  <c r="X121"/>
  <c r="F121"/>
  <c r="AK121"/>
  <c r="BQ121"/>
  <c r="CD121"/>
  <c r="AX121"/>
  <c r="R121"/>
  <c r="AA121"/>
  <c r="CM121"/>
  <c r="AB121"/>
  <c r="AM121"/>
  <c r="CI121"/>
  <c r="BL121"/>
  <c r="AF121"/>
  <c r="G190"/>
  <c r="I121"/>
  <c r="Y121"/>
  <c r="AO121"/>
  <c r="BE121"/>
  <c r="BU121"/>
  <c r="CK121"/>
  <c r="BZ121"/>
  <c r="BJ121"/>
  <c r="AT121"/>
  <c r="AD121"/>
  <c r="N121"/>
  <c r="J190"/>
  <c r="AI121"/>
  <c r="BO121"/>
  <c r="CF121"/>
  <c r="AZ121"/>
  <c r="T121"/>
  <c r="O121"/>
  <c r="AU121"/>
  <c r="E190"/>
  <c r="AC121"/>
  <c r="BI121"/>
  <c r="CL121"/>
  <c r="BF121"/>
  <c r="Z121"/>
  <c r="K121"/>
  <c r="BW121"/>
  <c r="AR121"/>
  <c r="W121"/>
  <c r="CA121"/>
  <c r="BT121"/>
  <c r="AN121"/>
  <c r="H121"/>
  <c r="U121"/>
  <c r="BA121"/>
  <c r="CG121"/>
  <c r="BN121"/>
  <c r="AH121"/>
  <c r="D190"/>
  <c r="AB48" i="38" s="1"/>
  <c r="BG121" i="24"/>
  <c r="BH121"/>
  <c r="G121"/>
  <c r="BS121"/>
  <c r="CB121"/>
  <c r="AV121"/>
  <c r="P121"/>
  <c r="BS333" i="23"/>
  <c r="AS333"/>
  <c r="AT333" s="1"/>
  <c r="C105"/>
  <c r="E502" i="30"/>
  <c r="G502"/>
  <c r="D502"/>
  <c r="H502"/>
  <c r="G502" i="44"/>
  <c r="F502" i="30"/>
  <c r="H502" i="44"/>
  <c r="F502"/>
  <c r="E502"/>
  <c r="D502"/>
  <c r="F440" i="30"/>
  <c r="BZ66" i="42" s="1"/>
  <c r="D12"/>
  <c r="F176" i="30"/>
  <c r="F198" s="1"/>
  <c r="F496"/>
  <c r="C9" i="47"/>
  <c r="E11" i="30"/>
  <c r="E11" i="44"/>
  <c r="H666" i="30"/>
  <c r="F186" i="42" s="1"/>
  <c r="H86" i="44"/>
  <c r="N135"/>
  <c r="V135"/>
  <c r="K135"/>
  <c r="AA135"/>
  <c r="Q135"/>
  <c r="E86"/>
  <c r="P135"/>
  <c r="X135"/>
  <c r="O135"/>
  <c r="G86"/>
  <c r="U135"/>
  <c r="F86"/>
  <c r="D86"/>
  <c r="J135"/>
  <c r="R135"/>
  <c r="Z135"/>
  <c r="S135"/>
  <c r="I135"/>
  <c r="I22" s="1"/>
  <c r="Y135"/>
  <c r="L135"/>
  <c r="T135"/>
  <c r="AB135"/>
  <c r="W135"/>
  <c r="M135"/>
  <c r="AC135"/>
  <c r="AB648" s="1" a="1"/>
  <c r="AB648" s="1"/>
  <c r="D505"/>
  <c r="D505" i="30"/>
  <c r="F505" i="44"/>
  <c r="H505" i="30"/>
  <c r="H505" i="44"/>
  <c r="C108" i="23"/>
  <c r="E505" i="30"/>
  <c r="G174" i="44"/>
  <c r="G196" s="1"/>
  <c r="G41"/>
  <c r="G73"/>
  <c r="AS10" i="42"/>
  <c r="G28" i="44"/>
  <c r="G29" s="1"/>
  <c r="E10" i="42"/>
  <c r="G174" i="30"/>
  <c r="G196" s="1"/>
  <c r="G41"/>
  <c r="G28"/>
  <c r="G29" s="1"/>
  <c r="G431"/>
  <c r="E67" i="42" s="1"/>
  <c r="G73" i="30"/>
  <c r="E501" i="44"/>
  <c r="E661" s="1"/>
  <c r="AQ177" i="42" s="1"/>
  <c r="C104" i="23"/>
  <c r="F501" i="44"/>
  <c r="F661" s="1"/>
  <c r="AR177" i="42" s="1"/>
  <c r="D501" i="44"/>
  <c r="D661" s="1"/>
  <c r="AP177" i="42" s="1"/>
  <c r="F501" i="30"/>
  <c r="G501"/>
  <c r="E501"/>
  <c r="D501"/>
  <c r="G501" i="44"/>
  <c r="G661" s="1"/>
  <c r="AS177" i="42" s="1"/>
  <c r="H501" i="44"/>
  <c r="H661" s="1"/>
  <c r="AT177" i="42" s="1"/>
  <c r="H501" i="30"/>
  <c r="BR316" i="23"/>
  <c r="BR354" s="1"/>
  <c r="AS354"/>
  <c r="I22" i="30"/>
  <c r="I86" s="1"/>
  <c r="AT316" i="23"/>
  <c r="AJ128" i="44"/>
  <c r="AH486" a="1"/>
  <c r="AH486" s="1"/>
  <c r="I505" i="30"/>
  <c r="I81"/>
  <c r="I178"/>
  <c r="I200" s="1"/>
  <c r="J17"/>
  <c r="J94" s="1"/>
  <c r="I181" i="44"/>
  <c r="I203" s="1"/>
  <c r="AU19" i="42"/>
  <c r="I82" i="44"/>
  <c r="I183"/>
  <c r="I205" s="1"/>
  <c r="AC648" a="1"/>
  <c r="AC648" s="1"/>
  <c r="J20" i="30"/>
  <c r="J185" s="1"/>
  <c r="I185"/>
  <c r="I207" s="1"/>
  <c r="I94" i="44"/>
  <c r="I84" i="30"/>
  <c r="I399"/>
  <c r="I77"/>
  <c r="I498"/>
  <c r="I182" i="44"/>
  <c r="I204" s="1"/>
  <c r="I94" i="30"/>
  <c r="J13"/>
  <c r="J498" s="1"/>
  <c r="AC637" i="44" a="1"/>
  <c r="AC637" s="1"/>
  <c r="I175" i="30"/>
  <c r="I197" s="1"/>
  <c r="I80" i="44"/>
  <c r="I503"/>
  <c r="I400"/>
  <c r="AG128"/>
  <c r="BS313" i="23"/>
  <c r="BA311"/>
  <c r="BG311"/>
  <c r="BB311"/>
  <c r="BC311"/>
  <c r="BJ311"/>
  <c r="AP311"/>
  <c r="BU311" s="1"/>
  <c r="BF330"/>
  <c r="BD330"/>
  <c r="BI330"/>
  <c r="BE330"/>
  <c r="BH330"/>
  <c r="BD320"/>
  <c r="BD350" s="1"/>
  <c r="AK350"/>
  <c r="BG320"/>
  <c r="BG350" s="1"/>
  <c r="AH350"/>
  <c r="BA320"/>
  <c r="BA350" s="1"/>
  <c r="AN350"/>
  <c r="BH320"/>
  <c r="BH350" s="1"/>
  <c r="AG350"/>
  <c r="BB320"/>
  <c r="BB350" s="1"/>
  <c r="AM350"/>
  <c r="K457" i="30"/>
  <c r="K457" i="44"/>
  <c r="M457"/>
  <c r="M457" i="30"/>
  <c r="AK457"/>
  <c r="AK457" i="44"/>
  <c r="AW457"/>
  <c r="AW457" i="30"/>
  <c r="AE457"/>
  <c r="AE457" i="44"/>
  <c r="Z457" i="30"/>
  <c r="Z457" i="44"/>
  <c r="H457"/>
  <c r="H457" i="30"/>
  <c r="AB457"/>
  <c r="AB457" i="44"/>
  <c r="AH457"/>
  <c r="AH457" i="30"/>
  <c r="F480" a="1"/>
  <c r="F480" s="1"/>
  <c r="AF457"/>
  <c r="AF457" i="44"/>
  <c r="AJ457"/>
  <c r="AJ457" i="30"/>
  <c r="R457" i="44"/>
  <c r="R457" i="30"/>
  <c r="AP457"/>
  <c r="AP457" i="44"/>
  <c r="V457"/>
  <c r="V457" i="30"/>
  <c r="AU457" i="44"/>
  <c r="AU457" i="30"/>
  <c r="X457" i="44"/>
  <c r="X457" i="30"/>
  <c r="AI457"/>
  <c r="AI457" i="44"/>
  <c r="G457" i="30"/>
  <c r="G457" i="44"/>
  <c r="AC457" i="30"/>
  <c r="AC457" i="44"/>
  <c r="AT457"/>
  <c r="AT457" i="30"/>
  <c r="AV457" i="44"/>
  <c r="AV457" i="30"/>
  <c r="AL355" i="23"/>
  <c r="BC314"/>
  <c r="BC355" s="1"/>
  <c r="AG355"/>
  <c r="BH314"/>
  <c r="BH355" s="1"/>
  <c r="BD314"/>
  <c r="BD355" s="1"/>
  <c r="AK355"/>
  <c r="AF355"/>
  <c r="BI314"/>
  <c r="BI355" s="1"/>
  <c r="AJ355"/>
  <c r="BE314"/>
  <c r="BE355" s="1"/>
  <c r="AF353"/>
  <c r="BI309"/>
  <c r="BI353" s="1"/>
  <c r="BG309"/>
  <c r="BG353" s="1"/>
  <c r="AH353"/>
  <c r="BD309"/>
  <c r="BD353" s="1"/>
  <c r="AK353"/>
  <c r="BE309"/>
  <c r="BE353" s="1"/>
  <c r="AJ353"/>
  <c r="BA309"/>
  <c r="BA353" s="1"/>
  <c r="AN353"/>
  <c r="BE312"/>
  <c r="BE347" s="1"/>
  <c r="AJ347"/>
  <c r="BJ312"/>
  <c r="BJ347" s="1"/>
  <c r="AE347"/>
  <c r="AP312"/>
  <c r="BF312"/>
  <c r="BF347" s="1"/>
  <c r="AI347"/>
  <c r="BI312"/>
  <c r="BI347" s="1"/>
  <c r="AQ312"/>
  <c r="AF347"/>
  <c r="AL347"/>
  <c r="BC312"/>
  <c r="BC347" s="1"/>
  <c r="AA462" i="30"/>
  <c r="AA462" i="44"/>
  <c r="AP462" i="30"/>
  <c r="AP462" i="44"/>
  <c r="AW462"/>
  <c r="AW462" i="30"/>
  <c r="X462"/>
  <c r="X462" i="44"/>
  <c r="R462"/>
  <c r="R462" i="30"/>
  <c r="Y462"/>
  <c r="Y462" i="44"/>
  <c r="AC462" i="30"/>
  <c r="AC462" i="44"/>
  <c r="AE462"/>
  <c r="AE462" i="30"/>
  <c r="AQ462"/>
  <c r="AQ462" i="44"/>
  <c r="G462"/>
  <c r="G462" i="30"/>
  <c r="T462"/>
  <c r="T462" i="44"/>
  <c r="BE325" i="23"/>
  <c r="BE344" s="1"/>
  <c r="AJ344"/>
  <c r="BH325"/>
  <c r="BH344" s="1"/>
  <c r="AG344"/>
  <c r="BA325"/>
  <c r="BA344" s="1"/>
  <c r="AN344"/>
  <c r="BI325"/>
  <c r="BI344" s="1"/>
  <c r="AF344"/>
  <c r="AP325"/>
  <c r="BJ325"/>
  <c r="BJ344" s="1"/>
  <c r="AE344"/>
  <c r="BB318"/>
  <c r="BB352" s="1"/>
  <c r="AM352"/>
  <c r="BG318"/>
  <c r="BG352" s="1"/>
  <c r="AH352"/>
  <c r="BJ318"/>
  <c r="BJ352" s="1"/>
  <c r="AP318"/>
  <c r="AE352"/>
  <c r="AN352"/>
  <c r="BA318"/>
  <c r="BA352" s="1"/>
  <c r="BF318"/>
  <c r="BF352" s="1"/>
  <c r="AI352"/>
  <c r="AU349"/>
  <c r="BP317"/>
  <c r="AU348"/>
  <c r="BT313"/>
  <c r="AS313"/>
  <c r="BR313" s="1"/>
  <c r="BI311"/>
  <c r="AQ311"/>
  <c r="BT311" s="1"/>
  <c r="BH311"/>
  <c r="AR311"/>
  <c r="BS311" s="1"/>
  <c r="BE311"/>
  <c r="BF311"/>
  <c r="BG330"/>
  <c r="BC330"/>
  <c r="AP330"/>
  <c r="BJ330"/>
  <c r="BE320"/>
  <c r="BE350" s="1"/>
  <c r="AJ350"/>
  <c r="BJ320"/>
  <c r="BJ350" s="1"/>
  <c r="AP320"/>
  <c r="AQ320" s="1"/>
  <c r="AE350"/>
  <c r="BF320"/>
  <c r="BF350" s="1"/>
  <c r="AI350"/>
  <c r="AF350"/>
  <c r="BI320"/>
  <c r="BI350" s="1"/>
  <c r="AL350"/>
  <c r="BC320"/>
  <c r="BC350" s="1"/>
  <c r="T457" i="30"/>
  <c r="T457" i="44"/>
  <c r="AQ457"/>
  <c r="AQ457" i="30"/>
  <c r="N457"/>
  <c r="N457" i="44"/>
  <c r="I457"/>
  <c r="I457" i="30"/>
  <c r="AD457" i="44"/>
  <c r="AD457" i="30"/>
  <c r="AN457"/>
  <c r="AN457" i="44"/>
  <c r="S457"/>
  <c r="S457" i="30"/>
  <c r="Y457"/>
  <c r="Y457" i="44"/>
  <c r="F480" a="1"/>
  <c r="F480" s="1"/>
  <c r="AG457" i="30"/>
  <c r="AG457" i="44"/>
  <c r="W457"/>
  <c r="W457" i="30"/>
  <c r="L457" i="44"/>
  <c r="L457" i="30"/>
  <c r="AA457"/>
  <c r="AA457" i="44"/>
  <c r="AO457"/>
  <c r="AO457" i="30"/>
  <c r="AS457" i="44"/>
  <c r="AS457" i="30"/>
  <c r="Q457"/>
  <c r="Q457" i="44"/>
  <c r="O457" i="30"/>
  <c r="O457" i="44"/>
  <c r="AR457"/>
  <c r="AR457" i="30"/>
  <c r="AL457" i="44"/>
  <c r="AL457" i="30"/>
  <c r="U457"/>
  <c r="U457" i="44"/>
  <c r="J457"/>
  <c r="J457" i="30"/>
  <c r="AM457"/>
  <c r="AM457" i="44"/>
  <c r="P457" i="30"/>
  <c r="P457" i="44"/>
  <c r="BA314" i="23"/>
  <c r="BA355" s="1"/>
  <c r="AN355"/>
  <c r="BF314"/>
  <c r="BF355" s="1"/>
  <c r="AI355"/>
  <c r="BB314"/>
  <c r="BB355" s="1"/>
  <c r="AM355"/>
  <c r="AH355"/>
  <c r="BG314"/>
  <c r="BG355" s="1"/>
  <c r="AE355"/>
  <c r="BJ314"/>
  <c r="BJ355" s="1"/>
  <c r="AP314"/>
  <c r="AI353"/>
  <c r="BF309"/>
  <c r="BF353" s="1"/>
  <c r="BJ309"/>
  <c r="BJ353" s="1"/>
  <c r="AP309"/>
  <c r="AE353"/>
  <c r="AL353"/>
  <c r="BC309"/>
  <c r="BC353" s="1"/>
  <c r="AM353"/>
  <c r="BB309"/>
  <c r="BB353" s="1"/>
  <c r="AK347"/>
  <c r="BD312"/>
  <c r="BD347" s="1"/>
  <c r="BG312"/>
  <c r="BG347" s="1"/>
  <c r="AH347"/>
  <c r="BA312"/>
  <c r="BA347" s="1"/>
  <c r="AN347"/>
  <c r="BH312"/>
  <c r="BH347" s="1"/>
  <c r="AG347"/>
  <c r="AR312"/>
  <c r="AS312" s="1"/>
  <c r="BB312"/>
  <c r="BB347" s="1"/>
  <c r="AM347"/>
  <c r="AB462" i="30"/>
  <c r="AB462" i="44"/>
  <c r="AV462"/>
  <c r="AV462" i="30"/>
  <c r="AD462" i="44"/>
  <c r="AD462" i="30"/>
  <c r="AK462" i="44"/>
  <c r="AK462" i="30"/>
  <c r="AU462" i="44"/>
  <c r="AU462" i="30"/>
  <c r="N462" i="44"/>
  <c r="N462" i="30"/>
  <c r="J462" i="44"/>
  <c r="J462" i="30"/>
  <c r="Q462"/>
  <c r="Q462" i="44"/>
  <c r="AR462"/>
  <c r="AR462" i="30"/>
  <c r="S462"/>
  <c r="S462" i="44"/>
  <c r="AL462"/>
  <c r="AL462" i="30"/>
  <c r="AL344" i="23"/>
  <c r="BC325"/>
  <c r="BC344" s="1"/>
  <c r="AM344"/>
  <c r="BB325"/>
  <c r="BB344" s="1"/>
  <c r="BF325"/>
  <c r="BF344" s="1"/>
  <c r="AI344"/>
  <c r="BG325"/>
  <c r="BG344" s="1"/>
  <c r="AH344"/>
  <c r="AK344"/>
  <c r="BD325"/>
  <c r="BD344" s="1"/>
  <c r="AF352"/>
  <c r="BI318"/>
  <c r="BI352" s="1"/>
  <c r="AQ318"/>
  <c r="AR318" s="1"/>
  <c r="BE318"/>
  <c r="BE352" s="1"/>
  <c r="AJ352"/>
  <c r="BC318"/>
  <c r="BC352" s="1"/>
  <c r="AL352"/>
  <c r="BH318"/>
  <c r="BH352" s="1"/>
  <c r="AG352"/>
  <c r="AK352"/>
  <c r="BD318"/>
  <c r="BD352" s="1"/>
  <c r="BQ349"/>
  <c r="BQ348"/>
  <c r="AE133" i="24"/>
  <c r="AC103" i="23" s="1"/>
  <c r="AV13" i="38" s="1"/>
  <c r="AV317" i="23"/>
  <c r="AW317" s="1"/>
  <c r="AU18" i="42"/>
  <c r="I502" i="44"/>
  <c r="AM346" i="23"/>
  <c r="BB321"/>
  <c r="BB346" s="1"/>
  <c r="BA321"/>
  <c r="BA346" s="1"/>
  <c r="AN346"/>
  <c r="BE321"/>
  <c r="BE346" s="1"/>
  <c r="AJ346"/>
  <c r="BC321"/>
  <c r="BC346" s="1"/>
  <c r="AL346"/>
  <c r="BH321"/>
  <c r="BH346" s="1"/>
  <c r="AG346"/>
  <c r="BG328"/>
  <c r="AH356"/>
  <c r="AH358"/>
  <c r="AH357"/>
  <c r="BH328"/>
  <c r="AG358"/>
  <c r="AG357"/>
  <c r="AG356"/>
  <c r="AR328"/>
  <c r="AS328" s="1"/>
  <c r="BA324"/>
  <c r="BA341" s="1"/>
  <c r="AN341"/>
  <c r="BB324"/>
  <c r="BB341" s="1"/>
  <c r="AM341"/>
  <c r="BF326"/>
  <c r="BF345" s="1"/>
  <c r="AI345"/>
  <c r="BC326"/>
  <c r="BC345" s="1"/>
  <c r="AL345"/>
  <c r="BH326"/>
  <c r="BH345" s="1"/>
  <c r="AG345"/>
  <c r="BE326"/>
  <c r="BE345" s="1"/>
  <c r="AJ345"/>
  <c r="BB326"/>
  <c r="BB345" s="1"/>
  <c r="AM345"/>
  <c r="BA322"/>
  <c r="BI322"/>
  <c r="AQ322"/>
  <c r="BF332"/>
  <c r="BE332"/>
  <c r="BC332"/>
  <c r="BA332"/>
  <c r="AP332"/>
  <c r="BU332" s="1"/>
  <c r="BJ332"/>
  <c r="BG321"/>
  <c r="BG346" s="1"/>
  <c r="AH346"/>
  <c r="BJ321"/>
  <c r="BJ346" s="1"/>
  <c r="AE346"/>
  <c r="AP321"/>
  <c r="AQ321" s="1"/>
  <c r="BD321"/>
  <c r="BD346" s="1"/>
  <c r="AK346"/>
  <c r="BF321"/>
  <c r="BF346" s="1"/>
  <c r="AI346"/>
  <c r="BI321"/>
  <c r="BI346" s="1"/>
  <c r="AF346"/>
  <c r="BE328"/>
  <c r="AJ356"/>
  <c r="AJ357"/>
  <c r="AJ358"/>
  <c r="BD328"/>
  <c r="AK358"/>
  <c r="AK357"/>
  <c r="AK356"/>
  <c r="BC324"/>
  <c r="BC341" s="1"/>
  <c r="AL341"/>
  <c r="BH324"/>
  <c r="BH341" s="1"/>
  <c r="AG341"/>
  <c r="AR324"/>
  <c r="BG324"/>
  <c r="BG341" s="1"/>
  <c r="AH341"/>
  <c r="AK345"/>
  <c r="BD326"/>
  <c r="BD345" s="1"/>
  <c r="BA326"/>
  <c r="BA345" s="1"/>
  <c r="AN345"/>
  <c r="AH345"/>
  <c r="BG326"/>
  <c r="BG345" s="1"/>
  <c r="BJ326"/>
  <c r="BJ345" s="1"/>
  <c r="AE345"/>
  <c r="AP326"/>
  <c r="AF345"/>
  <c r="BI326"/>
  <c r="BI345" s="1"/>
  <c r="BG322"/>
  <c r="BF322"/>
  <c r="BI332"/>
  <c r="AQ332"/>
  <c r="BT332" s="1"/>
  <c r="BH332"/>
  <c r="BD332"/>
  <c r="BB332"/>
  <c r="BG332"/>
  <c r="K10" i="30"/>
  <c r="L10" s="1"/>
  <c r="J495"/>
  <c r="J175"/>
  <c r="J197" s="1"/>
  <c r="J74"/>
  <c r="Y132" i="44"/>
  <c r="N132"/>
  <c r="Z132"/>
  <c r="Q132"/>
  <c r="AB132"/>
  <c r="L132"/>
  <c r="AA132"/>
  <c r="G83"/>
  <c r="D83"/>
  <c r="M132"/>
  <c r="F83"/>
  <c r="R132"/>
  <c r="E83"/>
  <c r="J132"/>
  <c r="I132"/>
  <c r="X132"/>
  <c r="V132"/>
  <c r="U132"/>
  <c r="W132"/>
  <c r="K132"/>
  <c r="AC132"/>
  <c r="H83"/>
  <c r="P132"/>
  <c r="T132"/>
  <c r="O132"/>
  <c r="S132"/>
  <c r="AA140" i="30"/>
  <c r="W140"/>
  <c r="K140"/>
  <c r="Q140"/>
  <c r="P140"/>
  <c r="E91"/>
  <c r="U140"/>
  <c r="D91"/>
  <c r="R140"/>
  <c r="M140"/>
  <c r="S140"/>
  <c r="T140"/>
  <c r="O140"/>
  <c r="V140"/>
  <c r="Y140"/>
  <c r="I140"/>
  <c r="I27" s="1"/>
  <c r="I267" s="1"/>
  <c r="AB140"/>
  <c r="X140"/>
  <c r="F91"/>
  <c r="H91"/>
  <c r="J140"/>
  <c r="Z140"/>
  <c r="AC140"/>
  <c r="L140"/>
  <c r="G91"/>
  <c r="N140"/>
  <c r="L140" i="24"/>
  <c r="J110" i="23" s="1"/>
  <c r="J131" s="1"/>
  <c r="O140" i="24"/>
  <c r="M110" i="23" s="1"/>
  <c r="M131" s="1"/>
  <c r="M140" i="24"/>
  <c r="K110" i="23" s="1"/>
  <c r="K131" s="1"/>
  <c r="N140" i="24"/>
  <c r="L110" i="23" s="1"/>
  <c r="L131" s="1"/>
  <c r="K140" i="24"/>
  <c r="I110" i="23" s="1"/>
  <c r="I131" s="1"/>
  <c r="P140" i="24"/>
  <c r="N110" i="23" s="1"/>
  <c r="N131" s="1"/>
  <c r="W140" i="24"/>
  <c r="U110" i="23" s="1"/>
  <c r="U131" s="1"/>
  <c r="V140" i="24"/>
  <c r="T110" i="23" s="1"/>
  <c r="T131" s="1"/>
  <c r="X140" i="24"/>
  <c r="V110" i="23" s="1"/>
  <c r="V131" s="1"/>
  <c r="AA140" i="24"/>
  <c r="Y110" i="23" s="1"/>
  <c r="Y131" s="1"/>
  <c r="Z140" i="24"/>
  <c r="X110" i="23" s="1"/>
  <c r="X131" s="1"/>
  <c r="G140" i="24"/>
  <c r="F140"/>
  <c r="AB128"/>
  <c r="Z98" i="23" s="1"/>
  <c r="Z119" s="1"/>
  <c r="AD128" i="24"/>
  <c r="AB98" i="23" s="1"/>
  <c r="AB119" s="1"/>
  <c r="AA128" i="24"/>
  <c r="Y98" i="23" s="1"/>
  <c r="Y119" s="1"/>
  <c r="AE128" i="24"/>
  <c r="AC98" i="23" s="1"/>
  <c r="AC119" s="1"/>
  <c r="AC128" i="24"/>
  <c r="AA98" i="23" s="1"/>
  <c r="AA119" s="1"/>
  <c r="Z128" i="24"/>
  <c r="X98" i="23" s="1"/>
  <c r="X119" s="1"/>
  <c r="G128" i="24"/>
  <c r="I128"/>
  <c r="G98" i="23" s="1"/>
  <c r="G119" s="1"/>
  <c r="H128" i="24"/>
  <c r="K149" i="23"/>
  <c r="K198" s="1"/>
  <c r="F128" i="24"/>
  <c r="J128"/>
  <c r="H98" i="23" s="1"/>
  <c r="H119" s="1"/>
  <c r="L128" i="24"/>
  <c r="J98" i="23" s="1"/>
  <c r="J119" s="1"/>
  <c r="P128" i="24"/>
  <c r="N98" i="23" s="1"/>
  <c r="N119" s="1"/>
  <c r="K128" i="24"/>
  <c r="I98" i="23" s="1"/>
  <c r="I119" s="1"/>
  <c r="R128" i="24"/>
  <c r="P98" i="23" s="1"/>
  <c r="P119" s="1"/>
  <c r="M128" i="24"/>
  <c r="K98" i="23" s="1"/>
  <c r="K119" s="1"/>
  <c r="N128" i="24"/>
  <c r="L98" i="23" s="1"/>
  <c r="L119" s="1"/>
  <c r="Q128" i="24"/>
  <c r="O98" i="23" s="1"/>
  <c r="O119" s="1"/>
  <c r="O128" i="24"/>
  <c r="M98" i="23" s="1"/>
  <c r="M119" s="1"/>
  <c r="T149"/>
  <c r="T198" s="1"/>
  <c r="G72" i="30"/>
  <c r="X121"/>
  <c r="Q121"/>
  <c r="O121"/>
  <c r="S121"/>
  <c r="U121"/>
  <c r="W121"/>
  <c r="AA121"/>
  <c r="L121"/>
  <c r="N121"/>
  <c r="Z121"/>
  <c r="J121"/>
  <c r="P121"/>
  <c r="I121"/>
  <c r="I8" s="1"/>
  <c r="Y121"/>
  <c r="H72"/>
  <c r="M121"/>
  <c r="AC121"/>
  <c r="K121"/>
  <c r="AB121"/>
  <c r="V121"/>
  <c r="T121"/>
  <c r="R121"/>
  <c r="AH448" i="44"/>
  <c r="AH448" i="30"/>
  <c r="K448" i="44"/>
  <c r="K448" i="30"/>
  <c r="AG448" i="44"/>
  <c r="AG448" i="30"/>
  <c r="N448" i="44"/>
  <c r="N448" i="30"/>
  <c r="AJ448" i="44"/>
  <c r="AJ448" i="30"/>
  <c r="M448" i="44"/>
  <c r="M448" i="30"/>
  <c r="AI448" i="44"/>
  <c r="AI448" i="30"/>
  <c r="P448" i="44"/>
  <c r="P448" i="30"/>
  <c r="AL448" i="44"/>
  <c r="AL448" i="30"/>
  <c r="O448" i="44"/>
  <c r="O448" i="30"/>
  <c r="AK448" i="44"/>
  <c r="AK448" i="30"/>
  <c r="R448" i="44"/>
  <c r="R448" i="30"/>
  <c r="AN448" i="44"/>
  <c r="AN448" i="30"/>
  <c r="Q448" i="44"/>
  <c r="Q448" i="30"/>
  <c r="AM448" i="44"/>
  <c r="AM448" i="30"/>
  <c r="T448" i="44"/>
  <c r="T448" i="30"/>
  <c r="AP448" i="44"/>
  <c r="AP448" i="30"/>
  <c r="S448" i="44"/>
  <c r="S448" i="30"/>
  <c r="AO448" i="44"/>
  <c r="AO448" i="30"/>
  <c r="V448" i="44"/>
  <c r="V448" i="30"/>
  <c r="AR448" i="44"/>
  <c r="AR448" i="30"/>
  <c r="U448" i="44"/>
  <c r="U448" i="30"/>
  <c r="J140" i="24"/>
  <c r="H110" i="23" s="1"/>
  <c r="H131" s="1"/>
  <c r="U140" i="24"/>
  <c r="S110" i="23" s="1"/>
  <c r="S131" s="1"/>
  <c r="N132" i="30"/>
  <c r="L132"/>
  <c r="E83"/>
  <c r="G83"/>
  <c r="Q132"/>
  <c r="H83"/>
  <c r="D83"/>
  <c r="J132"/>
  <c r="AC132"/>
  <c r="Z132"/>
  <c r="U132"/>
  <c r="O132"/>
  <c r="P132"/>
  <c r="V132"/>
  <c r="T132"/>
  <c r="AB132"/>
  <c r="R132"/>
  <c r="I132"/>
  <c r="Y132"/>
  <c r="S132"/>
  <c r="W132"/>
  <c r="M132"/>
  <c r="AA132"/>
  <c r="F83"/>
  <c r="K132"/>
  <c r="X132"/>
  <c r="N140" i="44"/>
  <c r="T140"/>
  <c r="U140"/>
  <c r="AA140"/>
  <c r="R140"/>
  <c r="F91"/>
  <c r="E91"/>
  <c r="AC140"/>
  <c r="L140"/>
  <c r="Z140"/>
  <c r="X140"/>
  <c r="G91"/>
  <c r="H91"/>
  <c r="I140"/>
  <c r="I27" s="1"/>
  <c r="J140"/>
  <c r="D91"/>
  <c r="P140"/>
  <c r="K140"/>
  <c r="S140"/>
  <c r="M140"/>
  <c r="AB140"/>
  <c r="Q140"/>
  <c r="W140"/>
  <c r="V140"/>
  <c r="O140"/>
  <c r="Y140"/>
  <c r="D485" a="1"/>
  <c r="D485" s="1"/>
  <c r="E485" a="1"/>
  <c r="E485" s="1"/>
  <c r="H140" i="24"/>
  <c r="I140"/>
  <c r="G110" i="23" s="1"/>
  <c r="G131" s="1"/>
  <c r="AB140" i="24"/>
  <c r="Z110" i="23" s="1"/>
  <c r="Z131" s="1"/>
  <c r="AC140" i="24"/>
  <c r="AA110" i="23" s="1"/>
  <c r="AA131" s="1"/>
  <c r="Q140" i="24"/>
  <c r="O110" i="23" s="1"/>
  <c r="O131" s="1"/>
  <c r="R140" i="24"/>
  <c r="P110" i="23" s="1"/>
  <c r="P131" s="1"/>
  <c r="T140" i="24"/>
  <c r="R110" i="23" s="1"/>
  <c r="R131" s="1"/>
  <c r="S140" i="24"/>
  <c r="Q110" i="23" s="1"/>
  <c r="Q131" s="1"/>
  <c r="U128" i="24"/>
  <c r="S98" i="23" s="1"/>
  <c r="S119" s="1"/>
  <c r="X128" i="24"/>
  <c r="V98" i="23" s="1"/>
  <c r="V119" s="1"/>
  <c r="W128" i="24"/>
  <c r="U98" i="23" s="1"/>
  <c r="U119" s="1"/>
  <c r="S128" i="24"/>
  <c r="Q98" i="23" s="1"/>
  <c r="Q119" s="1"/>
  <c r="AA149"/>
  <c r="AA198" s="1"/>
  <c r="T128" i="24"/>
  <c r="R98" i="23" s="1"/>
  <c r="R119" s="1"/>
  <c r="Y128" i="24"/>
  <c r="W98" i="23" s="1"/>
  <c r="W119" s="1"/>
  <c r="V128" i="24"/>
  <c r="T98" i="23" s="1"/>
  <c r="T119" s="1"/>
  <c r="D79" i="30"/>
  <c r="X128"/>
  <c r="P128"/>
  <c r="G79"/>
  <c r="R128"/>
  <c r="K128"/>
  <c r="AA128"/>
  <c r="AC128"/>
  <c r="V128"/>
  <c r="E79"/>
  <c r="O128"/>
  <c r="F79"/>
  <c r="J128"/>
  <c r="AB128"/>
  <c r="T128"/>
  <c r="L128"/>
  <c r="Z128"/>
  <c r="I128"/>
  <c r="S128"/>
  <c r="M128"/>
  <c r="Q128"/>
  <c r="N128"/>
  <c r="H79"/>
  <c r="W128"/>
  <c r="U128"/>
  <c r="Y128"/>
  <c r="AQ448" i="44"/>
  <c r="AQ448" i="30"/>
  <c r="X448" i="44"/>
  <c r="X448" i="30"/>
  <c r="AT448" i="44"/>
  <c r="AT448" i="30"/>
  <c r="W448" i="44"/>
  <c r="W448" i="30"/>
  <c r="AS448" i="44"/>
  <c r="AS448" i="30"/>
  <c r="Z448" i="44"/>
  <c r="Z448" i="30"/>
  <c r="AV448" i="44"/>
  <c r="AV448" i="30"/>
  <c r="Y448" i="44"/>
  <c r="Y448" i="30"/>
  <c r="AU448" i="44"/>
  <c r="AU448" i="30"/>
  <c r="AB448" i="44"/>
  <c r="AB448" i="30"/>
  <c r="G448" i="44"/>
  <c r="G448" i="30"/>
  <c r="AA448" i="44"/>
  <c r="AA448" i="30"/>
  <c r="AW448" i="44"/>
  <c r="AW448" i="30"/>
  <c r="AD448" i="44"/>
  <c r="AD448" i="30"/>
  <c r="H448" i="44"/>
  <c r="H448" i="30"/>
  <c r="AC448" i="44"/>
  <c r="AC448" i="30"/>
  <c r="J448" i="44"/>
  <c r="J448" i="30"/>
  <c r="AF448" i="44"/>
  <c r="AF448" i="30"/>
  <c r="I448" i="44"/>
  <c r="I448" i="30"/>
  <c r="AE448" i="44"/>
  <c r="AE448" i="30"/>
  <c r="L448" i="44"/>
  <c r="L448" i="30"/>
  <c r="Y140" i="24"/>
  <c r="W110" i="23" s="1"/>
  <c r="W131" s="1"/>
  <c r="AD140" i="24"/>
  <c r="AB110" i="23" s="1"/>
  <c r="AB131" s="1"/>
  <c r="AE140" i="24"/>
  <c r="AC110" i="23" s="1"/>
  <c r="AC131" s="1"/>
  <c r="G11" i="42"/>
  <c r="I495" i="30"/>
  <c r="V134"/>
  <c r="N134"/>
  <c r="G85"/>
  <c r="O134"/>
  <c r="I134"/>
  <c r="M134"/>
  <c r="E85"/>
  <c r="T134"/>
  <c r="D85"/>
  <c r="Q134"/>
  <c r="X134"/>
  <c r="K134"/>
  <c r="F85"/>
  <c r="Z134"/>
  <c r="R134"/>
  <c r="J134"/>
  <c r="H85"/>
  <c r="W134"/>
  <c r="Y134"/>
  <c r="AC134"/>
  <c r="AB134"/>
  <c r="L134"/>
  <c r="S134"/>
  <c r="U134"/>
  <c r="P134"/>
  <c r="AA134"/>
  <c r="E473" i="44" a="1"/>
  <c r="E473" s="1"/>
  <c r="F473" a="1"/>
  <c r="F473" s="1"/>
  <c r="AA124" i="30"/>
  <c r="G75"/>
  <c r="S124"/>
  <c r="M124"/>
  <c r="L124"/>
  <c r="Q124"/>
  <c r="H75"/>
  <c r="X124"/>
  <c r="Y124"/>
  <c r="N124"/>
  <c r="P124"/>
  <c r="O124"/>
  <c r="AB124"/>
  <c r="T124"/>
  <c r="U124"/>
  <c r="AC124"/>
  <c r="R124"/>
  <c r="J124"/>
  <c r="V124"/>
  <c r="Z124"/>
  <c r="K124"/>
  <c r="I124"/>
  <c r="W124"/>
  <c r="F75"/>
  <c r="E75"/>
  <c r="E474" a="1"/>
  <c r="E474" s="1"/>
  <c r="D474" a="1"/>
  <c r="D474" s="1"/>
  <c r="F474" a="1"/>
  <c r="F474" s="1"/>
  <c r="E474" i="44" a="1"/>
  <c r="E474" s="1"/>
  <c r="F474" a="1"/>
  <c r="F474" s="1"/>
  <c r="X461"/>
  <c r="X461" i="30"/>
  <c r="AS461"/>
  <c r="AS461" i="44"/>
  <c r="AT461"/>
  <c r="AT461" i="30"/>
  <c r="Y461"/>
  <c r="Y461" i="44"/>
  <c r="AU461"/>
  <c r="AU461" i="30"/>
  <c r="AA461"/>
  <c r="AA461" i="44"/>
  <c r="AV461" i="30"/>
  <c r="AV461" i="44"/>
  <c r="Z461" i="30"/>
  <c r="Z461" i="44"/>
  <c r="AW461" i="30"/>
  <c r="AW461" i="44"/>
  <c r="AB461" i="30"/>
  <c r="AB461" i="44"/>
  <c r="K461" i="30"/>
  <c r="J648" a="1"/>
  <c r="J648" s="1"/>
  <c r="K461" i="44"/>
  <c r="J648" a="1"/>
  <c r="H461"/>
  <c r="G648" a="1"/>
  <c r="H461" i="30"/>
  <c r="G648" a="1"/>
  <c r="G648" s="1"/>
  <c r="AC461"/>
  <c r="AC461" i="44"/>
  <c r="G461" i="30"/>
  <c r="G461" i="44"/>
  <c r="D648" a="1"/>
  <c r="E648" i="30" a="1"/>
  <c r="E648" s="1"/>
  <c r="D648" a="1"/>
  <c r="E648" i="44" a="1"/>
  <c r="F648" a="1"/>
  <c r="F648" i="30" a="1"/>
  <c r="F648" s="1"/>
  <c r="AO461" i="44"/>
  <c r="AO461" i="30"/>
  <c r="T461" i="44"/>
  <c r="S648" a="1"/>
  <c r="T461" i="30"/>
  <c r="S648" a="1"/>
  <c r="S648" s="1"/>
  <c r="AF461"/>
  <c r="AF461" i="44"/>
  <c r="J461" i="30"/>
  <c r="J461" i="44"/>
  <c r="I648" i="30" a="1"/>
  <c r="I648" i="44" a="1"/>
  <c r="V461"/>
  <c r="V461" i="30"/>
  <c r="AR461"/>
  <c r="AR461" i="44"/>
  <c r="W461"/>
  <c r="W461" i="30"/>
  <c r="AN462"/>
  <c r="AN462" i="44"/>
  <c r="AS462" i="30"/>
  <c r="AS462" i="44"/>
  <c r="Z462"/>
  <c r="Z462" i="30"/>
  <c r="P462" i="44"/>
  <c r="P462" i="30"/>
  <c r="O649" a="1"/>
  <c r="O649" s="1"/>
  <c r="O649" i="44" a="1"/>
  <c r="O649" s="1"/>
  <c r="AG462" i="30"/>
  <c r="AG462" i="44"/>
  <c r="L462"/>
  <c r="L462" i="30"/>
  <c r="K649" a="1"/>
  <c r="K649" s="1"/>
  <c r="K649" i="44" a="1"/>
  <c r="K649" s="1"/>
  <c r="AM462" i="30"/>
  <c r="AM462" i="44"/>
  <c r="U462"/>
  <c r="U462" i="30"/>
  <c r="Q649" a="1"/>
  <c r="Q649" s="1"/>
  <c r="R649" a="1"/>
  <c r="R649" s="1"/>
  <c r="S649" i="44" a="1"/>
  <c r="S649" s="1"/>
  <c r="P649" a="1"/>
  <c r="P649" s="1"/>
  <c r="Q649" a="1"/>
  <c r="Q649" s="1"/>
  <c r="R649" a="1"/>
  <c r="R649" s="1"/>
  <c r="S649" i="30" a="1"/>
  <c r="S649" s="1"/>
  <c r="P649" a="1"/>
  <c r="P649" s="1"/>
  <c r="T649" i="44" a="1"/>
  <c r="T649" s="1"/>
  <c r="H462"/>
  <c r="H462" i="30"/>
  <c r="E649" i="44" a="1"/>
  <c r="E649" s="1"/>
  <c r="F649" a="1"/>
  <c r="F649" s="1"/>
  <c r="F649" i="30" a="1"/>
  <c r="F649" s="1"/>
  <c r="G649" a="1"/>
  <c r="G649" s="1"/>
  <c r="D649" i="44" a="1"/>
  <c r="D649" s="1"/>
  <c r="D649" i="30" a="1"/>
  <c r="D649" s="1"/>
  <c r="E649" a="1"/>
  <c r="E649" s="1"/>
  <c r="G649" i="44" a="1"/>
  <c r="G649" s="1"/>
  <c r="O462"/>
  <c r="O462" i="30"/>
  <c r="N649" i="44" a="1"/>
  <c r="N649" s="1"/>
  <c r="M649" a="1"/>
  <c r="M649" s="1"/>
  <c r="N649" i="30" a="1"/>
  <c r="N649" s="1"/>
  <c r="M649" a="1"/>
  <c r="M649" s="1"/>
  <c r="I462" i="44"/>
  <c r="I462" i="30"/>
  <c r="H649" i="44" a="1"/>
  <c r="H649" s="1"/>
  <c r="H649" i="30" a="1"/>
  <c r="H649" s="1"/>
  <c r="F470" i="44" a="1"/>
  <c r="F470" s="1"/>
  <c r="F678" s="1"/>
  <c r="BY185" i="42" s="1"/>
  <c r="AR447" i="44"/>
  <c r="AR447" i="30"/>
  <c r="AI447" i="44"/>
  <c r="AI447" i="30"/>
  <c r="AL447" i="44"/>
  <c r="AL447" i="30"/>
  <c r="J447" i="44"/>
  <c r="J447" i="30"/>
  <c r="AG447" i="44"/>
  <c r="AG447" i="30"/>
  <c r="I447" i="44"/>
  <c r="I447" i="30"/>
  <c r="AK447" i="44"/>
  <c r="AK447" i="30"/>
  <c r="N447" i="44"/>
  <c r="N447" i="30"/>
  <c r="W447" i="44"/>
  <c r="W447" i="30"/>
  <c r="AF447" i="44"/>
  <c r="AF447" i="30"/>
  <c r="T447" i="44"/>
  <c r="T447" i="30"/>
  <c r="K447" i="44"/>
  <c r="K447" i="30"/>
  <c r="AQ447" i="44"/>
  <c r="AQ447" i="30"/>
  <c r="M447" i="44"/>
  <c r="M447" i="30"/>
  <c r="Z447" i="44"/>
  <c r="Z447" i="30"/>
  <c r="AW447" i="44"/>
  <c r="AW447" i="30"/>
  <c r="AH447" i="44"/>
  <c r="AH447" i="30"/>
  <c r="U447" i="44"/>
  <c r="U447" i="30"/>
  <c r="AU447" i="44"/>
  <c r="AU447" i="30"/>
  <c r="O447" i="44"/>
  <c r="O447" i="30"/>
  <c r="X447" i="44"/>
  <c r="X447" i="30"/>
  <c r="M451" i="44"/>
  <c r="M451" i="30"/>
  <c r="AV451"/>
  <c r="AV451" i="44"/>
  <c r="AQ451"/>
  <c r="AQ451" i="30"/>
  <c r="AE451" i="44"/>
  <c r="AE451" i="30"/>
  <c r="Y451" i="44"/>
  <c r="Y451" i="30"/>
  <c r="AD451" i="44"/>
  <c r="AD451" i="30"/>
  <c r="G451"/>
  <c r="G451" i="44"/>
  <c r="AJ451" i="30"/>
  <c r="AJ451" i="44"/>
  <c r="AB451"/>
  <c r="AB451" i="30"/>
  <c r="AW451" i="44"/>
  <c r="AW451" i="30"/>
  <c r="Z451"/>
  <c r="Z451" i="44"/>
  <c r="AL451"/>
  <c r="AL451" i="30"/>
  <c r="N451" i="44"/>
  <c r="N451" i="30"/>
  <c r="K451"/>
  <c r="K451" i="44"/>
  <c r="R451"/>
  <c r="R451" i="30"/>
  <c r="AO451" i="44"/>
  <c r="AO451" i="30"/>
  <c r="P451" i="44"/>
  <c r="P451" i="30"/>
  <c r="AK451"/>
  <c r="AK451" i="44"/>
  <c r="S451" i="30"/>
  <c r="S451" i="44"/>
  <c r="X451" i="30"/>
  <c r="X451" i="44"/>
  <c r="AP451"/>
  <c r="AP451" i="30"/>
  <c r="U452"/>
  <c r="U452" i="44"/>
  <c r="T639" a="1"/>
  <c r="T639" s="1"/>
  <c r="AR452" i="30"/>
  <c r="AR452" i="44"/>
  <c r="S452" i="30"/>
  <c r="S452" i="44"/>
  <c r="R639" i="30" a="1"/>
  <c r="R639" s="1"/>
  <c r="R639" i="44" a="1"/>
  <c r="R639" s="1"/>
  <c r="R452"/>
  <c r="Q639" i="30" a="1"/>
  <c r="Q639" s="1"/>
  <c r="R452"/>
  <c r="Q639" i="44" a="1"/>
  <c r="Q639" s="1"/>
  <c r="W452"/>
  <c r="W452" i="30"/>
  <c r="AO452"/>
  <c r="AO452" i="44"/>
  <c r="AS452"/>
  <c r="AS452" i="30"/>
  <c r="AE452" i="44"/>
  <c r="AE452" i="30"/>
  <c r="Z452" i="44"/>
  <c r="Z452" i="30"/>
  <c r="AD452" i="44"/>
  <c r="AD452" i="30"/>
  <c r="X452" i="44"/>
  <c r="X452" i="30"/>
  <c r="M452" i="44"/>
  <c r="M452" i="30"/>
  <c r="L639" a="1"/>
  <c r="L639" s="1"/>
  <c r="L639" i="44" a="1"/>
  <c r="L639" s="1"/>
  <c r="AB452" i="30"/>
  <c r="AB452" i="44"/>
  <c r="AL452"/>
  <c r="AL452" i="30"/>
  <c r="D639" a="1"/>
  <c r="D639" s="1"/>
  <c r="G452"/>
  <c r="G475" s="1" a="1"/>
  <c r="G475" s="1"/>
  <c r="G452" i="44"/>
  <c r="D639" a="1"/>
  <c r="D639" s="1"/>
  <c r="E639" i="30" a="1"/>
  <c r="E639" s="1"/>
  <c r="F639" a="1"/>
  <c r="F639" s="1"/>
  <c r="F639" i="44" a="1"/>
  <c r="F639" s="1"/>
  <c r="E639" a="1"/>
  <c r="E639" s="1"/>
  <c r="M639" i="30" a="1"/>
  <c r="M639" s="1"/>
  <c r="N452"/>
  <c r="N452" i="44"/>
  <c r="M639" a="1"/>
  <c r="M639" s="1"/>
  <c r="P452" i="30"/>
  <c r="O639" a="1"/>
  <c r="O639" s="1"/>
  <c r="P452" i="44"/>
  <c r="O639" a="1"/>
  <c r="O639" s="1"/>
  <c r="AC452" i="30"/>
  <c r="AC452" i="44"/>
  <c r="H452"/>
  <c r="G639" i="30" a="1"/>
  <c r="G639" s="1"/>
  <c r="H452"/>
  <c r="G639" i="44" a="1"/>
  <c r="G639" s="1"/>
  <c r="AI452"/>
  <c r="AI452" i="30"/>
  <c r="K452"/>
  <c r="K452" i="44"/>
  <c r="J639" i="30" a="1"/>
  <c r="J639" s="1"/>
  <c r="J639" i="44" a="1"/>
  <c r="J639" s="1"/>
  <c r="AN452" i="30"/>
  <c r="AN452" i="44"/>
  <c r="Q452" i="30"/>
  <c r="P639" a="1"/>
  <c r="P639" s="1"/>
  <c r="Q452" i="44"/>
  <c r="P639" a="1"/>
  <c r="P639" s="1"/>
  <c r="F472" i="30" a="1"/>
  <c r="F472" s="1"/>
  <c r="AF449"/>
  <c r="AF449" i="44"/>
  <c r="AP449"/>
  <c r="AP449" i="30"/>
  <c r="S449"/>
  <c r="R636" a="1"/>
  <c r="R636" s="1"/>
  <c r="R636" i="44" a="1"/>
  <c r="R636" s="1"/>
  <c r="S449"/>
  <c r="AS449"/>
  <c r="AS449" i="30"/>
  <c r="I449"/>
  <c r="H636" a="1"/>
  <c r="H636" s="1"/>
  <c r="H636" i="44" a="1"/>
  <c r="H636" s="1"/>
  <c r="I449"/>
  <c r="AI449" i="30"/>
  <c r="AI449" i="44"/>
  <c r="U449"/>
  <c r="U449" i="30"/>
  <c r="T636" i="44" a="1"/>
  <c r="T636" s="1"/>
  <c r="AW449" i="30"/>
  <c r="AW449" i="44"/>
  <c r="J636" a="1"/>
  <c r="J636" s="1"/>
  <c r="J636" i="30" a="1"/>
  <c r="J636" s="1"/>
  <c r="K449" i="44"/>
  <c r="K449" i="30"/>
  <c r="AL449" i="44"/>
  <c r="AL449" i="30"/>
  <c r="AE449" i="44"/>
  <c r="AE449" i="30"/>
  <c r="F472" i="44" a="1"/>
  <c r="F472" s="1"/>
  <c r="N449"/>
  <c r="M636" i="30" a="1"/>
  <c r="M636" s="1"/>
  <c r="M636" i="44" a="1"/>
  <c r="M636" s="1"/>
  <c r="N449" i="30"/>
  <c r="AU449"/>
  <c r="AU449" i="44"/>
  <c r="AV449" i="30"/>
  <c r="AV449" i="44"/>
  <c r="R449"/>
  <c r="Q636" i="30" a="1"/>
  <c r="Q636" s="1"/>
  <c r="Q636" i="44" a="1"/>
  <c r="Q636" s="1"/>
  <c r="R449" i="30"/>
  <c r="L449" i="44"/>
  <c r="K636" i="30" a="1"/>
  <c r="K636" s="1"/>
  <c r="K636" i="44" a="1"/>
  <c r="K636" s="1"/>
  <c r="L449" i="30"/>
  <c r="G449"/>
  <c r="F636" a="1"/>
  <c r="F636" s="1"/>
  <c r="D636" i="44" a="1"/>
  <c r="D636" s="1"/>
  <c r="E636" i="30" a="1"/>
  <c r="E636" s="1"/>
  <c r="F636" i="44" a="1"/>
  <c r="F636" s="1"/>
  <c r="D636" i="30" a="1"/>
  <c r="D636" s="1"/>
  <c r="G449" i="44"/>
  <c r="E636" a="1"/>
  <c r="E636" s="1"/>
  <c r="Q449" i="30"/>
  <c r="P636" a="1"/>
  <c r="P636" s="1"/>
  <c r="P636" i="44" a="1"/>
  <c r="P636" s="1"/>
  <c r="Q449"/>
  <c r="H449"/>
  <c r="G636" a="1"/>
  <c r="G636" s="1"/>
  <c r="G636" i="30" a="1"/>
  <c r="G636" s="1"/>
  <c r="H449"/>
  <c r="AC449"/>
  <c r="AC449" i="44"/>
  <c r="AN450" i="30"/>
  <c r="AN450" i="44"/>
  <c r="Z450" i="30"/>
  <c r="Z450" i="44"/>
  <c r="AR450" i="30"/>
  <c r="AR450" i="44"/>
  <c r="P450"/>
  <c r="P450" i="30"/>
  <c r="P99" i="23"/>
  <c r="V450" i="30"/>
  <c r="V450" i="44"/>
  <c r="AJ450" i="30"/>
  <c r="AJ450" i="44"/>
  <c r="X450"/>
  <c r="X450" i="30"/>
  <c r="R450"/>
  <c r="R450" i="44"/>
  <c r="AB450"/>
  <c r="AB450" i="30"/>
  <c r="AM450"/>
  <c r="AM450" i="44"/>
  <c r="AK450"/>
  <c r="AK450" i="30"/>
  <c r="AI450"/>
  <c r="AI450" i="44"/>
  <c r="AP450" i="30"/>
  <c r="AP450" i="44"/>
  <c r="Q450"/>
  <c r="Q450" i="30"/>
  <c r="AV450"/>
  <c r="AV450" i="44"/>
  <c r="AL450" i="30"/>
  <c r="AL450" i="44"/>
  <c r="M450"/>
  <c r="M450" i="30"/>
  <c r="M99" i="23"/>
  <c r="F473" i="30" a="1"/>
  <c r="F473" s="1"/>
  <c r="AH450"/>
  <c r="AH450" i="44"/>
  <c r="I450" i="30"/>
  <c r="I450" i="44"/>
  <c r="AF450" i="30"/>
  <c r="AF450" i="44"/>
  <c r="N450"/>
  <c r="N450" i="30"/>
  <c r="I182"/>
  <c r="I204" s="1"/>
  <c r="I502"/>
  <c r="E484" a="1"/>
  <c r="E484" s="1"/>
  <c r="H484" a="1"/>
  <c r="H484" s="1"/>
  <c r="F484" a="1"/>
  <c r="F484" s="1"/>
  <c r="G484" a="1"/>
  <c r="G484" s="1"/>
  <c r="E484" i="44" a="1"/>
  <c r="E484" s="1"/>
  <c r="F484" a="1"/>
  <c r="F484" s="1"/>
  <c r="G484" a="1"/>
  <c r="G484" s="1"/>
  <c r="H484" a="1"/>
  <c r="H484" s="1"/>
  <c r="Y152" i="23"/>
  <c r="Y201" s="1"/>
  <c r="W131" i="24"/>
  <c r="U101" i="23" s="1"/>
  <c r="U122" s="1"/>
  <c r="U131" i="24"/>
  <c r="S101" i="23" s="1"/>
  <c r="S122" s="1"/>
  <c r="V131" i="24"/>
  <c r="T101" i="23" s="1"/>
  <c r="T122" s="1"/>
  <c r="AB124" i="44"/>
  <c r="T124"/>
  <c r="L124"/>
  <c r="V124"/>
  <c r="R124"/>
  <c r="F75"/>
  <c r="Y124"/>
  <c r="Q124"/>
  <c r="I124"/>
  <c r="H75"/>
  <c r="O124"/>
  <c r="X124"/>
  <c r="S124"/>
  <c r="J124"/>
  <c r="N124"/>
  <c r="AC124"/>
  <c r="U124"/>
  <c r="M124"/>
  <c r="W124"/>
  <c r="Z124"/>
  <c r="AA124"/>
  <c r="K124"/>
  <c r="P124"/>
  <c r="G75"/>
  <c r="E75"/>
  <c r="I130" i="24"/>
  <c r="G100" i="23" s="1"/>
  <c r="G121" s="1"/>
  <c r="K130" i="24"/>
  <c r="I100" i="23" s="1"/>
  <c r="I121" s="1"/>
  <c r="O130" i="24"/>
  <c r="M100" i="23" s="1"/>
  <c r="M121" s="1"/>
  <c r="AB130" i="24"/>
  <c r="Z100" i="23" s="1"/>
  <c r="Z121" s="1"/>
  <c r="T130" i="24"/>
  <c r="R100" i="23" s="1"/>
  <c r="R121" s="1"/>
  <c r="R130" i="24"/>
  <c r="P100" i="23" s="1"/>
  <c r="P121" s="1"/>
  <c r="J130" i="24"/>
  <c r="H100" i="23" s="1"/>
  <c r="H121" s="1"/>
  <c r="L130" i="24"/>
  <c r="J100" i="23" s="1"/>
  <c r="J121" s="1"/>
  <c r="G130" i="24"/>
  <c r="F130"/>
  <c r="AE130"/>
  <c r="AC100" i="23" s="1"/>
  <c r="AC121" s="1"/>
  <c r="H130" i="24"/>
  <c r="N130"/>
  <c r="L100" i="23" s="1"/>
  <c r="L121" s="1"/>
  <c r="M130" i="24"/>
  <c r="K100" i="23" s="1"/>
  <c r="K121" s="1"/>
  <c r="AD130" i="24"/>
  <c r="AB100" i="23" s="1"/>
  <c r="AB121" s="1"/>
  <c r="Z130" i="24"/>
  <c r="X100" i="23" s="1"/>
  <c r="X121" s="1"/>
  <c r="S130" i="24"/>
  <c r="Q100" i="23" s="1"/>
  <c r="Q121" s="1"/>
  <c r="Q130" i="24"/>
  <c r="O100" i="23" s="1"/>
  <c r="O121" s="1"/>
  <c r="AC130" i="24"/>
  <c r="AA100" i="23" s="1"/>
  <c r="AA121" s="1"/>
  <c r="U130" i="24"/>
  <c r="S100" i="23" s="1"/>
  <c r="S121" s="1"/>
  <c r="P130" i="24"/>
  <c r="N100" i="23" s="1"/>
  <c r="N121" s="1"/>
  <c r="Y130" i="24"/>
  <c r="W100" i="23" s="1"/>
  <c r="W121" s="1"/>
  <c r="X130" i="24"/>
  <c r="V100" i="23" s="1"/>
  <c r="V121" s="1"/>
  <c r="W130" i="24"/>
  <c r="U100" i="23" s="1"/>
  <c r="U121" s="1"/>
  <c r="V130" i="24"/>
  <c r="T100" i="23" s="1"/>
  <c r="T121" s="1"/>
  <c r="AA130" i="24"/>
  <c r="Y100" i="23" s="1"/>
  <c r="Y121" s="1"/>
  <c r="AI461" i="30"/>
  <c r="AI461" i="44"/>
  <c r="M461"/>
  <c r="L648" a="1"/>
  <c r="L648" i="30" a="1"/>
  <c r="M461"/>
  <c r="AH461"/>
  <c r="AH461" i="44"/>
  <c r="N461"/>
  <c r="M648" a="1"/>
  <c r="M648" i="30" a="1"/>
  <c r="N461"/>
  <c r="AJ461" i="44"/>
  <c r="AJ461" i="30"/>
  <c r="O461"/>
  <c r="O461" i="44"/>
  <c r="N648" i="30" a="1"/>
  <c r="N648" i="44" a="1"/>
  <c r="P461"/>
  <c r="P461" i="30"/>
  <c r="O648" i="44" a="1"/>
  <c r="O648" i="30" a="1"/>
  <c r="O648" s="1"/>
  <c r="AK461"/>
  <c r="AK461" i="44"/>
  <c r="AL461"/>
  <c r="AL461" i="30"/>
  <c r="Q461" i="44"/>
  <c r="P648" a="1"/>
  <c r="Q461" i="30"/>
  <c r="P648" a="1"/>
  <c r="P648" s="1"/>
  <c r="AM461" i="44"/>
  <c r="AM461" i="30"/>
  <c r="S461"/>
  <c r="R648" a="1"/>
  <c r="R648" s="1"/>
  <c r="S461" i="44"/>
  <c r="R648" a="1"/>
  <c r="AN461"/>
  <c r="AN461" i="30"/>
  <c r="R461"/>
  <c r="Q648" a="1"/>
  <c r="Q648" s="1"/>
  <c r="R461" i="44"/>
  <c r="Q648" a="1"/>
  <c r="AD461" i="30"/>
  <c r="AD461" i="44"/>
  <c r="I461" i="30"/>
  <c r="H648" a="1"/>
  <c r="H648" s="1"/>
  <c r="I461" i="44"/>
  <c r="H648" a="1"/>
  <c r="AE461" i="30"/>
  <c r="AE461" i="44"/>
  <c r="AQ461" i="30"/>
  <c r="AQ461" i="44"/>
  <c r="U461"/>
  <c r="U461" i="30"/>
  <c r="AP461"/>
  <c r="AP461" i="44"/>
  <c r="AG461" i="30"/>
  <c r="AG461" i="44"/>
  <c r="L461"/>
  <c r="K648" i="30" a="1"/>
  <c r="K648" i="44" a="1"/>
  <c r="K648" s="1"/>
  <c r="L461" i="30"/>
  <c r="F485" i="44" a="1"/>
  <c r="F485" s="1"/>
  <c r="G485" a="1"/>
  <c r="G485" s="1"/>
  <c r="J485" a="1"/>
  <c r="J485" s="1"/>
  <c r="H485" a="1"/>
  <c r="H485" s="1"/>
  <c r="W462" i="30"/>
  <c r="W462" i="44"/>
  <c r="M462"/>
  <c r="M462" i="30"/>
  <c r="L649" a="1"/>
  <c r="L649" s="1"/>
  <c r="L649" i="44" a="1"/>
  <c r="L649" s="1"/>
  <c r="AI462" i="30"/>
  <c r="AI462" i="44"/>
  <c r="AJ462"/>
  <c r="AJ462" i="30"/>
  <c r="AT462"/>
  <c r="AT462" i="44"/>
  <c r="K462"/>
  <c r="K462" i="30"/>
  <c r="L485" s="1" a="1"/>
  <c r="L485" s="1"/>
  <c r="J649" a="1"/>
  <c r="J649" s="1"/>
  <c r="I649" a="1"/>
  <c r="I649" s="1"/>
  <c r="J649" i="44" a="1"/>
  <c r="J649" s="1"/>
  <c r="I649" a="1"/>
  <c r="I649" s="1"/>
  <c r="F485" i="30" a="1"/>
  <c r="F485" s="1"/>
  <c r="K485" a="1"/>
  <c r="K485" s="1"/>
  <c r="H485" a="1"/>
  <c r="H485" s="1"/>
  <c r="J485" a="1"/>
  <c r="J485" s="1"/>
  <c r="G485" a="1"/>
  <c r="G485" s="1"/>
  <c r="I485" a="1"/>
  <c r="I485" s="1"/>
  <c r="Q485" a="1"/>
  <c r="Q485" s="1"/>
  <c r="AH462"/>
  <c r="AH462" i="44"/>
  <c r="AF462"/>
  <c r="AF462" i="30"/>
  <c r="AO462" i="44"/>
  <c r="AO462" i="30"/>
  <c r="V462"/>
  <c r="V462" i="44"/>
  <c r="U649" a="1"/>
  <c r="U649" s="1"/>
  <c r="AB447"/>
  <c r="AB447" i="30"/>
  <c r="S447" i="44"/>
  <c r="S447" i="30"/>
  <c r="H447" i="44"/>
  <c r="H447" i="30"/>
  <c r="AC447" i="44"/>
  <c r="AC447" i="30"/>
  <c r="AP447" i="44"/>
  <c r="AP447" i="30"/>
  <c r="AO447" i="44"/>
  <c r="AO447" i="30"/>
  <c r="R447" i="44"/>
  <c r="R447" i="30"/>
  <c r="AT447" i="44"/>
  <c r="AT447" i="30"/>
  <c r="AM447" i="44"/>
  <c r="AM447" i="30"/>
  <c r="AV447" i="44"/>
  <c r="AV447" i="30"/>
  <c r="P447" i="44"/>
  <c r="P447" i="30"/>
  <c r="AJ447" i="44"/>
  <c r="AJ447" i="30"/>
  <c r="AA447" i="44"/>
  <c r="AA447" i="30"/>
  <c r="V447" i="44"/>
  <c r="V447" i="30"/>
  <c r="AS447" i="44"/>
  <c r="AS447" i="30"/>
  <c r="Q447" i="44"/>
  <c r="Q447" i="30"/>
  <c r="Y447" i="44"/>
  <c r="Y447" i="30"/>
  <c r="G447" i="44"/>
  <c r="H470" s="1" a="1"/>
  <c r="H470" s="1"/>
  <c r="H678" s="1"/>
  <c r="CA185" i="42" s="1"/>
  <c r="G447" i="30"/>
  <c r="AD447" i="44"/>
  <c r="AD447" i="30"/>
  <c r="AE447" i="44"/>
  <c r="AE447" i="30"/>
  <c r="AN447" i="44"/>
  <c r="AN447" i="30"/>
  <c r="L447" i="44"/>
  <c r="L447" i="30"/>
  <c r="V451" i="44"/>
  <c r="V451" i="30"/>
  <c r="AS451" i="44"/>
  <c r="AS451" i="30"/>
  <c r="T451"/>
  <c r="T451" i="44"/>
  <c r="AR451"/>
  <c r="AR451" i="30"/>
  <c r="AH451" i="44"/>
  <c r="AH451" i="30"/>
  <c r="U451"/>
  <c r="U451" i="44"/>
  <c r="W451"/>
  <c r="W451" i="30"/>
  <c r="H451" i="44"/>
  <c r="H451" i="30"/>
  <c r="O451"/>
  <c r="O451" i="44"/>
  <c r="Q451"/>
  <c r="Q451" i="30"/>
  <c r="L451"/>
  <c r="L451" i="44"/>
  <c r="AC451"/>
  <c r="AC451" i="30"/>
  <c r="AM451" i="44"/>
  <c r="AM451" i="30"/>
  <c r="AI451" i="44"/>
  <c r="AI451" i="30"/>
  <c r="AN451" i="44"/>
  <c r="AN451" i="30"/>
  <c r="I451" i="44"/>
  <c r="I451" i="30"/>
  <c r="AT451"/>
  <c r="AT451" i="44"/>
  <c r="AF451"/>
  <c r="AF451" i="30"/>
  <c r="AA451"/>
  <c r="AA451" i="44"/>
  <c r="AU451"/>
  <c r="AU451" i="30"/>
  <c r="AG451"/>
  <c r="AG451" i="44"/>
  <c r="J451" i="30"/>
  <c r="J451" i="44"/>
  <c r="L452" i="30"/>
  <c r="L452" i="44"/>
  <c r="K639" i="30" a="1"/>
  <c r="K639" s="1"/>
  <c r="K639" i="44" a="1"/>
  <c r="K639" s="1"/>
  <c r="AU452" i="30"/>
  <c r="AU452" i="44"/>
  <c r="AP452"/>
  <c r="AP452" i="30"/>
  <c r="AT452" i="44"/>
  <c r="AT452" i="30"/>
  <c r="AF452"/>
  <c r="AF452" i="44"/>
  <c r="I452" i="30"/>
  <c r="H639" a="1"/>
  <c r="H639" s="1"/>
  <c r="I452" i="44"/>
  <c r="I475" s="1" a="1"/>
  <c r="I475" s="1"/>
  <c r="H639" a="1"/>
  <c r="H639" s="1"/>
  <c r="AJ452"/>
  <c r="AJ452" i="30"/>
  <c r="F475" i="44" a="1"/>
  <c r="F475" s="1"/>
  <c r="H475" a="1"/>
  <c r="H475" s="1"/>
  <c r="G475" a="1"/>
  <c r="G475" s="1"/>
  <c r="AQ452"/>
  <c r="AQ452" i="30"/>
  <c r="H475" a="1"/>
  <c r="H475" s="1"/>
  <c r="F475" a="1"/>
  <c r="F475" s="1"/>
  <c r="AG452"/>
  <c r="AG452" i="44"/>
  <c r="AK452"/>
  <c r="AK452" i="30"/>
  <c r="O452" i="44"/>
  <c r="N639" i="30" a="1"/>
  <c r="N639" s="1"/>
  <c r="O452"/>
  <c r="N639" i="44" a="1"/>
  <c r="N639" s="1"/>
  <c r="J452" i="30"/>
  <c r="I639" a="1"/>
  <c r="I639" s="1"/>
  <c r="J452" i="44"/>
  <c r="I639" a="1"/>
  <c r="I639" s="1"/>
  <c r="AA452"/>
  <c r="AA452" i="30"/>
  <c r="AV452"/>
  <c r="AV452" i="44"/>
  <c r="Y452" i="30"/>
  <c r="Y452" i="44"/>
  <c r="T452" i="30"/>
  <c r="S639" i="44" a="1"/>
  <c r="S639" s="1"/>
  <c r="T452"/>
  <c r="S639" i="30" a="1"/>
  <c r="S639" s="1"/>
  <c r="V452" i="44"/>
  <c r="V452" i="30"/>
  <c r="AH452" i="44"/>
  <c r="AH452" i="30"/>
  <c r="AM452" i="44"/>
  <c r="AM452" i="30"/>
  <c r="AW452"/>
  <c r="AW452" i="44"/>
  <c r="Y449"/>
  <c r="Y449" i="30"/>
  <c r="AR449"/>
  <c r="AR449" i="44"/>
  <c r="AT449" i="30"/>
  <c r="AT449" i="44"/>
  <c r="X449" i="30"/>
  <c r="X449" i="44"/>
  <c r="T449"/>
  <c r="S636" a="1"/>
  <c r="S636" s="1"/>
  <c r="S636" i="30" a="1"/>
  <c r="S636" s="1"/>
  <c r="T449"/>
  <c r="V449" i="44"/>
  <c r="U636" a="1"/>
  <c r="U636" s="1"/>
  <c r="V449" i="30"/>
  <c r="AN449"/>
  <c r="AN449" i="44"/>
  <c r="W449"/>
  <c r="W449" i="30"/>
  <c r="Z449"/>
  <c r="Z449" i="44"/>
  <c r="AB449"/>
  <c r="AB449" i="30"/>
  <c r="P449" i="44"/>
  <c r="O636" i="30" a="1"/>
  <c r="O636" s="1"/>
  <c r="O636" i="44" a="1"/>
  <c r="O636" s="1"/>
  <c r="P449" i="30"/>
  <c r="AH449" i="44"/>
  <c r="AH449" i="30"/>
  <c r="AA449" i="44"/>
  <c r="AA449" i="30"/>
  <c r="AK449"/>
  <c r="AK449" i="44"/>
  <c r="AG449"/>
  <c r="AG449" i="30"/>
  <c r="AQ449" i="44"/>
  <c r="AQ449" i="30"/>
  <c r="M449"/>
  <c r="L636" i="44" a="1"/>
  <c r="L636" s="1"/>
  <c r="L636" i="30" a="1"/>
  <c r="L636" s="1"/>
  <c r="M449" i="44"/>
  <c r="AO449" i="30"/>
  <c r="AO449" i="44"/>
  <c r="AJ449" i="30"/>
  <c r="AJ449" i="44"/>
  <c r="AD449"/>
  <c r="AD449" i="30"/>
  <c r="O449"/>
  <c r="O449" i="44"/>
  <c r="N636" i="30" a="1"/>
  <c r="N636" s="1"/>
  <c r="N636" i="44" a="1"/>
  <c r="N636" s="1"/>
  <c r="AM449" i="30"/>
  <c r="AM449" i="44"/>
  <c r="J449"/>
  <c r="I636" i="30" a="1"/>
  <c r="I636" s="1"/>
  <c r="I636" i="44" a="1"/>
  <c r="I636" s="1"/>
  <c r="J449" i="30"/>
  <c r="T450" i="44"/>
  <c r="T450" i="30"/>
  <c r="T99" i="23"/>
  <c r="O450" i="44"/>
  <c r="O450" i="30"/>
  <c r="AG450"/>
  <c r="AG450" i="44"/>
  <c r="AA450"/>
  <c r="AA99" i="23"/>
  <c r="AA450" i="30"/>
  <c r="AC450" i="44"/>
  <c r="AC450" i="30"/>
  <c r="S450"/>
  <c r="S450" i="44"/>
  <c r="E637" a="1"/>
  <c r="G450" i="30"/>
  <c r="F637" a="1"/>
  <c r="F637" s="1"/>
  <c r="G450" i="44"/>
  <c r="G99" i="23"/>
  <c r="G120" s="1"/>
  <c r="Y450" i="30"/>
  <c r="Y450" i="44"/>
  <c r="K450"/>
  <c r="K450" i="30"/>
  <c r="AD450"/>
  <c r="AD450" i="44"/>
  <c r="G637" i="30" a="1"/>
  <c r="G637" s="1"/>
  <c r="G637" i="44" a="1"/>
  <c r="H450"/>
  <c r="H450" i="30"/>
  <c r="AU450"/>
  <c r="AU450" i="44"/>
  <c r="AW450"/>
  <c r="AW450" i="30"/>
  <c r="L450"/>
  <c r="L450" i="44"/>
  <c r="W450" i="30"/>
  <c r="W450" i="44"/>
  <c r="AS450"/>
  <c r="AS450" i="30"/>
  <c r="J450"/>
  <c r="J450" i="44"/>
  <c r="AE450" i="30"/>
  <c r="AE450" i="44"/>
  <c r="AO450" i="30"/>
  <c r="AO450" i="44"/>
  <c r="AQ450" i="30"/>
  <c r="AQ450" i="44"/>
  <c r="AT450"/>
  <c r="AT450" i="30"/>
  <c r="U450"/>
  <c r="U450" i="44"/>
  <c r="D484" i="30" a="1"/>
  <c r="D484" s="1"/>
  <c r="N268" i="44"/>
  <c r="N268" i="30"/>
  <c r="D266" i="44"/>
  <c r="D271" s="1"/>
  <c r="D266" i="30"/>
  <c r="D271" s="1"/>
  <c r="M52" i="43"/>
  <c r="L57"/>
  <c r="L26"/>
  <c r="I269" i="30"/>
  <c r="I269" i="44"/>
  <c r="F38"/>
  <c r="F38" i="30"/>
  <c r="H37" i="43"/>
  <c r="K12"/>
  <c r="L10"/>
  <c r="O268" i="30"/>
  <c r="O268" i="44"/>
  <c r="R29" i="43"/>
  <c r="H40" i="44"/>
  <c r="K27" i="43"/>
  <c r="H40" i="30"/>
  <c r="K56" i="43"/>
  <c r="K73" s="1"/>
  <c r="K14" s="1"/>
  <c r="K55"/>
  <c r="K74" s="1"/>
  <c r="I20"/>
  <c r="I24" s="1"/>
  <c r="I16"/>
  <c r="I34"/>
  <c r="J34" s="1"/>
  <c r="K34" s="1"/>
  <c r="L34" s="1"/>
  <c r="M34" s="1"/>
  <c r="N34" s="1"/>
  <c r="O34" s="1"/>
  <c r="P34" s="1"/>
  <c r="Q34" s="1"/>
  <c r="R34" s="1"/>
  <c r="S34" s="1"/>
  <c r="T34" s="1"/>
  <c r="U34" s="1"/>
  <c r="V34" s="1"/>
  <c r="W34" s="1"/>
  <c r="X34" s="1"/>
  <c r="Y34" s="1"/>
  <c r="Z34" s="1"/>
  <c r="AA34" s="1"/>
  <c r="AB34" s="1"/>
  <c r="AC34" s="1"/>
  <c r="AD34" s="1"/>
  <c r="AE34" s="1"/>
  <c r="J15"/>
  <c r="J33"/>
  <c r="H266" i="44"/>
  <c r="H266" i="30"/>
  <c r="J134" i="24"/>
  <c r="L155" i="23"/>
  <c r="L204" s="1"/>
  <c r="V134" i="24"/>
  <c r="W134"/>
  <c r="Y155" i="23"/>
  <c r="F134" i="24"/>
  <c r="H134"/>
  <c r="G134"/>
  <c r="J155" i="23"/>
  <c r="J204" s="1"/>
  <c r="AD134" i="24"/>
  <c r="AF155" i="23"/>
  <c r="I134" i="24"/>
  <c r="K155" i="23"/>
  <c r="K204" s="1"/>
  <c r="L134" i="24"/>
  <c r="K134"/>
  <c r="N155" i="23"/>
  <c r="D136" i="24"/>
  <c r="L112"/>
  <c r="N157" i="23" s="1"/>
  <c r="BX112" i="24"/>
  <c r="BA112"/>
  <c r="CM112"/>
  <c r="AI112"/>
  <c r="AV112"/>
  <c r="AS112"/>
  <c r="AT112"/>
  <c r="BE112"/>
  <c r="CA112"/>
  <c r="BN112"/>
  <c r="Q112"/>
  <c r="S157" i="23" s="1"/>
  <c r="BK112" i="24"/>
  <c r="BL112"/>
  <c r="M112"/>
  <c r="O157" i="23" s="1"/>
  <c r="BJ112" i="24"/>
  <c r="Y112"/>
  <c r="AA157" i="23" s="1"/>
  <c r="R112" i="24"/>
  <c r="T157" i="23" s="1"/>
  <c r="CD112" i="24"/>
  <c r="W112"/>
  <c r="Y157" i="23" s="1"/>
  <c r="S112" i="24"/>
  <c r="U157" i="23" s="1"/>
  <c r="AR112" i="24"/>
  <c r="CG112"/>
  <c r="U112"/>
  <c r="W157" i="23" s="1"/>
  <c r="N112" i="24"/>
  <c r="P157" i="23" s="1"/>
  <c r="C181" i="24"/>
  <c r="P112"/>
  <c r="R157" i="23" s="1"/>
  <c r="CB112" i="24"/>
  <c r="AU112"/>
  <c r="BZ112"/>
  <c r="BC112"/>
  <c r="AH112"/>
  <c r="CC112"/>
  <c r="BS112"/>
  <c r="AF112"/>
  <c r="BY112"/>
  <c r="V112"/>
  <c r="X157" i="23" s="1"/>
  <c r="CK112" i="24"/>
  <c r="AQ112"/>
  <c r="AX112"/>
  <c r="AW112"/>
  <c r="D139"/>
  <c r="AA115"/>
  <c r="AI115"/>
  <c r="BK115"/>
  <c r="L115"/>
  <c r="AB115"/>
  <c r="AR115"/>
  <c r="BH115"/>
  <c r="BX115"/>
  <c r="CG115"/>
  <c r="BA115"/>
  <c r="U115"/>
  <c r="BW115"/>
  <c r="BS115"/>
  <c r="AD115"/>
  <c r="BJ115"/>
  <c r="CC115"/>
  <c r="Q115"/>
  <c r="BC115"/>
  <c r="Z115"/>
  <c r="BF115"/>
  <c r="CL115"/>
  <c r="AO115"/>
  <c r="AE115"/>
  <c r="T115"/>
  <c r="AZ115"/>
  <c r="CF115"/>
  <c r="AK115"/>
  <c r="G115"/>
  <c r="AT115"/>
  <c r="AW115"/>
  <c r="J115"/>
  <c r="BV115"/>
  <c r="C184"/>
  <c r="R115"/>
  <c r="BB115"/>
  <c r="AC115"/>
  <c r="BD115"/>
  <c r="AU115"/>
  <c r="AX115"/>
  <c r="CH115"/>
  <c r="K115"/>
  <c r="BT115"/>
  <c r="H115"/>
  <c r="CA115"/>
  <c r="BY115"/>
  <c r="AH115"/>
  <c r="BO115"/>
  <c r="CB115"/>
  <c r="BM115"/>
  <c r="AF115"/>
  <c r="CK115"/>
  <c r="BL115"/>
  <c r="AV115"/>
  <c r="AL115"/>
  <c r="Y115"/>
  <c r="CM115"/>
  <c r="I115"/>
  <c r="AJ115"/>
  <c r="BP115"/>
  <c r="BQ115"/>
  <c r="S115"/>
  <c r="N115"/>
  <c r="BZ115"/>
  <c r="AY115"/>
  <c r="AP115"/>
  <c r="BU115"/>
  <c r="CD115"/>
  <c r="AG115"/>
  <c r="AM115"/>
  <c r="CJ115"/>
  <c r="X115"/>
  <c r="BE115"/>
  <c r="W115"/>
  <c r="V115"/>
  <c r="BI115"/>
  <c r="AN115"/>
  <c r="BG115"/>
  <c r="AQ115"/>
  <c r="M115"/>
  <c r="P115"/>
  <c r="CE115"/>
  <c r="BN115"/>
  <c r="F115"/>
  <c r="BR115"/>
  <c r="O115"/>
  <c r="AS115"/>
  <c r="CI115"/>
  <c r="R133"/>
  <c r="P103" i="23" s="1"/>
  <c r="U154"/>
  <c r="S133" i="24"/>
  <c r="Q103" i="23" s="1"/>
  <c r="K154"/>
  <c r="K203" s="1"/>
  <c r="I133" i="24"/>
  <c r="G103" i="23" s="1"/>
  <c r="G124" s="1"/>
  <c r="H133" i="24"/>
  <c r="AE154" i="23"/>
  <c r="AE203" s="1"/>
  <c r="AB133" i="24"/>
  <c r="Z103" i="23" s="1"/>
  <c r="AC133" i="24"/>
  <c r="AA103" i="23" s="1"/>
  <c r="AA133" i="24"/>
  <c r="Y103" i="23" s="1"/>
  <c r="Z133" i="24"/>
  <c r="X103" i="23" s="1"/>
  <c r="AF154"/>
  <c r="AD133" i="24"/>
  <c r="AB103" i="23" s="1"/>
  <c r="R154"/>
  <c r="M133" i="24"/>
  <c r="K103" i="23" s="1"/>
  <c r="P133" i="24"/>
  <c r="N103" i="23" s="1"/>
  <c r="L133" i="24"/>
  <c r="J103" i="23" s="1"/>
  <c r="K133" i="24"/>
  <c r="I103" i="23" s="1"/>
  <c r="O133" i="24"/>
  <c r="M103" i="23" s="1"/>
  <c r="N133" i="24"/>
  <c r="L103" i="23" s="1"/>
  <c r="I162"/>
  <c r="G141" i="24"/>
  <c r="U141"/>
  <c r="S111" i="23" s="1"/>
  <c r="W162"/>
  <c r="S141" i="24"/>
  <c r="Q111" i="23" s="1"/>
  <c r="T141" i="24"/>
  <c r="R111" i="23" s="1"/>
  <c r="AG162"/>
  <c r="AG211" s="1"/>
  <c r="AC141" i="24"/>
  <c r="AA111" i="23" s="1"/>
  <c r="AD141" i="24"/>
  <c r="AB111" i="23" s="1"/>
  <c r="AE141" i="24"/>
  <c r="AC111" i="23" s="1"/>
  <c r="Z162"/>
  <c r="Z211" s="1"/>
  <c r="W141" i="24"/>
  <c r="U111" i="23" s="1"/>
  <c r="X141" i="24"/>
  <c r="V111" i="23" s="1"/>
  <c r="R152"/>
  <c r="P131" i="24"/>
  <c r="N101" i="23" s="1"/>
  <c r="N122" s="1"/>
  <c r="Q152"/>
  <c r="N131" i="24"/>
  <c r="L101" i="23" s="1"/>
  <c r="L122" s="1"/>
  <c r="O131" i="24"/>
  <c r="M101" i="23" s="1"/>
  <c r="M122" s="1"/>
  <c r="AE134" i="24"/>
  <c r="AD112"/>
  <c r="AF157" i="23" s="1"/>
  <c r="K112" i="24"/>
  <c r="M157" i="23" s="1"/>
  <c r="BQ112" i="24"/>
  <c r="BH112"/>
  <c r="CE112"/>
  <c r="AA134"/>
  <c r="AC155" i="23"/>
  <c r="AC204" s="1"/>
  <c r="D132" i="24"/>
  <c r="C177"/>
  <c r="AW108"/>
  <c r="G108"/>
  <c r="AQ108"/>
  <c r="BW108"/>
  <c r="BI108"/>
  <c r="I108"/>
  <c r="R108"/>
  <c r="AJ108"/>
  <c r="AZ108"/>
  <c r="BP108"/>
  <c r="CF108"/>
  <c r="AU108"/>
  <c r="BA108"/>
  <c r="AD108"/>
  <c r="BJ108"/>
  <c r="M108"/>
  <c r="BE108"/>
  <c r="BC108"/>
  <c r="AK108"/>
  <c r="Z108"/>
  <c r="BF108"/>
  <c r="CL108"/>
  <c r="BM108"/>
  <c r="S108"/>
  <c r="AY108"/>
  <c r="CE108"/>
  <c r="AS108"/>
  <c r="F108"/>
  <c r="X108"/>
  <c r="AN108"/>
  <c r="BD108"/>
  <c r="BT108"/>
  <c r="CJ108"/>
  <c r="BK108"/>
  <c r="J108"/>
  <c r="AL108"/>
  <c r="BR108"/>
  <c r="Y108"/>
  <c r="O108"/>
  <c r="BS108"/>
  <c r="U108"/>
  <c r="AH108"/>
  <c r="BN108"/>
  <c r="BU108"/>
  <c r="AA108"/>
  <c r="BG108"/>
  <c r="CM108"/>
  <c r="AC108"/>
  <c r="H108"/>
  <c r="AB108"/>
  <c r="AR108"/>
  <c r="BH108"/>
  <c r="BX108"/>
  <c r="CK108"/>
  <c r="CA108"/>
  <c r="P108"/>
  <c r="AT108"/>
  <c r="BZ108"/>
  <c r="Q108"/>
  <c r="AE108"/>
  <c r="CI108"/>
  <c r="L108"/>
  <c r="AP108"/>
  <c r="BV108"/>
  <c r="CC108"/>
  <c r="AO108"/>
  <c r="AI108"/>
  <c r="BO108"/>
  <c r="BY108"/>
  <c r="K108"/>
  <c r="N108"/>
  <c r="AF108"/>
  <c r="AV108"/>
  <c r="BL108"/>
  <c r="CB108"/>
  <c r="W108"/>
  <c r="CG108"/>
  <c r="V108"/>
  <c r="BB108"/>
  <c r="CH108"/>
  <c r="AG108"/>
  <c r="AM108"/>
  <c r="BQ108"/>
  <c r="T108"/>
  <c r="AX108"/>
  <c r="CD108"/>
  <c r="T134"/>
  <c r="O134"/>
  <c r="R134"/>
  <c r="M134"/>
  <c r="S134"/>
  <c r="Q134"/>
  <c r="P134"/>
  <c r="N134"/>
  <c r="V155" i="23"/>
  <c r="V204" s="1"/>
  <c r="Y134" i="24"/>
  <c r="AA155" i="23"/>
  <c r="AC134" i="24"/>
  <c r="AE155" i="23"/>
  <c r="AE204" s="1"/>
  <c r="Z134" i="24"/>
  <c r="AB155" i="23"/>
  <c r="AB204" s="1"/>
  <c r="AB134" i="24"/>
  <c r="AD155" i="23"/>
  <c r="U134" i="24"/>
  <c r="W155" i="23"/>
  <c r="X134" i="24"/>
  <c r="Z155" i="23"/>
  <c r="Z204" s="1"/>
  <c r="L154"/>
  <c r="L203" s="1"/>
  <c r="J133" i="24"/>
  <c r="H103" i="23" s="1"/>
  <c r="H124" s="1"/>
  <c r="T133" i="24"/>
  <c r="R103" i="23" s="1"/>
  <c r="V154"/>
  <c r="V203" s="1"/>
  <c r="Y154"/>
  <c r="W133" i="24"/>
  <c r="U103" i="23" s="1"/>
  <c r="V133" i="24"/>
  <c r="T103" i="23" s="1"/>
  <c r="U133" i="24"/>
  <c r="S103" i="23" s="1"/>
  <c r="AA154"/>
  <c r="Y133" i="24"/>
  <c r="W103" i="23" s="1"/>
  <c r="Z154"/>
  <c r="Z203" s="1"/>
  <c r="X133" i="24"/>
  <c r="V103" i="23" s="1"/>
  <c r="S154"/>
  <c r="Q133" i="24"/>
  <c r="O103" i="23" s="1"/>
  <c r="F133" i="24"/>
  <c r="I154" i="23"/>
  <c r="G133" i="24"/>
  <c r="O141"/>
  <c r="M111" i="23" s="1"/>
  <c r="I141" i="24"/>
  <c r="G111" i="23" s="1"/>
  <c r="G132" s="1"/>
  <c r="N141" i="24"/>
  <c r="L111" i="23" s="1"/>
  <c r="M141" i="24"/>
  <c r="K111" i="23" s="1"/>
  <c r="J141" i="24"/>
  <c r="H111" i="23" s="1"/>
  <c r="H132" s="1"/>
  <c r="P141" i="24"/>
  <c r="N111" i="23" s="1"/>
  <c r="R162"/>
  <c r="L141" i="24"/>
  <c r="J111" i="23" s="1"/>
  <c r="K141" i="24"/>
  <c r="I111" i="23" s="1"/>
  <c r="H141" i="24"/>
  <c r="AD162" i="23"/>
  <c r="Z141" i="24"/>
  <c r="X111" i="23" s="1"/>
  <c r="Y141" i="24"/>
  <c r="W111" i="23" s="1"/>
  <c r="AB141" i="24"/>
  <c r="Z111" i="23" s="1"/>
  <c r="AA141" i="24"/>
  <c r="Y111" i="23" s="1"/>
  <c r="H162"/>
  <c r="H211" s="1"/>
  <c r="F141" i="24"/>
  <c r="T162" i="23"/>
  <c r="R141" i="24"/>
  <c r="P111" i="23" s="1"/>
  <c r="X162"/>
  <c r="V141" i="24"/>
  <c r="T111" i="23" s="1"/>
  <c r="Q141" i="24"/>
  <c r="O111" i="23" s="1"/>
  <c r="S162"/>
  <c r="Z131" i="24"/>
  <c r="X101" i="23" s="1"/>
  <c r="X122" s="1"/>
  <c r="Y131" i="24"/>
  <c r="W101" i="23" s="1"/>
  <c r="W122" s="1"/>
  <c r="AB131" i="24"/>
  <c r="Z101" i="23" s="1"/>
  <c r="Z122" s="1"/>
  <c r="AD131" i="24"/>
  <c r="AB101" i="23" s="1"/>
  <c r="AB122" s="1"/>
  <c r="X131" i="24"/>
  <c r="V101" i="23" s="1"/>
  <c r="V122" s="1"/>
  <c r="AA131" i="24"/>
  <c r="Y101" i="23" s="1"/>
  <c r="Y122" s="1"/>
  <c r="AC131" i="24"/>
  <c r="AA101" i="23" s="1"/>
  <c r="AA122" s="1"/>
  <c r="AE131" i="24"/>
  <c r="AC101" i="23" s="1"/>
  <c r="AC122" s="1"/>
  <c r="O152"/>
  <c r="J131" i="24"/>
  <c r="H101" i="23" s="1"/>
  <c r="H122" s="1"/>
  <c r="I131" i="24"/>
  <c r="G101" i="23" s="1"/>
  <c r="G122" s="1"/>
  <c r="F131" i="24"/>
  <c r="M131"/>
  <c r="K101" i="23" s="1"/>
  <c r="K122" s="1"/>
  <c r="L131" i="24"/>
  <c r="J101" i="23" s="1"/>
  <c r="J122" s="1"/>
  <c r="K131" i="24"/>
  <c r="I101" i="23" s="1"/>
  <c r="I122" s="1"/>
  <c r="H131" i="24"/>
  <c r="G131"/>
  <c r="Q131"/>
  <c r="O101" i="23" s="1"/>
  <c r="O122" s="1"/>
  <c r="S131" i="24"/>
  <c r="Q101" i="23" s="1"/>
  <c r="Q122" s="1"/>
  <c r="V152"/>
  <c r="V201" s="1"/>
  <c r="T131" i="24"/>
  <c r="R101" i="23" s="1"/>
  <c r="R122" s="1"/>
  <c r="R131" i="24"/>
  <c r="P101" i="23" s="1"/>
  <c r="P122" s="1"/>
  <c r="O112" i="24"/>
  <c r="Q157" i="23" s="1"/>
  <c r="AK112" i="24"/>
  <c r="AC136" s="1"/>
  <c r="AA106" i="23" s="1"/>
  <c r="CF112" i="24"/>
  <c r="AB112"/>
  <c r="AD157" i="23" s="1"/>
  <c r="G112" i="24"/>
  <c r="I157" i="23" s="1"/>
  <c r="K15" i="44"/>
  <c r="U641" a="1"/>
  <c r="U641" s="1"/>
  <c r="Q49" i="24"/>
  <c r="R49" s="1"/>
  <c r="S49" s="1"/>
  <c r="T49" s="1"/>
  <c r="U49" s="1"/>
  <c r="P40"/>
  <c r="Q45"/>
  <c r="R45" s="1"/>
  <c r="S45" s="1"/>
  <c r="T45" s="1"/>
  <c r="U45" s="1"/>
  <c r="P36"/>
  <c r="P35"/>
  <c r="Q44"/>
  <c r="R44" s="1"/>
  <c r="S44" s="1"/>
  <c r="T44" s="1"/>
  <c r="U44" s="1"/>
  <c r="Q43"/>
  <c r="R43" s="1"/>
  <c r="S43" s="1"/>
  <c r="T43" s="1"/>
  <c r="U43" s="1"/>
  <c r="P34"/>
  <c r="K157" i="23"/>
  <c r="V157"/>
  <c r="AE157"/>
  <c r="L157"/>
  <c r="V48" i="24"/>
  <c r="W48" s="1"/>
  <c r="X48" s="1"/>
  <c r="Y48" s="1"/>
  <c r="Z48" s="1"/>
  <c r="Q39"/>
  <c r="Q38"/>
  <c r="V47"/>
  <c r="W47" s="1"/>
  <c r="X47" s="1"/>
  <c r="Y47" s="1"/>
  <c r="Z47" s="1"/>
  <c r="Q46"/>
  <c r="R46" s="1"/>
  <c r="S46" s="1"/>
  <c r="T46" s="1"/>
  <c r="U46" s="1"/>
  <c r="P37"/>
  <c r="J157" i="23"/>
  <c r="AB157"/>
  <c r="AG157"/>
  <c r="AD136" i="24"/>
  <c r="AB106" i="23" s="1"/>
  <c r="Z157"/>
  <c r="H157"/>
  <c r="AC157"/>
  <c r="Y683" i="44"/>
  <c r="CR190" i="42" s="1"/>
  <c r="X683" i="44"/>
  <c r="CQ190" i="42" s="1"/>
  <c r="AC683" i="44"/>
  <c r="CV190" i="42" s="1"/>
  <c r="Y641" i="30" a="1"/>
  <c r="Y641" s="1"/>
  <c r="AA641" a="1"/>
  <c r="AA641" s="1"/>
  <c r="Z641" a="1"/>
  <c r="Z641" s="1"/>
  <c r="AB641" a="1"/>
  <c r="AB641" s="1"/>
  <c r="X683"/>
  <c r="CQ181" i="42" s="1"/>
  <c r="U683" i="30"/>
  <c r="CN181" i="42" s="1"/>
  <c r="T683" i="30"/>
  <c r="CM181" i="42" s="1"/>
  <c r="Z683" i="30"/>
  <c r="CS181" i="42" s="1"/>
  <c r="J88" i="30"/>
  <c r="Y683"/>
  <c r="CR181" i="42" s="1"/>
  <c r="W683" i="30"/>
  <c r="CP181" i="42" s="1"/>
  <c r="V683" i="30"/>
  <c r="CO181" i="42" s="1"/>
  <c r="AB683" i="30"/>
  <c r="CU181" i="42" s="1"/>
  <c r="AC683" i="30"/>
  <c r="CV181" i="42" s="1"/>
  <c r="AA683" i="30"/>
  <c r="CT181" i="42" s="1"/>
  <c r="AU327" i="23" l="1"/>
  <c r="AV327"/>
  <c r="BO327" s="1"/>
  <c r="BQ327"/>
  <c r="AW327"/>
  <c r="BN327" s="1"/>
  <c r="E644" i="30" a="1"/>
  <c r="H184" i="24"/>
  <c r="E184"/>
  <c r="I184"/>
  <c r="F184"/>
  <c r="J184"/>
  <c r="G184"/>
  <c r="D184"/>
  <c r="N68" i="43"/>
  <c r="N66"/>
  <c r="O65"/>
  <c r="AG141" i="44"/>
  <c r="J13"/>
  <c r="J498" s="1"/>
  <c r="I77"/>
  <c r="AU14" i="42"/>
  <c r="I178" i="44"/>
  <c r="I200" s="1"/>
  <c r="J500"/>
  <c r="AE141" i="30"/>
  <c r="AL141" i="44"/>
  <c r="O132" i="23"/>
  <c r="AH21" i="38"/>
  <c r="Z132" i="23"/>
  <c r="AS21" i="38"/>
  <c r="X132" i="23"/>
  <c r="AQ21" i="38"/>
  <c r="J132" i="23"/>
  <c r="AC21" i="38"/>
  <c r="N132" i="23"/>
  <c r="AG21" i="38"/>
  <c r="K132" i="23"/>
  <c r="AD21" i="38"/>
  <c r="U132" i="23"/>
  <c r="AN21" i="38"/>
  <c r="AC132" i="23"/>
  <c r="AV21" i="38"/>
  <c r="AA132" i="23"/>
  <c r="AT21" i="38"/>
  <c r="R132" i="23"/>
  <c r="AK21" i="38"/>
  <c r="T132" i="23"/>
  <c r="AM21" i="38"/>
  <c r="P132" i="23"/>
  <c r="AI21" i="38"/>
  <c r="Y132" i="23"/>
  <c r="AR21" i="38"/>
  <c r="W132" i="23"/>
  <c r="AP21" i="38"/>
  <c r="I132" i="23"/>
  <c r="AB21" i="38"/>
  <c r="L132" i="23"/>
  <c r="AE21" i="38"/>
  <c r="M132" i="23"/>
  <c r="AF21" i="38"/>
  <c r="V132" i="23"/>
  <c r="AO21" i="38"/>
  <c r="AB132" i="23"/>
  <c r="AU21" i="38"/>
  <c r="Q132" i="23"/>
  <c r="AJ21" i="38"/>
  <c r="S132" i="23"/>
  <c r="AL21" i="38"/>
  <c r="AU16" i="42"/>
  <c r="I397" i="44"/>
  <c r="AN487" a="1"/>
  <c r="AN487" s="1"/>
  <c r="AG141" i="30"/>
  <c r="AH141" i="44"/>
  <c r="AO488" i="30" a="1"/>
  <c r="AO488" s="1"/>
  <c r="AC160"/>
  <c r="AC486" a="1"/>
  <c r="AC486" s="1"/>
  <c r="AB486" a="1"/>
  <c r="AB486" s="1"/>
  <c r="D89"/>
  <c r="H89"/>
  <c r="F89"/>
  <c r="AA138"/>
  <c r="AA161" s="1"/>
  <c r="W138"/>
  <c r="W161" s="1"/>
  <c r="S138"/>
  <c r="S161" s="1"/>
  <c r="O138"/>
  <c r="O161" s="1"/>
  <c r="K138"/>
  <c r="K161" s="1"/>
  <c r="G89"/>
  <c r="Z138"/>
  <c r="Z161" s="1"/>
  <c r="V138"/>
  <c r="V161" s="1"/>
  <c r="R138"/>
  <c r="R161" s="1"/>
  <c r="N138"/>
  <c r="N161" s="1"/>
  <c r="J138"/>
  <c r="J161" s="1"/>
  <c r="AC138"/>
  <c r="AC161" s="1"/>
  <c r="Y138"/>
  <c r="Y161" s="1"/>
  <c r="U138"/>
  <c r="U161" s="1"/>
  <c r="Q138"/>
  <c r="Q161" s="1"/>
  <c r="M138"/>
  <c r="M161" s="1"/>
  <c r="I138"/>
  <c r="I161" s="1"/>
  <c r="I25" s="1"/>
  <c r="E89"/>
  <c r="AB138"/>
  <c r="AB161" s="1"/>
  <c r="X138"/>
  <c r="X161" s="1"/>
  <c r="T138"/>
  <c r="T161" s="1"/>
  <c r="P138"/>
  <c r="P161" s="1"/>
  <c r="L138"/>
  <c r="L161" s="1"/>
  <c r="AH454"/>
  <c r="AH454" i="44"/>
  <c r="AO454" i="30"/>
  <c r="AO454" i="44"/>
  <c r="I454"/>
  <c r="I454" i="30"/>
  <c r="AB454" i="44"/>
  <c r="AB454" i="30"/>
  <c r="AM454" i="44"/>
  <c r="AM454" i="30"/>
  <c r="F477" a="1"/>
  <c r="F477" s="1"/>
  <c r="F665" s="1"/>
  <c r="D185" i="42" s="1"/>
  <c r="T454" i="30"/>
  <c r="T454" i="44"/>
  <c r="AC454"/>
  <c r="AC454" i="30"/>
  <c r="AV454"/>
  <c r="AV454" i="44"/>
  <c r="R454" i="30"/>
  <c r="R454" i="44"/>
  <c r="AA454" i="30"/>
  <c r="AA454" i="44"/>
  <c r="AP454" i="30"/>
  <c r="AP454" i="44"/>
  <c r="AW454" i="30"/>
  <c r="AW454" i="44"/>
  <c r="Q454"/>
  <c r="Q454" i="30"/>
  <c r="AJ454"/>
  <c r="AJ454" i="44"/>
  <c r="AU454"/>
  <c r="AU454" i="30"/>
  <c r="O454" i="44"/>
  <c r="O454" i="30"/>
  <c r="AD454" i="44"/>
  <c r="AD454" i="30"/>
  <c r="AK454" i="44"/>
  <c r="AK454" i="30"/>
  <c r="F477" i="44" a="1"/>
  <c r="F477" s="1"/>
  <c r="X454"/>
  <c r="X454" i="30"/>
  <c r="AI454"/>
  <c r="AI454" i="44"/>
  <c r="D90" i="30"/>
  <c r="H90"/>
  <c r="Z139"/>
  <c r="Z162" s="1"/>
  <c r="V139"/>
  <c r="V162" s="1"/>
  <c r="R139"/>
  <c r="R162" s="1"/>
  <c r="N139"/>
  <c r="N162" s="1"/>
  <c r="J139"/>
  <c r="J162" s="1"/>
  <c r="G90"/>
  <c r="AC139"/>
  <c r="AC162" s="1"/>
  <c r="Y139"/>
  <c r="Y162" s="1"/>
  <c r="U139"/>
  <c r="U162" s="1"/>
  <c r="Q139"/>
  <c r="Q162" s="1"/>
  <c r="M139"/>
  <c r="M162" s="1"/>
  <c r="I139"/>
  <c r="I162" s="1"/>
  <c r="I26" s="1"/>
  <c r="AB139"/>
  <c r="AB162" s="1"/>
  <c r="X139"/>
  <c r="X162" s="1"/>
  <c r="T139"/>
  <c r="T162" s="1"/>
  <c r="P139"/>
  <c r="P162" s="1"/>
  <c r="L139"/>
  <c r="L162" s="1"/>
  <c r="E90"/>
  <c r="AA139"/>
  <c r="AA162" s="1"/>
  <c r="W139"/>
  <c r="W162" s="1"/>
  <c r="S139"/>
  <c r="S162" s="1"/>
  <c r="O139"/>
  <c r="O162" s="1"/>
  <c r="K139"/>
  <c r="K162" s="1"/>
  <c r="F90"/>
  <c r="W487" a="1"/>
  <c r="W487" s="1"/>
  <c r="N487" a="1"/>
  <c r="N487" s="1"/>
  <c r="G487" a="1"/>
  <c r="G487" s="1"/>
  <c r="T487" a="1"/>
  <c r="T487" s="1"/>
  <c r="AS487" i="44" a="1"/>
  <c r="AS487" s="1"/>
  <c r="E487" i="30" a="1"/>
  <c r="E487" s="1"/>
  <c r="S488" a="1"/>
  <c r="S488" s="1"/>
  <c r="I23"/>
  <c r="AM159"/>
  <c r="AM136" s="1"/>
  <c r="AC649" s="1" a="1"/>
  <c r="AC649" s="1"/>
  <c r="U160"/>
  <c r="U486" a="1"/>
  <c r="U486" s="1"/>
  <c r="T486" a="1"/>
  <c r="T486" s="1"/>
  <c r="M160"/>
  <c r="L486" a="1"/>
  <c r="L486" s="1"/>
  <c r="M486" a="1"/>
  <c r="M486" s="1"/>
  <c r="H89" i="44"/>
  <c r="G89"/>
  <c r="K138"/>
  <c r="K161" s="1"/>
  <c r="D89"/>
  <c r="E89"/>
  <c r="Z138"/>
  <c r="Z161" s="1"/>
  <c r="V138"/>
  <c r="V161" s="1"/>
  <c r="R138"/>
  <c r="R161" s="1"/>
  <c r="N138"/>
  <c r="N161" s="1"/>
  <c r="J138"/>
  <c r="J161" s="1"/>
  <c r="AC138"/>
  <c r="AC161" s="1"/>
  <c r="Y138"/>
  <c r="Y161" s="1"/>
  <c r="U138"/>
  <c r="U161" s="1"/>
  <c r="Q138"/>
  <c r="Q161" s="1"/>
  <c r="M138"/>
  <c r="M161" s="1"/>
  <c r="F89"/>
  <c r="AB138"/>
  <c r="AB161" s="1"/>
  <c r="X138"/>
  <c r="X161" s="1"/>
  <c r="T138"/>
  <c r="T161" s="1"/>
  <c r="P138"/>
  <c r="P161" s="1"/>
  <c r="L138"/>
  <c r="L161" s="1"/>
  <c r="AA138"/>
  <c r="AA161" s="1"/>
  <c r="W138"/>
  <c r="W161" s="1"/>
  <c r="S138"/>
  <c r="S161" s="1"/>
  <c r="O138"/>
  <c r="O161" s="1"/>
  <c r="I138"/>
  <c r="I161" s="1"/>
  <c r="I25" s="1"/>
  <c r="AS315" i="23"/>
  <c r="BS315"/>
  <c r="BS343" s="1"/>
  <c r="AR343"/>
  <c r="O486" i="44" a="1"/>
  <c r="O486" s="1"/>
  <c r="P486" a="1"/>
  <c r="P486" s="1"/>
  <c r="P160"/>
  <c r="G454"/>
  <c r="G454" i="30"/>
  <c r="G477" s="1" a="1"/>
  <c r="G477" s="1"/>
  <c r="P454"/>
  <c r="P454" i="44"/>
  <c r="Y454"/>
  <c r="Y454" i="30"/>
  <c r="AR454"/>
  <c r="AR454" i="44"/>
  <c r="N454"/>
  <c r="N454" i="30"/>
  <c r="W454" i="44"/>
  <c r="W454" i="30"/>
  <c r="AL454"/>
  <c r="AL454" i="44"/>
  <c r="AS454" i="30"/>
  <c r="AS454" i="44"/>
  <c r="M454"/>
  <c r="M454" i="30"/>
  <c r="AF454"/>
  <c r="AF454" i="44"/>
  <c r="AQ454" i="30"/>
  <c r="AQ454" i="44"/>
  <c r="K454" i="30"/>
  <c r="K454" i="44"/>
  <c r="Z454" i="30"/>
  <c r="Z454" i="44"/>
  <c r="AG454" i="30"/>
  <c r="AG454" i="44"/>
  <c r="H454" i="30"/>
  <c r="H454" i="44"/>
  <c r="V454"/>
  <c r="V454" i="30"/>
  <c r="AE454" i="44"/>
  <c r="AE454" i="30"/>
  <c r="AT454" i="44"/>
  <c r="AT454" i="30"/>
  <c r="L454" i="44"/>
  <c r="L454" i="30"/>
  <c r="U454" i="44"/>
  <c r="U454" i="30"/>
  <c r="AN454"/>
  <c r="AN454" i="44"/>
  <c r="J454"/>
  <c r="J454" i="30"/>
  <c r="S454"/>
  <c r="S454" i="44"/>
  <c r="D90"/>
  <c r="E90"/>
  <c r="F90"/>
  <c r="AC139"/>
  <c r="AC162" s="1"/>
  <c r="Y139"/>
  <c r="Y162" s="1"/>
  <c r="U139"/>
  <c r="U162" s="1"/>
  <c r="Q139"/>
  <c r="Q162" s="1"/>
  <c r="M139"/>
  <c r="M162" s="1"/>
  <c r="I139"/>
  <c r="I162" s="1"/>
  <c r="I26" s="1"/>
  <c r="AB139"/>
  <c r="AB162" s="1"/>
  <c r="X139"/>
  <c r="X162" s="1"/>
  <c r="T139"/>
  <c r="T162" s="1"/>
  <c r="P139"/>
  <c r="P162" s="1"/>
  <c r="L139"/>
  <c r="L162" s="1"/>
  <c r="G90"/>
  <c r="AA139"/>
  <c r="AA162" s="1"/>
  <c r="W139"/>
  <c r="W162" s="1"/>
  <c r="S139"/>
  <c r="S162" s="1"/>
  <c r="O139"/>
  <c r="O162" s="1"/>
  <c r="K139"/>
  <c r="K162" s="1"/>
  <c r="H90"/>
  <c r="Z139"/>
  <c r="Z162" s="1"/>
  <c r="V139"/>
  <c r="V162" s="1"/>
  <c r="R139"/>
  <c r="R162" s="1"/>
  <c r="N139"/>
  <c r="N162" s="1"/>
  <c r="J139"/>
  <c r="J162" s="1"/>
  <c r="F637" a="1"/>
  <c r="I480" a="1"/>
  <c r="I480" s="1"/>
  <c r="K99" i="23"/>
  <c r="AD9" i="38" s="1"/>
  <c r="AC99" i="23"/>
  <c r="AC120" s="1"/>
  <c r="J487" i="30" a="1"/>
  <c r="J487" s="1"/>
  <c r="K487" a="1"/>
  <c r="K487" s="1"/>
  <c r="P487" i="44" a="1"/>
  <c r="P487" s="1"/>
  <c r="R487" i="30" a="1"/>
  <c r="R487" s="1"/>
  <c r="U487" i="44" a="1"/>
  <c r="U487" s="1"/>
  <c r="J488" i="30" a="1"/>
  <c r="J488" s="1"/>
  <c r="O488" i="44" a="1"/>
  <c r="O488" s="1"/>
  <c r="Y488" i="30" a="1"/>
  <c r="Y488" s="1"/>
  <c r="K488" i="44" a="1"/>
  <c r="K488" s="1"/>
  <c r="L488" i="30" a="1"/>
  <c r="L488" s="1"/>
  <c r="V641" i="44" a="1"/>
  <c r="V641" s="1"/>
  <c r="I79"/>
  <c r="I500"/>
  <c r="J180"/>
  <c r="J202" s="1"/>
  <c r="AD141"/>
  <c r="AK141"/>
  <c r="AE141"/>
  <c r="J406" i="30"/>
  <c r="J509"/>
  <c r="AJ141" i="44"/>
  <c r="AC487" a="1"/>
  <c r="AC487" s="1"/>
  <c r="AG487" a="1"/>
  <c r="AG487" s="1"/>
  <c r="AV488" i="30" a="1"/>
  <c r="AV488" s="1"/>
  <c r="P125"/>
  <c r="Y125"/>
  <c r="AA125"/>
  <c r="Q125"/>
  <c r="X125"/>
  <c r="U125"/>
  <c r="D76"/>
  <c r="G76"/>
  <c r="AC125"/>
  <c r="T125"/>
  <c r="L125"/>
  <c r="AB125"/>
  <c r="Z125"/>
  <c r="H76"/>
  <c r="V125"/>
  <c r="F76"/>
  <c r="E76"/>
  <c r="S125"/>
  <c r="M125"/>
  <c r="I125"/>
  <c r="N125"/>
  <c r="W125"/>
  <c r="O125"/>
  <c r="K125"/>
  <c r="J638" s="1" a="1"/>
  <c r="R125"/>
  <c r="J125"/>
  <c r="R125" i="44"/>
  <c r="U125"/>
  <c r="H76"/>
  <c r="S125"/>
  <c r="AB125"/>
  <c r="Q125"/>
  <c r="O125"/>
  <c r="N125"/>
  <c r="G76"/>
  <c r="F76"/>
  <c r="E76"/>
  <c r="D76"/>
  <c r="M125"/>
  <c r="AC125"/>
  <c r="AC141" s="1"/>
  <c r="K125"/>
  <c r="AA125"/>
  <c r="I125"/>
  <c r="Y125"/>
  <c r="W125"/>
  <c r="X125"/>
  <c r="T125"/>
  <c r="L125"/>
  <c r="Z125"/>
  <c r="V125"/>
  <c r="P125"/>
  <c r="J125"/>
  <c r="I638" s="1" a="1"/>
  <c r="J638" i="30"/>
  <c r="G480" i="44" a="1"/>
  <c r="G480" s="1"/>
  <c r="H480" a="1"/>
  <c r="H480" s="1"/>
  <c r="G487" a="1"/>
  <c r="G487" s="1"/>
  <c r="Z487" i="30" a="1"/>
  <c r="Z487" s="1"/>
  <c r="AK488" a="1"/>
  <c r="AK488" s="1"/>
  <c r="Y488" i="44" a="1"/>
  <c r="Y488" s="1"/>
  <c r="AB488" i="30" a="1"/>
  <c r="AB488" s="1"/>
  <c r="AK488" i="44" a="1"/>
  <c r="AK488" s="1"/>
  <c r="Q488" i="30" a="1"/>
  <c r="Q488" s="1"/>
  <c r="J488" i="44" a="1"/>
  <c r="J488" s="1"/>
  <c r="P488" a="1"/>
  <c r="P488" s="1"/>
  <c r="AE488" a="1"/>
  <c r="AE488" s="1"/>
  <c r="S488" a="1"/>
  <c r="S488" s="1"/>
  <c r="Z136" i="24"/>
  <c r="X106" i="23" s="1"/>
  <c r="AQ16" i="38" s="1"/>
  <c r="Y136" i="24"/>
  <c r="W106" i="23" s="1"/>
  <c r="AP16" i="38" s="1"/>
  <c r="AN487" i="30" a="1"/>
  <c r="AN487" s="1"/>
  <c r="I487" a="1"/>
  <c r="I487" s="1"/>
  <c r="AA487" i="44" a="1"/>
  <c r="AA487" s="1"/>
  <c r="D487" a="1"/>
  <c r="D487" s="1"/>
  <c r="X487" i="30" a="1"/>
  <c r="X487" s="1"/>
  <c r="F487" i="44" a="1"/>
  <c r="F487" s="1"/>
  <c r="Y487" a="1"/>
  <c r="Y487" s="1"/>
  <c r="AA487" i="30" a="1"/>
  <c r="AA487" s="1"/>
  <c r="O487" a="1"/>
  <c r="O487" s="1"/>
  <c r="R487" i="44" a="1"/>
  <c r="R487" s="1"/>
  <c r="AE488" i="30" a="1"/>
  <c r="AE488" s="1"/>
  <c r="AW488" a="1"/>
  <c r="AW488" s="1"/>
  <c r="AP487" i="44" a="1"/>
  <c r="AP487" s="1"/>
  <c r="O488" i="30" a="1"/>
  <c r="O488" s="1"/>
  <c r="W488" i="44" a="1"/>
  <c r="W488" s="1"/>
  <c r="AJ487" i="30" a="1"/>
  <c r="AJ487" s="1"/>
  <c r="AD487" a="1"/>
  <c r="AD487" s="1"/>
  <c r="AH488" a="1"/>
  <c r="AH488" s="1"/>
  <c r="AK487" i="44" a="1"/>
  <c r="AK487" s="1"/>
  <c r="AT488" i="30" a="1"/>
  <c r="AT488" s="1"/>
  <c r="AQ488" a="1"/>
  <c r="AQ488" s="1"/>
  <c r="AM488" a="1"/>
  <c r="AM488" s="1"/>
  <c r="AJ488" a="1"/>
  <c r="AJ488" s="1"/>
  <c r="AR488" i="44" a="1"/>
  <c r="AR488" s="1"/>
  <c r="AI487" i="30" a="1"/>
  <c r="AI487" s="1"/>
  <c r="AS487" a="1"/>
  <c r="AS487" s="1"/>
  <c r="K143" i="24"/>
  <c r="I113" i="23" s="1"/>
  <c r="I134" s="1"/>
  <c r="AE143" i="24"/>
  <c r="AC113" i="23" s="1"/>
  <c r="AC134" s="1"/>
  <c r="W143" i="24"/>
  <c r="U113" i="23" s="1"/>
  <c r="U134" s="1"/>
  <c r="V143" i="24"/>
  <c r="T113" i="23" s="1"/>
  <c r="T134" s="1"/>
  <c r="U143" i="24"/>
  <c r="S113" i="23" s="1"/>
  <c r="S134" s="1"/>
  <c r="AB143" i="24"/>
  <c r="Z113" i="23" s="1"/>
  <c r="Z134" s="1"/>
  <c r="Y143" i="24"/>
  <c r="W113" i="23" s="1"/>
  <c r="W134" s="1"/>
  <c r="X143" i="24"/>
  <c r="V113" i="23" s="1"/>
  <c r="V134" s="1"/>
  <c r="Z143" i="24"/>
  <c r="X113" i="23" s="1"/>
  <c r="X134" s="1"/>
  <c r="P143" i="24"/>
  <c r="N113" i="23" s="1"/>
  <c r="N134" s="1"/>
  <c r="R143" i="24"/>
  <c r="P113" i="23" s="1"/>
  <c r="P134" s="1"/>
  <c r="G143" i="24"/>
  <c r="AC143"/>
  <c r="AA113" i="23" s="1"/>
  <c r="AA134" s="1"/>
  <c r="J143" i="24"/>
  <c r="AD143"/>
  <c r="AB113" i="23" s="1"/>
  <c r="AB134" s="1"/>
  <c r="I143" i="24"/>
  <c r="G113" i="23" s="1"/>
  <c r="G134" s="1"/>
  <c r="L143" i="24"/>
  <c r="J113" i="23" s="1"/>
  <c r="J134" s="1"/>
  <c r="H143" i="24"/>
  <c r="N143"/>
  <c r="L113" i="23" s="1"/>
  <c r="L134" s="1"/>
  <c r="AA143" i="24"/>
  <c r="Y113" i="23" s="1"/>
  <c r="Y134" s="1"/>
  <c r="F143" i="24"/>
  <c r="O143"/>
  <c r="M113" i="23" s="1"/>
  <c r="M134" s="1"/>
  <c r="S143" i="24"/>
  <c r="Q113" i="23" s="1"/>
  <c r="Q134" s="1"/>
  <c r="Q143" i="24"/>
  <c r="O113" i="23" s="1"/>
  <c r="O134" s="1"/>
  <c r="T143" i="24"/>
  <c r="R113" i="23" s="1"/>
  <c r="R134" s="1"/>
  <c r="M143" i="24"/>
  <c r="K113" i="23" s="1"/>
  <c r="K134" s="1"/>
  <c r="I501" i="44"/>
  <c r="I661" s="1"/>
  <c r="AU177" i="42" s="1"/>
  <c r="H135" i="24"/>
  <c r="Z135"/>
  <c r="P135"/>
  <c r="O135"/>
  <c r="AT487" i="30" a="1"/>
  <c r="AT487" s="1"/>
  <c r="AQ487" a="1"/>
  <c r="AQ487" s="1"/>
  <c r="AF487" a="1"/>
  <c r="AF487" s="1"/>
  <c r="AV487" a="1"/>
  <c r="AV487" s="1"/>
  <c r="AP487" a="1"/>
  <c r="AP487" s="1"/>
  <c r="AL487" a="1"/>
  <c r="AL487" s="1"/>
  <c r="V487" a="1"/>
  <c r="V487" s="1"/>
  <c r="H487" i="44" a="1"/>
  <c r="H487" s="1"/>
  <c r="AB487" a="1"/>
  <c r="AB487" s="1"/>
  <c r="AU487" i="30" a="1"/>
  <c r="AU487" s="1"/>
  <c r="AK487" a="1"/>
  <c r="AK487" s="1"/>
  <c r="AE487" a="1"/>
  <c r="AE487" s="1"/>
  <c r="AD487" i="44" a="1"/>
  <c r="AD487" s="1"/>
  <c r="AF487" a="1"/>
  <c r="AF487" s="1"/>
  <c r="AR487" a="1"/>
  <c r="AR487" s="1"/>
  <c r="AI487" a="1"/>
  <c r="AI487" s="1"/>
  <c r="Z487" a="1"/>
  <c r="Z487" s="1"/>
  <c r="Y487" i="30" a="1"/>
  <c r="Y487" s="1"/>
  <c r="M487" a="1"/>
  <c r="M487" s="1"/>
  <c r="AT487" i="44" a="1"/>
  <c r="AT487" s="1"/>
  <c r="AO487" a="1"/>
  <c r="AO487" s="1"/>
  <c r="AL487" a="1"/>
  <c r="AL487" s="1"/>
  <c r="P487" i="30" a="1"/>
  <c r="P487" s="1"/>
  <c r="D487" a="1"/>
  <c r="D487" s="1"/>
  <c r="T487" i="44" a="1"/>
  <c r="T487" s="1"/>
  <c r="AB487" i="30" a="1"/>
  <c r="AB487" s="1"/>
  <c r="AQ487" i="44" a="1"/>
  <c r="AQ487" s="1"/>
  <c r="K487" a="1"/>
  <c r="K487" s="1"/>
  <c r="L487" i="30" a="1"/>
  <c r="L487" s="1"/>
  <c r="O487" i="44" a="1"/>
  <c r="O487" s="1"/>
  <c r="AM487" a="1"/>
  <c r="AM487" s="1"/>
  <c r="AV487" a="1"/>
  <c r="AV487" s="1"/>
  <c r="M487" a="1"/>
  <c r="M487" s="1"/>
  <c r="AU488" i="30" a="1"/>
  <c r="AU488" s="1"/>
  <c r="AR488" a="1"/>
  <c r="AR488" s="1"/>
  <c r="AG488" a="1"/>
  <c r="AG488" s="1"/>
  <c r="AT488" i="44" a="1"/>
  <c r="AT488" s="1"/>
  <c r="AS488" a="1"/>
  <c r="AS488" s="1"/>
  <c r="AM488" a="1"/>
  <c r="AM488" s="1"/>
  <c r="AP488" i="30" a="1"/>
  <c r="AP488" s="1"/>
  <c r="AI488" a="1"/>
  <c r="AI488" s="1"/>
  <c r="AD488" a="1"/>
  <c r="AD488" s="1"/>
  <c r="G488" i="44" a="1"/>
  <c r="G488" s="1"/>
  <c r="V488" a="1"/>
  <c r="V488" s="1"/>
  <c r="I488" a="1"/>
  <c r="I488" s="1"/>
  <c r="AU488" a="1"/>
  <c r="AU488" s="1"/>
  <c r="U488" i="30" a="1"/>
  <c r="U488" s="1"/>
  <c r="H488" a="1"/>
  <c r="H488" s="1"/>
  <c r="N488" i="44" a="1"/>
  <c r="N488" s="1"/>
  <c r="AA488" i="30" a="1"/>
  <c r="AA488" s="1"/>
  <c r="K488" a="1"/>
  <c r="K488" s="1"/>
  <c r="AW488" i="44" a="1"/>
  <c r="AW488" s="1"/>
  <c r="AG488" a="1"/>
  <c r="AG488" s="1"/>
  <c r="Z488" i="30" a="1"/>
  <c r="Z488" s="1"/>
  <c r="AL488" i="44" a="1"/>
  <c r="AL488" s="1"/>
  <c r="T488" i="30" a="1"/>
  <c r="T488" s="1"/>
  <c r="AV488" i="44" a="1"/>
  <c r="AV488" s="1"/>
  <c r="AC488" a="1"/>
  <c r="AC488" s="1"/>
  <c r="L488" a="1"/>
  <c r="L488" s="1"/>
  <c r="AQ488" a="1"/>
  <c r="AQ488" s="1"/>
  <c r="Y112" i="23"/>
  <c r="Y133" s="1"/>
  <c r="H112"/>
  <c r="H133" s="1"/>
  <c r="AA112"/>
  <c r="AA133" s="1"/>
  <c r="W112"/>
  <c r="W133" s="1"/>
  <c r="N112"/>
  <c r="N133" s="1"/>
  <c r="X112"/>
  <c r="X133" s="1"/>
  <c r="T112"/>
  <c r="T133" s="1"/>
  <c r="U112"/>
  <c r="U133" s="1"/>
  <c r="L112"/>
  <c r="L133" s="1"/>
  <c r="I112"/>
  <c r="I133" s="1"/>
  <c r="AB112"/>
  <c r="AB133" s="1"/>
  <c r="S112"/>
  <c r="S133" s="1"/>
  <c r="P112"/>
  <c r="P133" s="1"/>
  <c r="M112"/>
  <c r="M133" s="1"/>
  <c r="Q112"/>
  <c r="Q133" s="1"/>
  <c r="J112"/>
  <c r="J133" s="1"/>
  <c r="K112"/>
  <c r="K133" s="1"/>
  <c r="V112"/>
  <c r="V133" s="1"/>
  <c r="O112"/>
  <c r="O133" s="1"/>
  <c r="G112"/>
  <c r="G133" s="1"/>
  <c r="AC112"/>
  <c r="AC133" s="1"/>
  <c r="R112"/>
  <c r="R133" s="1"/>
  <c r="Z112"/>
  <c r="Z133" s="1"/>
  <c r="F135" i="24"/>
  <c r="G135"/>
  <c r="L135"/>
  <c r="K135"/>
  <c r="F144"/>
  <c r="N144"/>
  <c r="L114" i="23" s="1"/>
  <c r="L135" s="1"/>
  <c r="V144" i="24"/>
  <c r="T114" i="23" s="1"/>
  <c r="T135" s="1"/>
  <c r="AD144" i="24"/>
  <c r="AB114" i="23" s="1"/>
  <c r="AB135" s="1"/>
  <c r="U144" i="24"/>
  <c r="S114" i="23" s="1"/>
  <c r="S135" s="1"/>
  <c r="K144" i="24"/>
  <c r="I114" i="23" s="1"/>
  <c r="I135" s="1"/>
  <c r="AA144" i="24"/>
  <c r="Y114" i="23" s="1"/>
  <c r="Y135" s="1"/>
  <c r="L144" i="24"/>
  <c r="J114" i="23" s="1"/>
  <c r="J135" s="1"/>
  <c r="X144" i="24"/>
  <c r="V114" i="23" s="1"/>
  <c r="V135" s="1"/>
  <c r="Q144" i="24"/>
  <c r="O114" i="23" s="1"/>
  <c r="O135" s="1"/>
  <c r="W144" i="24"/>
  <c r="U114" i="23" s="1"/>
  <c r="U135" s="1"/>
  <c r="I144" i="24"/>
  <c r="G114" i="23" s="1"/>
  <c r="G135" s="1"/>
  <c r="O144" i="24"/>
  <c r="M114" i="23" s="1"/>
  <c r="M135" s="1"/>
  <c r="J144" i="24"/>
  <c r="R144"/>
  <c r="P114" i="23" s="1"/>
  <c r="P135" s="1"/>
  <c r="Z144" i="24"/>
  <c r="X114" i="23" s="1"/>
  <c r="X135" s="1"/>
  <c r="M144" i="24"/>
  <c r="K114" i="23" s="1"/>
  <c r="K135" s="1"/>
  <c r="AC144" i="24"/>
  <c r="AA114" i="23" s="1"/>
  <c r="AA135" s="1"/>
  <c r="S144" i="24"/>
  <c r="H144"/>
  <c r="P144"/>
  <c r="N114" i="23" s="1"/>
  <c r="N135" s="1"/>
  <c r="AB144" i="24"/>
  <c r="Z114" i="23" s="1"/>
  <c r="Z135" s="1"/>
  <c r="G144" i="24"/>
  <c r="T144"/>
  <c r="R114" i="23" s="1"/>
  <c r="R135" s="1"/>
  <c r="Y144" i="24"/>
  <c r="W114" i="23" s="1"/>
  <c r="W135" s="1"/>
  <c r="AE144" i="24"/>
  <c r="AC114" i="23" s="1"/>
  <c r="AC135" s="1"/>
  <c r="Q114"/>
  <c r="Q135" s="1"/>
  <c r="H114"/>
  <c r="H135" s="1"/>
  <c r="AC135" i="24"/>
  <c r="J135"/>
  <c r="AD135"/>
  <c r="AA135"/>
  <c r="AH487" i="30" a="1"/>
  <c r="AH487" s="1"/>
  <c r="H487" a="1"/>
  <c r="H487" s="1"/>
  <c r="AO487" a="1"/>
  <c r="AO487" s="1"/>
  <c r="AG487" a="1"/>
  <c r="AG487" s="1"/>
  <c r="AC487" a="1"/>
  <c r="AC487" s="1"/>
  <c r="Q487" a="1"/>
  <c r="Q487" s="1"/>
  <c r="U487" a="1"/>
  <c r="U487" s="1"/>
  <c r="AJ487" i="44" a="1"/>
  <c r="AJ487" s="1"/>
  <c r="X487" a="1"/>
  <c r="X487" s="1"/>
  <c r="S487" i="30" a="1"/>
  <c r="S487" s="1"/>
  <c r="AU487" i="44" a="1"/>
  <c r="AU487" s="1"/>
  <c r="AE487" a="1"/>
  <c r="AE487" s="1"/>
  <c r="Q487" a="1"/>
  <c r="Q487" s="1"/>
  <c r="AH487" a="1"/>
  <c r="AH487" s="1"/>
  <c r="V487" a="1"/>
  <c r="V487" s="1"/>
  <c r="AL488" i="30" a="1"/>
  <c r="AL488" s="1"/>
  <c r="AF488" a="1"/>
  <c r="AF488" s="1"/>
  <c r="N488" a="1"/>
  <c r="N488" s="1"/>
  <c r="AD488" i="44" a="1"/>
  <c r="AD488" s="1"/>
  <c r="I488" i="30" a="1"/>
  <c r="I488" s="1"/>
  <c r="V488" a="1"/>
  <c r="V488" s="1"/>
  <c r="R488" a="1"/>
  <c r="R488" s="1"/>
  <c r="U488" i="44" a="1"/>
  <c r="U488" s="1"/>
  <c r="AJ488" a="1"/>
  <c r="AJ488" s="1"/>
  <c r="AP488" a="1"/>
  <c r="AP488" s="1"/>
  <c r="Z488" a="1"/>
  <c r="Z488" s="1"/>
  <c r="AO488" a="1"/>
  <c r="AO488" s="1"/>
  <c r="X488" i="30" a="1"/>
  <c r="X488" s="1"/>
  <c r="AC488" a="1"/>
  <c r="AC488" s="1"/>
  <c r="M488" a="1"/>
  <c r="M488" s="1"/>
  <c r="R488" i="44" a="1"/>
  <c r="R488" s="1"/>
  <c r="AF488" a="1"/>
  <c r="AF488" s="1"/>
  <c r="AH488" a="1"/>
  <c r="AH488" s="1"/>
  <c r="T488" a="1"/>
  <c r="T488" s="1"/>
  <c r="AI488" a="1"/>
  <c r="AI488" s="1"/>
  <c r="AF141" i="30"/>
  <c r="Y60" i="46"/>
  <c r="P20" s="1"/>
  <c r="F52" i="23" s="1"/>
  <c r="F6" s="1"/>
  <c r="D96" s="1"/>
  <c r="AB141" s="1"/>
  <c r="S99"/>
  <c r="AL9" i="38" s="1"/>
  <c r="I485" i="44" a="1"/>
  <c r="I485" s="1"/>
  <c r="J99" i="23"/>
  <c r="AC9" i="38" s="1"/>
  <c r="J397" i="44"/>
  <c r="AV16" i="42"/>
  <c r="J430" i="44"/>
  <c r="AV66" i="42" s="1"/>
  <c r="K24" i="30"/>
  <c r="K509" s="1"/>
  <c r="H25" i="42"/>
  <c r="G266" i="44"/>
  <c r="G271" s="1"/>
  <c r="I32" i="43"/>
  <c r="H29" i="30"/>
  <c r="H29" i="44"/>
  <c r="O99" i="23"/>
  <c r="AH9" i="38" s="1"/>
  <c r="W99" i="23"/>
  <c r="AP9" i="38" s="1"/>
  <c r="H99" i="23"/>
  <c r="H120" s="1"/>
  <c r="Z99"/>
  <c r="Z120" s="1"/>
  <c r="C27" i="47"/>
  <c r="E39" i="30"/>
  <c r="E39" i="44"/>
  <c r="I475" i="30" a="1"/>
  <c r="I475" s="1"/>
  <c r="S485" a="1"/>
  <c r="S485" s="1"/>
  <c r="R107" i="23"/>
  <c r="AK17" i="38" s="1"/>
  <c r="I107" i="23"/>
  <c r="AB17" i="38" s="1"/>
  <c r="L99" i="23"/>
  <c r="AE9" i="38" s="1"/>
  <c r="N99" i="23"/>
  <c r="AG9" i="38" s="1"/>
  <c r="V99" i="23"/>
  <c r="V120" s="1"/>
  <c r="W641" i="30" a="1"/>
  <c r="W641" s="1"/>
  <c r="AL477" a="1"/>
  <c r="AL477" s="1"/>
  <c r="AK477" a="1"/>
  <c r="AK477" s="1"/>
  <c r="AG477" a="1"/>
  <c r="AG477" s="1"/>
  <c r="J88" i="44"/>
  <c r="J94"/>
  <c r="AJ477" i="30" a="1"/>
  <c r="AJ477" s="1"/>
  <c r="AI477" a="1"/>
  <c r="AI477" s="1"/>
  <c r="J508" i="44"/>
  <c r="X648" a="1"/>
  <c r="X648" s="1"/>
  <c r="E637"/>
  <c r="AB637" a="1"/>
  <c r="AB637" s="1"/>
  <c r="H648"/>
  <c r="Q648"/>
  <c r="R648"/>
  <c r="P648"/>
  <c r="N648"/>
  <c r="M648"/>
  <c r="L648"/>
  <c r="Y141"/>
  <c r="AB141"/>
  <c r="I648"/>
  <c r="S648"/>
  <c r="E648"/>
  <c r="G648"/>
  <c r="J648"/>
  <c r="U648" a="1"/>
  <c r="U648" s="1"/>
  <c r="J406"/>
  <c r="K17" i="30"/>
  <c r="I18" i="42" s="1"/>
  <c r="J182" i="44"/>
  <c r="J204" s="1"/>
  <c r="J93"/>
  <c r="AV21" i="42"/>
  <c r="K20" i="44"/>
  <c r="K84" s="1"/>
  <c r="J185"/>
  <c r="J207" s="1"/>
  <c r="K13"/>
  <c r="K77" s="1"/>
  <c r="J505"/>
  <c r="J84"/>
  <c r="J189"/>
  <c r="J211" s="1"/>
  <c r="J502"/>
  <c r="J81"/>
  <c r="AV11" i="42"/>
  <c r="J175" i="44"/>
  <c r="J197" s="1"/>
  <c r="J85"/>
  <c r="J503"/>
  <c r="K24"/>
  <c r="K406" s="1"/>
  <c r="AV25" i="42"/>
  <c r="H18"/>
  <c r="J399" i="44"/>
  <c r="AV18" i="42"/>
  <c r="J74" i="44"/>
  <c r="J495"/>
  <c r="J501"/>
  <c r="J661" s="1"/>
  <c r="AV177" i="42" s="1"/>
  <c r="J80" i="44"/>
  <c r="J78" i="30"/>
  <c r="J183" i="44"/>
  <c r="J205" s="1"/>
  <c r="J84" i="30"/>
  <c r="J87" i="44"/>
  <c r="I17" i="42"/>
  <c r="J181" i="30"/>
  <c r="J203" s="1"/>
  <c r="I174" i="44"/>
  <c r="I196" s="1"/>
  <c r="AU10" i="42"/>
  <c r="AA136" i="24"/>
  <c r="Y106" i="23" s="1"/>
  <c r="AR16" i="38" s="1"/>
  <c r="U136" i="24"/>
  <c r="S106" i="23" s="1"/>
  <c r="S127" s="1"/>
  <c r="W136" i="24"/>
  <c r="U106" i="23" s="1"/>
  <c r="U127" s="1"/>
  <c r="S136" i="24"/>
  <c r="Q106" i="23" s="1"/>
  <c r="AJ16" i="38" s="1"/>
  <c r="T136" i="24"/>
  <c r="R106" i="23" s="1"/>
  <c r="R127" s="1"/>
  <c r="AV22" i="42"/>
  <c r="J9" i="44"/>
  <c r="J174" s="1"/>
  <c r="J196" s="1"/>
  <c r="J9" i="30"/>
  <c r="J73" s="1"/>
  <c r="I73"/>
  <c r="H113" i="23"/>
  <c r="H134" s="1"/>
  <c r="I174" i="30"/>
  <c r="I196" s="1"/>
  <c r="I431"/>
  <c r="G67" i="42" s="1"/>
  <c r="I173" i="44"/>
  <c r="I72"/>
  <c r="AU9" i="42"/>
  <c r="X641" i="30" a="1"/>
  <c r="X641" s="1"/>
  <c r="V648" i="44" a="1"/>
  <c r="V648" s="1"/>
  <c r="T648" a="1"/>
  <c r="T648" s="1"/>
  <c r="E97" i="23"/>
  <c r="J8" i="44"/>
  <c r="J103" i="24"/>
  <c r="CB103"/>
  <c r="BI103"/>
  <c r="BE103"/>
  <c r="AT103"/>
  <c r="CA103"/>
  <c r="BR103"/>
  <c r="CG103"/>
  <c r="Q103"/>
  <c r="H103"/>
  <c r="CF103"/>
  <c r="AG103"/>
  <c r="V103"/>
  <c r="BH103"/>
  <c r="AK103"/>
  <c r="Z103"/>
  <c r="AN103"/>
  <c r="CI103"/>
  <c r="BC103"/>
  <c r="BZ103"/>
  <c r="P103"/>
  <c r="BU103"/>
  <c r="I103"/>
  <c r="BY103"/>
  <c r="AL103"/>
  <c r="BL103"/>
  <c r="BW103"/>
  <c r="AQ103"/>
  <c r="W103"/>
  <c r="G103"/>
  <c r="AD103"/>
  <c r="F172"/>
  <c r="J172"/>
  <c r="E172"/>
  <c r="AI103"/>
  <c r="BN103"/>
  <c r="CH103"/>
  <c r="AJ103"/>
  <c r="AU103"/>
  <c r="BD103"/>
  <c r="AC103"/>
  <c r="L103"/>
  <c r="CC103"/>
  <c r="X103"/>
  <c r="BM103"/>
  <c r="BF103"/>
  <c r="T103"/>
  <c r="BQ103"/>
  <c r="U103"/>
  <c r="F103"/>
  <c r="BT103"/>
  <c r="BS103"/>
  <c r="AM103"/>
  <c r="N103"/>
  <c r="BP103"/>
  <c r="AO103"/>
  <c r="AR103"/>
  <c r="AS103"/>
  <c r="AF103"/>
  <c r="CM103"/>
  <c r="BG103"/>
  <c r="AE103"/>
  <c r="O103"/>
  <c r="BV103"/>
  <c r="R103"/>
  <c r="D172"/>
  <c r="AB30" i="38" s="1"/>
  <c r="I172" i="24"/>
  <c r="G172"/>
  <c r="H172"/>
  <c r="AH103"/>
  <c r="BO103"/>
  <c r="BJ103"/>
  <c r="AA103"/>
  <c r="CE103"/>
  <c r="CL103"/>
  <c r="Y103"/>
  <c r="AX103"/>
  <c r="BK103"/>
  <c r="CD103"/>
  <c r="BA103"/>
  <c r="BB103"/>
  <c r="AZ103"/>
  <c r="S103"/>
  <c r="K103"/>
  <c r="AY103"/>
  <c r="AV103"/>
  <c r="BX103"/>
  <c r="CK103"/>
  <c r="AP103"/>
  <c r="CJ103"/>
  <c r="M103"/>
  <c r="AB103"/>
  <c r="AW103"/>
  <c r="X141" i="23"/>
  <c r="P141"/>
  <c r="AC141"/>
  <c r="U141"/>
  <c r="M141"/>
  <c r="Z141"/>
  <c r="R141"/>
  <c r="J141"/>
  <c r="W141"/>
  <c r="O141"/>
  <c r="F8" i="44"/>
  <c r="D6" i="47"/>
  <c r="F8" i="30"/>
  <c r="AS9" i="42"/>
  <c r="G72" i="44"/>
  <c r="G173"/>
  <c r="G195" s="1"/>
  <c r="E9" i="42"/>
  <c r="G173" i="30"/>
  <c r="G195" s="1"/>
  <c r="AE136" i="24"/>
  <c r="AC106" i="23" s="1"/>
  <c r="AV16" i="38" s="1"/>
  <c r="B29" i="18"/>
  <c r="R20" i="46" s="1"/>
  <c r="G52" i="23" s="1"/>
  <c r="G6" s="1"/>
  <c r="E102" i="24" s="1"/>
  <c r="Y59" i="46"/>
  <c r="P19" s="1"/>
  <c r="F53" i="23" s="1"/>
  <c r="F7" s="1"/>
  <c r="D97" s="1"/>
  <c r="X59" i="46"/>
  <c r="O19" s="1"/>
  <c r="E53" i="23" s="1"/>
  <c r="E7" s="1"/>
  <c r="X60" i="46"/>
  <c r="O20" s="1"/>
  <c r="E52" i="23" s="1"/>
  <c r="E6" s="1"/>
  <c r="I493" i="30" s="1"/>
  <c r="I679" s="1"/>
  <c r="CB177" i="42" s="1"/>
  <c r="M16" i="30"/>
  <c r="M181" s="1"/>
  <c r="M203" s="1"/>
  <c r="J81"/>
  <c r="J502"/>
  <c r="K23" i="44"/>
  <c r="AW24" i="42" s="1"/>
  <c r="J188" i="44"/>
  <c r="J210" s="1"/>
  <c r="J77"/>
  <c r="J93" i="30"/>
  <c r="AV24" i="42"/>
  <c r="AV17"/>
  <c r="J181" i="44"/>
  <c r="J203" s="1"/>
  <c r="K21"/>
  <c r="K403" s="1"/>
  <c r="K14" i="30"/>
  <c r="K499" s="1"/>
  <c r="J400" i="44"/>
  <c r="AV19" i="42"/>
  <c r="J82" i="44"/>
  <c r="AF477" i="30" a="1"/>
  <c r="AF477" s="1"/>
  <c r="AH477" a="1"/>
  <c r="AH477" s="1"/>
  <c r="AD477" a="1"/>
  <c r="AD477" s="1"/>
  <c r="X136" i="24"/>
  <c r="V106" i="23" s="1"/>
  <c r="V127" s="1"/>
  <c r="V136" i="24"/>
  <c r="T106" i="23" s="1"/>
  <c r="AM16" i="38" s="1"/>
  <c r="AB136" i="24"/>
  <c r="Z106" i="23" s="1"/>
  <c r="AS16" i="38" s="1"/>
  <c r="P136" i="24"/>
  <c r="N106" i="23" s="1"/>
  <c r="AG16" i="38" s="1"/>
  <c r="R136" i="24"/>
  <c r="P106" i="23" s="1"/>
  <c r="AI16" i="38" s="1"/>
  <c r="N136" i="24"/>
  <c r="L106" i="23" s="1"/>
  <c r="AE16" i="38" s="1"/>
  <c r="Q136" i="24"/>
  <c r="O106" i="23" s="1"/>
  <c r="AH16" i="38" s="1"/>
  <c r="G637" i="44"/>
  <c r="X637" a="1"/>
  <c r="X637" s="1"/>
  <c r="F637"/>
  <c r="K648" i="30"/>
  <c r="I484" i="44" a="1"/>
  <c r="I484" s="1"/>
  <c r="K484" i="30" a="1"/>
  <c r="K484" s="1"/>
  <c r="O648" i="44"/>
  <c r="N648" i="30"/>
  <c r="M648"/>
  <c r="L648"/>
  <c r="X141" i="44"/>
  <c r="V141"/>
  <c r="I648" i="30"/>
  <c r="F648" i="44"/>
  <c r="D648" i="30"/>
  <c r="D648" i="44"/>
  <c r="AA648" a="1"/>
  <c r="AA648" s="1"/>
  <c r="J207" i="30"/>
  <c r="L501"/>
  <c r="L181"/>
  <c r="L203" s="1"/>
  <c r="H21" i="42"/>
  <c r="J399" i="30"/>
  <c r="J182"/>
  <c r="J204" s="1"/>
  <c r="K400" i="44"/>
  <c r="K181" i="30"/>
  <c r="K203" s="1"/>
  <c r="J80"/>
  <c r="K20"/>
  <c r="K84" s="1"/>
  <c r="H14" i="42"/>
  <c r="W648" i="44" a="1"/>
  <c r="W648" s="1"/>
  <c r="F136" i="24"/>
  <c r="H136"/>
  <c r="G136"/>
  <c r="J136"/>
  <c r="H106" i="23" s="1"/>
  <c r="H127" s="1"/>
  <c r="O136" i="24"/>
  <c r="M106" i="23" s="1"/>
  <c r="AF16" i="38" s="1"/>
  <c r="K136" i="24"/>
  <c r="I106" i="23" s="1"/>
  <c r="AB16" i="38" s="1"/>
  <c r="L136" i="24"/>
  <c r="J106" i="23" s="1"/>
  <c r="AC16" i="38" s="1"/>
  <c r="M136" i="24"/>
  <c r="K106" i="23" s="1"/>
  <c r="K127" s="1"/>
  <c r="I136" i="24"/>
  <c r="G106" i="23" s="1"/>
  <c r="G127" s="1"/>
  <c r="W485" i="30" a="1"/>
  <c r="W485" s="1"/>
  <c r="M485" a="1"/>
  <c r="M485" s="1"/>
  <c r="P485" a="1"/>
  <c r="P485" s="1"/>
  <c r="AS473" i="44" a="1"/>
  <c r="AS473" s="1"/>
  <c r="T648" i="30" a="1"/>
  <c r="T648" s="1"/>
  <c r="BQ323" i="23"/>
  <c r="BQ340" s="1"/>
  <c r="AT340"/>
  <c r="AU323"/>
  <c r="D11" i="42"/>
  <c r="F74" i="30"/>
  <c r="F175"/>
  <c r="F197" s="1"/>
  <c r="F495"/>
  <c r="Q99" i="23"/>
  <c r="X99"/>
  <c r="AB99"/>
  <c r="I99"/>
  <c r="Y99"/>
  <c r="U99"/>
  <c r="R99"/>
  <c r="K107"/>
  <c r="K128" s="1"/>
  <c r="AB107"/>
  <c r="AU17" i="38" s="1"/>
  <c r="F430" i="44"/>
  <c r="AR66" i="42" s="1"/>
  <c r="AR11"/>
  <c r="F74" i="44"/>
  <c r="F175"/>
  <c r="F197" s="1"/>
  <c r="F495"/>
  <c r="C8" i="47"/>
  <c r="E10" i="44"/>
  <c r="E10" i="30"/>
  <c r="D14" i="23"/>
  <c r="I76" s="1"/>
  <c r="D15"/>
  <c r="I77" s="1"/>
  <c r="U475" i="30" a="1"/>
  <c r="U475" s="1"/>
  <c r="K475" a="1"/>
  <c r="K475" s="1"/>
  <c r="U485" a="1"/>
  <c r="U485" s="1"/>
  <c r="N485" a="1"/>
  <c r="N485" s="1"/>
  <c r="T485" a="1"/>
  <c r="T485" s="1"/>
  <c r="R485" a="1"/>
  <c r="R485" s="1"/>
  <c r="O485" a="1"/>
  <c r="O485" s="1"/>
  <c r="AS480" a="1"/>
  <c r="AS480" s="1"/>
  <c r="N107" i="23"/>
  <c r="N128" s="1"/>
  <c r="W107"/>
  <c r="AP17" i="38" s="1"/>
  <c r="X107" i="23"/>
  <c r="X128" s="1"/>
  <c r="Q107"/>
  <c r="AJ17" i="38" s="1"/>
  <c r="G23" i="42"/>
  <c r="J179" i="44"/>
  <c r="J201" s="1"/>
  <c r="AU477" a="1"/>
  <c r="AU477" s="1"/>
  <c r="AV15" i="42"/>
  <c r="L93" i="30"/>
  <c r="J17" i="42"/>
  <c r="J186" i="44"/>
  <c r="J208" s="1"/>
  <c r="K93" i="30"/>
  <c r="K501"/>
  <c r="K80"/>
  <c r="J179"/>
  <c r="J201" s="1"/>
  <c r="J499"/>
  <c r="J501"/>
  <c r="H17" i="42"/>
  <c r="I404" i="30"/>
  <c r="J506" i="44"/>
  <c r="K18" i="30"/>
  <c r="K82" s="1"/>
  <c r="K14" i="44"/>
  <c r="J499"/>
  <c r="BT331" i="23"/>
  <c r="W74"/>
  <c r="AD74"/>
  <c r="AP74"/>
  <c r="AL74"/>
  <c r="AK74"/>
  <c r="AY74"/>
  <c r="L74"/>
  <c r="J74"/>
  <c r="AH74"/>
  <c r="AI74"/>
  <c r="P74"/>
  <c r="Q74"/>
  <c r="R74"/>
  <c r="AW74"/>
  <c r="AC74"/>
  <c r="AT74"/>
  <c r="AX74"/>
  <c r="V74"/>
  <c r="AM74"/>
  <c r="AE74"/>
  <c r="F453" i="44"/>
  <c r="F476" s="1" a="1"/>
  <c r="F476" s="1"/>
  <c r="AV74" i="23"/>
  <c r="AQ74"/>
  <c r="AR74"/>
  <c r="AF74"/>
  <c r="AG74"/>
  <c r="AJ74"/>
  <c r="AO74"/>
  <c r="M74"/>
  <c r="S74"/>
  <c r="F453" i="30"/>
  <c r="Y74" i="23"/>
  <c r="N74"/>
  <c r="Z74"/>
  <c r="K74"/>
  <c r="U74"/>
  <c r="T74"/>
  <c r="AB74"/>
  <c r="AN74"/>
  <c r="O74"/>
  <c r="AZ74"/>
  <c r="X74"/>
  <c r="AU74"/>
  <c r="AS74"/>
  <c r="AA74"/>
  <c r="BO310"/>
  <c r="BO342" s="1"/>
  <c r="AW310"/>
  <c r="AV342"/>
  <c r="Q80"/>
  <c r="AD80"/>
  <c r="AK80"/>
  <c r="W80"/>
  <c r="AJ80"/>
  <c r="AQ80"/>
  <c r="P80"/>
  <c r="F459" i="44"/>
  <c r="F482" s="1" a="1"/>
  <c r="F482" s="1"/>
  <c r="R80" i="23"/>
  <c r="AX80"/>
  <c r="AA80"/>
  <c r="AU80"/>
  <c r="V80"/>
  <c r="K80"/>
  <c r="O80"/>
  <c r="AB80"/>
  <c r="AI80"/>
  <c r="F459" i="30"/>
  <c r="F482" s="1" a="1"/>
  <c r="F482" s="1"/>
  <c r="AM80" i="23"/>
  <c r="AC80"/>
  <c r="AP80"/>
  <c r="S80"/>
  <c r="AE80"/>
  <c r="N80"/>
  <c r="K108" s="1"/>
  <c r="K129" s="1"/>
  <c r="AT80"/>
  <c r="J80"/>
  <c r="T80"/>
  <c r="AZ80"/>
  <c r="AG80"/>
  <c r="AV80"/>
  <c r="U80"/>
  <c r="AH80"/>
  <c r="AW80"/>
  <c r="AN80"/>
  <c r="Y80"/>
  <c r="AL80"/>
  <c r="AS80"/>
  <c r="L80"/>
  <c r="I108" s="1"/>
  <c r="I129" s="1"/>
  <c r="AR80"/>
  <c r="AY80"/>
  <c r="AF80"/>
  <c r="M80"/>
  <c r="Z80"/>
  <c r="AO80"/>
  <c r="X80"/>
  <c r="O646" i="44" s="1" a="1"/>
  <c r="Z648" a="1"/>
  <c r="Z648" s="1"/>
  <c r="S81" i="23"/>
  <c r="AI81"/>
  <c r="AY81"/>
  <c r="X81"/>
  <c r="AA81"/>
  <c r="P81"/>
  <c r="AN81"/>
  <c r="F460" i="30"/>
  <c r="Y81" i="23"/>
  <c r="N81"/>
  <c r="AT81"/>
  <c r="AS81"/>
  <c r="AH81"/>
  <c r="M81"/>
  <c r="J139" s="1"/>
  <c r="AE81"/>
  <c r="AU81"/>
  <c r="T81"/>
  <c r="Q139" s="1"/>
  <c r="AJ81"/>
  <c r="AZ81"/>
  <c r="W81"/>
  <c r="AW81"/>
  <c r="AL81"/>
  <c r="AK81"/>
  <c r="Z81"/>
  <c r="F460" i="44"/>
  <c r="AQ81" i="23"/>
  <c r="AF81"/>
  <c r="AV81"/>
  <c r="Q81"/>
  <c r="AO81"/>
  <c r="AD81"/>
  <c r="AC81"/>
  <c r="Z139" s="1"/>
  <c r="R81"/>
  <c r="AX81"/>
  <c r="U81"/>
  <c r="AM81"/>
  <c r="L81"/>
  <c r="AB81"/>
  <c r="AR81"/>
  <c r="O81"/>
  <c r="AG81"/>
  <c r="V81"/>
  <c r="K81"/>
  <c r="J81"/>
  <c r="AP81"/>
  <c r="AU87"/>
  <c r="AT87"/>
  <c r="AV87"/>
  <c r="AF87"/>
  <c r="P87"/>
  <c r="AQ87"/>
  <c r="AA87"/>
  <c r="F466" i="44"/>
  <c r="F489" s="1" a="1"/>
  <c r="F489" s="1"/>
  <c r="AP87" i="23"/>
  <c r="Z87"/>
  <c r="J87"/>
  <c r="AK87"/>
  <c r="U87"/>
  <c r="AJ87"/>
  <c r="AE87"/>
  <c r="N87"/>
  <c r="F466" i="30"/>
  <c r="F489" s="1" a="1"/>
  <c r="F489" s="1"/>
  <c r="AN87" i="23"/>
  <c r="X87"/>
  <c r="AY87"/>
  <c r="AI87"/>
  <c r="S87"/>
  <c r="AX87"/>
  <c r="AH87"/>
  <c r="R87"/>
  <c r="AS87"/>
  <c r="AC87"/>
  <c r="Q87"/>
  <c r="AL87"/>
  <c r="L87"/>
  <c r="M87"/>
  <c r="V87"/>
  <c r="AM87"/>
  <c r="AZ87"/>
  <c r="O87"/>
  <c r="AO87"/>
  <c r="AW87"/>
  <c r="W87"/>
  <c r="AR87"/>
  <c r="AG87"/>
  <c r="K87"/>
  <c r="AB87"/>
  <c r="T87"/>
  <c r="AD87"/>
  <c r="Y87"/>
  <c r="AP351"/>
  <c r="BU319"/>
  <c r="BU351" s="1"/>
  <c r="BU331"/>
  <c r="AR331"/>
  <c r="BS331" s="1"/>
  <c r="AQ329"/>
  <c r="AP359"/>
  <c r="BU329"/>
  <c r="BU359" s="1"/>
  <c r="X63" i="43"/>
  <c r="X69" s="1"/>
  <c r="Z63"/>
  <c r="Z69" s="1"/>
  <c r="Q63"/>
  <c r="Q69" s="1"/>
  <c r="J63"/>
  <c r="J69" s="1"/>
  <c r="J75" s="1"/>
  <c r="F164" i="42" s="1"/>
  <c r="AT164" s="1"/>
  <c r="N63" i="43"/>
  <c r="N69" s="1"/>
  <c r="W63"/>
  <c r="W69" s="1"/>
  <c r="P63"/>
  <c r="P69" s="1"/>
  <c r="R63"/>
  <c r="R69" s="1"/>
  <c r="U63"/>
  <c r="U69" s="1"/>
  <c r="T63"/>
  <c r="T69" s="1"/>
  <c r="K63"/>
  <c r="K69" s="1"/>
  <c r="K75" s="1"/>
  <c r="G164" i="42" s="1"/>
  <c r="AU164" s="1"/>
  <c r="AA63" i="43"/>
  <c r="AA69" s="1"/>
  <c r="AB63"/>
  <c r="AB69" s="1"/>
  <c r="I63"/>
  <c r="I69" s="1"/>
  <c r="I75" s="1"/>
  <c r="E164" i="42" s="1"/>
  <c r="AS164" s="1"/>
  <c r="Y63" i="43"/>
  <c r="Y69" s="1"/>
  <c r="AD63"/>
  <c r="AD69" s="1"/>
  <c r="O63"/>
  <c r="O69" s="1"/>
  <c r="AE63"/>
  <c r="AE69" s="1"/>
  <c r="L63"/>
  <c r="L69" s="1"/>
  <c r="L75" s="1"/>
  <c r="H164" i="42" s="1"/>
  <c r="AV164" s="1"/>
  <c r="M63" i="43"/>
  <c r="M69" s="1"/>
  <c r="AC63"/>
  <c r="AC69" s="1"/>
  <c r="V63"/>
  <c r="V69" s="1"/>
  <c r="S63"/>
  <c r="S69" s="1"/>
  <c r="AM480" i="44" a="1"/>
  <c r="AM480" s="1"/>
  <c r="E646" a="1"/>
  <c r="AC108" i="23"/>
  <c r="AC129" s="1"/>
  <c r="AQ319"/>
  <c r="I91" i="44"/>
  <c r="I267"/>
  <c r="H192"/>
  <c r="H214" s="1"/>
  <c r="M264" i="23"/>
  <c r="N264" s="1"/>
  <c r="O264" s="1"/>
  <c r="P264" s="1"/>
  <c r="Q264" s="1"/>
  <c r="R264" s="1"/>
  <c r="S264" s="1"/>
  <c r="T264" s="1"/>
  <c r="U264" s="1"/>
  <c r="V264" s="1"/>
  <c r="W264" s="1"/>
  <c r="X264" s="1"/>
  <c r="Y264" s="1"/>
  <c r="Z264" s="1"/>
  <c r="AA264" s="1"/>
  <c r="AB264" s="1"/>
  <c r="AC264" s="1"/>
  <c r="AD264" s="1"/>
  <c r="AE264" s="1"/>
  <c r="AF264" s="1"/>
  <c r="AG264" s="1"/>
  <c r="H192" i="30"/>
  <c r="H214" s="1"/>
  <c r="H271"/>
  <c r="H271" i="44"/>
  <c r="J183" i="30"/>
  <c r="J205" s="1"/>
  <c r="J82"/>
  <c r="J400"/>
  <c r="H19" i="42"/>
  <c r="AI477" i="44" a="1"/>
  <c r="AI477" s="1"/>
  <c r="G9" i="42"/>
  <c r="I512" i="44"/>
  <c r="I187"/>
  <c r="I209" s="1"/>
  <c r="AU23" i="42"/>
  <c r="I507" i="44"/>
  <c r="I86"/>
  <c r="J22"/>
  <c r="I404"/>
  <c r="AU333" i="23"/>
  <c r="BP333" s="1"/>
  <c r="BQ333"/>
  <c r="P641" i="44" a="1"/>
  <c r="G641" a="1"/>
  <c r="N641" a="1"/>
  <c r="I641" a="1"/>
  <c r="O641" a="1"/>
  <c r="M641" a="1"/>
  <c r="L641" a="1"/>
  <c r="Q641" a="1"/>
  <c r="J641" a="1"/>
  <c r="E641" a="1"/>
  <c r="K641" a="1"/>
  <c r="R641" a="1"/>
  <c r="F641" a="1"/>
  <c r="H641" a="1"/>
  <c r="S641" a="1"/>
  <c r="D641" a="1"/>
  <c r="BQ316" i="23"/>
  <c r="BQ354" s="1"/>
  <c r="AT354"/>
  <c r="I507" i="30"/>
  <c r="I187"/>
  <c r="I209" s="1"/>
  <c r="J22"/>
  <c r="E440"/>
  <c r="BY66" i="42" s="1"/>
  <c r="E176" i="30"/>
  <c r="E198" s="1"/>
  <c r="C12" i="42"/>
  <c r="E496" i="30"/>
  <c r="H145" i="24"/>
  <c r="J166" i="23"/>
  <c r="J215" s="1"/>
  <c r="W145" i="24"/>
  <c r="U115" i="23" s="1"/>
  <c r="U136" s="1"/>
  <c r="Y166"/>
  <c r="Y215" s="1"/>
  <c r="Z145" i="24"/>
  <c r="X115" i="23" s="1"/>
  <c r="X136" s="1"/>
  <c r="AB166"/>
  <c r="AB215" s="1"/>
  <c r="AC145" i="24"/>
  <c r="AA115" i="23" s="1"/>
  <c r="AA136" s="1"/>
  <c r="AE166"/>
  <c r="AE215" s="1"/>
  <c r="T145" i="24"/>
  <c r="R115" i="23" s="1"/>
  <c r="R136" s="1"/>
  <c r="V166"/>
  <c r="V215" s="1"/>
  <c r="N145" i="24"/>
  <c r="L115" i="23" s="1"/>
  <c r="L136" s="1"/>
  <c r="P166"/>
  <c r="P215" s="1"/>
  <c r="K166"/>
  <c r="K215" s="1"/>
  <c r="I145" i="24"/>
  <c r="AB145"/>
  <c r="Z115" i="23" s="1"/>
  <c r="Z136" s="1"/>
  <c r="AD166"/>
  <c r="AD215" s="1"/>
  <c r="AA145" i="24"/>
  <c r="Y115" i="23" s="1"/>
  <c r="Y136" s="1"/>
  <c r="AC166"/>
  <c r="AC215" s="1"/>
  <c r="F145" i="24"/>
  <c r="H166" i="23"/>
  <c r="H215" s="1"/>
  <c r="J145" i="24"/>
  <c r="H115" i="23" s="1"/>
  <c r="H136" s="1"/>
  <c r="L166"/>
  <c r="L215" s="1"/>
  <c r="Q145" i="24"/>
  <c r="O115" i="23" s="1"/>
  <c r="O136" s="1"/>
  <c r="S166"/>
  <c r="S215" s="1"/>
  <c r="AR10" i="42"/>
  <c r="F174" i="44"/>
  <c r="F196" s="1"/>
  <c r="F494"/>
  <c r="F666" s="1"/>
  <c r="AR186" i="42" s="1"/>
  <c r="F73" i="44"/>
  <c r="F28"/>
  <c r="F29" s="1"/>
  <c r="F41"/>
  <c r="C7" i="47"/>
  <c r="E9" i="44"/>
  <c r="E431" s="1"/>
  <c r="AQ67" i="42" s="1"/>
  <c r="E9" i="30"/>
  <c r="U458"/>
  <c r="U458" i="44"/>
  <c r="U139" i="23"/>
  <c r="U107"/>
  <c r="F481" i="30" a="1"/>
  <c r="F481" s="1"/>
  <c r="AJ458"/>
  <c r="AJ458" i="44"/>
  <c r="AD458" i="30"/>
  <c r="AD458" i="44"/>
  <c r="K458" i="30"/>
  <c r="K458" i="44"/>
  <c r="K139" i="23"/>
  <c r="R458" i="44"/>
  <c r="R458" i="30"/>
  <c r="R139" i="23"/>
  <c r="G458" i="44"/>
  <c r="G481" s="1" a="1"/>
  <c r="G481" s="1"/>
  <c r="G458" i="30"/>
  <c r="G481" s="1" a="1"/>
  <c r="G481" s="1"/>
  <c r="G107" i="23"/>
  <c r="G128" s="1"/>
  <c r="AW458" i="30"/>
  <c r="AW458" i="44"/>
  <c r="AO458" i="30"/>
  <c r="AO458" i="44"/>
  <c r="F481" a="1"/>
  <c r="F481" s="1"/>
  <c r="AE458" i="30"/>
  <c r="AE458" i="44"/>
  <c r="M458"/>
  <c r="M458" i="30"/>
  <c r="M139" i="23"/>
  <c r="M107"/>
  <c r="AR458" i="30"/>
  <c r="AR458" i="44"/>
  <c r="Y458"/>
  <c r="Y458" i="30"/>
  <c r="Y139" i="23"/>
  <c r="Y107"/>
  <c r="AT458" i="30"/>
  <c r="AT458" i="44"/>
  <c r="W458" i="30"/>
  <c r="W458" i="44"/>
  <c r="W139" i="23"/>
  <c r="AQ458" i="44"/>
  <c r="AQ458" i="30"/>
  <c r="AP458" i="44"/>
  <c r="AP458" i="30"/>
  <c r="AG458" i="44"/>
  <c r="AG458" i="30"/>
  <c r="AF458"/>
  <c r="AF458" i="44"/>
  <c r="AC458" i="30"/>
  <c r="AC458" i="44"/>
  <c r="AC107" i="23"/>
  <c r="AC139"/>
  <c r="AU458" i="44"/>
  <c r="AU458" i="30"/>
  <c r="Y648" i="44" a="1"/>
  <c r="Y648" s="1"/>
  <c r="V648" i="30" a="1"/>
  <c r="V648" s="1"/>
  <c r="AA648" a="1"/>
  <c r="AA648" s="1"/>
  <c r="X648" a="1"/>
  <c r="X648" s="1"/>
  <c r="U648" a="1"/>
  <c r="U648" s="1"/>
  <c r="W648" a="1"/>
  <c r="W648" s="1"/>
  <c r="AU316" i="23"/>
  <c r="E644" i="44" a="1"/>
  <c r="S644" i="30" a="1"/>
  <c r="S644" s="1"/>
  <c r="J644" a="1"/>
  <c r="L644" a="1"/>
  <c r="M644" a="1"/>
  <c r="H644" i="44" a="1"/>
  <c r="H644" s="1"/>
  <c r="R644" i="30" a="1"/>
  <c r="G644" a="1"/>
  <c r="K644" i="44" a="1"/>
  <c r="Q644" i="30" a="1"/>
  <c r="Q644" s="1"/>
  <c r="P644" a="1"/>
  <c r="N644" i="44" a="1"/>
  <c r="F644" i="30" a="1"/>
  <c r="I644" a="1"/>
  <c r="I644" s="1"/>
  <c r="O644" a="1"/>
  <c r="D644" i="44" a="1"/>
  <c r="D644" s="1"/>
  <c r="D644" i="30" a="1"/>
  <c r="S644" i="44" a="1"/>
  <c r="J644" a="1"/>
  <c r="L644" a="1"/>
  <c r="L644" s="1"/>
  <c r="M644" a="1"/>
  <c r="H644" i="30" a="1"/>
  <c r="R644" i="44" a="1"/>
  <c r="G644" a="1"/>
  <c r="G644" s="1"/>
  <c r="K644" i="30" a="1"/>
  <c r="Q644" i="44" a="1"/>
  <c r="Q644" s="1"/>
  <c r="P644" a="1"/>
  <c r="N644" i="30" a="1"/>
  <c r="F644" i="44" a="1"/>
  <c r="I644" a="1"/>
  <c r="I644" s="1"/>
  <c r="O644" a="1"/>
  <c r="Q108" i="23"/>
  <c r="Q129" s="1"/>
  <c r="V108"/>
  <c r="V129" s="1"/>
  <c r="L108"/>
  <c r="L129" s="1"/>
  <c r="AA108"/>
  <c r="AA129" s="1"/>
  <c r="O108"/>
  <c r="O129" s="1"/>
  <c r="X108"/>
  <c r="X129" s="1"/>
  <c r="N108"/>
  <c r="N129" s="1"/>
  <c r="E440" i="44"/>
  <c r="BY67" i="42" s="1"/>
  <c r="E176" i="44"/>
  <c r="E198" s="1"/>
  <c r="AQ12" i="42"/>
  <c r="E496" i="44"/>
  <c r="D11"/>
  <c r="D11" i="30"/>
  <c r="BR333" i="23"/>
  <c r="AV333"/>
  <c r="BO333" s="1"/>
  <c r="P145" i="24"/>
  <c r="N115" i="23" s="1"/>
  <c r="N136" s="1"/>
  <c r="R166"/>
  <c r="R215" s="1"/>
  <c r="I166"/>
  <c r="I215" s="1"/>
  <c r="G145" i="24"/>
  <c r="U145"/>
  <c r="S115" i="23" s="1"/>
  <c r="S136" s="1"/>
  <c r="W166"/>
  <c r="W215" s="1"/>
  <c r="K145" i="24"/>
  <c r="I115" i="23" s="1"/>
  <c r="I136" s="1"/>
  <c r="M166"/>
  <c r="M215" s="1"/>
  <c r="Q166"/>
  <c r="Q215" s="1"/>
  <c r="O145" i="24"/>
  <c r="M115" i="23" s="1"/>
  <c r="M136" s="1"/>
  <c r="AF166"/>
  <c r="AF215" s="1"/>
  <c r="AD145" i="24"/>
  <c r="AB115" i="23" s="1"/>
  <c r="AB136" s="1"/>
  <c r="AA166"/>
  <c r="AA215" s="1"/>
  <c r="Y145" i="24"/>
  <c r="W115" i="23" s="1"/>
  <c r="W136" s="1"/>
  <c r="R145" i="24"/>
  <c r="P115" i="23" s="1"/>
  <c r="P136" s="1"/>
  <c r="T166"/>
  <c r="T215" s="1"/>
  <c r="X145" i="24"/>
  <c r="Z166" i="23"/>
  <c r="Z215" s="1"/>
  <c r="L145" i="24"/>
  <c r="N166" i="23"/>
  <c r="N215" s="1"/>
  <c r="M145" i="24"/>
  <c r="K115" i="23" s="1"/>
  <c r="K136" s="1"/>
  <c r="O166"/>
  <c r="O215" s="1"/>
  <c r="AE145" i="24"/>
  <c r="AC115" i="23" s="1"/>
  <c r="AC136" s="1"/>
  <c r="AG166"/>
  <c r="AG215" s="1"/>
  <c r="U166"/>
  <c r="U215" s="1"/>
  <c r="S145" i="24"/>
  <c r="Q115" i="23" s="1"/>
  <c r="Q136" s="1"/>
  <c r="V145" i="24"/>
  <c r="T115" i="23" s="1"/>
  <c r="T136" s="1"/>
  <c r="X166"/>
  <c r="X215" s="1"/>
  <c r="D10" i="42"/>
  <c r="F494" i="30"/>
  <c r="F174"/>
  <c r="F196" s="1"/>
  <c r="F431"/>
  <c r="D67" i="42" s="1"/>
  <c r="F73" i="30"/>
  <c r="F28"/>
  <c r="F29" s="1"/>
  <c r="F41"/>
  <c r="J458" i="44"/>
  <c r="J458" i="30"/>
  <c r="J107" i="23"/>
  <c r="AB458" i="30"/>
  <c r="AB458" i="44"/>
  <c r="AB139" i="23"/>
  <c r="P458" i="30"/>
  <c r="P458" i="44"/>
  <c r="P107" i="23"/>
  <c r="P139"/>
  <c r="S458" i="30"/>
  <c r="S458" i="44"/>
  <c r="S139" i="23"/>
  <c r="S107"/>
  <c r="AM458" i="44"/>
  <c r="AM458" i="30"/>
  <c r="AI458" i="44"/>
  <c r="AI458" i="30"/>
  <c r="AH458"/>
  <c r="AH458" i="44"/>
  <c r="I458"/>
  <c r="I458" i="30"/>
  <c r="I139" i="23"/>
  <c r="AN458" i="44"/>
  <c r="AN458" i="30"/>
  <c r="T458"/>
  <c r="T458" i="44"/>
  <c r="T139" i="23"/>
  <c r="T107"/>
  <c r="V458" i="44"/>
  <c r="V458" i="30"/>
  <c r="V139" i="23"/>
  <c r="V107"/>
  <c r="Q458" i="30"/>
  <c r="Q458" i="44"/>
  <c r="AK458"/>
  <c r="AK458" i="30"/>
  <c r="AV458"/>
  <c r="AV458" i="44"/>
  <c r="AS458" i="30"/>
  <c r="AS458" i="44"/>
  <c r="N458"/>
  <c r="N458" i="30"/>
  <c r="N139" i="23"/>
  <c r="AA458" i="30"/>
  <c r="AA458" i="44"/>
  <c r="AA139" i="23"/>
  <c r="AA107"/>
  <c r="Z458" i="30"/>
  <c r="Z458" i="44"/>
  <c r="Z107" i="23"/>
  <c r="L458" i="44"/>
  <c r="L458" i="30"/>
  <c r="L107" i="23"/>
  <c r="L139"/>
  <c r="X458" i="44"/>
  <c r="X458" i="30"/>
  <c r="X139" i="23"/>
  <c r="H458" i="30"/>
  <c r="H458" i="44"/>
  <c r="H107" i="23"/>
  <c r="H128" s="1"/>
  <c r="AL458" i="30"/>
  <c r="AL458" i="44"/>
  <c r="O458"/>
  <c r="O458" i="30"/>
  <c r="O139" i="23"/>
  <c r="O107"/>
  <c r="E647" i="44" a="1"/>
  <c r="L480" i="30" a="1"/>
  <c r="L480" s="1"/>
  <c r="W108" i="23"/>
  <c r="W129" s="1"/>
  <c r="Y648" i="30" a="1"/>
  <c r="Y648" s="1"/>
  <c r="Z648" a="1"/>
  <c r="Z648" s="1"/>
  <c r="W641" i="44" a="1"/>
  <c r="W641" s="1"/>
  <c r="AR477" a="1"/>
  <c r="AR477" s="1"/>
  <c r="L18"/>
  <c r="L400" s="1"/>
  <c r="AC124" i="23"/>
  <c r="AK477" i="44" a="1"/>
  <c r="AK477" s="1"/>
  <c r="AC641" a="1"/>
  <c r="AC641" s="1"/>
  <c r="AG477" a="1"/>
  <c r="AG477" s="1"/>
  <c r="AL477" a="1"/>
  <c r="AL477" s="1"/>
  <c r="AS477" a="1"/>
  <c r="AS477" s="1"/>
  <c r="K183"/>
  <c r="K205" s="1"/>
  <c r="K503"/>
  <c r="AJ477" a="1"/>
  <c r="AJ477" s="1"/>
  <c r="AH477" a="1"/>
  <c r="AH477" s="1"/>
  <c r="AQ477" a="1"/>
  <c r="AQ477" s="1"/>
  <c r="AO477" a="1"/>
  <c r="AO477" s="1"/>
  <c r="AW19" i="42"/>
  <c r="K13" i="30"/>
  <c r="K178" s="1"/>
  <c r="K200" s="1"/>
  <c r="J178"/>
  <c r="J200" s="1"/>
  <c r="J77"/>
  <c r="J402"/>
  <c r="J505"/>
  <c r="Z641" i="44" a="1"/>
  <c r="Z641" s="1"/>
  <c r="Y641" a="1"/>
  <c r="Y641" s="1"/>
  <c r="AV477" a="1"/>
  <c r="AV477" s="1"/>
  <c r="AP477" a="1"/>
  <c r="AP477" s="1"/>
  <c r="AW477" a="1"/>
  <c r="AW477" s="1"/>
  <c r="AT477" a="1"/>
  <c r="AT477" s="1"/>
  <c r="X641" a="1"/>
  <c r="X641" s="1"/>
  <c r="AA641" a="1"/>
  <c r="AA641" s="1"/>
  <c r="AM477" a="1"/>
  <c r="AM477" s="1"/>
  <c r="AB641" a="1"/>
  <c r="AB641" s="1"/>
  <c r="AN477" a="1"/>
  <c r="AN477" s="1"/>
  <c r="AA127" i="23"/>
  <c r="AT16" i="38"/>
  <c r="AB127" i="23"/>
  <c r="AU16" i="38"/>
  <c r="X127" i="23"/>
  <c r="AX317"/>
  <c r="AY317" s="1"/>
  <c r="AW349"/>
  <c r="BN317"/>
  <c r="AW348"/>
  <c r="AR347"/>
  <c r="BS312"/>
  <c r="BS347" s="1"/>
  <c r="L641" i="44"/>
  <c r="M641"/>
  <c r="I641"/>
  <c r="G641"/>
  <c r="Q641"/>
  <c r="H641"/>
  <c r="R641"/>
  <c r="E641"/>
  <c r="T641" a="1"/>
  <c r="T641" s="1"/>
  <c r="O641"/>
  <c r="N641"/>
  <c r="P641"/>
  <c r="J641"/>
  <c r="S641"/>
  <c r="F641"/>
  <c r="K641"/>
  <c r="D641"/>
  <c r="AQ350" i="23"/>
  <c r="BT320"/>
  <c r="BT350" s="1"/>
  <c r="BU320"/>
  <c r="BU350" s="1"/>
  <c r="AP350"/>
  <c r="BU330"/>
  <c r="V646" i="44" a="1"/>
  <c r="V646" s="1"/>
  <c r="AC646" a="1"/>
  <c r="AC646" s="1"/>
  <c r="X646" i="30" a="1"/>
  <c r="X646" s="1"/>
  <c r="U646" a="1"/>
  <c r="U646" s="1"/>
  <c r="W646" i="44" a="1"/>
  <c r="W646" s="1"/>
  <c r="Y646" a="1"/>
  <c r="Y646" s="1"/>
  <c r="Y646" i="30" a="1"/>
  <c r="Y646" s="1"/>
  <c r="AA646" a="1"/>
  <c r="AA646" s="1"/>
  <c r="W646" a="1"/>
  <c r="W646" s="1"/>
  <c r="AQ325" i="23"/>
  <c r="AR325" s="1"/>
  <c r="BU325"/>
  <c r="BU344" s="1"/>
  <c r="AP344"/>
  <c r="T638" i="44" a="1"/>
  <c r="T638" s="1"/>
  <c r="W638" a="1"/>
  <c r="W638" s="1"/>
  <c r="AA638" a="1"/>
  <c r="AA638" s="1"/>
  <c r="Z638" a="1"/>
  <c r="Z638" s="1"/>
  <c r="X638" i="30" a="1"/>
  <c r="X638" s="1"/>
  <c r="AC638" a="1"/>
  <c r="AC638" s="1"/>
  <c r="AA638" a="1"/>
  <c r="AA638" s="1"/>
  <c r="U638" a="1"/>
  <c r="U638" s="1"/>
  <c r="V638" a="1"/>
  <c r="V638" s="1"/>
  <c r="V638" i="44" a="1"/>
  <c r="V638" s="1"/>
  <c r="AB638" a="1"/>
  <c r="AB638" s="1"/>
  <c r="AC638" a="1"/>
  <c r="AC638" s="1"/>
  <c r="Y638" a="1"/>
  <c r="Y638" s="1"/>
  <c r="Y638" i="30" a="1"/>
  <c r="Y638" s="1"/>
  <c r="Z638" a="1"/>
  <c r="Z638" s="1"/>
  <c r="AB638" a="1"/>
  <c r="AB638" s="1"/>
  <c r="T638" a="1"/>
  <c r="T638" s="1"/>
  <c r="W638" a="1"/>
  <c r="W638" s="1"/>
  <c r="AQ347" i="23"/>
  <c r="BT312"/>
  <c r="BT347" s="1"/>
  <c r="BU312"/>
  <c r="BU347" s="1"/>
  <c r="AP347"/>
  <c r="AT312"/>
  <c r="Y647" i="44" a="1"/>
  <c r="Y647" s="1"/>
  <c r="AA647" a="1"/>
  <c r="AA647" s="1"/>
  <c r="X647" a="1"/>
  <c r="X647" s="1"/>
  <c r="AB647" a="1"/>
  <c r="AB647" s="1"/>
  <c r="AG480" a="1"/>
  <c r="AG480" s="1"/>
  <c r="AF480" a="1"/>
  <c r="AF480" s="1"/>
  <c r="AJ480" a="1"/>
  <c r="AJ480" s="1"/>
  <c r="AH480" a="1"/>
  <c r="AH480" s="1"/>
  <c r="AI480" a="1"/>
  <c r="AI480" s="1"/>
  <c r="AE480" a="1"/>
  <c r="AE480" s="1"/>
  <c r="AR332" i="23"/>
  <c r="AS480" i="44" a="1"/>
  <c r="AS480" s="1"/>
  <c r="AM480" i="30" a="1"/>
  <c r="AM480" s="1"/>
  <c r="AR480" i="44" a="1"/>
  <c r="AR480" s="1"/>
  <c r="AT480" a="1"/>
  <c r="AT480" s="1"/>
  <c r="AO480" i="30" a="1"/>
  <c r="AO480" s="1"/>
  <c r="J480" i="44" a="1"/>
  <c r="J480" s="1"/>
  <c r="AB480" a="1"/>
  <c r="AB480" s="1"/>
  <c r="O480" a="1"/>
  <c r="O480" s="1"/>
  <c r="X480" a="1"/>
  <c r="X480" s="1"/>
  <c r="U480" a="1"/>
  <c r="U480" s="1"/>
  <c r="AA480" a="1"/>
  <c r="AA480" s="1"/>
  <c r="S480" a="1"/>
  <c r="S480" s="1"/>
  <c r="V480" a="1"/>
  <c r="V480" s="1"/>
  <c r="L480" a="1"/>
  <c r="L480" s="1"/>
  <c r="P480" a="1"/>
  <c r="P480" s="1"/>
  <c r="AV480" a="1"/>
  <c r="AV480" s="1"/>
  <c r="AL480" a="1"/>
  <c r="AL480" s="1"/>
  <c r="AQ480" i="30" a="1"/>
  <c r="AQ480" s="1"/>
  <c r="AW480" a="1"/>
  <c r="AW480" s="1"/>
  <c r="AU480" a="1"/>
  <c r="AU480" s="1"/>
  <c r="AB480" a="1"/>
  <c r="AB480" s="1"/>
  <c r="Z480" a="1"/>
  <c r="Z480" s="1"/>
  <c r="X480" a="1"/>
  <c r="X480" s="1"/>
  <c r="V480" a="1"/>
  <c r="V480" s="1"/>
  <c r="T480" a="1"/>
  <c r="T480" s="1"/>
  <c r="P480" a="1"/>
  <c r="P480" s="1"/>
  <c r="J480" a="1"/>
  <c r="J480" s="1"/>
  <c r="AC480" a="1"/>
  <c r="AC480" s="1"/>
  <c r="Q480" a="1"/>
  <c r="Q480" s="1"/>
  <c r="M480" a="1"/>
  <c r="M480" s="1"/>
  <c r="N480" a="1"/>
  <c r="N480" s="1"/>
  <c r="AK480" a="1"/>
  <c r="AK480" s="1"/>
  <c r="AP480" a="1"/>
  <c r="AP480" s="1"/>
  <c r="AN480" i="44" a="1"/>
  <c r="AN480" s="1"/>
  <c r="E644" i="30"/>
  <c r="AR320" i="23"/>
  <c r="BO317"/>
  <c r="AV349"/>
  <c r="AV348"/>
  <c r="AR352"/>
  <c r="BS318"/>
  <c r="BS352" s="1"/>
  <c r="BT318"/>
  <c r="BT352" s="1"/>
  <c r="AQ352"/>
  <c r="AS347"/>
  <c r="BR312"/>
  <c r="BR347" s="1"/>
  <c r="AP353"/>
  <c r="BU309"/>
  <c r="BU353" s="1"/>
  <c r="BU314"/>
  <c r="BU355" s="1"/>
  <c r="AP355"/>
  <c r="W649" i="44" a="1"/>
  <c r="W649" s="1"/>
  <c r="V649" a="1"/>
  <c r="V649" s="1"/>
  <c r="Z649" a="1"/>
  <c r="Z649" s="1"/>
  <c r="AC649" a="1"/>
  <c r="AC649" s="1"/>
  <c r="Z649" i="30" a="1"/>
  <c r="Z649" s="1"/>
  <c r="AB649" a="1"/>
  <c r="AB649" s="1"/>
  <c r="W649" a="1"/>
  <c r="W649" s="1"/>
  <c r="Y649" a="1"/>
  <c r="Y649" s="1"/>
  <c r="V649" a="1"/>
  <c r="V649" s="1"/>
  <c r="AA649" i="44" a="1"/>
  <c r="AA649" s="1"/>
  <c r="X649" a="1"/>
  <c r="X649" s="1"/>
  <c r="Y649" a="1"/>
  <c r="Y649" s="1"/>
  <c r="AB649" a="1"/>
  <c r="AB649" s="1"/>
  <c r="AA649" i="30" a="1"/>
  <c r="AA649" s="1"/>
  <c r="U649" a="1"/>
  <c r="U649" s="1"/>
  <c r="X649" a="1"/>
  <c r="X649" s="1"/>
  <c r="T649" a="1"/>
  <c r="T649" s="1"/>
  <c r="BP349" i="23"/>
  <c r="BP348"/>
  <c r="AP352"/>
  <c r="BU318"/>
  <c r="BU352" s="1"/>
  <c r="AD480" i="30" a="1"/>
  <c r="AD480" s="1"/>
  <c r="AH480" a="1"/>
  <c r="AH480" s="1"/>
  <c r="AJ480" a="1"/>
  <c r="AJ480" s="1"/>
  <c r="AF480" a="1"/>
  <c r="AF480" s="1"/>
  <c r="AE480" a="1"/>
  <c r="AE480" s="1"/>
  <c r="AI480" a="1"/>
  <c r="AI480" s="1"/>
  <c r="AG480" a="1"/>
  <c r="AG480" s="1"/>
  <c r="T644" i="44" a="1"/>
  <c r="T644" s="1"/>
  <c r="O644" i="30"/>
  <c r="F644" i="44"/>
  <c r="P644"/>
  <c r="K644"/>
  <c r="R644" i="30"/>
  <c r="M644"/>
  <c r="J644"/>
  <c r="N644" i="44"/>
  <c r="K644" i="30"/>
  <c r="R644" i="44"/>
  <c r="M644"/>
  <c r="J644"/>
  <c r="D644" i="30"/>
  <c r="AC644" i="44" a="1"/>
  <c r="AC644" s="1"/>
  <c r="U644" a="1"/>
  <c r="U644" s="1"/>
  <c r="Z644" a="1"/>
  <c r="Z644" s="1"/>
  <c r="Y644" a="1"/>
  <c r="Y644" s="1"/>
  <c r="V644" a="1"/>
  <c r="V644" s="1"/>
  <c r="AB644" a="1"/>
  <c r="AB644" s="1"/>
  <c r="AB644" i="30" a="1"/>
  <c r="AB644" s="1"/>
  <c r="X644" a="1"/>
  <c r="X644" s="1"/>
  <c r="V644" a="1"/>
  <c r="V644" s="1"/>
  <c r="N644"/>
  <c r="G644"/>
  <c r="L644"/>
  <c r="O644" i="44"/>
  <c r="F644" i="30"/>
  <c r="P644"/>
  <c r="H644"/>
  <c r="S644" i="44"/>
  <c r="E644"/>
  <c r="X644" a="1"/>
  <c r="X644" s="1"/>
  <c r="Y644" i="30" a="1"/>
  <c r="Y644" s="1"/>
  <c r="T644" a="1"/>
  <c r="T644" s="1"/>
  <c r="AA644" i="44" a="1"/>
  <c r="AA644" s="1"/>
  <c r="W644" a="1"/>
  <c r="W644" s="1"/>
  <c r="AA644" i="30" a="1"/>
  <c r="AA644" s="1"/>
  <c r="AC644" a="1"/>
  <c r="AC644" s="1"/>
  <c r="Z644" a="1"/>
  <c r="Z644" s="1"/>
  <c r="W644" a="1"/>
  <c r="W644" s="1"/>
  <c r="U644" a="1"/>
  <c r="U644" s="1"/>
  <c r="AR480" a="1"/>
  <c r="AR480" s="1"/>
  <c r="AT480" a="1"/>
  <c r="AT480" s="1"/>
  <c r="AO480" i="44" a="1"/>
  <c r="AO480" s="1"/>
  <c r="AC480" a="1"/>
  <c r="AC480" s="1"/>
  <c r="W480" a="1"/>
  <c r="W480" s="1"/>
  <c r="AD480" a="1"/>
  <c r="AD480" s="1"/>
  <c r="Z480" a="1"/>
  <c r="Z480" s="1"/>
  <c r="K480" a="1"/>
  <c r="K480" s="1"/>
  <c r="R480" a="1"/>
  <c r="R480" s="1"/>
  <c r="M480" a="1"/>
  <c r="M480" s="1"/>
  <c r="Q480" a="1"/>
  <c r="Q480" s="1"/>
  <c r="N480" a="1"/>
  <c r="N480" s="1"/>
  <c r="Y480" a="1"/>
  <c r="Y480" s="1"/>
  <c r="T480" a="1"/>
  <c r="T480" s="1"/>
  <c r="AV480" i="30" a="1"/>
  <c r="AV480" s="1"/>
  <c r="AL480" a="1"/>
  <c r="AL480" s="1"/>
  <c r="AQ480" i="44" a="1"/>
  <c r="AQ480" s="1"/>
  <c r="AW480" a="1"/>
  <c r="AW480" s="1"/>
  <c r="AT313" i="23"/>
  <c r="AS318"/>
  <c r="AQ309"/>
  <c r="AQ314"/>
  <c r="AU480" i="44" a="1"/>
  <c r="AU480" s="1"/>
  <c r="AA480" i="30" a="1"/>
  <c r="AA480" s="1"/>
  <c r="Y480" a="1"/>
  <c r="Y480" s="1"/>
  <c r="W480" a="1"/>
  <c r="W480" s="1"/>
  <c r="U480" a="1"/>
  <c r="U480" s="1"/>
  <c r="S480" a="1"/>
  <c r="S480" s="1"/>
  <c r="G480" a="1"/>
  <c r="G480" s="1"/>
  <c r="K480" a="1"/>
  <c r="K480" s="1"/>
  <c r="R480" a="1"/>
  <c r="R480" s="1"/>
  <c r="O480" a="1"/>
  <c r="O480" s="1"/>
  <c r="I480" a="1"/>
  <c r="I480" s="1"/>
  <c r="H480" a="1"/>
  <c r="H480" s="1"/>
  <c r="AK480" i="44" a="1"/>
  <c r="AK480" s="1"/>
  <c r="AP480" a="1"/>
  <c r="AP480" s="1"/>
  <c r="AN480" i="30" a="1"/>
  <c r="AN480" s="1"/>
  <c r="AQ330" i="23"/>
  <c r="AS311"/>
  <c r="BR328"/>
  <c r="AS358"/>
  <c r="AS357"/>
  <c r="AS356"/>
  <c r="AP345"/>
  <c r="BU326"/>
  <c r="BU345" s="1"/>
  <c r="U639" i="44" a="1"/>
  <c r="U639" s="1"/>
  <c r="V639" a="1"/>
  <c r="V639" s="1"/>
  <c r="Y639" i="30" a="1"/>
  <c r="Y639" s="1"/>
  <c r="T639" a="1"/>
  <c r="T639" s="1"/>
  <c r="V639" a="1"/>
  <c r="V639" s="1"/>
  <c r="U639" a="1"/>
  <c r="U639" s="1"/>
  <c r="AA639" i="44" a="1"/>
  <c r="AA639" s="1"/>
  <c r="AC639" a="1"/>
  <c r="AC639" s="1"/>
  <c r="Z639" a="1"/>
  <c r="Z639" s="1"/>
  <c r="W639" a="1"/>
  <c r="W639" s="1"/>
  <c r="X639" i="30" a="1"/>
  <c r="X639" s="1"/>
  <c r="Z639" a="1"/>
  <c r="Z639" s="1"/>
  <c r="AA639" a="1"/>
  <c r="AA639" s="1"/>
  <c r="AB639" a="1"/>
  <c r="AB639" s="1"/>
  <c r="AC639" a="1"/>
  <c r="AC639" s="1"/>
  <c r="W639" a="1"/>
  <c r="W639" s="1"/>
  <c r="Y639" i="44" a="1"/>
  <c r="Y639" s="1"/>
  <c r="AB639" a="1"/>
  <c r="AB639" s="1"/>
  <c r="X639" a="1"/>
  <c r="X639" s="1"/>
  <c r="BS324" i="23"/>
  <c r="BS341" s="1"/>
  <c r="AR341"/>
  <c r="BD357"/>
  <c r="BD358"/>
  <c r="BD356"/>
  <c r="BT321"/>
  <c r="BT346" s="1"/>
  <c r="AQ346"/>
  <c r="AR322"/>
  <c r="BT322"/>
  <c r="BG356"/>
  <c r="BG358"/>
  <c r="BG357"/>
  <c r="Y640" i="44" a="1"/>
  <c r="Y640" s="1"/>
  <c r="V640" a="1"/>
  <c r="V640" s="1"/>
  <c r="X640" i="30" a="1"/>
  <c r="X640" s="1"/>
  <c r="Y640" a="1"/>
  <c r="Y640" s="1"/>
  <c r="AB640" i="44" a="1"/>
  <c r="AB640" s="1"/>
  <c r="Z640" i="30" a="1"/>
  <c r="Z640" s="1"/>
  <c r="AC640" a="1"/>
  <c r="AC640" s="1"/>
  <c r="T640" a="1"/>
  <c r="T640" s="1"/>
  <c r="V640" a="1"/>
  <c r="V640" s="1"/>
  <c r="T640" i="44" a="1"/>
  <c r="T640" s="1"/>
  <c r="Z640" a="1"/>
  <c r="Z640" s="1"/>
  <c r="AC640" a="1"/>
  <c r="AC640" s="1"/>
  <c r="AA640" a="1"/>
  <c r="AA640" s="1"/>
  <c r="AA640" i="30" a="1"/>
  <c r="AA640" s="1"/>
  <c r="AB640" a="1"/>
  <c r="AB640" s="1"/>
  <c r="U640" a="1"/>
  <c r="U640" s="1"/>
  <c r="W640" a="1"/>
  <c r="W640" s="1"/>
  <c r="AH472" i="44" a="1"/>
  <c r="AH472" s="1"/>
  <c r="AB471" i="30" a="1"/>
  <c r="AB471" s="1"/>
  <c r="AW471" a="1"/>
  <c r="AW471" s="1"/>
  <c r="Q471" a="1"/>
  <c r="Q471" s="1"/>
  <c r="T641" a="1"/>
  <c r="T641" s="1"/>
  <c r="BE358" i="23"/>
  <c r="BE356"/>
  <c r="BE357"/>
  <c r="BU321"/>
  <c r="BU346" s="1"/>
  <c r="AP346"/>
  <c r="AT328"/>
  <c r="AU328" s="1"/>
  <c r="BS328"/>
  <c r="AR356"/>
  <c r="AR357"/>
  <c r="AR358"/>
  <c r="BH357"/>
  <c r="BH358"/>
  <c r="BH356"/>
  <c r="H471" i="44" a="1"/>
  <c r="H471" s="1"/>
  <c r="H665" s="1"/>
  <c r="AT185" i="42" s="1"/>
  <c r="AQ326" i="23"/>
  <c r="AS324"/>
  <c r="AR321"/>
  <c r="K74" i="30"/>
  <c r="I11" i="42"/>
  <c r="K175" i="30"/>
  <c r="K197" s="1"/>
  <c r="K495"/>
  <c r="M641" a="1"/>
  <c r="M641" s="1"/>
  <c r="AR151"/>
  <c r="AR128" s="1"/>
  <c r="L641" a="1"/>
  <c r="L641" s="1"/>
  <c r="AQ151"/>
  <c r="AQ128" s="1"/>
  <c r="G641" a="1"/>
  <c r="G641" s="1"/>
  <c r="D641" a="1"/>
  <c r="D641" s="1"/>
  <c r="F641" a="1"/>
  <c r="F641" s="1"/>
  <c r="J477" a="1"/>
  <c r="J477" s="1"/>
  <c r="I477" a="1"/>
  <c r="I477" s="1"/>
  <c r="L477" a="1"/>
  <c r="L477" s="1"/>
  <c r="P477" a="1"/>
  <c r="P477" s="1"/>
  <c r="Q477" a="1"/>
  <c r="Q477" s="1"/>
  <c r="E641" a="1"/>
  <c r="E641" s="1"/>
  <c r="H641" a="1"/>
  <c r="H641" s="1"/>
  <c r="K477" a="1"/>
  <c r="K477" s="1"/>
  <c r="M477" a="1"/>
  <c r="M477" s="1"/>
  <c r="N477" a="1"/>
  <c r="N477" s="1"/>
  <c r="O477" a="1"/>
  <c r="O477" s="1"/>
  <c r="R477" a="1"/>
  <c r="R477" s="1"/>
  <c r="U477" a="1"/>
  <c r="U477" s="1"/>
  <c r="Z477" a="1"/>
  <c r="Z477" s="1"/>
  <c r="AA477" a="1"/>
  <c r="AA477" s="1"/>
  <c r="AB477" a="1"/>
  <c r="AB477" s="1"/>
  <c r="AM151"/>
  <c r="AM128" s="1"/>
  <c r="S477" a="1"/>
  <c r="S477" s="1"/>
  <c r="T477" a="1"/>
  <c r="T477" s="1"/>
  <c r="V477" a="1"/>
  <c r="V477" s="1"/>
  <c r="W477" a="1"/>
  <c r="W477" s="1"/>
  <c r="X477" a="1"/>
  <c r="X477" s="1"/>
  <c r="Y477" a="1"/>
  <c r="Y477" s="1"/>
  <c r="AC477" a="1"/>
  <c r="AC477" s="1"/>
  <c r="I15"/>
  <c r="AE477" a="1"/>
  <c r="AE477" s="1"/>
  <c r="K641" a="1"/>
  <c r="K641" s="1"/>
  <c r="AP151"/>
  <c r="AP128" s="1"/>
  <c r="J641" a="1"/>
  <c r="J641" s="1"/>
  <c r="AO151"/>
  <c r="AO128" s="1"/>
  <c r="AA653" i="44" a="1"/>
  <c r="AA653" s="1"/>
  <c r="W653" a="1"/>
  <c r="W653" s="1"/>
  <c r="J645" i="30" a="1"/>
  <c r="J645" s="1"/>
  <c r="AO155"/>
  <c r="AO132" s="1"/>
  <c r="Z645" a="1"/>
  <c r="Z645" s="1"/>
  <c r="V645" a="1"/>
  <c r="V645" s="1"/>
  <c r="X645" a="1"/>
  <c r="X645" s="1"/>
  <c r="Q645" a="1"/>
  <c r="Q645" s="1"/>
  <c r="AV155"/>
  <c r="AV132" s="1"/>
  <c r="S645" a="1"/>
  <c r="S645" s="1"/>
  <c r="O645" a="1"/>
  <c r="O645" s="1"/>
  <c r="AT155"/>
  <c r="AT132" s="1"/>
  <c r="T645" a="1"/>
  <c r="T645" s="1"/>
  <c r="AB645" a="1"/>
  <c r="AB645" s="1"/>
  <c r="P645" a="1"/>
  <c r="P645" s="1"/>
  <c r="AU155"/>
  <c r="AU132" s="1"/>
  <c r="M645" a="1"/>
  <c r="M645" s="1"/>
  <c r="AR155"/>
  <c r="AR132" s="1"/>
  <c r="Y653" a="1"/>
  <c r="Y653" s="1"/>
  <c r="W653" a="1"/>
  <c r="W653" s="1"/>
  <c r="I512"/>
  <c r="J27"/>
  <c r="J267" s="1"/>
  <c r="I91"/>
  <c r="I192"/>
  <c r="I214" s="1"/>
  <c r="G28" i="42"/>
  <c r="U653" i="30" a="1"/>
  <c r="U653" s="1"/>
  <c r="V653" a="1"/>
  <c r="V653" s="1"/>
  <c r="AW155" i="44"/>
  <c r="AW132" s="1"/>
  <c r="R645" a="1"/>
  <c r="R645" s="1"/>
  <c r="S645" a="1"/>
  <c r="S645" s="1"/>
  <c r="AO155"/>
  <c r="AO132" s="1"/>
  <c r="AO141" s="1"/>
  <c r="J645" a="1"/>
  <c r="J645" s="1"/>
  <c r="T645" a="1"/>
  <c r="T645" s="1"/>
  <c r="W645" a="1"/>
  <c r="W645" s="1"/>
  <c r="AN155"/>
  <c r="AN132" s="1"/>
  <c r="AN141" s="1"/>
  <c r="I645" a="1"/>
  <c r="I645" s="1"/>
  <c r="AV155"/>
  <c r="AV132" s="1"/>
  <c r="AV141" s="1"/>
  <c r="Q645" a="1"/>
  <c r="Q645" s="1"/>
  <c r="AQ155"/>
  <c r="AQ132" s="1"/>
  <c r="AQ141" s="1"/>
  <c r="L645" a="1"/>
  <c r="L645" s="1"/>
  <c r="AP155"/>
  <c r="AP132" s="1"/>
  <c r="AP141" s="1"/>
  <c r="K645" a="1"/>
  <c r="K645" s="1"/>
  <c r="AU155"/>
  <c r="AU132" s="1"/>
  <c r="AU141" s="1"/>
  <c r="P645" a="1"/>
  <c r="P645" s="1"/>
  <c r="AR155"/>
  <c r="AR132" s="1"/>
  <c r="AR141" s="1"/>
  <c r="M645" a="1"/>
  <c r="M645" s="1"/>
  <c r="AM472" a="1"/>
  <c r="AM472" s="1"/>
  <c r="X475" a="1"/>
  <c r="X475" s="1"/>
  <c r="K472" a="1"/>
  <c r="K472" s="1"/>
  <c r="I472" i="30" a="1"/>
  <c r="I472" s="1"/>
  <c r="AM471" a="1"/>
  <c r="AM471" s="1"/>
  <c r="AK471" a="1"/>
  <c r="AK471" s="1"/>
  <c r="AV471" a="1"/>
  <c r="AV471" s="1"/>
  <c r="P471" a="1"/>
  <c r="P471" s="1"/>
  <c r="AA471" a="1"/>
  <c r="AA471" s="1"/>
  <c r="AL471" a="1"/>
  <c r="AL471" s="1"/>
  <c r="AO471" a="1"/>
  <c r="AO471" s="1"/>
  <c r="I471" a="1"/>
  <c r="I471" s="1"/>
  <c r="T471" a="1"/>
  <c r="T471" s="1"/>
  <c r="AE471" a="1"/>
  <c r="AE471" s="1"/>
  <c r="AS471" a="1"/>
  <c r="AS471" s="1"/>
  <c r="M471" a="1"/>
  <c r="M471" s="1"/>
  <c r="X471" a="1"/>
  <c r="X471" s="1"/>
  <c r="AI471" a="1"/>
  <c r="AI471" s="1"/>
  <c r="AT471" a="1"/>
  <c r="AT471" s="1"/>
  <c r="N471" a="1"/>
  <c r="N471" s="1"/>
  <c r="V641" a="1"/>
  <c r="V641" s="1"/>
  <c r="V653" i="44" a="1"/>
  <c r="V653" s="1"/>
  <c r="AP471" a="1"/>
  <c r="AP471" s="1"/>
  <c r="AH471" a="1"/>
  <c r="AH471" s="1"/>
  <c r="Z471" a="1"/>
  <c r="Z471" s="1"/>
  <c r="Z665" s="1"/>
  <c r="BL185" i="42" s="1"/>
  <c r="R471" i="44" a="1"/>
  <c r="R471" s="1"/>
  <c r="R665" s="1"/>
  <c r="BD185" i="42" s="1"/>
  <c r="J471" i="44" a="1"/>
  <c r="J471" s="1"/>
  <c r="J665" s="1"/>
  <c r="AV185" i="42" s="1"/>
  <c r="AQ471" i="44" a="1"/>
  <c r="AQ471" s="1"/>
  <c r="AI471" a="1"/>
  <c r="AI471" s="1"/>
  <c r="AA471" a="1"/>
  <c r="AA471" s="1"/>
  <c r="AA665" s="1"/>
  <c r="BM185" i="42" s="1"/>
  <c r="S471" i="44" a="1"/>
  <c r="S471" s="1"/>
  <c r="S665" s="1"/>
  <c r="BE185" i="42" s="1"/>
  <c r="K471" i="44" a="1"/>
  <c r="K471" s="1"/>
  <c r="K665" s="1"/>
  <c r="AW185" i="42" s="1"/>
  <c r="AR471" i="44" a="1"/>
  <c r="AR471" s="1"/>
  <c r="AJ471" a="1"/>
  <c r="AJ471" s="1"/>
  <c r="AB471" a="1"/>
  <c r="AB471" s="1"/>
  <c r="AB665" s="1"/>
  <c r="BN185" i="42" s="1"/>
  <c r="T471" i="44" a="1"/>
  <c r="T471" s="1"/>
  <c r="T665" s="1"/>
  <c r="BF185" i="42" s="1"/>
  <c r="L471" i="44" a="1"/>
  <c r="L471" s="1"/>
  <c r="L665" s="1"/>
  <c r="AX185" i="42" s="1"/>
  <c r="AS471" i="44" a="1"/>
  <c r="AS471" s="1"/>
  <c r="AK471" a="1"/>
  <c r="AK471" s="1"/>
  <c r="AC471" a="1"/>
  <c r="AC471" s="1"/>
  <c r="AC665" s="1"/>
  <c r="BO185" i="42" s="1"/>
  <c r="U471" i="44" a="1"/>
  <c r="U471" s="1"/>
  <c r="U665" s="1"/>
  <c r="BG185" i="42" s="1"/>
  <c r="M471" i="44" a="1"/>
  <c r="M471" s="1"/>
  <c r="M665" s="1"/>
  <c r="AY185" i="42" s="1"/>
  <c r="G471" i="44" a="1"/>
  <c r="G471" s="1"/>
  <c r="G665" s="1"/>
  <c r="AS185" i="42" s="1"/>
  <c r="AP471" i="30" a="1"/>
  <c r="AP471" s="1"/>
  <c r="J471" a="1"/>
  <c r="J471" s="1"/>
  <c r="AH471" a="1"/>
  <c r="AH471" s="1"/>
  <c r="Z471" a="1"/>
  <c r="Z471" s="1"/>
  <c r="P641" a="1"/>
  <c r="P641" s="1"/>
  <c r="AU151"/>
  <c r="AU128" s="1"/>
  <c r="R641" a="1"/>
  <c r="R641" s="1"/>
  <c r="AW151"/>
  <c r="AW128" s="1"/>
  <c r="S641" a="1"/>
  <c r="S641" s="1"/>
  <c r="I641" a="1"/>
  <c r="I641" s="1"/>
  <c r="AN151"/>
  <c r="AN128" s="1"/>
  <c r="N641" a="1"/>
  <c r="N641" s="1"/>
  <c r="AS151"/>
  <c r="AS128" s="1"/>
  <c r="U641" a="1"/>
  <c r="U641" s="1"/>
  <c r="Q641" a="1"/>
  <c r="Q641" s="1"/>
  <c r="AV151"/>
  <c r="AV128" s="1"/>
  <c r="O641" a="1"/>
  <c r="O641" s="1"/>
  <c r="AT151"/>
  <c r="AT128" s="1"/>
  <c r="X653" i="44" a="1"/>
  <c r="X653" s="1"/>
  <c r="I192"/>
  <c r="I214" s="1"/>
  <c r="J27"/>
  <c r="J267" s="1"/>
  <c r="AU28" i="42"/>
  <c r="Y653" i="44" a="1"/>
  <c r="Y653" s="1"/>
  <c r="AB653" a="1"/>
  <c r="AB653" s="1"/>
  <c r="Z653" a="1"/>
  <c r="Z653" s="1"/>
  <c r="W645" i="30" a="1"/>
  <c r="W645" s="1"/>
  <c r="L645" a="1"/>
  <c r="L645" s="1"/>
  <c r="AQ155"/>
  <c r="AQ132" s="1"/>
  <c r="R645" a="1"/>
  <c r="R645" s="1"/>
  <c r="AW155"/>
  <c r="AW132" s="1"/>
  <c r="L481" a="1"/>
  <c r="L481" s="1"/>
  <c r="I481" a="1"/>
  <c r="I481" s="1"/>
  <c r="E645" a="1"/>
  <c r="E645" s="1"/>
  <c r="O481" a="1"/>
  <c r="O481" s="1"/>
  <c r="Q481" a="1"/>
  <c r="Q481" s="1"/>
  <c r="R481" a="1"/>
  <c r="R481" s="1"/>
  <c r="J481" a="1"/>
  <c r="J481" s="1"/>
  <c r="K481" a="1"/>
  <c r="K481" s="1"/>
  <c r="M481" a="1"/>
  <c r="M481" s="1"/>
  <c r="H645" a="1"/>
  <c r="H645" s="1"/>
  <c r="G645" a="1"/>
  <c r="G645" s="1"/>
  <c r="F645" a="1"/>
  <c r="F645" s="1"/>
  <c r="D645" a="1"/>
  <c r="D645" s="1"/>
  <c r="N481" a="1"/>
  <c r="N481" s="1"/>
  <c r="P481" a="1"/>
  <c r="P481" s="1"/>
  <c r="S481" a="1"/>
  <c r="S481" s="1"/>
  <c r="T481" a="1"/>
  <c r="T481" s="1"/>
  <c r="U481" a="1"/>
  <c r="U481" s="1"/>
  <c r="W481" a="1"/>
  <c r="W481" s="1"/>
  <c r="X481" a="1"/>
  <c r="X481" s="1"/>
  <c r="Y481" a="1"/>
  <c r="Y481" s="1"/>
  <c r="Z481" a="1"/>
  <c r="Z481" s="1"/>
  <c r="AC481" a="1"/>
  <c r="AC481" s="1"/>
  <c r="V481" a="1"/>
  <c r="V481" s="1"/>
  <c r="AA481" a="1"/>
  <c r="AA481" s="1"/>
  <c r="AB481" a="1"/>
  <c r="AB481" s="1"/>
  <c r="AM155"/>
  <c r="AM132" s="1"/>
  <c r="AM481" s="1" a="1"/>
  <c r="AM481" s="1"/>
  <c r="I19"/>
  <c r="AF481" a="1"/>
  <c r="AF481" s="1"/>
  <c r="AL481" a="1"/>
  <c r="AL481" s="1"/>
  <c r="AH481" a="1"/>
  <c r="AH481" s="1"/>
  <c r="AG481" a="1"/>
  <c r="AG481" s="1"/>
  <c r="AD481" a="1"/>
  <c r="AD481" s="1"/>
  <c r="AE481" a="1"/>
  <c r="AE481" s="1"/>
  <c r="AI481" a="1"/>
  <c r="AI481" s="1"/>
  <c r="AJ481" a="1"/>
  <c r="AJ481" s="1"/>
  <c r="AK481" a="1"/>
  <c r="AK481" s="1"/>
  <c r="AA645" a="1"/>
  <c r="AA645" s="1"/>
  <c r="U645" a="1"/>
  <c r="U645" s="1"/>
  <c r="N645" a="1"/>
  <c r="N645" s="1"/>
  <c r="AS155"/>
  <c r="AS132" s="1"/>
  <c r="Y645" a="1"/>
  <c r="Y645" s="1"/>
  <c r="I645" a="1"/>
  <c r="I645" s="1"/>
  <c r="AN155"/>
  <c r="AN132" s="1"/>
  <c r="K645" a="1"/>
  <c r="K645" s="1"/>
  <c r="AP155"/>
  <c r="AP132" s="1"/>
  <c r="J8"/>
  <c r="I72"/>
  <c r="I173"/>
  <c r="AB653" a="1"/>
  <c r="AB653" s="1"/>
  <c r="AA653" a="1"/>
  <c r="AA653" s="1"/>
  <c r="X653" a="1"/>
  <c r="X653" s="1"/>
  <c r="T653" a="1"/>
  <c r="T653" s="1"/>
  <c r="Z653" a="1"/>
  <c r="Z653" s="1"/>
  <c r="AS155" i="44"/>
  <c r="AS132" s="1"/>
  <c r="AS141" s="1"/>
  <c r="N645" a="1"/>
  <c r="N645" s="1"/>
  <c r="AT155"/>
  <c r="AT132" s="1"/>
  <c r="AT141" s="1"/>
  <c r="O645" a="1"/>
  <c r="O645" s="1"/>
  <c r="AB645" a="1"/>
  <c r="AB645" s="1"/>
  <c r="V645" a="1"/>
  <c r="V645" s="1"/>
  <c r="U645" a="1"/>
  <c r="U645" s="1"/>
  <c r="AM155"/>
  <c r="AM132" s="1"/>
  <c r="L481" a="1"/>
  <c r="L481" s="1"/>
  <c r="K481" a="1"/>
  <c r="K481" s="1"/>
  <c r="T481" a="1"/>
  <c r="T481" s="1"/>
  <c r="AA481" a="1"/>
  <c r="AA481" s="1"/>
  <c r="V481" a="1"/>
  <c r="V481" s="1"/>
  <c r="AC481" a="1"/>
  <c r="AC481" s="1"/>
  <c r="X481" a="1"/>
  <c r="X481" s="1"/>
  <c r="F645" a="1"/>
  <c r="F645" s="1"/>
  <c r="H645" a="1"/>
  <c r="H645" s="1"/>
  <c r="J481" a="1"/>
  <c r="J481" s="1"/>
  <c r="Q481" a="1"/>
  <c r="Q481" s="1"/>
  <c r="O481" a="1"/>
  <c r="O481" s="1"/>
  <c r="I481" a="1"/>
  <c r="I481" s="1"/>
  <c r="W481" a="1"/>
  <c r="W481" s="1"/>
  <c r="Y481" a="1"/>
  <c r="Y481" s="1"/>
  <c r="AB481" a="1"/>
  <c r="AB481" s="1"/>
  <c r="Z481" a="1"/>
  <c r="Z481" s="1"/>
  <c r="G645" a="1"/>
  <c r="G645" s="1"/>
  <c r="E645" a="1"/>
  <c r="E645" s="1"/>
  <c r="D645" a="1"/>
  <c r="D645" s="1"/>
  <c r="S481" a="1"/>
  <c r="S481" s="1"/>
  <c r="M481" a="1"/>
  <c r="M481" s="1"/>
  <c r="N481" a="1"/>
  <c r="N481" s="1"/>
  <c r="AD481" a="1"/>
  <c r="AD481" s="1"/>
  <c r="AE481" a="1"/>
  <c r="AE481" s="1"/>
  <c r="AG481" a="1"/>
  <c r="AG481" s="1"/>
  <c r="AK481" a="1"/>
  <c r="AK481" s="1"/>
  <c r="R481" a="1"/>
  <c r="R481" s="1"/>
  <c r="I19"/>
  <c r="U481" a="1"/>
  <c r="U481" s="1"/>
  <c r="P481" a="1"/>
  <c r="P481" s="1"/>
  <c r="AF481" a="1"/>
  <c r="AF481" s="1"/>
  <c r="AI481" a="1"/>
  <c r="AI481" s="1"/>
  <c r="AJ481" a="1"/>
  <c r="AJ481" s="1"/>
  <c r="AL481" a="1"/>
  <c r="AL481" s="1"/>
  <c r="AH481" a="1"/>
  <c r="AH481" s="1"/>
  <c r="Z645" a="1"/>
  <c r="Z645" s="1"/>
  <c r="AA645" a="1"/>
  <c r="AA645" s="1"/>
  <c r="Y645" a="1"/>
  <c r="Y645" s="1"/>
  <c r="X645" a="1"/>
  <c r="X645" s="1"/>
  <c r="AT475" i="30" a="1"/>
  <c r="AT475" s="1"/>
  <c r="AB485" i="44" a="1"/>
  <c r="AB485" s="1"/>
  <c r="H474" i="30" a="1"/>
  <c r="H474" s="1"/>
  <c r="AG471" a="1"/>
  <c r="AG471" s="1"/>
  <c r="AR471" a="1"/>
  <c r="AR471" s="1"/>
  <c r="L471" a="1"/>
  <c r="L471" s="1"/>
  <c r="W471" a="1"/>
  <c r="W471" s="1"/>
  <c r="U471" a="1"/>
  <c r="U471" s="1"/>
  <c r="AF471" a="1"/>
  <c r="AF471" s="1"/>
  <c r="AQ471" a="1"/>
  <c r="AQ471" s="1"/>
  <c r="K471" a="1"/>
  <c r="K471" s="1"/>
  <c r="V471" a="1"/>
  <c r="V471" s="1"/>
  <c r="Y471" a="1"/>
  <c r="Y471" s="1"/>
  <c r="AJ471" a="1"/>
  <c r="AJ471" s="1"/>
  <c r="AU471" a="1"/>
  <c r="AU471" s="1"/>
  <c r="O471" a="1"/>
  <c r="O471" s="1"/>
  <c r="AC471" a="1"/>
  <c r="AC471" s="1"/>
  <c r="AN471" a="1"/>
  <c r="AN471" s="1"/>
  <c r="H471" a="1"/>
  <c r="H471" s="1"/>
  <c r="S471" a="1"/>
  <c r="S471" s="1"/>
  <c r="AD471" a="1"/>
  <c r="AD471" s="1"/>
  <c r="R471" a="1"/>
  <c r="R471" s="1"/>
  <c r="G471" a="1"/>
  <c r="G471" s="1"/>
  <c r="U653" i="44" a="1"/>
  <c r="U653" s="1"/>
  <c r="AT471" a="1"/>
  <c r="AT471" s="1"/>
  <c r="AL471" a="1"/>
  <c r="AL471" s="1"/>
  <c r="AD471" a="1"/>
  <c r="AD471" s="1"/>
  <c r="V471" a="1"/>
  <c r="V471" s="1"/>
  <c r="V665" s="1"/>
  <c r="BH185" i="42" s="1"/>
  <c r="N471" i="44" a="1"/>
  <c r="N471" s="1"/>
  <c r="N665" s="1"/>
  <c r="AZ185" i="42" s="1"/>
  <c r="AU471" i="44" a="1"/>
  <c r="AU471" s="1"/>
  <c r="AM471" a="1"/>
  <c r="AM471" s="1"/>
  <c r="AE471" a="1"/>
  <c r="AE471" s="1"/>
  <c r="W471" a="1"/>
  <c r="W471" s="1"/>
  <c r="W665" s="1"/>
  <c r="BI185" i="42" s="1"/>
  <c r="O471" i="44" a="1"/>
  <c r="O471" s="1"/>
  <c r="O665" s="1"/>
  <c r="BA185" i="42" s="1"/>
  <c r="AV471" i="44" a="1"/>
  <c r="AV471" s="1"/>
  <c r="AN471" a="1"/>
  <c r="AN471" s="1"/>
  <c r="AF471" a="1"/>
  <c r="AF471" s="1"/>
  <c r="X471" a="1"/>
  <c r="X471" s="1"/>
  <c r="X665" s="1"/>
  <c r="BJ185" i="42" s="1"/>
  <c r="P471" i="44" a="1"/>
  <c r="P471" s="1"/>
  <c r="P665" s="1"/>
  <c r="BB185" i="42" s="1"/>
  <c r="AW471" i="44" a="1"/>
  <c r="AW471" s="1"/>
  <c r="AO471" a="1"/>
  <c r="AO471" s="1"/>
  <c r="AG471" a="1"/>
  <c r="AG471" s="1"/>
  <c r="Y471" a="1"/>
  <c r="Y471" s="1"/>
  <c r="Y665" s="1"/>
  <c r="BK185" i="42" s="1"/>
  <c r="Q471" i="44" a="1"/>
  <c r="Q471" s="1"/>
  <c r="Q665" s="1"/>
  <c r="BC185" i="42" s="1"/>
  <c r="I471" i="44" a="1"/>
  <c r="I471" s="1"/>
  <c r="I665" s="1"/>
  <c r="AU185" i="42" s="1"/>
  <c r="K120" i="23"/>
  <c r="AR473" i="30" a="1"/>
  <c r="AR473" s="1"/>
  <c r="AT473" a="1"/>
  <c r="AT473" s="1"/>
  <c r="AJ473" a="1"/>
  <c r="AJ473" s="1"/>
  <c r="AK473" a="1"/>
  <c r="AK473" s="1"/>
  <c r="AO473" a="1"/>
  <c r="AO473" s="1"/>
  <c r="AN473" a="1"/>
  <c r="AN473" s="1"/>
  <c r="AH473" a="1"/>
  <c r="AH473" s="1"/>
  <c r="AG473" a="1"/>
  <c r="AG473" s="1"/>
  <c r="AI473" a="1"/>
  <c r="AI473" s="1"/>
  <c r="AQ473" a="1"/>
  <c r="AQ473" s="1"/>
  <c r="AS473" a="1"/>
  <c r="AS473" s="1"/>
  <c r="AL473" a="1"/>
  <c r="AL473" s="1"/>
  <c r="AM473" a="1"/>
  <c r="AM473" s="1"/>
  <c r="AP473" a="1"/>
  <c r="AP473" s="1"/>
  <c r="AE473" a="1"/>
  <c r="AE473" s="1"/>
  <c r="AF473" a="1"/>
  <c r="AF473" s="1"/>
  <c r="AD473" a="1"/>
  <c r="AD473" s="1"/>
  <c r="AV9" i="38"/>
  <c r="AT9"/>
  <c r="AA120" i="23"/>
  <c r="AN485" i="30" a="1"/>
  <c r="AN485" s="1"/>
  <c r="P141" i="44"/>
  <c r="O637" a="1"/>
  <c r="O637" s="1"/>
  <c r="AA141"/>
  <c r="Z637" a="1"/>
  <c r="Z637" s="1"/>
  <c r="W141"/>
  <c r="V637" a="1"/>
  <c r="V637" s="1"/>
  <c r="U141"/>
  <c r="T637" a="1"/>
  <c r="T637" s="1"/>
  <c r="N141"/>
  <c r="M637" a="1"/>
  <c r="M637" s="1"/>
  <c r="S141"/>
  <c r="R637" a="1"/>
  <c r="R637" s="1"/>
  <c r="O141"/>
  <c r="N637" a="1"/>
  <c r="N637" s="1"/>
  <c r="AW147"/>
  <c r="AW124" s="1"/>
  <c r="I141"/>
  <c r="H637" a="1"/>
  <c r="H637" s="1"/>
  <c r="D637" a="1"/>
  <c r="D637" s="1"/>
  <c r="I11"/>
  <c r="Q637" a="1"/>
  <c r="Q637" s="1"/>
  <c r="R141"/>
  <c r="L141"/>
  <c r="K637" a="1"/>
  <c r="K637" s="1"/>
  <c r="AD475" i="30" a="1"/>
  <c r="AD475" s="1"/>
  <c r="AE475" a="1"/>
  <c r="AE475" s="1"/>
  <c r="AG474" i="44" a="1"/>
  <c r="AG474" s="1"/>
  <c r="AL474" a="1"/>
  <c r="AL474" s="1"/>
  <c r="AE474" a="1"/>
  <c r="AE474" s="1"/>
  <c r="AF474" a="1"/>
  <c r="AF474" s="1"/>
  <c r="AP474" a="1"/>
  <c r="AP474" s="1"/>
  <c r="AR474" a="1"/>
  <c r="AR474" s="1"/>
  <c r="AO474" a="1"/>
  <c r="AO474" s="1"/>
  <c r="AM474" a="1"/>
  <c r="AM474" s="1"/>
  <c r="AS474" a="1"/>
  <c r="AS474" s="1"/>
  <c r="AT474" a="1"/>
  <c r="AT474" s="1"/>
  <c r="AV474" a="1"/>
  <c r="AV474" s="1"/>
  <c r="AN474" a="1"/>
  <c r="AN474" s="1"/>
  <c r="AK474" a="1"/>
  <c r="AK474" s="1"/>
  <c r="AI474" a="1"/>
  <c r="AI474" s="1"/>
  <c r="AU474" a="1"/>
  <c r="AU474" s="1"/>
  <c r="AW474" a="1"/>
  <c r="AW474" s="1"/>
  <c r="AQ485" a="1"/>
  <c r="AQ485" s="1"/>
  <c r="AR485" a="1"/>
  <c r="AR485" s="1"/>
  <c r="AJ485" a="1"/>
  <c r="AJ485" s="1"/>
  <c r="AI485" a="1"/>
  <c r="AI485" s="1"/>
  <c r="AG485" a="1"/>
  <c r="AG485" s="1"/>
  <c r="AK485" a="1"/>
  <c r="AK485" s="1"/>
  <c r="AF485" a="1"/>
  <c r="AF485" s="1"/>
  <c r="AH485" a="1"/>
  <c r="AH485" s="1"/>
  <c r="AU485" a="1"/>
  <c r="AU485" s="1"/>
  <c r="AV485" a="1"/>
  <c r="AV485" s="1"/>
  <c r="AW485" a="1"/>
  <c r="AW485" s="1"/>
  <c r="AT485" a="1"/>
  <c r="AT485" s="1"/>
  <c r="AD484" a="1"/>
  <c r="AD484" s="1"/>
  <c r="AL484" a="1"/>
  <c r="AL484" s="1"/>
  <c r="AO484" a="1"/>
  <c r="AO484" s="1"/>
  <c r="AR484" a="1"/>
  <c r="AR484" s="1"/>
  <c r="AH484" a="1"/>
  <c r="AH484" s="1"/>
  <c r="AI484" a="1"/>
  <c r="AI484" s="1"/>
  <c r="AT484" a="1"/>
  <c r="AT484" s="1"/>
  <c r="AQ484" a="1"/>
  <c r="AQ484" s="1"/>
  <c r="AK484" a="1"/>
  <c r="AK484" s="1"/>
  <c r="AM484" a="1"/>
  <c r="AM484" s="1"/>
  <c r="AF484" a="1"/>
  <c r="AF484" s="1"/>
  <c r="AP484" a="1"/>
  <c r="AP484" s="1"/>
  <c r="AW484" a="1"/>
  <c r="AW484" s="1"/>
  <c r="AS484" a="1"/>
  <c r="AS484" s="1"/>
  <c r="AJ484" a="1"/>
  <c r="AJ484" s="1"/>
  <c r="AU484" a="1"/>
  <c r="AU484" s="1"/>
  <c r="AV484" a="1"/>
  <c r="AV484" s="1"/>
  <c r="AN484" a="1"/>
  <c r="AN484" s="1"/>
  <c r="I141" i="30"/>
  <c r="H637" a="1"/>
  <c r="H637" s="1"/>
  <c r="AW147"/>
  <c r="AW124" s="1"/>
  <c r="AW473" s="1" a="1"/>
  <c r="AW473" s="1"/>
  <c r="E637" a="1"/>
  <c r="E637" s="1"/>
  <c r="D637" a="1"/>
  <c r="D637" s="1"/>
  <c r="I11"/>
  <c r="Z141"/>
  <c r="Y637" a="1"/>
  <c r="Y637" s="1"/>
  <c r="J141"/>
  <c r="I637" a="1"/>
  <c r="I637" s="1"/>
  <c r="AC141"/>
  <c r="AB637" a="1"/>
  <c r="AB637" s="1"/>
  <c r="T141"/>
  <c r="S637" a="1"/>
  <c r="S637" s="1"/>
  <c r="O141"/>
  <c r="N637" a="1"/>
  <c r="N637" s="1"/>
  <c r="N141"/>
  <c r="M637" a="1"/>
  <c r="M637" s="1"/>
  <c r="X141"/>
  <c r="W637" a="1"/>
  <c r="W637" s="1"/>
  <c r="Q141"/>
  <c r="P637" a="1"/>
  <c r="P637" s="1"/>
  <c r="M141"/>
  <c r="L637" a="1"/>
  <c r="L637" s="1"/>
  <c r="AT157"/>
  <c r="AT134" s="1"/>
  <c r="T647" a="1"/>
  <c r="T647" s="1"/>
  <c r="K647" a="1"/>
  <c r="K647" s="1"/>
  <c r="AK157"/>
  <c r="AK134" s="1"/>
  <c r="AK141" s="1"/>
  <c r="AV157"/>
  <c r="AV134" s="1"/>
  <c r="V647" a="1"/>
  <c r="V647" s="1"/>
  <c r="I647" a="1"/>
  <c r="I647" s="1"/>
  <c r="AI157"/>
  <c r="AI134" s="1"/>
  <c r="AI141" s="1"/>
  <c r="J647" a="1"/>
  <c r="J647" s="1"/>
  <c r="AJ157"/>
  <c r="AJ134" s="1"/>
  <c r="AJ141" s="1"/>
  <c r="P647" a="1"/>
  <c r="P647" s="1"/>
  <c r="AP157"/>
  <c r="AP134" s="1"/>
  <c r="S647" a="1"/>
  <c r="S647" s="1"/>
  <c r="AS157"/>
  <c r="AS134" s="1"/>
  <c r="L647" a="1"/>
  <c r="L647" s="1"/>
  <c r="AL157"/>
  <c r="AL134" s="1"/>
  <c r="AL141" s="1"/>
  <c r="N647" a="1"/>
  <c r="N647" s="1"/>
  <c r="AN157"/>
  <c r="AN134" s="1"/>
  <c r="M647" a="1"/>
  <c r="M647" s="1"/>
  <c r="AM157"/>
  <c r="AM134" s="1"/>
  <c r="AT473" i="44" a="1"/>
  <c r="AT473" s="1"/>
  <c r="AH472" i="30" a="1"/>
  <c r="AH472" s="1"/>
  <c r="AM472" a="1"/>
  <c r="AM472" s="1"/>
  <c r="AU472" a="1"/>
  <c r="AU472" s="1"/>
  <c r="AT472" a="1"/>
  <c r="AT472" s="1"/>
  <c r="AW472" i="44" a="1"/>
  <c r="AW472" s="1"/>
  <c r="AW475" i="30" a="1"/>
  <c r="AW475" s="1"/>
  <c r="AB475" a="1"/>
  <c r="AB475" s="1"/>
  <c r="Z475" a="1"/>
  <c r="Z475" s="1"/>
  <c r="X475" a="1"/>
  <c r="X475" s="1"/>
  <c r="V475" a="1"/>
  <c r="V475" s="1"/>
  <c r="R475" a="1"/>
  <c r="R475" s="1"/>
  <c r="P475" a="1"/>
  <c r="P475" s="1"/>
  <c r="M475" a="1"/>
  <c r="M475" s="1"/>
  <c r="O475" a="1"/>
  <c r="O475" s="1"/>
  <c r="L475" a="1"/>
  <c r="L475" s="1"/>
  <c r="M475" i="44" a="1"/>
  <c r="M475" s="1"/>
  <c r="Q475" a="1"/>
  <c r="Q475" s="1"/>
  <c r="AD475" a="1"/>
  <c r="AD475" s="1"/>
  <c r="W475" a="1"/>
  <c r="W475" s="1"/>
  <c r="Z475" a="1"/>
  <c r="Z475" s="1"/>
  <c r="V475" a="1"/>
  <c r="V475" s="1"/>
  <c r="AA475" a="1"/>
  <c r="AA475" s="1"/>
  <c r="J475" a="1"/>
  <c r="J475" s="1"/>
  <c r="T475" a="1"/>
  <c r="T475" s="1"/>
  <c r="P475" a="1"/>
  <c r="P475" s="1"/>
  <c r="AG475" a="1"/>
  <c r="AG475" s="1"/>
  <c r="AG475" i="30" a="1"/>
  <c r="AG475" s="1"/>
  <c r="AJ475" a="1"/>
  <c r="AJ475" s="1"/>
  <c r="AC485" a="1"/>
  <c r="AC485" s="1"/>
  <c r="V485" a="1"/>
  <c r="V485" s="1"/>
  <c r="AA485" a="1"/>
  <c r="AA485" s="1"/>
  <c r="Y485" a="1"/>
  <c r="Y485" s="1"/>
  <c r="L485" i="44" a="1"/>
  <c r="L485" s="1"/>
  <c r="P485" a="1"/>
  <c r="P485" s="1"/>
  <c r="AC485" a="1"/>
  <c r="AC485" s="1"/>
  <c r="Z485" a="1"/>
  <c r="Z485" s="1"/>
  <c r="U485" a="1"/>
  <c r="U485" s="1"/>
  <c r="AE485" a="1"/>
  <c r="AE485" s="1"/>
  <c r="S485" a="1"/>
  <c r="S485" s="1"/>
  <c r="M485" a="1"/>
  <c r="M485" s="1"/>
  <c r="V485" a="1"/>
  <c r="V485" s="1"/>
  <c r="AC484" a="1"/>
  <c r="AC484" s="1"/>
  <c r="V484" a="1"/>
  <c r="V484" s="1"/>
  <c r="AG484" a="1"/>
  <c r="AG484" s="1"/>
  <c r="X484" a="1"/>
  <c r="X484" s="1"/>
  <c r="J484" a="1"/>
  <c r="J484" s="1"/>
  <c r="N484" a="1"/>
  <c r="N484" s="1"/>
  <c r="Q484" a="1"/>
  <c r="Q484" s="1"/>
  <c r="Y484" a="1"/>
  <c r="Y484" s="1"/>
  <c r="AE484" a="1"/>
  <c r="AE484" s="1"/>
  <c r="K484" a="1"/>
  <c r="K484" s="1"/>
  <c r="M484" a="1"/>
  <c r="M484" s="1"/>
  <c r="L484" a="1"/>
  <c r="L484" s="1"/>
  <c r="Y484" i="30" a="1"/>
  <c r="Y484" s="1"/>
  <c r="V484" a="1"/>
  <c r="V484" s="1"/>
  <c r="AC484" a="1"/>
  <c r="AC484" s="1"/>
  <c r="AA484" a="1"/>
  <c r="AA484" s="1"/>
  <c r="U484" a="1"/>
  <c r="U484" s="1"/>
  <c r="M484" a="1"/>
  <c r="M484" s="1"/>
  <c r="S484" a="1"/>
  <c r="S484" s="1"/>
  <c r="Q484" a="1"/>
  <c r="Q484" s="1"/>
  <c r="O484" a="1"/>
  <c r="O484" s="1"/>
  <c r="L484" a="1"/>
  <c r="L484" s="1"/>
  <c r="AV473" a="1"/>
  <c r="AV473" s="1"/>
  <c r="AB473" a="1"/>
  <c r="AB473" s="1"/>
  <c r="V473" a="1"/>
  <c r="V473" s="1"/>
  <c r="Z473" a="1"/>
  <c r="Z473" s="1"/>
  <c r="W473" a="1"/>
  <c r="W473" s="1"/>
  <c r="S473" a="1"/>
  <c r="S473" s="1"/>
  <c r="P473" a="1"/>
  <c r="P473" s="1"/>
  <c r="J473" a="1"/>
  <c r="J473" s="1"/>
  <c r="N473" a="1"/>
  <c r="N473" s="1"/>
  <c r="G473" a="1"/>
  <c r="G473" s="1"/>
  <c r="Q473" a="1"/>
  <c r="Q473" s="1"/>
  <c r="H473" a="1"/>
  <c r="H473" s="1"/>
  <c r="W637" i="44" a="1"/>
  <c r="W637" s="1"/>
  <c r="U637" a="1"/>
  <c r="U637" s="1"/>
  <c r="AF472" i="30" a="1"/>
  <c r="AF472" s="1"/>
  <c r="AO472" i="44" a="1"/>
  <c r="AO472" s="1"/>
  <c r="AJ472" a="1"/>
  <c r="AJ472" s="1"/>
  <c r="AP472" i="30" a="1"/>
  <c r="AP472" s="1"/>
  <c r="AP472" i="44" a="1"/>
  <c r="AP472" s="1"/>
  <c r="AL472" a="1"/>
  <c r="AL472" s="1"/>
  <c r="Q472" a="1"/>
  <c r="Q472" s="1"/>
  <c r="I472" a="1"/>
  <c r="I472" s="1"/>
  <c r="S472" a="1"/>
  <c r="S472" s="1"/>
  <c r="X472" a="1"/>
  <c r="X472" s="1"/>
  <c r="V472" a="1"/>
  <c r="V472" s="1"/>
  <c r="G472" a="1"/>
  <c r="G472" s="1"/>
  <c r="L472" a="1"/>
  <c r="L472" s="1"/>
  <c r="Z472" a="1"/>
  <c r="Z472" s="1"/>
  <c r="R472" a="1"/>
  <c r="R472" s="1"/>
  <c r="O472" a="1"/>
  <c r="O472" s="1"/>
  <c r="M472" a="1"/>
  <c r="M472" s="1"/>
  <c r="AI472" i="30" a="1"/>
  <c r="AI472" s="1"/>
  <c r="AS472" a="1"/>
  <c r="AS472" s="1"/>
  <c r="AG472" i="44" a="1"/>
  <c r="AG472" s="1"/>
  <c r="Y472" i="30" a="1"/>
  <c r="Y472" s="1"/>
  <c r="T472" a="1"/>
  <c r="T472" s="1"/>
  <c r="AB472" a="1"/>
  <c r="AB472" s="1"/>
  <c r="X472" a="1"/>
  <c r="X472" s="1"/>
  <c r="U472" a="1"/>
  <c r="U472" s="1"/>
  <c r="O472" a="1"/>
  <c r="O472" s="1"/>
  <c r="M472" a="1"/>
  <c r="M472" s="1"/>
  <c r="L472" a="1"/>
  <c r="L472" s="1"/>
  <c r="S472" a="1"/>
  <c r="S472" s="1"/>
  <c r="P472" a="1"/>
  <c r="P472" s="1"/>
  <c r="AO475" i="44" a="1"/>
  <c r="AO475" s="1"/>
  <c r="AO475" i="30" a="1"/>
  <c r="AO475" s="1"/>
  <c r="AI475" a="1"/>
  <c r="AI475" s="1"/>
  <c r="AF475" a="1"/>
  <c r="AF475" s="1"/>
  <c r="AF475" i="44" a="1"/>
  <c r="AF475" s="1"/>
  <c r="AL475" i="30" a="1"/>
  <c r="AL475" s="1"/>
  <c r="AK475" i="44" a="1"/>
  <c r="AK475" s="1"/>
  <c r="AV475" i="30" a="1"/>
  <c r="AV475" s="1"/>
  <c r="AU475" i="44" a="1"/>
  <c r="AU475" s="1"/>
  <c r="AP475" i="30" a="1"/>
  <c r="AP475" s="1"/>
  <c r="AP475" i="44" a="1"/>
  <c r="AP475" s="1"/>
  <c r="AQ475" i="30" a="1"/>
  <c r="AQ475" s="1"/>
  <c r="AS475" a="1"/>
  <c r="AS475" s="1"/>
  <c r="K470" i="44" a="1"/>
  <c r="K470" s="1"/>
  <c r="K678" s="1"/>
  <c r="CD185" i="42" s="1"/>
  <c r="I470" i="44" a="1"/>
  <c r="I470" s="1"/>
  <c r="I678" s="1"/>
  <c r="CB185" i="42" s="1"/>
  <c r="J470" i="44" a="1"/>
  <c r="J470" s="1"/>
  <c r="J678" s="1"/>
  <c r="CC185" i="42" s="1"/>
  <c r="G470" i="44" a="1"/>
  <c r="G470" s="1"/>
  <c r="G678" s="1"/>
  <c r="BZ185" i="42" s="1"/>
  <c r="AN470" i="44" a="1"/>
  <c r="AN470" s="1"/>
  <c r="X470" a="1"/>
  <c r="X470" s="1"/>
  <c r="X678" s="1"/>
  <c r="CQ185" i="42" s="1"/>
  <c r="AK470" i="44" a="1"/>
  <c r="AK470" s="1"/>
  <c r="AT470" a="1"/>
  <c r="AT470" s="1"/>
  <c r="AD470" a="1"/>
  <c r="AD470" s="1"/>
  <c r="AQ470" a="1"/>
  <c r="AQ470" s="1"/>
  <c r="AA470" a="1"/>
  <c r="AA470" s="1"/>
  <c r="AA678" s="1"/>
  <c r="CT185" i="42" s="1"/>
  <c r="L470" i="44" a="1"/>
  <c r="L470" s="1"/>
  <c r="L678" s="1"/>
  <c r="CE185" i="42" s="1"/>
  <c r="AR470" i="44" a="1"/>
  <c r="AR470" s="1"/>
  <c r="AB470" a="1"/>
  <c r="AB470" s="1"/>
  <c r="AB678" s="1"/>
  <c r="CU185" i="42" s="1"/>
  <c r="AO470" i="44" a="1"/>
  <c r="AO470" s="1"/>
  <c r="Y470" a="1"/>
  <c r="Y470" s="1"/>
  <c r="Y678" s="1"/>
  <c r="CR185" i="42" s="1"/>
  <c r="AH470" i="44" a="1"/>
  <c r="AH470" s="1"/>
  <c r="AU470" a="1"/>
  <c r="AU470" s="1"/>
  <c r="AE470" a="1"/>
  <c r="AE470" s="1"/>
  <c r="P470" a="1"/>
  <c r="P470" s="1"/>
  <c r="P678" s="1"/>
  <c r="CI185" i="42" s="1"/>
  <c r="Q470" i="44" a="1"/>
  <c r="Q470" s="1"/>
  <c r="Q678" s="1"/>
  <c r="CJ185" i="42" s="1"/>
  <c r="AL485" i="44" a="1"/>
  <c r="AL485" s="1"/>
  <c r="AO485" a="1"/>
  <c r="AO485" s="1"/>
  <c r="AS485" a="1"/>
  <c r="AS485" s="1"/>
  <c r="R474" a="1"/>
  <c r="R474" s="1"/>
  <c r="O474" a="1"/>
  <c r="O474" s="1"/>
  <c r="AH474" a="1"/>
  <c r="AH474" s="1"/>
  <c r="Q474" a="1"/>
  <c r="Q474" s="1"/>
  <c r="N474" a="1"/>
  <c r="N474" s="1"/>
  <c r="AJ474" a="1"/>
  <c r="AJ474" s="1"/>
  <c r="AC474" a="1"/>
  <c r="AC474" s="1"/>
  <c r="S474" a="1"/>
  <c r="S474" s="1"/>
  <c r="AD474" a="1"/>
  <c r="AD474" s="1"/>
  <c r="Z474" a="1"/>
  <c r="Z474" s="1"/>
  <c r="I474" a="1"/>
  <c r="I474" s="1"/>
  <c r="AA474" a="1"/>
  <c r="AA474" s="1"/>
  <c r="G474" a="1"/>
  <c r="G474" s="1"/>
  <c r="J474" a="1"/>
  <c r="J474" s="1"/>
  <c r="AC474" i="30" a="1"/>
  <c r="AC474" s="1"/>
  <c r="W474" a="1"/>
  <c r="W474" s="1"/>
  <c r="U474" a="1"/>
  <c r="U474" s="1"/>
  <c r="AA474" a="1"/>
  <c r="AA474" s="1"/>
  <c r="Y474" a="1"/>
  <c r="Y474" s="1"/>
  <c r="P474" a="1"/>
  <c r="P474" s="1"/>
  <c r="K474" a="1"/>
  <c r="K474" s="1"/>
  <c r="S474" a="1"/>
  <c r="S474" s="1"/>
  <c r="N474" a="1"/>
  <c r="N474" s="1"/>
  <c r="J474" a="1"/>
  <c r="J474" s="1"/>
  <c r="I474" a="1"/>
  <c r="I474" s="1"/>
  <c r="G473" i="44" a="1"/>
  <c r="G473" s="1"/>
  <c r="Z473" a="1"/>
  <c r="Z473" s="1"/>
  <c r="U473" a="1"/>
  <c r="U473" s="1"/>
  <c r="AI473" a="1"/>
  <c r="AI473" s="1"/>
  <c r="AF473" a="1"/>
  <c r="AF473" s="1"/>
  <c r="AC473" a="1"/>
  <c r="AC473" s="1"/>
  <c r="AA473" a="1"/>
  <c r="AA473" s="1"/>
  <c r="AG473" a="1"/>
  <c r="AG473" s="1"/>
  <c r="AQ473" a="1"/>
  <c r="AQ473" s="1"/>
  <c r="K473" a="1"/>
  <c r="K473" s="1"/>
  <c r="T473" a="1"/>
  <c r="T473" s="1"/>
  <c r="H473" a="1"/>
  <c r="H473" s="1"/>
  <c r="R473" a="1"/>
  <c r="R473" s="1"/>
  <c r="AO473" a="1"/>
  <c r="AO473" s="1"/>
  <c r="I473" a="1"/>
  <c r="I473" s="1"/>
  <c r="AB473" a="1"/>
  <c r="AB473" s="1"/>
  <c r="X473" a="1"/>
  <c r="X473" s="1"/>
  <c r="AR473" a="1"/>
  <c r="AR473" s="1"/>
  <c r="Y473" a="1"/>
  <c r="Y473" s="1"/>
  <c r="AM9" i="38"/>
  <c r="T120" i="23"/>
  <c r="AF470" i="30" a="1"/>
  <c r="AF470" s="1"/>
  <c r="P470" a="1"/>
  <c r="P470" s="1"/>
  <c r="AR470" a="1"/>
  <c r="AR470" s="1"/>
  <c r="I470" a="1"/>
  <c r="I470" s="1"/>
  <c r="Q470" a="1"/>
  <c r="Q470" s="1"/>
  <c r="Y470" a="1"/>
  <c r="Y470" s="1"/>
  <c r="AG470" a="1"/>
  <c r="AG470" s="1"/>
  <c r="AO470" a="1"/>
  <c r="AO470" s="1"/>
  <c r="AW470" a="1"/>
  <c r="AW470" s="1"/>
  <c r="T470" a="1"/>
  <c r="T470" s="1"/>
  <c r="J470" a="1"/>
  <c r="J470" s="1"/>
  <c r="Z470" a="1"/>
  <c r="Z470" s="1"/>
  <c r="AP470" a="1"/>
  <c r="AP470" s="1"/>
  <c r="S470" a="1"/>
  <c r="S470" s="1"/>
  <c r="AI470" a="1"/>
  <c r="AI470" s="1"/>
  <c r="V470" a="1"/>
  <c r="V470" s="1"/>
  <c r="AL470" a="1"/>
  <c r="AL470" s="1"/>
  <c r="G470" a="1"/>
  <c r="G470" s="1"/>
  <c r="W470" a="1"/>
  <c r="W470" s="1"/>
  <c r="AM470" a="1"/>
  <c r="AM470" s="1"/>
  <c r="AN470" a="1"/>
  <c r="AN470" s="1"/>
  <c r="X470" a="1"/>
  <c r="X470" s="1"/>
  <c r="AV470" a="1"/>
  <c r="AV470" s="1"/>
  <c r="M470" a="1"/>
  <c r="M470" s="1"/>
  <c r="U470" a="1"/>
  <c r="U470" s="1"/>
  <c r="AC470" a="1"/>
  <c r="AC470" s="1"/>
  <c r="AK470" a="1"/>
  <c r="AK470" s="1"/>
  <c r="AS470" a="1"/>
  <c r="AS470" s="1"/>
  <c r="L470" a="1"/>
  <c r="L470" s="1"/>
  <c r="AB470" a="1"/>
  <c r="AB470" s="1"/>
  <c r="R470" a="1"/>
  <c r="R470" s="1"/>
  <c r="AH470" a="1"/>
  <c r="AH470" s="1"/>
  <c r="K470" a="1"/>
  <c r="K470" s="1"/>
  <c r="AA470" a="1"/>
  <c r="AA470" s="1"/>
  <c r="AQ470" a="1"/>
  <c r="AQ470" s="1"/>
  <c r="N470" a="1"/>
  <c r="N470" s="1"/>
  <c r="AD470" a="1"/>
  <c r="AD470" s="1"/>
  <c r="AT470" a="1"/>
  <c r="AT470" s="1"/>
  <c r="O470" a="1"/>
  <c r="O470" s="1"/>
  <c r="AE470" a="1"/>
  <c r="AE470" s="1"/>
  <c r="AU470" a="1"/>
  <c r="AU470" s="1"/>
  <c r="H470" a="1"/>
  <c r="H470" s="1"/>
  <c r="AJ470" a="1"/>
  <c r="AJ470" s="1"/>
  <c r="AN485" i="44" a="1"/>
  <c r="AN485" s="1"/>
  <c r="AM485" a="1"/>
  <c r="AM485" s="1"/>
  <c r="K141"/>
  <c r="J637" a="1"/>
  <c r="J637" s="1"/>
  <c r="Z141"/>
  <c r="Y637" a="1"/>
  <c r="Y637" s="1"/>
  <c r="L637" a="1"/>
  <c r="L637" s="1"/>
  <c r="M141"/>
  <c r="J141"/>
  <c r="I637" a="1"/>
  <c r="I637" s="1"/>
  <c r="Q141"/>
  <c r="P637" a="1"/>
  <c r="P637" s="1"/>
  <c r="T141"/>
  <c r="S637" a="1"/>
  <c r="S637" s="1"/>
  <c r="M120" i="23"/>
  <c r="AF9" i="38"/>
  <c r="AI9"/>
  <c r="P120" i="23"/>
  <c r="AS9" i="38"/>
  <c r="AD472" i="30" a="1"/>
  <c r="AD472" s="1"/>
  <c r="AE472" a="1"/>
  <c r="AE472" s="1"/>
  <c r="AI474" a="1"/>
  <c r="AI474" s="1"/>
  <c r="AR474" a="1"/>
  <c r="AR474" s="1"/>
  <c r="AV474" a="1"/>
  <c r="AV474" s="1"/>
  <c r="AS474" a="1"/>
  <c r="AS474" s="1"/>
  <c r="AL474" a="1"/>
  <c r="AL474" s="1"/>
  <c r="AO474" a="1"/>
  <c r="AO474" s="1"/>
  <c r="AJ474" a="1"/>
  <c r="AJ474" s="1"/>
  <c r="AK474" a="1"/>
  <c r="AK474" s="1"/>
  <c r="AN474" a="1"/>
  <c r="AN474" s="1"/>
  <c r="AE474" a="1"/>
  <c r="AE474" s="1"/>
  <c r="AF474" a="1"/>
  <c r="AF474" s="1"/>
  <c r="AD474" a="1"/>
  <c r="AD474" s="1"/>
  <c r="AG474" a="1"/>
  <c r="AG474" s="1"/>
  <c r="AQ474" a="1"/>
  <c r="AQ474" s="1"/>
  <c r="AU474" a="1"/>
  <c r="AU474" s="1"/>
  <c r="AW474" a="1"/>
  <c r="AW474" s="1"/>
  <c r="AT474" a="1"/>
  <c r="AT474" s="1"/>
  <c r="AM474" a="1"/>
  <c r="AM474" s="1"/>
  <c r="AP474" a="1"/>
  <c r="AP474" s="1"/>
  <c r="AH474" a="1"/>
  <c r="AH474" s="1"/>
  <c r="AQ485" a="1"/>
  <c r="AQ485" s="1"/>
  <c r="AH485" a="1"/>
  <c r="AH485" s="1"/>
  <c r="AE485" a="1"/>
  <c r="AE485" s="1"/>
  <c r="AF485" a="1"/>
  <c r="AF485" s="1"/>
  <c r="AG485" a="1"/>
  <c r="AG485" s="1"/>
  <c r="AI485" a="1"/>
  <c r="AI485" s="1"/>
  <c r="AJ485" a="1"/>
  <c r="AJ485" s="1"/>
  <c r="AK485" a="1"/>
  <c r="AK485" s="1"/>
  <c r="AD485" a="1"/>
  <c r="AD485" s="1"/>
  <c r="AT485" a="1"/>
  <c r="AT485" s="1"/>
  <c r="AU485" a="1"/>
  <c r="AU485" s="1"/>
  <c r="AL484" a="1"/>
  <c r="AL484" s="1"/>
  <c r="AJ484" a="1"/>
  <c r="AJ484" s="1"/>
  <c r="AP484" a="1"/>
  <c r="AP484" s="1"/>
  <c r="AO484" a="1"/>
  <c r="AO484" s="1"/>
  <c r="AQ484" a="1"/>
  <c r="AQ484" s="1"/>
  <c r="AS484" a="1"/>
  <c r="AS484" s="1"/>
  <c r="AU484" a="1"/>
  <c r="AU484" s="1"/>
  <c r="AW484" a="1"/>
  <c r="AW484" s="1"/>
  <c r="AE484" a="1"/>
  <c r="AE484" s="1"/>
  <c r="AH484" a="1"/>
  <c r="AH484" s="1"/>
  <c r="AD484" a="1"/>
  <c r="AD484" s="1"/>
  <c r="AG484" a="1"/>
  <c r="AG484" s="1"/>
  <c r="AI484" a="1"/>
  <c r="AI484" s="1"/>
  <c r="AK484" a="1"/>
  <c r="AK484" s="1"/>
  <c r="AM484" a="1"/>
  <c r="AM484" s="1"/>
  <c r="AN484" a="1"/>
  <c r="AN484" s="1"/>
  <c r="AR484" a="1"/>
  <c r="AR484" s="1"/>
  <c r="AT484" a="1"/>
  <c r="AT484" s="1"/>
  <c r="AV484" a="1"/>
  <c r="AV484" s="1"/>
  <c r="AF484" a="1"/>
  <c r="AF484" s="1"/>
  <c r="W141"/>
  <c r="V637" a="1"/>
  <c r="V637" s="1"/>
  <c r="K141"/>
  <c r="J637" a="1"/>
  <c r="J637" s="1"/>
  <c r="V141"/>
  <c r="U637" a="1"/>
  <c r="U637" s="1"/>
  <c r="R141"/>
  <c r="Q637" a="1"/>
  <c r="Q637" s="1"/>
  <c r="U141"/>
  <c r="T637" a="1"/>
  <c r="T637" s="1"/>
  <c r="AB141"/>
  <c r="AA637" a="1"/>
  <c r="AA637" s="1"/>
  <c r="P141"/>
  <c r="O637" a="1"/>
  <c r="O637" s="1"/>
  <c r="Y141"/>
  <c r="X637" a="1"/>
  <c r="X637" s="1"/>
  <c r="L141"/>
  <c r="K637" a="1"/>
  <c r="K637" s="1"/>
  <c r="S141"/>
  <c r="R637" a="1"/>
  <c r="R637" s="1"/>
  <c r="AA141"/>
  <c r="Z637" a="1"/>
  <c r="Z637" s="1"/>
  <c r="O647" a="1"/>
  <c r="O647" s="1"/>
  <c r="AO157"/>
  <c r="AO134" s="1"/>
  <c r="R647" a="1"/>
  <c r="R647" s="1"/>
  <c r="AR157"/>
  <c r="AR134" s="1"/>
  <c r="Q647" a="1"/>
  <c r="Q647" s="1"/>
  <c r="AQ157"/>
  <c r="AQ134" s="1"/>
  <c r="AW157"/>
  <c r="AW134" s="1"/>
  <c r="W647" a="1"/>
  <c r="W647" s="1"/>
  <c r="F647" a="1"/>
  <c r="F647" s="1"/>
  <c r="G647" a="1"/>
  <c r="G647" s="1"/>
  <c r="H647" a="1"/>
  <c r="H647" s="1"/>
  <c r="D647" a="1"/>
  <c r="D647" s="1"/>
  <c r="E647" a="1"/>
  <c r="E647" s="1"/>
  <c r="AH157"/>
  <c r="AH134" s="1"/>
  <c r="I21"/>
  <c r="AU157"/>
  <c r="AU134" s="1"/>
  <c r="U647" a="1"/>
  <c r="U647" s="1"/>
  <c r="AU473" a="1"/>
  <c r="AU473" s="1"/>
  <c r="AU473" i="44" a="1"/>
  <c r="AU473" s="1"/>
  <c r="AK472" a="1"/>
  <c r="AK472" s="1"/>
  <c r="AK472" i="30" a="1"/>
  <c r="AK472" s="1"/>
  <c r="AN472" a="1"/>
  <c r="AN472" s="1"/>
  <c r="AN472" i="44" a="1"/>
  <c r="AN472" s="1"/>
  <c r="AU472" a="1"/>
  <c r="AU472" s="1"/>
  <c r="AT472" a="1"/>
  <c r="AT472" s="1"/>
  <c r="AR472" i="30" a="1"/>
  <c r="AR472" s="1"/>
  <c r="AR472" i="44" a="1"/>
  <c r="AR472" s="1"/>
  <c r="AV472" a="1"/>
  <c r="AV472" s="1"/>
  <c r="AV472" i="30" a="1"/>
  <c r="AV472" s="1"/>
  <c r="AW472" a="1"/>
  <c r="AW472" s="1"/>
  <c r="AT475" i="44" a="1"/>
  <c r="AT475" s="1"/>
  <c r="AR475" a="1"/>
  <c r="AR475" s="1"/>
  <c r="AR475" i="30" a="1"/>
  <c r="AR475" s="1"/>
  <c r="AW475" i="44" a="1"/>
  <c r="AW475" s="1"/>
  <c r="AH475" a="1"/>
  <c r="AH475" s="1"/>
  <c r="AH475" i="30" a="1"/>
  <c r="AH475" s="1"/>
  <c r="AM475" a="1"/>
  <c r="AM475" s="1"/>
  <c r="AM475" i="44" a="1"/>
  <c r="AM475" s="1"/>
  <c r="AA475" i="30" a="1"/>
  <c r="AA475" s="1"/>
  <c r="AC475" a="1"/>
  <c r="AC475" s="1"/>
  <c r="Y475" a="1"/>
  <c r="Y475" s="1"/>
  <c r="W475" a="1"/>
  <c r="W475" s="1"/>
  <c r="S475" a="1"/>
  <c r="S475" s="1"/>
  <c r="Q475" a="1"/>
  <c r="Q475" s="1"/>
  <c r="N475" a="1"/>
  <c r="N475" s="1"/>
  <c r="T475" a="1"/>
  <c r="T475" s="1"/>
  <c r="J475" a="1"/>
  <c r="J475" s="1"/>
  <c r="AC475" i="44" a="1"/>
  <c r="AC475" s="1"/>
  <c r="Y475" a="1"/>
  <c r="Y475" s="1"/>
  <c r="S475" a="1"/>
  <c r="S475" s="1"/>
  <c r="O475" a="1"/>
  <c r="O475" s="1"/>
  <c r="K475" a="1"/>
  <c r="K475" s="1"/>
  <c r="AB475" a="1"/>
  <c r="AB475" s="1"/>
  <c r="R475" a="1"/>
  <c r="R475" s="1"/>
  <c r="L475" a="1"/>
  <c r="L475" s="1"/>
  <c r="N475" a="1"/>
  <c r="N475" s="1"/>
  <c r="U475" a="1"/>
  <c r="U475" s="1"/>
  <c r="AJ475" a="1"/>
  <c r="AJ475" s="1"/>
  <c r="X485" i="30" a="1"/>
  <c r="X485" s="1"/>
  <c r="AB485" a="1"/>
  <c r="AB485" s="1"/>
  <c r="Z485" a="1"/>
  <c r="Z485" s="1"/>
  <c r="AP485" i="44" a="1"/>
  <c r="AP485" s="1"/>
  <c r="AA485" a="1"/>
  <c r="AA485" s="1"/>
  <c r="R485" a="1"/>
  <c r="R485" s="1"/>
  <c r="X485" a="1"/>
  <c r="X485" s="1"/>
  <c r="T485" a="1"/>
  <c r="T485" s="1"/>
  <c r="AD485" a="1"/>
  <c r="AD485" s="1"/>
  <c r="Y485" a="1"/>
  <c r="Y485" s="1"/>
  <c r="K485" a="1"/>
  <c r="K485" s="1"/>
  <c r="N485" a="1"/>
  <c r="N485" s="1"/>
  <c r="W485" a="1"/>
  <c r="W485" s="1"/>
  <c r="Q485" a="1"/>
  <c r="Q485" s="1"/>
  <c r="O485" a="1"/>
  <c r="O485" s="1"/>
  <c r="T484" a="1"/>
  <c r="T484" s="1"/>
  <c r="AB484" a="1"/>
  <c r="AB484" s="1"/>
  <c r="R484" a="1"/>
  <c r="R484" s="1"/>
  <c r="S484" a="1"/>
  <c r="S484" s="1"/>
  <c r="P484" a="1"/>
  <c r="P484" s="1"/>
  <c r="AA484" a="1"/>
  <c r="AA484" s="1"/>
  <c r="O484" a="1"/>
  <c r="O484" s="1"/>
  <c r="W484" a="1"/>
  <c r="W484" s="1"/>
  <c r="Z484" a="1"/>
  <c r="Z484" s="1"/>
  <c r="U484" a="1"/>
  <c r="U484" s="1"/>
  <c r="Z484" i="30" a="1"/>
  <c r="Z484" s="1"/>
  <c r="W484" a="1"/>
  <c r="W484" s="1"/>
  <c r="T484" a="1"/>
  <c r="T484" s="1"/>
  <c r="AB484" a="1"/>
  <c r="AB484" s="1"/>
  <c r="X484" a="1"/>
  <c r="X484" s="1"/>
  <c r="N484" a="1"/>
  <c r="N484" s="1"/>
  <c r="R484" a="1"/>
  <c r="R484" s="1"/>
  <c r="P484" a="1"/>
  <c r="P484" s="1"/>
  <c r="J484" a="1"/>
  <c r="J484" s="1"/>
  <c r="I484" a="1"/>
  <c r="I484" s="1"/>
  <c r="AV473" i="44" a="1"/>
  <c r="AV473" s="1"/>
  <c r="AC473" i="30" a="1"/>
  <c r="AC473" s="1"/>
  <c r="X473" a="1"/>
  <c r="X473" s="1"/>
  <c r="AA473" a="1"/>
  <c r="AA473" s="1"/>
  <c r="Y473" a="1"/>
  <c r="Y473" s="1"/>
  <c r="U473" a="1"/>
  <c r="U473" s="1"/>
  <c r="R473" a="1"/>
  <c r="R473" s="1"/>
  <c r="O473" a="1"/>
  <c r="O473" s="1"/>
  <c r="M473" a="1"/>
  <c r="M473" s="1"/>
  <c r="L473" a="1"/>
  <c r="L473" s="1"/>
  <c r="I473" a="1"/>
  <c r="I473" s="1"/>
  <c r="T473" a="1"/>
  <c r="T473" s="1"/>
  <c r="K473" a="1"/>
  <c r="K473" s="1"/>
  <c r="AA637" i="44" a="1"/>
  <c r="AA637" s="1"/>
  <c r="AF472" a="1"/>
  <c r="AF472" s="1"/>
  <c r="AO472" i="30" a="1"/>
  <c r="AO472" s="1"/>
  <c r="AE472" i="44" a="1"/>
  <c r="AE472" s="1"/>
  <c r="AJ472" i="30" a="1"/>
  <c r="AJ472" s="1"/>
  <c r="AL472" a="1"/>
  <c r="AL472" s="1"/>
  <c r="T472" i="44" a="1"/>
  <c r="T472" s="1"/>
  <c r="N472" a="1"/>
  <c r="N472" s="1"/>
  <c r="U472" a="1"/>
  <c r="U472" s="1"/>
  <c r="AC472" a="1"/>
  <c r="AC472" s="1"/>
  <c r="P472" a="1"/>
  <c r="P472" s="1"/>
  <c r="J472" a="1"/>
  <c r="J472" s="1"/>
  <c r="AA472" a="1"/>
  <c r="AA472" s="1"/>
  <c r="AD472" a="1"/>
  <c r="AD472" s="1"/>
  <c r="H472" a="1"/>
  <c r="H472" s="1"/>
  <c r="AB472" a="1"/>
  <c r="AB472" s="1"/>
  <c r="W472" a="1"/>
  <c r="W472" s="1"/>
  <c r="Y472" a="1"/>
  <c r="Y472" s="1"/>
  <c r="AI472" a="1"/>
  <c r="AI472" s="1"/>
  <c r="AS472" a="1"/>
  <c r="AS472" s="1"/>
  <c r="AG472" i="30" a="1"/>
  <c r="AG472" s="1"/>
  <c r="AQ472" i="44" a="1"/>
  <c r="AQ472" s="1"/>
  <c r="AQ472" i="30" a="1"/>
  <c r="AQ472" s="1"/>
  <c r="Z472" a="1"/>
  <c r="Z472" s="1"/>
  <c r="W472" a="1"/>
  <c r="W472" s="1"/>
  <c r="AC472" a="1"/>
  <c r="AC472" s="1"/>
  <c r="AA472" a="1"/>
  <c r="AA472" s="1"/>
  <c r="V472" a="1"/>
  <c r="V472" s="1"/>
  <c r="Q472" a="1"/>
  <c r="Q472" s="1"/>
  <c r="N472" a="1"/>
  <c r="N472" s="1"/>
  <c r="K472" a="1"/>
  <c r="K472" s="1"/>
  <c r="H472" a="1"/>
  <c r="H472" s="1"/>
  <c r="R472" a="1"/>
  <c r="R472" s="1"/>
  <c r="G472" a="1"/>
  <c r="G472" s="1"/>
  <c r="J472" a="1"/>
  <c r="J472" s="1"/>
  <c r="AI475" i="44" a="1"/>
  <c r="AI475" s="1"/>
  <c r="AN475" a="1"/>
  <c r="AN475" s="1"/>
  <c r="AN475" i="30" a="1"/>
  <c r="AN475" s="1"/>
  <c r="AL475" i="44" a="1"/>
  <c r="AL475" s="1"/>
  <c r="AE475" a="1"/>
  <c r="AE475" s="1"/>
  <c r="AK475" i="30" a="1"/>
  <c r="AK475" s="1"/>
  <c r="AV475" i="44" a="1"/>
  <c r="AV475" s="1"/>
  <c r="AU475" i="30" a="1"/>
  <c r="AU475" s="1"/>
  <c r="AQ475" i="44" a="1"/>
  <c r="AQ475" s="1"/>
  <c r="AS475" a="1"/>
  <c r="AS475" s="1"/>
  <c r="M470" a="1"/>
  <c r="M470" s="1"/>
  <c r="M678" s="1"/>
  <c r="CF185" i="42" s="1"/>
  <c r="N470" i="44" a="1"/>
  <c r="N470" s="1"/>
  <c r="N678" s="1"/>
  <c r="CG185" i="42" s="1"/>
  <c r="S470" i="44" a="1"/>
  <c r="S470" s="1"/>
  <c r="S678" s="1"/>
  <c r="CL185" i="42" s="1"/>
  <c r="O470" i="44" a="1"/>
  <c r="O470" s="1"/>
  <c r="O678" s="1"/>
  <c r="CH185" i="42" s="1"/>
  <c r="R470" i="44" a="1"/>
  <c r="R470" s="1"/>
  <c r="R678" s="1"/>
  <c r="CK185" i="42" s="1"/>
  <c r="AV470" i="44" a="1"/>
  <c r="AV470" s="1"/>
  <c r="AF470" a="1"/>
  <c r="AF470" s="1"/>
  <c r="AS470" a="1"/>
  <c r="AS470" s="1"/>
  <c r="AC470" a="1"/>
  <c r="AC470" s="1"/>
  <c r="AC678" s="1"/>
  <c r="CV185" i="42" s="1"/>
  <c r="AL470" i="44" a="1"/>
  <c r="AL470" s="1"/>
  <c r="V470" a="1"/>
  <c r="V470" s="1"/>
  <c r="V678" s="1"/>
  <c r="CO185" i="42" s="1"/>
  <c r="AI470" i="44" a="1"/>
  <c r="AI470" s="1"/>
  <c r="T470" a="1"/>
  <c r="T470" s="1"/>
  <c r="T678" s="1"/>
  <c r="CM185" i="42" s="1"/>
  <c r="U470" i="44" a="1"/>
  <c r="U470" s="1"/>
  <c r="U678" s="1"/>
  <c r="CN185" i="42" s="1"/>
  <c r="AJ470" i="44" a="1"/>
  <c r="AJ470" s="1"/>
  <c r="AW470" a="1"/>
  <c r="AW470" s="1"/>
  <c r="AG470" a="1"/>
  <c r="AG470" s="1"/>
  <c r="AP470" a="1"/>
  <c r="AP470" s="1"/>
  <c r="Z470" a="1"/>
  <c r="Z470" s="1"/>
  <c r="Z678" s="1"/>
  <c r="CS185" i="42" s="1"/>
  <c r="AM470" i="44" a="1"/>
  <c r="AM470" s="1"/>
  <c r="W470" a="1"/>
  <c r="W470" s="1"/>
  <c r="W678" s="1"/>
  <c r="CP185" i="42" s="1"/>
  <c r="AL485" i="30" a="1"/>
  <c r="AL485" s="1"/>
  <c r="AO485" a="1"/>
  <c r="AO485" s="1"/>
  <c r="AS485" a="1"/>
  <c r="AS485" s="1"/>
  <c r="P474" i="44" a="1"/>
  <c r="P474" s="1"/>
  <c r="Y474" a="1"/>
  <c r="Y474" s="1"/>
  <c r="L474" a="1"/>
  <c r="L474" s="1"/>
  <c r="V474" a="1"/>
  <c r="V474" s="1"/>
  <c r="AB474" a="1"/>
  <c r="AB474" s="1"/>
  <c r="W474" a="1"/>
  <c r="W474" s="1"/>
  <c r="M474" a="1"/>
  <c r="M474" s="1"/>
  <c r="X474" a="1"/>
  <c r="X474" s="1"/>
  <c r="U474" a="1"/>
  <c r="U474" s="1"/>
  <c r="AQ474" a="1"/>
  <c r="AQ474" s="1"/>
  <c r="H474" a="1"/>
  <c r="H474" s="1"/>
  <c r="K474" a="1"/>
  <c r="K474" s="1"/>
  <c r="T474" a="1"/>
  <c r="T474" s="1"/>
  <c r="X474" i="30" a="1"/>
  <c r="X474" s="1"/>
  <c r="V474" a="1"/>
  <c r="V474" s="1"/>
  <c r="AB474" a="1"/>
  <c r="AB474" s="1"/>
  <c r="Z474" a="1"/>
  <c r="Z474" s="1"/>
  <c r="Q474" a="1"/>
  <c r="Q474" s="1"/>
  <c r="O474" a="1"/>
  <c r="O474" s="1"/>
  <c r="T474" a="1"/>
  <c r="T474" s="1"/>
  <c r="R474" a="1"/>
  <c r="R474" s="1"/>
  <c r="M474" a="1"/>
  <c r="M474" s="1"/>
  <c r="G474" a="1"/>
  <c r="G474" s="1"/>
  <c r="L474" a="1"/>
  <c r="L474" s="1"/>
  <c r="O473" i="44" a="1"/>
  <c r="O473" s="1"/>
  <c r="W473" a="1"/>
  <c r="W473" s="1"/>
  <c r="L473" a="1"/>
  <c r="L473" s="1"/>
  <c r="AM473" a="1"/>
  <c r="AM473" s="1"/>
  <c r="Q473" a="1"/>
  <c r="Q473" s="1"/>
  <c r="AD473" a="1"/>
  <c r="AD473" s="1"/>
  <c r="P473" a="1"/>
  <c r="P473" s="1"/>
  <c r="AK473" a="1"/>
  <c r="AK473" s="1"/>
  <c r="J473" a="1"/>
  <c r="J473" s="1"/>
  <c r="N473" a="1"/>
  <c r="N473" s="1"/>
  <c r="AE473" a="1"/>
  <c r="AE473" s="1"/>
  <c r="V473" a="1"/>
  <c r="V473" s="1"/>
  <c r="AH473" a="1"/>
  <c r="AH473" s="1"/>
  <c r="AN473" a="1"/>
  <c r="AN473" s="1"/>
  <c r="M473" a="1"/>
  <c r="M473" s="1"/>
  <c r="S473" a="1"/>
  <c r="S473" s="1"/>
  <c r="AL473" a="1"/>
  <c r="AL473" s="1"/>
  <c r="AP473" a="1"/>
  <c r="AP473" s="1"/>
  <c r="AJ473" a="1"/>
  <c r="AJ473" s="1"/>
  <c r="J20" i="43"/>
  <c r="J24" s="1"/>
  <c r="J16"/>
  <c r="F46" i="30"/>
  <c r="F45"/>
  <c r="F44"/>
  <c r="F47"/>
  <c r="M26" i="43"/>
  <c r="J269" i="30"/>
  <c r="J269" i="44"/>
  <c r="N52" i="43"/>
  <c r="M57"/>
  <c r="M75" s="1"/>
  <c r="I164" i="42" s="1"/>
  <c r="AW164" s="1"/>
  <c r="K15" i="43"/>
  <c r="K20" s="1"/>
  <c r="L56"/>
  <c r="L73" s="1"/>
  <c r="L14" s="1"/>
  <c r="L55"/>
  <c r="L74" s="1"/>
  <c r="K19"/>
  <c r="K23" s="1"/>
  <c r="K32" s="1"/>
  <c r="L27"/>
  <c r="I40" i="44"/>
  <c r="I92" s="1"/>
  <c r="I40" i="30"/>
  <c r="I92" s="1"/>
  <c r="S29" i="43"/>
  <c r="P268" i="30"/>
  <c r="P268" i="44"/>
  <c r="L12" i="43"/>
  <c r="M10"/>
  <c r="F44" i="44"/>
  <c r="F47"/>
  <c r="F45"/>
  <c r="F46"/>
  <c r="I33" i="43"/>
  <c r="J37" s="1"/>
  <c r="H38" i="30"/>
  <c r="H34" s="1"/>
  <c r="H38" i="44"/>
  <c r="AD206" i="23"/>
  <c r="O201"/>
  <c r="X211"/>
  <c r="T211"/>
  <c r="S203"/>
  <c r="AA203"/>
  <c r="AM13" i="38"/>
  <c r="T124" i="23"/>
  <c r="Y203"/>
  <c r="AK13" i="38"/>
  <c r="R124" i="23"/>
  <c r="V153"/>
  <c r="V202" s="1"/>
  <c r="T132" i="24"/>
  <c r="R102" i="23" s="1"/>
  <c r="R123" s="1"/>
  <c r="V132" i="24"/>
  <c r="T102" i="23" s="1"/>
  <c r="T123" s="1"/>
  <c r="X153"/>
  <c r="W132" i="24"/>
  <c r="U102" i="23" s="1"/>
  <c r="U123" s="1"/>
  <c r="Y153"/>
  <c r="M153"/>
  <c r="K132" i="24"/>
  <c r="I102" i="23" s="1"/>
  <c r="I123" s="1"/>
  <c r="L132" i="24"/>
  <c r="J102" i="23" s="1"/>
  <c r="J123" s="1"/>
  <c r="N153"/>
  <c r="AE132" i="24"/>
  <c r="AC102" i="23" s="1"/>
  <c r="AC123" s="1"/>
  <c r="AG153"/>
  <c r="AG202" s="1"/>
  <c r="R153"/>
  <c r="P132" i="24"/>
  <c r="N102" i="23" s="1"/>
  <c r="N123" s="1"/>
  <c r="AD153"/>
  <c r="AB132" i="24"/>
  <c r="Z102" i="23" s="1"/>
  <c r="Z123" s="1"/>
  <c r="AC132" i="24"/>
  <c r="AA102" i="23" s="1"/>
  <c r="AA123" s="1"/>
  <c r="AE153"/>
  <c r="AE202" s="1"/>
  <c r="Y132" i="24"/>
  <c r="W102" i="23" s="1"/>
  <c r="W123" s="1"/>
  <c r="AA153"/>
  <c r="H153"/>
  <c r="H202" s="1"/>
  <c r="F132" i="24"/>
  <c r="S132"/>
  <c r="Q102" i="23" s="1"/>
  <c r="Q123" s="1"/>
  <c r="U153"/>
  <c r="Z132" i="24"/>
  <c r="X102" i="23" s="1"/>
  <c r="X123" s="1"/>
  <c r="AB153"/>
  <c r="AB202" s="1"/>
  <c r="M132" i="24"/>
  <c r="K102" i="23" s="1"/>
  <c r="K123" s="1"/>
  <c r="O153"/>
  <c r="AF153"/>
  <c r="AD132" i="24"/>
  <c r="AB102" i="23" s="1"/>
  <c r="AB123" s="1"/>
  <c r="I132" i="24"/>
  <c r="G102" i="23" s="1"/>
  <c r="G123" s="1"/>
  <c r="K153"/>
  <c r="K202" s="1"/>
  <c r="I153"/>
  <c r="G132" i="24"/>
  <c r="G177"/>
  <c r="J177"/>
  <c r="E177"/>
  <c r="I177"/>
  <c r="H177"/>
  <c r="D177"/>
  <c r="AB35" i="38" s="1"/>
  <c r="F177" i="24"/>
  <c r="AF206" i="23"/>
  <c r="Q201"/>
  <c r="R201"/>
  <c r="W211"/>
  <c r="L124"/>
  <c r="AE13" i="38"/>
  <c r="AB13"/>
  <c r="I124" i="23"/>
  <c r="AG13" i="38"/>
  <c r="N124" i="23"/>
  <c r="R203"/>
  <c r="AF203"/>
  <c r="AR13" i="38"/>
  <c r="Y124" i="23"/>
  <c r="Z124"/>
  <c r="AS13" i="38"/>
  <c r="U203" i="23"/>
  <c r="R160"/>
  <c r="P139" i="24"/>
  <c r="N109" i="23" s="1"/>
  <c r="X160"/>
  <c r="V139" i="24"/>
  <c r="T109" i="23" s="1"/>
  <c r="P160"/>
  <c r="N139" i="24"/>
  <c r="L109" i="23" s="1"/>
  <c r="AE160"/>
  <c r="AE209" s="1"/>
  <c r="AC139" i="24"/>
  <c r="AA109" i="23" s="1"/>
  <c r="T160"/>
  <c r="R139" i="24"/>
  <c r="P109" i="23" s="1"/>
  <c r="I160"/>
  <c r="G139" i="24"/>
  <c r="V160" i="23"/>
  <c r="V209" s="1"/>
  <c r="T139" i="24"/>
  <c r="R109" i="23" s="1"/>
  <c r="AF160"/>
  <c r="AD139" i="24"/>
  <c r="AB109" i="23" s="1"/>
  <c r="N160"/>
  <c r="L139" i="24"/>
  <c r="J109" i="23" s="1"/>
  <c r="H181" i="24"/>
  <c r="I181"/>
  <c r="E181"/>
  <c r="G181"/>
  <c r="F181"/>
  <c r="D181"/>
  <c r="AB39" i="38" s="1"/>
  <c r="J181" i="24"/>
  <c r="W206" i="23"/>
  <c r="Y206"/>
  <c r="T206"/>
  <c r="S206"/>
  <c r="AF204"/>
  <c r="Y204"/>
  <c r="I206"/>
  <c r="Q206"/>
  <c r="S211"/>
  <c r="AD211"/>
  <c r="R211"/>
  <c r="I203"/>
  <c r="AH13" i="38"/>
  <c r="O124" i="23"/>
  <c r="V124"/>
  <c r="AO13" i="38"/>
  <c r="AP13"/>
  <c r="W124" i="23"/>
  <c r="AL13" i="38"/>
  <c r="S124" i="23"/>
  <c r="U124"/>
  <c r="AN13" i="38"/>
  <c r="W204" i="23"/>
  <c r="AD204"/>
  <c r="AA204"/>
  <c r="P153"/>
  <c r="N132" i="24"/>
  <c r="L102" i="23" s="1"/>
  <c r="L123" s="1"/>
  <c r="Q132" i="24"/>
  <c r="O102" i="23" s="1"/>
  <c r="O123" s="1"/>
  <c r="S153"/>
  <c r="H132" i="24"/>
  <c r="J153" i="23"/>
  <c r="J202" s="1"/>
  <c r="AC153"/>
  <c r="AC202" s="1"/>
  <c r="AA132" i="24"/>
  <c r="Y102" i="23" s="1"/>
  <c r="Y123" s="1"/>
  <c r="U132" i="24"/>
  <c r="S102" i="23" s="1"/>
  <c r="S123" s="1"/>
  <c r="W153"/>
  <c r="Q153"/>
  <c r="O132" i="24"/>
  <c r="M102" i="23" s="1"/>
  <c r="M123" s="1"/>
  <c r="L153"/>
  <c r="L202" s="1"/>
  <c r="J132" i="24"/>
  <c r="H102" i="23" s="1"/>
  <c r="H123" s="1"/>
  <c r="X132" i="24"/>
  <c r="V102" i="23" s="1"/>
  <c r="V123" s="1"/>
  <c r="Z153"/>
  <c r="Z202" s="1"/>
  <c r="T153"/>
  <c r="R132" i="24"/>
  <c r="P102" i="23" s="1"/>
  <c r="P123" s="1"/>
  <c r="M206"/>
  <c r="I211"/>
  <c r="M124"/>
  <c r="AF13" i="38"/>
  <c r="AC13"/>
  <c r="J124" i="23"/>
  <c r="AD13" i="38"/>
  <c r="K124" i="23"/>
  <c r="AU13" i="38"/>
  <c r="AB124" i="23"/>
  <c r="X124"/>
  <c r="AQ13" i="38"/>
  <c r="AT13"/>
  <c r="AA124" i="23"/>
  <c r="AJ13" i="38"/>
  <c r="Q124" i="23"/>
  <c r="AI13" i="38"/>
  <c r="P124" i="23"/>
  <c r="Q160"/>
  <c r="O139" i="24"/>
  <c r="M109" i="23" s="1"/>
  <c r="H160"/>
  <c r="H209" s="1"/>
  <c r="F139" i="24"/>
  <c r="O160" i="23"/>
  <c r="M139" i="24"/>
  <c r="K109" i="23" s="1"/>
  <c r="Y160"/>
  <c r="W139" i="24"/>
  <c r="U109" i="23" s="1"/>
  <c r="Z160"/>
  <c r="Z209" s="1"/>
  <c r="X139" i="24"/>
  <c r="V109" i="23" s="1"/>
  <c r="U160"/>
  <c r="S139" i="24"/>
  <c r="Q109" i="23" s="1"/>
  <c r="K160"/>
  <c r="K209" s="1"/>
  <c r="I139" i="24"/>
  <c r="G109" i="23" s="1"/>
  <c r="G130" s="1"/>
  <c r="AA160"/>
  <c r="Y139" i="24"/>
  <c r="W109" i="23" s="1"/>
  <c r="J160"/>
  <c r="J209" s="1"/>
  <c r="H139" i="24"/>
  <c r="M160" i="23"/>
  <c r="K139" i="24"/>
  <c r="I109" i="23" s="1"/>
  <c r="AB42" i="38"/>
  <c r="L160" i="23"/>
  <c r="L209" s="1"/>
  <c r="J139" i="24"/>
  <c r="H109" i="23" s="1"/>
  <c r="H130" s="1"/>
  <c r="AG160"/>
  <c r="AG209" s="1"/>
  <c r="AE139" i="24"/>
  <c r="AC109" i="23" s="1"/>
  <c r="AB160"/>
  <c r="AB209" s="1"/>
  <c r="Z139" i="24"/>
  <c r="X109" i="23" s="1"/>
  <c r="Q139" i="24"/>
  <c r="O109" i="23" s="1"/>
  <c r="S160"/>
  <c r="W160"/>
  <c r="U139" i="24"/>
  <c r="S109" i="23" s="1"/>
  <c r="AD160"/>
  <c r="AB139" i="24"/>
  <c r="Z109" i="23" s="1"/>
  <c r="AC160"/>
  <c r="AC209" s="1"/>
  <c r="AA139" i="24"/>
  <c r="Y109" i="23" s="1"/>
  <c r="X206"/>
  <c r="R206"/>
  <c r="P206"/>
  <c r="U206"/>
  <c r="AA206"/>
  <c r="O206"/>
  <c r="N206"/>
  <c r="N204"/>
  <c r="L14" i="30"/>
  <c r="L21" i="44"/>
  <c r="K80"/>
  <c r="K93"/>
  <c r="AW17" i="42"/>
  <c r="L16" i="44"/>
  <c r="K501"/>
  <c r="K661" s="1"/>
  <c r="AW177" i="42" s="1"/>
  <c r="K181" i="44"/>
  <c r="L17"/>
  <c r="K182"/>
  <c r="K399"/>
  <c r="AW18" i="42"/>
  <c r="K502" i="44"/>
  <c r="K81"/>
  <c r="K94"/>
  <c r="AW16" i="42"/>
  <c r="L15" i="44"/>
  <c r="K79"/>
  <c r="K500"/>
  <c r="K180"/>
  <c r="K175"/>
  <c r="K74"/>
  <c r="K430"/>
  <c r="AW66" i="42" s="1"/>
  <c r="L10" i="44"/>
  <c r="AW11" i="42"/>
  <c r="K495" i="44"/>
  <c r="AC206" i="23"/>
  <c r="H206"/>
  <c r="Z206"/>
  <c r="J206"/>
  <c r="AA47" i="24"/>
  <c r="AB47" s="1"/>
  <c r="AC47" s="1"/>
  <c r="AD47" s="1"/>
  <c r="AE47" s="1"/>
  <c r="R38"/>
  <c r="L206" i="23"/>
  <c r="V206"/>
  <c r="Q34" i="24"/>
  <c r="V43"/>
  <c r="W43" s="1"/>
  <c r="X43" s="1"/>
  <c r="Y43" s="1"/>
  <c r="Z43" s="1"/>
  <c r="Q36"/>
  <c r="V45"/>
  <c r="W45" s="1"/>
  <c r="X45" s="1"/>
  <c r="Y45" s="1"/>
  <c r="Z45" s="1"/>
  <c r="V49"/>
  <c r="W49" s="1"/>
  <c r="X49" s="1"/>
  <c r="Y49" s="1"/>
  <c r="Z49" s="1"/>
  <c r="Q40"/>
  <c r="AG206" i="23"/>
  <c r="AB206"/>
  <c r="V46" i="24"/>
  <c r="W46" s="1"/>
  <c r="X46" s="1"/>
  <c r="Y46" s="1"/>
  <c r="Z46" s="1"/>
  <c r="Q37"/>
  <c r="AA48"/>
  <c r="AB48" s="1"/>
  <c r="AC48" s="1"/>
  <c r="AD48" s="1"/>
  <c r="AE48" s="1"/>
  <c r="R39"/>
  <c r="AE206" i="23"/>
  <c r="K206"/>
  <c r="Q35" i="24"/>
  <c r="V44"/>
  <c r="W44" s="1"/>
  <c r="X44" s="1"/>
  <c r="Y44" s="1"/>
  <c r="Z44" s="1"/>
  <c r="M10" i="30"/>
  <c r="L495"/>
  <c r="L74"/>
  <c r="J11" i="42"/>
  <c r="L175" i="30"/>
  <c r="K189" i="44"/>
  <c r="J211" i="30"/>
  <c r="I25" i="42"/>
  <c r="BP327" i="23" l="1"/>
  <c r="AX327"/>
  <c r="W647" i="44" a="1"/>
  <c r="W647" s="1"/>
  <c r="Q488" a="1"/>
  <c r="Q488" s="1"/>
  <c r="H488" a="1"/>
  <c r="H488" s="1"/>
  <c r="P488" i="30" a="1"/>
  <c r="P488" s="1"/>
  <c r="W488" a="1"/>
  <c r="W488" s="1"/>
  <c r="M477" i="44" a="1"/>
  <c r="M477" s="1"/>
  <c r="O66" i="43"/>
  <c r="O68"/>
  <c r="O67"/>
  <c r="P65"/>
  <c r="AV14" i="42"/>
  <c r="J178" i="44"/>
  <c r="J200" s="1"/>
  <c r="AV485" i="30" a="1"/>
  <c r="AV485" s="1"/>
  <c r="AW485" a="1"/>
  <c r="AW485" s="1"/>
  <c r="AR485" a="1"/>
  <c r="AR485" s="1"/>
  <c r="AP485" a="1"/>
  <c r="AP485" s="1"/>
  <c r="N120" i="23"/>
  <c r="AM485" i="30" a="1"/>
  <c r="AM485" s="1"/>
  <c r="S120" i="23"/>
  <c r="J120"/>
  <c r="O638" i="44" a="1"/>
  <c r="O638" s="1"/>
  <c r="I12"/>
  <c r="AU13" i="42" s="1"/>
  <c r="E638" i="44" a="1"/>
  <c r="E638" s="1"/>
  <c r="G638" a="1"/>
  <c r="F638" a="1"/>
  <c r="D638" a="1"/>
  <c r="H638" a="1"/>
  <c r="H638" s="1"/>
  <c r="Q638" i="30" a="1"/>
  <c r="Q638" s="1"/>
  <c r="N638" a="1"/>
  <c r="N638" s="1"/>
  <c r="M638" a="1"/>
  <c r="M638" s="1"/>
  <c r="L638" a="1"/>
  <c r="L638" s="1"/>
  <c r="K638" a="1"/>
  <c r="K638" s="1"/>
  <c r="AU26" i="42"/>
  <c r="I89" i="44"/>
  <c r="I407"/>
  <c r="I190"/>
  <c r="I212" s="1"/>
  <c r="J25"/>
  <c r="I190" i="30"/>
  <c r="I212" s="1"/>
  <c r="I89"/>
  <c r="I407"/>
  <c r="J25"/>
  <c r="G26" i="42"/>
  <c r="H481" i="30" a="1"/>
  <c r="H481" s="1"/>
  <c r="S638" i="44" a="1"/>
  <c r="J638" a="1"/>
  <c r="L638" a="1"/>
  <c r="N638" a="1"/>
  <c r="Q638" a="1"/>
  <c r="O638" i="30" a="1"/>
  <c r="O638" s="1"/>
  <c r="M488" i="44" a="1"/>
  <c r="M488" s="1"/>
  <c r="AB488" a="1"/>
  <c r="AB488" s="1"/>
  <c r="N487" a="1"/>
  <c r="N487" s="1"/>
  <c r="W487" a="1"/>
  <c r="W487" s="1"/>
  <c r="X477" a="1"/>
  <c r="X477" s="1"/>
  <c r="AC477" a="1"/>
  <c r="AC477" s="1"/>
  <c r="H477" a="1"/>
  <c r="H477" s="1"/>
  <c r="Q477" a="1"/>
  <c r="Q477" s="1"/>
  <c r="W477" a="1"/>
  <c r="W477" s="1"/>
  <c r="H477" i="30" a="1"/>
  <c r="H477" s="1"/>
  <c r="H665" s="1"/>
  <c r="F185" i="42" s="1"/>
  <c r="I638" i="30"/>
  <c r="I638" a="1"/>
  <c r="I12"/>
  <c r="I76" s="1"/>
  <c r="E638" a="1"/>
  <c r="E638" s="1"/>
  <c r="D638" a="1"/>
  <c r="D638" s="1"/>
  <c r="H638" a="1"/>
  <c r="F638" a="1"/>
  <c r="G638" a="1"/>
  <c r="G638" s="1"/>
  <c r="R638"/>
  <c r="R638" a="1"/>
  <c r="S638"/>
  <c r="S638" a="1"/>
  <c r="AU27" i="42"/>
  <c r="I90" i="44"/>
  <c r="I191"/>
  <c r="I213" s="1"/>
  <c r="I408"/>
  <c r="J26"/>
  <c r="N477" a="1"/>
  <c r="N477" s="1"/>
  <c r="AB477" a="1"/>
  <c r="AB477" s="1"/>
  <c r="J477" a="1"/>
  <c r="J477" s="1"/>
  <c r="Z477" a="1"/>
  <c r="Z477" s="1"/>
  <c r="I477" a="1"/>
  <c r="I477" s="1"/>
  <c r="U477" a="1"/>
  <c r="U477" s="1"/>
  <c r="P477" a="1"/>
  <c r="P477" s="1"/>
  <c r="AE477" a="1"/>
  <c r="AE477" s="1"/>
  <c r="T477" a="1"/>
  <c r="T477" s="1"/>
  <c r="K477" a="1"/>
  <c r="K477" s="1"/>
  <c r="AA477" a="1"/>
  <c r="AA477" s="1"/>
  <c r="AD477" a="1"/>
  <c r="AD477" s="1"/>
  <c r="AF477" a="1"/>
  <c r="AF477" s="1"/>
  <c r="AS343" i="23"/>
  <c r="BR315"/>
  <c r="BR343" s="1"/>
  <c r="AT315"/>
  <c r="I405" i="30"/>
  <c r="I508"/>
  <c r="J23"/>
  <c r="G24" i="42"/>
  <c r="I87" i="30"/>
  <c r="I188"/>
  <c r="I210" s="1"/>
  <c r="I191"/>
  <c r="I213" s="1"/>
  <c r="I408"/>
  <c r="G27" i="42"/>
  <c r="I90" i="30"/>
  <c r="J26"/>
  <c r="G665"/>
  <c r="E185" i="42" s="1"/>
  <c r="K638" i="44" a="1"/>
  <c r="M638" a="1"/>
  <c r="P638" a="1"/>
  <c r="R638" a="1"/>
  <c r="P638" i="30" a="1"/>
  <c r="P638" s="1"/>
  <c r="X488" i="44" a="1"/>
  <c r="X488" s="1"/>
  <c r="AA488" a="1"/>
  <c r="AA488" s="1"/>
  <c r="S487" a="1"/>
  <c r="S487" s="1"/>
  <c r="J487" a="1"/>
  <c r="J487" s="1"/>
  <c r="L487" a="1"/>
  <c r="L487" s="1"/>
  <c r="I487" a="1"/>
  <c r="I487" s="1"/>
  <c r="R477" a="1"/>
  <c r="R477" s="1"/>
  <c r="V477" a="1"/>
  <c r="V477" s="1"/>
  <c r="L477" a="1"/>
  <c r="L477" s="1"/>
  <c r="S477" a="1"/>
  <c r="S477" s="1"/>
  <c r="Y477" a="1"/>
  <c r="Y477" s="1"/>
  <c r="O477" a="1"/>
  <c r="O477" s="1"/>
  <c r="G477" a="1"/>
  <c r="G477" s="1"/>
  <c r="S638"/>
  <c r="K638"/>
  <c r="N638"/>
  <c r="Q638"/>
  <c r="L24" i="30"/>
  <c r="L189" s="1"/>
  <c r="K189"/>
  <c r="K211" s="1"/>
  <c r="K17" i="42"/>
  <c r="K81" i="30"/>
  <c r="AW14" i="42"/>
  <c r="R660" i="30"/>
  <c r="P176" i="42" s="1"/>
  <c r="S660" i="30"/>
  <c r="Q176" i="42" s="1"/>
  <c r="O660" i="30"/>
  <c r="M176" i="42" s="1"/>
  <c r="V660" i="30"/>
  <c r="T176" i="42" s="1"/>
  <c r="U660" i="30"/>
  <c r="S176" i="42" s="1"/>
  <c r="L660" i="30"/>
  <c r="J176" i="42" s="1"/>
  <c r="Z660" i="30"/>
  <c r="X176" i="42" s="1"/>
  <c r="J660" i="30"/>
  <c r="H176" i="42" s="1"/>
  <c r="X660" i="30"/>
  <c r="V176" i="42" s="1"/>
  <c r="T660" i="30"/>
  <c r="R176" i="42" s="1"/>
  <c r="AA660" i="30"/>
  <c r="Y176" i="42" s="1"/>
  <c r="G660" i="30"/>
  <c r="E176" i="42" s="1"/>
  <c r="H660" i="30"/>
  <c r="F176" i="42" s="1"/>
  <c r="AC660" i="30"/>
  <c r="AA176" i="42" s="1"/>
  <c r="Y660" i="30"/>
  <c r="W176" i="42" s="1"/>
  <c r="K660" i="30"/>
  <c r="I176" i="42" s="1"/>
  <c r="W660" i="30"/>
  <c r="U176" i="42" s="1"/>
  <c r="N660" i="30"/>
  <c r="L176" i="42" s="1"/>
  <c r="M660" i="30"/>
  <c r="K176" i="42" s="1"/>
  <c r="I660" i="30"/>
  <c r="G176" i="42" s="1"/>
  <c r="P660" i="30"/>
  <c r="N176" i="42" s="1"/>
  <c r="Q660" i="30"/>
  <c r="O176" i="42" s="1"/>
  <c r="AB660" i="30"/>
  <c r="Z176" i="42" s="1"/>
  <c r="L638" i="44"/>
  <c r="M638"/>
  <c r="R638"/>
  <c r="I638"/>
  <c r="U638" a="1"/>
  <c r="U638" s="1"/>
  <c r="P638"/>
  <c r="J638"/>
  <c r="AO9" i="38"/>
  <c r="L120" i="23"/>
  <c r="R128"/>
  <c r="J494" i="30"/>
  <c r="W127" i="23"/>
  <c r="AX19" i="42"/>
  <c r="O120" i="23"/>
  <c r="I128"/>
  <c r="H10" i="42"/>
  <c r="U647" i="44" a="1"/>
  <c r="U647" s="1"/>
  <c r="Z647" a="1"/>
  <c r="Z647" s="1"/>
  <c r="AB646" a="1"/>
  <c r="AB646" s="1"/>
  <c r="E646"/>
  <c r="T646" i="30" a="1"/>
  <c r="T646" s="1"/>
  <c r="Z646" i="44" a="1"/>
  <c r="Z646" s="1"/>
  <c r="F638"/>
  <c r="F638" i="30"/>
  <c r="X638" i="44" a="1"/>
  <c r="X638" s="1"/>
  <c r="D638"/>
  <c r="G638"/>
  <c r="H638" i="30"/>
  <c r="AW141" i="44"/>
  <c r="AC647" a="1"/>
  <c r="AC647" s="1"/>
  <c r="V647" a="1"/>
  <c r="V647" s="1"/>
  <c r="V646" i="30" a="1"/>
  <c r="V646" s="1"/>
  <c r="AC646" a="1"/>
  <c r="AC646" s="1"/>
  <c r="Z646" a="1"/>
  <c r="Z646" s="1"/>
  <c r="AA646" i="44" a="1"/>
  <c r="AA646" s="1"/>
  <c r="X646" a="1"/>
  <c r="X646" s="1"/>
  <c r="T646" a="1"/>
  <c r="T646" s="1"/>
  <c r="AB646" i="30" a="1"/>
  <c r="AB646" s="1"/>
  <c r="E647" i="44"/>
  <c r="J115" i="23"/>
  <c r="J136" s="1"/>
  <c r="V115"/>
  <c r="V136" s="1"/>
  <c r="G108"/>
  <c r="G129" s="1"/>
  <c r="G115"/>
  <c r="G136" s="1"/>
  <c r="O646" i="44"/>
  <c r="K141" i="23"/>
  <c r="S141"/>
  <c r="AA141"/>
  <c r="N141"/>
  <c r="V141"/>
  <c r="I141"/>
  <c r="Q141"/>
  <c r="Y141"/>
  <c r="L141"/>
  <c r="T141"/>
  <c r="K509" i="44"/>
  <c r="L24"/>
  <c r="AX25" i="42" s="1"/>
  <c r="M18" i="44"/>
  <c r="M503" s="1"/>
  <c r="K87"/>
  <c r="K186"/>
  <c r="K208" s="1"/>
  <c r="W120" i="23"/>
  <c r="I195" i="44"/>
  <c r="I195" i="30"/>
  <c r="K406"/>
  <c r="K88"/>
  <c r="K399"/>
  <c r="I15" i="42"/>
  <c r="AW21"/>
  <c r="D39" i="44"/>
  <c r="D39" i="30"/>
  <c r="M93"/>
  <c r="N16"/>
  <c r="N501" s="1"/>
  <c r="L17"/>
  <c r="L94" s="1"/>
  <c r="K94"/>
  <c r="L183" i="44"/>
  <c r="L205" s="1"/>
  <c r="K178"/>
  <c r="K200" s="1"/>
  <c r="K78" i="30"/>
  <c r="L23" i="44"/>
  <c r="AX24" i="42" s="1"/>
  <c r="K188" i="44"/>
  <c r="K210" s="1"/>
  <c r="AW22" i="42"/>
  <c r="H33" i="44"/>
  <c r="H34"/>
  <c r="M501" i="30"/>
  <c r="M80"/>
  <c r="K502"/>
  <c r="K182"/>
  <c r="K204" s="1"/>
  <c r="L82" i="44"/>
  <c r="L503"/>
  <c r="L13"/>
  <c r="M13" s="1"/>
  <c r="K498"/>
  <c r="K179" i="30"/>
  <c r="K201" s="1"/>
  <c r="AN16" i="38"/>
  <c r="Y127" i="23"/>
  <c r="J174" i="30"/>
  <c r="J196" s="1"/>
  <c r="K9"/>
  <c r="K174" s="1"/>
  <c r="K196" s="1"/>
  <c r="AW25" i="42"/>
  <c r="K88" i="44"/>
  <c r="K405"/>
  <c r="K508"/>
  <c r="K506"/>
  <c r="K85"/>
  <c r="AD16" i="38"/>
  <c r="P127" i="23"/>
  <c r="K9" i="44"/>
  <c r="K174" s="1"/>
  <c r="K196" s="1"/>
  <c r="K185"/>
  <c r="K207" s="1"/>
  <c r="Q127" i="23"/>
  <c r="AL16" i="38"/>
  <c r="AC127" i="23"/>
  <c r="AB128"/>
  <c r="J494" i="44"/>
  <c r="J666" s="1"/>
  <c r="AV186" i="42" s="1"/>
  <c r="K505" i="44"/>
  <c r="L20"/>
  <c r="AV10" i="42"/>
  <c r="J73" i="44"/>
  <c r="K402"/>
  <c r="AK16" i="38"/>
  <c r="J431" i="30"/>
  <c r="H67" i="42" s="1"/>
  <c r="AV9"/>
  <c r="J72" i="44"/>
  <c r="K8"/>
  <c r="J173"/>
  <c r="J195" s="1"/>
  <c r="C96" i="23"/>
  <c r="H493" i="44"/>
  <c r="H679" s="1"/>
  <c r="CA186" i="42" s="1"/>
  <c r="H493" i="30"/>
  <c r="H679" s="1"/>
  <c r="CA177" i="42" s="1"/>
  <c r="I493" i="44"/>
  <c r="J493"/>
  <c r="E8"/>
  <c r="C6" i="47"/>
  <c r="E8" i="30"/>
  <c r="E28" s="1"/>
  <c r="E29" s="1"/>
  <c r="O148" i="23"/>
  <c r="O197" s="1"/>
  <c r="M127" i="24"/>
  <c r="U148" i="23"/>
  <c r="U197" s="1"/>
  <c r="S127" i="24"/>
  <c r="AA127"/>
  <c r="AC148" i="23"/>
  <c r="T148"/>
  <c r="T197" s="1"/>
  <c r="R127" i="24"/>
  <c r="Q148" i="23"/>
  <c r="Q197" s="1"/>
  <c r="O127" i="24"/>
  <c r="W148" i="23"/>
  <c r="W197" s="1"/>
  <c r="U127" i="24"/>
  <c r="V148" i="23"/>
  <c r="V197" s="1"/>
  <c r="T127" i="24"/>
  <c r="AE148" i="23"/>
  <c r="AE197" s="1"/>
  <c r="AC127" i="24"/>
  <c r="AF148" i="23"/>
  <c r="AF197" s="1"/>
  <c r="AD127" i="24"/>
  <c r="Y148" i="23"/>
  <c r="Y197" s="1"/>
  <c r="W127" i="24"/>
  <c r="K148" i="23"/>
  <c r="K197" s="1"/>
  <c r="I127" i="24"/>
  <c r="R148" i="23"/>
  <c r="R197" s="1"/>
  <c r="P127" i="24"/>
  <c r="X148" i="23"/>
  <c r="X197" s="1"/>
  <c r="V127" i="24"/>
  <c r="S148" i="23"/>
  <c r="S197" s="1"/>
  <c r="Q127" i="24"/>
  <c r="L148" i="23"/>
  <c r="J127" i="24"/>
  <c r="H97" i="23" s="1"/>
  <c r="G493" i="30"/>
  <c r="G679" s="1"/>
  <c r="BZ177" i="42" s="1"/>
  <c r="H33" i="30"/>
  <c r="C97" i="23"/>
  <c r="H494" i="30"/>
  <c r="H661" s="1"/>
  <c r="F177" i="42" s="1"/>
  <c r="H494" i="44"/>
  <c r="H666" s="1"/>
  <c r="AT186" i="42" s="1"/>
  <c r="I494" i="44"/>
  <c r="I666" s="1"/>
  <c r="AU186" i="42" s="1"/>
  <c r="I494" i="30"/>
  <c r="I661" s="1"/>
  <c r="G177" i="42" s="1"/>
  <c r="G494" i="44"/>
  <c r="G666" s="1"/>
  <c r="AS186" i="42" s="1"/>
  <c r="G494" i="30"/>
  <c r="G661" s="1"/>
  <c r="E177" i="42" s="1"/>
  <c r="BB102" i="24"/>
  <c r="AW102"/>
  <c r="CF102"/>
  <c r="AG102"/>
  <c r="BK102"/>
  <c r="BJ102"/>
  <c r="AH102"/>
  <c r="BC102"/>
  <c r="T102"/>
  <c r="I102"/>
  <c r="BU102"/>
  <c r="AJ102"/>
  <c r="M102"/>
  <c r="BY102"/>
  <c r="P102"/>
  <c r="CB102"/>
  <c r="K102"/>
  <c r="AQ102"/>
  <c r="BG102"/>
  <c r="BW102"/>
  <c r="O102"/>
  <c r="CG102"/>
  <c r="AN102"/>
  <c r="AZ102"/>
  <c r="AU102"/>
  <c r="BF102"/>
  <c r="BQ102"/>
  <c r="AL102"/>
  <c r="AT102"/>
  <c r="BT102"/>
  <c r="BD102"/>
  <c r="W102"/>
  <c r="CI102"/>
  <c r="BV102"/>
  <c r="AO102"/>
  <c r="F102"/>
  <c r="CL102"/>
  <c r="AS102"/>
  <c r="CH102"/>
  <c r="AV102"/>
  <c r="AX102"/>
  <c r="AA102"/>
  <c r="AY102"/>
  <c r="BO102"/>
  <c r="CE102"/>
  <c r="AR102"/>
  <c r="U102"/>
  <c r="Q102"/>
  <c r="CC102"/>
  <c r="CA102"/>
  <c r="AP102"/>
  <c r="BA102"/>
  <c r="AB102"/>
  <c r="BX102"/>
  <c r="AE102"/>
  <c r="N102"/>
  <c r="CJ102"/>
  <c r="AM102"/>
  <c r="BR102"/>
  <c r="J102"/>
  <c r="BE102"/>
  <c r="L102"/>
  <c r="Z102"/>
  <c r="BI102"/>
  <c r="AD102"/>
  <c r="BL102"/>
  <c r="R102"/>
  <c r="AI102"/>
  <c r="BN102"/>
  <c r="BZ102"/>
  <c r="AK102"/>
  <c r="BM102"/>
  <c r="CM102"/>
  <c r="H102"/>
  <c r="X102"/>
  <c r="G102"/>
  <c r="BS102"/>
  <c r="BH102"/>
  <c r="Y102"/>
  <c r="CK102"/>
  <c r="BP102"/>
  <c r="AC102"/>
  <c r="V102"/>
  <c r="AF102"/>
  <c r="CD102"/>
  <c r="S102"/>
  <c r="E171"/>
  <c r="F171"/>
  <c r="I171"/>
  <c r="J171"/>
  <c r="H171"/>
  <c r="D171"/>
  <c r="AB29" i="38" s="1"/>
  <c r="G171" i="24"/>
  <c r="D9" i="42"/>
  <c r="F493" i="30"/>
  <c r="F679" s="1"/>
  <c r="BY177" i="42" s="1"/>
  <c r="F173" i="30"/>
  <c r="F195" s="1"/>
  <c r="F72"/>
  <c r="AR9" i="42"/>
  <c r="F72" i="44"/>
  <c r="F493"/>
  <c r="F679" s="1"/>
  <c r="BY186" i="42" s="1"/>
  <c r="F173" i="44"/>
  <c r="F195" s="1"/>
  <c r="AD148" i="23"/>
  <c r="AD197" s="1"/>
  <c r="AB127" i="24"/>
  <c r="Z97" i="23" s="1"/>
  <c r="M148"/>
  <c r="M197" s="1"/>
  <c r="K127" i="24"/>
  <c r="I97" i="23" s="1"/>
  <c r="Y127" i="24"/>
  <c r="W97" i="23" s="1"/>
  <c r="AA148"/>
  <c r="AG148"/>
  <c r="AG197" s="1"/>
  <c r="AE127" i="24"/>
  <c r="AC97" i="23" s="1"/>
  <c r="P148"/>
  <c r="P197" s="1"/>
  <c r="N127" i="24"/>
  <c r="L97" i="23" s="1"/>
  <c r="H148"/>
  <c r="H197" s="1"/>
  <c r="F127" i="24"/>
  <c r="Z148" i="23"/>
  <c r="Z197" s="1"/>
  <c r="X127" i="24"/>
  <c r="V97" i="23" s="1"/>
  <c r="N148"/>
  <c r="N197" s="1"/>
  <c r="L127" i="24"/>
  <c r="J97" i="23" s="1"/>
  <c r="I148"/>
  <c r="I197" s="1"/>
  <c r="G127" i="24"/>
  <c r="AB148" i="23"/>
  <c r="AB197" s="1"/>
  <c r="Z127" i="24"/>
  <c r="X97" i="23" s="1"/>
  <c r="J148"/>
  <c r="J197" s="1"/>
  <c r="H127" i="24"/>
  <c r="G493" i="44"/>
  <c r="G679" s="1"/>
  <c r="BZ186" i="42" s="1"/>
  <c r="Z127" i="23"/>
  <c r="AO16" i="38"/>
  <c r="N127" i="23"/>
  <c r="O127"/>
  <c r="I127"/>
  <c r="W128"/>
  <c r="Q128"/>
  <c r="M127"/>
  <c r="J127"/>
  <c r="L127"/>
  <c r="T127"/>
  <c r="K185" i="30"/>
  <c r="K207" s="1"/>
  <c r="K505"/>
  <c r="AD17" i="38"/>
  <c r="K183" i="30"/>
  <c r="K205" s="1"/>
  <c r="AQ17" i="38"/>
  <c r="AG17"/>
  <c r="L20" i="30"/>
  <c r="I21" i="42"/>
  <c r="K402" i="30"/>
  <c r="Z77" i="23"/>
  <c r="O77"/>
  <c r="AU77"/>
  <c r="AD77"/>
  <c r="U77"/>
  <c r="J77"/>
  <c r="S77"/>
  <c r="AH77"/>
  <c r="F456" i="44"/>
  <c r="AC77" i="23"/>
  <c r="AP77"/>
  <c r="R77"/>
  <c r="AV77"/>
  <c r="AM77"/>
  <c r="T77"/>
  <c r="M77"/>
  <c r="AS77"/>
  <c r="AR77"/>
  <c r="P77"/>
  <c r="AO77"/>
  <c r="AZ77"/>
  <c r="X77"/>
  <c r="AW77"/>
  <c r="AN77"/>
  <c r="AG77"/>
  <c r="L77"/>
  <c r="AT77"/>
  <c r="AK77"/>
  <c r="AB77"/>
  <c r="AY77"/>
  <c r="Y77"/>
  <c r="AJ77"/>
  <c r="F456" i="30"/>
  <c r="AE77" i="23"/>
  <c r="AF77"/>
  <c r="W77"/>
  <c r="K77"/>
  <c r="E643" i="30" s="1" a="1"/>
  <c r="AL77" i="23"/>
  <c r="AA77"/>
  <c r="N77"/>
  <c r="AI77"/>
  <c r="AX77"/>
  <c r="V77"/>
  <c r="AQ77"/>
  <c r="Q77"/>
  <c r="E175" i="30"/>
  <c r="E197" s="1"/>
  <c r="C11" i="42"/>
  <c r="E74" i="30"/>
  <c r="E495"/>
  <c r="D10" i="44"/>
  <c r="D10" i="30"/>
  <c r="R120" i="23"/>
  <c r="AK9" i="38"/>
  <c r="AR9"/>
  <c r="Y120" i="23"/>
  <c r="AU9" i="38"/>
  <c r="AB120" i="23"/>
  <c r="AJ9" i="38"/>
  <c r="Q120" i="23"/>
  <c r="AV323"/>
  <c r="BP323"/>
  <c r="BP340" s="1"/>
  <c r="AU340"/>
  <c r="M76"/>
  <c r="AS76"/>
  <c r="AH76"/>
  <c r="AC76"/>
  <c r="T76"/>
  <c r="AX76"/>
  <c r="Z76"/>
  <c r="AA76"/>
  <c r="R76"/>
  <c r="AZ76"/>
  <c r="P76"/>
  <c r="AE76"/>
  <c r="J76"/>
  <c r="X76"/>
  <c r="AM76"/>
  <c r="U76"/>
  <c r="AI76"/>
  <c r="F455" i="30"/>
  <c r="AU76" i="23"/>
  <c r="AL76"/>
  <c r="L76"/>
  <c r="AY76"/>
  <c r="AO76"/>
  <c r="AN76"/>
  <c r="W76"/>
  <c r="AK76"/>
  <c r="F455" i="44"/>
  <c r="AQ76" i="23"/>
  <c r="AJ76"/>
  <c r="Y76"/>
  <c r="AT76"/>
  <c r="V76"/>
  <c r="AG76"/>
  <c r="K76"/>
  <c r="AF76"/>
  <c r="AP76"/>
  <c r="AB76"/>
  <c r="AD76"/>
  <c r="Q76"/>
  <c r="N76"/>
  <c r="D642" i="44" s="1" a="1"/>
  <c r="S76" i="23"/>
  <c r="AR76"/>
  <c r="O76"/>
  <c r="AW76"/>
  <c r="AV76"/>
  <c r="D642" i="30" a="1"/>
  <c r="E430" i="44"/>
  <c r="AQ66" i="42" s="1"/>
  <c r="AQ11"/>
  <c r="E175" i="44"/>
  <c r="E197" s="1"/>
  <c r="E74"/>
  <c r="E495"/>
  <c r="U120" i="23"/>
  <c r="AN9" i="38"/>
  <c r="I120" i="23"/>
  <c r="AB9" i="38"/>
  <c r="AQ9"/>
  <c r="X120" i="23"/>
  <c r="G678" i="30"/>
  <c r="BZ176" i="42" s="1"/>
  <c r="I19"/>
  <c r="K499" i="44"/>
  <c r="L14"/>
  <c r="AW15" i="42"/>
  <c r="K78" i="44"/>
  <c r="K179"/>
  <c r="K201" s="1"/>
  <c r="K400" i="30"/>
  <c r="L18"/>
  <c r="K503"/>
  <c r="AA466" i="44"/>
  <c r="AA466" i="30"/>
  <c r="Y466"/>
  <c r="Y466" i="44"/>
  <c r="AD466" i="30"/>
  <c r="AD466" i="44"/>
  <c r="T466" i="30"/>
  <c r="S653" i="44" a="1"/>
  <c r="S653" s="1"/>
  <c r="T466"/>
  <c r="S653" i="30" a="1"/>
  <c r="S653" s="1"/>
  <c r="AL466" i="44"/>
  <c r="AL466" i="30"/>
  <c r="AW466"/>
  <c r="AW466" i="44"/>
  <c r="S466"/>
  <c r="R653" i="30" a="1"/>
  <c r="R653" s="1"/>
  <c r="S466"/>
  <c r="R653" i="44" a="1"/>
  <c r="R653" s="1"/>
  <c r="I466" i="30"/>
  <c r="H653" a="1"/>
  <c r="H653" s="1"/>
  <c r="I466" i="44"/>
  <c r="H653" a="1"/>
  <c r="H653" s="1"/>
  <c r="N466"/>
  <c r="M653" i="30" a="1"/>
  <c r="M653" s="1"/>
  <c r="M653" i="44" a="1"/>
  <c r="M653" s="1"/>
  <c r="N466" i="30"/>
  <c r="AP466"/>
  <c r="AP466" i="44"/>
  <c r="AE466"/>
  <c r="AE466" i="30"/>
  <c r="P466" i="44"/>
  <c r="P466" i="30"/>
  <c r="O653" i="44" a="1"/>
  <c r="O653" s="1"/>
  <c r="O653" i="30" a="1"/>
  <c r="O653" s="1"/>
  <c r="AV466" i="44"/>
  <c r="AV466" i="30"/>
  <c r="AK466"/>
  <c r="AK466" i="44"/>
  <c r="K466" i="30"/>
  <c r="K466" i="44"/>
  <c r="J653" a="1"/>
  <c r="J653" s="1"/>
  <c r="J653" i="30" a="1"/>
  <c r="J653" s="1"/>
  <c r="AG466"/>
  <c r="AG466" i="44"/>
  <c r="AH466"/>
  <c r="AH466" i="30"/>
  <c r="W466"/>
  <c r="W466" i="44"/>
  <c r="AN466"/>
  <c r="AN466" i="30"/>
  <c r="AC466" i="44"/>
  <c r="AC466" i="30"/>
  <c r="AQ466" i="44"/>
  <c r="AQ466" i="30"/>
  <c r="AM460"/>
  <c r="AM460" i="44"/>
  <c r="H460" i="30"/>
  <c r="H460" i="44"/>
  <c r="G647" a="1"/>
  <c r="G647" s="1"/>
  <c r="AD460"/>
  <c r="AD460" i="30"/>
  <c r="AO460"/>
  <c r="AO460" i="44"/>
  <c r="I460"/>
  <c r="I460" i="30"/>
  <c r="H647" i="44" a="1"/>
  <c r="H647" s="1"/>
  <c r="R460"/>
  <c r="R460" i="30"/>
  <c r="Q647" i="44" a="1"/>
  <c r="Q647" s="1"/>
  <c r="O460" i="30"/>
  <c r="O460" i="44"/>
  <c r="N647" a="1"/>
  <c r="N647" s="1"/>
  <c r="AA460"/>
  <c r="AA460" i="30"/>
  <c r="N460" i="44"/>
  <c r="N460" i="30"/>
  <c r="M647" i="44" a="1"/>
  <c r="M647" s="1"/>
  <c r="AC460"/>
  <c r="AC460" i="30"/>
  <c r="F483" i="44" a="1"/>
  <c r="F483" s="1"/>
  <c r="AH460"/>
  <c r="AH460" i="30"/>
  <c r="AT460"/>
  <c r="AT460" i="44"/>
  <c r="AW460" i="30"/>
  <c r="AW460" i="44"/>
  <c r="Q460" i="30"/>
  <c r="Q460" i="44"/>
  <c r="P647" a="1"/>
  <c r="P647" s="1"/>
  <c r="AB460"/>
  <c r="AB460" i="30"/>
  <c r="AE460"/>
  <c r="AE460" i="44"/>
  <c r="AQ460"/>
  <c r="AQ460" i="30"/>
  <c r="V460"/>
  <c r="V460" i="44"/>
  <c r="AK460"/>
  <c r="AK460" i="30"/>
  <c r="X460" i="44"/>
  <c r="X460" i="30"/>
  <c r="AV460"/>
  <c r="AV460" i="44"/>
  <c r="P460"/>
  <c r="P460" i="30"/>
  <c r="O647" i="44" a="1"/>
  <c r="O647" s="1"/>
  <c r="AL459"/>
  <c r="AL459" i="30"/>
  <c r="J459" i="44"/>
  <c r="I646" i="30" a="1"/>
  <c r="I646" s="1"/>
  <c r="J459"/>
  <c r="I646" i="44" a="1"/>
  <c r="I646" s="1"/>
  <c r="J108" i="23"/>
  <c r="J129" s="1"/>
  <c r="AV459" i="44"/>
  <c r="AV459" i="30"/>
  <c r="I459"/>
  <c r="H646" i="44" a="1"/>
  <c r="H646" s="1"/>
  <c r="I459"/>
  <c r="H646" i="30" a="1"/>
  <c r="H646" s="1"/>
  <c r="AI459"/>
  <c r="AI459" i="44"/>
  <c r="AK459"/>
  <c r="AK459" i="30"/>
  <c r="AE459" i="44"/>
  <c r="AE459" i="30"/>
  <c r="AS459" i="44"/>
  <c r="AS459" i="30"/>
  <c r="AW459"/>
  <c r="AW459" i="44"/>
  <c r="G459"/>
  <c r="F646" i="30" a="1"/>
  <c r="F646" s="1"/>
  <c r="E646" a="1"/>
  <c r="E646" s="1"/>
  <c r="D646" a="1"/>
  <c r="D646" s="1"/>
  <c r="G459"/>
  <c r="F646" i="44" a="1"/>
  <c r="F646" s="1"/>
  <c r="D646" a="1"/>
  <c r="D646" s="1"/>
  <c r="K459" i="30"/>
  <c r="J646" a="1"/>
  <c r="J646" s="1"/>
  <c r="K459" i="44"/>
  <c r="J646" a="1"/>
  <c r="J646" s="1"/>
  <c r="P459"/>
  <c r="O646" i="30" a="1"/>
  <c r="O646" s="1"/>
  <c r="P108" i="23"/>
  <c r="P129" s="1"/>
  <c r="P459" i="30"/>
  <c r="Z459"/>
  <c r="Z459" i="44"/>
  <c r="Z108" i="23"/>
  <c r="Z129" s="1"/>
  <c r="Y459" i="30"/>
  <c r="Y459" i="44"/>
  <c r="Y108" i="23"/>
  <c r="Y129" s="1"/>
  <c r="H459" i="30"/>
  <c r="G646" a="1"/>
  <c r="G646" s="1"/>
  <c r="H108" i="23"/>
  <c r="H129" s="1"/>
  <c r="H459" i="44"/>
  <c r="G646" a="1"/>
  <c r="G646" s="1"/>
  <c r="AR459" i="30"/>
  <c r="AR459" i="44"/>
  <c r="AU459" i="30"/>
  <c r="AU459" i="44"/>
  <c r="AN459" i="30"/>
  <c r="AN459" i="44"/>
  <c r="T459" i="30"/>
  <c r="S646" a="1"/>
  <c r="S646" s="1"/>
  <c r="T108" i="23"/>
  <c r="T129" s="1"/>
  <c r="T459" i="44"/>
  <c r="S646" a="1"/>
  <c r="S646" s="1"/>
  <c r="AA459"/>
  <c r="AA459" i="30"/>
  <c r="AP453" i="44"/>
  <c r="AP453" i="30"/>
  <c r="U453" i="44"/>
  <c r="U453" i="30"/>
  <c r="K640" i="44" a="1"/>
  <c r="K640" s="1"/>
  <c r="L453" i="30"/>
  <c r="L453" i="44"/>
  <c r="K640" i="30" a="1"/>
  <c r="K640" s="1"/>
  <c r="X640" i="44" a="1"/>
  <c r="X640" s="1"/>
  <c r="Y453"/>
  <c r="Y453" i="30"/>
  <c r="Q640" a="1"/>
  <c r="Q640" s="1"/>
  <c r="R453" i="44"/>
  <c r="Q640" a="1"/>
  <c r="Q640" s="1"/>
  <c r="R453" i="30"/>
  <c r="W453"/>
  <c r="W453" i="44"/>
  <c r="V453"/>
  <c r="U640" a="1"/>
  <c r="U640" s="1"/>
  <c r="V453" i="30"/>
  <c r="O640" i="44" a="1"/>
  <c r="O640" s="1"/>
  <c r="P453" i="30"/>
  <c r="P453" i="44"/>
  <c r="O640" i="30" a="1"/>
  <c r="O640" s="1"/>
  <c r="AL453"/>
  <c r="AL453" i="44"/>
  <c r="AD453"/>
  <c r="AD453" i="30"/>
  <c r="AO453"/>
  <c r="AO453" i="44"/>
  <c r="AS453"/>
  <c r="AS453" i="30"/>
  <c r="AB453" i="44"/>
  <c r="AB453" i="30"/>
  <c r="S453"/>
  <c r="R640" i="44" a="1"/>
  <c r="R640" s="1"/>
  <c r="S453"/>
  <c r="R640" i="30" a="1"/>
  <c r="R640" s="1"/>
  <c r="AQ453" i="44"/>
  <c r="AQ453" i="30"/>
  <c r="AT453"/>
  <c r="AT453" i="44"/>
  <c r="M640" i="30" a="1"/>
  <c r="M640" s="1"/>
  <c r="N453" i="44"/>
  <c r="M640" a="1"/>
  <c r="M640" s="1"/>
  <c r="N453" i="30"/>
  <c r="AF453" i="44"/>
  <c r="AF453" i="30"/>
  <c r="D640" i="44" a="1"/>
  <c r="D640" s="1"/>
  <c r="E640" i="30" a="1"/>
  <c r="E640" s="1"/>
  <c r="D640" a="1"/>
  <c r="D640" s="1"/>
  <c r="G453" i="44"/>
  <c r="F640" a="1"/>
  <c r="F640" s="1"/>
  <c r="E640" a="1"/>
  <c r="E640" s="1"/>
  <c r="G453" i="30"/>
  <c r="F640" a="1"/>
  <c r="F640" s="1"/>
  <c r="AV453"/>
  <c r="AV453" i="44"/>
  <c r="AI453" i="30"/>
  <c r="AI453" i="44"/>
  <c r="AA453" i="30"/>
  <c r="AA453" i="44"/>
  <c r="AC653" a="1"/>
  <c r="AC653" s="1"/>
  <c r="AQ351" i="23"/>
  <c r="BT319"/>
  <c r="BT351" s="1"/>
  <c r="AR319"/>
  <c r="AS319" s="1"/>
  <c r="AQ359"/>
  <c r="BT329"/>
  <c r="BT359" s="1"/>
  <c r="AR329"/>
  <c r="V466" i="44"/>
  <c r="V466" i="30"/>
  <c r="Q466"/>
  <c r="P653" a="1"/>
  <c r="P653" s="1"/>
  <c r="Q466" i="44"/>
  <c r="P653" a="1"/>
  <c r="P653" s="1"/>
  <c r="H466" i="30"/>
  <c r="G653" i="44" a="1"/>
  <c r="G653" s="1"/>
  <c r="G653" i="30" a="1"/>
  <c r="G653" s="1"/>
  <c r="H466" i="44"/>
  <c r="AO466"/>
  <c r="AO466" i="30"/>
  <c r="AT466" i="44"/>
  <c r="AT466" i="30"/>
  <c r="L466" i="44"/>
  <c r="K653" a="1"/>
  <c r="K653" s="1"/>
  <c r="L466" i="30"/>
  <c r="K653" a="1"/>
  <c r="K653" s="1"/>
  <c r="AJ466"/>
  <c r="AJ466" i="44"/>
  <c r="J466"/>
  <c r="I653" a="1"/>
  <c r="I653" s="1"/>
  <c r="J466" i="30"/>
  <c r="I653" a="1"/>
  <c r="I653" s="1"/>
  <c r="AI466"/>
  <c r="AI466" i="44"/>
  <c r="Z466"/>
  <c r="Z466" i="30"/>
  <c r="O466" i="44"/>
  <c r="O466" i="30"/>
  <c r="N653" a="1"/>
  <c r="N653" s="1"/>
  <c r="N653" i="44" a="1"/>
  <c r="N653" s="1"/>
  <c r="AU466" i="30"/>
  <c r="AU466" i="44"/>
  <c r="AF466"/>
  <c r="AF466" i="30"/>
  <c r="U466"/>
  <c r="U466" i="44"/>
  <c r="T653" a="1"/>
  <c r="T653" s="1"/>
  <c r="AB466" i="30"/>
  <c r="AB466" i="44"/>
  <c r="R466"/>
  <c r="R466" i="30"/>
  <c r="Q653" i="44" a="1"/>
  <c r="Q653" s="1"/>
  <c r="Q653" i="30" a="1"/>
  <c r="Q653" s="1"/>
  <c r="G466"/>
  <c r="G466" i="44"/>
  <c r="D653" a="1"/>
  <c r="D653" s="1"/>
  <c r="E653" a="1"/>
  <c r="E653" s="1"/>
  <c r="F653" i="30" a="1"/>
  <c r="F653" s="1"/>
  <c r="F653" i="44" a="1"/>
  <c r="F653" s="1"/>
  <c r="D653" i="30" a="1"/>
  <c r="D653" s="1"/>
  <c r="E653" a="1"/>
  <c r="E653" s="1"/>
  <c r="AM466" i="44"/>
  <c r="AM466" i="30"/>
  <c r="X466" i="44"/>
  <c r="X466" i="30"/>
  <c r="M466"/>
  <c r="M466" i="44"/>
  <c r="L653" a="1"/>
  <c r="L653" s="1"/>
  <c r="L653" i="30" a="1"/>
  <c r="L653" s="1"/>
  <c r="AS466"/>
  <c r="AS466" i="44"/>
  <c r="AR466" i="30"/>
  <c r="AR466" i="44"/>
  <c r="G460"/>
  <c r="G460" i="30"/>
  <c r="G483" s="1" a="1"/>
  <c r="G483" s="1"/>
  <c r="D647" i="44" a="1"/>
  <c r="D647" s="1"/>
  <c r="F647" a="1"/>
  <c r="F647" s="1"/>
  <c r="S460" i="30"/>
  <c r="S460" i="44"/>
  <c r="R647" a="1"/>
  <c r="R647" s="1"/>
  <c r="L460" i="30"/>
  <c r="L460" i="44"/>
  <c r="K647" a="1"/>
  <c r="K647" s="1"/>
  <c r="Y460"/>
  <c r="Y460" i="30"/>
  <c r="AJ460"/>
  <c r="AJ460" i="44"/>
  <c r="AU460" i="30"/>
  <c r="AU460" i="44"/>
  <c r="Z460"/>
  <c r="Z460" i="30"/>
  <c r="AL460"/>
  <c r="AL460" i="44"/>
  <c r="AS460" i="30"/>
  <c r="AS460" i="44"/>
  <c r="AN460" i="30"/>
  <c r="AN460" i="44"/>
  <c r="W460" i="30"/>
  <c r="W460" i="44"/>
  <c r="AI460"/>
  <c r="AI460" i="30"/>
  <c r="T460"/>
  <c r="T460" i="44"/>
  <c r="S647" a="1"/>
  <c r="S647" s="1"/>
  <c r="AG460" i="30"/>
  <c r="AG460" i="44"/>
  <c r="AR460" i="30"/>
  <c r="AR460" i="44"/>
  <c r="J460"/>
  <c r="J460" i="30"/>
  <c r="I647" i="44" a="1"/>
  <c r="I647" s="1"/>
  <c r="AP460"/>
  <c r="AP460" i="30"/>
  <c r="K460" i="44"/>
  <c r="K460" i="30"/>
  <c r="J647" i="44" a="1"/>
  <c r="J647" s="1"/>
  <c r="F483" i="30" a="1"/>
  <c r="F483" s="1"/>
  <c r="M460" i="44"/>
  <c r="M460" i="30"/>
  <c r="L647" i="44" a="1"/>
  <c r="L647" s="1"/>
  <c r="U460" i="30"/>
  <c r="U460" i="44"/>
  <c r="T647" a="1"/>
  <c r="T647" s="1"/>
  <c r="AF460"/>
  <c r="AF460" i="30"/>
  <c r="U459"/>
  <c r="U459" i="44"/>
  <c r="U108" i="23"/>
  <c r="U129" s="1"/>
  <c r="W459" i="30"/>
  <c r="W459" i="44"/>
  <c r="AC459"/>
  <c r="AC459" i="30"/>
  <c r="AO459" i="44"/>
  <c r="AO459" i="30"/>
  <c r="AP459"/>
  <c r="AP459" i="44"/>
  <c r="V459" i="30"/>
  <c r="U646" i="44" a="1"/>
  <c r="U646" s="1"/>
  <c r="V459"/>
  <c r="AT459"/>
  <c r="AT459" i="30"/>
  <c r="R459"/>
  <c r="Q646" i="44" a="1"/>
  <c r="Q646" s="1"/>
  <c r="R108" i="23"/>
  <c r="R129" s="1"/>
  <c r="R459" i="44"/>
  <c r="Q646" i="30" a="1"/>
  <c r="Q646" s="1"/>
  <c r="AD459" i="44"/>
  <c r="AD459" i="30"/>
  <c r="Q459" i="44"/>
  <c r="P646" i="30" a="1"/>
  <c r="P646" s="1"/>
  <c r="Q459"/>
  <c r="P646" i="44" a="1"/>
  <c r="P646" s="1"/>
  <c r="AQ459"/>
  <c r="AQ459" i="30"/>
  <c r="AB459"/>
  <c r="AB459" i="44"/>
  <c r="AB108" i="23"/>
  <c r="AB129" s="1"/>
  <c r="AM459" i="44"/>
  <c r="AM459" i="30"/>
  <c r="AJ459" i="44"/>
  <c r="AJ459" i="30"/>
  <c r="AF459" i="44"/>
  <c r="AF459" i="30"/>
  <c r="L459" i="44"/>
  <c r="K646" a="1"/>
  <c r="K646" s="1"/>
  <c r="L459" i="30"/>
  <c r="K646" a="1"/>
  <c r="K646" s="1"/>
  <c r="S459"/>
  <c r="R646" i="44" a="1"/>
  <c r="R646" s="1"/>
  <c r="S459"/>
  <c r="R646" i="30" a="1"/>
  <c r="R646" s="1"/>
  <c r="S108" i="23"/>
  <c r="S129" s="1"/>
  <c r="X459" i="30"/>
  <c r="X459" i="44"/>
  <c r="O459"/>
  <c r="N646" a="1"/>
  <c r="N646" s="1"/>
  <c r="O459" i="30"/>
  <c r="N646" a="1"/>
  <c r="N646" s="1"/>
  <c r="M459"/>
  <c r="L646" a="1"/>
  <c r="L646" s="1"/>
  <c r="M108" i="23"/>
  <c r="M129" s="1"/>
  <c r="M459" i="44"/>
  <c r="L646" a="1"/>
  <c r="L646" s="1"/>
  <c r="AG459" i="30"/>
  <c r="AG459" i="44"/>
  <c r="AH459"/>
  <c r="AH459" i="30"/>
  <c r="N459"/>
  <c r="M646" i="44" a="1"/>
  <c r="M646" s="1"/>
  <c r="N459"/>
  <c r="M646" i="30" a="1"/>
  <c r="M646" s="1"/>
  <c r="BN310" i="23"/>
  <c r="BN342" s="1"/>
  <c r="AX310"/>
  <c r="AW342"/>
  <c r="W640" i="44" a="1"/>
  <c r="W640" s="1"/>
  <c r="X453" i="30"/>
  <c r="X453" i="44"/>
  <c r="AR453"/>
  <c r="AR453" i="30"/>
  <c r="AW453"/>
  <c r="AW453" i="44"/>
  <c r="AK453"/>
  <c r="AK453" i="30"/>
  <c r="P640" i="44" a="1"/>
  <c r="P640" s="1"/>
  <c r="Q453"/>
  <c r="P640" i="30" a="1"/>
  <c r="P640" s="1"/>
  <c r="Q453"/>
  <c r="G640" a="1"/>
  <c r="G640" s="1"/>
  <c r="H453"/>
  <c r="G640" i="44" a="1"/>
  <c r="G640" s="1"/>
  <c r="H453"/>
  <c r="J640" a="1"/>
  <c r="J640" s="1"/>
  <c r="J640" i="30" a="1"/>
  <c r="J640" s="1"/>
  <c r="K453" i="44"/>
  <c r="K453" i="30"/>
  <c r="G476" a="1"/>
  <c r="G476" s="1"/>
  <c r="F476" a="1"/>
  <c r="F476" s="1"/>
  <c r="I640" a="1"/>
  <c r="I640" s="1"/>
  <c r="J453" i="44"/>
  <c r="J453" i="30"/>
  <c r="I640" i="44" a="1"/>
  <c r="I640" s="1"/>
  <c r="AG453" i="30"/>
  <c r="AG453" i="44"/>
  <c r="AC453" i="30"/>
  <c r="AC453" i="44"/>
  <c r="AN453"/>
  <c r="AN453" i="30"/>
  <c r="AJ453" i="44"/>
  <c r="AJ453" i="30"/>
  <c r="AU453"/>
  <c r="AU453" i="44"/>
  <c r="Z453"/>
  <c r="Z453" i="30"/>
  <c r="N640" a="1"/>
  <c r="N640" s="1"/>
  <c r="O453"/>
  <c r="O453" i="44"/>
  <c r="N640" a="1"/>
  <c r="N640" s="1"/>
  <c r="L640" i="30" a="1"/>
  <c r="L640" s="1"/>
  <c r="M453" i="44"/>
  <c r="M453" i="30"/>
  <c r="L640" i="44" a="1"/>
  <c r="L640" s="1"/>
  <c r="AE453" i="30"/>
  <c r="AE453" i="44"/>
  <c r="I453" i="30"/>
  <c r="I453" i="44"/>
  <c r="H640" i="30" a="1"/>
  <c r="H640" s="1"/>
  <c r="H640" i="44" a="1"/>
  <c r="H640" s="1"/>
  <c r="AH453" i="30"/>
  <c r="AH453" i="44"/>
  <c r="AM453"/>
  <c r="AM453" i="30"/>
  <c r="S640" a="1"/>
  <c r="S640" s="1"/>
  <c r="T453"/>
  <c r="S640" i="44" a="1"/>
  <c r="S640" s="1"/>
  <c r="T453"/>
  <c r="AC653" i="30" a="1"/>
  <c r="AC653" s="1"/>
  <c r="AS331" i="23"/>
  <c r="AT331" s="1"/>
  <c r="BQ331" s="1"/>
  <c r="L128"/>
  <c r="AE17" i="38"/>
  <c r="AA128" i="23"/>
  <c r="AT17" i="38"/>
  <c r="S128" i="23"/>
  <c r="AL17" i="38"/>
  <c r="U128" i="23"/>
  <c r="AN17" i="38"/>
  <c r="O128" i="23"/>
  <c r="AH17" i="38"/>
  <c r="Z128" i="23"/>
  <c r="AS17" i="38"/>
  <c r="V128" i="23"/>
  <c r="AO17" i="38"/>
  <c r="T128" i="23"/>
  <c r="AM17" i="38"/>
  <c r="P128" i="23"/>
  <c r="AI17" i="38"/>
  <c r="J128" i="23"/>
  <c r="AC17" i="38"/>
  <c r="AC128" i="23"/>
  <c r="AV17" i="38"/>
  <c r="Y128" i="23"/>
  <c r="AR17" i="38"/>
  <c r="M128" i="23"/>
  <c r="AF17" i="38"/>
  <c r="D440" i="44"/>
  <c r="BX67" i="42" s="1"/>
  <c r="D176" i="44"/>
  <c r="D198" s="1"/>
  <c r="AP12" i="42"/>
  <c r="D496" i="44"/>
  <c r="D75"/>
  <c r="AU354" i="23"/>
  <c r="BP316"/>
  <c r="BP354" s="1"/>
  <c r="AV316"/>
  <c r="AW316" s="1"/>
  <c r="AQ10" i="42"/>
  <c r="E174" i="44"/>
  <c r="E196" s="1"/>
  <c r="E494"/>
  <c r="E666" s="1"/>
  <c r="AQ186" i="42" s="1"/>
  <c r="E41" i="44"/>
  <c r="E73"/>
  <c r="J404" i="30"/>
  <c r="J187"/>
  <c r="J209" s="1"/>
  <c r="J86"/>
  <c r="H23" i="42"/>
  <c r="J507" i="30"/>
  <c r="K22"/>
  <c r="K22" i="44"/>
  <c r="J86"/>
  <c r="J187"/>
  <c r="J209" s="1"/>
  <c r="AV23" i="42"/>
  <c r="J507" i="44"/>
  <c r="J404"/>
  <c r="H481" a="1"/>
  <c r="H481" s="1"/>
  <c r="AW333" i="23"/>
  <c r="AX333" s="1"/>
  <c r="BM333" s="1"/>
  <c r="D440" i="30"/>
  <c r="BX66" i="42" s="1"/>
  <c r="D176" i="30"/>
  <c r="D198" s="1"/>
  <c r="B12" i="42"/>
  <c r="D496" i="30"/>
  <c r="D75"/>
  <c r="E73"/>
  <c r="E431"/>
  <c r="C67" i="42" s="1"/>
  <c r="C10"/>
  <c r="E174" i="30"/>
  <c r="E196" s="1"/>
  <c r="E494"/>
  <c r="D9" i="44"/>
  <c r="D431" s="1"/>
  <c r="AP67" i="42" s="1"/>
  <c r="D9" i="30"/>
  <c r="AW473" i="44" a="1"/>
  <c r="AW473" s="1"/>
  <c r="AU141" i="30"/>
  <c r="AV141"/>
  <c r="AT141"/>
  <c r="L13"/>
  <c r="J14" i="42" s="1"/>
  <c r="K498" i="30"/>
  <c r="I14" i="42"/>
  <c r="K77" i="30"/>
  <c r="AQ141"/>
  <c r="AR141"/>
  <c r="AO141"/>
  <c r="AM141"/>
  <c r="AN141"/>
  <c r="AS141"/>
  <c r="AP141"/>
  <c r="BT330" i="23"/>
  <c r="BT309"/>
  <c r="BT353" s="1"/>
  <c r="AQ353"/>
  <c r="AY348"/>
  <c r="BL317"/>
  <c r="AY349"/>
  <c r="BS332"/>
  <c r="AS332"/>
  <c r="BQ312"/>
  <c r="BQ347" s="1"/>
  <c r="AT347"/>
  <c r="AU312"/>
  <c r="BT325"/>
  <c r="BT344" s="1"/>
  <c r="AQ344"/>
  <c r="AS325"/>
  <c r="BN349"/>
  <c r="BN348"/>
  <c r="AX348"/>
  <c r="AX349"/>
  <c r="BM317"/>
  <c r="AR330"/>
  <c r="AS330" s="1"/>
  <c r="AR314"/>
  <c r="AS314" s="1"/>
  <c r="AT314" s="1"/>
  <c r="AT318"/>
  <c r="AU318" s="1"/>
  <c r="AV318" s="1"/>
  <c r="AS320"/>
  <c r="AT320" s="1"/>
  <c r="BR311"/>
  <c r="AT311"/>
  <c r="BQ311" s="1"/>
  <c r="BT314"/>
  <c r="BT355" s="1"/>
  <c r="AQ355"/>
  <c r="AS352"/>
  <c r="BR318"/>
  <c r="BR352" s="1"/>
  <c r="BQ313"/>
  <c r="AU313"/>
  <c r="BO349"/>
  <c r="BO348"/>
  <c r="BS320"/>
  <c r="BS350" s="1"/>
  <c r="AR350"/>
  <c r="AR344"/>
  <c r="BS325"/>
  <c r="BS344" s="1"/>
  <c r="AR309"/>
  <c r="Y130"/>
  <c r="AR19" i="38"/>
  <c r="Z130" i="23"/>
  <c r="AS19" i="38"/>
  <c r="S130" i="23"/>
  <c r="AL19" i="38"/>
  <c r="X130" i="23"/>
  <c r="AQ19" i="38"/>
  <c r="AC130" i="23"/>
  <c r="AV19" i="38"/>
  <c r="O130" i="23"/>
  <c r="AH19" i="38"/>
  <c r="I130" i="23"/>
  <c r="AB19" i="38"/>
  <c r="W130" i="23"/>
  <c r="AP19" i="38"/>
  <c r="Q130" i="23"/>
  <c r="AJ19" i="38"/>
  <c r="V130" i="23"/>
  <c r="AO19" i="38"/>
  <c r="U130" i="23"/>
  <c r="AN19" i="38"/>
  <c r="K130" i="23"/>
  <c r="AD19" i="38"/>
  <c r="M130" i="23"/>
  <c r="AF19" i="38"/>
  <c r="J130" i="23"/>
  <c r="AC19" i="38"/>
  <c r="AB130" i="23"/>
  <c r="AU19" i="38"/>
  <c r="R130" i="23"/>
  <c r="AK19" i="38"/>
  <c r="P130" i="23"/>
  <c r="AI19" i="38"/>
  <c r="AA130" i="23"/>
  <c r="AT19" i="38"/>
  <c r="L130" i="23"/>
  <c r="AE19" i="38"/>
  <c r="T130" i="23"/>
  <c r="AM19" i="38"/>
  <c r="N130" i="23"/>
  <c r="AG19" i="38"/>
  <c r="BP328" i="23"/>
  <c r="AU357"/>
  <c r="AU356"/>
  <c r="AU358"/>
  <c r="BS321"/>
  <c r="BS346" s="1"/>
  <c r="AR346"/>
  <c r="BR324"/>
  <c r="BR341" s="1"/>
  <c r="AS341"/>
  <c r="BS357"/>
  <c r="BS356"/>
  <c r="BS358"/>
  <c r="U652" i="44" a="1"/>
  <c r="U652" s="1"/>
  <c r="AA652" a="1"/>
  <c r="AA652" s="1"/>
  <c r="X652" a="1"/>
  <c r="X652" s="1"/>
  <c r="AC652" a="1"/>
  <c r="AC652" s="1"/>
  <c r="T652" i="30" a="1"/>
  <c r="T652" s="1"/>
  <c r="AA652" a="1"/>
  <c r="AA652" s="1"/>
  <c r="U652" a="1"/>
  <c r="U652" s="1"/>
  <c r="Z652" i="44" a="1"/>
  <c r="Z652" s="1"/>
  <c r="AB652" a="1"/>
  <c r="AB652" s="1"/>
  <c r="Z652" i="30" a="1"/>
  <c r="Z652" s="1"/>
  <c r="Y652" a="1"/>
  <c r="Y652" s="1"/>
  <c r="W652" a="1"/>
  <c r="W652" s="1"/>
  <c r="AB652" a="1"/>
  <c r="AB652" s="1"/>
  <c r="AC652" a="1"/>
  <c r="AC652" s="1"/>
  <c r="X652" a="1"/>
  <c r="X652" s="1"/>
  <c r="V652" a="1"/>
  <c r="V652" s="1"/>
  <c r="G652" i="44" a="1"/>
  <c r="G652" s="1"/>
  <c r="N652" a="1"/>
  <c r="N652" s="1"/>
  <c r="K652" i="30" a="1"/>
  <c r="K652" s="1"/>
  <c r="H652" a="1"/>
  <c r="H652" s="1"/>
  <c r="N652" a="1"/>
  <c r="N652" s="1"/>
  <c r="M652" i="44" a="1"/>
  <c r="M652" s="1"/>
  <c r="L652" a="1"/>
  <c r="L652" s="1"/>
  <c r="Q652" i="30" a="1"/>
  <c r="Q652" s="1"/>
  <c r="T652" i="44" a="1"/>
  <c r="T652" s="1"/>
  <c r="K652" a="1"/>
  <c r="K652" s="1"/>
  <c r="H652" a="1"/>
  <c r="H652" s="1"/>
  <c r="O652" i="30" a="1"/>
  <c r="O652" s="1"/>
  <c r="P652" a="1"/>
  <c r="P652" s="1"/>
  <c r="R652" a="1"/>
  <c r="R652" s="1"/>
  <c r="Q652" i="44" a="1"/>
  <c r="Q652" s="1"/>
  <c r="E652" i="30" a="1"/>
  <c r="E652" s="1"/>
  <c r="F652" i="44" a="1"/>
  <c r="F652" s="1"/>
  <c r="V652" a="1"/>
  <c r="V652" s="1"/>
  <c r="O652" a="1"/>
  <c r="O652" s="1"/>
  <c r="P652" a="1"/>
  <c r="P652" s="1"/>
  <c r="S652" i="30" a="1"/>
  <c r="S652" s="1"/>
  <c r="F652" a="1"/>
  <c r="F652" s="1"/>
  <c r="E652" i="44" a="1"/>
  <c r="E652" s="1"/>
  <c r="J652" a="1"/>
  <c r="J652" s="1"/>
  <c r="I652" i="30" a="1"/>
  <c r="I652" s="1"/>
  <c r="D652" a="1"/>
  <c r="D652" s="1"/>
  <c r="Y652" i="44" a="1"/>
  <c r="Y652" s="1"/>
  <c r="S652" a="1"/>
  <c r="S652" s="1"/>
  <c r="G652" i="30" a="1"/>
  <c r="G652" s="1"/>
  <c r="R652" i="44" a="1"/>
  <c r="R652" s="1"/>
  <c r="J652" i="30" a="1"/>
  <c r="J652" s="1"/>
  <c r="I652" i="44" a="1"/>
  <c r="I652" s="1"/>
  <c r="D652" a="1"/>
  <c r="D652" s="1"/>
  <c r="M652" i="30" a="1"/>
  <c r="M652" s="1"/>
  <c r="L652" a="1"/>
  <c r="L652" s="1"/>
  <c r="W652" i="44" a="1"/>
  <c r="W652" s="1"/>
  <c r="BR357" i="23"/>
  <c r="BR358"/>
  <c r="BR356"/>
  <c r="AR326"/>
  <c r="AS321"/>
  <c r="AT321" s="1"/>
  <c r="BT326"/>
  <c r="BT345" s="1"/>
  <c r="AQ345"/>
  <c r="AT357"/>
  <c r="BQ328"/>
  <c r="AT356"/>
  <c r="AT358"/>
  <c r="BS322"/>
  <c r="AS322"/>
  <c r="X650" i="44" a="1"/>
  <c r="X650" s="1"/>
  <c r="AA650" a="1"/>
  <c r="AA650" s="1"/>
  <c r="AB650" a="1"/>
  <c r="AB650" s="1"/>
  <c r="X650" i="30" a="1"/>
  <c r="X650" s="1"/>
  <c r="Z650" a="1"/>
  <c r="Z650" s="1"/>
  <c r="AA650" a="1"/>
  <c r="AA650" s="1"/>
  <c r="AC650" a="1"/>
  <c r="AC650" s="1"/>
  <c r="T650" a="1"/>
  <c r="T650" s="1"/>
  <c r="V650" i="44" a="1"/>
  <c r="V650" s="1"/>
  <c r="W650" a="1"/>
  <c r="W650" s="1"/>
  <c r="AC650" a="1"/>
  <c r="AC650" s="1"/>
  <c r="W650" i="30" a="1"/>
  <c r="W650" s="1"/>
  <c r="Y650" a="1"/>
  <c r="Y650" s="1"/>
  <c r="AB650" a="1"/>
  <c r="AB650" s="1"/>
  <c r="U650" a="1"/>
  <c r="U650" s="1"/>
  <c r="V650" a="1"/>
  <c r="V650" s="1"/>
  <c r="E650" i="44" a="1"/>
  <c r="E650" s="1"/>
  <c r="I650" a="1"/>
  <c r="I650" s="1"/>
  <c r="R650" i="30" a="1"/>
  <c r="R650" s="1"/>
  <c r="H650" i="44" a="1"/>
  <c r="H650" s="1"/>
  <c r="U650" a="1"/>
  <c r="U650" s="1"/>
  <c r="L650" a="1"/>
  <c r="L650" s="1"/>
  <c r="J650" i="30" a="1"/>
  <c r="J650" s="1"/>
  <c r="S650" a="1"/>
  <c r="S650" s="1"/>
  <c r="E650" a="1"/>
  <c r="E650" s="1"/>
  <c r="Q650" i="44" a="1"/>
  <c r="Q650" s="1"/>
  <c r="G650" i="30" a="1"/>
  <c r="G650" s="1"/>
  <c r="P650" a="1"/>
  <c r="P650" s="1"/>
  <c r="N650" a="1"/>
  <c r="N650" s="1"/>
  <c r="I650" a="1"/>
  <c r="I650" s="1"/>
  <c r="R650" i="44" a="1"/>
  <c r="R650" s="1"/>
  <c r="H650" i="30" a="1"/>
  <c r="H650" s="1"/>
  <c r="T650" i="44" a="1"/>
  <c r="T650" s="1"/>
  <c r="Z650" a="1"/>
  <c r="Z650" s="1"/>
  <c r="D650" a="1"/>
  <c r="D650" s="1"/>
  <c r="F650" a="1"/>
  <c r="F650" s="1"/>
  <c r="O650" i="30" a="1"/>
  <c r="O650" s="1"/>
  <c r="M650" a="1"/>
  <c r="M650" s="1"/>
  <c r="K650" i="44" a="1"/>
  <c r="K650" s="1"/>
  <c r="Q650" i="30" a="1"/>
  <c r="Q650" s="1"/>
  <c r="G650" i="44" a="1"/>
  <c r="G650" s="1"/>
  <c r="P650" a="1"/>
  <c r="P650" s="1"/>
  <c r="N650" a="1"/>
  <c r="N650" s="1"/>
  <c r="D650" i="30" a="1"/>
  <c r="D650" s="1"/>
  <c r="L650" a="1"/>
  <c r="L650" s="1"/>
  <c r="J650" i="44" a="1"/>
  <c r="J650" s="1"/>
  <c r="S650" a="1"/>
  <c r="S650" s="1"/>
  <c r="F650" i="30" a="1"/>
  <c r="F650" s="1"/>
  <c r="O650" i="44" a="1"/>
  <c r="O650" s="1"/>
  <c r="M650" a="1"/>
  <c r="M650" s="1"/>
  <c r="K650" i="30" a="1"/>
  <c r="K650" s="1"/>
  <c r="Y650" i="44" a="1"/>
  <c r="Y650" s="1"/>
  <c r="W651" a="1"/>
  <c r="W651" s="1"/>
  <c r="AA651" a="1"/>
  <c r="AA651" s="1"/>
  <c r="AB651" a="1"/>
  <c r="AB651" s="1"/>
  <c r="Y651" a="1"/>
  <c r="Y651" s="1"/>
  <c r="W651" i="30" a="1"/>
  <c r="W651" s="1"/>
  <c r="Z651" a="1"/>
  <c r="Z651" s="1"/>
  <c r="AA651" a="1"/>
  <c r="AA651" s="1"/>
  <c r="AB651" a="1"/>
  <c r="AB651" s="1"/>
  <c r="AC651" a="1"/>
  <c r="AC651" s="1"/>
  <c r="X651" a="1"/>
  <c r="X651" s="1"/>
  <c r="V651" a="1"/>
  <c r="V651" s="1"/>
  <c r="V651" i="44" a="1"/>
  <c r="V651" s="1"/>
  <c r="Z651" a="1"/>
  <c r="Z651" s="1"/>
  <c r="AC651" a="1"/>
  <c r="AC651" s="1"/>
  <c r="T651" i="30" a="1"/>
  <c r="T651" s="1"/>
  <c r="X651" i="44" a="1"/>
  <c r="X651" s="1"/>
  <c r="Y651" i="30" a="1"/>
  <c r="Y651" s="1"/>
  <c r="U651" a="1"/>
  <c r="U651" s="1"/>
  <c r="D651" i="44" a="1"/>
  <c r="D651" s="1"/>
  <c r="M651" i="30" a="1"/>
  <c r="M651" s="1"/>
  <c r="J651" a="1"/>
  <c r="J651" s="1"/>
  <c r="H651" a="1"/>
  <c r="H651" s="1"/>
  <c r="P651" a="1"/>
  <c r="P651" s="1"/>
  <c r="F651" i="44" a="1"/>
  <c r="F651" s="1"/>
  <c r="J651" a="1"/>
  <c r="J651" s="1"/>
  <c r="R651" a="1"/>
  <c r="R651" s="1"/>
  <c r="N651" a="1"/>
  <c r="N651" s="1"/>
  <c r="E651" i="30" a="1"/>
  <c r="E651" s="1"/>
  <c r="K651" a="1"/>
  <c r="K651" s="1"/>
  <c r="S651" a="1"/>
  <c r="S651" s="1"/>
  <c r="L651" a="1"/>
  <c r="L651" s="1"/>
  <c r="M651" i="44" a="1"/>
  <c r="M651" s="1"/>
  <c r="U651" a="1"/>
  <c r="U651" s="1"/>
  <c r="H651" a="1"/>
  <c r="H651" s="1"/>
  <c r="P651" a="1"/>
  <c r="P651" s="1"/>
  <c r="E651" a="1"/>
  <c r="E651" s="1"/>
  <c r="Q651" i="30" a="1"/>
  <c r="Q651" s="1"/>
  <c r="T651" i="44" a="1"/>
  <c r="T651" s="1"/>
  <c r="G651" i="30" a="1"/>
  <c r="G651" s="1"/>
  <c r="O651" a="1"/>
  <c r="O651" s="1"/>
  <c r="K651" i="44" a="1"/>
  <c r="K651" s="1"/>
  <c r="S651" a="1"/>
  <c r="S651" s="1"/>
  <c r="L651" a="1"/>
  <c r="L651" s="1"/>
  <c r="D651" i="30" a="1"/>
  <c r="D651" s="1"/>
  <c r="F651" a="1"/>
  <c r="F651" s="1"/>
  <c r="I651" i="44" a="1"/>
  <c r="I651" s="1"/>
  <c r="R651" i="30" a="1"/>
  <c r="R651" s="1"/>
  <c r="N651" a="1"/>
  <c r="N651" s="1"/>
  <c r="Q651" i="44" a="1"/>
  <c r="Q651" s="1"/>
  <c r="I651" i="30" a="1"/>
  <c r="I651" s="1"/>
  <c r="G651" i="44" a="1"/>
  <c r="G651" s="1"/>
  <c r="O651" a="1"/>
  <c r="O651" s="1"/>
  <c r="AT324" i="23"/>
  <c r="AV328"/>
  <c r="AV481" i="44" a="1"/>
  <c r="AV481" s="1"/>
  <c r="AS477" i="30" a="1"/>
  <c r="AS477" s="1"/>
  <c r="AR481" a="1"/>
  <c r="AR481" s="1"/>
  <c r="AW481" a="1"/>
  <c r="AW481" s="1"/>
  <c r="AS481" i="44" a="1"/>
  <c r="AS481" s="1"/>
  <c r="AO481" i="30" a="1"/>
  <c r="AO481" s="1"/>
  <c r="AT477" a="1"/>
  <c r="AT477" s="1"/>
  <c r="H9" i="42"/>
  <c r="K8" i="30"/>
  <c r="J493"/>
  <c r="J173"/>
  <c r="J72"/>
  <c r="I83"/>
  <c r="I184"/>
  <c r="I206" s="1"/>
  <c r="G20" i="42"/>
  <c r="J19" i="30"/>
  <c r="I504"/>
  <c r="I401"/>
  <c r="J15"/>
  <c r="I397"/>
  <c r="I79"/>
  <c r="I180"/>
  <c r="I202" s="1"/>
  <c r="G16" i="42"/>
  <c r="I500" i="30"/>
  <c r="I666" s="1"/>
  <c r="G186" i="42" s="1"/>
  <c r="AQ477" i="30" a="1"/>
  <c r="AQ477" s="1"/>
  <c r="AC641" a="1"/>
  <c r="AC641" s="1"/>
  <c r="AM477" a="1"/>
  <c r="AM477" s="1"/>
  <c r="AR477" a="1"/>
  <c r="AR477" s="1"/>
  <c r="AU477" a="1"/>
  <c r="AU477" s="1"/>
  <c r="AV477" a="1"/>
  <c r="AV477" s="1"/>
  <c r="AP477" a="1"/>
  <c r="AP477" s="1"/>
  <c r="AO477" a="1"/>
  <c r="AO477" s="1"/>
  <c r="AN477" a="1"/>
  <c r="AN477" s="1"/>
  <c r="AR481" i="44" a="1"/>
  <c r="AR481" s="1"/>
  <c r="AW477" i="30" a="1"/>
  <c r="AW477" s="1"/>
  <c r="AM481" i="44" a="1"/>
  <c r="AM481" s="1"/>
  <c r="AQ481" i="30" a="1"/>
  <c r="AQ481" s="1"/>
  <c r="AT481" a="1"/>
  <c r="AT481" s="1"/>
  <c r="AS481" a="1"/>
  <c r="AS481" s="1"/>
  <c r="I83" i="44"/>
  <c r="J19"/>
  <c r="I504"/>
  <c r="AU20" i="42"/>
  <c r="I184" i="44"/>
  <c r="I206" s="1"/>
  <c r="I401"/>
  <c r="AC645" a="1"/>
  <c r="AC645" s="1"/>
  <c r="AM141"/>
  <c r="AC645" i="30" a="1"/>
  <c r="AC645" s="1"/>
  <c r="J91" i="44"/>
  <c r="AV28" i="42"/>
  <c r="J192" i="44"/>
  <c r="J214" s="1"/>
  <c r="K27"/>
  <c r="K267" s="1"/>
  <c r="J512"/>
  <c r="K27" i="30"/>
  <c r="K267" s="1"/>
  <c r="J91"/>
  <c r="J192"/>
  <c r="J214" s="1"/>
  <c r="J512"/>
  <c r="H28" i="42"/>
  <c r="AV481" i="30" a="1"/>
  <c r="AV481" s="1"/>
  <c r="AP481" a="1"/>
  <c r="AP481" s="1"/>
  <c r="AQ481" i="44" a="1"/>
  <c r="AQ481" s="1"/>
  <c r="AT481" a="1"/>
  <c r="AT481" s="1"/>
  <c r="AO481" a="1"/>
  <c r="AO481" s="1"/>
  <c r="AP481" a="1"/>
  <c r="AP481" s="1"/>
  <c r="AU481" a="1"/>
  <c r="AU481" s="1"/>
  <c r="AN481" a="1"/>
  <c r="AN481" s="1"/>
  <c r="AW481" a="1"/>
  <c r="AW481" s="1"/>
  <c r="AU481" i="30" a="1"/>
  <c r="AU481" s="1"/>
  <c r="AN481" a="1"/>
  <c r="AN481" s="1"/>
  <c r="I186"/>
  <c r="I208" s="1"/>
  <c r="I506"/>
  <c r="I403"/>
  <c r="I85"/>
  <c r="G22" i="42"/>
  <c r="J21" i="30"/>
  <c r="AC647" a="1"/>
  <c r="AC647" s="1"/>
  <c r="AH141"/>
  <c r="O665"/>
  <c r="M185" i="42" s="1"/>
  <c r="O678" i="30"/>
  <c r="CH176" i="42" s="1"/>
  <c r="K665" i="30"/>
  <c r="I185" i="42" s="1"/>
  <c r="K678" i="30"/>
  <c r="CD176" i="42" s="1"/>
  <c r="R665" i="30"/>
  <c r="P185" i="42" s="1"/>
  <c r="R678" i="30"/>
  <c r="CK176" i="42" s="1"/>
  <c r="L665" i="30"/>
  <c r="J185" i="42" s="1"/>
  <c r="L678" i="30"/>
  <c r="CE176" i="42" s="1"/>
  <c r="U665" i="30"/>
  <c r="S185" i="42" s="1"/>
  <c r="U678" i="30"/>
  <c r="CN176" i="42" s="1"/>
  <c r="W665" i="30"/>
  <c r="U185" i="42" s="1"/>
  <c r="W678" i="30"/>
  <c r="CP176" i="42" s="1"/>
  <c r="J665" i="30"/>
  <c r="H185" i="42" s="1"/>
  <c r="J678" i="30"/>
  <c r="CC176" i="42" s="1"/>
  <c r="Q665" i="30"/>
  <c r="O185" i="42" s="1"/>
  <c r="Q678" i="30"/>
  <c r="CJ176" i="42" s="1"/>
  <c r="I440" i="30"/>
  <c r="CC66" i="42" s="1"/>
  <c r="J11" i="30"/>
  <c r="I430"/>
  <c r="G66" i="42" s="1"/>
  <c r="G12"/>
  <c r="I496" i="30"/>
  <c r="I75"/>
  <c r="I176"/>
  <c r="I198" s="1"/>
  <c r="X647" a="1"/>
  <c r="X647" s="1"/>
  <c r="AA647" a="1"/>
  <c r="AA647" s="1"/>
  <c r="H678"/>
  <c r="CA176" i="42" s="1"/>
  <c r="N665" i="30"/>
  <c r="L185" i="42" s="1"/>
  <c r="N678" i="30"/>
  <c r="CG176" i="42" s="1"/>
  <c r="AA665" i="30"/>
  <c r="Y185" i="42" s="1"/>
  <c r="AA678" i="30"/>
  <c r="CT176" i="42" s="1"/>
  <c r="AB665" i="30"/>
  <c r="Z185" i="42" s="1"/>
  <c r="AB678" i="30"/>
  <c r="CU176" i="42" s="1"/>
  <c r="AC665" i="30"/>
  <c r="AA185" i="42" s="1"/>
  <c r="AC678" i="30"/>
  <c r="CV176" i="42" s="1"/>
  <c r="M665" i="30"/>
  <c r="K185" i="42" s="1"/>
  <c r="M678" i="30"/>
  <c r="CF176" i="42" s="1"/>
  <c r="X665" i="30"/>
  <c r="V185" i="42" s="1"/>
  <c r="X678" i="30"/>
  <c r="CQ176" i="42" s="1"/>
  <c r="V665" i="30"/>
  <c r="T185" i="42" s="1"/>
  <c r="V678" i="30"/>
  <c r="CO176" i="42" s="1"/>
  <c r="S665" i="30"/>
  <c r="Q185" i="42" s="1"/>
  <c r="S678" i="30"/>
  <c r="CL176" i="42" s="1"/>
  <c r="Z665" i="30"/>
  <c r="X185" i="42" s="1"/>
  <c r="Z678" i="30"/>
  <c r="CS176" i="42" s="1"/>
  <c r="T665" i="30"/>
  <c r="R185" i="42" s="1"/>
  <c r="T678" i="30"/>
  <c r="CM176" i="42" s="1"/>
  <c r="Y678" i="30"/>
  <c r="CR176" i="42" s="1"/>
  <c r="Y665" i="30"/>
  <c r="W185" i="42" s="1"/>
  <c r="I665" i="30"/>
  <c r="G185" i="42" s="1"/>
  <c r="I678" i="30"/>
  <c r="CB176" i="42" s="1"/>
  <c r="P665" i="30"/>
  <c r="N185" i="42" s="1"/>
  <c r="P678" i="30"/>
  <c r="CI176" i="42" s="1"/>
  <c r="I75" i="44"/>
  <c r="I440"/>
  <c r="CC67" i="42" s="1"/>
  <c r="I176" i="44"/>
  <c r="I198" s="1"/>
  <c r="I431"/>
  <c r="AU67" i="42" s="1"/>
  <c r="I496" i="44"/>
  <c r="AU12" i="42"/>
  <c r="J11" i="44"/>
  <c r="AM483" i="30" a="1"/>
  <c r="AM483" s="1"/>
  <c r="Y647" a="1"/>
  <c r="Y647" s="1"/>
  <c r="AB647" a="1"/>
  <c r="AB647" s="1"/>
  <c r="Z647" a="1"/>
  <c r="Z647" s="1"/>
  <c r="AW141"/>
  <c r="I37" i="43"/>
  <c r="G38" i="30"/>
  <c r="G38" i="44"/>
  <c r="J40"/>
  <c r="J92" s="1"/>
  <c r="J40" i="30"/>
  <c r="J92" s="1"/>
  <c r="M27" i="43"/>
  <c r="M55"/>
  <c r="M74" s="1"/>
  <c r="M56"/>
  <c r="M73" s="1"/>
  <c r="M14" s="1"/>
  <c r="N26"/>
  <c r="K269" i="30"/>
  <c r="K269" i="44"/>
  <c r="L15" i="43"/>
  <c r="L20" s="1"/>
  <c r="K16"/>
  <c r="N10"/>
  <c r="M12"/>
  <c r="M15" s="1"/>
  <c r="M20" s="1"/>
  <c r="Q268" i="44"/>
  <c r="Q268" i="30"/>
  <c r="T29" i="43"/>
  <c r="K33"/>
  <c r="I266" i="30"/>
  <c r="I266" i="44"/>
  <c r="L16" i="43"/>
  <c r="L19"/>
  <c r="L23" s="1"/>
  <c r="L32" s="1"/>
  <c r="O52"/>
  <c r="N57"/>
  <c r="N75" s="1"/>
  <c r="J164" i="42" s="1"/>
  <c r="AX164" s="1"/>
  <c r="H47" i="44"/>
  <c r="H45"/>
  <c r="H46"/>
  <c r="H44"/>
  <c r="H44" i="30"/>
  <c r="H46"/>
  <c r="H47"/>
  <c r="H45"/>
  <c r="S209" i="23"/>
  <c r="M209"/>
  <c r="AA209"/>
  <c r="U209"/>
  <c r="Y209"/>
  <c r="O209"/>
  <c r="Q209"/>
  <c r="W202"/>
  <c r="S202"/>
  <c r="N209"/>
  <c r="AF209"/>
  <c r="I209"/>
  <c r="T209"/>
  <c r="P209"/>
  <c r="X209"/>
  <c r="R209"/>
  <c r="I202"/>
  <c r="AF202"/>
  <c r="AD202"/>
  <c r="R202"/>
  <c r="M202"/>
  <c r="AD209"/>
  <c r="W209"/>
  <c r="T202"/>
  <c r="Q202"/>
  <c r="P202"/>
  <c r="O202"/>
  <c r="U202"/>
  <c r="AA202"/>
  <c r="N202"/>
  <c r="Y202"/>
  <c r="X202"/>
  <c r="J15" i="42"/>
  <c r="L78" i="30"/>
  <c r="L179"/>
  <c r="L499"/>
  <c r="M14"/>
  <c r="L85" i="44"/>
  <c r="L186"/>
  <c r="AX22" i="42"/>
  <c r="L403" i="44"/>
  <c r="M21"/>
  <c r="L506"/>
  <c r="L74"/>
  <c r="L175"/>
  <c r="L197" s="1"/>
  <c r="AX11" i="42"/>
  <c r="M10" i="44"/>
  <c r="L430"/>
  <c r="AX66" i="42" s="1"/>
  <c r="L495" i="44"/>
  <c r="K202"/>
  <c r="K204"/>
  <c r="K197"/>
  <c r="L79"/>
  <c r="L180"/>
  <c r="L202" s="1"/>
  <c r="L500"/>
  <c r="M15"/>
  <c r="AX16" i="42"/>
  <c r="AX18"/>
  <c r="L94" i="44"/>
  <c r="L81"/>
  <c r="M17"/>
  <c r="L502"/>
  <c r="L182"/>
  <c r="L204" s="1"/>
  <c r="L399"/>
  <c r="K203"/>
  <c r="L93"/>
  <c r="L501"/>
  <c r="L661" s="1"/>
  <c r="AX177" i="42" s="1"/>
  <c r="L181" i="44"/>
  <c r="AX17" i="42"/>
  <c r="M16" i="44"/>
  <c r="L80"/>
  <c r="S39" i="24"/>
  <c r="AF48"/>
  <c r="AG48" s="1"/>
  <c r="AH48" s="1"/>
  <c r="AI48" s="1"/>
  <c r="AJ48" s="1"/>
  <c r="AK48" s="1"/>
  <c r="AL48" s="1"/>
  <c r="AM48" s="1"/>
  <c r="AN48" s="1"/>
  <c r="AO48" s="1"/>
  <c r="AP48" s="1"/>
  <c r="AQ48" s="1"/>
  <c r="AR48" s="1"/>
  <c r="AS48" s="1"/>
  <c r="AT48" s="1"/>
  <c r="AU48" s="1"/>
  <c r="AV48" s="1"/>
  <c r="AW48" s="1"/>
  <c r="AX48" s="1"/>
  <c r="AY48" s="1"/>
  <c r="R37"/>
  <c r="AA46"/>
  <c r="AB46" s="1"/>
  <c r="AC46" s="1"/>
  <c r="AD46" s="1"/>
  <c r="AE46" s="1"/>
  <c r="R40"/>
  <c r="AA49"/>
  <c r="AB49" s="1"/>
  <c r="AC49" s="1"/>
  <c r="AD49" s="1"/>
  <c r="AE49" s="1"/>
  <c r="AF47"/>
  <c r="AG47" s="1"/>
  <c r="AH47" s="1"/>
  <c r="AI47" s="1"/>
  <c r="AJ47" s="1"/>
  <c r="AK47" s="1"/>
  <c r="AL47" s="1"/>
  <c r="AM47" s="1"/>
  <c r="AN47" s="1"/>
  <c r="AO47" s="1"/>
  <c r="AP47" s="1"/>
  <c r="AQ47" s="1"/>
  <c r="AR47" s="1"/>
  <c r="AS47" s="1"/>
  <c r="AT47" s="1"/>
  <c r="AU47" s="1"/>
  <c r="AV47" s="1"/>
  <c r="AW47" s="1"/>
  <c r="AX47" s="1"/>
  <c r="AY47" s="1"/>
  <c r="S38"/>
  <c r="R35"/>
  <c r="AA44"/>
  <c r="AB44" s="1"/>
  <c r="AC44" s="1"/>
  <c r="AD44" s="1"/>
  <c r="AE44" s="1"/>
  <c r="AA45"/>
  <c r="AB45" s="1"/>
  <c r="AC45" s="1"/>
  <c r="AD45" s="1"/>
  <c r="AE45" s="1"/>
  <c r="R36"/>
  <c r="AA43"/>
  <c r="AB43" s="1"/>
  <c r="AC43" s="1"/>
  <c r="AD43" s="1"/>
  <c r="AE43" s="1"/>
  <c r="R34"/>
  <c r="L197" i="30"/>
  <c r="M74"/>
  <c r="M175"/>
  <c r="M197" s="1"/>
  <c r="M495"/>
  <c r="K11" i="42"/>
  <c r="N10" i="30"/>
  <c r="K211" i="44"/>
  <c r="I41" l="1"/>
  <c r="I28" i="30"/>
  <c r="I29" s="1"/>
  <c r="I41"/>
  <c r="G13" i="42"/>
  <c r="BM327" i="23"/>
  <c r="AY327"/>
  <c r="BL327" s="1"/>
  <c r="D643" i="44" a="1"/>
  <c r="J12"/>
  <c r="J177" s="1"/>
  <c r="J199" s="1"/>
  <c r="I28"/>
  <c r="I29" s="1"/>
  <c r="I497" i="30"/>
  <c r="J12"/>
  <c r="J177" s="1"/>
  <c r="J199" s="1"/>
  <c r="I76" i="44"/>
  <c r="P67" i="43"/>
  <c r="P68"/>
  <c r="Q65"/>
  <c r="P66"/>
  <c r="I177" i="30"/>
  <c r="I199" s="1"/>
  <c r="I497" i="44"/>
  <c r="I177"/>
  <c r="I199" s="1"/>
  <c r="L88" i="30"/>
  <c r="J25" i="42"/>
  <c r="K73" i="44"/>
  <c r="J188" i="30"/>
  <c r="J210" s="1"/>
  <c r="J87"/>
  <c r="J508"/>
  <c r="H24" i="42"/>
  <c r="K23" i="30"/>
  <c r="J405"/>
  <c r="K25"/>
  <c r="H26" i="42"/>
  <c r="J89" i="30"/>
  <c r="J407"/>
  <c r="J190"/>
  <c r="J212" s="1"/>
  <c r="J89" i="44"/>
  <c r="K25"/>
  <c r="J190"/>
  <c r="J212" s="1"/>
  <c r="J407"/>
  <c r="AV26" i="42"/>
  <c r="E643" i="44" a="1"/>
  <c r="O97" i="23"/>
  <c r="T97"/>
  <c r="N97"/>
  <c r="G97"/>
  <c r="U97"/>
  <c r="AB97"/>
  <c r="AA97"/>
  <c r="R97"/>
  <c r="S97"/>
  <c r="F661" i="30"/>
  <c r="D177" i="42" s="1"/>
  <c r="J90" i="30"/>
  <c r="K26"/>
  <c r="J408"/>
  <c r="H27" i="42"/>
  <c r="J191" i="30"/>
  <c r="J213" s="1"/>
  <c r="AU315" i="23"/>
  <c r="AT343"/>
  <c r="BQ315"/>
  <c r="BQ343" s="1"/>
  <c r="K26" i="44"/>
  <c r="AV27" i="42"/>
  <c r="J191" i="44"/>
  <c r="J213" s="1"/>
  <c r="J408"/>
  <c r="J90"/>
  <c r="AI483" i="30" a="1"/>
  <c r="AI483" s="1"/>
  <c r="AN483" a="1"/>
  <c r="AN483" s="1"/>
  <c r="L509"/>
  <c r="M24"/>
  <c r="K25" i="42" s="1"/>
  <c r="L406" i="30"/>
  <c r="L406" i="44"/>
  <c r="J661" i="30"/>
  <c r="H177" i="42" s="1"/>
  <c r="M24" i="44"/>
  <c r="AY25" i="42" s="1"/>
  <c r="N18" i="44"/>
  <c r="O18" s="1"/>
  <c r="L17" i="42"/>
  <c r="L88" i="44"/>
  <c r="M400"/>
  <c r="L509"/>
  <c r="L189"/>
  <c r="L211" s="1"/>
  <c r="AS483" i="30" a="1"/>
  <c r="AS483" s="1"/>
  <c r="AH483" a="1"/>
  <c r="AH483" s="1"/>
  <c r="AT483" a="1"/>
  <c r="AT483" s="1"/>
  <c r="H483" a="1"/>
  <c r="H483" s="1"/>
  <c r="K12"/>
  <c r="J76" i="44"/>
  <c r="AV13" i="42"/>
  <c r="K12" i="44"/>
  <c r="H476" i="30" a="1"/>
  <c r="H476" s="1"/>
  <c r="M183" i="44"/>
  <c r="M205" s="1"/>
  <c r="L182" i="30"/>
  <c r="L204" s="1"/>
  <c r="AR483" a="1"/>
  <c r="AR483" s="1"/>
  <c r="AV483" a="1"/>
  <c r="AV483" s="1"/>
  <c r="AW483" a="1"/>
  <c r="AW483" s="1"/>
  <c r="AB482" i="44" a="1"/>
  <c r="AB482" s="1"/>
  <c r="AB482" i="30" a="1"/>
  <c r="AB482" s="1"/>
  <c r="AV482" i="44" a="1"/>
  <c r="AV482" s="1"/>
  <c r="AU482" i="30" a="1"/>
  <c r="AU482" s="1"/>
  <c r="AU483" a="1"/>
  <c r="AU483" s="1"/>
  <c r="D642"/>
  <c r="D642" i="44"/>
  <c r="E643" i="30"/>
  <c r="E643" i="44"/>
  <c r="D643"/>
  <c r="AY19" i="42"/>
  <c r="M82" i="44"/>
  <c r="J195" i="30"/>
  <c r="N181"/>
  <c r="N203" s="1"/>
  <c r="E642" i="44" a="1"/>
  <c r="D643" i="30" a="1"/>
  <c r="D643" s="1"/>
  <c r="O16"/>
  <c r="O93" s="1"/>
  <c r="L508" i="44"/>
  <c r="M23"/>
  <c r="M508" s="1"/>
  <c r="L502" i="30"/>
  <c r="L405" i="44"/>
  <c r="M17" i="30"/>
  <c r="K18" i="42" s="1"/>
  <c r="L399" i="30"/>
  <c r="N80"/>
  <c r="N93"/>
  <c r="L188" i="44"/>
  <c r="L210" s="1"/>
  <c r="L87"/>
  <c r="J18" i="42"/>
  <c r="L81" i="30"/>
  <c r="AX14" i="42"/>
  <c r="L77" i="44"/>
  <c r="L178"/>
  <c r="L200" s="1"/>
  <c r="L498"/>
  <c r="K73" i="30"/>
  <c r="K494"/>
  <c r="K431"/>
  <c r="I67" i="42" s="1"/>
  <c r="K494" i="44"/>
  <c r="K666" s="1"/>
  <c r="AW186" i="42" s="1"/>
  <c r="I10"/>
  <c r="L9" i="30"/>
  <c r="M9" s="1"/>
  <c r="L9" i="44"/>
  <c r="M9" s="1"/>
  <c r="N9" s="1"/>
  <c r="AW10" i="42"/>
  <c r="L402" i="44"/>
  <c r="L84"/>
  <c r="AX21" i="42"/>
  <c r="M20" i="44"/>
  <c r="L505"/>
  <c r="L185"/>
  <c r="L207" s="1"/>
  <c r="I679"/>
  <c r="CB186" i="42" s="1"/>
  <c r="AW9"/>
  <c r="K173" i="44"/>
  <c r="K72"/>
  <c r="K493"/>
  <c r="L8"/>
  <c r="M97" i="23"/>
  <c r="P97"/>
  <c r="Q97"/>
  <c r="K97"/>
  <c r="AA197"/>
  <c r="V126" i="24"/>
  <c r="T142" i="23" s="1"/>
  <c r="X147"/>
  <c r="Y126" i="24"/>
  <c r="W142" i="23" s="1"/>
  <c r="AA147"/>
  <c r="Z147"/>
  <c r="X126" i="24"/>
  <c r="V142" i="23" s="1"/>
  <c r="T147"/>
  <c r="R126" i="24"/>
  <c r="P142" i="23" s="1"/>
  <c r="AD126" i="24"/>
  <c r="AB142" i="23" s="1"/>
  <c r="AF147"/>
  <c r="Z126" i="24"/>
  <c r="X142" i="23" s="1"/>
  <c r="AB147"/>
  <c r="AG147"/>
  <c r="AE126" i="24"/>
  <c r="AC142" i="23" s="1"/>
  <c r="AD147"/>
  <c r="AB126" i="24"/>
  <c r="Z142" i="23" s="1"/>
  <c r="W147"/>
  <c r="U126" i="24"/>
  <c r="S142" i="23" s="1"/>
  <c r="Q147"/>
  <c r="O126" i="24"/>
  <c r="M142" i="23" s="1"/>
  <c r="M147"/>
  <c r="K126" i="24"/>
  <c r="I142" i="23" s="1"/>
  <c r="R147"/>
  <c r="P126" i="24"/>
  <c r="N142" i="23" s="1"/>
  <c r="O147"/>
  <c r="M126" i="24"/>
  <c r="K142" i="23" s="1"/>
  <c r="V147"/>
  <c r="T126" i="24"/>
  <c r="R142" i="23" s="1"/>
  <c r="AC197"/>
  <c r="C9" i="42"/>
  <c r="E493" i="30"/>
  <c r="E679" s="1"/>
  <c r="BX177" i="42" s="1"/>
  <c r="E173" i="30"/>
  <c r="E195" s="1"/>
  <c r="E72"/>
  <c r="E41"/>
  <c r="E45" s="1"/>
  <c r="AQ9" i="42"/>
  <c r="E72" i="44"/>
  <c r="E173"/>
  <c r="E195" s="1"/>
  <c r="E493"/>
  <c r="E679" s="1"/>
  <c r="BX186" i="42" s="1"/>
  <c r="E28" i="44"/>
  <c r="E29" s="1"/>
  <c r="S126" i="24"/>
  <c r="Q142" i="23" s="1"/>
  <c r="U147"/>
  <c r="AC126" i="24"/>
  <c r="AA142" i="23" s="1"/>
  <c r="AE147"/>
  <c r="G126" i="24"/>
  <c r="I147" i="23"/>
  <c r="H126" i="24"/>
  <c r="J147" i="23"/>
  <c r="N147"/>
  <c r="L126" i="24"/>
  <c r="J142" i="23" s="1"/>
  <c r="L147"/>
  <c r="L171" s="1"/>
  <c r="J126" i="24"/>
  <c r="H96" i="23" s="1"/>
  <c r="P147"/>
  <c r="N126" i="24"/>
  <c r="L142" i="23" s="1"/>
  <c r="Q126" i="24"/>
  <c r="O142" i="23" s="1"/>
  <c r="S147"/>
  <c r="AC147"/>
  <c r="AA126" i="24"/>
  <c r="Y142" i="23" s="1"/>
  <c r="F126" i="24"/>
  <c r="H147" i="23"/>
  <c r="Y147"/>
  <c r="W126" i="24"/>
  <c r="U142" i="23" s="1"/>
  <c r="K147"/>
  <c r="I126" i="24"/>
  <c r="G96" i="23" s="1"/>
  <c r="L197"/>
  <c r="D8" i="44"/>
  <c r="D28" s="1"/>
  <c r="D29" s="1"/>
  <c r="D8" i="30"/>
  <c r="Q140" i="23"/>
  <c r="Y140"/>
  <c r="J140"/>
  <c r="R140"/>
  <c r="Z140"/>
  <c r="K140"/>
  <c r="S140"/>
  <c r="AA140"/>
  <c r="L140"/>
  <c r="T140"/>
  <c r="AB140"/>
  <c r="M140"/>
  <c r="U140"/>
  <c r="AC140"/>
  <c r="N140"/>
  <c r="V140"/>
  <c r="O140"/>
  <c r="W140"/>
  <c r="I140"/>
  <c r="P140"/>
  <c r="X140"/>
  <c r="Z96"/>
  <c r="AS6" i="38" s="1"/>
  <c r="Y96" i="23"/>
  <c r="AR6" i="38" s="1"/>
  <c r="P96" i="23"/>
  <c r="AI6" i="38" s="1"/>
  <c r="Y97" i="23"/>
  <c r="L505" i="30"/>
  <c r="L402"/>
  <c r="M20"/>
  <c r="L84"/>
  <c r="L185"/>
  <c r="L207" s="1"/>
  <c r="J21" i="42"/>
  <c r="E642" i="44"/>
  <c r="AS455" i="30"/>
  <c r="AS455" i="44"/>
  <c r="K642" i="30" a="1"/>
  <c r="K642" s="1"/>
  <c r="K642" i="44" a="1"/>
  <c r="K642" s="1"/>
  <c r="L455" i="30"/>
  <c r="L455" i="44"/>
  <c r="L104" i="23"/>
  <c r="O642" i="30" a="1"/>
  <c r="O642" s="1"/>
  <c r="O642" i="44" a="1"/>
  <c r="O642" s="1"/>
  <c r="P455"/>
  <c r="P104" i="23"/>
  <c r="P455" i="30"/>
  <c r="M642" a="1"/>
  <c r="M642" s="1"/>
  <c r="M642" i="44" a="1"/>
  <c r="M642" s="1"/>
  <c r="N455"/>
  <c r="N104" i="23"/>
  <c r="N455" i="30"/>
  <c r="Y455" i="44"/>
  <c r="X642" a="1"/>
  <c r="X642" s="1"/>
  <c r="Y104" i="23"/>
  <c r="Y455" i="30"/>
  <c r="X642" a="1"/>
  <c r="X642" s="1"/>
  <c r="AC455" i="44"/>
  <c r="AB642" a="1"/>
  <c r="AB642" s="1"/>
  <c r="AC455" i="30"/>
  <c r="AB642" a="1"/>
  <c r="AB642" s="1"/>
  <c r="AC104" i="23"/>
  <c r="AD455" i="44"/>
  <c r="AC642" i="30" a="1"/>
  <c r="AC642" s="1"/>
  <c r="AD455"/>
  <c r="AC642" i="44" a="1"/>
  <c r="AC642" s="1"/>
  <c r="AQ455"/>
  <c r="AQ455" i="30"/>
  <c r="AG455"/>
  <c r="AG455" i="44"/>
  <c r="F478" a="1"/>
  <c r="F478" s="1"/>
  <c r="F660" s="1"/>
  <c r="AR176" i="42" s="1"/>
  <c r="S642" i="30" a="1"/>
  <c r="S642" s="1"/>
  <c r="S642" i="44" a="1"/>
  <c r="S642" s="1"/>
  <c r="T455"/>
  <c r="T455" i="30"/>
  <c r="T104" i="23"/>
  <c r="AL455" i="44"/>
  <c r="AL455" i="30"/>
  <c r="H642" a="1"/>
  <c r="H642" s="1"/>
  <c r="H642" i="44" a="1"/>
  <c r="H642" s="1"/>
  <c r="I455"/>
  <c r="I455" i="30"/>
  <c r="I104" i="23"/>
  <c r="AR455" i="44"/>
  <c r="AR455" i="30"/>
  <c r="AF455"/>
  <c r="AF455" i="44"/>
  <c r="AJ455"/>
  <c r="AJ455" i="30"/>
  <c r="F642" a="1"/>
  <c r="F642" s="1"/>
  <c r="F642" i="44" a="1"/>
  <c r="F642" s="1"/>
  <c r="G104" i="23"/>
  <c r="G125" s="1"/>
  <c r="G455" i="44"/>
  <c r="G455" i="30"/>
  <c r="L642" a="1"/>
  <c r="L642" s="1"/>
  <c r="L642" i="44" a="1"/>
  <c r="L642" s="1"/>
  <c r="M455"/>
  <c r="M104" i="23"/>
  <c r="M455" i="30"/>
  <c r="N642" i="44" a="1"/>
  <c r="N642" s="1"/>
  <c r="N642" i="30" a="1"/>
  <c r="N642" s="1"/>
  <c r="O455"/>
  <c r="O104" i="23"/>
  <c r="O455" i="44"/>
  <c r="W455" i="30"/>
  <c r="V642" i="44" a="1"/>
  <c r="V642" s="1"/>
  <c r="W104" i="23"/>
  <c r="W455" i="44"/>
  <c r="V642" i="30" a="1"/>
  <c r="V642" s="1"/>
  <c r="Q455" i="44"/>
  <c r="Q455" i="30"/>
  <c r="P642" a="1"/>
  <c r="P642" s="1"/>
  <c r="P642" i="44" a="1"/>
  <c r="P642" s="1"/>
  <c r="Q104" i="23"/>
  <c r="AE455" i="44"/>
  <c r="AE455" i="30"/>
  <c r="J455" i="44"/>
  <c r="I642" i="30" a="1"/>
  <c r="I642" s="1"/>
  <c r="I642" i="44" a="1"/>
  <c r="I642" s="1"/>
  <c r="J455" i="30"/>
  <c r="J104" i="23"/>
  <c r="D175" i="30"/>
  <c r="D197" s="1"/>
  <c r="B11" i="42"/>
  <c r="D74" i="30"/>
  <c r="D495"/>
  <c r="N456" i="44"/>
  <c r="M643" a="1"/>
  <c r="M643" s="1"/>
  <c r="M643" i="30" a="1"/>
  <c r="M643" s="1"/>
  <c r="N105" i="23"/>
  <c r="N456" i="30"/>
  <c r="R643" a="1"/>
  <c r="R643" s="1"/>
  <c r="R643" i="44" a="1"/>
  <c r="R643" s="1"/>
  <c r="S456"/>
  <c r="S456" i="30"/>
  <c r="S105" i="23"/>
  <c r="AF456" i="30"/>
  <c r="AF456" i="44"/>
  <c r="W643" i="30" a="1"/>
  <c r="W643" s="1"/>
  <c r="X456"/>
  <c r="X456" i="44"/>
  <c r="W643" a="1"/>
  <c r="W643" s="1"/>
  <c r="X105" i="23"/>
  <c r="G643" i="30" a="1"/>
  <c r="G643" s="1"/>
  <c r="G643" i="44" a="1"/>
  <c r="G643" s="1"/>
  <c r="H456" i="30"/>
  <c r="H456" i="44"/>
  <c r="H105" i="23"/>
  <c r="H126" s="1"/>
  <c r="AB643" i="30" a="1"/>
  <c r="AB643" s="1"/>
  <c r="AB643" i="44" a="1"/>
  <c r="AB643" s="1"/>
  <c r="AC456"/>
  <c r="AC456" i="30"/>
  <c r="AC105" i="23"/>
  <c r="F479" i="30" a="1"/>
  <c r="F479" s="1"/>
  <c r="U643" i="44" a="1"/>
  <c r="U643" s="1"/>
  <c r="U643" i="30" a="1"/>
  <c r="U643" s="1"/>
  <c r="V456"/>
  <c r="V456" i="44"/>
  <c r="V105" i="23"/>
  <c r="X643" i="30" a="1"/>
  <c r="X643" s="1"/>
  <c r="Y456" i="44"/>
  <c r="Y456" i="30"/>
  <c r="X643" i="44" a="1"/>
  <c r="X643" s="1"/>
  <c r="Y105" i="23"/>
  <c r="AQ456" i="30"/>
  <c r="AQ456" i="44"/>
  <c r="AC643" a="1"/>
  <c r="AC643" s="1"/>
  <c r="AC643" i="30" a="1"/>
  <c r="AC643" s="1"/>
  <c r="AD456" i="44"/>
  <c r="AD456" i="30"/>
  <c r="AT456" i="44"/>
  <c r="AT456" i="30"/>
  <c r="AW456"/>
  <c r="AW456" i="44"/>
  <c r="M456"/>
  <c r="M456" i="30"/>
  <c r="L643" a="1"/>
  <c r="L643" s="1"/>
  <c r="M105" i="23"/>
  <c r="L643" i="44" a="1"/>
  <c r="L643" s="1"/>
  <c r="AP456" i="30"/>
  <c r="AP456" i="44"/>
  <c r="Q105" i="23"/>
  <c r="P643" i="44" a="1"/>
  <c r="P643" s="1"/>
  <c r="Q456" i="30"/>
  <c r="P643" a="1"/>
  <c r="P643" s="1"/>
  <c r="Q456" i="44"/>
  <c r="AS456"/>
  <c r="AS456" i="30"/>
  <c r="AM456"/>
  <c r="AM456" i="44"/>
  <c r="F479" a="1"/>
  <c r="F479" s="1"/>
  <c r="O643" a="1"/>
  <c r="O643" s="1"/>
  <c r="P105" i="23"/>
  <c r="P456" i="30"/>
  <c r="P456" i="44"/>
  <c r="O643" i="30" a="1"/>
  <c r="O643" s="1"/>
  <c r="R105" i="23"/>
  <c r="R456" i="44"/>
  <c r="R456" i="30"/>
  <c r="Q643" a="1"/>
  <c r="Q643" s="1"/>
  <c r="Q643" i="44" a="1"/>
  <c r="Q643" s="1"/>
  <c r="AR456" i="30"/>
  <c r="AR456" i="44"/>
  <c r="V643" i="30" a="1"/>
  <c r="V643" s="1"/>
  <c r="V643" i="44" a="1"/>
  <c r="V643" s="1"/>
  <c r="W105" i="23"/>
  <c r="W456" i="44"/>
  <c r="W456" i="30"/>
  <c r="AU311" i="23"/>
  <c r="AG476" i="30" a="1"/>
  <c r="AG476" s="1"/>
  <c r="AT455" i="44"/>
  <c r="AT455" i="30"/>
  <c r="AO455"/>
  <c r="AO455" i="44"/>
  <c r="J642" a="1"/>
  <c r="J642" s="1"/>
  <c r="J642" i="30" a="1"/>
  <c r="J642" s="1"/>
  <c r="K455" i="44"/>
  <c r="K455" i="30"/>
  <c r="K104" i="23"/>
  <c r="Z642" i="44" a="1"/>
  <c r="Z642" s="1"/>
  <c r="AA455"/>
  <c r="AA455" i="30"/>
  <c r="Z642" a="1"/>
  <c r="Z642" s="1"/>
  <c r="AA104" i="23"/>
  <c r="AM455" i="44"/>
  <c r="AM455" i="30"/>
  <c r="G642" i="44" a="1"/>
  <c r="G642" s="1"/>
  <c r="G654" s="1"/>
  <c r="G642" i="30" a="1"/>
  <c r="G642" s="1"/>
  <c r="G654" s="1"/>
  <c r="H104" i="23"/>
  <c r="H125" s="1"/>
  <c r="H455" i="30"/>
  <c r="H478" s="1" a="1"/>
  <c r="H478" s="1"/>
  <c r="H455" i="44"/>
  <c r="R642" i="30" a="1"/>
  <c r="R642" s="1"/>
  <c r="R654" s="1"/>
  <c r="L54" i="33" s="1"/>
  <c r="R642" i="44" a="1"/>
  <c r="R642" s="1"/>
  <c r="R654" s="1"/>
  <c r="L113" i="33" s="1"/>
  <c r="S455" i="44"/>
  <c r="S104" i="23"/>
  <c r="S455" i="30"/>
  <c r="V455" i="44"/>
  <c r="U642" i="30" a="1"/>
  <c r="U642" s="1"/>
  <c r="U654" s="1"/>
  <c r="O54" i="33" s="1"/>
  <c r="V455" i="30"/>
  <c r="U642" i="44" a="1"/>
  <c r="U642" s="1"/>
  <c r="V104" i="23"/>
  <c r="AN455" i="30"/>
  <c r="AN455" i="44"/>
  <c r="AH455"/>
  <c r="AH455" i="30"/>
  <c r="AK455" i="44"/>
  <c r="AK455" i="30"/>
  <c r="AV455"/>
  <c r="AV455" i="44"/>
  <c r="AI455" i="30"/>
  <c r="AI455" i="44"/>
  <c r="I478" i="30" a="1"/>
  <c r="I478" s="1"/>
  <c r="F478" a="1"/>
  <c r="F478" s="1"/>
  <c r="M478" a="1"/>
  <c r="M478" s="1"/>
  <c r="Q642" a="1"/>
  <c r="Q642" s="1"/>
  <c r="Q642" i="44" a="1"/>
  <c r="Q642" s="1"/>
  <c r="R455" i="30"/>
  <c r="R455" i="44"/>
  <c r="R104" i="23"/>
  <c r="T642" i="44" a="1"/>
  <c r="T642" s="1"/>
  <c r="U455" i="30"/>
  <c r="U104" i="23"/>
  <c r="U455" i="44"/>
  <c r="T642" i="30" a="1"/>
  <c r="T642" s="1"/>
  <c r="AB455" i="44"/>
  <c r="AA642" a="1"/>
  <c r="AA642" s="1"/>
  <c r="AB455" i="30"/>
  <c r="AA642" a="1"/>
  <c r="AA642" s="1"/>
  <c r="AB104" i="23"/>
  <c r="AW455" i="30"/>
  <c r="AW455" i="44"/>
  <c r="X455"/>
  <c r="W642" a="1"/>
  <c r="W642" s="1"/>
  <c r="X104" i="23"/>
  <c r="X455" i="30"/>
  <c r="W642" a="1"/>
  <c r="W642" s="1"/>
  <c r="AU455"/>
  <c r="AU455" i="44"/>
  <c r="Z455" i="30"/>
  <c r="Z455" i="44"/>
  <c r="Y642" a="1"/>
  <c r="Y642" s="1"/>
  <c r="Y642" i="30" a="1"/>
  <c r="Y642" s="1"/>
  <c r="Z104" i="23"/>
  <c r="AP455" i="44"/>
  <c r="AP455" i="30"/>
  <c r="BO323" i="23"/>
  <c r="BO340" s="1"/>
  <c r="AV340"/>
  <c r="AW323"/>
  <c r="D430" i="44"/>
  <c r="AP66" i="42" s="1"/>
  <c r="D175" i="44"/>
  <c r="D197" s="1"/>
  <c r="D74"/>
  <c r="AP11" i="42"/>
  <c r="D495" i="44"/>
  <c r="AN456"/>
  <c r="AN456" i="30"/>
  <c r="AU456" i="44"/>
  <c r="AU456" i="30"/>
  <c r="J643" i="44" a="1"/>
  <c r="J643" s="1"/>
  <c r="K105" i="23"/>
  <c r="K456" i="30"/>
  <c r="K456" i="44"/>
  <c r="J643" i="30" a="1"/>
  <c r="J643" s="1"/>
  <c r="AI456" i="44"/>
  <c r="AI456" i="30"/>
  <c r="S643" i="44" a="1"/>
  <c r="S643" s="1"/>
  <c r="S654" s="1"/>
  <c r="M113" i="33" s="1"/>
  <c r="S643" i="30" a="1"/>
  <c r="S643" s="1"/>
  <c r="T456"/>
  <c r="T456" i="44"/>
  <c r="T105" i="23"/>
  <c r="AA643" i="30" a="1"/>
  <c r="AA643" s="1"/>
  <c r="AB456"/>
  <c r="AA643" i="44" a="1"/>
  <c r="AA643" s="1"/>
  <c r="AA654" s="1"/>
  <c r="U113" i="33" s="1"/>
  <c r="AB456" i="44"/>
  <c r="AB105" i="23"/>
  <c r="AG456" i="44"/>
  <c r="AG456" i="30"/>
  <c r="AV456" i="44"/>
  <c r="AV456" i="30"/>
  <c r="AH456" i="44"/>
  <c r="AH456" i="30"/>
  <c r="I456" i="44"/>
  <c r="I456" i="30"/>
  <c r="H643" a="1"/>
  <c r="H643" s="1"/>
  <c r="H643" i="44" a="1"/>
  <c r="H643" s="1"/>
  <c r="I105" i="23"/>
  <c r="AK456" i="30"/>
  <c r="AK456" i="44"/>
  <c r="T643" i="30" a="1"/>
  <c r="T643" s="1"/>
  <c r="T654" s="1"/>
  <c r="N54" i="33" s="1"/>
  <c r="T643" i="44" a="1"/>
  <c r="T643" s="1"/>
  <c r="U456" i="30"/>
  <c r="U456" i="44"/>
  <c r="U105" i="23"/>
  <c r="AL456" i="44"/>
  <c r="AL456" i="30"/>
  <c r="AO456" i="44"/>
  <c r="AO456" i="30"/>
  <c r="I643" i="44" a="1"/>
  <c r="I643" s="1"/>
  <c r="J456" i="30"/>
  <c r="J456" i="44"/>
  <c r="I643" i="30" a="1"/>
  <c r="I643" s="1"/>
  <c r="J105" i="23"/>
  <c r="AJ456" i="30"/>
  <c r="AJ456" i="44"/>
  <c r="O456" i="30"/>
  <c r="O456" i="44"/>
  <c r="N643" i="30" a="1"/>
  <c r="N643" s="1"/>
  <c r="N654" s="1"/>
  <c r="H54" i="33" s="1"/>
  <c r="N643" i="44" a="1"/>
  <c r="N643" s="1"/>
  <c r="O105" i="23"/>
  <c r="Y643" i="44" a="1"/>
  <c r="Y643" s="1"/>
  <c r="Y643" i="30" a="1"/>
  <c r="Y643" s="1"/>
  <c r="Z456" i="44"/>
  <c r="Z456" i="30"/>
  <c r="AS479" s="1" a="1"/>
  <c r="AS479" s="1"/>
  <c r="Z105" i="23"/>
  <c r="AE456" i="44"/>
  <c r="AE456" i="30"/>
  <c r="G456" i="44"/>
  <c r="Z479" s="1" a="1"/>
  <c r="Z479" s="1"/>
  <c r="F643" i="30" a="1"/>
  <c r="F643" s="1"/>
  <c r="G456"/>
  <c r="F643" i="44" a="1"/>
  <c r="F643" s="1"/>
  <c r="G105" i="23"/>
  <c r="G126" s="1"/>
  <c r="Z643" i="30" a="1"/>
  <c r="Z643" s="1"/>
  <c r="AA456" i="44"/>
  <c r="AT479" s="1" a="1"/>
  <c r="AT479" s="1"/>
  <c r="AA456" i="30"/>
  <c r="AA105" i="23"/>
  <c r="Z643" i="44" a="1"/>
  <c r="Z643" s="1"/>
  <c r="L456" i="30"/>
  <c r="AE479" s="1" a="1"/>
  <c r="AE479" s="1"/>
  <c r="L105" i="23"/>
  <c r="K643" i="30" a="1"/>
  <c r="K643" s="1"/>
  <c r="L456" i="44"/>
  <c r="K643" a="1"/>
  <c r="K643" s="1"/>
  <c r="AQ483" i="30" a="1"/>
  <c r="AQ483" s="1"/>
  <c r="AL483" a="1"/>
  <c r="AL483" s="1"/>
  <c r="AP483" a="1"/>
  <c r="AP483" s="1"/>
  <c r="E642" a="1"/>
  <c r="E642" s="1"/>
  <c r="E654" s="1"/>
  <c r="C30" i="33"/>
  <c r="L82" i="30"/>
  <c r="M18"/>
  <c r="J19" i="42"/>
  <c r="L400" i="30"/>
  <c r="L183"/>
  <c r="L205" s="1"/>
  <c r="L503"/>
  <c r="M14" i="44"/>
  <c r="L499"/>
  <c r="L78"/>
  <c r="L179"/>
  <c r="L201" s="1"/>
  <c r="AX15" i="42"/>
  <c r="BR319" i="23"/>
  <c r="BR351" s="1"/>
  <c r="AS351"/>
  <c r="N476" i="30" a="1"/>
  <c r="N476" s="1"/>
  <c r="AH476" a="1"/>
  <c r="AH476" s="1"/>
  <c r="G489" a="1"/>
  <c r="G489" s="1"/>
  <c r="H489" a="1"/>
  <c r="H489" s="1"/>
  <c r="L489" a="1"/>
  <c r="L489" s="1"/>
  <c r="M489" a="1"/>
  <c r="M489" s="1"/>
  <c r="Q489" a="1"/>
  <c r="Q489" s="1"/>
  <c r="T489" a="1"/>
  <c r="T489" s="1"/>
  <c r="P489" a="1"/>
  <c r="P489" s="1"/>
  <c r="V489" a="1"/>
  <c r="V489" s="1"/>
  <c r="Y489" a="1"/>
  <c r="Y489" s="1"/>
  <c r="W489" a="1"/>
  <c r="W489" s="1"/>
  <c r="AA489" a="1"/>
  <c r="AA489" s="1"/>
  <c r="AC489" a="1"/>
  <c r="AC489" s="1"/>
  <c r="AQ489" a="1"/>
  <c r="AQ489" s="1"/>
  <c r="AT489" a="1"/>
  <c r="AT489" s="1"/>
  <c r="AL489" a="1"/>
  <c r="AL489" s="1"/>
  <c r="AE489" a="1"/>
  <c r="AE489" s="1"/>
  <c r="AD489" a="1"/>
  <c r="AD489" s="1"/>
  <c r="AS489" a="1"/>
  <c r="AS489" s="1"/>
  <c r="AK489" a="1"/>
  <c r="AK489" s="1"/>
  <c r="AO489" a="1"/>
  <c r="AO489" s="1"/>
  <c r="AF489" a="1"/>
  <c r="AF489" s="1"/>
  <c r="AI489" a="1"/>
  <c r="AI489" s="1"/>
  <c r="I489" a="1"/>
  <c r="I489" s="1"/>
  <c r="J489" a="1"/>
  <c r="J489" s="1"/>
  <c r="K489" a="1"/>
  <c r="K489" s="1"/>
  <c r="N489" a="1"/>
  <c r="N489" s="1"/>
  <c r="S489" a="1"/>
  <c r="S489" s="1"/>
  <c r="O489" a="1"/>
  <c r="O489" s="1"/>
  <c r="R489" a="1"/>
  <c r="R489" s="1"/>
  <c r="X489" a="1"/>
  <c r="X489" s="1"/>
  <c r="U489" a="1"/>
  <c r="U489" s="1"/>
  <c r="Z489" a="1"/>
  <c r="Z489" s="1"/>
  <c r="AB489" a="1"/>
  <c r="AB489" s="1"/>
  <c r="AJ489" a="1"/>
  <c r="AJ489" s="1"/>
  <c r="AW489" a="1"/>
  <c r="AW489" s="1"/>
  <c r="AV489" a="1"/>
  <c r="AV489" s="1"/>
  <c r="AN489" a="1"/>
  <c r="AN489" s="1"/>
  <c r="AG489" a="1"/>
  <c r="AG489" s="1"/>
  <c r="AR489" a="1"/>
  <c r="AR489" s="1"/>
  <c r="AU489" a="1"/>
  <c r="AU489" s="1"/>
  <c r="AM489" a="1"/>
  <c r="AM489" s="1"/>
  <c r="AP489" a="1"/>
  <c r="AP489" s="1"/>
  <c r="AH489" a="1"/>
  <c r="AH489" s="1"/>
  <c r="AR359" i="23"/>
  <c r="BS329"/>
  <c r="BS359" s="1"/>
  <c r="BS319"/>
  <c r="BS351" s="1"/>
  <c r="AR351"/>
  <c r="I476" i="44" a="1"/>
  <c r="I476" s="1"/>
  <c r="O476" a="1"/>
  <c r="O476" s="1"/>
  <c r="M476" a="1"/>
  <c r="M476" s="1"/>
  <c r="AD476" a="1"/>
  <c r="AD476" s="1"/>
  <c r="AC476" a="1"/>
  <c r="AC476" s="1"/>
  <c r="R476" a="1"/>
  <c r="R476" s="1"/>
  <c r="AA476" a="1"/>
  <c r="AA476" s="1"/>
  <c r="AB476" a="1"/>
  <c r="AB476" s="1"/>
  <c r="Y476" a="1"/>
  <c r="Y476" s="1"/>
  <c r="T476" a="1"/>
  <c r="T476" s="1"/>
  <c r="K476" a="1"/>
  <c r="K476" s="1"/>
  <c r="V476" a="1"/>
  <c r="V476" s="1"/>
  <c r="G476" a="1"/>
  <c r="G476" s="1"/>
  <c r="X476" a="1"/>
  <c r="X476" s="1"/>
  <c r="J476" a="1"/>
  <c r="J476" s="1"/>
  <c r="Q476" a="1"/>
  <c r="Q476" s="1"/>
  <c r="Z476" a="1"/>
  <c r="Z476" s="1"/>
  <c r="U476" a="1"/>
  <c r="U476" s="1"/>
  <c r="AE476" a="1"/>
  <c r="AE476" s="1"/>
  <c r="P476" a="1"/>
  <c r="P476" s="1"/>
  <c r="S476" a="1"/>
  <c r="S476" s="1"/>
  <c r="H476" a="1"/>
  <c r="H476" s="1"/>
  <c r="N476" a="1"/>
  <c r="N476" s="1"/>
  <c r="L476" a="1"/>
  <c r="L476" s="1"/>
  <c r="W476" a="1"/>
  <c r="W476" s="1"/>
  <c r="H482" i="30" a="1"/>
  <c r="H482" s="1"/>
  <c r="T482" a="1"/>
  <c r="T482" s="1"/>
  <c r="N482" a="1"/>
  <c r="N482" s="1"/>
  <c r="L482" a="1"/>
  <c r="L482" s="1"/>
  <c r="S482" a="1"/>
  <c r="S482" s="1"/>
  <c r="Q482" a="1"/>
  <c r="Q482" s="1"/>
  <c r="K482" a="1"/>
  <c r="K482" s="1"/>
  <c r="G482" a="1"/>
  <c r="G482" s="1"/>
  <c r="R482" a="1"/>
  <c r="R482" s="1"/>
  <c r="P482" a="1"/>
  <c r="P482" s="1"/>
  <c r="I482" a="1"/>
  <c r="I482" s="1"/>
  <c r="U482" a="1"/>
  <c r="U482" s="1"/>
  <c r="O482" a="1"/>
  <c r="O482" s="1"/>
  <c r="M482" a="1"/>
  <c r="M482" s="1"/>
  <c r="J482" a="1"/>
  <c r="J482" s="1"/>
  <c r="R482" i="44" a="1"/>
  <c r="R482" s="1"/>
  <c r="O482" a="1"/>
  <c r="O482" s="1"/>
  <c r="M482" a="1"/>
  <c r="M482" s="1"/>
  <c r="L482" a="1"/>
  <c r="L482" s="1"/>
  <c r="J482" a="1"/>
  <c r="J482" s="1"/>
  <c r="N482" a="1"/>
  <c r="N482" s="1"/>
  <c r="K482" a="1"/>
  <c r="K482" s="1"/>
  <c r="U482" a="1"/>
  <c r="U482" s="1"/>
  <c r="P482" a="1"/>
  <c r="P482" s="1"/>
  <c r="S482" a="1"/>
  <c r="S482" s="1"/>
  <c r="T482" a="1"/>
  <c r="T482" s="1"/>
  <c r="Q482" a="1"/>
  <c r="Q482" s="1"/>
  <c r="H482" a="1"/>
  <c r="H482" s="1"/>
  <c r="G482" a="1"/>
  <c r="G482" s="1"/>
  <c r="I482" a="1"/>
  <c r="I482" s="1"/>
  <c r="BR331" i="23"/>
  <c r="BM310"/>
  <c r="BM342" s="1"/>
  <c r="AX342"/>
  <c r="AY310"/>
  <c r="K483" i="30" a="1"/>
  <c r="K483" s="1"/>
  <c r="P483" a="1"/>
  <c r="P483" s="1"/>
  <c r="T483" a="1"/>
  <c r="T483" s="1"/>
  <c r="M483" a="1"/>
  <c r="M483" s="1"/>
  <c r="O483" a="1"/>
  <c r="O483" s="1"/>
  <c r="S483" a="1"/>
  <c r="S483" s="1"/>
  <c r="V483" a="1"/>
  <c r="V483" s="1"/>
  <c r="AA483" a="1"/>
  <c r="AA483" s="1"/>
  <c r="AC483" a="1"/>
  <c r="AC483" s="1"/>
  <c r="W483" a="1"/>
  <c r="W483" s="1"/>
  <c r="Z483" a="1"/>
  <c r="Z483" s="1"/>
  <c r="AD483" a="1"/>
  <c r="AD483" s="1"/>
  <c r="J483" a="1"/>
  <c r="J483" s="1"/>
  <c r="N483" a="1"/>
  <c r="N483" s="1"/>
  <c r="R483" a="1"/>
  <c r="R483" s="1"/>
  <c r="I483" a="1"/>
  <c r="I483" s="1"/>
  <c r="L483" a="1"/>
  <c r="L483" s="1"/>
  <c r="Q483" a="1"/>
  <c r="Q483" s="1"/>
  <c r="U483" a="1"/>
  <c r="U483" s="1"/>
  <c r="X483" a="1"/>
  <c r="X483" s="1"/>
  <c r="AB483" a="1"/>
  <c r="AB483" s="1"/>
  <c r="Y483" a="1"/>
  <c r="Y483" s="1"/>
  <c r="AE483" a="1"/>
  <c r="AE483" s="1"/>
  <c r="G489" i="44" a="1"/>
  <c r="G489" s="1"/>
  <c r="K489" a="1"/>
  <c r="K489" s="1"/>
  <c r="J489" a="1"/>
  <c r="J489" s="1"/>
  <c r="AC489" a="1"/>
  <c r="AC489" s="1"/>
  <c r="R489" a="1"/>
  <c r="R489" s="1"/>
  <c r="AA489" a="1"/>
  <c r="AA489" s="1"/>
  <c r="H489" a="1"/>
  <c r="H489" s="1"/>
  <c r="L489" a="1"/>
  <c r="L489" s="1"/>
  <c r="N489" a="1"/>
  <c r="N489" s="1"/>
  <c r="Z489" a="1"/>
  <c r="Z489" s="1"/>
  <c r="X489" a="1"/>
  <c r="X489" s="1"/>
  <c r="P489" a="1"/>
  <c r="P489" s="1"/>
  <c r="AF489" a="1"/>
  <c r="AF489" s="1"/>
  <c r="AK489" a="1"/>
  <c r="AK489" s="1"/>
  <c r="AO489" a="1"/>
  <c r="AO489" s="1"/>
  <c r="AH489" a="1"/>
  <c r="AH489" s="1"/>
  <c r="AI489" a="1"/>
  <c r="AI489" s="1"/>
  <c r="AN489" a="1"/>
  <c r="AN489" s="1"/>
  <c r="AG489" a="1"/>
  <c r="AG489" s="1"/>
  <c r="AQ489" a="1"/>
  <c r="AQ489" s="1"/>
  <c r="AV489" a="1"/>
  <c r="AV489" s="1"/>
  <c r="AP489" a="1"/>
  <c r="AP489" s="1"/>
  <c r="O489" a="1"/>
  <c r="O489" s="1"/>
  <c r="U489" a="1"/>
  <c r="U489" s="1"/>
  <c r="AB489" a="1"/>
  <c r="AB489" s="1"/>
  <c r="S489" a="1"/>
  <c r="S489" s="1"/>
  <c r="W489" a="1"/>
  <c r="W489" s="1"/>
  <c r="I489" a="1"/>
  <c r="I489" s="1"/>
  <c r="M489" a="1"/>
  <c r="M489" s="1"/>
  <c r="Q489" a="1"/>
  <c r="Q489" s="1"/>
  <c r="Y489" a="1"/>
  <c r="Y489" s="1"/>
  <c r="V489" a="1"/>
  <c r="V489" s="1"/>
  <c r="T489" a="1"/>
  <c r="T489" s="1"/>
  <c r="AJ489" a="1"/>
  <c r="AJ489" s="1"/>
  <c r="AW489" a="1"/>
  <c r="AW489" s="1"/>
  <c r="AT489" a="1"/>
  <c r="AT489" s="1"/>
  <c r="AR489" a="1"/>
  <c r="AR489" s="1"/>
  <c r="AE489" a="1"/>
  <c r="AE489" s="1"/>
  <c r="AL489" a="1"/>
  <c r="AL489" s="1"/>
  <c r="AU489" a="1"/>
  <c r="AU489" s="1"/>
  <c r="AM489" a="1"/>
  <c r="AM489" s="1"/>
  <c r="AS489" a="1"/>
  <c r="AS489" s="1"/>
  <c r="AD489" a="1"/>
  <c r="AD489" s="1"/>
  <c r="K476" i="30" a="1"/>
  <c r="K476" s="1"/>
  <c r="AE476" a="1"/>
  <c r="AE476" s="1"/>
  <c r="AB476" a="1"/>
  <c r="AB476" s="1"/>
  <c r="U476" a="1"/>
  <c r="U476" s="1"/>
  <c r="S476" a="1"/>
  <c r="S476" s="1"/>
  <c r="O476" a="1"/>
  <c r="O476" s="1"/>
  <c r="T476" a="1"/>
  <c r="T476" s="1"/>
  <c r="AC476" a="1"/>
  <c r="AC476" s="1"/>
  <c r="V476" a="1"/>
  <c r="V476" s="1"/>
  <c r="W476" a="1"/>
  <c r="W476" s="1"/>
  <c r="P476" a="1"/>
  <c r="P476" s="1"/>
  <c r="J476" a="1"/>
  <c r="J476" s="1"/>
  <c r="AD476" a="1"/>
  <c r="AD476" s="1"/>
  <c r="X476" a="1"/>
  <c r="X476" s="1"/>
  <c r="Z476" a="1"/>
  <c r="Z476" s="1"/>
  <c r="Q476" a="1"/>
  <c r="Q476" s="1"/>
  <c r="M476" a="1"/>
  <c r="M476" s="1"/>
  <c r="L476" a="1"/>
  <c r="L476" s="1"/>
  <c r="Y476" a="1"/>
  <c r="Y476" s="1"/>
  <c r="AA476" a="1"/>
  <c r="AA476" s="1"/>
  <c r="R476" a="1"/>
  <c r="R476" s="1"/>
  <c r="AT319" i="23"/>
  <c r="AK476" i="30" a="1"/>
  <c r="AK476" s="1"/>
  <c r="AM476" i="44" a="1"/>
  <c r="AM476" s="1"/>
  <c r="AI476" a="1"/>
  <c r="AI476" s="1"/>
  <c r="AV476" i="30" a="1"/>
  <c r="AV476" s="1"/>
  <c r="AA482" i="44" a="1"/>
  <c r="AA482" s="1"/>
  <c r="AL482" a="1"/>
  <c r="AL482" s="1"/>
  <c r="AG482" a="1"/>
  <c r="AG482" s="1"/>
  <c r="AG482" i="30" a="1"/>
  <c r="AG482" s="1"/>
  <c r="Z482" a="1"/>
  <c r="Z482" s="1"/>
  <c r="Z482" i="44" a="1"/>
  <c r="Z482" s="1"/>
  <c r="AT482" a="1"/>
  <c r="AT482" s="1"/>
  <c r="AP482" a="1"/>
  <c r="AP482" s="1"/>
  <c r="AR482" i="30" a="1"/>
  <c r="AR482" s="1"/>
  <c r="AF482" a="1"/>
  <c r="AF482" s="1"/>
  <c r="AQ482" a="1"/>
  <c r="AQ482" s="1"/>
  <c r="AK482" i="44" a="1"/>
  <c r="AK482" s="1"/>
  <c r="AI482" i="30" a="1"/>
  <c r="AI482" s="1"/>
  <c r="AS483" i="44" a="1"/>
  <c r="AS483" s="1"/>
  <c r="AK483" a="1"/>
  <c r="AK483" s="1"/>
  <c r="AI483" a="1"/>
  <c r="AI483" s="1"/>
  <c r="AW483" a="1"/>
  <c r="AW483" s="1"/>
  <c r="AJ483" a="1"/>
  <c r="AJ483" s="1"/>
  <c r="AE483" a="1"/>
  <c r="AE483" s="1"/>
  <c r="AU331" i="23"/>
  <c r="AV331" s="1"/>
  <c r="AL476" i="30" a="1"/>
  <c r="AL476" s="1"/>
  <c r="AL476" i="44" a="1"/>
  <c r="AL476" s="1"/>
  <c r="AN476" i="30" a="1"/>
  <c r="AN476" s="1"/>
  <c r="AT476" a="1"/>
  <c r="AT476" s="1"/>
  <c r="AT476" i="44" a="1"/>
  <c r="AT476" s="1"/>
  <c r="AU476" i="30" a="1"/>
  <c r="AU476" s="1"/>
  <c r="AW476" i="44" a="1"/>
  <c r="AW476" s="1"/>
  <c r="AJ476" i="30" a="1"/>
  <c r="AJ476" s="1"/>
  <c r="AS476" a="1"/>
  <c r="AS476" s="1"/>
  <c r="AO482" a="1"/>
  <c r="AO482" s="1"/>
  <c r="AH482" a="1"/>
  <c r="AH482" s="1"/>
  <c r="V482" i="44" a="1"/>
  <c r="V482" s="1"/>
  <c r="AM482" i="30" a="1"/>
  <c r="AM482" s="1"/>
  <c r="AN482" i="44" a="1"/>
  <c r="AN482" s="1"/>
  <c r="AD482" i="30" a="1"/>
  <c r="AD482" s="1"/>
  <c r="AS482" i="44" a="1"/>
  <c r="AS482" s="1"/>
  <c r="AW482" i="30" a="1"/>
  <c r="AW482" s="1"/>
  <c r="W482" i="44" a="1"/>
  <c r="W482" s="1"/>
  <c r="W482" i="30" a="1"/>
  <c r="W482" s="1"/>
  <c r="AN483" i="44" a="1"/>
  <c r="AN483" s="1"/>
  <c r="AV483" a="1"/>
  <c r="AV483" s="1"/>
  <c r="AO483" a="1"/>
  <c r="AO483" s="1"/>
  <c r="AD483" a="1"/>
  <c r="AD483" s="1"/>
  <c r="R483" a="1"/>
  <c r="R483" s="1"/>
  <c r="I483" a="1"/>
  <c r="I483" s="1"/>
  <c r="Y483" a="1"/>
  <c r="Y483" s="1"/>
  <c r="G483" a="1"/>
  <c r="G483" s="1"/>
  <c r="O483" a="1"/>
  <c r="O483" s="1"/>
  <c r="Z483" a="1"/>
  <c r="Z483" s="1"/>
  <c r="Q483" a="1"/>
  <c r="Q483" s="1"/>
  <c r="T483" a="1"/>
  <c r="T483" s="1"/>
  <c r="S483" a="1"/>
  <c r="S483" s="1"/>
  <c r="L483" a="1"/>
  <c r="L483" s="1"/>
  <c r="W483" a="1"/>
  <c r="W483" s="1"/>
  <c r="AG483" a="1"/>
  <c r="AG483" s="1"/>
  <c r="AF483" a="1"/>
  <c r="AF483" s="1"/>
  <c r="AJ483" i="30" a="1"/>
  <c r="AJ483" s="1"/>
  <c r="AO483" a="1"/>
  <c r="AO483" s="1"/>
  <c r="AK483" a="1"/>
  <c r="AK483" s="1"/>
  <c r="D654"/>
  <c r="AR476" i="44" a="1"/>
  <c r="AR476" s="1"/>
  <c r="AR476" i="30" a="1"/>
  <c r="AR476" s="1"/>
  <c r="AG476" i="44" a="1"/>
  <c r="AG476" s="1"/>
  <c r="AK476" a="1"/>
  <c r="AK476" s="1"/>
  <c r="AM476" i="30" a="1"/>
  <c r="AM476" s="1"/>
  <c r="AH476" i="44" a="1"/>
  <c r="AH476" s="1"/>
  <c r="I476" i="30" a="1"/>
  <c r="I476" s="1"/>
  <c r="AI476" a="1"/>
  <c r="AI476" s="1"/>
  <c r="AF476" i="44" a="1"/>
  <c r="AF476" s="1"/>
  <c r="AF476" i="30" a="1"/>
  <c r="AF476" s="1"/>
  <c r="AO476" a="1"/>
  <c r="AO476" s="1"/>
  <c r="AO476" i="44" a="1"/>
  <c r="AO476" s="1"/>
  <c r="AV476" a="1"/>
  <c r="AV476" s="1"/>
  <c r="AV482" i="30" a="1"/>
  <c r="AV482" s="1"/>
  <c r="AU482" i="44" a="1"/>
  <c r="AU482" s="1"/>
  <c r="AA482" i="30" a="1"/>
  <c r="AA482" s="1"/>
  <c r="AC482" a="1"/>
  <c r="AC482" s="1"/>
  <c r="AC482" i="44" a="1"/>
  <c r="AC482" s="1"/>
  <c r="AL482" i="30" a="1"/>
  <c r="AL482" s="1"/>
  <c r="AT482" a="1"/>
  <c r="AT482" s="1"/>
  <c r="AP482" a="1"/>
  <c r="AP482" s="1"/>
  <c r="AE482" a="1"/>
  <c r="AE482" s="1"/>
  <c r="AE482" i="44" a="1"/>
  <c r="AE482" s="1"/>
  <c r="AR482" a="1"/>
  <c r="AR482" s="1"/>
  <c r="AF482" a="1"/>
  <c r="AF482" s="1"/>
  <c r="AJ482" a="1"/>
  <c r="AJ482" s="1"/>
  <c r="AJ482" i="30" a="1"/>
  <c r="AJ482" s="1"/>
  <c r="AQ482" i="44" a="1"/>
  <c r="AQ482" s="1"/>
  <c r="AK482" i="30" a="1"/>
  <c r="AK482" s="1"/>
  <c r="AI482" i="44" a="1"/>
  <c r="AI482" s="1"/>
  <c r="AH483" a="1"/>
  <c r="AH483" s="1"/>
  <c r="AR483" a="1"/>
  <c r="AR483" s="1"/>
  <c r="AU483" a="1"/>
  <c r="AU483" s="1"/>
  <c r="AQ483" a="1"/>
  <c r="AQ483" s="1"/>
  <c r="AS329" i="23"/>
  <c r="AU319"/>
  <c r="AQ476" i="44" a="1"/>
  <c r="AQ476" s="1"/>
  <c r="AQ476" i="30" a="1"/>
  <c r="AQ476" s="1"/>
  <c r="AN476" i="44" a="1"/>
  <c r="AN476" s="1"/>
  <c r="AU476" a="1"/>
  <c r="AU476" s="1"/>
  <c r="AP476" i="30" a="1"/>
  <c r="AP476" s="1"/>
  <c r="AP476" i="44" a="1"/>
  <c r="AP476" s="1"/>
  <c r="AW476" i="30" a="1"/>
  <c r="AW476" s="1"/>
  <c r="AJ476" i="44" a="1"/>
  <c r="AJ476" s="1"/>
  <c r="AS476" a="1"/>
  <c r="AS476" s="1"/>
  <c r="AO482" a="1"/>
  <c r="AO482" s="1"/>
  <c r="AH482" a="1"/>
  <c r="AH482" s="1"/>
  <c r="V482" i="30" a="1"/>
  <c r="V482" s="1"/>
  <c r="AM482" i="44" a="1"/>
  <c r="AM482" s="1"/>
  <c r="AN482" i="30" a="1"/>
  <c r="AN482" s="1"/>
  <c r="AD482" i="44" a="1"/>
  <c r="AD482" s="1"/>
  <c r="Y482" a="1"/>
  <c r="Y482" s="1"/>
  <c r="Y482" i="30" a="1"/>
  <c r="Y482" s="1"/>
  <c r="AS482" a="1"/>
  <c r="AS482" s="1"/>
  <c r="AW482" i="44" a="1"/>
  <c r="AW482" s="1"/>
  <c r="X482" i="30" a="1"/>
  <c r="X482" s="1"/>
  <c r="X482" i="44" a="1"/>
  <c r="X482" s="1"/>
  <c r="AT483" a="1"/>
  <c r="AT483" s="1"/>
  <c r="U483" a="1"/>
  <c r="U483" s="1"/>
  <c r="V483" a="1"/>
  <c r="V483" s="1"/>
  <c r="M483" a="1"/>
  <c r="M483" s="1"/>
  <c r="AB483" a="1"/>
  <c r="AB483" s="1"/>
  <c r="K483" a="1"/>
  <c r="K483" s="1"/>
  <c r="AC483" a="1"/>
  <c r="AC483" s="1"/>
  <c r="X483" a="1"/>
  <c r="X483" s="1"/>
  <c r="P483" a="1"/>
  <c r="P483" s="1"/>
  <c r="J483" a="1"/>
  <c r="J483" s="1"/>
  <c r="AA483" a="1"/>
  <c r="AA483" s="1"/>
  <c r="H483" a="1"/>
  <c r="H483" s="1"/>
  <c r="N483" a="1"/>
  <c r="N483" s="1"/>
  <c r="AL483" a="1"/>
  <c r="AL483" s="1"/>
  <c r="AM483" a="1"/>
  <c r="AM483" s="1"/>
  <c r="AP483" a="1"/>
  <c r="AP483" s="1"/>
  <c r="AG483" i="30" a="1"/>
  <c r="AG483" s="1"/>
  <c r="AF483" a="1"/>
  <c r="AF483" s="1"/>
  <c r="D73"/>
  <c r="D174"/>
  <c r="D196" s="1"/>
  <c r="D494"/>
  <c r="B10" i="42"/>
  <c r="D431" i="30"/>
  <c r="B67" i="42" s="1"/>
  <c r="D28" i="30"/>
  <c r="D29" s="1"/>
  <c r="D41"/>
  <c r="E47"/>
  <c r="E46"/>
  <c r="BN333" i="23"/>
  <c r="AY333"/>
  <c r="BL333" s="1"/>
  <c r="L22" i="44"/>
  <c r="K86"/>
  <c r="K187"/>
  <c r="K209" s="1"/>
  <c r="AW23" i="42"/>
  <c r="K507" i="44"/>
  <c r="K404"/>
  <c r="E46"/>
  <c r="E45"/>
  <c r="E47"/>
  <c r="E44"/>
  <c r="AP10" i="42"/>
  <c r="D494" i="44"/>
  <c r="D666" s="1"/>
  <c r="AP186" i="42" s="1"/>
  <c r="D174" i="44"/>
  <c r="D196" s="1"/>
  <c r="D73"/>
  <c r="D41"/>
  <c r="AW354" i="23"/>
  <c r="BN316"/>
  <c r="BN354" s="1"/>
  <c r="K507" i="30"/>
  <c r="K404"/>
  <c r="I23" i="42"/>
  <c r="L22" i="30"/>
  <c r="K86"/>
  <c r="K187"/>
  <c r="K209" s="1"/>
  <c r="AV354" i="23"/>
  <c r="BO316"/>
  <c r="BO354" s="1"/>
  <c r="AX316"/>
  <c r="L178" i="30"/>
  <c r="L200" s="1"/>
  <c r="L77"/>
  <c r="L498"/>
  <c r="M13"/>
  <c r="K14" i="42" s="1"/>
  <c r="AT355" i="23"/>
  <c r="BQ314"/>
  <c r="BQ355" s="1"/>
  <c r="BR330"/>
  <c r="BP313"/>
  <c r="AW318"/>
  <c r="AX318" s="1"/>
  <c r="AV352"/>
  <c r="BO318"/>
  <c r="BO352" s="1"/>
  <c r="AV311"/>
  <c r="BP311"/>
  <c r="AR355"/>
  <c r="BS314"/>
  <c r="BS355" s="1"/>
  <c r="BR325"/>
  <c r="BR344" s="1"/>
  <c r="AS344"/>
  <c r="BP312"/>
  <c r="BP347" s="1"/>
  <c r="AU347"/>
  <c r="AV312"/>
  <c r="BL349"/>
  <c r="BL348"/>
  <c r="H654" i="30"/>
  <c r="AV313" i="23"/>
  <c r="AU314"/>
  <c r="BQ320"/>
  <c r="BQ350" s="1"/>
  <c r="AT350"/>
  <c r="BS309"/>
  <c r="BS353" s="1"/>
  <c r="AR353"/>
  <c r="BR314"/>
  <c r="BR355" s="1"/>
  <c r="AS355"/>
  <c r="BR320"/>
  <c r="BR350" s="1"/>
  <c r="AS350"/>
  <c r="AU352"/>
  <c r="BP318"/>
  <c r="BP352" s="1"/>
  <c r="BQ318"/>
  <c r="BQ352" s="1"/>
  <c r="AT352"/>
  <c r="BS330"/>
  <c r="AT330"/>
  <c r="BQ330" s="1"/>
  <c r="BM348"/>
  <c r="BM349"/>
  <c r="BR332"/>
  <c r="AT332"/>
  <c r="AU320"/>
  <c r="AT325"/>
  <c r="AS309"/>
  <c r="AT309" s="1"/>
  <c r="BO328"/>
  <c r="AV358"/>
  <c r="AV356"/>
  <c r="AV357"/>
  <c r="BR322"/>
  <c r="BQ357"/>
  <c r="BQ356"/>
  <c r="BQ358"/>
  <c r="BS326"/>
  <c r="BS345" s="1"/>
  <c r="AR345"/>
  <c r="BQ321"/>
  <c r="BQ346" s="1"/>
  <c r="AT346"/>
  <c r="K654" i="30"/>
  <c r="E54" i="33" s="1"/>
  <c r="K654" i="44"/>
  <c r="E113" i="33" s="1"/>
  <c r="O654" i="30"/>
  <c r="I54" i="33" s="1"/>
  <c r="D654" i="44"/>
  <c r="E654"/>
  <c r="AU324" i="23"/>
  <c r="BQ324"/>
  <c r="BQ341" s="1"/>
  <c r="AT341"/>
  <c r="BR321"/>
  <c r="BR346" s="1"/>
  <c r="AS346"/>
  <c r="AU321"/>
  <c r="BP358"/>
  <c r="BP356"/>
  <c r="BP357"/>
  <c r="M654" i="44"/>
  <c r="G113" i="33" s="1"/>
  <c r="P654" i="44"/>
  <c r="J113" i="33" s="1"/>
  <c r="M654" i="30"/>
  <c r="G54" i="33" s="1"/>
  <c r="I654" i="30"/>
  <c r="C54" i="33" s="1"/>
  <c r="H654" i="44"/>
  <c r="AT322" i="23"/>
  <c r="BQ322" s="1"/>
  <c r="AV324"/>
  <c r="AS326"/>
  <c r="AW328"/>
  <c r="K192" i="30"/>
  <c r="K214" s="1"/>
  <c r="I28" i="42"/>
  <c r="K91" i="30"/>
  <c r="L27"/>
  <c r="L267" s="1"/>
  <c r="K512"/>
  <c r="K192" i="44"/>
  <c r="K214" s="1"/>
  <c r="AW28" i="42"/>
  <c r="K91" i="44"/>
  <c r="K512"/>
  <c r="L27"/>
  <c r="L267" s="1"/>
  <c r="J401" i="30"/>
  <c r="J504"/>
  <c r="J83"/>
  <c r="K19"/>
  <c r="J184"/>
  <c r="J206" s="1"/>
  <c r="H20" i="42"/>
  <c r="J504" i="44"/>
  <c r="J679" s="1"/>
  <c r="CC186" i="42" s="1"/>
  <c r="AV20"/>
  <c r="J83" i="44"/>
  <c r="K19"/>
  <c r="J184"/>
  <c r="J206" s="1"/>
  <c r="J401"/>
  <c r="J397" i="30"/>
  <c r="J500"/>
  <c r="J679" s="1"/>
  <c r="CC177" i="42" s="1"/>
  <c r="J180" i="30"/>
  <c r="J202" s="1"/>
  <c r="K15"/>
  <c r="H16" i="42"/>
  <c r="J79" i="30"/>
  <c r="I9" i="42"/>
  <c r="K493" i="30"/>
  <c r="K173"/>
  <c r="L8"/>
  <c r="K72"/>
  <c r="J75" i="44"/>
  <c r="J440"/>
  <c r="CD67" i="42" s="1"/>
  <c r="J496" i="44"/>
  <c r="J431"/>
  <c r="AV67" i="42" s="1"/>
  <c r="K11" i="44"/>
  <c r="AV12" i="42"/>
  <c r="J176" i="44"/>
  <c r="J198" s="1"/>
  <c r="J41"/>
  <c r="J28"/>
  <c r="J29" s="1"/>
  <c r="J75" i="30"/>
  <c r="J176"/>
  <c r="J198" s="1"/>
  <c r="J496"/>
  <c r="J430"/>
  <c r="H66" i="42" s="1"/>
  <c r="J440" i="30"/>
  <c r="CD66" i="42" s="1"/>
  <c r="H12"/>
  <c r="K11" i="30"/>
  <c r="J28"/>
  <c r="J29" s="1"/>
  <c r="J506"/>
  <c r="K21"/>
  <c r="J403"/>
  <c r="J186"/>
  <c r="J208" s="1"/>
  <c r="J85"/>
  <c r="H22" i="42"/>
  <c r="J266" i="44"/>
  <c r="L33" i="43"/>
  <c r="J266" i="30"/>
  <c r="C103" i="33"/>
  <c r="I271" i="44"/>
  <c r="I38" i="30"/>
  <c r="K37" i="43"/>
  <c r="I38" i="44"/>
  <c r="N12" i="43"/>
  <c r="O10"/>
  <c r="N55"/>
  <c r="N74" s="1"/>
  <c r="N56"/>
  <c r="N73" s="1"/>
  <c r="N14" s="1"/>
  <c r="O54"/>
  <c r="G45" i="44"/>
  <c r="G46"/>
  <c r="G44"/>
  <c r="G47"/>
  <c r="O57" i="43"/>
  <c r="O75" s="1"/>
  <c r="K164" i="42" s="1"/>
  <c r="AY164" s="1"/>
  <c r="P52" i="43"/>
  <c r="C44" i="33"/>
  <c r="I271" i="30"/>
  <c r="R268" i="44"/>
  <c r="R268" i="30"/>
  <c r="U29" i="43"/>
  <c r="M19"/>
  <c r="M23" s="1"/>
  <c r="M32" s="1"/>
  <c r="M16"/>
  <c r="L269" i="30"/>
  <c r="L269" i="44"/>
  <c r="O26" i="43"/>
  <c r="K40" i="44"/>
  <c r="K92" s="1"/>
  <c r="K40" i="30"/>
  <c r="K92" s="1"/>
  <c r="N27" i="43"/>
  <c r="G44" i="30"/>
  <c r="G45"/>
  <c r="G47"/>
  <c r="G46"/>
  <c r="M179"/>
  <c r="M78"/>
  <c r="N14"/>
  <c r="K15" i="42"/>
  <c r="M499" i="30"/>
  <c r="L201"/>
  <c r="M77" i="44"/>
  <c r="AY14" i="42"/>
  <c r="N13" i="44"/>
  <c r="M178"/>
  <c r="M200" s="1"/>
  <c r="M498"/>
  <c r="M186"/>
  <c r="AY22" i="42"/>
  <c r="N21" i="44"/>
  <c r="M85"/>
  <c r="M506"/>
  <c r="M403"/>
  <c r="L208"/>
  <c r="N16"/>
  <c r="M181"/>
  <c r="M93"/>
  <c r="AY17" i="42"/>
  <c r="M80" i="44"/>
  <c r="M501"/>
  <c r="M661" s="1"/>
  <c r="AY177" i="42" s="1"/>
  <c r="L203" i="44"/>
  <c r="N10"/>
  <c r="M175"/>
  <c r="M430"/>
  <c r="AY66" i="42" s="1"/>
  <c r="M74" i="44"/>
  <c r="AY11" i="42"/>
  <c r="M495" i="44"/>
  <c r="M81"/>
  <c r="M399"/>
  <c r="AY18" i="42"/>
  <c r="M94" i="44"/>
  <c r="M182"/>
  <c r="M502"/>
  <c r="N17"/>
  <c r="N15"/>
  <c r="M500"/>
  <c r="AY16" i="42"/>
  <c r="M180" i="44"/>
  <c r="M202" s="1"/>
  <c r="M79"/>
  <c r="AF44" i="24"/>
  <c r="AG44" s="1"/>
  <c r="AH44" s="1"/>
  <c r="AI44" s="1"/>
  <c r="AJ44" s="1"/>
  <c r="AK44" s="1"/>
  <c r="AL44" s="1"/>
  <c r="AM44" s="1"/>
  <c r="AN44" s="1"/>
  <c r="AO44" s="1"/>
  <c r="AP44" s="1"/>
  <c r="AQ44" s="1"/>
  <c r="AR44" s="1"/>
  <c r="AS44" s="1"/>
  <c r="AT44" s="1"/>
  <c r="AU44" s="1"/>
  <c r="AV44" s="1"/>
  <c r="AW44" s="1"/>
  <c r="AX44" s="1"/>
  <c r="AY44" s="1"/>
  <c r="S35"/>
  <c r="AZ47"/>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U38" s="1"/>
  <c r="T38"/>
  <c r="AF43"/>
  <c r="AG43" s="1"/>
  <c r="AH43" s="1"/>
  <c r="AI43" s="1"/>
  <c r="AJ43" s="1"/>
  <c r="AK43" s="1"/>
  <c r="AL43" s="1"/>
  <c r="AM43" s="1"/>
  <c r="AN43" s="1"/>
  <c r="AO43" s="1"/>
  <c r="AP43" s="1"/>
  <c r="AQ43" s="1"/>
  <c r="AR43" s="1"/>
  <c r="AS43" s="1"/>
  <c r="AT43" s="1"/>
  <c r="AU43" s="1"/>
  <c r="AV43" s="1"/>
  <c r="AW43" s="1"/>
  <c r="AX43" s="1"/>
  <c r="AY43" s="1"/>
  <c r="S34"/>
  <c r="AF45"/>
  <c r="AG45" s="1"/>
  <c r="AH45" s="1"/>
  <c r="AI45" s="1"/>
  <c r="AJ45" s="1"/>
  <c r="AK45" s="1"/>
  <c r="AL45" s="1"/>
  <c r="AM45" s="1"/>
  <c r="AN45" s="1"/>
  <c r="AO45" s="1"/>
  <c r="AP45" s="1"/>
  <c r="AQ45" s="1"/>
  <c r="AR45" s="1"/>
  <c r="AS45" s="1"/>
  <c r="AT45" s="1"/>
  <c r="AU45" s="1"/>
  <c r="AV45" s="1"/>
  <c r="AW45" s="1"/>
  <c r="AX45" s="1"/>
  <c r="AY45" s="1"/>
  <c r="S36"/>
  <c r="AF49"/>
  <c r="AG49" s="1"/>
  <c r="AH49" s="1"/>
  <c r="AI49" s="1"/>
  <c r="AJ49" s="1"/>
  <c r="AK49" s="1"/>
  <c r="AL49" s="1"/>
  <c r="AM49" s="1"/>
  <c r="AN49" s="1"/>
  <c r="AO49" s="1"/>
  <c r="AP49" s="1"/>
  <c r="AQ49" s="1"/>
  <c r="AR49" s="1"/>
  <c r="AS49" s="1"/>
  <c r="AT49" s="1"/>
  <c r="AU49" s="1"/>
  <c r="AV49" s="1"/>
  <c r="AW49" s="1"/>
  <c r="AX49" s="1"/>
  <c r="AY49" s="1"/>
  <c r="S40"/>
  <c r="AF46"/>
  <c r="AG46" s="1"/>
  <c r="AH46" s="1"/>
  <c r="AI46" s="1"/>
  <c r="AJ46" s="1"/>
  <c r="AK46" s="1"/>
  <c r="AL46" s="1"/>
  <c r="AM46" s="1"/>
  <c r="AN46" s="1"/>
  <c r="AO46" s="1"/>
  <c r="AP46" s="1"/>
  <c r="AQ46" s="1"/>
  <c r="AR46" s="1"/>
  <c r="AS46" s="1"/>
  <c r="AT46" s="1"/>
  <c r="AU46" s="1"/>
  <c r="AV46" s="1"/>
  <c r="AW46" s="1"/>
  <c r="AX46" s="1"/>
  <c r="AY46" s="1"/>
  <c r="S37"/>
  <c r="T39"/>
  <c r="AZ48"/>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U39" s="1"/>
  <c r="N175" i="30"/>
  <c r="L11" i="42"/>
  <c r="O10" i="30"/>
  <c r="N495"/>
  <c r="N74"/>
  <c r="L211"/>
  <c r="N183" i="44" l="1"/>
  <c r="N205" s="1"/>
  <c r="J41" i="30"/>
  <c r="C89" i="33"/>
  <c r="J497" i="44"/>
  <c r="C91" i="33"/>
  <c r="J76" i="30"/>
  <c r="J497"/>
  <c r="Q654" i="44"/>
  <c r="K113" i="33" s="1"/>
  <c r="H13" i="42"/>
  <c r="Q68" i="43"/>
  <c r="Q66"/>
  <c r="R65"/>
  <c r="Q67"/>
  <c r="C32" i="33"/>
  <c r="AZ19" i="42"/>
  <c r="N503" i="44"/>
  <c r="M88"/>
  <c r="N24" i="30"/>
  <c r="N509" s="1"/>
  <c r="N24" i="44"/>
  <c r="N406" s="1"/>
  <c r="M406" i="30"/>
  <c r="M509"/>
  <c r="M406" i="44"/>
  <c r="M94" i="30"/>
  <c r="M189"/>
  <c r="M88"/>
  <c r="M189" i="44"/>
  <c r="M509"/>
  <c r="F654"/>
  <c r="K191"/>
  <c r="K213" s="1"/>
  <c r="K408"/>
  <c r="AW27" i="42"/>
  <c r="K90" i="44"/>
  <c r="L26"/>
  <c r="K190"/>
  <c r="K407"/>
  <c r="K89"/>
  <c r="AW26" i="42"/>
  <c r="K212" i="44"/>
  <c r="L25"/>
  <c r="K190" i="30"/>
  <c r="K212" s="1"/>
  <c r="L25"/>
  <c r="K407"/>
  <c r="K89"/>
  <c r="I26" i="42"/>
  <c r="K87" i="30"/>
  <c r="L23"/>
  <c r="K508"/>
  <c r="K405"/>
  <c r="I24" i="42"/>
  <c r="K188" i="30"/>
  <c r="K210" s="1"/>
  <c r="E661"/>
  <c r="C177" i="42" s="1"/>
  <c r="AV315" i="23"/>
  <c r="AW315" s="1"/>
  <c r="AU343"/>
  <c r="BP315"/>
  <c r="BP343" s="1"/>
  <c r="K90" i="30"/>
  <c r="I27" i="42"/>
  <c r="K408" i="30"/>
  <c r="K191"/>
  <c r="K213" s="1"/>
  <c r="L26"/>
  <c r="M17" i="42"/>
  <c r="O80" i="30"/>
  <c r="N82" i="44"/>
  <c r="AY24" i="42"/>
  <c r="K661" i="30"/>
  <c r="I177" i="42" s="1"/>
  <c r="O501" i="30"/>
  <c r="M405" i="44"/>
  <c r="M87"/>
  <c r="I13" i="42"/>
  <c r="K76" i="30"/>
  <c r="K497"/>
  <c r="K177"/>
  <c r="K199" s="1"/>
  <c r="L12"/>
  <c r="K76" i="44"/>
  <c r="K177"/>
  <c r="K497"/>
  <c r="AW13" i="42"/>
  <c r="L12" i="44"/>
  <c r="K199"/>
  <c r="L654" i="30"/>
  <c r="F54" i="33" s="1"/>
  <c r="Q654" i="30"/>
  <c r="K54" i="33" s="1"/>
  <c r="J478" i="30" a="1"/>
  <c r="J478" s="1"/>
  <c r="K478" a="1"/>
  <c r="K478" s="1"/>
  <c r="Q478" a="1"/>
  <c r="Q478" s="1"/>
  <c r="N478" a="1"/>
  <c r="N478" s="1"/>
  <c r="P654"/>
  <c r="J54" i="33" s="1"/>
  <c r="F654" i="30"/>
  <c r="S654"/>
  <c r="M54" i="33" s="1"/>
  <c r="K195" i="44"/>
  <c r="D91" i="33"/>
  <c r="O181" i="30"/>
  <c r="O203" s="1"/>
  <c r="P16"/>
  <c r="N17" i="42" s="1"/>
  <c r="M188" i="44"/>
  <c r="M210" s="1"/>
  <c r="N23"/>
  <c r="N405" s="1"/>
  <c r="M399" i="30"/>
  <c r="D32" i="33"/>
  <c r="K195" i="30"/>
  <c r="M502"/>
  <c r="M182"/>
  <c r="M204" s="1"/>
  <c r="M81"/>
  <c r="N17"/>
  <c r="N502" s="1"/>
  <c r="I654" i="44"/>
  <c r="C113" i="33" s="1"/>
  <c r="X478" i="30" a="1"/>
  <c r="X478" s="1"/>
  <c r="R478" a="1"/>
  <c r="R478" s="1"/>
  <c r="L478" a="1"/>
  <c r="L478" s="1"/>
  <c r="O478" a="1"/>
  <c r="O478" s="1"/>
  <c r="P478" a="1"/>
  <c r="P478" s="1"/>
  <c r="M174" i="44"/>
  <c r="M196" s="1"/>
  <c r="X654" i="30"/>
  <c r="R54" i="33" s="1"/>
  <c r="L431" i="30"/>
  <c r="J67" i="42" s="1"/>
  <c r="C115" i="33"/>
  <c r="I34" i="44"/>
  <c r="I34" i="30"/>
  <c r="C56" i="33"/>
  <c r="I33" i="44"/>
  <c r="AY10" i="42"/>
  <c r="M73" i="44"/>
  <c r="L494" i="30"/>
  <c r="J10" i="42"/>
  <c r="L174" i="30"/>
  <c r="L196" s="1"/>
  <c r="L73"/>
  <c r="L494" i="44"/>
  <c r="L666" s="1"/>
  <c r="AX186" i="42" s="1"/>
  <c r="L174" i="44"/>
  <c r="L196" s="1"/>
  <c r="M494"/>
  <c r="M666" s="1"/>
  <c r="AY186" i="42" s="1"/>
  <c r="L73" i="44"/>
  <c r="AX10" i="42"/>
  <c r="J654" i="44"/>
  <c r="D113" i="33" s="1"/>
  <c r="N654" i="44"/>
  <c r="H113" i="33" s="1"/>
  <c r="L654" i="44"/>
  <c r="F113" i="33" s="1"/>
  <c r="O654" i="44"/>
  <c r="I113" i="33" s="1"/>
  <c r="M84" i="44"/>
  <c r="M402"/>
  <c r="M185"/>
  <c r="M207" s="1"/>
  <c r="N20"/>
  <c r="AY21" i="42"/>
  <c r="M505" i="44"/>
  <c r="AC654"/>
  <c r="W113" i="33" s="1"/>
  <c r="X654" i="44"/>
  <c r="R113" i="33" s="1"/>
  <c r="S96" i="23"/>
  <c r="AL6" i="38" s="1"/>
  <c r="Y654" i="44"/>
  <c r="S113" i="33" s="1"/>
  <c r="Z654" i="30"/>
  <c r="T54" i="33" s="1"/>
  <c r="V654" i="44"/>
  <c r="P113" i="33" s="1"/>
  <c r="U96" i="23"/>
  <c r="AN6" i="38" s="1"/>
  <c r="K96" i="23"/>
  <c r="AD6" i="38" s="1"/>
  <c r="W654" i="30"/>
  <c r="Q54" i="33" s="1"/>
  <c r="U654" i="44"/>
  <c r="O113" i="33" s="1"/>
  <c r="AC654" i="30"/>
  <c r="W54" i="33" s="1"/>
  <c r="J96" i="23"/>
  <c r="AC6" i="38" s="1"/>
  <c r="X96" i="23"/>
  <c r="AQ6" i="38" s="1"/>
  <c r="AB96" i="23"/>
  <c r="AU6" i="38" s="1"/>
  <c r="M8" i="44"/>
  <c r="L493"/>
  <c r="AX9" i="42"/>
  <c r="L72" i="44"/>
  <c r="L173"/>
  <c r="W654"/>
  <c r="Q113" i="33" s="1"/>
  <c r="AA96" i="23"/>
  <c r="AT6" i="38" s="1"/>
  <c r="AC96" i="23"/>
  <c r="AV6" i="38" s="1"/>
  <c r="M96" i="23"/>
  <c r="AF6" i="38" s="1"/>
  <c r="V96" i="23"/>
  <c r="AO6" i="38" s="1"/>
  <c r="AB654" i="44"/>
  <c r="V113" i="33" s="1"/>
  <c r="E44" i="30"/>
  <c r="N96" i="23"/>
  <c r="AG6" i="38" s="1"/>
  <c r="I96" i="23"/>
  <c r="AB6" i="38" s="1"/>
  <c r="R96" i="23"/>
  <c r="AK6" i="38" s="1"/>
  <c r="AA654" i="30"/>
  <c r="U54" i="33" s="1"/>
  <c r="T654" i="44"/>
  <c r="N113" i="33" s="1"/>
  <c r="Z654" i="44"/>
  <c r="T113" i="33" s="1"/>
  <c r="V654" i="30"/>
  <c r="P54" i="33" s="1"/>
  <c r="AB654" i="30"/>
  <c r="V54" i="33" s="1"/>
  <c r="O96" i="23"/>
  <c r="AH6" i="38" s="1"/>
  <c r="T96" i="23"/>
  <c r="AM6" i="38" s="1"/>
  <c r="Q96" i="23"/>
  <c r="AJ6" i="38" s="1"/>
  <c r="W96" i="23"/>
  <c r="AP6" i="38" s="1"/>
  <c r="L96" i="23"/>
  <c r="AE6" i="38" s="1"/>
  <c r="B9" i="42"/>
  <c r="D173" i="30"/>
  <c r="D195" s="1"/>
  <c r="D493"/>
  <c r="D679" s="1"/>
  <c r="BW177" i="42" s="1"/>
  <c r="D72" i="30"/>
  <c r="H196" i="23"/>
  <c r="H180"/>
  <c r="H183"/>
  <c r="H170"/>
  <c r="H178"/>
  <c r="H172"/>
  <c r="H174"/>
  <c r="H181"/>
  <c r="H177"/>
  <c r="H179"/>
  <c r="H184"/>
  <c r="H171"/>
  <c r="H173"/>
  <c r="H185"/>
  <c r="H182"/>
  <c r="H176"/>
  <c r="H175"/>
  <c r="H186"/>
  <c r="H187"/>
  <c r="H188"/>
  <c r="S196"/>
  <c r="S184"/>
  <c r="S173"/>
  <c r="S186"/>
  <c r="S174"/>
  <c r="S187"/>
  <c r="S176"/>
  <c r="S179"/>
  <c r="S188"/>
  <c r="S177"/>
  <c r="S175"/>
  <c r="S171"/>
  <c r="S182"/>
  <c r="S181"/>
  <c r="S180"/>
  <c r="S183"/>
  <c r="S170"/>
  <c r="S178"/>
  <c r="S172"/>
  <c r="S185"/>
  <c r="J196"/>
  <c r="J177"/>
  <c r="J187"/>
  <c r="J185"/>
  <c r="J171"/>
  <c r="J181"/>
  <c r="J186"/>
  <c r="J170"/>
  <c r="J183"/>
  <c r="J174"/>
  <c r="J176"/>
  <c r="J182"/>
  <c r="J184"/>
  <c r="J175"/>
  <c r="J180"/>
  <c r="J172"/>
  <c r="J179"/>
  <c r="J188"/>
  <c r="J173"/>
  <c r="J178"/>
  <c r="I196"/>
  <c r="I181"/>
  <c r="I174"/>
  <c r="I173"/>
  <c r="I179"/>
  <c r="I180"/>
  <c r="I188"/>
  <c r="I178"/>
  <c r="I172"/>
  <c r="I186"/>
  <c r="I177"/>
  <c r="I184"/>
  <c r="I170"/>
  <c r="I183"/>
  <c r="I185"/>
  <c r="I182"/>
  <c r="I187"/>
  <c r="I175"/>
  <c r="I171"/>
  <c r="I176"/>
  <c r="AE196"/>
  <c r="AE170"/>
  <c r="AE172"/>
  <c r="AE188"/>
  <c r="AE176"/>
  <c r="AE182"/>
  <c r="AE180"/>
  <c r="AE183"/>
  <c r="AE171"/>
  <c r="AE184"/>
  <c r="AE186"/>
  <c r="AE179"/>
  <c r="AE177"/>
  <c r="AE175"/>
  <c r="AE187"/>
  <c r="AE185"/>
  <c r="AE178"/>
  <c r="AE181"/>
  <c r="AE173"/>
  <c r="AE174"/>
  <c r="U196"/>
  <c r="U185"/>
  <c r="U181"/>
  <c r="U175"/>
  <c r="U177"/>
  <c r="U182"/>
  <c r="U171"/>
  <c r="U188"/>
  <c r="U174"/>
  <c r="U180"/>
  <c r="U186"/>
  <c r="U176"/>
  <c r="U187"/>
  <c r="U184"/>
  <c r="U170"/>
  <c r="U179"/>
  <c r="U178"/>
  <c r="U183"/>
  <c r="U173"/>
  <c r="U172"/>
  <c r="V196"/>
  <c r="V186"/>
  <c r="V184"/>
  <c r="V173"/>
  <c r="V170"/>
  <c r="V175"/>
  <c r="V174"/>
  <c r="V188"/>
  <c r="V176"/>
  <c r="V171"/>
  <c r="V183"/>
  <c r="V182"/>
  <c r="V187"/>
  <c r="V181"/>
  <c r="V178"/>
  <c r="V172"/>
  <c r="V179"/>
  <c r="V177"/>
  <c r="V185"/>
  <c r="V180"/>
  <c r="O196"/>
  <c r="O180"/>
  <c r="O179"/>
  <c r="O171"/>
  <c r="O187"/>
  <c r="O170"/>
  <c r="O177"/>
  <c r="O185"/>
  <c r="O184"/>
  <c r="O182"/>
  <c r="O178"/>
  <c r="O173"/>
  <c r="O188"/>
  <c r="O186"/>
  <c r="O172"/>
  <c r="O175"/>
  <c r="O183"/>
  <c r="O181"/>
  <c r="O176"/>
  <c r="O174"/>
  <c r="R196"/>
  <c r="R177"/>
  <c r="R188"/>
  <c r="R170"/>
  <c r="R174"/>
  <c r="R171"/>
  <c r="R175"/>
  <c r="R187"/>
  <c r="R172"/>
  <c r="R180"/>
  <c r="R183"/>
  <c r="R176"/>
  <c r="R173"/>
  <c r="R185"/>
  <c r="R184"/>
  <c r="R186"/>
  <c r="R179"/>
  <c r="R181"/>
  <c r="R178"/>
  <c r="R182"/>
  <c r="M196"/>
  <c r="M180"/>
  <c r="M187"/>
  <c r="M173"/>
  <c r="M177"/>
  <c r="M181"/>
  <c r="M179"/>
  <c r="M178"/>
  <c r="M175"/>
  <c r="M186"/>
  <c r="M183"/>
  <c r="M182"/>
  <c r="M171"/>
  <c r="M174"/>
  <c r="M184"/>
  <c r="M172"/>
  <c r="M185"/>
  <c r="M176"/>
  <c r="M170"/>
  <c r="M188"/>
  <c r="Q196"/>
  <c r="Q181"/>
  <c r="Q178"/>
  <c r="Q182"/>
  <c r="Q187"/>
  <c r="Q176"/>
  <c r="Q172"/>
  <c r="Q185"/>
  <c r="Q183"/>
  <c r="Q188"/>
  <c r="Q177"/>
  <c r="Q171"/>
  <c r="Q173"/>
  <c r="Q175"/>
  <c r="Q170"/>
  <c r="Q179"/>
  <c r="Q184"/>
  <c r="Q180"/>
  <c r="Q186"/>
  <c r="Q174"/>
  <c r="W196"/>
  <c r="W187"/>
  <c r="W170"/>
  <c r="W175"/>
  <c r="W188"/>
  <c r="W173"/>
  <c r="W177"/>
  <c r="W181"/>
  <c r="W180"/>
  <c r="W183"/>
  <c r="W182"/>
  <c r="W184"/>
  <c r="W185"/>
  <c r="W186"/>
  <c r="W172"/>
  <c r="W174"/>
  <c r="W179"/>
  <c r="W178"/>
  <c r="W171"/>
  <c r="W176"/>
  <c r="AD196"/>
  <c r="AD185"/>
  <c r="AD178"/>
  <c r="AD187"/>
  <c r="AD186"/>
  <c r="AD188"/>
  <c r="AD183"/>
  <c r="AD171"/>
  <c r="AD181"/>
  <c r="AD182"/>
  <c r="AD184"/>
  <c r="AD177"/>
  <c r="AD175"/>
  <c r="AD174"/>
  <c r="AD173"/>
  <c r="AD170"/>
  <c r="AD180"/>
  <c r="AD176"/>
  <c r="AD172"/>
  <c r="AD179"/>
  <c r="AG196"/>
  <c r="AG170"/>
  <c r="AG179"/>
  <c r="AG187"/>
  <c r="AG176"/>
  <c r="AG172"/>
  <c r="AG181"/>
  <c r="AG180"/>
  <c r="AG175"/>
  <c r="AG177"/>
  <c r="AG171"/>
  <c r="AG186"/>
  <c r="AG185"/>
  <c r="AG182"/>
  <c r="AG173"/>
  <c r="AG188"/>
  <c r="AG174"/>
  <c r="AG184"/>
  <c r="AG178"/>
  <c r="AG183"/>
  <c r="T196"/>
  <c r="T180"/>
  <c r="T179"/>
  <c r="T188"/>
  <c r="T174"/>
  <c r="T176"/>
  <c r="T181"/>
  <c r="T173"/>
  <c r="T172"/>
  <c r="T177"/>
  <c r="T171"/>
  <c r="T185"/>
  <c r="T170"/>
  <c r="T182"/>
  <c r="T187"/>
  <c r="T175"/>
  <c r="T183"/>
  <c r="T184"/>
  <c r="T178"/>
  <c r="T186"/>
  <c r="Z196"/>
  <c r="Z172"/>
  <c r="Z175"/>
  <c r="Z170"/>
  <c r="Z182"/>
  <c r="Z188"/>
  <c r="Z179"/>
  <c r="Z184"/>
  <c r="Z174"/>
  <c r="Z171"/>
  <c r="Z185"/>
  <c r="Z183"/>
  <c r="Z186"/>
  <c r="Z187"/>
  <c r="Z181"/>
  <c r="Z173"/>
  <c r="Z180"/>
  <c r="Z178"/>
  <c r="Z177"/>
  <c r="Z176"/>
  <c r="K239" i="30"/>
  <c r="I33"/>
  <c r="U143" i="23"/>
  <c r="Y143"/>
  <c r="L143"/>
  <c r="J143"/>
  <c r="X143"/>
  <c r="AB143"/>
  <c r="W143"/>
  <c r="T143"/>
  <c r="D72" i="44"/>
  <c r="AP9" i="42"/>
  <c r="D493" i="44"/>
  <c r="D679" s="1"/>
  <c r="BW186" i="42" s="1"/>
  <c r="D173" i="44"/>
  <c r="D195" s="1"/>
  <c r="K196" i="23"/>
  <c r="K186"/>
  <c r="K184"/>
  <c r="K176"/>
  <c r="K174"/>
  <c r="K173"/>
  <c r="K177"/>
  <c r="K187"/>
  <c r="K181"/>
  <c r="K179"/>
  <c r="K180"/>
  <c r="K170"/>
  <c r="K188"/>
  <c r="K172"/>
  <c r="K171"/>
  <c r="K183"/>
  <c r="K185"/>
  <c r="K175"/>
  <c r="K182"/>
  <c r="K178"/>
  <c r="Y196"/>
  <c r="Y178"/>
  <c r="Y179"/>
  <c r="Y170"/>
  <c r="Y176"/>
  <c r="Y182"/>
  <c r="Y185"/>
  <c r="Y175"/>
  <c r="Y172"/>
  <c r="Y180"/>
  <c r="Y186"/>
  <c r="Y174"/>
  <c r="Y181"/>
  <c r="Y184"/>
  <c r="Y171"/>
  <c r="Y187"/>
  <c r="Y183"/>
  <c r="Y188"/>
  <c r="Y173"/>
  <c r="Y177"/>
  <c r="AC196"/>
  <c r="AC176"/>
  <c r="AC172"/>
  <c r="AC175"/>
  <c r="AC185"/>
  <c r="AC170"/>
  <c r="AC178"/>
  <c r="AC184"/>
  <c r="AC182"/>
  <c r="AC187"/>
  <c r="AC188"/>
  <c r="AC173"/>
  <c r="AC174"/>
  <c r="AC183"/>
  <c r="AC177"/>
  <c r="AC179"/>
  <c r="AC186"/>
  <c r="AC181"/>
  <c r="AC180"/>
  <c r="P196"/>
  <c r="P172"/>
  <c r="P186"/>
  <c r="P184"/>
  <c r="P173"/>
  <c r="P176"/>
  <c r="P175"/>
  <c r="P181"/>
  <c r="P179"/>
  <c r="P177"/>
  <c r="P183"/>
  <c r="P188"/>
  <c r="P171"/>
  <c r="P180"/>
  <c r="P170"/>
  <c r="P178"/>
  <c r="P174"/>
  <c r="P185"/>
  <c r="P182"/>
  <c r="P187"/>
  <c r="L196"/>
  <c r="L178"/>
  <c r="L173"/>
  <c r="L181"/>
  <c r="L179"/>
  <c r="L187"/>
  <c r="L170"/>
  <c r="L174"/>
  <c r="L176"/>
  <c r="L177"/>
  <c r="L188"/>
  <c r="L172"/>
  <c r="L182"/>
  <c r="L184"/>
  <c r="L175"/>
  <c r="L186"/>
  <c r="L183"/>
  <c r="L185"/>
  <c r="L180"/>
  <c r="N196"/>
  <c r="N170"/>
  <c r="N180"/>
  <c r="N174"/>
  <c r="N188"/>
  <c r="N178"/>
  <c r="N187"/>
  <c r="N172"/>
  <c r="N186"/>
  <c r="N173"/>
  <c r="N182"/>
  <c r="N183"/>
  <c r="N176"/>
  <c r="N171"/>
  <c r="N181"/>
  <c r="N185"/>
  <c r="N175"/>
  <c r="N177"/>
  <c r="N184"/>
  <c r="N179"/>
  <c r="AB196"/>
  <c r="AB174"/>
  <c r="AB185"/>
  <c r="AB180"/>
  <c r="AB178"/>
  <c r="AB181"/>
  <c r="AB187"/>
  <c r="AB173"/>
  <c r="AB177"/>
  <c r="AB170"/>
  <c r="AB186"/>
  <c r="AB171"/>
  <c r="AB182"/>
  <c r="AB183"/>
  <c r="AB172"/>
  <c r="AB184"/>
  <c r="AB176"/>
  <c r="AB179"/>
  <c r="AB175"/>
  <c r="AB188"/>
  <c r="AF196"/>
  <c r="AF182"/>
  <c r="AF184"/>
  <c r="AF173"/>
  <c r="AF187"/>
  <c r="AF170"/>
  <c r="AF181"/>
  <c r="AF175"/>
  <c r="AF188"/>
  <c r="AF180"/>
  <c r="AF185"/>
  <c r="AF171"/>
  <c r="AF176"/>
  <c r="AF178"/>
  <c r="AF172"/>
  <c r="AF174"/>
  <c r="AF179"/>
  <c r="AF177"/>
  <c r="AF186"/>
  <c r="AF183"/>
  <c r="AA196"/>
  <c r="AA180"/>
  <c r="AA188"/>
  <c r="AA182"/>
  <c r="AA185"/>
  <c r="AA187"/>
  <c r="AA175"/>
  <c r="AA173"/>
  <c r="AA186"/>
  <c r="AA178"/>
  <c r="AA174"/>
  <c r="AA184"/>
  <c r="AA181"/>
  <c r="AA170"/>
  <c r="AA177"/>
  <c r="AA183"/>
  <c r="AA172"/>
  <c r="AA176"/>
  <c r="AA179"/>
  <c r="X196"/>
  <c r="X178"/>
  <c r="X184"/>
  <c r="X177"/>
  <c r="X187"/>
  <c r="X171"/>
  <c r="X186"/>
  <c r="X181"/>
  <c r="X172"/>
  <c r="X175"/>
  <c r="X173"/>
  <c r="X182"/>
  <c r="X180"/>
  <c r="X174"/>
  <c r="X188"/>
  <c r="X170"/>
  <c r="X176"/>
  <c r="X179"/>
  <c r="X183"/>
  <c r="X185"/>
  <c r="K250" i="30"/>
  <c r="D258"/>
  <c r="I46"/>
  <c r="C42" i="33" s="1"/>
  <c r="C31" s="1"/>
  <c r="L221" i="23"/>
  <c r="O143"/>
  <c r="AA143"/>
  <c r="Q143"/>
  <c r="AC171"/>
  <c r="R143"/>
  <c r="K143"/>
  <c r="N143"/>
  <c r="I143"/>
  <c r="M143"/>
  <c r="S143"/>
  <c r="Z143"/>
  <c r="AC143"/>
  <c r="P143"/>
  <c r="V143"/>
  <c r="AA171"/>
  <c r="Y654" i="30"/>
  <c r="S54" i="33" s="1"/>
  <c r="K21" i="42"/>
  <c r="N20" i="30"/>
  <c r="M84"/>
  <c r="M185"/>
  <c r="M207" s="1"/>
  <c r="M245" s="1"/>
  <c r="M402"/>
  <c r="M505"/>
  <c r="AT479" a="1"/>
  <c r="AT479" s="1"/>
  <c r="V478" i="44" a="1"/>
  <c r="V478" s="1"/>
  <c r="V660" s="1"/>
  <c r="BH176" i="42" s="1"/>
  <c r="AA126" i="23"/>
  <c r="AT15" i="38"/>
  <c r="O126" i="23"/>
  <c r="AH15" i="38"/>
  <c r="U126" i="23"/>
  <c r="AN15" i="38"/>
  <c r="AB126" i="23"/>
  <c r="AU15" i="38"/>
  <c r="R126" i="23"/>
  <c r="AK15" i="38"/>
  <c r="P126" i="23"/>
  <c r="AI15" i="38"/>
  <c r="V126" i="23"/>
  <c r="AO15" i="38"/>
  <c r="AC126" i="23"/>
  <c r="AV15" i="38"/>
  <c r="X126" i="23"/>
  <c r="AQ15" i="38"/>
  <c r="L126" i="23"/>
  <c r="AE15" i="38"/>
  <c r="Z126" i="23"/>
  <c r="AS15" i="38"/>
  <c r="J126" i="23"/>
  <c r="AC15" i="38"/>
  <c r="I126" i="23"/>
  <c r="AB15" i="38"/>
  <c r="T126" i="23"/>
  <c r="AM15" i="38"/>
  <c r="K126" i="23"/>
  <c r="AD15" i="38"/>
  <c r="W126" i="23"/>
  <c r="AP15" i="38"/>
  <c r="Q126" i="23"/>
  <c r="AJ15" i="38"/>
  <c r="M126" i="23"/>
  <c r="AF15" i="38"/>
  <c r="Y126" i="23"/>
  <c r="AR15" i="38"/>
  <c r="S126" i="23"/>
  <c r="AL15" i="38"/>
  <c r="N126" i="23"/>
  <c r="AG15" i="38"/>
  <c r="X125" i="23"/>
  <c r="AQ14" i="38"/>
  <c r="U125" i="23"/>
  <c r="AN14" i="38"/>
  <c r="AA125" i="23"/>
  <c r="AT14" i="38"/>
  <c r="Q125" i="23"/>
  <c r="AJ14" i="38"/>
  <c r="M125" i="23"/>
  <c r="AF14" i="38"/>
  <c r="P125" i="23"/>
  <c r="AI14" i="38"/>
  <c r="L125" i="23"/>
  <c r="AE14" i="38"/>
  <c r="Z125" i="23"/>
  <c r="AS14" i="38"/>
  <c r="AB125" i="23"/>
  <c r="AU14" i="38"/>
  <c r="V125" i="23"/>
  <c r="AO14" i="38"/>
  <c r="S125" i="23"/>
  <c r="AL14" i="38"/>
  <c r="K125" i="23"/>
  <c r="AD14" i="38"/>
  <c r="J125" i="23"/>
  <c r="AC14" i="38"/>
  <c r="W125" i="23"/>
  <c r="AP14" i="38"/>
  <c r="O125" i="23"/>
  <c r="AH14" i="38"/>
  <c r="I125" i="23"/>
  <c r="AB14" i="38"/>
  <c r="Y125" i="23"/>
  <c r="AR14" i="38"/>
  <c r="N125" i="23"/>
  <c r="AG14" i="38"/>
  <c r="BN323" i="23"/>
  <c r="BN340" s="1"/>
  <c r="AW340"/>
  <c r="AX323"/>
  <c r="G478" i="30" a="1"/>
  <c r="G478" s="1"/>
  <c r="Z478" a="1"/>
  <c r="Z478" s="1"/>
  <c r="AM14" i="38"/>
  <c r="T125" i="23"/>
  <c r="AV14" i="38"/>
  <c r="AC125" i="23"/>
  <c r="Z479" i="30" a="1"/>
  <c r="Z479" s="1"/>
  <c r="AH479" a="1"/>
  <c r="AH479" s="1"/>
  <c r="AC479" a="1"/>
  <c r="AC479" s="1"/>
  <c r="AN479" a="1"/>
  <c r="AN479" s="1"/>
  <c r="AB479" a="1"/>
  <c r="AB479" s="1"/>
  <c r="AM479" i="44" a="1"/>
  <c r="AM479" s="1"/>
  <c r="AD479" i="30" a="1"/>
  <c r="AD479" s="1"/>
  <c r="AS478" i="44" a="1"/>
  <c r="AS478" s="1"/>
  <c r="AQ478" a="1"/>
  <c r="AQ478" s="1"/>
  <c r="AK478" a="1"/>
  <c r="AK478" s="1"/>
  <c r="Y478" i="30" a="1"/>
  <c r="Y478" s="1"/>
  <c r="V478" a="1"/>
  <c r="V478" s="1"/>
  <c r="S478" a="1"/>
  <c r="S478" s="1"/>
  <c r="AL478" a="1"/>
  <c r="AL478" s="1"/>
  <c r="AL478" i="44" a="1"/>
  <c r="AL478" s="1"/>
  <c r="AA478" i="30" a="1"/>
  <c r="AA478" s="1"/>
  <c r="AT478" a="1"/>
  <c r="AT478" s="1"/>
  <c r="AD478" a="1"/>
  <c r="AD478" s="1"/>
  <c r="J654"/>
  <c r="D54" i="33" s="1"/>
  <c r="AP479" i="30" a="1"/>
  <c r="AP479" s="1"/>
  <c r="AK479" i="44" a="1"/>
  <c r="AK479" s="1"/>
  <c r="AI479" i="30" a="1"/>
  <c r="AI479" s="1"/>
  <c r="L479" i="44" a="1"/>
  <c r="L479" s="1"/>
  <c r="P479" a="1"/>
  <c r="P479" s="1"/>
  <c r="S479" a="1"/>
  <c r="S479" s="1"/>
  <c r="Y479" a="1"/>
  <c r="Y479" s="1"/>
  <c r="K479" a="1"/>
  <c r="K479" s="1"/>
  <c r="U479" a="1"/>
  <c r="U479" s="1"/>
  <c r="V479" a="1"/>
  <c r="V479" s="1"/>
  <c r="O479" a="1"/>
  <c r="O479" s="1"/>
  <c r="H479" a="1"/>
  <c r="H479" s="1"/>
  <c r="AF479" a="1"/>
  <c r="AF479" s="1"/>
  <c r="AW479" a="1"/>
  <c r="AW479" s="1"/>
  <c r="AR479" a="1"/>
  <c r="AR479" s="1"/>
  <c r="AO479" i="30" a="1"/>
  <c r="AO479" s="1"/>
  <c r="M479" a="1"/>
  <c r="M479" s="1"/>
  <c r="W479" a="1"/>
  <c r="W479" s="1"/>
  <c r="I479" a="1"/>
  <c r="I479" s="1"/>
  <c r="V479" a="1"/>
  <c r="V479" s="1"/>
  <c r="L479" a="1"/>
  <c r="L479" s="1"/>
  <c r="S479" a="1"/>
  <c r="S479" s="1"/>
  <c r="K479" a="1"/>
  <c r="K479" s="1"/>
  <c r="Y479" a="1"/>
  <c r="Y479" s="1"/>
  <c r="AV479" i="44" a="1"/>
  <c r="AV479" s="1"/>
  <c r="AA479" a="1"/>
  <c r="AA479" s="1"/>
  <c r="AQ479" a="1"/>
  <c r="AQ479" s="1"/>
  <c r="AL479" i="30" a="1"/>
  <c r="AL479" s="1"/>
  <c r="AG479" a="1"/>
  <c r="AG479" s="1"/>
  <c r="AG479" i="44" a="1"/>
  <c r="AG479" s="1"/>
  <c r="AC478" i="30" a="1"/>
  <c r="AC478" s="1"/>
  <c r="AJ478" i="44" a="1"/>
  <c r="AJ478" s="1"/>
  <c r="AP478" a="1"/>
  <c r="AP478" s="1"/>
  <c r="AH478" a="1"/>
  <c r="AH478" s="1"/>
  <c r="AH478" i="30" a="1"/>
  <c r="AH478" s="1"/>
  <c r="AB478" a="1"/>
  <c r="AB478" s="1"/>
  <c r="AM478" i="44" a="1"/>
  <c r="AM478" s="1"/>
  <c r="R478" a="1"/>
  <c r="R478" s="1"/>
  <c r="R660" s="1"/>
  <c r="BD176" i="42" s="1"/>
  <c r="X478" i="44" a="1"/>
  <c r="X478" s="1"/>
  <c r="X660" s="1"/>
  <c r="BJ176" i="42" s="1"/>
  <c r="U478" i="44" a="1"/>
  <c r="U478" s="1"/>
  <c r="U660" s="1"/>
  <c r="BG176" i="42" s="1"/>
  <c r="J478" i="44" a="1"/>
  <c r="J478" s="1"/>
  <c r="J660" s="1"/>
  <c r="AV176" i="42" s="1"/>
  <c r="S478" i="44" a="1"/>
  <c r="S478" s="1"/>
  <c r="S660" s="1"/>
  <c r="BE176" i="42" s="1"/>
  <c r="L478" i="44" a="1"/>
  <c r="L478" s="1"/>
  <c r="L660" s="1"/>
  <c r="AX176" i="42" s="1"/>
  <c r="Y478" i="44" a="1"/>
  <c r="Y478" s="1"/>
  <c r="Y660" s="1"/>
  <c r="BK176" i="42" s="1"/>
  <c r="AV478" i="30" a="1"/>
  <c r="AV478" s="1"/>
  <c r="AV478" i="44" a="1"/>
  <c r="AV478" s="1"/>
  <c r="AR478" i="30" a="1"/>
  <c r="AR478" s="1"/>
  <c r="AG478" a="1"/>
  <c r="AG478" s="1"/>
  <c r="AG478" i="44" a="1"/>
  <c r="AG478" s="1"/>
  <c r="AE478" i="30" a="1"/>
  <c r="AE478" s="1"/>
  <c r="AK14" i="38"/>
  <c r="R125" i="23"/>
  <c r="H479" i="30" a="1"/>
  <c r="H479" s="1"/>
  <c r="AA479" a="1"/>
  <c r="AA479" s="1"/>
  <c r="G478" i="44" a="1"/>
  <c r="G478" s="1"/>
  <c r="G660" s="1"/>
  <c r="AS176" i="42" s="1"/>
  <c r="Z478" i="44" a="1"/>
  <c r="Z478" s="1"/>
  <c r="Z660" s="1"/>
  <c r="BL176" i="42" s="1"/>
  <c r="H478" i="44" a="1"/>
  <c r="H478" s="1"/>
  <c r="H660" s="1"/>
  <c r="AT176" i="42" s="1"/>
  <c r="I478" i="44" a="1"/>
  <c r="I478" s="1"/>
  <c r="I660" s="1"/>
  <c r="AU176" i="42" s="1"/>
  <c r="AE479" i="44" a="1"/>
  <c r="AE479" s="1"/>
  <c r="AS479" a="1"/>
  <c r="AS479" s="1"/>
  <c r="AH479" a="1"/>
  <c r="AH479" s="1"/>
  <c r="AC479" a="1"/>
  <c r="AC479" s="1"/>
  <c r="AN479" a="1"/>
  <c r="AN479" s="1"/>
  <c r="AB479" a="1"/>
  <c r="AB479" s="1"/>
  <c r="AU479" a="1"/>
  <c r="AU479" s="1"/>
  <c r="AU479" i="30" a="1"/>
  <c r="AU479" s="1"/>
  <c r="AM479" a="1"/>
  <c r="AM479" s="1"/>
  <c r="AD479" i="44" a="1"/>
  <c r="AD479" s="1"/>
  <c r="AS478" i="30" a="1"/>
  <c r="AS478" s="1"/>
  <c r="AQ478" a="1"/>
  <c r="AQ478" s="1"/>
  <c r="AU478" a="1"/>
  <c r="AU478" s="1"/>
  <c r="AU478" i="44" a="1"/>
  <c r="AU478" s="1"/>
  <c r="AN478" a="1"/>
  <c r="AN478" s="1"/>
  <c r="AN478" i="30" a="1"/>
  <c r="AN478" s="1"/>
  <c r="AK478" a="1"/>
  <c r="AK478" s="1"/>
  <c r="T478" a="1"/>
  <c r="T478" s="1"/>
  <c r="U478" a="1"/>
  <c r="U478" s="1"/>
  <c r="W478" a="1"/>
  <c r="W478" s="1"/>
  <c r="AO478" a="1"/>
  <c r="AO478" s="1"/>
  <c r="AO478" i="44" a="1"/>
  <c r="AO478" s="1"/>
  <c r="AA478" a="1"/>
  <c r="AA478" s="1"/>
  <c r="AA660" s="1"/>
  <c r="BM176" i="42" s="1"/>
  <c r="AT478" i="44" a="1"/>
  <c r="AT478" s="1"/>
  <c r="AD478" a="1"/>
  <c r="AD478" s="1"/>
  <c r="AP479" a="1"/>
  <c r="AP479" s="1"/>
  <c r="AK479" i="30" a="1"/>
  <c r="AK479" s="1"/>
  <c r="AI479" i="44" a="1"/>
  <c r="AI479" s="1"/>
  <c r="M479" a="1"/>
  <c r="M479" s="1"/>
  <c r="N479" a="1"/>
  <c r="N479" s="1"/>
  <c r="J479" a="1"/>
  <c r="J479" s="1"/>
  <c r="X479" a="1"/>
  <c r="X479" s="1"/>
  <c r="Q479" a="1"/>
  <c r="Q479" s="1"/>
  <c r="W479" a="1"/>
  <c r="W479" s="1"/>
  <c r="G479" a="1"/>
  <c r="G479" s="1"/>
  <c r="T479" a="1"/>
  <c r="T479" s="1"/>
  <c r="I479" a="1"/>
  <c r="I479" s="1"/>
  <c r="R479" a="1"/>
  <c r="R479" s="1"/>
  <c r="AJ479" a="1"/>
  <c r="AJ479" s="1"/>
  <c r="AJ479" i="30" a="1"/>
  <c r="AJ479" s="1"/>
  <c r="AF479" a="1"/>
  <c r="AF479" s="1"/>
  <c r="AW479" a="1"/>
  <c r="AW479" s="1"/>
  <c r="AR479" a="1"/>
  <c r="AR479" s="1"/>
  <c r="AO479" i="44" a="1"/>
  <c r="AO479" s="1"/>
  <c r="P479" i="30" a="1"/>
  <c r="P479" s="1"/>
  <c r="U479" a="1"/>
  <c r="U479" s="1"/>
  <c r="Q479" a="1"/>
  <c r="Q479" s="1"/>
  <c r="T479" a="1"/>
  <c r="T479" s="1"/>
  <c r="J479" a="1"/>
  <c r="J479" s="1"/>
  <c r="R479" a="1"/>
  <c r="R479" s="1"/>
  <c r="O479" a="1"/>
  <c r="O479" s="1"/>
  <c r="N479" a="1"/>
  <c r="N479" s="1"/>
  <c r="X479" a="1"/>
  <c r="X479" s="1"/>
  <c r="G479" a="1"/>
  <c r="G479" s="1"/>
  <c r="AV479" a="1"/>
  <c r="AV479" s="1"/>
  <c r="AQ479" a="1"/>
  <c r="AQ479" s="1"/>
  <c r="AL479" i="44" a="1"/>
  <c r="AL479" s="1"/>
  <c r="AC478" a="1"/>
  <c r="AC478" s="1"/>
  <c r="AC660" s="1"/>
  <c r="BO176" i="42" s="1"/>
  <c r="AJ478" i="30" a="1"/>
  <c r="AJ478" s="1"/>
  <c r="AP478" a="1"/>
  <c r="AP478" s="1"/>
  <c r="AF478" a="1"/>
  <c r="AF478" s="1"/>
  <c r="AF478" i="44" a="1"/>
  <c r="AF478" s="1"/>
  <c r="AB478" a="1"/>
  <c r="AB478" s="1"/>
  <c r="AB660" s="1"/>
  <c r="BN176" i="42" s="1"/>
  <c r="AM478" i="30" a="1"/>
  <c r="AM478" s="1"/>
  <c r="T478" i="44" a="1"/>
  <c r="T478" s="1"/>
  <c r="T660" s="1"/>
  <c r="BF176" i="42" s="1"/>
  <c r="M478" i="44" a="1"/>
  <c r="M478" s="1"/>
  <c r="M660" s="1"/>
  <c r="AY176" i="42" s="1"/>
  <c r="P478" i="44" a="1"/>
  <c r="P478" s="1"/>
  <c r="P660" s="1"/>
  <c r="BB176" i="42" s="1"/>
  <c r="N478" i="44" a="1"/>
  <c r="N478" s="1"/>
  <c r="N660" s="1"/>
  <c r="AZ176" i="42" s="1"/>
  <c r="O478" i="44" a="1"/>
  <c r="O478" s="1"/>
  <c r="O660" s="1"/>
  <c r="BA176" i="42" s="1"/>
  <c r="Q478" i="44" a="1"/>
  <c r="Q478" s="1"/>
  <c r="Q660" s="1"/>
  <c r="BC176" i="42" s="1"/>
  <c r="K478" i="44" a="1"/>
  <c r="K478" s="1"/>
  <c r="K660" s="1"/>
  <c r="AW176" i="42" s="1"/>
  <c r="W478" i="44" a="1"/>
  <c r="W478" s="1"/>
  <c r="W660" s="1"/>
  <c r="BI176" i="42" s="1"/>
  <c r="AW478" i="30" a="1"/>
  <c r="AW478" s="1"/>
  <c r="AW478" i="44" a="1"/>
  <c r="AW478" s="1"/>
  <c r="AR478" a="1"/>
  <c r="AR478" s="1"/>
  <c r="AI478" i="30" a="1"/>
  <c r="AI478" s="1"/>
  <c r="AI478" i="44" a="1"/>
  <c r="AI478" s="1"/>
  <c r="AE478" a="1"/>
  <c r="AE478" s="1"/>
  <c r="M494" i="30"/>
  <c r="M73"/>
  <c r="N9"/>
  <c r="M174"/>
  <c r="M196" s="1"/>
  <c r="K10" i="42"/>
  <c r="D89" i="33"/>
  <c r="M499" i="44"/>
  <c r="M179"/>
  <c r="AY15" i="42"/>
  <c r="N14" i="44"/>
  <c r="M78"/>
  <c r="M183" i="30"/>
  <c r="M205" s="1"/>
  <c r="K19" i="42"/>
  <c r="N18" i="30"/>
  <c r="M400"/>
  <c r="M503"/>
  <c r="M82"/>
  <c r="BO331" i="23"/>
  <c r="AV319"/>
  <c r="AU351"/>
  <c r="BP319"/>
  <c r="BP351" s="1"/>
  <c r="AT329"/>
  <c r="AS359"/>
  <c r="BR329"/>
  <c r="BR359" s="1"/>
  <c r="AW319"/>
  <c r="AX319" s="1"/>
  <c r="AY319" s="1"/>
  <c r="BP331"/>
  <c r="AW331"/>
  <c r="BN331" s="1"/>
  <c r="BQ319"/>
  <c r="BQ351" s="1"/>
  <c r="AT351"/>
  <c r="AY342"/>
  <c r="BL310"/>
  <c r="BL342" s="1"/>
  <c r="AU329"/>
  <c r="AV329" s="1"/>
  <c r="D254" i="44"/>
  <c r="D254" i="30"/>
  <c r="J666"/>
  <c r="H186" i="42" s="1"/>
  <c r="L254" i="44"/>
  <c r="M498" i="30"/>
  <c r="N13"/>
  <c r="N178" s="1"/>
  <c r="N200" s="1"/>
  <c r="M178"/>
  <c r="M200" s="1"/>
  <c r="M249" s="1"/>
  <c r="M77"/>
  <c r="L619" a="1"/>
  <c r="L619" s="1"/>
  <c r="J153" i="42" s="1"/>
  <c r="N619" i="44" a="1"/>
  <c r="N619" s="1"/>
  <c r="AZ153" i="42" s="1"/>
  <c r="E619" i="30" a="1"/>
  <c r="E619" s="1"/>
  <c r="C153" i="42" s="1"/>
  <c r="F619" i="44" a="1"/>
  <c r="F619" s="1"/>
  <c r="AR153" i="42" s="1"/>
  <c r="K619" i="44" a="1"/>
  <c r="K619" s="1"/>
  <c r="AW153" i="42" s="1"/>
  <c r="R619" i="30" a="1"/>
  <c r="J619" i="44" a="1"/>
  <c r="S619" i="30" a="1"/>
  <c r="I619" a="1"/>
  <c r="P619" a="1"/>
  <c r="O619" a="1"/>
  <c r="O619" s="1"/>
  <c r="M153" i="42" s="1"/>
  <c r="D619" i="30" a="1"/>
  <c r="D619" s="1"/>
  <c r="B153" i="42" s="1"/>
  <c r="Q619" i="44" a="1"/>
  <c r="Q619" s="1"/>
  <c r="BC153" i="42" s="1"/>
  <c r="M619" i="44" a="1"/>
  <c r="G619" i="30" a="1"/>
  <c r="G619" s="1"/>
  <c r="E153" i="42" s="1"/>
  <c r="H619" i="30" a="1"/>
  <c r="L619" i="44" a="1"/>
  <c r="I619" a="1"/>
  <c r="O619" a="1"/>
  <c r="F619" i="30" a="1"/>
  <c r="Q619" a="1"/>
  <c r="M619" a="1"/>
  <c r="M619" s="1"/>
  <c r="K153" i="42" s="1"/>
  <c r="J619" i="30" a="1"/>
  <c r="J619" s="1"/>
  <c r="H153" i="42" s="1"/>
  <c r="G619" i="44" a="1"/>
  <c r="G619" s="1"/>
  <c r="AS153" i="42" s="1"/>
  <c r="H619" i="44" a="1"/>
  <c r="P619" a="1"/>
  <c r="P619" s="1"/>
  <c r="BB153" i="42" s="1"/>
  <c r="N619" i="30" a="1"/>
  <c r="N619" s="1"/>
  <c r="L153" i="42" s="1"/>
  <c r="E619" i="44" a="1"/>
  <c r="D619" a="1"/>
  <c r="K619" i="30" a="1"/>
  <c r="K619" s="1"/>
  <c r="I153" i="42" s="1"/>
  <c r="R619" i="44" a="1"/>
  <c r="R619" s="1"/>
  <c r="BD153" i="42" s="1"/>
  <c r="S619" i="44" a="1"/>
  <c r="BM316" i="23"/>
  <c r="BM354" s="1"/>
  <c r="AX354"/>
  <c r="AY316"/>
  <c r="L86" i="30"/>
  <c r="L404"/>
  <c r="L187"/>
  <c r="L209" s="1"/>
  <c r="J23" i="42"/>
  <c r="M22" i="30"/>
  <c r="L507"/>
  <c r="D44" i="44"/>
  <c r="D45"/>
  <c r="D46"/>
  <c r="D47"/>
  <c r="D47" i="30"/>
  <c r="D45"/>
  <c r="D46"/>
  <c r="D44"/>
  <c r="H619"/>
  <c r="F153" i="42" s="1"/>
  <c r="I618" i="30" a="1"/>
  <c r="F618" a="1"/>
  <c r="I618" i="44" a="1"/>
  <c r="O618" i="30" a="1"/>
  <c r="J618" a="1"/>
  <c r="L618" i="44" a="1"/>
  <c r="Q618" a="1"/>
  <c r="R618" a="1"/>
  <c r="G618" a="1"/>
  <c r="G618" s="1"/>
  <c r="D618" i="30" a="1"/>
  <c r="D618" s="1"/>
  <c r="B152" i="42" s="1"/>
  <c r="G618" i="30" a="1"/>
  <c r="G618" s="1"/>
  <c r="E152" i="42" s="1"/>
  <c r="N618" i="44" a="1"/>
  <c r="N618" s="1"/>
  <c r="P618" i="30" a="1"/>
  <c r="P618" s="1"/>
  <c r="N152" i="42" s="1"/>
  <c r="K618" i="44" a="1"/>
  <c r="K618" s="1"/>
  <c r="R618" i="30" a="1"/>
  <c r="R618" s="1"/>
  <c r="P152" i="42" s="1"/>
  <c r="S618" i="30" a="1"/>
  <c r="S618" s="1"/>
  <c r="Q152" i="42" s="1"/>
  <c r="E618" i="30" a="1"/>
  <c r="E618" s="1"/>
  <c r="C152" i="42" s="1"/>
  <c r="E618" i="44" a="1"/>
  <c r="E618" s="1"/>
  <c r="F618" a="1"/>
  <c r="F618" s="1"/>
  <c r="M618" a="1"/>
  <c r="M618" s="1"/>
  <c r="N618" i="30" a="1"/>
  <c r="N618" s="1"/>
  <c r="L152" i="42" s="1"/>
  <c r="P618" i="44" a="1"/>
  <c r="P618" s="1"/>
  <c r="M618" i="30" a="1"/>
  <c r="M618" s="1"/>
  <c r="K152" i="42" s="1"/>
  <c r="S618" i="44" a="1"/>
  <c r="S618" s="1"/>
  <c r="D618" a="1"/>
  <c r="H618" i="30" a="1"/>
  <c r="H618" i="44" a="1"/>
  <c r="K618" i="30" a="1"/>
  <c r="O618" i="44" a="1"/>
  <c r="L618" i="30" a="1"/>
  <c r="J618" i="44" a="1"/>
  <c r="Q618" i="30" a="1"/>
  <c r="Q618" s="1"/>
  <c r="O152" i="42" s="1"/>
  <c r="L187" i="44"/>
  <c r="L209" s="1"/>
  <c r="L250" s="1"/>
  <c r="L507"/>
  <c r="M22"/>
  <c r="AX23" i="42"/>
  <c r="L86" i="44"/>
  <c r="L404"/>
  <c r="M211"/>
  <c r="M246" s="1"/>
  <c r="N494"/>
  <c r="N666" s="1"/>
  <c r="AZ186" i="42" s="1"/>
  <c r="O9" i="44"/>
  <c r="N73"/>
  <c r="AZ10" i="42"/>
  <c r="N174" i="44"/>
  <c r="BQ309" i="23"/>
  <c r="BQ353" s="1"/>
  <c r="AT353"/>
  <c r="AU325"/>
  <c r="BQ325"/>
  <c r="BQ344" s="1"/>
  <c r="AT344"/>
  <c r="AA619" i="30" a="1"/>
  <c r="AA619" s="1"/>
  <c r="Y153" i="42" s="1"/>
  <c r="Z619" i="30" a="1"/>
  <c r="Z619" s="1"/>
  <c r="X153" i="42" s="1"/>
  <c r="AB619" i="30" a="1"/>
  <c r="AB619" s="1"/>
  <c r="Z153" i="42" s="1"/>
  <c r="AC619" i="30" a="1"/>
  <c r="AC619" s="1"/>
  <c r="AA153" i="42" s="1"/>
  <c r="X619" i="30" a="1"/>
  <c r="X619" s="1"/>
  <c r="V153" i="42" s="1"/>
  <c r="T619" i="44" a="1"/>
  <c r="T619" s="1"/>
  <c r="BF153" i="42" s="1"/>
  <c r="AA619" i="44" a="1"/>
  <c r="AA619" s="1"/>
  <c r="BM153" i="42" s="1"/>
  <c r="X619" i="44" a="1"/>
  <c r="X619" s="1"/>
  <c r="BJ153" i="42" s="1"/>
  <c r="AC619" i="44" a="1"/>
  <c r="AC619" s="1"/>
  <c r="BO153" i="42" s="1"/>
  <c r="AB619" i="44" a="1"/>
  <c r="AB619" s="1"/>
  <c r="BN153" i="42" s="1"/>
  <c r="T619" i="30" a="1"/>
  <c r="T619" s="1"/>
  <c r="R153" i="42" s="1"/>
  <c r="Y619" i="30" a="1"/>
  <c r="Y619" s="1"/>
  <c r="W153" i="42" s="1"/>
  <c r="W619" i="30" a="1"/>
  <c r="W619" s="1"/>
  <c r="U153" i="42" s="1"/>
  <c r="V619" i="30" a="1"/>
  <c r="V619" s="1"/>
  <c r="T153" i="42" s="1"/>
  <c r="U619" i="30" a="1"/>
  <c r="U619" s="1"/>
  <c r="S153" i="42" s="1"/>
  <c r="V619" i="44" a="1"/>
  <c r="V619" s="1"/>
  <c r="BH153" i="42" s="1"/>
  <c r="U619" i="44" a="1"/>
  <c r="U619" s="1"/>
  <c r="BG153" i="42" s="1"/>
  <c r="Y619" i="44" a="1"/>
  <c r="Y619" s="1"/>
  <c r="BK153" i="42" s="1"/>
  <c r="Z619" i="44" a="1"/>
  <c r="Z619" s="1"/>
  <c r="BL153" i="42" s="1"/>
  <c r="W619" i="44" a="1"/>
  <c r="W619" s="1"/>
  <c r="BI153" i="42" s="1"/>
  <c r="BO311" i="23"/>
  <c r="AW311"/>
  <c r="AV320"/>
  <c r="AW320" s="1"/>
  <c r="I618" i="30"/>
  <c r="G152" i="42" s="1"/>
  <c r="I618" i="44"/>
  <c r="J618" i="30"/>
  <c r="H152" i="42" s="1"/>
  <c r="Q618" i="44"/>
  <c r="D618"/>
  <c r="H618"/>
  <c r="O618"/>
  <c r="J618"/>
  <c r="L619"/>
  <c r="AX153" i="42" s="1"/>
  <c r="O619" i="44"/>
  <c r="BA153" i="42" s="1"/>
  <c r="Q619" i="30"/>
  <c r="O153" i="42" s="1"/>
  <c r="J619" i="44"/>
  <c r="AV153" i="42" s="1"/>
  <c r="H619" i="44"/>
  <c r="AT153" i="42" s="1"/>
  <c r="P619" i="30"/>
  <c r="N153" i="42" s="1"/>
  <c r="D619" i="44"/>
  <c r="AP153" i="42" s="1"/>
  <c r="S619" i="44"/>
  <c r="BE153" i="42" s="1"/>
  <c r="AX352" i="23"/>
  <c r="BM318"/>
  <c r="BM352" s="1"/>
  <c r="BR309"/>
  <c r="BR353" s="1"/>
  <c r="AS353"/>
  <c r="AU309"/>
  <c r="AU350"/>
  <c r="BP320"/>
  <c r="BP350" s="1"/>
  <c r="BQ332"/>
  <c r="AU332"/>
  <c r="AV332" s="1"/>
  <c r="BO332" s="1"/>
  <c r="BP314"/>
  <c r="BP355" s="1"/>
  <c r="AU355"/>
  <c r="AV314"/>
  <c r="BO313"/>
  <c r="AW313"/>
  <c r="AA618" i="30" a="1"/>
  <c r="AA618" s="1"/>
  <c r="Y152" i="42" s="1"/>
  <c r="AC618" i="30" a="1"/>
  <c r="AC618" s="1"/>
  <c r="AA152" i="42" s="1"/>
  <c r="Y618" i="30" a="1"/>
  <c r="Y618" s="1"/>
  <c r="W152" i="42" s="1"/>
  <c r="V618" i="30" a="1"/>
  <c r="V618" s="1"/>
  <c r="T152" i="42" s="1"/>
  <c r="X618" i="30" a="1"/>
  <c r="X618" s="1"/>
  <c r="V152" i="42" s="1"/>
  <c r="AC618" i="44" a="1"/>
  <c r="AC618" s="1"/>
  <c r="V618" a="1"/>
  <c r="V618" s="1"/>
  <c r="T618" a="1"/>
  <c r="T618" s="1"/>
  <c r="AB618" a="1"/>
  <c r="AB618" s="1"/>
  <c r="W618" a="1"/>
  <c r="W618" s="1"/>
  <c r="T618" i="30" a="1"/>
  <c r="T618" s="1"/>
  <c r="R152" i="42" s="1"/>
  <c r="AB618" i="30" a="1"/>
  <c r="AB618" s="1"/>
  <c r="Z152" i="42" s="1"/>
  <c r="U618" i="30" a="1"/>
  <c r="U618" s="1"/>
  <c r="S152" i="42" s="1"/>
  <c r="Z618" i="30" a="1"/>
  <c r="Z618" s="1"/>
  <c r="X152" i="42" s="1"/>
  <c r="W618" i="30" a="1"/>
  <c r="W618" s="1"/>
  <c r="U152" i="42" s="1"/>
  <c r="AA618" i="44" a="1"/>
  <c r="AA618" s="1"/>
  <c r="U618" a="1"/>
  <c r="U618" s="1"/>
  <c r="Z618" a="1"/>
  <c r="Z618" s="1"/>
  <c r="X618" a="1"/>
  <c r="X618" s="1"/>
  <c r="Y618" a="1"/>
  <c r="Y618" s="1"/>
  <c r="AV347" i="23"/>
  <c r="AW312"/>
  <c r="BO312"/>
  <c r="BO347" s="1"/>
  <c r="AX312"/>
  <c r="AY312" s="1"/>
  <c r="AW352"/>
  <c r="BN318"/>
  <c r="BN352" s="1"/>
  <c r="AY318"/>
  <c r="AU330"/>
  <c r="F618" i="30"/>
  <c r="D152" i="42" s="1"/>
  <c r="O618" i="30"/>
  <c r="M152" i="42" s="1"/>
  <c r="L618" i="44"/>
  <c r="R618"/>
  <c r="H618" i="30"/>
  <c r="F152" i="42" s="1"/>
  <c r="K618" i="30"/>
  <c r="I152" i="42" s="1"/>
  <c r="L618" i="30"/>
  <c r="J152" i="42" s="1"/>
  <c r="I619" i="44"/>
  <c r="AU153" i="42" s="1"/>
  <c r="F619" i="30"/>
  <c r="D153" i="42" s="1"/>
  <c r="R619" i="30"/>
  <c r="P153" i="42" s="1"/>
  <c r="S619" i="30"/>
  <c r="Q153" i="42" s="1"/>
  <c r="I619" i="30"/>
  <c r="G153" i="42" s="1"/>
  <c r="E619" i="44"/>
  <c r="AQ153" i="42" s="1"/>
  <c r="M619" i="44"/>
  <c r="AY153" i="42" s="1"/>
  <c r="AV325" i="23"/>
  <c r="BR326"/>
  <c r="BR345" s="1"/>
  <c r="AS345"/>
  <c r="AT326"/>
  <c r="AU326" s="1"/>
  <c r="AV341"/>
  <c r="BO324"/>
  <c r="BO341" s="1"/>
  <c r="BP321"/>
  <c r="BP346" s="1"/>
  <c r="AU346"/>
  <c r="AV321"/>
  <c r="AW321" s="1"/>
  <c r="BP324"/>
  <c r="BP341" s="1"/>
  <c r="AU341"/>
  <c r="AW324"/>
  <c r="AU322"/>
  <c r="BP322" s="1"/>
  <c r="BN328"/>
  <c r="AW358"/>
  <c r="AW356"/>
  <c r="AW357"/>
  <c r="BO356"/>
  <c r="BO357"/>
  <c r="BO358"/>
  <c r="AX328"/>
  <c r="AX324"/>
  <c r="AY328"/>
  <c r="L173" i="30"/>
  <c r="L72"/>
  <c r="L493"/>
  <c r="J9" i="42"/>
  <c r="M8" i="30"/>
  <c r="M431" s="1"/>
  <c r="K67" i="42" s="1"/>
  <c r="K401" i="44"/>
  <c r="K83"/>
  <c r="AW20" i="42"/>
  <c r="L19" i="44"/>
  <c r="K504"/>
  <c r="K679" s="1"/>
  <c r="CD186" i="42" s="1"/>
  <c r="K184" i="44"/>
  <c r="K206" s="1"/>
  <c r="K504" i="30"/>
  <c r="K83"/>
  <c r="K401"/>
  <c r="K184"/>
  <c r="K206" s="1"/>
  <c r="L19"/>
  <c r="I20" i="42"/>
  <c r="L192" i="44"/>
  <c r="L214" s="1"/>
  <c r="L239" s="1"/>
  <c r="L512"/>
  <c r="AX28" i="42"/>
  <c r="M27" i="44"/>
  <c r="M267" s="1"/>
  <c r="L91"/>
  <c r="K180" i="30"/>
  <c r="K202" s="1"/>
  <c r="L15"/>
  <c r="K500"/>
  <c r="K679" s="1"/>
  <c r="CD177" i="42" s="1"/>
  <c r="K79" i="30"/>
  <c r="I16" i="42"/>
  <c r="L192" i="30"/>
  <c r="L512"/>
  <c r="M27"/>
  <c r="M267" s="1"/>
  <c r="L91"/>
  <c r="J28" i="42"/>
  <c r="M208" i="44"/>
  <c r="K506" i="30"/>
  <c r="K186"/>
  <c r="K208" s="1"/>
  <c r="L21"/>
  <c r="I22" i="42"/>
  <c r="K85" i="30"/>
  <c r="K403"/>
  <c r="K440"/>
  <c r="CE66" i="42" s="1"/>
  <c r="L11" i="30"/>
  <c r="K176"/>
  <c r="K28"/>
  <c r="K29" s="1"/>
  <c r="K430"/>
  <c r="I66" i="42" s="1"/>
  <c r="K496" i="30"/>
  <c r="K75"/>
  <c r="I12" i="42"/>
  <c r="K41" i="30"/>
  <c r="AW12" i="42"/>
  <c r="K75" i="44"/>
  <c r="K176"/>
  <c r="K198" s="1"/>
  <c r="K28"/>
  <c r="K496"/>
  <c r="L11"/>
  <c r="K440"/>
  <c r="CE67" i="42" s="1"/>
  <c r="K41" i="44"/>
  <c r="K431"/>
  <c r="AW67" i="42" s="1"/>
  <c r="O27" i="43"/>
  <c r="L40" i="30"/>
  <c r="L92" s="1"/>
  <c r="L40" i="44"/>
  <c r="L92" s="1"/>
  <c r="S268" i="30"/>
  <c r="V29" i="43"/>
  <c r="S268" i="44"/>
  <c r="P54" i="43"/>
  <c r="O55"/>
  <c r="O74" s="1"/>
  <c r="O56"/>
  <c r="O73" s="1"/>
  <c r="D44" i="33"/>
  <c r="J271" i="30"/>
  <c r="D103" i="33"/>
  <c r="J271" i="44"/>
  <c r="N15" i="43"/>
  <c r="N20" s="1"/>
  <c r="M269" i="30"/>
  <c r="P26" i="43"/>
  <c r="M269" i="44"/>
  <c r="M33" i="43"/>
  <c r="K266" i="44"/>
  <c r="K266" i="30"/>
  <c r="P57" i="43"/>
  <c r="P75" s="1"/>
  <c r="L164" i="42" s="1"/>
  <c r="AZ164" s="1"/>
  <c r="Q52" i="43"/>
  <c r="N19"/>
  <c r="N23" s="1"/>
  <c r="N32" s="1"/>
  <c r="N16"/>
  <c r="O12"/>
  <c r="P10"/>
  <c r="O14"/>
  <c r="I46" i="44"/>
  <c r="C101" i="33" s="1"/>
  <c r="C90" s="1"/>
  <c r="I45" i="44"/>
  <c r="C100" i="33" s="1"/>
  <c r="I47" i="44"/>
  <c r="C102" i="33" s="1"/>
  <c r="I44" i="44"/>
  <c r="C99" i="33" s="1"/>
  <c r="I47" i="30"/>
  <c r="C43" i="33" s="1"/>
  <c r="I45" i="30"/>
  <c r="C41" i="33" s="1"/>
  <c r="I44" i="30"/>
  <c r="L37" i="43"/>
  <c r="J38" i="44"/>
  <c r="J38" i="30"/>
  <c r="M201"/>
  <c r="L15" i="42"/>
  <c r="O14" i="30"/>
  <c r="N499"/>
  <c r="N179"/>
  <c r="N78"/>
  <c r="N77" i="44"/>
  <c r="O13"/>
  <c r="N498"/>
  <c r="AZ14" i="42"/>
  <c r="N178" i="44"/>
  <c r="N506"/>
  <c r="N85"/>
  <c r="AZ22" i="42"/>
  <c r="O21" i="44"/>
  <c r="N186"/>
  <c r="N208" s="1"/>
  <c r="N257" s="1"/>
  <c r="N403"/>
  <c r="N500"/>
  <c r="N79"/>
  <c r="O15"/>
  <c r="N180"/>
  <c r="N202" s="1"/>
  <c r="AZ16" i="42"/>
  <c r="O17" i="44"/>
  <c r="N94"/>
  <c r="N81"/>
  <c r="AZ18" i="42"/>
  <c r="N399" i="44"/>
  <c r="N502"/>
  <c r="N182"/>
  <c r="M203"/>
  <c r="M241" s="1"/>
  <c r="P18"/>
  <c r="O82"/>
  <c r="O183"/>
  <c r="O503"/>
  <c r="BA19" i="42"/>
  <c r="N74" i="44"/>
  <c r="N175"/>
  <c r="N495"/>
  <c r="AZ11" i="42"/>
  <c r="N430" i="44"/>
  <c r="AZ66" i="42" s="1"/>
  <c r="O10" i="44"/>
  <c r="N181"/>
  <c r="N80"/>
  <c r="AZ17" i="42"/>
  <c r="N93" i="44"/>
  <c r="N501"/>
  <c r="N661" s="1"/>
  <c r="AZ177" i="42" s="1"/>
  <c r="O16" i="44"/>
  <c r="N203"/>
  <c r="N241" s="1"/>
  <c r="M204"/>
  <c r="M242" s="1"/>
  <c r="M197"/>
  <c r="M258" s="1"/>
  <c r="AZ46" i="24"/>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U37" s="1"/>
  <c r="T37"/>
  <c r="AZ49"/>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U40" s="1"/>
  <c r="T40"/>
  <c r="T36"/>
  <c r="AZ45"/>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U36" s="1"/>
  <c r="AZ43"/>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U34" s="1"/>
  <c r="T34"/>
  <c r="AZ44"/>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U35" s="1"/>
  <c r="T35"/>
  <c r="M11" i="42"/>
  <c r="O175" i="30"/>
  <c r="O495"/>
  <c r="P10"/>
  <c r="O74"/>
  <c r="N197"/>
  <c r="N258" s="1"/>
  <c r="N189" i="44"/>
  <c r="N211" s="1"/>
  <c r="N246" s="1"/>
  <c r="O24"/>
  <c r="M211" i="30"/>
  <c r="M246" s="1"/>
  <c r="L25" i="42"/>
  <c r="N406" i="30"/>
  <c r="N88"/>
  <c r="D30" i="33" l="1"/>
  <c r="AZ25" i="42"/>
  <c r="O24" i="30"/>
  <c r="O189" s="1"/>
  <c r="N189"/>
  <c r="R66" i="43"/>
  <c r="S65"/>
  <c r="R67"/>
  <c r="R68"/>
  <c r="N88" i="44"/>
  <c r="N509"/>
  <c r="L191" i="30"/>
  <c r="L213" s="1"/>
  <c r="L248" s="1"/>
  <c r="M26"/>
  <c r="J27" i="42"/>
  <c r="L90" i="30"/>
  <c r="L408"/>
  <c r="BO315" i="23"/>
  <c r="BO343" s="1"/>
  <c r="AV343"/>
  <c r="AX315"/>
  <c r="L90" i="44"/>
  <c r="L191"/>
  <c r="AX27" i="42"/>
  <c r="L408" i="44"/>
  <c r="M26"/>
  <c r="L213"/>
  <c r="O241" i="30"/>
  <c r="D661"/>
  <c r="B177" i="42" s="1"/>
  <c r="BN315" i="23"/>
  <c r="BN343" s="1"/>
  <c r="AW343"/>
  <c r="L188" i="30"/>
  <c r="M23"/>
  <c r="J24" i="42"/>
  <c r="L87" i="30"/>
  <c r="L405"/>
  <c r="L508"/>
  <c r="L210"/>
  <c r="L254" s="1"/>
  <c r="L407"/>
  <c r="J26" i="42"/>
  <c r="M25" i="30"/>
  <c r="L190"/>
  <c r="L212" s="1"/>
  <c r="L89"/>
  <c r="L190" i="44"/>
  <c r="L212" s="1"/>
  <c r="L247" s="1"/>
  <c r="M25"/>
  <c r="L89"/>
  <c r="AX26" i="42"/>
  <c r="L407" i="44"/>
  <c r="N87"/>
  <c r="L661" i="30"/>
  <c r="J177" i="42" s="1"/>
  <c r="Q16" i="30"/>
  <c r="Q93" s="1"/>
  <c r="N188" i="44"/>
  <c r="N210" s="1"/>
  <c r="P501" i="30"/>
  <c r="P181"/>
  <c r="P203" s="1"/>
  <c r="P241" s="1"/>
  <c r="AZ24" i="42"/>
  <c r="N94" i="30"/>
  <c r="N182"/>
  <c r="N204" s="1"/>
  <c r="N242" s="1"/>
  <c r="M12"/>
  <c r="J13" i="42"/>
  <c r="L76" i="30"/>
  <c r="L497"/>
  <c r="L177"/>
  <c r="L199" s="1"/>
  <c r="L240" s="1"/>
  <c r="M12" i="44"/>
  <c r="L497"/>
  <c r="AX13" i="42"/>
  <c r="L76" i="44"/>
  <c r="L177"/>
  <c r="L199" s="1"/>
  <c r="L240" s="1"/>
  <c r="J252" i="30"/>
  <c r="K250" i="44"/>
  <c r="D258"/>
  <c r="M251" i="30"/>
  <c r="K252" i="44"/>
  <c r="K257" i="30"/>
  <c r="M257" i="44"/>
  <c r="K256" i="30"/>
  <c r="K244"/>
  <c r="K244" i="44"/>
  <c r="L250" i="30"/>
  <c r="N249"/>
  <c r="D255"/>
  <c r="D255" i="44"/>
  <c r="M243" i="30"/>
  <c r="K239" i="44"/>
  <c r="M242" i="30"/>
  <c r="M255" i="44"/>
  <c r="N81" i="30"/>
  <c r="P93"/>
  <c r="P80"/>
  <c r="N508" i="44"/>
  <c r="O23"/>
  <c r="P23" s="1"/>
  <c r="L195"/>
  <c r="L253" s="1"/>
  <c r="E91" i="33"/>
  <c r="L18" i="42"/>
  <c r="O17" i="30"/>
  <c r="O502" s="1"/>
  <c r="N399"/>
  <c r="L195"/>
  <c r="L253" s="1"/>
  <c r="D115" i="33"/>
  <c r="J34" i="44"/>
  <c r="J33"/>
  <c r="J34" i="30"/>
  <c r="D56" i="33"/>
  <c r="N84" i="44"/>
  <c r="N185"/>
  <c r="O20"/>
  <c r="N207"/>
  <c r="N245" s="1"/>
  <c r="N505"/>
  <c r="AZ21" i="42"/>
  <c r="N402" i="44"/>
  <c r="K29"/>
  <c r="AY9" i="42"/>
  <c r="N8" i="44"/>
  <c r="M72"/>
  <c r="M493"/>
  <c r="M173"/>
  <c r="L246"/>
  <c r="K253" i="30"/>
  <c r="J256"/>
  <c r="L249"/>
  <c r="N243" i="44"/>
  <c r="AA228" i="23"/>
  <c r="AA226"/>
  <c r="AA237"/>
  <c r="AA236"/>
  <c r="AA232"/>
  <c r="AA221"/>
  <c r="AA230"/>
  <c r="AA238"/>
  <c r="AA231"/>
  <c r="AA234"/>
  <c r="AA227"/>
  <c r="AA224"/>
  <c r="AA235"/>
  <c r="AA220"/>
  <c r="AA223"/>
  <c r="AA222"/>
  <c r="AA233"/>
  <c r="AA229"/>
  <c r="AA225"/>
  <c r="AF228"/>
  <c r="AF230"/>
  <c r="AF227"/>
  <c r="AF226"/>
  <c r="AF220"/>
  <c r="AF235"/>
  <c r="AF237"/>
  <c r="AF233"/>
  <c r="AF223"/>
  <c r="AF224"/>
  <c r="AF231"/>
  <c r="AF229"/>
  <c r="AF232"/>
  <c r="AF222"/>
  <c r="AF221"/>
  <c r="AF234"/>
  <c r="AF236"/>
  <c r="AF238"/>
  <c r="AF225"/>
  <c r="AB224"/>
  <c r="AB238"/>
  <c r="AB236"/>
  <c r="AB234"/>
  <c r="AB230"/>
  <c r="AB222"/>
  <c r="AB231"/>
  <c r="AB229"/>
  <c r="AB233"/>
  <c r="AB221"/>
  <c r="AB220"/>
  <c r="AB225"/>
  <c r="AB226"/>
  <c r="AB237"/>
  <c r="AB228"/>
  <c r="AB223"/>
  <c r="AB227"/>
  <c r="AB235"/>
  <c r="AB232"/>
  <c r="N230"/>
  <c r="N233"/>
  <c r="N229"/>
  <c r="N237"/>
  <c r="N223"/>
  <c r="N226"/>
  <c r="N228"/>
  <c r="N234"/>
  <c r="N235"/>
  <c r="N236"/>
  <c r="N221"/>
  <c r="N225"/>
  <c r="N222"/>
  <c r="N232"/>
  <c r="N238"/>
  <c r="N227"/>
  <c r="N231"/>
  <c r="N220"/>
  <c r="N224"/>
  <c r="AC226"/>
  <c r="AC235"/>
  <c r="AC233"/>
  <c r="AC227"/>
  <c r="AC236"/>
  <c r="AC223"/>
  <c r="AC225"/>
  <c r="AC232"/>
  <c r="AC231"/>
  <c r="AC224"/>
  <c r="AC220"/>
  <c r="AC234"/>
  <c r="AC238"/>
  <c r="AC229"/>
  <c r="AC237"/>
  <c r="AC222"/>
  <c r="AC228"/>
  <c r="AC230"/>
  <c r="Y228"/>
  <c r="Y227"/>
  <c r="Y221"/>
  <c r="Y231"/>
  <c r="Y236"/>
  <c r="Y238"/>
  <c r="Y223"/>
  <c r="Y232"/>
  <c r="Y229"/>
  <c r="Y234"/>
  <c r="Y230"/>
  <c r="Y222"/>
  <c r="Y225"/>
  <c r="Y235"/>
  <c r="Y237"/>
  <c r="Y226"/>
  <c r="Y220"/>
  <c r="Y224"/>
  <c r="Y233"/>
  <c r="K234"/>
  <c r="K231"/>
  <c r="K227"/>
  <c r="K228"/>
  <c r="K230"/>
  <c r="K222"/>
  <c r="K224"/>
  <c r="K221"/>
  <c r="K226"/>
  <c r="K232"/>
  <c r="K225"/>
  <c r="K220"/>
  <c r="K236"/>
  <c r="K229"/>
  <c r="K235"/>
  <c r="K223"/>
  <c r="K238"/>
  <c r="K233"/>
  <c r="K237"/>
  <c r="Z232"/>
  <c r="Z224"/>
  <c r="Z220"/>
  <c r="Z235"/>
  <c r="Z236"/>
  <c r="Z225"/>
  <c r="Z234"/>
  <c r="Z226"/>
  <c r="Z229"/>
  <c r="Z222"/>
  <c r="Z221"/>
  <c r="Z231"/>
  <c r="Z233"/>
  <c r="Z237"/>
  <c r="Z228"/>
  <c r="Z227"/>
  <c r="Z230"/>
  <c r="Z223"/>
  <c r="Z238"/>
  <c r="T226"/>
  <c r="T230"/>
  <c r="T236"/>
  <c r="T220"/>
  <c r="T238"/>
  <c r="T227"/>
  <c r="T235"/>
  <c r="T224"/>
  <c r="T228"/>
  <c r="T231"/>
  <c r="T233"/>
  <c r="T223"/>
  <c r="T232"/>
  <c r="T225"/>
  <c r="T237"/>
  <c r="T222"/>
  <c r="T229"/>
  <c r="T221"/>
  <c r="T234"/>
  <c r="AG230"/>
  <c r="AG234"/>
  <c r="AG229"/>
  <c r="AG232"/>
  <c r="AG238"/>
  <c r="AG224"/>
  <c r="AG223"/>
  <c r="AG227"/>
  <c r="AG225"/>
  <c r="AG236"/>
  <c r="AG228"/>
  <c r="AG226"/>
  <c r="AG233"/>
  <c r="AG220"/>
  <c r="AG222"/>
  <c r="AG221"/>
  <c r="AG237"/>
  <c r="AG235"/>
  <c r="AG231"/>
  <c r="AD233"/>
  <c r="AD228"/>
  <c r="AD222"/>
  <c r="AD229"/>
  <c r="AD232"/>
  <c r="AD221"/>
  <c r="AD223"/>
  <c r="AD235"/>
  <c r="AD230"/>
  <c r="AD231"/>
  <c r="AD227"/>
  <c r="AD237"/>
  <c r="AD238"/>
  <c r="AD220"/>
  <c r="AD236"/>
  <c r="AD225"/>
  <c r="AD226"/>
  <c r="AD234"/>
  <c r="AD224"/>
  <c r="W228"/>
  <c r="W233"/>
  <c r="W235"/>
  <c r="W229"/>
  <c r="W234"/>
  <c r="W231"/>
  <c r="W225"/>
  <c r="W221"/>
  <c r="W220"/>
  <c r="W238"/>
  <c r="W230"/>
  <c r="W227"/>
  <c r="W222"/>
  <c r="W232"/>
  <c r="W224"/>
  <c r="W237"/>
  <c r="W226"/>
  <c r="W236"/>
  <c r="W223"/>
  <c r="M258" i="30"/>
  <c r="M245" i="44"/>
  <c r="M241" i="30"/>
  <c r="Q228" i="23"/>
  <c r="Q226"/>
  <c r="Q230"/>
  <c r="Q231"/>
  <c r="Q232"/>
  <c r="Q229"/>
  <c r="Q220"/>
  <c r="Q221"/>
  <c r="Q222"/>
  <c r="Q237"/>
  <c r="Q235"/>
  <c r="Q223"/>
  <c r="Q234"/>
  <c r="Q225"/>
  <c r="Q238"/>
  <c r="Q236"/>
  <c r="Q227"/>
  <c r="Q224"/>
  <c r="Q233"/>
  <c r="I253" i="30"/>
  <c r="I256" i="44"/>
  <c r="I246" i="30"/>
  <c r="I255" i="44"/>
  <c r="I242"/>
  <c r="I258" i="30"/>
  <c r="I240"/>
  <c r="I249" i="44"/>
  <c r="I243" i="30"/>
  <c r="I243" i="44"/>
  <c r="I244" i="30"/>
  <c r="I239" i="44"/>
  <c r="I257" i="30"/>
  <c r="I258" i="44"/>
  <c r="I247" i="30"/>
  <c r="I252" i="44"/>
  <c r="I244"/>
  <c r="I256" i="30"/>
  <c r="I248" i="44"/>
  <c r="I251"/>
  <c r="I251" i="30"/>
  <c r="I254" i="44"/>
  <c r="I241" i="30"/>
  <c r="I241" i="44"/>
  <c r="I245"/>
  <c r="I250"/>
  <c r="I240"/>
  <c r="I248" i="30"/>
  <c r="I242"/>
  <c r="I254"/>
  <c r="I257" i="44"/>
  <c r="I253"/>
  <c r="I249" i="30"/>
  <c r="I250"/>
  <c r="I247" i="44"/>
  <c r="I245" i="30"/>
  <c r="I239"/>
  <c r="I246" i="44"/>
  <c r="I255" i="30"/>
  <c r="I252"/>
  <c r="M230" i="23"/>
  <c r="M226"/>
  <c r="M232"/>
  <c r="M224"/>
  <c r="M220"/>
  <c r="M222"/>
  <c r="M229"/>
  <c r="M227"/>
  <c r="M238"/>
  <c r="M236"/>
  <c r="M234"/>
  <c r="M235"/>
  <c r="M231"/>
  <c r="M221"/>
  <c r="M223"/>
  <c r="M228"/>
  <c r="M237"/>
  <c r="M225"/>
  <c r="M233"/>
  <c r="R235"/>
  <c r="R227"/>
  <c r="R220"/>
  <c r="R228"/>
  <c r="R231"/>
  <c r="R233"/>
  <c r="R226"/>
  <c r="R230"/>
  <c r="R224"/>
  <c r="R236"/>
  <c r="R223"/>
  <c r="R221"/>
  <c r="R237"/>
  <c r="R238"/>
  <c r="R222"/>
  <c r="R229"/>
  <c r="R234"/>
  <c r="R225"/>
  <c r="R232"/>
  <c r="O226"/>
  <c r="O237"/>
  <c r="O228"/>
  <c r="O227"/>
  <c r="O236"/>
  <c r="O230"/>
  <c r="O231"/>
  <c r="O232"/>
  <c r="O220"/>
  <c r="O224"/>
  <c r="O225"/>
  <c r="O234"/>
  <c r="O223"/>
  <c r="O229"/>
  <c r="O221"/>
  <c r="O233"/>
  <c r="O235"/>
  <c r="O222"/>
  <c r="O238"/>
  <c r="V235"/>
  <c r="V233"/>
  <c r="V221"/>
  <c r="V220"/>
  <c r="V238"/>
  <c r="V222"/>
  <c r="V223"/>
  <c r="V236"/>
  <c r="V227"/>
  <c r="V229"/>
  <c r="V234"/>
  <c r="V224"/>
  <c r="V232"/>
  <c r="V231"/>
  <c r="V237"/>
  <c r="V225"/>
  <c r="V228"/>
  <c r="V226"/>
  <c r="V230"/>
  <c r="U227"/>
  <c r="U230"/>
  <c r="U234"/>
  <c r="U229"/>
  <c r="U237"/>
  <c r="U220"/>
  <c r="U226"/>
  <c r="U224"/>
  <c r="U223"/>
  <c r="U228"/>
  <c r="U238"/>
  <c r="U221"/>
  <c r="U231"/>
  <c r="U235"/>
  <c r="U233"/>
  <c r="U236"/>
  <c r="U225"/>
  <c r="U232"/>
  <c r="U222"/>
  <c r="AE229"/>
  <c r="AE228"/>
  <c r="AE222"/>
  <c r="AE224"/>
  <c r="AE233"/>
  <c r="AE235"/>
  <c r="AE236"/>
  <c r="AE232"/>
  <c r="AE227"/>
  <c r="AE221"/>
  <c r="AE226"/>
  <c r="AE220"/>
  <c r="AE230"/>
  <c r="AE237"/>
  <c r="AE225"/>
  <c r="AE234"/>
  <c r="AE231"/>
  <c r="AE223"/>
  <c r="AE238"/>
  <c r="E253" i="44"/>
  <c r="E240"/>
  <c r="E246" i="30"/>
  <c r="E254" i="44"/>
  <c r="E242" i="30"/>
  <c r="E240"/>
  <c r="E243" i="44"/>
  <c r="E244"/>
  <c r="E257" i="30"/>
  <c r="E252"/>
  <c r="E250" i="44"/>
  <c r="E255" i="30"/>
  <c r="E243"/>
  <c r="E248"/>
  <c r="E239"/>
  <c r="E257" i="44"/>
  <c r="E239"/>
  <c r="E241"/>
  <c r="E256"/>
  <c r="E241" i="30"/>
  <c r="E251" i="44"/>
  <c r="E258" i="30"/>
  <c r="E258" i="44"/>
  <c r="E249"/>
  <c r="E251" i="30"/>
  <c r="E245"/>
  <c r="E253"/>
  <c r="E252" i="44"/>
  <c r="E249" i="30"/>
  <c r="E242" i="44"/>
  <c r="E256" i="30"/>
  <c r="E246" i="44"/>
  <c r="E247" i="30"/>
  <c r="E247" i="44"/>
  <c r="E255"/>
  <c r="E244" i="30"/>
  <c r="E254"/>
  <c r="E248" i="44"/>
  <c r="E245"/>
  <c r="E250" i="30"/>
  <c r="I235" i="23"/>
  <c r="I236"/>
  <c r="I230"/>
  <c r="I227"/>
  <c r="I238"/>
  <c r="I231"/>
  <c r="I232"/>
  <c r="I223"/>
  <c r="I225"/>
  <c r="I233"/>
  <c r="I226"/>
  <c r="I237"/>
  <c r="I222"/>
  <c r="I220"/>
  <c r="I229"/>
  <c r="I224"/>
  <c r="I221"/>
  <c r="I234"/>
  <c r="I228"/>
  <c r="J223"/>
  <c r="J234"/>
  <c r="J231"/>
  <c r="J236"/>
  <c r="J230"/>
  <c r="J224"/>
  <c r="J235"/>
  <c r="J225"/>
  <c r="J233"/>
  <c r="J220"/>
  <c r="J222"/>
  <c r="J229"/>
  <c r="J232"/>
  <c r="J238"/>
  <c r="J227"/>
  <c r="J221"/>
  <c r="J226"/>
  <c r="J228"/>
  <c r="J237"/>
  <c r="S235"/>
  <c r="S230"/>
  <c r="S227"/>
  <c r="S229"/>
  <c r="S228"/>
  <c r="S220"/>
  <c r="S225"/>
  <c r="S231"/>
  <c r="S232"/>
  <c r="S237"/>
  <c r="S222"/>
  <c r="S223"/>
  <c r="S234"/>
  <c r="S226"/>
  <c r="S238"/>
  <c r="S224"/>
  <c r="S221"/>
  <c r="S236"/>
  <c r="S233"/>
  <c r="H222"/>
  <c r="H220"/>
  <c r="H226"/>
  <c r="H231"/>
  <c r="H230"/>
  <c r="H224"/>
  <c r="H227"/>
  <c r="H235"/>
  <c r="H233"/>
  <c r="H221"/>
  <c r="H223"/>
  <c r="H237"/>
  <c r="H228"/>
  <c r="H232"/>
  <c r="H236"/>
  <c r="H238"/>
  <c r="H229"/>
  <c r="H225"/>
  <c r="H234"/>
  <c r="J248" i="30"/>
  <c r="J244" i="44"/>
  <c r="J252"/>
  <c r="M249"/>
  <c r="L241"/>
  <c r="M256"/>
  <c r="X230" i="23"/>
  <c r="X235"/>
  <c r="X236"/>
  <c r="X225"/>
  <c r="X221"/>
  <c r="X237"/>
  <c r="X226"/>
  <c r="X233"/>
  <c r="X234"/>
  <c r="X231"/>
  <c r="X223"/>
  <c r="X238"/>
  <c r="X228"/>
  <c r="X227"/>
  <c r="X224"/>
  <c r="X229"/>
  <c r="X222"/>
  <c r="X220"/>
  <c r="X232"/>
  <c r="J247" i="30"/>
  <c r="J255" i="44"/>
  <c r="J241" i="30"/>
  <c r="J258" i="44"/>
  <c r="J253"/>
  <c r="J256"/>
  <c r="J246"/>
  <c r="J239" i="30"/>
  <c r="J249"/>
  <c r="J240"/>
  <c r="J250"/>
  <c r="J239" i="44"/>
  <c r="J251" i="30"/>
  <c r="J246"/>
  <c r="J257" i="44"/>
  <c r="J253" i="30"/>
  <c r="J242"/>
  <c r="J250" i="44"/>
  <c r="J245" i="30"/>
  <c r="J240" i="44"/>
  <c r="J258" i="30"/>
  <c r="J249" i="44"/>
  <c r="J247"/>
  <c r="J254" i="30"/>
  <c r="J251" i="44"/>
  <c r="J255" i="30"/>
  <c r="J248" i="44"/>
  <c r="J241"/>
  <c r="J243" i="30"/>
  <c r="J254" i="44"/>
  <c r="J243"/>
  <c r="J242"/>
  <c r="J245"/>
  <c r="H246"/>
  <c r="H255"/>
  <c r="H251" i="30"/>
  <c r="H242" i="44"/>
  <c r="H257" i="30"/>
  <c r="H239"/>
  <c r="H251" i="44"/>
  <c r="H253"/>
  <c r="H244"/>
  <c r="H245" i="30"/>
  <c r="H241" i="44"/>
  <c r="H255" i="30"/>
  <c r="H243" i="44"/>
  <c r="H250"/>
  <c r="H254"/>
  <c r="H252"/>
  <c r="H253" i="30"/>
  <c r="H250"/>
  <c r="H252"/>
  <c r="H256" i="44"/>
  <c r="H245"/>
  <c r="H258" i="30"/>
  <c r="H240" i="44"/>
  <c r="H258"/>
  <c r="H249" i="30"/>
  <c r="H240"/>
  <c r="H246"/>
  <c r="H254"/>
  <c r="H243"/>
  <c r="H242"/>
  <c r="H249" i="44"/>
  <c r="H244" i="30"/>
  <c r="H248" i="44"/>
  <c r="H248" i="30"/>
  <c r="H257" i="44"/>
  <c r="H239"/>
  <c r="H247"/>
  <c r="H256" i="30"/>
  <c r="H241"/>
  <c r="H247"/>
  <c r="L224" i="23"/>
  <c r="L228"/>
  <c r="L233"/>
  <c r="L222"/>
  <c r="L232"/>
  <c r="L225"/>
  <c r="L236"/>
  <c r="L235"/>
  <c r="L234"/>
  <c r="L229"/>
  <c r="L223"/>
  <c r="L220"/>
  <c r="L227"/>
  <c r="L238"/>
  <c r="L230"/>
  <c r="L226"/>
  <c r="L231"/>
  <c r="L237"/>
  <c r="L258" i="30"/>
  <c r="L251" i="44"/>
  <c r="L245"/>
  <c r="L241" i="30"/>
  <c r="L242" i="44"/>
  <c r="L256"/>
  <c r="L242" i="30"/>
  <c r="L258" i="44"/>
  <c r="L243"/>
  <c r="L247" i="30"/>
  <c r="L245"/>
  <c r="P232" i="23"/>
  <c r="P224"/>
  <c r="P231"/>
  <c r="P222"/>
  <c r="P238"/>
  <c r="P221"/>
  <c r="P227"/>
  <c r="P235"/>
  <c r="P233"/>
  <c r="P230"/>
  <c r="P226"/>
  <c r="P228"/>
  <c r="P237"/>
  <c r="P229"/>
  <c r="P223"/>
  <c r="P236"/>
  <c r="P234"/>
  <c r="P220"/>
  <c r="P225"/>
  <c r="G250" i="30"/>
  <c r="G254"/>
  <c r="G251"/>
  <c r="G253" i="44"/>
  <c r="G247" i="30"/>
  <c r="G241" i="44"/>
  <c r="G248"/>
  <c r="G240"/>
  <c r="G255"/>
  <c r="G248" i="30"/>
  <c r="G255"/>
  <c r="G245"/>
  <c r="G245" i="44"/>
  <c r="G251"/>
  <c r="G239" i="30"/>
  <c r="G249" i="44"/>
  <c r="G244" i="30"/>
  <c r="G242" i="44"/>
  <c r="G253" i="30"/>
  <c r="G258"/>
  <c r="G257" i="44"/>
  <c r="G254"/>
  <c r="G246"/>
  <c r="G250"/>
  <c r="G257" i="30"/>
  <c r="G258" i="44"/>
  <c r="G242" i="30"/>
  <c r="G244" i="44"/>
  <c r="G239"/>
  <c r="G246" i="30"/>
  <c r="G243"/>
  <c r="G256" i="44"/>
  <c r="G249" i="30"/>
  <c r="G252"/>
  <c r="G247" i="44"/>
  <c r="G241" i="30"/>
  <c r="G243" i="44"/>
  <c r="G240" i="30"/>
  <c r="G252" i="44"/>
  <c r="G256" i="30"/>
  <c r="K242"/>
  <c r="K242" i="44"/>
  <c r="K257"/>
  <c r="K247"/>
  <c r="K240"/>
  <c r="K258"/>
  <c r="K256"/>
  <c r="K253"/>
  <c r="K251" i="30"/>
  <c r="K245"/>
  <c r="K249" i="44"/>
  <c r="K254"/>
  <c r="K245"/>
  <c r="K249" i="30"/>
  <c r="K240"/>
  <c r="K241"/>
  <c r="K255"/>
  <c r="K247"/>
  <c r="K246" i="44"/>
  <c r="K246" i="30"/>
  <c r="K241" i="44"/>
  <c r="K248"/>
  <c r="K248" i="30"/>
  <c r="K255" i="44"/>
  <c r="K251"/>
  <c r="K254" i="30"/>
  <c r="K243" i="44"/>
  <c r="K258" i="30"/>
  <c r="K243"/>
  <c r="F253"/>
  <c r="F258"/>
  <c r="F257" i="44"/>
  <c r="F253"/>
  <c r="F255"/>
  <c r="F247"/>
  <c r="F257" i="30"/>
  <c r="F245"/>
  <c r="F255"/>
  <c r="F244" i="44"/>
  <c r="F246" i="30"/>
  <c r="F250"/>
  <c r="F239" i="44"/>
  <c r="F241"/>
  <c r="F243" i="30"/>
  <c r="F252" i="44"/>
  <c r="F256" i="30"/>
  <c r="F258" i="44"/>
  <c r="F252" i="30"/>
  <c r="F246" i="44"/>
  <c r="F250"/>
  <c r="F240"/>
  <c r="F247" i="30"/>
  <c r="F249"/>
  <c r="F241"/>
  <c r="F256" i="44"/>
  <c r="F251"/>
  <c r="F244" i="30"/>
  <c r="F240"/>
  <c r="F239"/>
  <c r="F242" i="44"/>
  <c r="F254"/>
  <c r="F248"/>
  <c r="F249"/>
  <c r="F245"/>
  <c r="F248" i="30"/>
  <c r="F243" i="44"/>
  <c r="F242" i="30"/>
  <c r="F254"/>
  <c r="F251"/>
  <c r="D252" i="44"/>
  <c r="D240"/>
  <c r="D241" i="30"/>
  <c r="D243" i="44"/>
  <c r="D248"/>
  <c r="D248" i="30"/>
  <c r="D246"/>
  <c r="D251"/>
  <c r="D243"/>
  <c r="D244" i="44"/>
  <c r="D247"/>
  <c r="D242"/>
  <c r="D250"/>
  <c r="D239"/>
  <c r="D256" i="30"/>
  <c r="D256" i="44"/>
  <c r="D249"/>
  <c r="D245"/>
  <c r="D249" i="30"/>
  <c r="D239"/>
  <c r="D257"/>
  <c r="D253" i="44"/>
  <c r="D247" i="30"/>
  <c r="D257" i="44"/>
  <c r="D250" i="30"/>
  <c r="D240"/>
  <c r="D245"/>
  <c r="D253"/>
  <c r="D246" i="44"/>
  <c r="D252" i="30"/>
  <c r="D241" i="44"/>
  <c r="D242" i="30"/>
  <c r="D251" i="44"/>
  <c r="D244" i="30"/>
  <c r="N231" i="44"/>
  <c r="L243" i="30"/>
  <c r="J33"/>
  <c r="AC221" i="23"/>
  <c r="J244" i="30"/>
  <c r="J257"/>
  <c r="N241"/>
  <c r="L251"/>
  <c r="L249" i="44"/>
  <c r="L257"/>
  <c r="M243"/>
  <c r="L255"/>
  <c r="L246" i="30"/>
  <c r="L248" i="44"/>
  <c r="K198" i="30"/>
  <c r="K252" s="1"/>
  <c r="O15" i="43"/>
  <c r="O20" s="1"/>
  <c r="N84" i="30"/>
  <c r="L21" i="42"/>
  <c r="O20" i="30"/>
  <c r="N505"/>
  <c r="N402"/>
  <c r="N185"/>
  <c r="N201"/>
  <c r="N251" s="1"/>
  <c r="M201" i="44"/>
  <c r="M251" s="1"/>
  <c r="AY323" i="23"/>
  <c r="BM323"/>
  <c r="BM340" s="1"/>
  <c r="AX340"/>
  <c r="N73" i="30"/>
  <c r="L10" i="42"/>
  <c r="N494" i="30"/>
  <c r="N174"/>
  <c r="N196" s="1"/>
  <c r="O9"/>
  <c r="E89" i="33"/>
  <c r="E30"/>
  <c r="N183" i="30"/>
  <c r="N228" s="1"/>
  <c r="N82"/>
  <c r="N503"/>
  <c r="O18"/>
  <c r="N205"/>
  <c r="N243" s="1"/>
  <c r="N400"/>
  <c r="L19" i="42"/>
  <c r="N78" i="44"/>
  <c r="O14"/>
  <c r="AZ15" i="42"/>
  <c r="N179" i="44"/>
  <c r="N232" s="1"/>
  <c r="N499"/>
  <c r="N77" i="30"/>
  <c r="BO329" i="23"/>
  <c r="BO359" s="1"/>
  <c r="AV359"/>
  <c r="BL319"/>
  <c r="BL351" s="1"/>
  <c r="AY351"/>
  <c r="AX351"/>
  <c r="BM319"/>
  <c r="BM351" s="1"/>
  <c r="AW351"/>
  <c r="BN319"/>
  <c r="BN351" s="1"/>
  <c r="BO319"/>
  <c r="BO351" s="1"/>
  <c r="AV351"/>
  <c r="AU359"/>
  <c r="BP329"/>
  <c r="BP359" s="1"/>
  <c r="Z612" i="30" a="1"/>
  <c r="Z612" s="1"/>
  <c r="X146" i="42" s="1"/>
  <c r="AA612" i="30" a="1"/>
  <c r="AA612" s="1"/>
  <c r="Y146" i="42" s="1"/>
  <c r="V612" i="30" a="1"/>
  <c r="V612" s="1"/>
  <c r="T146" i="42" s="1"/>
  <c r="AC612" i="30" a="1"/>
  <c r="AC612" s="1"/>
  <c r="AA146" i="42" s="1"/>
  <c r="T612" i="30" a="1"/>
  <c r="T612" s="1"/>
  <c r="R146" i="42" s="1"/>
  <c r="R612" i="44" a="1"/>
  <c r="R612" s="1"/>
  <c r="BD146" i="42" s="1"/>
  <c r="H612" i="44" a="1"/>
  <c r="H612" s="1"/>
  <c r="AT146" i="42" s="1"/>
  <c r="J612" i="44" a="1"/>
  <c r="J612" s="1"/>
  <c r="AV146" i="42" s="1"/>
  <c r="K612" i="44" a="1"/>
  <c r="K612" s="1"/>
  <c r="AW146" i="42" s="1"/>
  <c r="D612" i="30" a="1"/>
  <c r="D612" s="1"/>
  <c r="B146" i="42" s="1"/>
  <c r="P612" i="44" a="1"/>
  <c r="P612" s="1"/>
  <c r="BB146" i="42" s="1"/>
  <c r="X612" i="44" a="1"/>
  <c r="X612" s="1"/>
  <c r="BJ146" i="42" s="1"/>
  <c r="S612" i="30" a="1"/>
  <c r="S612" s="1"/>
  <c r="Q146" i="42" s="1"/>
  <c r="O612" i="44" a="1"/>
  <c r="O612" s="1"/>
  <c r="BA146" i="42" s="1"/>
  <c r="L612" i="30" a="1"/>
  <c r="L612" s="1"/>
  <c r="J146" i="42" s="1"/>
  <c r="N612" i="30" a="1"/>
  <c r="N612" s="1"/>
  <c r="L146" i="42" s="1"/>
  <c r="H612" i="30" a="1"/>
  <c r="H612" s="1"/>
  <c r="F146" i="42" s="1"/>
  <c r="M612" i="44" a="1"/>
  <c r="M612" s="1"/>
  <c r="AY146" i="42" s="1"/>
  <c r="Q612" i="44" a="1"/>
  <c r="Q612" s="1"/>
  <c r="BC146" i="42" s="1"/>
  <c r="F612" i="30" a="1"/>
  <c r="F612" s="1"/>
  <c r="D146" i="42" s="1"/>
  <c r="F612" i="44" a="1"/>
  <c r="F612" s="1"/>
  <c r="AR146" i="42" s="1"/>
  <c r="G612" i="44" a="1"/>
  <c r="G612" s="1"/>
  <c r="AS146" i="42" s="1"/>
  <c r="S612" i="44" a="1"/>
  <c r="S612" s="1"/>
  <c r="BE146" i="42" s="1"/>
  <c r="V612" i="44" a="1"/>
  <c r="V612" s="1"/>
  <c r="BH146" i="42" s="1"/>
  <c r="O612" i="30" a="1"/>
  <c r="O612" s="1"/>
  <c r="M146" i="42" s="1"/>
  <c r="N612" i="44" a="1"/>
  <c r="N612" s="1"/>
  <c r="AZ146" i="42" s="1"/>
  <c r="AB612" i="30" a="1"/>
  <c r="AB612" s="1"/>
  <c r="Z146" i="42" s="1"/>
  <c r="W612" i="30" a="1"/>
  <c r="W612" s="1"/>
  <c r="U146" i="42" s="1"/>
  <c r="Y612" i="30" a="1"/>
  <c r="Y612" s="1"/>
  <c r="W146" i="42" s="1"/>
  <c r="X612" i="30" a="1"/>
  <c r="X612" s="1"/>
  <c r="V146" i="42" s="1"/>
  <c r="U612" i="30" a="1"/>
  <c r="U612" s="1"/>
  <c r="S146" i="42" s="1"/>
  <c r="R612" i="30" a="1"/>
  <c r="R612" s="1"/>
  <c r="P146" i="42" s="1"/>
  <c r="T612" i="44" a="1"/>
  <c r="T612" s="1"/>
  <c r="BF146" i="42" s="1"/>
  <c r="M612" i="30" a="1"/>
  <c r="M612" s="1"/>
  <c r="K146" i="42" s="1"/>
  <c r="D612" i="44" a="1"/>
  <c r="D612" s="1"/>
  <c r="AP146" i="42" s="1"/>
  <c r="E612" i="30" a="1"/>
  <c r="E612" s="1"/>
  <c r="C146" i="42" s="1"/>
  <c r="G612" i="30" a="1"/>
  <c r="G612" s="1"/>
  <c r="E146" i="42" s="1"/>
  <c r="W612" i="44" a="1"/>
  <c r="W612" s="1"/>
  <c r="BI146" i="42" s="1"/>
  <c r="Y612" i="44" a="1"/>
  <c r="Y612" s="1"/>
  <c r="BK146" i="42" s="1"/>
  <c r="L612" i="44" a="1"/>
  <c r="L612" s="1"/>
  <c r="AX146" i="42" s="1"/>
  <c r="AC612" i="44" a="1"/>
  <c r="AC612" s="1"/>
  <c r="BO146" i="42" s="1"/>
  <c r="I612" i="44" a="1"/>
  <c r="I612" s="1"/>
  <c r="AU146" i="42" s="1"/>
  <c r="J612" i="30" a="1"/>
  <c r="J612" s="1"/>
  <c r="H146" i="42" s="1"/>
  <c r="Q612" i="30" a="1"/>
  <c r="Q612" s="1"/>
  <c r="O146" i="42" s="1"/>
  <c r="K612" i="30" a="1"/>
  <c r="K612" s="1"/>
  <c r="I146" i="42" s="1"/>
  <c r="E612" i="44" a="1"/>
  <c r="E612" s="1"/>
  <c r="AQ146" i="42" s="1"/>
  <c r="P612" i="30" a="1"/>
  <c r="P612" s="1"/>
  <c r="N146" i="42" s="1"/>
  <c r="AB612" i="44" a="1"/>
  <c r="AB612" s="1"/>
  <c r="BN146" i="42" s="1"/>
  <c r="U612" i="44" a="1"/>
  <c r="U612" s="1"/>
  <c r="BG146" i="42" s="1"/>
  <c r="AA612" i="44" a="1"/>
  <c r="AA612" s="1"/>
  <c r="BM146" i="42" s="1"/>
  <c r="Z612" i="44" a="1"/>
  <c r="Z612" s="1"/>
  <c r="BL146" i="42" s="1"/>
  <c r="I612" i="30" a="1"/>
  <c r="I612" s="1"/>
  <c r="G146" i="42" s="1"/>
  <c r="BQ329" i="23"/>
  <c r="BQ359" s="1"/>
  <c r="AT359"/>
  <c r="AW329"/>
  <c r="AX329" s="1"/>
  <c r="AX331"/>
  <c r="L214" i="30"/>
  <c r="L239" s="1"/>
  <c r="K666"/>
  <c r="I186" i="42" s="1"/>
  <c r="L14"/>
  <c r="M254" i="44"/>
  <c r="L223" i="30"/>
  <c r="N498"/>
  <c r="O13"/>
  <c r="O178" s="1"/>
  <c r="O231" s="1"/>
  <c r="S673" i="44"/>
  <c r="BE181" i="42" s="1"/>
  <c r="BE152"/>
  <c r="BB152"/>
  <c r="P673" i="44"/>
  <c r="BB181" i="42" s="1"/>
  <c r="AY152"/>
  <c r="M673" i="44"/>
  <c r="AY181" i="42" s="1"/>
  <c r="AQ152"/>
  <c r="E673" i="44"/>
  <c r="AQ181" i="42" s="1"/>
  <c r="K673" i="44"/>
  <c r="AW181" i="42" s="1"/>
  <c r="AW152"/>
  <c r="AZ152"/>
  <c r="N673" i="44"/>
  <c r="AZ181" i="42" s="1"/>
  <c r="BL316" i="23"/>
  <c r="BL354" s="1"/>
  <c r="AY354"/>
  <c r="M404" i="44"/>
  <c r="N22"/>
  <c r="M86"/>
  <c r="AY23" i="42"/>
  <c r="M507" i="44"/>
  <c r="M187"/>
  <c r="AR152" i="42"/>
  <c r="F673" i="44"/>
  <c r="AR181" i="42" s="1"/>
  <c r="AS152"/>
  <c r="G673" i="44"/>
  <c r="AS181" i="42" s="1"/>
  <c r="K23"/>
  <c r="M86" i="30"/>
  <c r="M507"/>
  <c r="M404"/>
  <c r="M187"/>
  <c r="N22"/>
  <c r="C40" i="33"/>
  <c r="N196" i="44"/>
  <c r="N256" s="1"/>
  <c r="O494"/>
  <c r="O666" s="1"/>
  <c r="BA186" i="42" s="1"/>
  <c r="BA10"/>
  <c r="O73" i="44"/>
  <c r="O174"/>
  <c r="P9"/>
  <c r="AW350" i="23"/>
  <c r="BN320"/>
  <c r="BN350" s="1"/>
  <c r="BO325"/>
  <c r="BO344" s="1"/>
  <c r="AV344"/>
  <c r="L673" i="44"/>
  <c r="AX181" i="42" s="1"/>
  <c r="AX152"/>
  <c r="BP330" i="23"/>
  <c r="AY347"/>
  <c r="BL312"/>
  <c r="BL347" s="1"/>
  <c r="BJ152" i="42"/>
  <c r="X673" i="44"/>
  <c r="BJ181" i="42" s="1"/>
  <c r="U673" i="44"/>
  <c r="BG181" i="42" s="1"/>
  <c r="BG152"/>
  <c r="BN152"/>
  <c r="AB673" i="44"/>
  <c r="BN181" i="42" s="1"/>
  <c r="BH152"/>
  <c r="V673" i="44"/>
  <c r="BH181" i="42" s="1"/>
  <c r="BP332" i="23"/>
  <c r="BP309"/>
  <c r="BP353" s="1"/>
  <c r="AU353"/>
  <c r="AV152" i="42"/>
  <c r="J673" i="44"/>
  <c r="AV181" i="42" s="1"/>
  <c r="H673" i="44"/>
  <c r="AT181" i="42" s="1"/>
  <c r="AT152"/>
  <c r="BC152"/>
  <c r="Q673" i="44"/>
  <c r="BC181" i="42" s="1"/>
  <c r="I673" i="44"/>
  <c r="AU181" i="42" s="1"/>
  <c r="AU152"/>
  <c r="BN311" i="23"/>
  <c r="AX311"/>
  <c r="BM311" s="1"/>
  <c r="BP325"/>
  <c r="BP344" s="1"/>
  <c r="AU344"/>
  <c r="AX320"/>
  <c r="AW325"/>
  <c r="AX325" s="1"/>
  <c r="BD152" i="42"/>
  <c r="R673" i="44"/>
  <c r="BD181" i="42" s="1"/>
  <c r="AY352" i="23"/>
  <c r="BL318"/>
  <c r="BL352" s="1"/>
  <c r="AX347"/>
  <c r="BM312"/>
  <c r="BM347" s="1"/>
  <c r="AW347"/>
  <c r="BN312"/>
  <c r="BN347" s="1"/>
  <c r="Y673" i="44"/>
  <c r="BK181" i="42" s="1"/>
  <c r="BK152"/>
  <c r="BL152"/>
  <c r="Z673" i="44"/>
  <c r="BL181" i="42" s="1"/>
  <c r="AA673" i="44"/>
  <c r="BM181" i="42" s="1"/>
  <c r="BM152"/>
  <c r="W673" i="44"/>
  <c r="BI181" i="42" s="1"/>
  <c r="BI152"/>
  <c r="T673" i="44"/>
  <c r="BF181" i="42" s="1"/>
  <c r="BF152"/>
  <c r="BO152"/>
  <c r="AC673" i="44"/>
  <c r="BO181" i="42" s="1"/>
  <c r="BN313" i="23"/>
  <c r="BO314"/>
  <c r="BO355" s="1"/>
  <c r="AV355"/>
  <c r="BA152" i="42"/>
  <c r="O673" i="44"/>
  <c r="BA181" i="42" s="1"/>
  <c r="D673" i="44"/>
  <c r="AP181" i="42" s="1"/>
  <c r="AP152"/>
  <c r="BO320" i="23"/>
  <c r="BO350" s="1"/>
  <c r="AV350"/>
  <c r="AV322"/>
  <c r="AW332"/>
  <c r="BN332" s="1"/>
  <c r="AV309"/>
  <c r="AW309" s="1"/>
  <c r="AW314"/>
  <c r="AV330"/>
  <c r="AW330" s="1"/>
  <c r="BN330" s="1"/>
  <c r="AX313"/>
  <c r="BM313" s="1"/>
  <c r="AX314"/>
  <c r="O197" i="30"/>
  <c r="O258" s="1"/>
  <c r="AX341" i="23"/>
  <c r="BM324"/>
  <c r="BM341" s="1"/>
  <c r="AY324"/>
  <c r="BM328"/>
  <c r="AX357"/>
  <c r="AX356"/>
  <c r="AX358"/>
  <c r="BN356"/>
  <c r="BN357"/>
  <c r="BN358"/>
  <c r="AW341"/>
  <c r="BN324"/>
  <c r="BN341" s="1"/>
  <c r="BO321"/>
  <c r="BO346" s="1"/>
  <c r="AV346"/>
  <c r="AX321"/>
  <c r="BQ326"/>
  <c r="BQ345" s="1"/>
  <c r="AT345"/>
  <c r="BP326"/>
  <c r="BP345" s="1"/>
  <c r="AU345"/>
  <c r="BL328"/>
  <c r="AY358"/>
  <c r="AY356"/>
  <c r="AY357"/>
  <c r="BN321"/>
  <c r="BN346" s="1"/>
  <c r="AW346"/>
  <c r="AV326"/>
  <c r="AW326" s="1"/>
  <c r="K28" i="42"/>
  <c r="M192" i="30"/>
  <c r="M217" s="1"/>
  <c r="M276" s="1"/>
  <c r="M298" s="1"/>
  <c r="M91"/>
  <c r="N27"/>
  <c r="N267" s="1"/>
  <c r="M512"/>
  <c r="M91" i="44"/>
  <c r="M512"/>
  <c r="M192"/>
  <c r="N27"/>
  <c r="N267" s="1"/>
  <c r="AY28" i="42"/>
  <c r="L180" i="30"/>
  <c r="J16" i="42"/>
  <c r="L500" i="30"/>
  <c r="L679" s="1"/>
  <c r="CE177" i="42" s="1"/>
  <c r="L79" i="30"/>
  <c r="M15"/>
  <c r="M19"/>
  <c r="L83"/>
  <c r="L401"/>
  <c r="L184"/>
  <c r="L504"/>
  <c r="J20" i="42"/>
  <c r="L504" i="44"/>
  <c r="L679" s="1"/>
  <c r="CE186" i="42" s="1"/>
  <c r="L401" i="44"/>
  <c r="L83"/>
  <c r="M19"/>
  <c r="AX20" i="42"/>
  <c r="L184" i="44"/>
  <c r="K9" i="42"/>
  <c r="M72" i="30"/>
  <c r="M493"/>
  <c r="M661" s="1"/>
  <c r="K177" i="42" s="1"/>
  <c r="M173" i="30"/>
  <c r="N8"/>
  <c r="N431" s="1"/>
  <c r="L67" i="42" s="1"/>
  <c r="L403" i="30"/>
  <c r="L85"/>
  <c r="L506"/>
  <c r="M21"/>
  <c r="J22" i="42"/>
  <c r="L186" i="30"/>
  <c r="L221" s="1"/>
  <c r="L496" i="44"/>
  <c r="AX12" i="42"/>
  <c r="L75" i="44"/>
  <c r="L41"/>
  <c r="L431"/>
  <c r="AX67" i="42" s="1"/>
  <c r="M11" i="44"/>
  <c r="L440"/>
  <c r="CF67" i="42" s="1"/>
  <c r="L176" i="44"/>
  <c r="L198" s="1"/>
  <c r="L252" s="1"/>
  <c r="L28"/>
  <c r="L29" s="1"/>
  <c r="L496" i="30"/>
  <c r="L75"/>
  <c r="J12" i="42"/>
  <c r="L176" i="30"/>
  <c r="L440"/>
  <c r="CF66" i="42" s="1"/>
  <c r="M11" i="30"/>
  <c r="L430"/>
  <c r="J66" i="42" s="1"/>
  <c r="L41" i="30"/>
  <c r="L28"/>
  <c r="L29" s="1"/>
  <c r="J44" i="44"/>
  <c r="D99" i="33" s="1"/>
  <c r="J45" i="44"/>
  <c r="D100" i="33" s="1"/>
  <c r="J47" i="44"/>
  <c r="D102" i="33" s="1"/>
  <c r="J46" i="44"/>
  <c r="D101" i="33" s="1"/>
  <c r="D90" s="1"/>
  <c r="O19" i="43"/>
  <c r="O23" s="1"/>
  <c r="O32" s="1"/>
  <c r="N33"/>
  <c r="L266" i="44"/>
  <c r="L266" i="30"/>
  <c r="E103" i="33"/>
  <c r="K271" i="44"/>
  <c r="P55" i="43"/>
  <c r="P74" s="1"/>
  <c r="P56"/>
  <c r="P73" s="1"/>
  <c r="Q54"/>
  <c r="T268" i="30"/>
  <c r="T268" i="44"/>
  <c r="W29" i="43"/>
  <c r="M40" i="30"/>
  <c r="M92" s="1"/>
  <c r="P27" i="43"/>
  <c r="M40" i="44"/>
  <c r="M92" s="1"/>
  <c r="J45" i="30"/>
  <c r="D41" i="33" s="1"/>
  <c r="J44" i="30"/>
  <c r="D40" i="33" s="1"/>
  <c r="J47" i="30"/>
  <c r="D43" i="33" s="1"/>
  <c r="J46" i="30"/>
  <c r="D42" i="33" s="1"/>
  <c r="D31" s="1"/>
  <c r="P12" i="43"/>
  <c r="Q10"/>
  <c r="P14"/>
  <c r="R52"/>
  <c r="Q57"/>
  <c r="Q75" s="1"/>
  <c r="M164" i="42" s="1"/>
  <c r="BA164" s="1"/>
  <c r="E44" i="33"/>
  <c r="K271" i="30"/>
  <c r="K38"/>
  <c r="K38" i="44"/>
  <c r="M37" i="43"/>
  <c r="Q26"/>
  <c r="N269" i="30"/>
  <c r="N269" i="44"/>
  <c r="N200"/>
  <c r="N249" s="1"/>
  <c r="N204"/>
  <c r="N242" s="1"/>
  <c r="O178"/>
  <c r="O77"/>
  <c r="BA14" i="42"/>
  <c r="P13" i="44"/>
  <c r="O498"/>
  <c r="P14" i="30"/>
  <c r="O499"/>
  <c r="O179"/>
  <c r="O232" s="1"/>
  <c r="M15" i="42"/>
  <c r="O78" i="30"/>
  <c r="O205" i="44"/>
  <c r="O243" s="1"/>
  <c r="O403"/>
  <c r="O506"/>
  <c r="O186"/>
  <c r="BA22" i="42"/>
  <c r="P21" i="44"/>
  <c r="O85"/>
  <c r="O93"/>
  <c r="P16"/>
  <c r="O501"/>
  <c r="O661" s="1"/>
  <c r="BA177" i="42" s="1"/>
  <c r="O181" i="44"/>
  <c r="BA17" i="42"/>
  <c r="O80" i="44"/>
  <c r="Q18"/>
  <c r="P82"/>
  <c r="BB19" i="42"/>
  <c r="P503" i="44"/>
  <c r="P183"/>
  <c r="O81"/>
  <c r="O182"/>
  <c r="O227" s="1"/>
  <c r="O502"/>
  <c r="O94"/>
  <c r="P17"/>
  <c r="BA18" i="42"/>
  <c r="O399" i="44"/>
  <c r="P15"/>
  <c r="O500"/>
  <c r="BA16" i="42"/>
  <c r="O79" i="44"/>
  <c r="O180"/>
  <c r="N197"/>
  <c r="N258" s="1"/>
  <c r="BA11" i="42"/>
  <c r="O430" i="44"/>
  <c r="BA66" i="42" s="1"/>
  <c r="P10" i="44"/>
  <c r="O495"/>
  <c r="O175"/>
  <c r="O197" s="1"/>
  <c r="O258" s="1"/>
  <c r="O74"/>
  <c r="P175" i="30"/>
  <c r="P74"/>
  <c r="Q10"/>
  <c r="N11" i="42"/>
  <c r="P495" i="30"/>
  <c r="O406" i="44"/>
  <c r="P24"/>
  <c r="O88"/>
  <c r="O509"/>
  <c r="BA25" i="42"/>
  <c r="O189" i="44"/>
  <c r="M25" i="42"/>
  <c r="O406" i="30"/>
  <c r="N211"/>
  <c r="N246" s="1"/>
  <c r="P24" l="1"/>
  <c r="O509"/>
  <c r="O88"/>
  <c r="T65" i="43"/>
  <c r="S68"/>
  <c r="S66"/>
  <c r="S67"/>
  <c r="Q80" i="30"/>
  <c r="R16"/>
  <c r="S16" s="1"/>
  <c r="O17" i="42"/>
  <c r="N201" i="44"/>
  <c r="N251" s="1"/>
  <c r="M408"/>
  <c r="M90"/>
  <c r="M191"/>
  <c r="M213" s="1"/>
  <c r="M248" s="1"/>
  <c r="AY27" i="42"/>
  <c r="N26" i="44"/>
  <c r="AY26" i="42"/>
  <c r="N25" i="44"/>
  <c r="M190"/>
  <c r="M212" s="1"/>
  <c r="M247" s="1"/>
  <c r="M407"/>
  <c r="M89"/>
  <c r="K26" i="42"/>
  <c r="N25" i="30"/>
  <c r="M190"/>
  <c r="M212" s="1"/>
  <c r="M247" s="1"/>
  <c r="M89"/>
  <c r="M407"/>
  <c r="K24" i="42"/>
  <c r="M405" i="30"/>
  <c r="N23"/>
  <c r="M87"/>
  <c r="M508"/>
  <c r="M188"/>
  <c r="M210" s="1"/>
  <c r="M254" s="1"/>
  <c r="AY315" i="23"/>
  <c r="AX343"/>
  <c r="BM315"/>
  <c r="BM343" s="1"/>
  <c r="K27" i="42"/>
  <c r="N26" i="30"/>
  <c r="M90"/>
  <c r="M191"/>
  <c r="M213" s="1"/>
  <c r="M248" s="1"/>
  <c r="M408"/>
  <c r="K224" i="44"/>
  <c r="Q501" i="30"/>
  <c r="Q181"/>
  <c r="Q226" s="1"/>
  <c r="O87" i="44"/>
  <c r="P17" i="30"/>
  <c r="P182" s="1"/>
  <c r="P227" s="1"/>
  <c r="BA24" i="42"/>
  <c r="O405" i="44"/>
  <c r="O182" i="30"/>
  <c r="O204" s="1"/>
  <c r="O242" s="1"/>
  <c r="O188" i="44"/>
  <c r="O234" s="1"/>
  <c r="O508"/>
  <c r="O399" i="30"/>
  <c r="O81"/>
  <c r="M497"/>
  <c r="M76"/>
  <c r="M177"/>
  <c r="M199" s="1"/>
  <c r="M240" s="1"/>
  <c r="N12"/>
  <c r="K13" i="42"/>
  <c r="N12" i="44"/>
  <c r="M497"/>
  <c r="AY13" i="42"/>
  <c r="M76" i="44"/>
  <c r="M177"/>
  <c r="M199" s="1"/>
  <c r="M240" s="1"/>
  <c r="O228"/>
  <c r="O94" i="30"/>
  <c r="M18" i="42"/>
  <c r="M195" i="44"/>
  <c r="M253" s="1"/>
  <c r="E32" i="33"/>
  <c r="N226" i="44"/>
  <c r="P226" i="30"/>
  <c r="K34"/>
  <c r="E56" i="33"/>
  <c r="E115"/>
  <c r="K34" i="44"/>
  <c r="K33"/>
  <c r="O218" i="30"/>
  <c r="P228" i="44"/>
  <c r="M223" i="30"/>
  <c r="K229"/>
  <c r="O402" i="44"/>
  <c r="O185"/>
  <c r="O207" s="1"/>
  <c r="O245" s="1"/>
  <c r="O84"/>
  <c r="BA21" i="42"/>
  <c r="O505" i="44"/>
  <c r="P20"/>
  <c r="O204"/>
  <c r="O242" s="1"/>
  <c r="M209" i="30"/>
  <c r="M250" s="1"/>
  <c r="N72" i="44"/>
  <c r="O8"/>
  <c r="AZ9" i="42"/>
  <c r="N493" i="44"/>
  <c r="N679" s="1"/>
  <c r="CG186" i="42" s="1"/>
  <c r="N173" i="44"/>
  <c r="O226"/>
  <c r="K221" i="30"/>
  <c r="N234" i="44"/>
  <c r="M231" i="30"/>
  <c r="K224"/>
  <c r="N236" i="44"/>
  <c r="L233" i="30"/>
  <c r="N221" i="44"/>
  <c r="N227" i="30"/>
  <c r="O222"/>
  <c r="N218"/>
  <c r="M232" i="44"/>
  <c r="O218"/>
  <c r="P222" i="30"/>
  <c r="O222" i="44"/>
  <c r="O236"/>
  <c r="N235"/>
  <c r="O221"/>
  <c r="O231"/>
  <c r="L224" i="30"/>
  <c r="L224" i="44"/>
  <c r="M233" i="30"/>
  <c r="L229" i="44"/>
  <c r="L229" i="30"/>
  <c r="L236"/>
  <c r="L217" i="44"/>
  <c r="L276" s="1"/>
  <c r="L298" s="1"/>
  <c r="K229"/>
  <c r="N231" i="30"/>
  <c r="L223" i="44"/>
  <c r="K236" i="30"/>
  <c r="M230"/>
  <c r="M228"/>
  <c r="N232"/>
  <c r="N218" i="44"/>
  <c r="N227"/>
  <c r="N222"/>
  <c r="N255"/>
  <c r="E222"/>
  <c r="E228" i="30"/>
  <c r="E234"/>
  <c r="E217" i="44"/>
  <c r="E276" s="1"/>
  <c r="E298" s="1"/>
  <c r="E231"/>
  <c r="E230"/>
  <c r="E219" i="30"/>
  <c r="E218" i="44"/>
  <c r="E232"/>
  <c r="E223" i="30"/>
  <c r="E233" i="44"/>
  <c r="E226" i="30"/>
  <c r="E225" i="44"/>
  <c r="E234"/>
  <c r="E221"/>
  <c r="E225" i="30"/>
  <c r="E222"/>
  <c r="E226" i="44"/>
  <c r="E229"/>
  <c r="E233" i="30"/>
  <c r="E217"/>
  <c r="E276" s="1"/>
  <c r="E298" s="1"/>
  <c r="E218"/>
  <c r="E227"/>
  <c r="E227" i="44"/>
  <c r="E236"/>
  <c r="E230" i="30"/>
  <c r="E231"/>
  <c r="E236"/>
  <c r="E224"/>
  <c r="E224" i="44"/>
  <c r="E229" i="30"/>
  <c r="E220" i="44"/>
  <c r="E220" i="30"/>
  <c r="E228" i="44"/>
  <c r="E221" i="30"/>
  <c r="E235" i="44"/>
  <c r="E219"/>
  <c r="E232" i="30"/>
  <c r="E235"/>
  <c r="N228" i="44"/>
  <c r="N230"/>
  <c r="N222" i="30"/>
  <c r="N226"/>
  <c r="M232"/>
  <c r="M218" i="44"/>
  <c r="M227"/>
  <c r="M227" i="30"/>
  <c r="M233" i="44"/>
  <c r="M221"/>
  <c r="M226" i="30"/>
  <c r="M230" i="44"/>
  <c r="M222" i="30"/>
  <c r="M235" i="44"/>
  <c r="M218" i="30"/>
  <c r="M236" i="44"/>
  <c r="M222"/>
  <c r="M231"/>
  <c r="M234"/>
  <c r="M228"/>
  <c r="M226"/>
  <c r="G228"/>
  <c r="G222"/>
  <c r="G220"/>
  <c r="G218"/>
  <c r="G222" i="30"/>
  <c r="G224"/>
  <c r="G229"/>
  <c r="G233" i="44"/>
  <c r="G230" i="30"/>
  <c r="G228"/>
  <c r="G232" i="44"/>
  <c r="G217" i="30"/>
  <c r="G276" s="1"/>
  <c r="G298" s="1"/>
  <c r="G230" i="44"/>
  <c r="G235" i="30"/>
  <c r="G217" i="44"/>
  <c r="G276" s="1"/>
  <c r="G298" s="1"/>
  <c r="G227" i="30"/>
  <c r="G223" i="44"/>
  <c r="G225" i="30"/>
  <c r="G231"/>
  <c r="G220"/>
  <c r="G224" i="44"/>
  <c r="G219"/>
  <c r="G236"/>
  <c r="G234"/>
  <c r="G218" i="30"/>
  <c r="G226" i="44"/>
  <c r="G227"/>
  <c r="G225"/>
  <c r="G223" i="30"/>
  <c r="G221" i="44"/>
  <c r="G219" i="30"/>
  <c r="G232"/>
  <c r="G236"/>
  <c r="G229" i="44"/>
  <c r="G234" i="30"/>
  <c r="G221"/>
  <c r="G235" i="44"/>
  <c r="G226" i="30"/>
  <c r="G233"/>
  <c r="G231" i="44"/>
  <c r="J222" i="30"/>
  <c r="J218"/>
  <c r="J229" i="44"/>
  <c r="J226"/>
  <c r="J233" i="30"/>
  <c r="J232" i="44"/>
  <c r="J223" i="30"/>
  <c r="J225" i="44"/>
  <c r="J234"/>
  <c r="J218"/>
  <c r="J217" i="30"/>
  <c r="J276" s="1"/>
  <c r="J298" s="1"/>
  <c r="J220"/>
  <c r="J231"/>
  <c r="J226"/>
  <c r="J227" i="44"/>
  <c r="J223"/>
  <c r="J235"/>
  <c r="J221"/>
  <c r="J232" i="30"/>
  <c r="J224"/>
  <c r="J230"/>
  <c r="J220" i="44"/>
  <c r="J229" i="30"/>
  <c r="J233" i="44"/>
  <c r="J228"/>
  <c r="J234" i="30"/>
  <c r="J230" i="44"/>
  <c r="J236"/>
  <c r="J228" i="30"/>
  <c r="J219" i="44"/>
  <c r="J235" i="30"/>
  <c r="J236"/>
  <c r="J217" i="44"/>
  <c r="J276" s="1"/>
  <c r="J298" s="1"/>
  <c r="J221" i="30"/>
  <c r="J231" i="44"/>
  <c r="J227" i="30"/>
  <c r="J225"/>
  <c r="J222" i="44"/>
  <c r="J224"/>
  <c r="J219" i="30"/>
  <c r="K33"/>
  <c r="O226"/>
  <c r="E223" i="44"/>
  <c r="L225"/>
  <c r="L235"/>
  <c r="L232" i="30"/>
  <c r="L231" i="44"/>
  <c r="L221"/>
  <c r="L220"/>
  <c r="L227" i="30"/>
  <c r="L232" i="44"/>
  <c r="L228" i="30"/>
  <c r="L230"/>
  <c r="L225"/>
  <c r="L228" i="44"/>
  <c r="L222" i="30"/>
  <c r="L218" i="44"/>
  <c r="L219"/>
  <c r="L222"/>
  <c r="L226"/>
  <c r="L233"/>
  <c r="L231" i="30"/>
  <c r="L219"/>
  <c r="L234" i="44"/>
  <c r="L230"/>
  <c r="L226" i="30"/>
  <c r="L234"/>
  <c r="L227" i="44"/>
  <c r="L220" i="30"/>
  <c r="L235"/>
  <c r="L236" i="44"/>
  <c r="L218" i="30"/>
  <c r="H218" i="44"/>
  <c r="H232" i="30"/>
  <c r="H222"/>
  <c r="H221" i="44"/>
  <c r="H220"/>
  <c r="H234" i="30"/>
  <c r="H227" i="44"/>
  <c r="H232"/>
  <c r="H229"/>
  <c r="H222"/>
  <c r="H236"/>
  <c r="H218" i="30"/>
  <c r="H230" i="44"/>
  <c r="H231" i="30"/>
  <c r="H226" i="44"/>
  <c r="H217"/>
  <c r="H276" s="1"/>
  <c r="H298" s="1"/>
  <c r="H224"/>
  <c r="H229" i="30"/>
  <c r="H235"/>
  <c r="H235" i="44"/>
  <c r="H228" i="30"/>
  <c r="H219"/>
  <c r="H221"/>
  <c r="H226"/>
  <c r="H223" i="44"/>
  <c r="H225" i="30"/>
  <c r="H233" i="44"/>
  <c r="H233" i="30"/>
  <c r="H231" i="44"/>
  <c r="H219"/>
  <c r="H220" i="30"/>
  <c r="H228" i="44"/>
  <c r="H236" i="30"/>
  <c r="H223"/>
  <c r="H227"/>
  <c r="H234" i="44"/>
  <c r="H224" i="30"/>
  <c r="H230"/>
  <c r="H225" i="44"/>
  <c r="H217" i="30"/>
  <c r="H276" s="1"/>
  <c r="H298" s="1"/>
  <c r="H277" s="1"/>
  <c r="H299" s="1"/>
  <c r="H278" s="1"/>
  <c r="H300" s="1"/>
  <c r="H279" s="1"/>
  <c r="D217"/>
  <c r="D276" s="1"/>
  <c r="D298" s="1"/>
  <c r="D230" i="44"/>
  <c r="D218"/>
  <c r="D234"/>
  <c r="D220"/>
  <c r="D232"/>
  <c r="D229" i="30"/>
  <c r="D223"/>
  <c r="D219"/>
  <c r="D233"/>
  <c r="D222" i="44"/>
  <c r="D236"/>
  <c r="D231"/>
  <c r="D228"/>
  <c r="D234" i="30"/>
  <c r="D236"/>
  <c r="D227" i="44"/>
  <c r="D228" i="30"/>
  <c r="D221" i="44"/>
  <c r="D233"/>
  <c r="D224" i="30"/>
  <c r="D235"/>
  <c r="D230"/>
  <c r="D226"/>
  <c r="D222"/>
  <c r="D219" i="44"/>
  <c r="D223"/>
  <c r="D220" i="30"/>
  <c r="D225"/>
  <c r="D221"/>
  <c r="D217" i="44"/>
  <c r="D276" s="1"/>
  <c r="D298" s="1"/>
  <c r="D277" s="1"/>
  <c r="D299" s="1"/>
  <c r="D229"/>
  <c r="D226"/>
  <c r="D218" i="30"/>
  <c r="D224" i="44"/>
  <c r="D227" i="30"/>
  <c r="D232"/>
  <c r="D231"/>
  <c r="D225" i="44"/>
  <c r="D235"/>
  <c r="F232"/>
  <c r="F217" i="30"/>
  <c r="F276" s="1"/>
  <c r="F298" s="1"/>
  <c r="F236" i="44"/>
  <c r="F236" i="30"/>
  <c r="F228" i="44"/>
  <c r="F231" i="30"/>
  <c r="F224"/>
  <c r="F222" i="44"/>
  <c r="F230" i="30"/>
  <c r="F220"/>
  <c r="F234"/>
  <c r="F229"/>
  <c r="F221"/>
  <c r="F231" i="44"/>
  <c r="F218"/>
  <c r="F222" i="30"/>
  <c r="F230" i="44"/>
  <c r="F220"/>
  <c r="F225" i="30"/>
  <c r="F228"/>
  <c r="F233" i="44"/>
  <c r="F219" i="30"/>
  <c r="F219" i="44"/>
  <c r="F227"/>
  <c r="F223" i="30"/>
  <c r="F218"/>
  <c r="F226" i="44"/>
  <c r="F227" i="30"/>
  <c r="F235" i="44"/>
  <c r="F235" i="30"/>
  <c r="F226"/>
  <c r="F233"/>
  <c r="F217" i="44"/>
  <c r="F276" s="1"/>
  <c r="F298" s="1"/>
  <c r="F277" s="1"/>
  <c r="F299" s="1"/>
  <c r="F278" s="1"/>
  <c r="F300" s="1"/>
  <c r="F279" s="1"/>
  <c r="F232" i="30"/>
  <c r="F225" i="44"/>
  <c r="F221"/>
  <c r="F223"/>
  <c r="F234"/>
  <c r="F229"/>
  <c r="F224"/>
  <c r="K231" i="30"/>
  <c r="K228"/>
  <c r="K228" i="44"/>
  <c r="K222" i="30"/>
  <c r="K225"/>
  <c r="K217"/>
  <c r="K276" s="1"/>
  <c r="K298" s="1"/>
  <c r="K219"/>
  <c r="K231" i="44"/>
  <c r="K232" i="30"/>
  <c r="K223"/>
  <c r="K219" i="44"/>
  <c r="K222"/>
  <c r="K235"/>
  <c r="K236"/>
  <c r="K227" i="30"/>
  <c r="K225" i="44"/>
  <c r="K218"/>
  <c r="K234"/>
  <c r="K233" i="30"/>
  <c r="K230" i="44"/>
  <c r="K232"/>
  <c r="K226" i="30"/>
  <c r="K230"/>
  <c r="K234"/>
  <c r="K220" i="44"/>
  <c r="K221"/>
  <c r="K223"/>
  <c r="K218" i="30"/>
  <c r="K235"/>
  <c r="K233" i="44"/>
  <c r="K227"/>
  <c r="K217"/>
  <c r="K276" s="1"/>
  <c r="K298" s="1"/>
  <c r="K226"/>
  <c r="K220" i="30"/>
  <c r="I222"/>
  <c r="I232"/>
  <c r="I233" i="44"/>
  <c r="I218" i="30"/>
  <c r="I235"/>
  <c r="I229"/>
  <c r="I227" i="44"/>
  <c r="I222"/>
  <c r="I220" i="30"/>
  <c r="I229" i="44"/>
  <c r="I221"/>
  <c r="I223" i="30"/>
  <c r="I226" i="44"/>
  <c r="I236"/>
  <c r="I232"/>
  <c r="I228" i="30"/>
  <c r="I230" i="44"/>
  <c r="I226" i="30"/>
  <c r="I218" i="44"/>
  <c r="I219"/>
  <c r="I228"/>
  <c r="I231" i="30"/>
  <c r="I231" i="44"/>
  <c r="I236" i="30"/>
  <c r="I234"/>
  <c r="I235" i="44"/>
  <c r="I227" i="30"/>
  <c r="I224" i="44"/>
  <c r="I220"/>
  <c r="I219" i="30"/>
  <c r="I217" i="44"/>
  <c r="I276" s="1"/>
  <c r="I298" s="1"/>
  <c r="I277" s="1"/>
  <c r="I299" s="1"/>
  <c r="I234"/>
  <c r="I233" i="30"/>
  <c r="I230"/>
  <c r="I225" i="44"/>
  <c r="I221" i="30"/>
  <c r="I223" i="44"/>
  <c r="I225" i="30"/>
  <c r="I217"/>
  <c r="I276" s="1"/>
  <c r="I298" s="1"/>
  <c r="L217"/>
  <c r="L276" s="1"/>
  <c r="L298" s="1"/>
  <c r="I224"/>
  <c r="P15" i="43"/>
  <c r="P20" s="1"/>
  <c r="O16"/>
  <c r="O402" i="30"/>
  <c r="O505"/>
  <c r="O185"/>
  <c r="O230" s="1"/>
  <c r="O84"/>
  <c r="M21" i="42"/>
  <c r="P20" i="30"/>
  <c r="N207"/>
  <c r="N245" s="1"/>
  <c r="N230"/>
  <c r="BL323" i="23"/>
  <c r="BL340" s="1"/>
  <c r="AY340"/>
  <c r="P9" i="30"/>
  <c r="O494"/>
  <c r="O73"/>
  <c r="O174"/>
  <c r="O196" s="1"/>
  <c r="M10" i="42"/>
  <c r="F89" i="33"/>
  <c r="F30"/>
  <c r="P13" i="30"/>
  <c r="P77" s="1"/>
  <c r="O179" i="44"/>
  <c r="O232" s="1"/>
  <c r="BA15" i="42"/>
  <c r="P14" i="44"/>
  <c r="O499"/>
  <c r="O78"/>
  <c r="P18" i="30"/>
  <c r="O82"/>
  <c r="O183"/>
  <c r="O503"/>
  <c r="M19" i="42"/>
  <c r="O400" i="30"/>
  <c r="M195"/>
  <c r="M253" s="1"/>
  <c r="BM329" i="23"/>
  <c r="BM359" s="1"/>
  <c r="AX359"/>
  <c r="AC621" i="44" a="1"/>
  <c r="AC621" s="1"/>
  <c r="BO155" i="42" s="1"/>
  <c r="AC621" i="30" a="1"/>
  <c r="AC621" s="1"/>
  <c r="AA155" i="42" s="1"/>
  <c r="Q621" i="30" a="1"/>
  <c r="Q621" s="1"/>
  <c r="O155" i="42" s="1"/>
  <c r="O621" i="30" a="1"/>
  <c r="O621" s="1"/>
  <c r="M155" i="42" s="1"/>
  <c r="R621" i="44" a="1"/>
  <c r="R621" s="1"/>
  <c r="BD155" i="42" s="1"/>
  <c r="W621" i="44" a="1"/>
  <c r="W621" s="1"/>
  <c r="BI155" i="42" s="1"/>
  <c r="P621" i="44" a="1"/>
  <c r="P621" s="1"/>
  <c r="BB155" i="42" s="1"/>
  <c r="L621" i="30" a="1"/>
  <c r="L621" s="1"/>
  <c r="J155" i="42" s="1"/>
  <c r="D621" i="30" a="1"/>
  <c r="D621" s="1"/>
  <c r="B155" i="42" s="1"/>
  <c r="AA621" i="30" a="1"/>
  <c r="AA621" s="1"/>
  <c r="Y155" i="42" s="1"/>
  <c r="N621" i="30" a="1"/>
  <c r="N621" s="1"/>
  <c r="L155" i="42" s="1"/>
  <c r="O621" i="44" a="1"/>
  <c r="O621" s="1"/>
  <c r="BA155" i="42" s="1"/>
  <c r="H621" i="44" a="1"/>
  <c r="H621" s="1"/>
  <c r="AT155" i="42" s="1"/>
  <c r="E621" i="44" a="1"/>
  <c r="E621" s="1"/>
  <c r="AQ155" i="42" s="1"/>
  <c r="Z621" i="30" a="1"/>
  <c r="Z621" s="1"/>
  <c r="X155" i="42" s="1"/>
  <c r="X621" i="30" a="1"/>
  <c r="X621" s="1"/>
  <c r="V155" i="42" s="1"/>
  <c r="AB621" i="30" a="1"/>
  <c r="AB621" s="1"/>
  <c r="Z155" i="42" s="1"/>
  <c r="S621" i="44" a="1"/>
  <c r="S621" s="1"/>
  <c r="BE155" i="42" s="1"/>
  <c r="I621" i="44" a="1"/>
  <c r="I621" s="1"/>
  <c r="AU155" i="42" s="1"/>
  <c r="K621" i="44" a="1"/>
  <c r="K621" s="1"/>
  <c r="AW155" i="42" s="1"/>
  <c r="R621" i="30" a="1"/>
  <c r="R621" s="1"/>
  <c r="P155" i="42" s="1"/>
  <c r="E621" i="30" a="1"/>
  <c r="E621" s="1"/>
  <c r="C155" i="42" s="1"/>
  <c r="I621" i="30" a="1"/>
  <c r="I621" s="1"/>
  <c r="G155" i="42" s="1"/>
  <c r="AB621" i="44" a="1"/>
  <c r="AB621" s="1"/>
  <c r="BN155" i="42" s="1"/>
  <c r="G621" i="44" a="1"/>
  <c r="G621" s="1"/>
  <c r="AS155" i="42" s="1"/>
  <c r="Z621" i="44" a="1"/>
  <c r="Z621" s="1"/>
  <c r="BL155" i="42" s="1"/>
  <c r="X621" i="44" a="1"/>
  <c r="X621" s="1"/>
  <c r="BJ155" i="42" s="1"/>
  <c r="J621" i="30" a="1"/>
  <c r="J621" s="1"/>
  <c r="H155" i="42" s="1"/>
  <c r="S621" i="30" a="1"/>
  <c r="S621" s="1"/>
  <c r="Q155" i="42" s="1"/>
  <c r="M621" i="30" a="1"/>
  <c r="M621" s="1"/>
  <c r="K155" i="42" s="1"/>
  <c r="T621" i="44" a="1"/>
  <c r="T621" s="1"/>
  <c r="BF155" i="42" s="1"/>
  <c r="L621" i="44" a="1"/>
  <c r="L621" s="1"/>
  <c r="AX155" i="42" s="1"/>
  <c r="M621" i="44" a="1"/>
  <c r="M621" s="1"/>
  <c r="AY155" i="42" s="1"/>
  <c r="G621" i="30" a="1"/>
  <c r="G621" s="1"/>
  <c r="E155" i="42" s="1"/>
  <c r="F621" i="30" a="1"/>
  <c r="F621" s="1"/>
  <c r="D155" i="42" s="1"/>
  <c r="U621" i="30" a="1"/>
  <c r="U621" s="1"/>
  <c r="S155" i="42" s="1"/>
  <c r="K621" i="30" a="1"/>
  <c r="K621" s="1"/>
  <c r="I155" i="42" s="1"/>
  <c r="U621" i="44" a="1"/>
  <c r="U621" s="1"/>
  <c r="BG155" i="42" s="1"/>
  <c r="F621" i="44" a="1"/>
  <c r="F621" s="1"/>
  <c r="AR155" i="42" s="1"/>
  <c r="AA621" i="44" a="1"/>
  <c r="AA621" s="1"/>
  <c r="BM155" i="42" s="1"/>
  <c r="V621" i="30" a="1"/>
  <c r="V621" s="1"/>
  <c r="T155" i="42" s="1"/>
  <c r="T621" i="30" a="1"/>
  <c r="T621" s="1"/>
  <c r="R155" i="42" s="1"/>
  <c r="P621" i="30" a="1"/>
  <c r="P621" s="1"/>
  <c r="N155" i="42" s="1"/>
  <c r="J621" i="44" a="1"/>
  <c r="J621" s="1"/>
  <c r="AV155" i="42" s="1"/>
  <c r="Q621" i="44" a="1"/>
  <c r="Q621" s="1"/>
  <c r="BC155" i="42" s="1"/>
  <c r="W621" i="30" a="1"/>
  <c r="W621" s="1"/>
  <c r="U155" i="42" s="1"/>
  <c r="H621" i="30" a="1"/>
  <c r="H621" s="1"/>
  <c r="F155" i="42" s="1"/>
  <c r="Y621" i="30" a="1"/>
  <c r="Y621" s="1"/>
  <c r="W155" i="42" s="1"/>
  <c r="N621" i="44" a="1"/>
  <c r="N621" s="1"/>
  <c r="AZ155" i="42" s="1"/>
  <c r="V621" i="44" a="1"/>
  <c r="V621" s="1"/>
  <c r="BH155" i="42" s="1"/>
  <c r="D621" i="44" a="1"/>
  <c r="D621" s="1"/>
  <c r="AP155" i="42" s="1"/>
  <c r="Y621" i="44" a="1"/>
  <c r="Y621" s="1"/>
  <c r="BK155" i="42" s="1"/>
  <c r="AY329" i="23"/>
  <c r="BM331"/>
  <c r="AY331"/>
  <c r="BL331" s="1"/>
  <c r="AW359"/>
  <c r="BN329"/>
  <c r="BN359" s="1"/>
  <c r="L666" i="30"/>
  <c r="J186" i="42" s="1"/>
  <c r="O77" i="30"/>
  <c r="N254" i="44"/>
  <c r="M14" i="42"/>
  <c r="O498" i="30"/>
  <c r="L617" i="44" a="1"/>
  <c r="L617" s="1"/>
  <c r="AX151" i="42" s="1"/>
  <c r="K617" i="44" a="1"/>
  <c r="K617" s="1"/>
  <c r="AW151" i="42" s="1"/>
  <c r="E617" i="44" a="1"/>
  <c r="E617" s="1"/>
  <c r="AQ151" i="42" s="1"/>
  <c r="N617" i="44" a="1"/>
  <c r="N617" s="1"/>
  <c r="AZ151" i="42" s="1"/>
  <c r="H617" i="44" a="1"/>
  <c r="H617" s="1"/>
  <c r="AT151" i="42" s="1"/>
  <c r="Q617" i="44" a="1"/>
  <c r="Q617" s="1"/>
  <c r="BC151" i="42" s="1"/>
  <c r="G617" i="44" a="1"/>
  <c r="G617" s="1"/>
  <c r="AS151" i="42" s="1"/>
  <c r="F617" i="44" a="1"/>
  <c r="F617" s="1"/>
  <c r="AR151" i="42" s="1"/>
  <c r="E617" i="30" a="1"/>
  <c r="E617" s="1"/>
  <c r="J617" a="1"/>
  <c r="J617" s="1"/>
  <c r="S617" a="1"/>
  <c r="S617" s="1"/>
  <c r="M617" a="1"/>
  <c r="G617" a="1"/>
  <c r="K617" a="1"/>
  <c r="K617" s="1"/>
  <c r="N617" a="1"/>
  <c r="O617" a="1"/>
  <c r="R617" i="44" a="1"/>
  <c r="D617" a="1"/>
  <c r="D617" s="1"/>
  <c r="AP151" i="42" s="1"/>
  <c r="S617" i="44" a="1"/>
  <c r="P617" a="1"/>
  <c r="O617" a="1"/>
  <c r="M617" a="1"/>
  <c r="M617" s="1"/>
  <c r="AY151" i="42" s="1"/>
  <c r="J617" i="44" a="1"/>
  <c r="I617" a="1"/>
  <c r="L617" i="30" a="1"/>
  <c r="F617" a="1"/>
  <c r="F617" s="1"/>
  <c r="P617" a="1"/>
  <c r="I617" a="1"/>
  <c r="D617" a="1"/>
  <c r="D617" s="1"/>
  <c r="H617" a="1"/>
  <c r="H617" s="1"/>
  <c r="R617" a="1"/>
  <c r="R617" s="1"/>
  <c r="Q617" a="1"/>
  <c r="Q617" s="1"/>
  <c r="X624" i="44" a="1"/>
  <c r="X624" s="1"/>
  <c r="BJ158" i="42" s="1"/>
  <c r="J624" i="44" a="1"/>
  <c r="J624" s="1"/>
  <c r="AV158" i="42" s="1"/>
  <c r="D624" i="44" a="1"/>
  <c r="D624" s="1"/>
  <c r="AP158" i="42" s="1"/>
  <c r="D624" i="30" a="1"/>
  <c r="D624" s="1"/>
  <c r="B158" i="42" s="1"/>
  <c r="I624" i="30" a="1"/>
  <c r="I624" s="1"/>
  <c r="G158" i="42" s="1"/>
  <c r="U624" i="44" a="1"/>
  <c r="U624" s="1"/>
  <c r="BG158" i="42" s="1"/>
  <c r="L624" i="44" a="1"/>
  <c r="L624" s="1"/>
  <c r="AX158" i="42" s="1"/>
  <c r="M624" i="44" a="1"/>
  <c r="M624" s="1"/>
  <c r="AY158" i="42" s="1"/>
  <c r="N624" i="30" a="1"/>
  <c r="N624" s="1"/>
  <c r="L158" i="42" s="1"/>
  <c r="O624" i="30" a="1"/>
  <c r="O624" s="1"/>
  <c r="M158" i="42" s="1"/>
  <c r="P624" i="44" a="1"/>
  <c r="P624" s="1"/>
  <c r="BB158" i="42" s="1"/>
  <c r="R624" i="30" a="1"/>
  <c r="R624" s="1"/>
  <c r="P158" i="42" s="1"/>
  <c r="Q624" i="30" a="1"/>
  <c r="Q624" s="1"/>
  <c r="O158" i="42" s="1"/>
  <c r="H624" i="30" a="1"/>
  <c r="H624" s="1"/>
  <c r="F158" i="42" s="1"/>
  <c r="K624" i="44" a="1"/>
  <c r="K624" s="1"/>
  <c r="AW158" i="42" s="1"/>
  <c r="W624" i="44" a="1"/>
  <c r="W624" s="1"/>
  <c r="BI158" i="42" s="1"/>
  <c r="Z624" i="44" a="1"/>
  <c r="Z624" s="1"/>
  <c r="BL158" i="42" s="1"/>
  <c r="J624" i="30" a="1"/>
  <c r="J624" s="1"/>
  <c r="H158" i="42" s="1"/>
  <c r="G624" i="44" a="1"/>
  <c r="G624" s="1"/>
  <c r="AS158" i="42" s="1"/>
  <c r="G624" i="30" a="1"/>
  <c r="G624" s="1"/>
  <c r="E158" i="42" s="1"/>
  <c r="F624" i="44" a="1"/>
  <c r="F624" s="1"/>
  <c r="AR158" i="42" s="1"/>
  <c r="E624" i="44" a="1"/>
  <c r="E624" s="1"/>
  <c r="AQ158" i="42" s="1"/>
  <c r="F624" i="30" a="1"/>
  <c r="F624" s="1"/>
  <c r="D158" i="42" s="1"/>
  <c r="E624" i="30" a="1"/>
  <c r="E624" s="1"/>
  <c r="C158" i="42" s="1"/>
  <c r="S624" i="30" a="1"/>
  <c r="S624" s="1"/>
  <c r="Q158" i="42" s="1"/>
  <c r="S624" i="44" a="1"/>
  <c r="S624" s="1"/>
  <c r="BE158" i="42" s="1"/>
  <c r="I624" i="44" a="1"/>
  <c r="I624" s="1"/>
  <c r="AU158" i="42" s="1"/>
  <c r="V624" i="44" a="1"/>
  <c r="V624" s="1"/>
  <c r="BH158" i="42" s="1"/>
  <c r="L624" i="30" a="1"/>
  <c r="L624" s="1"/>
  <c r="J158" i="42" s="1"/>
  <c r="M624" i="30" a="1"/>
  <c r="M624" s="1"/>
  <c r="K158" i="42" s="1"/>
  <c r="N624" i="44" a="1"/>
  <c r="N624" s="1"/>
  <c r="AZ158" i="42" s="1"/>
  <c r="O624" i="44" a="1"/>
  <c r="O624" s="1"/>
  <c r="BA158" i="42" s="1"/>
  <c r="P624" i="30" a="1"/>
  <c r="P624" s="1"/>
  <c r="N158" i="42" s="1"/>
  <c r="R624" i="44" a="1"/>
  <c r="R624" s="1"/>
  <c r="BD158" i="42" s="1"/>
  <c r="Q624" i="44" a="1"/>
  <c r="Q624" s="1"/>
  <c r="BC158" i="42" s="1"/>
  <c r="H624" i="44" a="1"/>
  <c r="H624" s="1"/>
  <c r="AT158" i="42" s="1"/>
  <c r="T624" i="44" a="1"/>
  <c r="T624" s="1"/>
  <c r="BF158" i="42" s="1"/>
  <c r="K624" i="30" a="1"/>
  <c r="K624" s="1"/>
  <c r="I158" i="42" s="1"/>
  <c r="AC624" i="44" a="1"/>
  <c r="AC624" s="1"/>
  <c r="BO158" i="42" s="1"/>
  <c r="V624" i="30" a="1"/>
  <c r="V624" s="1"/>
  <c r="T158" i="42" s="1"/>
  <c r="Z624" i="30" a="1"/>
  <c r="Z624" s="1"/>
  <c r="X158" i="42" s="1"/>
  <c r="AA624" i="44" a="1"/>
  <c r="AA624" s="1"/>
  <c r="BM158" i="42" s="1"/>
  <c r="AA624" i="30" a="1"/>
  <c r="AA624" s="1"/>
  <c r="Y158" i="42" s="1"/>
  <c r="W624" i="30" a="1"/>
  <c r="W624" s="1"/>
  <c r="U158" i="42" s="1"/>
  <c r="U624" i="30" a="1"/>
  <c r="U624" s="1"/>
  <c r="S158" i="42" s="1"/>
  <c r="Y624" i="44" a="1"/>
  <c r="Y624" s="1"/>
  <c r="BK158" i="42" s="1"/>
  <c r="AC624" i="30" a="1"/>
  <c r="AC624" s="1"/>
  <c r="AA158" i="42" s="1"/>
  <c r="T624" i="30" a="1"/>
  <c r="T624" s="1"/>
  <c r="R158" i="42" s="1"/>
  <c r="AB624" i="44" a="1"/>
  <c r="AB624" s="1"/>
  <c r="BN158" i="42" s="1"/>
  <c r="AB624" i="30" a="1"/>
  <c r="AB624" s="1"/>
  <c r="Z158" i="42" s="1"/>
  <c r="Y624" i="30" a="1"/>
  <c r="Y624" s="1"/>
  <c r="W158" i="42" s="1"/>
  <c r="X624" i="30" a="1"/>
  <c r="X624" s="1"/>
  <c r="V158" i="42" s="1"/>
  <c r="D622" i="44" a="1"/>
  <c r="E622" a="1"/>
  <c r="F622" i="30" a="1"/>
  <c r="H622" a="1"/>
  <c r="M622" i="44" a="1"/>
  <c r="S622" a="1"/>
  <c r="L622" i="30" a="1"/>
  <c r="N622" i="44" a="1"/>
  <c r="N622" s="1"/>
  <c r="AZ156" i="42" s="1"/>
  <c r="O622" i="30" a="1"/>
  <c r="F622" i="44" a="1"/>
  <c r="P622" a="1"/>
  <c r="Q622" i="30" a="1"/>
  <c r="Q622" s="1"/>
  <c r="O156" i="42" s="1"/>
  <c r="H622" i="44" a="1"/>
  <c r="S622" i="30" a="1"/>
  <c r="S622" s="1"/>
  <c r="Q156" i="42" s="1"/>
  <c r="R622" i="44" a="1"/>
  <c r="G622" i="30" a="1"/>
  <c r="K622" i="44" a="1"/>
  <c r="E622" i="30" a="1"/>
  <c r="D622" a="1"/>
  <c r="J622" i="44" a="1"/>
  <c r="P622" i="30" a="1"/>
  <c r="Q622" i="44" a="1"/>
  <c r="Q622" s="1"/>
  <c r="BC156" i="42" s="1"/>
  <c r="I622" i="30" a="1"/>
  <c r="R622" a="1"/>
  <c r="G622" i="44" a="1"/>
  <c r="K622" i="30" a="1"/>
  <c r="K622" s="1"/>
  <c r="I156" i="42" s="1"/>
  <c r="J622" i="30" a="1"/>
  <c r="I622" i="44" a="1"/>
  <c r="M622" i="30" a="1"/>
  <c r="L622" i="44" a="1"/>
  <c r="L622" s="1"/>
  <c r="AX156" i="42" s="1"/>
  <c r="N622" i="30" a="1"/>
  <c r="O622" i="44" a="1"/>
  <c r="O622" s="1"/>
  <c r="BA156" i="42" s="1"/>
  <c r="N187" i="30"/>
  <c r="L23" i="42"/>
  <c r="N507" i="30"/>
  <c r="N404"/>
  <c r="N86"/>
  <c r="O22"/>
  <c r="M223" i="44"/>
  <c r="M209"/>
  <c r="M250" s="1"/>
  <c r="AZ23" i="42"/>
  <c r="N507" i="44"/>
  <c r="N187"/>
  <c r="N223" s="1"/>
  <c r="O22"/>
  <c r="N404"/>
  <c r="N86"/>
  <c r="N617" i="30"/>
  <c r="P494" i="44"/>
  <c r="P666" s="1"/>
  <c r="BB186" i="42" s="1"/>
  <c r="P73" i="44"/>
  <c r="P174"/>
  <c r="Q9"/>
  <c r="BB10" i="42"/>
  <c r="O196" i="44"/>
  <c r="O200" i="30"/>
  <c r="O249" s="1"/>
  <c r="AW353" i="23"/>
  <c r="BN309"/>
  <c r="BN353" s="1"/>
  <c r="AX355"/>
  <c r="BM314"/>
  <c r="BM355" s="1"/>
  <c r="AX344"/>
  <c r="BM325"/>
  <c r="BM344" s="1"/>
  <c r="BN314"/>
  <c r="BN355" s="1"/>
  <c r="AW355"/>
  <c r="BO322"/>
  <c r="AW322"/>
  <c r="AC622" i="44" a="1"/>
  <c r="AC622" s="1"/>
  <c r="BO156" i="42" s="1"/>
  <c r="X622" i="30" a="1"/>
  <c r="X622" s="1"/>
  <c r="V156" i="42" s="1"/>
  <c r="AA622" i="30" a="1"/>
  <c r="AA622" s="1"/>
  <c r="Y156" i="42" s="1"/>
  <c r="U622" i="30" a="1"/>
  <c r="U622" s="1"/>
  <c r="S156" i="42" s="1"/>
  <c r="AB622" i="44" a="1"/>
  <c r="AB622" s="1"/>
  <c r="BN156" i="42" s="1"/>
  <c r="T622" i="30" a="1"/>
  <c r="T622" s="1"/>
  <c r="R156" i="42" s="1"/>
  <c r="AB622" i="30" a="1"/>
  <c r="AB622" s="1"/>
  <c r="Z156" i="42" s="1"/>
  <c r="U622" i="44" a="1"/>
  <c r="U622" s="1"/>
  <c r="BG156" i="42" s="1"/>
  <c r="T622" i="44" a="1"/>
  <c r="T622" s="1"/>
  <c r="BF156" i="42" s="1"/>
  <c r="AA622" i="44" a="1"/>
  <c r="AA622" s="1"/>
  <c r="BM156" i="42" s="1"/>
  <c r="X622" i="44" a="1"/>
  <c r="X622" s="1"/>
  <c r="BJ156" i="42" s="1"/>
  <c r="V622" i="44" a="1"/>
  <c r="V622" s="1"/>
  <c r="BH156" i="42" s="1"/>
  <c r="Y622" i="30" a="1"/>
  <c r="Y622" s="1"/>
  <c r="W156" i="42" s="1"/>
  <c r="AC622" i="30" a="1"/>
  <c r="AC622" s="1"/>
  <c r="AA156" i="42" s="1"/>
  <c r="W622" i="30" a="1"/>
  <c r="W622" s="1"/>
  <c r="U156" i="42" s="1"/>
  <c r="W622" i="44" a="1"/>
  <c r="W622" s="1"/>
  <c r="BI156" i="42" s="1"/>
  <c r="Z622" i="30" a="1"/>
  <c r="Z622" s="1"/>
  <c r="X156" i="42" s="1"/>
  <c r="V622" i="30" a="1"/>
  <c r="V622" s="1"/>
  <c r="T156" i="42" s="1"/>
  <c r="Z622" i="44" a="1"/>
  <c r="Z622" s="1"/>
  <c r="BL156" i="42" s="1"/>
  <c r="Y622" i="44" a="1"/>
  <c r="Y622" s="1"/>
  <c r="BK156" i="42" s="1"/>
  <c r="G622" i="30"/>
  <c r="E156" i="42" s="1"/>
  <c r="J622" i="30"/>
  <c r="H156" i="42" s="1"/>
  <c r="G622" i="44"/>
  <c r="AS156" i="42" s="1"/>
  <c r="M622" i="44"/>
  <c r="AY156" i="42" s="1"/>
  <c r="F622" i="30"/>
  <c r="D156" i="42" s="1"/>
  <c r="E622" i="30"/>
  <c r="C156" i="42" s="1"/>
  <c r="N622" i="30"/>
  <c r="L156" i="42" s="1"/>
  <c r="M622" i="30"/>
  <c r="K156" i="42" s="1"/>
  <c r="F622" i="44"/>
  <c r="AR156" i="42" s="1"/>
  <c r="S622" i="44"/>
  <c r="BE156" i="42" s="1"/>
  <c r="J622" i="44"/>
  <c r="AV156" i="42" s="1"/>
  <c r="D622" i="44"/>
  <c r="AP156" i="42" s="1"/>
  <c r="K622" i="44"/>
  <c r="AW156" i="42" s="1"/>
  <c r="R622" i="44"/>
  <c r="BD156" i="42" s="1"/>
  <c r="I622" i="44"/>
  <c r="AU156" i="42" s="1"/>
  <c r="R622" i="30"/>
  <c r="P156" i="42" s="1"/>
  <c r="I622" i="30"/>
  <c r="G156" i="42" s="1"/>
  <c r="D622" i="30"/>
  <c r="B156" i="42" s="1"/>
  <c r="H622" i="44"/>
  <c r="AT156" i="42" s="1"/>
  <c r="P622" i="44"/>
  <c r="BB156" i="42" s="1"/>
  <c r="O622" i="30"/>
  <c r="M156" i="42" s="1"/>
  <c r="L622" i="30"/>
  <c r="J156" i="42" s="1"/>
  <c r="H622" i="30"/>
  <c r="F156" i="42" s="1"/>
  <c r="P622" i="30"/>
  <c r="N156" i="42" s="1"/>
  <c r="E622" i="44"/>
  <c r="AQ156" i="42" s="1"/>
  <c r="BM320" i="23"/>
  <c r="BM350" s="1"/>
  <c r="AX350"/>
  <c r="V617" i="30" a="1"/>
  <c r="V617" s="1"/>
  <c r="T617" a="1"/>
  <c r="T617" s="1"/>
  <c r="W617" a="1"/>
  <c r="W617" s="1"/>
  <c r="X617" i="44" a="1"/>
  <c r="X617" s="1"/>
  <c r="BJ151" i="42" s="1"/>
  <c r="V617" i="44" a="1"/>
  <c r="V617" s="1"/>
  <c r="BH151" i="42" s="1"/>
  <c r="AA617" i="44" a="1"/>
  <c r="AA617" s="1"/>
  <c r="BM151" i="42" s="1"/>
  <c r="T617" i="44" a="1"/>
  <c r="T617" s="1"/>
  <c r="BF151" i="42" s="1"/>
  <c r="Z617" i="30" a="1"/>
  <c r="Z617" s="1"/>
  <c r="X617" a="1"/>
  <c r="X617" s="1"/>
  <c r="U617" a="1"/>
  <c r="U617" s="1"/>
  <c r="AC617" a="1"/>
  <c r="AC617" s="1"/>
  <c r="W617" i="44" a="1"/>
  <c r="W617" s="1"/>
  <c r="BI151" i="42" s="1"/>
  <c r="AB617" i="44" a="1"/>
  <c r="AB617" s="1"/>
  <c r="BN151" i="42" s="1"/>
  <c r="AB617" i="30" a="1"/>
  <c r="AB617" s="1"/>
  <c r="AC617" i="44" a="1"/>
  <c r="AC617" s="1"/>
  <c r="BO151" i="42" s="1"/>
  <c r="Z617" i="44" a="1"/>
  <c r="Z617" s="1"/>
  <c r="BL151" i="42" s="1"/>
  <c r="U617" i="44" a="1"/>
  <c r="U617" s="1"/>
  <c r="BG151" i="42" s="1"/>
  <c r="Y617" i="44" a="1"/>
  <c r="Y617" s="1"/>
  <c r="BK151" i="42" s="1"/>
  <c r="Y617" i="30" a="1"/>
  <c r="Y617" s="1"/>
  <c r="AA617" a="1"/>
  <c r="AA617" s="1"/>
  <c r="AY313" i="23"/>
  <c r="BL313" s="1"/>
  <c r="R617" i="44"/>
  <c r="BD151" i="42" s="1"/>
  <c r="S617" i="44"/>
  <c r="BE151" i="42" s="1"/>
  <c r="O617" i="44"/>
  <c r="BA151" i="42" s="1"/>
  <c r="J617" i="44"/>
  <c r="AV151" i="42" s="1"/>
  <c r="L617" i="30"/>
  <c r="P617"/>
  <c r="M617"/>
  <c r="O617"/>
  <c r="AX332" i="23"/>
  <c r="BM332" s="1"/>
  <c r="AY320"/>
  <c r="BO330"/>
  <c r="AX330"/>
  <c r="BM330" s="1"/>
  <c r="BO309"/>
  <c r="BO353" s="1"/>
  <c r="AV353"/>
  <c r="AX309"/>
  <c r="AW344"/>
  <c r="BN325"/>
  <c r="BN344" s="1"/>
  <c r="AY314"/>
  <c r="P617" i="44"/>
  <c r="BB151" i="42" s="1"/>
  <c r="I617" i="44"/>
  <c r="AU151" i="42" s="1"/>
  <c r="I617" i="30"/>
  <c r="G617"/>
  <c r="AY325" i="23"/>
  <c r="AY311"/>
  <c r="BL311" s="1"/>
  <c r="AY332"/>
  <c r="BL332" s="1"/>
  <c r="AW345"/>
  <c r="BN326"/>
  <c r="BN345" s="1"/>
  <c r="AX326"/>
  <c r="BM356"/>
  <c r="BM358"/>
  <c r="BM357"/>
  <c r="AV345"/>
  <c r="BO326"/>
  <c r="BO345" s="1"/>
  <c r="BL358"/>
  <c r="BL357"/>
  <c r="BL356"/>
  <c r="BM321"/>
  <c r="BM346" s="1"/>
  <c r="AX346"/>
  <c r="AY321"/>
  <c r="BL324"/>
  <c r="BL341" s="1"/>
  <c r="AY341"/>
  <c r="L206" i="30"/>
  <c r="L244" s="1"/>
  <c r="N91" i="44"/>
  <c r="N192"/>
  <c r="N217" s="1"/>
  <c r="N276" s="1"/>
  <c r="N298" s="1"/>
  <c r="N512"/>
  <c r="O27"/>
  <c r="O267" s="1"/>
  <c r="AZ28" i="42"/>
  <c r="N91" i="30"/>
  <c r="N192"/>
  <c r="N217" s="1"/>
  <c r="N276" s="1"/>
  <c r="N298" s="1"/>
  <c r="L28" i="42"/>
  <c r="N512" i="30"/>
  <c r="O27"/>
  <c r="O267" s="1"/>
  <c r="L206" i="44"/>
  <c r="L244" s="1"/>
  <c r="L202" i="30"/>
  <c r="M214"/>
  <c r="M239" s="1"/>
  <c r="N72"/>
  <c r="L9" i="42"/>
  <c r="N493" i="30"/>
  <c r="N661" s="1"/>
  <c r="L177" i="42" s="1"/>
  <c r="O8" i="30"/>
  <c r="O431" s="1"/>
  <c r="M67" i="42" s="1"/>
  <c r="N173" i="30"/>
  <c r="N19" i="44"/>
  <c r="M184"/>
  <c r="M229" s="1"/>
  <c r="M83"/>
  <c r="M504"/>
  <c r="M679" s="1"/>
  <c r="CF186" i="42" s="1"/>
  <c r="AY20"/>
  <c r="M401" i="44"/>
  <c r="M401" i="30"/>
  <c r="M504"/>
  <c r="K20" i="42"/>
  <c r="N19" i="30"/>
  <c r="M83"/>
  <c r="M184"/>
  <c r="M229" s="1"/>
  <c r="M79"/>
  <c r="M180"/>
  <c r="M236" s="1"/>
  <c r="K16" i="42"/>
  <c r="M500" i="30"/>
  <c r="M679" s="1"/>
  <c r="CF177" i="42" s="1"/>
  <c r="N15" i="30"/>
  <c r="M214" i="44"/>
  <c r="M239" s="1"/>
  <c r="M217"/>
  <c r="M276" s="1"/>
  <c r="M298" s="1"/>
  <c r="M176" i="30"/>
  <c r="M224" s="1"/>
  <c r="N11"/>
  <c r="M440"/>
  <c r="CG66" i="42" s="1"/>
  <c r="K12"/>
  <c r="M496" i="30"/>
  <c r="M430"/>
  <c r="K66" i="42" s="1"/>
  <c r="M75" i="30"/>
  <c r="M41"/>
  <c r="M28"/>
  <c r="M29" s="1"/>
  <c r="L198"/>
  <c r="L252" s="1"/>
  <c r="L208"/>
  <c r="L257" s="1"/>
  <c r="M496" i="44"/>
  <c r="M440"/>
  <c r="CG67" i="42" s="1"/>
  <c r="M176" i="44"/>
  <c r="M224" s="1"/>
  <c r="M41"/>
  <c r="M431"/>
  <c r="AY67" i="42" s="1"/>
  <c r="M75" i="44"/>
  <c r="N11"/>
  <c r="AY12" i="42"/>
  <c r="M28" i="44"/>
  <c r="K22" i="42"/>
  <c r="N21" i="30"/>
  <c r="M186"/>
  <c r="M221" s="1"/>
  <c r="M403"/>
  <c r="M506"/>
  <c r="M85"/>
  <c r="M208"/>
  <c r="M257" s="1"/>
  <c r="O200" i="44"/>
  <c r="O249" s="1"/>
  <c r="O269"/>
  <c r="R26" i="43"/>
  <c r="O269" i="30"/>
  <c r="K44" i="44"/>
  <c r="E99" i="33" s="1"/>
  <c r="K45" i="44"/>
  <c r="E100" i="33" s="1"/>
  <c r="K47" i="44"/>
  <c r="E102" i="33" s="1"/>
  <c r="K46" i="44"/>
  <c r="E101" i="33" s="1"/>
  <c r="E90" s="1"/>
  <c r="P16" i="43"/>
  <c r="P19"/>
  <c r="P23" s="1"/>
  <c r="P32" s="1"/>
  <c r="N40" i="44"/>
  <c r="N92" s="1"/>
  <c r="Q27" i="43"/>
  <c r="N40" i="30"/>
  <c r="N92" s="1"/>
  <c r="U268" i="44"/>
  <c r="U268" i="30"/>
  <c r="X29" i="43"/>
  <c r="F44" i="33"/>
  <c r="L271" i="30"/>
  <c r="L38" i="44"/>
  <c r="L38" i="30"/>
  <c r="N37" i="43"/>
  <c r="O33"/>
  <c r="M266" i="30"/>
  <c r="M266" i="44"/>
  <c r="K45" i="30"/>
  <c r="E41" i="33" s="1"/>
  <c r="K44" i="30"/>
  <c r="E40" i="33" s="1"/>
  <c r="K47" i="30"/>
  <c r="E43" i="33" s="1"/>
  <c r="K46" i="30"/>
  <c r="E42" i="33" s="1"/>
  <c r="E31" s="1"/>
  <c r="R57" i="43"/>
  <c r="R75" s="1"/>
  <c r="N164" i="42" s="1"/>
  <c r="BB164" s="1"/>
  <c r="S52" i="43"/>
  <c r="Q12"/>
  <c r="R10"/>
  <c r="R54"/>
  <c r="Q55"/>
  <c r="Q74" s="1"/>
  <c r="Q56"/>
  <c r="Q73" s="1"/>
  <c r="Q14" s="1"/>
  <c r="F103" i="33"/>
  <c r="L271" i="44"/>
  <c r="Q14" i="30"/>
  <c r="P179"/>
  <c r="P232" s="1"/>
  <c r="P78"/>
  <c r="N15" i="42"/>
  <c r="P499" i="30"/>
  <c r="P201"/>
  <c r="P251" s="1"/>
  <c r="P178" i="44"/>
  <c r="P231" s="1"/>
  <c r="Q13"/>
  <c r="P498"/>
  <c r="P77"/>
  <c r="BB14" i="42"/>
  <c r="O201" i="30"/>
  <c r="O251" s="1"/>
  <c r="P186" i="44"/>
  <c r="P221" s="1"/>
  <c r="BB22" i="42"/>
  <c r="P85" i="44"/>
  <c r="P506"/>
  <c r="Q21"/>
  <c r="P403"/>
  <c r="O202"/>
  <c r="O203"/>
  <c r="O241" s="1"/>
  <c r="O208"/>
  <c r="O257" s="1"/>
  <c r="O235"/>
  <c r="P188"/>
  <c r="BB24" i="42"/>
  <c r="P405" i="44"/>
  <c r="Q23"/>
  <c r="P87"/>
  <c r="P508"/>
  <c r="P74"/>
  <c r="P175"/>
  <c r="P222" s="1"/>
  <c r="P495"/>
  <c r="Q10"/>
  <c r="BB11" i="42"/>
  <c r="P430" i="44"/>
  <c r="BB66" i="42" s="1"/>
  <c r="P500" i="44"/>
  <c r="P180"/>
  <c r="BB16" i="42"/>
  <c r="Q15" i="44"/>
  <c r="P79"/>
  <c r="P94"/>
  <c r="P399"/>
  <c r="BB18" i="42"/>
  <c r="P81" i="44"/>
  <c r="P502"/>
  <c r="P182"/>
  <c r="P227" s="1"/>
  <c r="Q17"/>
  <c r="Q82"/>
  <c r="R18"/>
  <c r="BC19" i="42"/>
  <c r="Q503" i="44"/>
  <c r="Q183"/>
  <c r="Q228" s="1"/>
  <c r="P501"/>
  <c r="P661" s="1"/>
  <c r="BB177" i="42" s="1"/>
  <c r="Q16" i="44"/>
  <c r="P80"/>
  <c r="BB17" i="42"/>
  <c r="P93" i="44"/>
  <c r="P181"/>
  <c r="P226" s="1"/>
  <c r="P205"/>
  <c r="P243" s="1"/>
  <c r="P197" i="30"/>
  <c r="P258" s="1"/>
  <c r="O11" i="42"/>
  <c r="Q175" i="30"/>
  <c r="Q222" s="1"/>
  <c r="Q74"/>
  <c r="R10"/>
  <c r="Q495"/>
  <c r="O211" i="44"/>
  <c r="O246" s="1"/>
  <c r="P509"/>
  <c r="Q24"/>
  <c r="P406"/>
  <c r="BB25" i="42"/>
  <c r="P189" i="44"/>
  <c r="P218" s="1"/>
  <c r="P88"/>
  <c r="R80" i="30"/>
  <c r="R93"/>
  <c r="R181"/>
  <c r="R226" s="1"/>
  <c r="O211"/>
  <c r="O246" s="1"/>
  <c r="P509"/>
  <c r="P189"/>
  <c r="P218" s="1"/>
  <c r="Q24"/>
  <c r="N25" i="42"/>
  <c r="P88" i="30"/>
  <c r="P406"/>
  <c r="T68" i="43" l="1"/>
  <c r="T66"/>
  <c r="U65"/>
  <c r="T67"/>
  <c r="R501" i="30"/>
  <c r="P17" i="42"/>
  <c r="M220" i="44"/>
  <c r="M234" i="30"/>
  <c r="M219"/>
  <c r="Q203"/>
  <c r="Q241" s="1"/>
  <c r="M220"/>
  <c r="N87"/>
  <c r="O23"/>
  <c r="N405"/>
  <c r="L24" i="42"/>
  <c r="N508" i="30"/>
  <c r="N188"/>
  <c r="N234" s="1"/>
  <c r="N190"/>
  <c r="N219" s="1"/>
  <c r="O25"/>
  <c r="N407"/>
  <c r="L26" i="42"/>
  <c r="N89" i="30"/>
  <c r="AZ27" i="42"/>
  <c r="N90" i="44"/>
  <c r="O26"/>
  <c r="N408"/>
  <c r="N191"/>
  <c r="N220" s="1"/>
  <c r="N408" i="30"/>
  <c r="N90"/>
  <c r="N191"/>
  <c r="L27" i="42"/>
  <c r="O26" i="30"/>
  <c r="AY343" i="23"/>
  <c r="BL315"/>
  <c r="BL343" s="1"/>
  <c r="AZ26" i="42"/>
  <c r="N407" i="44"/>
  <c r="N89"/>
  <c r="O25"/>
  <c r="N190"/>
  <c r="P94" i="30"/>
  <c r="M219" i="44"/>
  <c r="Q17" i="30"/>
  <c r="Q182" s="1"/>
  <c r="Q227" s="1"/>
  <c r="P204" i="44"/>
  <c r="P242" s="1"/>
  <c r="M225"/>
  <c r="O230"/>
  <c r="P502" i="30"/>
  <c r="P399"/>
  <c r="P204"/>
  <c r="P242" s="1"/>
  <c r="P81"/>
  <c r="N18" i="42"/>
  <c r="O227" i="30"/>
  <c r="M225"/>
  <c r="O210" i="44"/>
  <c r="O254" s="1"/>
  <c r="O256"/>
  <c r="N177"/>
  <c r="N225" s="1"/>
  <c r="O12"/>
  <c r="N199"/>
  <c r="N240" s="1"/>
  <c r="N497"/>
  <c r="N76"/>
  <c r="AZ13" i="42"/>
  <c r="N177" i="30"/>
  <c r="N225" s="1"/>
  <c r="O12"/>
  <c r="L13" i="42"/>
  <c r="N76" i="30"/>
  <c r="N497"/>
  <c r="N195" i="44"/>
  <c r="N253" s="1"/>
  <c r="F91" i="33"/>
  <c r="F32"/>
  <c r="N233" i="30"/>
  <c r="O207"/>
  <c r="O245" s="1"/>
  <c r="F115" i="33"/>
  <c r="L34" i="44"/>
  <c r="L34" i="30"/>
  <c r="F56" i="33"/>
  <c r="L33" i="44"/>
  <c r="P236"/>
  <c r="M235" i="30"/>
  <c r="L256"/>
  <c r="L255"/>
  <c r="BB21" i="42"/>
  <c r="P84" i="44"/>
  <c r="P185"/>
  <c r="P505"/>
  <c r="P402"/>
  <c r="Q20"/>
  <c r="M29"/>
  <c r="L277" i="30"/>
  <c r="L299" s="1"/>
  <c r="L278" s="1"/>
  <c r="L300" s="1"/>
  <c r="L279" s="1"/>
  <c r="L301" s="1"/>
  <c r="L280" s="1"/>
  <c r="L302" s="1"/>
  <c r="L281" s="1"/>
  <c r="L303" s="1"/>
  <c r="L282" s="1"/>
  <c r="N233" i="44"/>
  <c r="I277" i="30"/>
  <c r="I299" s="1"/>
  <c r="H277" i="44"/>
  <c r="H299" s="1"/>
  <c r="I278" i="30"/>
  <c r="I300" s="1"/>
  <c r="I279" s="1"/>
  <c r="I301" s="1"/>
  <c r="I278" i="44"/>
  <c r="I300" s="1"/>
  <c r="I279" s="1"/>
  <c r="I301" s="1"/>
  <c r="I280" s="1"/>
  <c r="I302" s="1"/>
  <c r="I281" s="1"/>
  <c r="I303" s="1"/>
  <c r="J277"/>
  <c r="J299" s="1"/>
  <c r="O493"/>
  <c r="BA9" i="42"/>
  <c r="O72" i="44"/>
  <c r="P8"/>
  <c r="O173"/>
  <c r="I280" i="30"/>
  <c r="I302" s="1"/>
  <c r="I281" s="1"/>
  <c r="I303" s="1"/>
  <c r="I282" s="1"/>
  <c r="I304" s="1"/>
  <c r="I283" s="1"/>
  <c r="I305" s="1"/>
  <c r="I284" s="1"/>
  <c r="I306" s="1"/>
  <c r="I285" s="1"/>
  <c r="I307" s="1"/>
  <c r="I286" s="1"/>
  <c r="I308" s="1"/>
  <c r="I287" s="1"/>
  <c r="I309" s="1"/>
  <c r="I288" s="1"/>
  <c r="I310" s="1"/>
  <c r="I289" s="1"/>
  <c r="I311" s="1"/>
  <c r="I290" s="1"/>
  <c r="I312" s="1"/>
  <c r="I291" s="1"/>
  <c r="I313" s="1"/>
  <c r="I292" s="1"/>
  <c r="I314" s="1"/>
  <c r="I293" s="1"/>
  <c r="I315" s="1"/>
  <c r="I294" s="1"/>
  <c r="I316" s="1"/>
  <c r="I295" s="1"/>
  <c r="I317" s="1"/>
  <c r="D278" i="44"/>
  <c r="D300" s="1"/>
  <c r="D279" s="1"/>
  <c r="J278"/>
  <c r="J300" s="1"/>
  <c r="J279" s="1"/>
  <c r="J301" s="1"/>
  <c r="J280" s="1"/>
  <c r="J302" s="1"/>
  <c r="J281" s="1"/>
  <c r="J303" s="1"/>
  <c r="J282" s="1"/>
  <c r="J304" s="1"/>
  <c r="J283" s="1"/>
  <c r="J305" s="1"/>
  <c r="J284" s="1"/>
  <c r="J306" s="1"/>
  <c r="J285" s="1"/>
  <c r="J307" s="1"/>
  <c r="J286" s="1"/>
  <c r="J277" i="30"/>
  <c r="J299" s="1"/>
  <c r="J278" s="1"/>
  <c r="J300" s="1"/>
  <c r="J279" s="1"/>
  <c r="J301" s="1"/>
  <c r="J280" s="1"/>
  <c r="J302" s="1"/>
  <c r="J281" s="1"/>
  <c r="J303" s="1"/>
  <c r="J282" s="1"/>
  <c r="J304" s="1"/>
  <c r="J283" s="1"/>
  <c r="J305" s="1"/>
  <c r="J284" s="1"/>
  <c r="G277" i="44"/>
  <c r="G299" s="1"/>
  <c r="G278" s="1"/>
  <c r="G300" s="1"/>
  <c r="G279" s="1"/>
  <c r="G301" s="1"/>
  <c r="G280" s="1"/>
  <c r="E277" i="30"/>
  <c r="E299" s="1"/>
  <c r="E278" s="1"/>
  <c r="E300" s="1"/>
  <c r="E279" s="1"/>
  <c r="E301" s="1"/>
  <c r="E280" s="1"/>
  <c r="E302" s="1"/>
  <c r="E281" s="1"/>
  <c r="E303" s="1"/>
  <c r="E282" s="1"/>
  <c r="L277" i="44"/>
  <c r="L299" s="1"/>
  <c r="L278" s="1"/>
  <c r="L300" s="1"/>
  <c r="L279" s="1"/>
  <c r="L301" s="1"/>
  <c r="L280" s="1"/>
  <c r="L302" s="1"/>
  <c r="L281" s="1"/>
  <c r="L303" s="1"/>
  <c r="L282" s="1"/>
  <c r="L304" s="1"/>
  <c r="L283" s="1"/>
  <c r="L305" s="1"/>
  <c r="L284" s="1"/>
  <c r="K277"/>
  <c r="K299" s="1"/>
  <c r="K278" s="1"/>
  <c r="K300" s="1"/>
  <c r="K279" s="1"/>
  <c r="K301" s="1"/>
  <c r="K280" s="1"/>
  <c r="K302" s="1"/>
  <c r="K281" s="1"/>
  <c r="K303" s="1"/>
  <c r="K282" s="1"/>
  <c r="K304" s="1"/>
  <c r="K283" s="1"/>
  <c r="K305" s="1"/>
  <c r="K284" s="1"/>
  <c r="K306" s="1"/>
  <c r="K285" s="1"/>
  <c r="K277" i="30"/>
  <c r="K299" s="1"/>
  <c r="K278" s="1"/>
  <c r="K300" s="1"/>
  <c r="K279" s="1"/>
  <c r="K301" s="1"/>
  <c r="K280" s="1"/>
  <c r="K302" s="1"/>
  <c r="K281" s="1"/>
  <c r="K303" s="1"/>
  <c r="K282" s="1"/>
  <c r="K304" s="1"/>
  <c r="K283" s="1"/>
  <c r="I282" i="44"/>
  <c r="I304" s="1"/>
  <c r="I283" s="1"/>
  <c r="I305" s="1"/>
  <c r="I284" s="1"/>
  <c r="I306" s="1"/>
  <c r="I285" s="1"/>
  <c r="I307" s="1"/>
  <c r="I286" s="1"/>
  <c r="D277" i="30"/>
  <c r="D299" s="1"/>
  <c r="D278" s="1"/>
  <c r="D300" s="1"/>
  <c r="D279" s="1"/>
  <c r="G277"/>
  <c r="G299" s="1"/>
  <c r="G278" s="1"/>
  <c r="G300" s="1"/>
  <c r="G279" s="1"/>
  <c r="G301" s="1"/>
  <c r="G280" s="1"/>
  <c r="F277"/>
  <c r="F299" s="1"/>
  <c r="F278" s="1"/>
  <c r="F300" s="1"/>
  <c r="F279" s="1"/>
  <c r="F301" s="1"/>
  <c r="F280" s="1"/>
  <c r="H278" i="44"/>
  <c r="H300" s="1"/>
  <c r="H279" s="1"/>
  <c r="H301" s="1"/>
  <c r="H280" s="1"/>
  <c r="L33" i="30"/>
  <c r="E277" i="44"/>
  <c r="E299" s="1"/>
  <c r="E278" s="1"/>
  <c r="E300" s="1"/>
  <c r="E279" s="1"/>
  <c r="E301" s="1"/>
  <c r="E280" s="1"/>
  <c r="E302" s="1"/>
  <c r="E281" s="1"/>
  <c r="E303" s="1"/>
  <c r="E282" s="1"/>
  <c r="M198" i="30"/>
  <c r="M252" s="1"/>
  <c r="P200" i="44"/>
  <c r="P249" s="1"/>
  <c r="O255"/>
  <c r="N21" i="42"/>
  <c r="P402" i="30"/>
  <c r="P84"/>
  <c r="P185"/>
  <c r="P230" s="1"/>
  <c r="Q20"/>
  <c r="P505"/>
  <c r="P498"/>
  <c r="P494"/>
  <c r="Q9"/>
  <c r="P73"/>
  <c r="N10" i="42"/>
  <c r="P174" i="30"/>
  <c r="P196" s="1"/>
  <c r="G89" i="33"/>
  <c r="Q13" i="30"/>
  <c r="R13" s="1"/>
  <c r="P202" i="44"/>
  <c r="G30" i="33"/>
  <c r="P235" i="44"/>
  <c r="P178" i="30"/>
  <c r="P231" s="1"/>
  <c r="N14" i="42"/>
  <c r="O228" i="30"/>
  <c r="O205"/>
  <c r="O243" s="1"/>
  <c r="P400"/>
  <c r="P503"/>
  <c r="P82"/>
  <c r="Q18"/>
  <c r="N19" i="42"/>
  <c r="P183" i="30"/>
  <c r="P228" s="1"/>
  <c r="P78" i="44"/>
  <c r="BB15" i="42"/>
  <c r="Q14" i="44"/>
  <c r="P179"/>
  <c r="P232" s="1"/>
  <c r="P499"/>
  <c r="P201"/>
  <c r="P251" s="1"/>
  <c r="O201"/>
  <c r="O251" s="1"/>
  <c r="G151" i="42"/>
  <c r="I674" i="30"/>
  <c r="G190" i="42" s="1"/>
  <c r="M151"/>
  <c r="O674" i="30"/>
  <c r="M190" i="42" s="1"/>
  <c r="K151"/>
  <c r="M674" i="30"/>
  <c r="K190" i="42" s="1"/>
  <c r="J151"/>
  <c r="L674" i="30"/>
  <c r="J190" i="42" s="1"/>
  <c r="L151"/>
  <c r="N674" i="30"/>
  <c r="L190" i="42" s="1"/>
  <c r="P151"/>
  <c r="R674" i="30"/>
  <c r="P190" i="42" s="1"/>
  <c r="B151"/>
  <c r="D674" i="30"/>
  <c r="B190" i="42" s="1"/>
  <c r="Q151"/>
  <c r="S674" i="30"/>
  <c r="Q190" i="42" s="1"/>
  <c r="C151"/>
  <c r="E674" i="30"/>
  <c r="C190" i="42" s="1"/>
  <c r="AY359" i="23"/>
  <c r="BL329"/>
  <c r="BL359" s="1"/>
  <c r="E151" i="42"/>
  <c r="G674" i="30"/>
  <c r="E190" i="42" s="1"/>
  <c r="D151"/>
  <c r="F674" i="30"/>
  <c r="D190" i="42" s="1"/>
  <c r="I151"/>
  <c r="K674" i="30"/>
  <c r="I190" i="42" s="1"/>
  <c r="N151"/>
  <c r="P674" i="30"/>
  <c r="N190" i="42" s="1"/>
  <c r="O151"/>
  <c r="Q674" i="30"/>
  <c r="O190" i="42" s="1"/>
  <c r="F151"/>
  <c r="H674" i="30"/>
  <c r="F190" i="42" s="1"/>
  <c r="H151"/>
  <c r="J674" i="30"/>
  <c r="H190" i="42" s="1"/>
  <c r="Y151"/>
  <c r="AA674" i="30"/>
  <c r="Y190" i="42" s="1"/>
  <c r="Z151"/>
  <c r="AB674" i="30"/>
  <c r="Z190" i="42" s="1"/>
  <c r="S151"/>
  <c r="U674" i="30"/>
  <c r="S190" i="42" s="1"/>
  <c r="X151"/>
  <c r="Z674" i="30"/>
  <c r="X190" i="42" s="1"/>
  <c r="R151"/>
  <c r="T674" i="30"/>
  <c r="R190" i="42" s="1"/>
  <c r="M666" i="30"/>
  <c r="K186" i="42" s="1"/>
  <c r="W151"/>
  <c r="Y674" i="30"/>
  <c r="W190" i="42" s="1"/>
  <c r="AA151"/>
  <c r="AC674" i="30"/>
  <c r="AA190" i="42" s="1"/>
  <c r="V151"/>
  <c r="X674" i="30"/>
  <c r="V190" i="42" s="1"/>
  <c r="U151"/>
  <c r="W674" i="30"/>
  <c r="U190" i="42" s="1"/>
  <c r="T151"/>
  <c r="V674" i="30"/>
  <c r="T190" i="42" s="1"/>
  <c r="N209" i="44"/>
  <c r="N250" s="1"/>
  <c r="P22"/>
  <c r="O507"/>
  <c r="BA23" i="42"/>
  <c r="O187" i="44"/>
  <c r="O86"/>
  <c r="O404"/>
  <c r="N223" i="30"/>
  <c r="N209"/>
  <c r="N250" s="1"/>
  <c r="AY330" i="23"/>
  <c r="BL330" s="1"/>
  <c r="O404" i="30"/>
  <c r="O507"/>
  <c r="O86"/>
  <c r="O187"/>
  <c r="O223" s="1"/>
  <c r="M23" i="42"/>
  <c r="P22" i="30"/>
  <c r="P234" i="44"/>
  <c r="P196"/>
  <c r="BC10" i="42"/>
  <c r="R9" i="44"/>
  <c r="Q494"/>
  <c r="Q666" s="1"/>
  <c r="BC186" i="42" s="1"/>
  <c r="Q73" i="44"/>
  <c r="Q174"/>
  <c r="P211"/>
  <c r="P246" s="1"/>
  <c r="R203" i="30"/>
  <c r="R241" s="1"/>
  <c r="AY355" i="23"/>
  <c r="BL314"/>
  <c r="BL355" s="1"/>
  <c r="AX353"/>
  <c r="BM309"/>
  <c r="BM353" s="1"/>
  <c r="BN322"/>
  <c r="AX322"/>
  <c r="AY309"/>
  <c r="AY344"/>
  <c r="BL325"/>
  <c r="BL344" s="1"/>
  <c r="AY350"/>
  <c r="BL320"/>
  <c r="BL350" s="1"/>
  <c r="M198" i="44"/>
  <c r="M252" s="1"/>
  <c r="M626" a="1"/>
  <c r="M626" s="1"/>
  <c r="AY160" i="42" s="1"/>
  <c r="Q626" i="30" a="1"/>
  <c r="Q626" s="1"/>
  <c r="O160" i="42" s="1"/>
  <c r="O626" i="44" a="1"/>
  <c r="O626" s="1"/>
  <c r="BA160" i="42" s="1"/>
  <c r="S626" i="30" a="1"/>
  <c r="S626" s="1"/>
  <c r="Q160" i="42" s="1"/>
  <c r="Q626" i="44" a="1"/>
  <c r="Q626" s="1"/>
  <c r="BC160" i="42" s="1"/>
  <c r="J626" i="44" a="1"/>
  <c r="J626" s="1"/>
  <c r="AV160" i="42" s="1"/>
  <c r="S626" i="44" a="1"/>
  <c r="S626" s="1"/>
  <c r="BE160" i="42" s="1"/>
  <c r="N626" i="44" a="1"/>
  <c r="N626" s="1"/>
  <c r="AZ160" i="42" s="1"/>
  <c r="T626" i="44" a="1"/>
  <c r="T626" s="1"/>
  <c r="BF160" i="42" s="1"/>
  <c r="E626" i="44" a="1"/>
  <c r="E626" s="1"/>
  <c r="AQ160" i="42" s="1"/>
  <c r="I626" i="30" a="1"/>
  <c r="I626" s="1"/>
  <c r="G160" i="42" s="1"/>
  <c r="G626" i="44" a="1"/>
  <c r="G626" s="1"/>
  <c r="AS160" i="42" s="1"/>
  <c r="K626" i="30" a="1"/>
  <c r="K626" s="1"/>
  <c r="I160" i="42" s="1"/>
  <c r="I626" i="44" a="1"/>
  <c r="I626" s="1"/>
  <c r="AU160" i="42" s="1"/>
  <c r="M626" i="30" a="1"/>
  <c r="M626" s="1"/>
  <c r="K160" i="42" s="1"/>
  <c r="K626" i="44" a="1"/>
  <c r="K626" s="1"/>
  <c r="AW160" i="42" s="1"/>
  <c r="O626" i="30" a="1"/>
  <c r="O626" s="1"/>
  <c r="M160" i="42" s="1"/>
  <c r="L626" i="44" a="1"/>
  <c r="L626" s="1"/>
  <c r="AX160" i="42" s="1"/>
  <c r="D626" i="30" a="1"/>
  <c r="D626" s="1"/>
  <c r="B160" i="42" s="1"/>
  <c r="P626" i="44" a="1"/>
  <c r="P626" s="1"/>
  <c r="BB160" i="42" s="1"/>
  <c r="H626" i="30" a="1"/>
  <c r="H626" s="1"/>
  <c r="F160" i="42" s="1"/>
  <c r="E626" i="30" a="1"/>
  <c r="E626" s="1"/>
  <c r="C160" i="42" s="1"/>
  <c r="L626" i="30" a="1"/>
  <c r="L626" s="1"/>
  <c r="J160" i="42" s="1"/>
  <c r="G626" i="30" a="1"/>
  <c r="G626" s="1"/>
  <c r="E160" i="42" s="1"/>
  <c r="P626" i="30" a="1"/>
  <c r="P626" s="1"/>
  <c r="N160" i="42" s="1"/>
  <c r="W626" i="44" a="1"/>
  <c r="W626" s="1"/>
  <c r="BI160" i="42" s="1"/>
  <c r="F626" i="44" a="1"/>
  <c r="F626" s="1"/>
  <c r="AR160" i="42" s="1"/>
  <c r="F626" i="30" a="1"/>
  <c r="F626" s="1"/>
  <c r="D160" i="42" s="1"/>
  <c r="R626" i="44" a="1"/>
  <c r="R626" s="1"/>
  <c r="BD160" i="42" s="1"/>
  <c r="J626" i="30" a="1"/>
  <c r="J626" s="1"/>
  <c r="H160" i="42" s="1"/>
  <c r="D626" i="44" a="1"/>
  <c r="D626" s="1"/>
  <c r="AP160" i="42" s="1"/>
  <c r="N626" i="30" a="1"/>
  <c r="N626" s="1"/>
  <c r="L160" i="42" s="1"/>
  <c r="H626" i="44" a="1"/>
  <c r="H626" s="1"/>
  <c r="AT160" i="42" s="1"/>
  <c r="R626" i="30" a="1"/>
  <c r="R626" s="1"/>
  <c r="P160" i="42" s="1"/>
  <c r="V626" i="44" a="1"/>
  <c r="V626" s="1"/>
  <c r="BH160" i="42" s="1"/>
  <c r="AB626" i="44" a="1"/>
  <c r="AB626" s="1"/>
  <c r="BN160" i="42" s="1"/>
  <c r="X626" i="30" a="1"/>
  <c r="X626" s="1"/>
  <c r="V160" i="42" s="1"/>
  <c r="AC626" i="30" a="1"/>
  <c r="AC626" s="1"/>
  <c r="AA160" i="42" s="1"/>
  <c r="AA626" i="30" a="1"/>
  <c r="AA626" s="1"/>
  <c r="Y160" i="42" s="1"/>
  <c r="U626" i="30" a="1"/>
  <c r="U626" s="1"/>
  <c r="S160" i="42" s="1"/>
  <c r="V626" i="30" a="1"/>
  <c r="V626" s="1"/>
  <c r="T160" i="42" s="1"/>
  <c r="U626" i="44" a="1"/>
  <c r="U626" s="1"/>
  <c r="BG160" i="42" s="1"/>
  <c r="X626" i="44" a="1"/>
  <c r="X626" s="1"/>
  <c r="BJ160" i="42" s="1"/>
  <c r="AC626" i="44" a="1"/>
  <c r="AC626" s="1"/>
  <c r="BO160" i="42" s="1"/>
  <c r="Y626" i="30" a="1"/>
  <c r="Y626" s="1"/>
  <c r="W160" i="42" s="1"/>
  <c r="Z626" i="30" a="1"/>
  <c r="Z626" s="1"/>
  <c r="X160" i="42" s="1"/>
  <c r="AB626" i="30" a="1"/>
  <c r="AB626" s="1"/>
  <c r="Z160" i="42" s="1"/>
  <c r="T626" i="30" a="1"/>
  <c r="T626" s="1"/>
  <c r="R160" i="42" s="1"/>
  <c r="W626" i="30" a="1"/>
  <c r="W626" s="1"/>
  <c r="U160" i="42" s="1"/>
  <c r="Z626" i="44" a="1"/>
  <c r="Z626" s="1"/>
  <c r="BL160" i="42" s="1"/>
  <c r="AA626" i="44" a="1"/>
  <c r="AA626" s="1"/>
  <c r="BM160" i="42" s="1"/>
  <c r="Y626" i="44" a="1"/>
  <c r="Y626" s="1"/>
  <c r="BK160" i="42" s="1"/>
  <c r="G628" i="30" a="1"/>
  <c r="G628" s="1"/>
  <c r="E162" i="42" s="1"/>
  <c r="P628" i="30" a="1"/>
  <c r="P628" s="1"/>
  <c r="N162" i="42" s="1"/>
  <c r="D628" i="44" a="1"/>
  <c r="D628" s="1"/>
  <c r="AP162" i="42" s="1"/>
  <c r="D628" i="30" a="1"/>
  <c r="D628" s="1"/>
  <c r="B162" i="42" s="1"/>
  <c r="T628" i="44" a="1"/>
  <c r="T628" s="1"/>
  <c r="BF162" i="42" s="1"/>
  <c r="M628" i="30" a="1"/>
  <c r="M628" s="1"/>
  <c r="K162" i="42" s="1"/>
  <c r="S628" i="44" a="1"/>
  <c r="S628" s="1"/>
  <c r="BE162" i="42" s="1"/>
  <c r="H628" i="44" a="1"/>
  <c r="H628" s="1"/>
  <c r="AT162" i="42" s="1"/>
  <c r="H628" i="30" a="1"/>
  <c r="H628" s="1"/>
  <c r="F162" i="42" s="1"/>
  <c r="AC628" i="44" a="1"/>
  <c r="AC628" s="1"/>
  <c r="BO162" i="42" s="1"/>
  <c r="S628" i="30" a="1"/>
  <c r="S628" s="1"/>
  <c r="Q162" i="42" s="1"/>
  <c r="M628" i="44" a="1"/>
  <c r="M628" s="1"/>
  <c r="AY162" i="42" s="1"/>
  <c r="F628" i="44" a="1"/>
  <c r="F628" s="1"/>
  <c r="AR162" i="42" s="1"/>
  <c r="N628" i="30" a="1"/>
  <c r="N628" s="1"/>
  <c r="L162" i="42" s="1"/>
  <c r="I628" i="30" a="1"/>
  <c r="I628" s="1"/>
  <c r="G162" i="42" s="1"/>
  <c r="G628" i="44" a="1"/>
  <c r="G628" s="1"/>
  <c r="AS162" i="42" s="1"/>
  <c r="O628" i="44" a="1"/>
  <c r="O628" s="1"/>
  <c r="BA162" i="42" s="1"/>
  <c r="N628" i="44" a="1"/>
  <c r="N628" s="1"/>
  <c r="AZ162" i="42" s="1"/>
  <c r="Y628" i="44" a="1"/>
  <c r="Y628" s="1"/>
  <c r="BK162" i="42" s="1"/>
  <c r="O628" i="30" a="1"/>
  <c r="O628" s="1"/>
  <c r="M162" i="42" s="1"/>
  <c r="I628" i="44" a="1"/>
  <c r="I628" s="1"/>
  <c r="AU162" i="42" s="1"/>
  <c r="Q628" i="44" a="1"/>
  <c r="Q628" s="1"/>
  <c r="BC162" i="42" s="1"/>
  <c r="F628" i="30" a="1"/>
  <c r="F628" s="1"/>
  <c r="D162" i="42" s="1"/>
  <c r="E628" i="30" a="1"/>
  <c r="E628" s="1"/>
  <c r="C162" i="42" s="1"/>
  <c r="K628" i="44" a="1"/>
  <c r="K628" s="1"/>
  <c r="AW162" i="42" s="1"/>
  <c r="J628" i="30" a="1"/>
  <c r="J628" s="1"/>
  <c r="H162" i="42" s="1"/>
  <c r="AA628" i="44" a="1"/>
  <c r="AA628" s="1"/>
  <c r="BM162" i="42" s="1"/>
  <c r="P628" i="44" a="1"/>
  <c r="P628" s="1"/>
  <c r="BB162" i="42" s="1"/>
  <c r="K628" i="30" a="1"/>
  <c r="K628" s="1"/>
  <c r="I162" i="42" s="1"/>
  <c r="E628" i="44" a="1"/>
  <c r="E628" s="1"/>
  <c r="AQ162" i="42" s="1"/>
  <c r="J628" i="44" a="1"/>
  <c r="J628" s="1"/>
  <c r="AV162" i="42" s="1"/>
  <c r="L628" i="30" a="1"/>
  <c r="L628" s="1"/>
  <c r="J162" i="42" s="1"/>
  <c r="L628" i="44" a="1"/>
  <c r="L628" s="1"/>
  <c r="AX162" i="42" s="1"/>
  <c r="Q628" i="30" a="1"/>
  <c r="Q628" s="1"/>
  <c r="O162" i="42" s="1"/>
  <c r="R628" i="44" a="1"/>
  <c r="R628" s="1"/>
  <c r="BD162" i="42" s="1"/>
  <c r="R628" i="30" a="1"/>
  <c r="R628" s="1"/>
  <c r="P162" i="42" s="1"/>
  <c r="V628" i="44" a="1"/>
  <c r="V628" s="1"/>
  <c r="BH162" i="42" s="1"/>
  <c r="X628" i="44" a="1"/>
  <c r="X628" s="1"/>
  <c r="BJ162" i="42" s="1"/>
  <c r="Z628" i="44" a="1"/>
  <c r="Z628" s="1"/>
  <c r="BL162" i="42" s="1"/>
  <c r="U628" i="44" a="1"/>
  <c r="U628" s="1"/>
  <c r="BG162" i="42" s="1"/>
  <c r="Y628" i="30" a="1"/>
  <c r="Y628" s="1"/>
  <c r="W162" i="42" s="1"/>
  <c r="Z628" i="30" a="1"/>
  <c r="Z628" s="1"/>
  <c r="X162" i="42" s="1"/>
  <c r="AC628" i="30" a="1"/>
  <c r="AC628" s="1"/>
  <c r="AA162" i="42" s="1"/>
  <c r="W628" i="30" a="1"/>
  <c r="W628" s="1"/>
  <c r="U162" i="42" s="1"/>
  <c r="X628" i="30" a="1"/>
  <c r="X628" s="1"/>
  <c r="V162" i="42" s="1"/>
  <c r="U628" i="30" a="1"/>
  <c r="U628" s="1"/>
  <c r="S162" i="42" s="1"/>
  <c r="W628" i="44" a="1"/>
  <c r="W628" s="1"/>
  <c r="BI162" i="42" s="1"/>
  <c r="AB628" i="44" a="1"/>
  <c r="AB628" s="1"/>
  <c r="BN162" i="42" s="1"/>
  <c r="T628" i="30" a="1"/>
  <c r="T628" s="1"/>
  <c r="R162" i="42" s="1"/>
  <c r="AA628" i="30" a="1"/>
  <c r="AA628" s="1"/>
  <c r="Y162" i="42" s="1"/>
  <c r="AB628" i="30" a="1"/>
  <c r="AB628" s="1"/>
  <c r="Z162" i="42" s="1"/>
  <c r="V628" i="30" a="1"/>
  <c r="V628" s="1"/>
  <c r="T162" i="42" s="1"/>
  <c r="BM326" i="23"/>
  <c r="BM345" s="1"/>
  <c r="AX345"/>
  <c r="AY326"/>
  <c r="BL321"/>
  <c r="BL346" s="1"/>
  <c r="AY346"/>
  <c r="S627" i="44" a="1"/>
  <c r="S627" s="1"/>
  <c r="BE161" i="42" s="1"/>
  <c r="K627" i="30" a="1"/>
  <c r="K627" s="1"/>
  <c r="I161" i="42" s="1"/>
  <c r="L627" i="44" a="1"/>
  <c r="L627" s="1"/>
  <c r="AX161" i="42" s="1"/>
  <c r="P627" i="30" a="1"/>
  <c r="P627" s="1"/>
  <c r="N161" i="42" s="1"/>
  <c r="K627" i="44" a="1"/>
  <c r="K627" s="1"/>
  <c r="AW161" i="42" s="1"/>
  <c r="H627" i="44" a="1"/>
  <c r="H627" s="1"/>
  <c r="AT161" i="42" s="1"/>
  <c r="L627" i="30" a="1"/>
  <c r="L627" s="1"/>
  <c r="J161" i="42" s="1"/>
  <c r="M627" i="30" a="1"/>
  <c r="M627" s="1"/>
  <c r="K161" i="42" s="1"/>
  <c r="Y627" i="44" a="1"/>
  <c r="Y627" s="1"/>
  <c r="BK161" i="42" s="1"/>
  <c r="M627" i="44" a="1"/>
  <c r="M627" s="1"/>
  <c r="AY161" i="42" s="1"/>
  <c r="D627" i="44" a="1"/>
  <c r="D627" s="1"/>
  <c r="AP161" i="42" s="1"/>
  <c r="H627" i="30" a="1"/>
  <c r="H627" s="1"/>
  <c r="F161" i="42" s="1"/>
  <c r="E627" i="30" a="1"/>
  <c r="E627" s="1"/>
  <c r="C161" i="42" s="1"/>
  <c r="R627" i="44" a="1"/>
  <c r="R627" s="1"/>
  <c r="BD161" i="42" s="1"/>
  <c r="Q627" i="44" a="1"/>
  <c r="Q627" s="1"/>
  <c r="BC161" i="42" s="1"/>
  <c r="S627" i="30" a="1"/>
  <c r="S627" s="1"/>
  <c r="Q161" i="42" s="1"/>
  <c r="D627" i="30" a="1"/>
  <c r="D627" s="1"/>
  <c r="B161" i="42" s="1"/>
  <c r="Z627" i="44" a="1"/>
  <c r="Z627" s="1"/>
  <c r="BL161" i="42" s="1"/>
  <c r="N627" i="44" a="1"/>
  <c r="N627" s="1"/>
  <c r="AZ161" i="42" s="1"/>
  <c r="R627" i="30" a="1"/>
  <c r="R627" s="1"/>
  <c r="P161" i="42" s="1"/>
  <c r="O627" i="44" a="1"/>
  <c r="O627" s="1"/>
  <c r="BA161" i="42" s="1"/>
  <c r="G627" i="30" a="1"/>
  <c r="G627" s="1"/>
  <c r="E161" i="42" s="1"/>
  <c r="J627" i="44" a="1"/>
  <c r="J627" s="1"/>
  <c r="AV161" i="42" s="1"/>
  <c r="N627" i="30" a="1"/>
  <c r="N627" s="1"/>
  <c r="L161" i="42" s="1"/>
  <c r="Q627" i="30" a="1"/>
  <c r="Q627" s="1"/>
  <c r="O161" i="42" s="1"/>
  <c r="G627" i="44" a="1"/>
  <c r="G627" s="1"/>
  <c r="AS161" i="42" s="1"/>
  <c r="T627" i="44" a="1"/>
  <c r="T627" s="1"/>
  <c r="BF161" i="42" s="1"/>
  <c r="F627" i="44" a="1"/>
  <c r="F627" s="1"/>
  <c r="AR161" i="42" s="1"/>
  <c r="J627" i="30" a="1"/>
  <c r="J627" s="1"/>
  <c r="H161" i="42" s="1"/>
  <c r="I627" i="30" a="1"/>
  <c r="I627" s="1"/>
  <c r="G161" i="42" s="1"/>
  <c r="I627" i="44" a="1"/>
  <c r="I627" s="1"/>
  <c r="AU161" i="42" s="1"/>
  <c r="X627" i="44" a="1"/>
  <c r="X627" s="1"/>
  <c r="BJ161" i="42" s="1"/>
  <c r="F627" i="30" a="1"/>
  <c r="F627" s="1"/>
  <c r="D161" i="42" s="1"/>
  <c r="P627" i="44" a="1"/>
  <c r="P627" s="1"/>
  <c r="BB161" i="42" s="1"/>
  <c r="E627" i="44" a="1"/>
  <c r="E627" s="1"/>
  <c r="AQ161" i="42" s="1"/>
  <c r="O627" i="30" a="1"/>
  <c r="O627" s="1"/>
  <c r="M161" i="42" s="1"/>
  <c r="AC627" i="44" a="1"/>
  <c r="AC627" s="1"/>
  <c r="BO161" i="42" s="1"/>
  <c r="AA627" i="44" a="1"/>
  <c r="AA627" s="1"/>
  <c r="BM161" i="42" s="1"/>
  <c r="AB627" i="44" a="1"/>
  <c r="AB627" s="1"/>
  <c r="BN161" i="42" s="1"/>
  <c r="Y627" i="30" a="1"/>
  <c r="Y627" s="1"/>
  <c r="W161" i="42" s="1"/>
  <c r="Z627" i="30" a="1"/>
  <c r="Z627" s="1"/>
  <c r="X161" i="42" s="1"/>
  <c r="V627" i="30" a="1"/>
  <c r="V627" s="1"/>
  <c r="T161" i="42" s="1"/>
  <c r="V627" i="44" a="1"/>
  <c r="V627" s="1"/>
  <c r="BH161" i="42" s="1"/>
  <c r="W627" i="44" a="1"/>
  <c r="W627" s="1"/>
  <c r="BI161" i="42" s="1"/>
  <c r="U627" i="44" a="1"/>
  <c r="U627" s="1"/>
  <c r="BG161" i="42" s="1"/>
  <c r="T627" i="30" a="1"/>
  <c r="T627" s="1"/>
  <c r="R161" i="42" s="1"/>
  <c r="AA627" i="30" a="1"/>
  <c r="AA627" s="1"/>
  <c r="Y161" i="42" s="1"/>
  <c r="AB627" i="30" a="1"/>
  <c r="AB627" s="1"/>
  <c r="Z161" i="42" s="1"/>
  <c r="AC627" i="30" a="1"/>
  <c r="AC627" s="1"/>
  <c r="AA161" i="42" s="1"/>
  <c r="U627" i="30" a="1"/>
  <c r="U627" s="1"/>
  <c r="S161" i="42" s="1"/>
  <c r="W627" i="30" a="1"/>
  <c r="W627" s="1"/>
  <c r="U161" i="42" s="1"/>
  <c r="X627" i="30" a="1"/>
  <c r="X627" s="1"/>
  <c r="V161" i="42" s="1"/>
  <c r="N195" i="30"/>
  <c r="N253" s="1"/>
  <c r="M206"/>
  <c r="M244" s="1"/>
  <c r="N214"/>
  <c r="N239" s="1"/>
  <c r="N500"/>
  <c r="N679" s="1"/>
  <c r="CG177" i="42" s="1"/>
  <c r="O15" i="30"/>
  <c r="N79"/>
  <c r="L16" i="42"/>
  <c r="N180" i="30"/>
  <c r="O72"/>
  <c r="M9" i="42"/>
  <c r="P8" i="30"/>
  <c r="P431" s="1"/>
  <c r="N67" i="42" s="1"/>
  <c r="O173" i="30"/>
  <c r="O195" s="1"/>
  <c r="O253" s="1"/>
  <c r="O493"/>
  <c r="O661" s="1"/>
  <c r="M177" i="42" s="1"/>
  <c r="O192" i="30"/>
  <c r="O217" s="1"/>
  <c r="O276" s="1"/>
  <c r="O298" s="1"/>
  <c r="P27"/>
  <c r="P267" s="1"/>
  <c r="M28" i="42"/>
  <c r="O91" i="30"/>
  <c r="O512"/>
  <c r="BA28" i="42"/>
  <c r="O512" i="44"/>
  <c r="O91"/>
  <c r="P27"/>
  <c r="P267" s="1"/>
  <c r="O192"/>
  <c r="N214"/>
  <c r="N239" s="1"/>
  <c r="N83" i="30"/>
  <c r="N401"/>
  <c r="O19"/>
  <c r="N504"/>
  <c r="L20" i="42"/>
  <c r="N184" i="30"/>
  <c r="N229" s="1"/>
  <c r="AZ20" i="42"/>
  <c r="N83" i="44"/>
  <c r="N184"/>
  <c r="N229" s="1"/>
  <c r="N401"/>
  <c r="N504"/>
  <c r="O19"/>
  <c r="M202" i="30"/>
  <c r="M206" i="44"/>
  <c r="M244" s="1"/>
  <c r="N431"/>
  <c r="AZ67" i="42" s="1"/>
  <c r="N75" i="44"/>
  <c r="N176"/>
  <c r="N224" s="1"/>
  <c r="O11"/>
  <c r="N41"/>
  <c r="N28"/>
  <c r="N29" s="1"/>
  <c r="AZ12" i="42"/>
  <c r="N496" i="44"/>
  <c r="N440"/>
  <c r="CH67" i="42" s="1"/>
  <c r="O21" i="30"/>
  <c r="N85"/>
  <c r="L22" i="42"/>
  <c r="N186" i="30"/>
  <c r="N221" s="1"/>
  <c r="N506"/>
  <c r="N403"/>
  <c r="L12" i="42"/>
  <c r="O11" i="30"/>
  <c r="N440"/>
  <c r="CH66" i="42" s="1"/>
  <c r="N41" i="30"/>
  <c r="N496"/>
  <c r="N75"/>
  <c r="N176"/>
  <c r="N224" s="1"/>
  <c r="N430"/>
  <c r="L66" i="42" s="1"/>
  <c r="N28" i="30"/>
  <c r="N29" s="1"/>
  <c r="Q19" i="43"/>
  <c r="Q23" s="1"/>
  <c r="Q32" s="1"/>
  <c r="S54"/>
  <c r="R56"/>
  <c r="R73" s="1"/>
  <c r="R14" s="1"/>
  <c r="R55"/>
  <c r="R74" s="1"/>
  <c r="S10"/>
  <c r="R12"/>
  <c r="R15" s="1"/>
  <c r="R20" s="1"/>
  <c r="T52"/>
  <c r="S57"/>
  <c r="S75" s="1"/>
  <c r="O164" i="42" s="1"/>
  <c r="BC164" s="1"/>
  <c r="G103" i="33"/>
  <c r="M271" i="44"/>
  <c r="M277" s="1"/>
  <c r="M299" s="1"/>
  <c r="M38" i="30"/>
  <c r="M38" i="44"/>
  <c r="O37" i="43"/>
  <c r="L45" i="30"/>
  <c r="F41" i="33" s="1"/>
  <c r="L44" i="30"/>
  <c r="F40" i="33" s="1"/>
  <c r="L47" i="30"/>
  <c r="F43" i="33" s="1"/>
  <c r="L46" i="30"/>
  <c r="F42" i="33" s="1"/>
  <c r="F31" s="1"/>
  <c r="V268" i="44"/>
  <c r="Y29" i="43"/>
  <c r="V268" i="30"/>
  <c r="O40" i="44"/>
  <c r="O92" s="1"/>
  <c r="R27" i="43"/>
  <c r="O40" i="30"/>
  <c r="O92" s="1"/>
  <c r="P33" i="43"/>
  <c r="N266" i="44"/>
  <c r="N266" i="30"/>
  <c r="G44" i="33"/>
  <c r="M271" i="30"/>
  <c r="M277" s="1"/>
  <c r="M299" s="1"/>
  <c r="L45" i="44"/>
  <c r="F100" i="33" s="1"/>
  <c r="L44" i="44"/>
  <c r="F99" i="33" s="1"/>
  <c r="L46" i="44"/>
  <c r="F101" i="33" s="1"/>
  <c r="F90" s="1"/>
  <c r="L47" i="44"/>
  <c r="F102" i="33" s="1"/>
  <c r="P269" i="44"/>
  <c r="S26" i="43"/>
  <c r="P269" i="30"/>
  <c r="Q15" i="43"/>
  <c r="Q20" s="1"/>
  <c r="BC14" i="42"/>
  <c r="R13" i="44"/>
  <c r="Q77"/>
  <c r="Q178"/>
  <c r="Q231" s="1"/>
  <c r="Q498"/>
  <c r="Q78" i="30"/>
  <c r="Q179"/>
  <c r="Q232" s="1"/>
  <c r="R14"/>
  <c r="O15" i="42"/>
  <c r="Q499" i="30"/>
  <c r="Q205" i="44"/>
  <c r="Q243" s="1"/>
  <c r="P208"/>
  <c r="P257" s="1"/>
  <c r="Q85"/>
  <c r="BC22" i="42"/>
  <c r="R21" i="44"/>
  <c r="Q403"/>
  <c r="Q506"/>
  <c r="Q186"/>
  <c r="Q221" s="1"/>
  <c r="R16"/>
  <c r="Q93"/>
  <c r="Q501"/>
  <c r="Q661" s="1"/>
  <c r="BC177" i="42" s="1"/>
  <c r="Q80" i="44"/>
  <c r="BC17" i="42"/>
  <c r="Q181" i="44"/>
  <c r="Q226" s="1"/>
  <c r="Q180"/>
  <c r="Q500"/>
  <c r="BC16" i="42"/>
  <c r="R15" i="44"/>
  <c r="Q79"/>
  <c r="Q87"/>
  <c r="R23"/>
  <c r="BC24" i="42"/>
  <c r="Q508" i="44"/>
  <c r="Q188"/>
  <c r="Q405"/>
  <c r="P197"/>
  <c r="P258" s="1"/>
  <c r="BD19" i="42"/>
  <c r="R183" i="44"/>
  <c r="R228" s="1"/>
  <c r="R82"/>
  <c r="R503"/>
  <c r="S18"/>
  <c r="Q399"/>
  <c r="Q81"/>
  <c r="Q182"/>
  <c r="Q227" s="1"/>
  <c r="BC18" i="42"/>
  <c r="Q502" i="44"/>
  <c r="R17"/>
  <c r="Q94"/>
  <c r="Q495"/>
  <c r="BC11" i="42"/>
  <c r="Q74" i="44"/>
  <c r="Q430"/>
  <c r="BC66" i="42" s="1"/>
  <c r="R10" i="44"/>
  <c r="Q175"/>
  <c r="Q222" s="1"/>
  <c r="P203"/>
  <c r="P241" s="1"/>
  <c r="P210"/>
  <c r="D301"/>
  <c r="D280" s="1"/>
  <c r="F301"/>
  <c r="F280" s="1"/>
  <c r="H301" i="30"/>
  <c r="H280" s="1"/>
  <c r="D301"/>
  <c r="D280" s="1"/>
  <c r="Q197"/>
  <c r="Q258" s="1"/>
  <c r="R74"/>
  <c r="S10"/>
  <c r="P11" i="42"/>
  <c r="R175" i="30"/>
  <c r="R222" s="1"/>
  <c r="R495"/>
  <c r="BC25" i="42"/>
  <c r="Q509" i="44"/>
  <c r="Q88"/>
  <c r="R24"/>
  <c r="Q189"/>
  <c r="Q218" s="1"/>
  <c r="Q406"/>
  <c r="S93" i="30"/>
  <c r="Q17" i="42"/>
  <c r="S501" i="30"/>
  <c r="S80"/>
  <c r="T16"/>
  <c r="S181"/>
  <c r="S226" s="1"/>
  <c r="P211"/>
  <c r="P246" s="1"/>
  <c r="Q509"/>
  <c r="Q189"/>
  <c r="Q218" s="1"/>
  <c r="Q406"/>
  <c r="O25" i="42"/>
  <c r="Q88" i="30"/>
  <c r="R24"/>
  <c r="U66" i="43" l="1"/>
  <c r="U68"/>
  <c r="U67"/>
  <c r="V65"/>
  <c r="M278" i="30"/>
  <c r="M300" s="1"/>
  <c r="M279" s="1"/>
  <c r="M301" s="1"/>
  <c r="M280" s="1"/>
  <c r="M302" s="1"/>
  <c r="M281" s="1"/>
  <c r="M303" s="1"/>
  <c r="M282" s="1"/>
  <c r="R17"/>
  <c r="R182" s="1"/>
  <c r="R227" s="1"/>
  <c r="Q399"/>
  <c r="Q502"/>
  <c r="Q81"/>
  <c r="O18" i="42"/>
  <c r="Q94" i="30"/>
  <c r="M278" i="44"/>
  <c r="M300" s="1"/>
  <c r="M279" s="1"/>
  <c r="M301" s="1"/>
  <c r="M280" s="1"/>
  <c r="M302" s="1"/>
  <c r="M281" s="1"/>
  <c r="M303" s="1"/>
  <c r="M282" s="1"/>
  <c r="M304" s="1"/>
  <c r="M283" s="1"/>
  <c r="M305" s="1"/>
  <c r="M284" s="1"/>
  <c r="N213"/>
  <c r="N248" s="1"/>
  <c r="N212" i="30"/>
  <c r="N247" s="1"/>
  <c r="N210"/>
  <c r="N254" s="1"/>
  <c r="N212" i="44"/>
  <c r="N247" s="1"/>
  <c r="N219"/>
  <c r="O89" i="30"/>
  <c r="O190"/>
  <c r="O219" s="1"/>
  <c r="O407"/>
  <c r="M26" i="42"/>
  <c r="P25" i="30"/>
  <c r="O212"/>
  <c r="O247" s="1"/>
  <c r="P25" i="44"/>
  <c r="O190"/>
  <c r="BA26" i="42"/>
  <c r="O89" i="44"/>
  <c r="O407"/>
  <c r="M613" a="1"/>
  <c r="M613" s="1"/>
  <c r="AY147" i="42" s="1"/>
  <c r="K613" i="44" a="1"/>
  <c r="K613" s="1"/>
  <c r="AW147" i="42" s="1"/>
  <c r="S613" i="30" a="1"/>
  <c r="S613" s="1"/>
  <c r="Q147" i="42" s="1"/>
  <c r="L613" i="30" a="1"/>
  <c r="L613" s="1"/>
  <c r="J147" i="42" s="1"/>
  <c r="O613" i="30" a="1"/>
  <c r="O613" s="1"/>
  <c r="M147" i="42" s="1"/>
  <c r="R613" i="30" a="1"/>
  <c r="R613" s="1"/>
  <c r="P147" i="42" s="1"/>
  <c r="H613" i="44" a="1"/>
  <c r="H613" s="1"/>
  <c r="AT147" i="42" s="1"/>
  <c r="I613" i="30" a="1"/>
  <c r="I613" s="1"/>
  <c r="G147" i="42" s="1"/>
  <c r="M613" i="30" a="1"/>
  <c r="M613" s="1"/>
  <c r="K147" i="42" s="1"/>
  <c r="L613" i="44" a="1"/>
  <c r="L613" s="1"/>
  <c r="AX147" i="42" s="1"/>
  <c r="P613" i="44" a="1"/>
  <c r="P613" s="1"/>
  <c r="BB147" i="42" s="1"/>
  <c r="Q613" i="30" a="1"/>
  <c r="Q613" s="1"/>
  <c r="O147" i="42" s="1"/>
  <c r="G613" i="44" a="1"/>
  <c r="G613" s="1"/>
  <c r="AS147" i="42" s="1"/>
  <c r="G613" i="30" a="1"/>
  <c r="G613" s="1"/>
  <c r="E147" i="42" s="1"/>
  <c r="F613" i="44" a="1"/>
  <c r="F613" s="1"/>
  <c r="AR147" i="42" s="1"/>
  <c r="F613" i="30" a="1"/>
  <c r="F613" s="1"/>
  <c r="D147" i="42" s="1"/>
  <c r="Y613" i="30" a="1"/>
  <c r="Y613" s="1"/>
  <c r="W147" i="42" s="1"/>
  <c r="U613" i="44" a="1"/>
  <c r="U613" s="1"/>
  <c r="BG147" i="42" s="1"/>
  <c r="T613" i="30" a="1"/>
  <c r="T613" s="1"/>
  <c r="R147" i="42" s="1"/>
  <c r="AB613" i="30" a="1"/>
  <c r="AB613" s="1"/>
  <c r="Z147" i="42" s="1"/>
  <c r="AA613" i="44" a="1"/>
  <c r="AA613" s="1"/>
  <c r="BM147" i="42" s="1"/>
  <c r="AA613" i="30" a="1"/>
  <c r="AA613" s="1"/>
  <c r="Y147" i="42" s="1"/>
  <c r="Z613" i="30" a="1"/>
  <c r="Z613" s="1"/>
  <c r="X147" i="42" s="1"/>
  <c r="AC613" i="30" a="1"/>
  <c r="AC613" s="1"/>
  <c r="AA147" i="42" s="1"/>
  <c r="Z613" i="44" a="1"/>
  <c r="Z613" s="1"/>
  <c r="BL147" i="42" s="1"/>
  <c r="AB613" i="44" a="1"/>
  <c r="AB613" s="1"/>
  <c r="BN147" i="42" s="1"/>
  <c r="V613" i="44" a="1"/>
  <c r="V613" s="1"/>
  <c r="BH147" i="42" s="1"/>
  <c r="O613" i="44" a="1"/>
  <c r="O613" s="1"/>
  <c r="BA147" i="42" s="1"/>
  <c r="R613" i="44" a="1"/>
  <c r="R613" s="1"/>
  <c r="BD147" i="42" s="1"/>
  <c r="H613" i="30" a="1"/>
  <c r="H613" s="1"/>
  <c r="F147" i="42" s="1"/>
  <c r="P613" i="30" a="1"/>
  <c r="P613" s="1"/>
  <c r="N147" i="42" s="1"/>
  <c r="J613" i="30" a="1"/>
  <c r="J613" s="1"/>
  <c r="H147" i="42" s="1"/>
  <c r="K613" i="30" a="1"/>
  <c r="K613" s="1"/>
  <c r="I147" i="42" s="1"/>
  <c r="N613" i="44" a="1"/>
  <c r="N613" s="1"/>
  <c r="AZ147" i="42" s="1"/>
  <c r="Q613" i="44" a="1"/>
  <c r="Q613" s="1"/>
  <c r="BC147" i="42" s="1"/>
  <c r="N613" i="30" a="1"/>
  <c r="N613" s="1"/>
  <c r="L147" i="42" s="1"/>
  <c r="J613" i="44" a="1"/>
  <c r="J613" s="1"/>
  <c r="AV147" i="42" s="1"/>
  <c r="I613" i="44" a="1"/>
  <c r="I613" s="1"/>
  <c r="AU147" i="42" s="1"/>
  <c r="S613" i="44" a="1"/>
  <c r="S613" s="1"/>
  <c r="BE147" i="42" s="1"/>
  <c r="E613" i="44" a="1"/>
  <c r="E613" s="1"/>
  <c r="AQ147" i="42" s="1"/>
  <c r="E613" i="30" a="1"/>
  <c r="E613" s="1"/>
  <c r="C147" i="42" s="1"/>
  <c r="D613" i="44" a="1"/>
  <c r="D613" s="1"/>
  <c r="AP147" i="42" s="1"/>
  <c r="D613" i="30" a="1"/>
  <c r="D613" s="1"/>
  <c r="B147" i="42" s="1"/>
  <c r="Y613" i="44" a="1"/>
  <c r="Y613" s="1"/>
  <c r="BK147" i="42" s="1"/>
  <c r="W613" i="44" a="1"/>
  <c r="W613" s="1"/>
  <c r="BI147" i="42" s="1"/>
  <c r="U613" i="30" a="1"/>
  <c r="U613" s="1"/>
  <c r="S147" i="42" s="1"/>
  <c r="T613" i="44" a="1"/>
  <c r="T613" s="1"/>
  <c r="BF147" i="42" s="1"/>
  <c r="W613" i="30" a="1"/>
  <c r="W613" s="1"/>
  <c r="U147" i="42" s="1"/>
  <c r="V613" i="30" a="1"/>
  <c r="V613" s="1"/>
  <c r="T147" i="42" s="1"/>
  <c r="X613" i="30" a="1"/>
  <c r="X613" s="1"/>
  <c r="V147" i="42" s="1"/>
  <c r="AC613" i="44" a="1"/>
  <c r="AC613" s="1"/>
  <c r="BO147" i="42" s="1"/>
  <c r="X613" i="44" a="1"/>
  <c r="X613" s="1"/>
  <c r="BJ147" i="42" s="1"/>
  <c r="O90" i="30"/>
  <c r="O191"/>
  <c r="O408"/>
  <c r="P26"/>
  <c r="M27" i="42"/>
  <c r="N213" i="30"/>
  <c r="N248" s="1"/>
  <c r="N220"/>
  <c r="P26" i="44"/>
  <c r="O191"/>
  <c r="O220" s="1"/>
  <c r="BA27" i="42"/>
  <c r="O408" i="44"/>
  <c r="O90"/>
  <c r="O213"/>
  <c r="O248" s="1"/>
  <c r="O188" i="30"/>
  <c r="O234" s="1"/>
  <c r="O405"/>
  <c r="O87"/>
  <c r="M24" i="42"/>
  <c r="O508" i="30"/>
  <c r="P23"/>
  <c r="Q498"/>
  <c r="N206" i="44"/>
  <c r="N244" s="1"/>
  <c r="O76" i="30"/>
  <c r="O177"/>
  <c r="O225" s="1"/>
  <c r="M13" i="42"/>
  <c r="P12" i="30"/>
  <c r="O497"/>
  <c r="O177" i="44"/>
  <c r="O225" s="1"/>
  <c r="BA13" i="42"/>
  <c r="O497" i="44"/>
  <c r="O76"/>
  <c r="P12"/>
  <c r="N199" i="30"/>
  <c r="N240" s="1"/>
  <c r="G91" i="33"/>
  <c r="G32"/>
  <c r="O233" i="30"/>
  <c r="R205" i="44"/>
  <c r="R243" s="1"/>
  <c r="M34" i="30"/>
  <c r="G56" i="33"/>
  <c r="G115"/>
  <c r="M34" i="44"/>
  <c r="M33"/>
  <c r="Q201" i="30"/>
  <c r="Q251" s="1"/>
  <c r="Q200" i="44"/>
  <c r="Q249" s="1"/>
  <c r="Q236"/>
  <c r="Q211"/>
  <c r="Q246" s="1"/>
  <c r="M256" i="30"/>
  <c r="M255"/>
  <c r="P256" i="44"/>
  <c r="N236" i="30"/>
  <c r="N235"/>
  <c r="P230" i="44"/>
  <c r="P207"/>
  <c r="P245" s="1"/>
  <c r="Q84"/>
  <c r="R20"/>
  <c r="Q402"/>
  <c r="Q505"/>
  <c r="Q185"/>
  <c r="Q230" s="1"/>
  <c r="BC21" i="42"/>
  <c r="R197" i="30"/>
  <c r="R258" s="1"/>
  <c r="N198" i="44"/>
  <c r="N252" s="1"/>
  <c r="I321" i="30"/>
  <c r="I386" s="1"/>
  <c r="O233" i="44"/>
  <c r="O195"/>
  <c r="O253" s="1"/>
  <c r="P493"/>
  <c r="BB9" i="42"/>
  <c r="P72" i="44"/>
  <c r="P173"/>
  <c r="Q8"/>
  <c r="M33" i="30"/>
  <c r="P255" i="44"/>
  <c r="Q178" i="30"/>
  <c r="Q231" s="1"/>
  <c r="O21" i="42"/>
  <c r="Q505" i="30"/>
  <c r="Q402"/>
  <c r="Q84"/>
  <c r="Q185"/>
  <c r="Q230" s="1"/>
  <c r="R20"/>
  <c r="Q207"/>
  <c r="Q245" s="1"/>
  <c r="P207"/>
  <c r="P245" s="1"/>
  <c r="Q73"/>
  <c r="Q494"/>
  <c r="Q174"/>
  <c r="Q196" s="1"/>
  <c r="R9"/>
  <c r="O10" i="42"/>
  <c r="H89" i="33"/>
  <c r="P200" i="30"/>
  <c r="P249" s="1"/>
  <c r="Q77"/>
  <c r="O14" i="42"/>
  <c r="H30" i="33"/>
  <c r="P205" i="30"/>
  <c r="P243" s="1"/>
  <c r="Q179" i="44"/>
  <c r="Q232" s="1"/>
  <c r="Q499"/>
  <c r="Q78"/>
  <c r="R14"/>
  <c r="BC15" i="42"/>
  <c r="R18" i="30"/>
  <c r="Q400"/>
  <c r="Q183"/>
  <c r="Q228" s="1"/>
  <c r="Q503"/>
  <c r="Q82"/>
  <c r="O19" i="42"/>
  <c r="Q205" i="30"/>
  <c r="Q243" s="1"/>
  <c r="K629" i="44" a="1"/>
  <c r="K629" s="1"/>
  <c r="AW163" i="42" s="1"/>
  <c r="Q629" i="30" a="1"/>
  <c r="Q629" s="1"/>
  <c r="O163" i="42" s="1"/>
  <c r="H629" i="44" a="1"/>
  <c r="H629" s="1"/>
  <c r="AT163" i="42" s="1"/>
  <c r="L629" i="30" a="1"/>
  <c r="L629" s="1"/>
  <c r="J163" i="42" s="1"/>
  <c r="N629" i="44" a="1"/>
  <c r="N629" s="1"/>
  <c r="AZ163" i="42" s="1"/>
  <c r="D629" i="30" a="1"/>
  <c r="D629" s="1"/>
  <c r="B163" i="42" s="1"/>
  <c r="F629" i="44" a="1"/>
  <c r="F629" s="1"/>
  <c r="AR163" i="42" s="1"/>
  <c r="S629" i="44" a="1"/>
  <c r="S629" s="1"/>
  <c r="BE163" i="42" s="1"/>
  <c r="K629" i="30" a="1"/>
  <c r="K629" s="1"/>
  <c r="I163" i="42" s="1"/>
  <c r="R629" i="44" a="1"/>
  <c r="R629" s="1"/>
  <c r="BD163" i="42" s="1"/>
  <c r="H629" i="30" a="1"/>
  <c r="H629" s="1"/>
  <c r="F163" i="42" s="1"/>
  <c r="L629" i="44" a="1"/>
  <c r="L629" s="1"/>
  <c r="AX163" i="42" s="1"/>
  <c r="N629" i="30" a="1"/>
  <c r="N629" s="1"/>
  <c r="L163" i="42" s="1"/>
  <c r="E629" i="30" a="1"/>
  <c r="E629" s="1"/>
  <c r="C163" i="42" s="1"/>
  <c r="G629" i="30" a="1"/>
  <c r="G629" s="1"/>
  <c r="E163" i="42" s="1"/>
  <c r="S629" i="30" a="1"/>
  <c r="S629" s="1"/>
  <c r="Q163" i="42" s="1"/>
  <c r="U629" i="30" a="1"/>
  <c r="U629" s="1"/>
  <c r="S163" i="42" s="1"/>
  <c r="AB629" i="44" a="1"/>
  <c r="AB629" s="1"/>
  <c r="BN163" i="42" s="1"/>
  <c r="AB629" i="30" a="1"/>
  <c r="AB629" s="1"/>
  <c r="Z163" i="42" s="1"/>
  <c r="X629" i="30" a="1"/>
  <c r="X629" s="1"/>
  <c r="V163" i="42" s="1"/>
  <c r="AA629" i="44" a="1"/>
  <c r="AA629" s="1"/>
  <c r="BM163" i="42" s="1"/>
  <c r="Y629" i="30" a="1"/>
  <c r="Y629" s="1"/>
  <c r="W163" i="42" s="1"/>
  <c r="Y629" i="44" a="1"/>
  <c r="Y629" s="1"/>
  <c r="BK163" i="42" s="1"/>
  <c r="AC629" i="44" a="1"/>
  <c r="AC629" s="1"/>
  <c r="BO163" i="42" s="1"/>
  <c r="T629" i="44" a="1"/>
  <c r="T629" s="1"/>
  <c r="BF163" i="42" s="1"/>
  <c r="U629" i="44" a="1"/>
  <c r="U629" s="1"/>
  <c r="BG163" i="42" s="1"/>
  <c r="J629" i="44" a="1"/>
  <c r="J629" s="1"/>
  <c r="AV163" i="42" s="1"/>
  <c r="Q629" i="44" a="1"/>
  <c r="Q629" s="1"/>
  <c r="BC163" i="42" s="1"/>
  <c r="I629" i="44" a="1"/>
  <c r="I629" s="1"/>
  <c r="AU163" i="42" s="1"/>
  <c r="M629" i="44" a="1"/>
  <c r="M629" s="1"/>
  <c r="AY163" i="42" s="1"/>
  <c r="O629" i="44" a="1"/>
  <c r="O629" s="1"/>
  <c r="BA163" i="42" s="1"/>
  <c r="P629" i="30" a="1"/>
  <c r="P629" s="1"/>
  <c r="N163" i="42" s="1"/>
  <c r="F629" i="30" a="1"/>
  <c r="F629" s="1"/>
  <c r="D163" i="42" s="1"/>
  <c r="D629" i="44" a="1"/>
  <c r="D629" s="1"/>
  <c r="AP163" i="42" s="1"/>
  <c r="J629" i="30" a="1"/>
  <c r="J629" s="1"/>
  <c r="H163" i="42" s="1"/>
  <c r="R629" i="30" a="1"/>
  <c r="R629" s="1"/>
  <c r="P163" i="42" s="1"/>
  <c r="I629" i="30" a="1"/>
  <c r="I629" s="1"/>
  <c r="G163" i="42" s="1"/>
  <c r="M629" i="30" a="1"/>
  <c r="M629" s="1"/>
  <c r="K163" i="42" s="1"/>
  <c r="O629" i="30" a="1"/>
  <c r="O629" s="1"/>
  <c r="M163" i="42" s="1"/>
  <c r="P629" i="44" a="1"/>
  <c r="P629" s="1"/>
  <c r="BB163" i="42" s="1"/>
  <c r="G629" i="44" a="1"/>
  <c r="G629" s="1"/>
  <c r="AS163" i="42" s="1"/>
  <c r="E629" i="44" a="1"/>
  <c r="E629" s="1"/>
  <c r="AQ163" i="42" s="1"/>
  <c r="W629" i="30" a="1"/>
  <c r="W629" s="1"/>
  <c r="U163" i="42" s="1"/>
  <c r="V629" i="30" a="1"/>
  <c r="V629" s="1"/>
  <c r="T163" i="42" s="1"/>
  <c r="Z629" i="44" a="1"/>
  <c r="Z629" s="1"/>
  <c r="BL163" i="42" s="1"/>
  <c r="AA629" i="30" a="1"/>
  <c r="AA629" s="1"/>
  <c r="Y163" i="42" s="1"/>
  <c r="Z629" i="30" a="1"/>
  <c r="Z629" s="1"/>
  <c r="X163" i="42" s="1"/>
  <c r="W629" i="44" a="1"/>
  <c r="W629" s="1"/>
  <c r="BI163" i="42" s="1"/>
  <c r="X629" i="44" a="1"/>
  <c r="X629" s="1"/>
  <c r="BJ163" i="42" s="1"/>
  <c r="T629" i="30" a="1"/>
  <c r="T629" s="1"/>
  <c r="R163" i="42" s="1"/>
  <c r="V629" i="44" a="1"/>
  <c r="V629" s="1"/>
  <c r="BH163" i="42" s="1"/>
  <c r="AC629" i="30" a="1"/>
  <c r="AC629" s="1"/>
  <c r="AA163" i="42" s="1"/>
  <c r="N666" i="30"/>
  <c r="L186" i="42" s="1"/>
  <c r="P254" i="44"/>
  <c r="O209" i="30"/>
  <c r="O250" s="1"/>
  <c r="K625" i="44" a="1"/>
  <c r="R625" a="1"/>
  <c r="E625" a="1"/>
  <c r="G625" i="30" a="1"/>
  <c r="N625" a="1"/>
  <c r="H625" i="44" a="1"/>
  <c r="J625" a="1"/>
  <c r="O625" i="30" a="1"/>
  <c r="P625" a="1"/>
  <c r="Q625" a="1"/>
  <c r="Q625" i="44" a="1"/>
  <c r="G625" a="1"/>
  <c r="E625" i="30" a="1"/>
  <c r="M625" a="1"/>
  <c r="L625" i="44" a="1"/>
  <c r="I625" i="30" a="1"/>
  <c r="O625" i="44" a="1"/>
  <c r="R625" i="30" a="1"/>
  <c r="S625" a="1"/>
  <c r="F625" i="44" a="1"/>
  <c r="F625" i="30" a="1"/>
  <c r="M625" i="44" a="1"/>
  <c r="L625" i="30" a="1"/>
  <c r="I625" i="44" a="1"/>
  <c r="K625" i="30" a="1"/>
  <c r="P625" i="44" a="1"/>
  <c r="S625" a="1"/>
  <c r="D625" a="1"/>
  <c r="D625" i="30" a="1"/>
  <c r="N625" i="44" a="1"/>
  <c r="H625" i="30" a="1"/>
  <c r="J625" a="1"/>
  <c r="P507"/>
  <c r="Q22"/>
  <c r="P86"/>
  <c r="P404"/>
  <c r="N23" i="42"/>
  <c r="P187" i="30"/>
  <c r="P223" s="1"/>
  <c r="P187" i="44"/>
  <c r="P507"/>
  <c r="Q22"/>
  <c r="BB23" i="42"/>
  <c r="P86" i="44"/>
  <c r="P404"/>
  <c r="D620" i="30" a="1"/>
  <c r="M620" a="1"/>
  <c r="E620" a="1"/>
  <c r="L620" i="44" a="1"/>
  <c r="K620" a="1"/>
  <c r="N620" a="1"/>
  <c r="J620" a="1"/>
  <c r="H620" a="1"/>
  <c r="K620" i="30" a="1"/>
  <c r="I620" a="1"/>
  <c r="J620" a="1"/>
  <c r="Q620" i="44" a="1"/>
  <c r="O620" i="30" a="1"/>
  <c r="L620" a="1"/>
  <c r="Q620" a="1"/>
  <c r="F620" a="1"/>
  <c r="D620" i="44" a="1"/>
  <c r="S620" i="30" a="1"/>
  <c r="G620" i="44" a="1"/>
  <c r="E620" a="1"/>
  <c r="E620" s="1"/>
  <c r="AQ154" i="42" s="1"/>
  <c r="R620" i="44" a="1"/>
  <c r="P620" i="30" a="1"/>
  <c r="I620" i="44" a="1"/>
  <c r="M620" a="1"/>
  <c r="M620" s="1"/>
  <c r="AY154" i="42" s="1"/>
  <c r="R620" i="30" a="1"/>
  <c r="N620" a="1"/>
  <c r="O620" i="44" a="1"/>
  <c r="H620" i="30" a="1"/>
  <c r="H620" s="1"/>
  <c r="F154" i="42" s="1"/>
  <c r="F620" i="44" a="1"/>
  <c r="S620" a="1"/>
  <c r="G620" i="30" a="1"/>
  <c r="P620" i="44" a="1"/>
  <c r="P620" s="1"/>
  <c r="BB154" i="42" s="1"/>
  <c r="L614" i="44" a="1"/>
  <c r="F614" a="1"/>
  <c r="M614" i="30" a="1"/>
  <c r="Q614" a="1"/>
  <c r="R614" a="1"/>
  <c r="G614" i="44" a="1"/>
  <c r="P614" a="1"/>
  <c r="H614" i="30" a="1"/>
  <c r="L614" a="1"/>
  <c r="E614" a="1"/>
  <c r="M614" i="44" a="1"/>
  <c r="Q614" a="1"/>
  <c r="Q614" s="1"/>
  <c r="BC148" i="42" s="1"/>
  <c r="R614" i="44" a="1"/>
  <c r="G614" i="30" a="1"/>
  <c r="G614" s="1"/>
  <c r="E148" i="42" s="1"/>
  <c r="P614" i="30" a="1"/>
  <c r="H614" i="44" a="1"/>
  <c r="H614" s="1"/>
  <c r="AT148" i="42" s="1"/>
  <c r="D614" i="30" a="1"/>
  <c r="F614" a="1"/>
  <c r="J614" i="44" a="1"/>
  <c r="O614" a="1"/>
  <c r="S614" a="1"/>
  <c r="N614" i="30" a="1"/>
  <c r="K614" i="44" a="1"/>
  <c r="I614" a="1"/>
  <c r="I614" s="1"/>
  <c r="AU148" i="42" s="1"/>
  <c r="D614" i="44" a="1"/>
  <c r="E614" a="1"/>
  <c r="J614" i="30" a="1"/>
  <c r="O614" a="1"/>
  <c r="S614" a="1"/>
  <c r="N614" i="44" a="1"/>
  <c r="K614" i="30" a="1"/>
  <c r="I614" a="1"/>
  <c r="O223" i="44"/>
  <c r="O209"/>
  <c r="O250" s="1"/>
  <c r="Q234"/>
  <c r="Q196"/>
  <c r="R494"/>
  <c r="R666" s="1"/>
  <c r="BD186" i="42" s="1"/>
  <c r="R73" i="44"/>
  <c r="BD10" i="42"/>
  <c r="S9" i="44"/>
  <c r="R174"/>
  <c r="P14" i="42"/>
  <c r="R77" i="30"/>
  <c r="R498"/>
  <c r="R178"/>
  <c r="S13"/>
  <c r="T620" i="44" a="1"/>
  <c r="T620" s="1"/>
  <c r="BF154" i="42" s="1"/>
  <c r="AC620" i="44" a="1"/>
  <c r="AC620" s="1"/>
  <c r="BO154" i="42" s="1"/>
  <c r="X620" i="44" a="1"/>
  <c r="X620" s="1"/>
  <c r="BJ154" i="42" s="1"/>
  <c r="U620" i="44" a="1"/>
  <c r="U620" s="1"/>
  <c r="BG154" i="42" s="1"/>
  <c r="W620" i="30" a="1"/>
  <c r="W620" s="1"/>
  <c r="U154" i="42" s="1"/>
  <c r="Z620" i="30" a="1"/>
  <c r="Z620" s="1"/>
  <c r="X154" i="42" s="1"/>
  <c r="W620" i="44" a="1"/>
  <c r="W620" s="1"/>
  <c r="BI154" i="42" s="1"/>
  <c r="T620" i="30" a="1"/>
  <c r="T620" s="1"/>
  <c r="R154" i="42" s="1"/>
  <c r="AC620" i="30" a="1"/>
  <c r="AC620" s="1"/>
  <c r="AA154" i="42" s="1"/>
  <c r="V620" i="30" a="1"/>
  <c r="V620" s="1"/>
  <c r="T154" i="42" s="1"/>
  <c r="Y620" i="44" a="1"/>
  <c r="Y620" s="1"/>
  <c r="BK154" i="42" s="1"/>
  <c r="AA620" i="44" a="1"/>
  <c r="AA620" s="1"/>
  <c r="BM154" i="42" s="1"/>
  <c r="AB620" i="44" a="1"/>
  <c r="AB620" s="1"/>
  <c r="BN154" i="42" s="1"/>
  <c r="V620" i="44" a="1"/>
  <c r="V620" s="1"/>
  <c r="BH154" i="42" s="1"/>
  <c r="X620" i="30" a="1"/>
  <c r="X620" s="1"/>
  <c r="V154" i="42" s="1"/>
  <c r="AB620" i="30" a="1"/>
  <c r="AB620" s="1"/>
  <c r="Z154" i="42" s="1"/>
  <c r="U620" i="30" a="1"/>
  <c r="U620" s="1"/>
  <c r="S154" i="42" s="1"/>
  <c r="Z620" i="44" a="1"/>
  <c r="Z620" s="1"/>
  <c r="BL154" i="42" s="1"/>
  <c r="Y620" i="30" a="1"/>
  <c r="Y620" s="1"/>
  <c r="W154" i="42" s="1"/>
  <c r="AA620" i="30" a="1"/>
  <c r="AA620" s="1"/>
  <c r="Y154" i="42" s="1"/>
  <c r="L620" i="30"/>
  <c r="J154" i="42" s="1"/>
  <c r="Q620" i="44"/>
  <c r="BC154" i="42" s="1"/>
  <c r="I620" i="30"/>
  <c r="G154" i="42" s="1"/>
  <c r="R620" i="30"/>
  <c r="P154" i="42" s="1"/>
  <c r="I620" i="44"/>
  <c r="AU154" i="42" s="1"/>
  <c r="R620" i="44"/>
  <c r="BD154" i="42" s="1"/>
  <c r="S620" i="30"/>
  <c r="Q154" i="42" s="1"/>
  <c r="Q620" i="30"/>
  <c r="O154" i="42" s="1"/>
  <c r="F620" i="44"/>
  <c r="AR154" i="42" s="1"/>
  <c r="O620" i="44"/>
  <c r="BA154" i="42" s="1"/>
  <c r="H620" i="44"/>
  <c r="AT154" i="42" s="1"/>
  <c r="N620" i="44"/>
  <c r="AZ154" i="42" s="1"/>
  <c r="L620" i="44"/>
  <c r="AX154" i="42" s="1"/>
  <c r="G620" i="44"/>
  <c r="AS154" i="42" s="1"/>
  <c r="D620" i="30"/>
  <c r="B154" i="42" s="1"/>
  <c r="G620" i="30"/>
  <c r="E154" i="42" s="1"/>
  <c r="O620" i="30"/>
  <c r="M154" i="42" s="1"/>
  <c r="J620" i="30"/>
  <c r="H154" i="42" s="1"/>
  <c r="N620" i="30"/>
  <c r="L154" i="42" s="1"/>
  <c r="P620" i="30"/>
  <c r="N154" i="42" s="1"/>
  <c r="D620" i="44"/>
  <c r="AP154" i="42" s="1"/>
  <c r="F620" i="30"/>
  <c r="D154" i="42" s="1"/>
  <c r="S620" i="44"/>
  <c r="BE154" i="42" s="1"/>
  <c r="K620" i="30"/>
  <c r="I154" i="42" s="1"/>
  <c r="J620" i="44"/>
  <c r="AV154" i="42" s="1"/>
  <c r="K620" i="44"/>
  <c r="AW154" i="42" s="1"/>
  <c r="E620" i="30"/>
  <c r="C154" i="42" s="1"/>
  <c r="M620" i="30"/>
  <c r="K154" i="42" s="1"/>
  <c r="T614" i="30" a="1"/>
  <c r="T614" s="1"/>
  <c r="R148" i="42" s="1"/>
  <c r="AA614" i="30" a="1"/>
  <c r="AA614" s="1"/>
  <c r="Y148" i="42" s="1"/>
  <c r="AB614" i="30" a="1"/>
  <c r="AB614" s="1"/>
  <c r="Z148" i="42" s="1"/>
  <c r="V614" i="30" a="1"/>
  <c r="V614" s="1"/>
  <c r="T148" i="42" s="1"/>
  <c r="X614" i="30" a="1"/>
  <c r="X614" s="1"/>
  <c r="V148" i="42" s="1"/>
  <c r="X614" i="44" a="1"/>
  <c r="X614" s="1"/>
  <c r="BJ148" i="42" s="1"/>
  <c r="AA614" i="44" a="1"/>
  <c r="AA614" s="1"/>
  <c r="BM148" i="42" s="1"/>
  <c r="W614" i="44" a="1"/>
  <c r="W614" s="1"/>
  <c r="BI148" i="42" s="1"/>
  <c r="AC614" i="44" a="1"/>
  <c r="AC614" s="1"/>
  <c r="BO148" i="42" s="1"/>
  <c r="Y614" i="44" a="1"/>
  <c r="Y614" s="1"/>
  <c r="BK148" i="42" s="1"/>
  <c r="AB614" i="44" a="1"/>
  <c r="AB614" s="1"/>
  <c r="BN148" i="42" s="1"/>
  <c r="Z614" i="30" a="1"/>
  <c r="Z614" s="1"/>
  <c r="X148" i="42" s="1"/>
  <c r="Y614" i="30" a="1"/>
  <c r="Y614" s="1"/>
  <c r="W148" i="42" s="1"/>
  <c r="AC614" i="30" a="1"/>
  <c r="AC614" s="1"/>
  <c r="AA148" i="42" s="1"/>
  <c r="U614" i="30" a="1"/>
  <c r="U614" s="1"/>
  <c r="S148" i="42" s="1"/>
  <c r="W614" i="30" a="1"/>
  <c r="W614" s="1"/>
  <c r="U148" i="42" s="1"/>
  <c r="U614" i="44" a="1"/>
  <c r="U614" s="1"/>
  <c r="BG148" i="42" s="1"/>
  <c r="V614" i="44" a="1"/>
  <c r="V614" s="1"/>
  <c r="BH148" i="42" s="1"/>
  <c r="Z614" i="44" a="1"/>
  <c r="Z614" s="1"/>
  <c r="BL148" i="42" s="1"/>
  <c r="T614" i="44" a="1"/>
  <c r="T614" s="1"/>
  <c r="BF148" i="42" s="1"/>
  <c r="N614" i="44"/>
  <c r="AZ148" i="42" s="1"/>
  <c r="E614" i="44"/>
  <c r="AQ148" i="42" s="1"/>
  <c r="L614" i="30"/>
  <c r="J148" i="42" s="1"/>
  <c r="N614" i="30"/>
  <c r="L148" i="42" s="1"/>
  <c r="Q614" i="30"/>
  <c r="O148" i="42" s="1"/>
  <c r="F614" i="30"/>
  <c r="D148" i="42" s="1"/>
  <c r="L614" i="44"/>
  <c r="AX148" i="42" s="1"/>
  <c r="I614" i="30"/>
  <c r="G148" i="42" s="1"/>
  <c r="O614" i="30"/>
  <c r="M148" i="42" s="1"/>
  <c r="E614" i="30"/>
  <c r="C148" i="42" s="1"/>
  <c r="H614" i="30"/>
  <c r="F148" i="42" s="1"/>
  <c r="G614" i="44"/>
  <c r="AS148" i="42" s="1"/>
  <c r="O614" i="44"/>
  <c r="BA148" i="42" s="1"/>
  <c r="F614" i="44"/>
  <c r="AR148" i="42" s="1"/>
  <c r="K614" i="30"/>
  <c r="I148" i="42" s="1"/>
  <c r="R614" i="44"/>
  <c r="BD148" i="42" s="1"/>
  <c r="M614" i="44"/>
  <c r="AY148" i="42" s="1"/>
  <c r="D614" i="44"/>
  <c r="AP148" i="42" s="1"/>
  <c r="K614" i="44"/>
  <c r="AW148" i="42" s="1"/>
  <c r="R614" i="30"/>
  <c r="P148" i="42" s="1"/>
  <c r="M614" i="30"/>
  <c r="K148" i="42" s="1"/>
  <c r="D614" i="30"/>
  <c r="B148" i="42" s="1"/>
  <c r="P614" i="30"/>
  <c r="N148" i="42" s="1"/>
  <c r="S614" i="30"/>
  <c r="Q148" i="42" s="1"/>
  <c r="J614" i="30"/>
  <c r="H148" i="42" s="1"/>
  <c r="P614" i="44"/>
  <c r="BB148" i="42" s="1"/>
  <c r="S614" i="44"/>
  <c r="BE148" i="42" s="1"/>
  <c r="J614" i="44"/>
  <c r="AV148" i="42" s="1"/>
  <c r="BL309" i="23"/>
  <c r="BL353" s="1"/>
  <c r="AY353"/>
  <c r="BM322"/>
  <c r="AY322"/>
  <c r="BL322" s="1"/>
  <c r="AC625" i="44" a="1"/>
  <c r="AC625" s="1"/>
  <c r="BO159" i="42" s="1"/>
  <c r="AC625" i="30" a="1"/>
  <c r="AC625" s="1"/>
  <c r="AA159" i="42" s="1"/>
  <c r="X625" i="30" a="1"/>
  <c r="X625" s="1"/>
  <c r="V159" i="42" s="1"/>
  <c r="AA625" i="30" a="1"/>
  <c r="AA625" s="1"/>
  <c r="Y159" i="42" s="1"/>
  <c r="W625" i="30" a="1"/>
  <c r="W625" s="1"/>
  <c r="U159" i="42" s="1"/>
  <c r="U625" i="30" a="1"/>
  <c r="U625" s="1"/>
  <c r="S159" i="42" s="1"/>
  <c r="T625" i="44" a="1"/>
  <c r="T625" s="1"/>
  <c r="BF159" i="42" s="1"/>
  <c r="AA625" i="44" a="1"/>
  <c r="AA625" s="1"/>
  <c r="BM159" i="42" s="1"/>
  <c r="U625" i="44" a="1"/>
  <c r="U625" s="1"/>
  <c r="BG159" i="42" s="1"/>
  <c r="X625" i="44" a="1"/>
  <c r="X625" s="1"/>
  <c r="BJ159" i="42" s="1"/>
  <c r="Y625" i="30" a="1"/>
  <c r="Y625" s="1"/>
  <c r="W159" i="42" s="1"/>
  <c r="V625" i="30" a="1"/>
  <c r="V625" s="1"/>
  <c r="T159" i="42" s="1"/>
  <c r="Z625" i="30" a="1"/>
  <c r="Z625" s="1"/>
  <c r="X159" i="42" s="1"/>
  <c r="AB625" i="30" a="1"/>
  <c r="AB625" s="1"/>
  <c r="Z159" i="42" s="1"/>
  <c r="T625" i="30" a="1"/>
  <c r="T625" s="1"/>
  <c r="R159" i="42" s="1"/>
  <c r="Y625" i="44" a="1"/>
  <c r="Y625" s="1"/>
  <c r="BK159" i="42" s="1"/>
  <c r="AB625" i="44" a="1"/>
  <c r="AB625" s="1"/>
  <c r="BN159" i="42" s="1"/>
  <c r="W625" i="44" a="1"/>
  <c r="W625" s="1"/>
  <c r="BI159" i="42" s="1"/>
  <c r="V625" i="44" a="1"/>
  <c r="V625" s="1"/>
  <c r="BH159" i="42" s="1"/>
  <c r="Z625" i="44" a="1"/>
  <c r="Z625" s="1"/>
  <c r="BL159" i="42" s="1"/>
  <c r="M625" i="30"/>
  <c r="K159" i="42" s="1"/>
  <c r="G625" i="44"/>
  <c r="AS159" i="42" s="1"/>
  <c r="Q625" i="30"/>
  <c r="O159" i="42" s="1"/>
  <c r="O625" i="30"/>
  <c r="M159" i="42" s="1"/>
  <c r="L625" i="30"/>
  <c r="J159" i="42" s="1"/>
  <c r="F625" i="30"/>
  <c r="D159" i="42" s="1"/>
  <c r="S625" i="30"/>
  <c r="Q159" i="42" s="1"/>
  <c r="K625" i="44"/>
  <c r="AW159" i="42" s="1"/>
  <c r="L625" i="44"/>
  <c r="AX159" i="42" s="1"/>
  <c r="N625" i="44"/>
  <c r="AZ159" i="42" s="1"/>
  <c r="D625" i="44"/>
  <c r="AP159" i="42" s="1"/>
  <c r="P625" i="44"/>
  <c r="BB159" i="42" s="1"/>
  <c r="J625" i="44"/>
  <c r="AV159" i="42" s="1"/>
  <c r="N625" i="30"/>
  <c r="L159" i="42" s="1"/>
  <c r="E625" i="44"/>
  <c r="AQ159" i="42" s="1"/>
  <c r="O625" i="44"/>
  <c r="BA159" i="42" s="1"/>
  <c r="J625" i="30"/>
  <c r="H159" i="42" s="1"/>
  <c r="E625" i="30"/>
  <c r="C159" i="42" s="1"/>
  <c r="Q625" i="44"/>
  <c r="BC159" i="42" s="1"/>
  <c r="P625" i="30"/>
  <c r="N159" i="42" s="1"/>
  <c r="I625" i="44"/>
  <c r="AU159" i="42" s="1"/>
  <c r="M625" i="44"/>
  <c r="AY159" i="42" s="1"/>
  <c r="F625" i="44"/>
  <c r="AR159" i="42" s="1"/>
  <c r="R625" i="44"/>
  <c r="BD159" i="42" s="1"/>
  <c r="I625" i="30"/>
  <c r="G159" i="42" s="1"/>
  <c r="H625" i="30"/>
  <c r="F159" i="42" s="1"/>
  <c r="D625" i="30"/>
  <c r="B159" i="42" s="1"/>
  <c r="S625" i="44"/>
  <c r="BE159" i="42" s="1"/>
  <c r="K625" i="30"/>
  <c r="I159" i="42" s="1"/>
  <c r="H625" i="44"/>
  <c r="AT159" i="42" s="1"/>
  <c r="G625" i="30"/>
  <c r="E159" i="42" s="1"/>
  <c r="R625" i="30"/>
  <c r="P159" i="42" s="1"/>
  <c r="AY345" i="23"/>
  <c r="BL326"/>
  <c r="BL345" s="1"/>
  <c r="AC616" i="44" a="1"/>
  <c r="AC616" s="1"/>
  <c r="BO150" i="42" s="1"/>
  <c r="AB616" i="30" a="1"/>
  <c r="AB616" s="1"/>
  <c r="Z150" i="42" s="1"/>
  <c r="AA616" i="30" a="1"/>
  <c r="AA616" s="1"/>
  <c r="Y150" i="42" s="1"/>
  <c r="U616" i="30" a="1"/>
  <c r="U616" s="1"/>
  <c r="S150" i="42" s="1"/>
  <c r="W616" i="30" a="1"/>
  <c r="W616" s="1"/>
  <c r="U150" i="42" s="1"/>
  <c r="AB616" i="44" a="1"/>
  <c r="AB616" s="1"/>
  <c r="BN150" i="42" s="1"/>
  <c r="Y616" i="30" a="1"/>
  <c r="Y616" s="1"/>
  <c r="W150" i="42" s="1"/>
  <c r="Z616" i="30" a="1"/>
  <c r="Z616" s="1"/>
  <c r="X150" i="42" s="1"/>
  <c r="AC616" i="30" a="1"/>
  <c r="AC616" s="1"/>
  <c r="AA150" i="42" s="1"/>
  <c r="T616" i="30" a="1"/>
  <c r="T616" s="1"/>
  <c r="R150" i="42" s="1"/>
  <c r="V616" i="30" a="1"/>
  <c r="V616" s="1"/>
  <c r="T150" i="42" s="1"/>
  <c r="X616" i="30" a="1"/>
  <c r="X616" s="1"/>
  <c r="V150" i="42" s="1"/>
  <c r="AA616" i="44" a="1"/>
  <c r="AA616" s="1"/>
  <c r="BM150" i="42" s="1"/>
  <c r="R616" i="30" a="1"/>
  <c r="R616" s="1"/>
  <c r="P150" i="42" s="1"/>
  <c r="Y616" i="44" a="1"/>
  <c r="Y616" s="1"/>
  <c r="BK150" i="42" s="1"/>
  <c r="N616" i="44" a="1"/>
  <c r="N616" s="1"/>
  <c r="AZ150" i="42" s="1"/>
  <c r="M616" i="44" a="1"/>
  <c r="M616" s="1"/>
  <c r="AY150" i="42" s="1"/>
  <c r="L616" i="44" a="1"/>
  <c r="L616" s="1"/>
  <c r="AX150" i="42" s="1"/>
  <c r="D616" i="44" a="1"/>
  <c r="D616" s="1"/>
  <c r="AP150" i="42" s="1"/>
  <c r="F616" i="44" a="1"/>
  <c r="F616" s="1"/>
  <c r="AR150" i="42" s="1"/>
  <c r="D616" i="30" a="1"/>
  <c r="D616" s="1"/>
  <c r="B150" i="42" s="1"/>
  <c r="H616" i="30" a="1"/>
  <c r="H616" s="1"/>
  <c r="F150" i="42" s="1"/>
  <c r="S616" i="30" a="1"/>
  <c r="S616" s="1"/>
  <c r="Q150" i="42" s="1"/>
  <c r="K616" i="30" a="1"/>
  <c r="K616" s="1"/>
  <c r="I150" i="42" s="1"/>
  <c r="P616" i="44" a="1"/>
  <c r="P616" s="1"/>
  <c r="BB150" i="42" s="1"/>
  <c r="Q616" i="44" a="1"/>
  <c r="Q616" s="1"/>
  <c r="BC150" i="42" s="1"/>
  <c r="G616" i="30" a="1"/>
  <c r="G616" s="1"/>
  <c r="E150" i="42" s="1"/>
  <c r="O616" i="30" a="1"/>
  <c r="O616" s="1"/>
  <c r="M150" i="42" s="1"/>
  <c r="I616" i="44" a="1"/>
  <c r="I616" s="1"/>
  <c r="AU150" i="42" s="1"/>
  <c r="R616" i="44" a="1"/>
  <c r="R616" s="1"/>
  <c r="BD150" i="42" s="1"/>
  <c r="N616" i="30" a="1"/>
  <c r="N616" s="1"/>
  <c r="L150" i="42" s="1"/>
  <c r="M616" i="30" a="1"/>
  <c r="M616" s="1"/>
  <c r="K150" i="42" s="1"/>
  <c r="L616" i="30" a="1"/>
  <c r="L616" s="1"/>
  <c r="J150" i="42" s="1"/>
  <c r="E616" i="44" a="1"/>
  <c r="E616" s="1"/>
  <c r="AQ150" i="42" s="1"/>
  <c r="F616" i="30" a="1"/>
  <c r="F616" s="1"/>
  <c r="D150" i="42" s="1"/>
  <c r="E616" i="30" a="1"/>
  <c r="E616" s="1"/>
  <c r="C150" i="42" s="1"/>
  <c r="H616" i="44" a="1"/>
  <c r="H616" s="1"/>
  <c r="AT150" i="42" s="1"/>
  <c r="Z616" i="44" a="1"/>
  <c r="Z616" s="1"/>
  <c r="BL150" i="42" s="1"/>
  <c r="S616" i="44" a="1"/>
  <c r="S616" s="1"/>
  <c r="BE150" i="42" s="1"/>
  <c r="W616" i="44" a="1"/>
  <c r="W616" s="1"/>
  <c r="BI150" i="42" s="1"/>
  <c r="T616" i="44" a="1"/>
  <c r="T616" s="1"/>
  <c r="BF150" i="42" s="1"/>
  <c r="K616" i="44" a="1"/>
  <c r="K616" s="1"/>
  <c r="AW150" i="42" s="1"/>
  <c r="X616" i="44" a="1"/>
  <c r="X616" s="1"/>
  <c r="BJ150" i="42" s="1"/>
  <c r="P616" i="30" a="1"/>
  <c r="P616" s="1"/>
  <c r="N150" i="42" s="1"/>
  <c r="Q616" i="30" a="1"/>
  <c r="Q616" s="1"/>
  <c r="O150" i="42" s="1"/>
  <c r="G616" i="44" a="1"/>
  <c r="G616" s="1"/>
  <c r="AS150" i="42" s="1"/>
  <c r="V616" i="44" a="1"/>
  <c r="V616" s="1"/>
  <c r="BH150" i="42" s="1"/>
  <c r="J616" i="30" a="1"/>
  <c r="J616" s="1"/>
  <c r="H150" i="42" s="1"/>
  <c r="J616" i="44" a="1"/>
  <c r="J616" s="1"/>
  <c r="AV150" i="42" s="1"/>
  <c r="U616" i="44" a="1"/>
  <c r="U616" s="1"/>
  <c r="BG150" i="42" s="1"/>
  <c r="O616" i="44" a="1"/>
  <c r="O616" s="1"/>
  <c r="BA150" i="42" s="1"/>
  <c r="I616" i="30" a="1"/>
  <c r="I616" s="1"/>
  <c r="G150" i="42" s="1"/>
  <c r="N206" i="30"/>
  <c r="N244" s="1"/>
  <c r="O214"/>
  <c r="O239" s="1"/>
  <c r="O401" i="44"/>
  <c r="O184"/>
  <c r="O229" s="1"/>
  <c r="O504"/>
  <c r="O679" s="1"/>
  <c r="CH186" i="42" s="1"/>
  <c r="O83" i="44"/>
  <c r="P19"/>
  <c r="BA20" i="42"/>
  <c r="O401" i="30"/>
  <c r="P19"/>
  <c r="O504"/>
  <c r="M20" i="42"/>
  <c r="O184" i="30"/>
  <c r="O229" s="1"/>
  <c r="O83"/>
  <c r="O217" i="44"/>
  <c r="O276" s="1"/>
  <c r="O298" s="1"/>
  <c r="O214"/>
  <c r="O239" s="1"/>
  <c r="P512"/>
  <c r="BB28" i="42"/>
  <c r="P91" i="44"/>
  <c r="Q27"/>
  <c r="Q267" s="1"/>
  <c r="P192"/>
  <c r="P91" i="30"/>
  <c r="N28" i="42"/>
  <c r="P192" i="30"/>
  <c r="P217" s="1"/>
  <c r="P276" s="1"/>
  <c r="P298" s="1"/>
  <c r="Q27"/>
  <c r="Q267" s="1"/>
  <c r="P512"/>
  <c r="P493"/>
  <c r="P661" s="1"/>
  <c r="N177" i="42" s="1"/>
  <c r="N9"/>
  <c r="P72" i="30"/>
  <c r="P173"/>
  <c r="Q8"/>
  <c r="Q431" s="1"/>
  <c r="O67" i="42" s="1"/>
  <c r="P195" i="30"/>
  <c r="P253" s="1"/>
  <c r="M16" i="42"/>
  <c r="O180" i="30"/>
  <c r="O79"/>
  <c r="O500"/>
  <c r="O679" s="1"/>
  <c r="CH177" i="42" s="1"/>
  <c r="P15" i="30"/>
  <c r="O202"/>
  <c r="N202"/>
  <c r="N198"/>
  <c r="N252" s="1"/>
  <c r="O75"/>
  <c r="P11"/>
  <c r="O496"/>
  <c r="O440"/>
  <c r="CI66" i="42" s="1"/>
  <c r="O176" i="30"/>
  <c r="O224" s="1"/>
  <c r="O430"/>
  <c r="M66" i="42" s="1"/>
  <c r="M12"/>
  <c r="O41" i="30"/>
  <c r="O28"/>
  <c r="O29" s="1"/>
  <c r="O85"/>
  <c r="O403"/>
  <c r="O186"/>
  <c r="O221" s="1"/>
  <c r="P21"/>
  <c r="O506"/>
  <c r="M22" i="42"/>
  <c r="O440" i="44"/>
  <c r="CI67" i="42" s="1"/>
  <c r="BA12"/>
  <c r="O496" i="44"/>
  <c r="O431"/>
  <c r="BA67" i="42" s="1"/>
  <c r="O176" i="44"/>
  <c r="O224" s="1"/>
  <c r="O75"/>
  <c r="P11"/>
  <c r="O28"/>
  <c r="O41"/>
  <c r="N208" i="30"/>
  <c r="N257" s="1"/>
  <c r="R16" i="43"/>
  <c r="R19"/>
  <c r="R23" s="1"/>
  <c r="R32" s="1"/>
  <c r="H103" i="33"/>
  <c r="N271" i="44"/>
  <c r="N277" s="1"/>
  <c r="N299" s="1"/>
  <c r="W268" i="30"/>
  <c r="Z29" i="43"/>
  <c r="W268" i="44"/>
  <c r="M45" i="30"/>
  <c r="G41" i="33" s="1"/>
  <c r="M44" i="30"/>
  <c r="G40" i="33" s="1"/>
  <c r="M46" i="30"/>
  <c r="G42" i="33" s="1"/>
  <c r="G31" s="1"/>
  <c r="M47" i="30"/>
  <c r="G43" i="33" s="1"/>
  <c r="U52" i="43"/>
  <c r="T57"/>
  <c r="T75" s="1"/>
  <c r="P164" i="42" s="1"/>
  <c r="BD164" s="1"/>
  <c r="T54" i="43"/>
  <c r="S55"/>
  <c r="S74" s="1"/>
  <c r="S56"/>
  <c r="S73" s="1"/>
  <c r="S14" s="1"/>
  <c r="O266" i="44"/>
  <c r="Q33" i="43"/>
  <c r="O266" i="30"/>
  <c r="Q269" i="44"/>
  <c r="Q269" i="30"/>
  <c r="T26" i="43"/>
  <c r="H44" i="33"/>
  <c r="N271" i="30"/>
  <c r="N277" s="1"/>
  <c r="N299" s="1"/>
  <c r="N278" s="1"/>
  <c r="N300" s="1"/>
  <c r="N38"/>
  <c r="N38" i="44"/>
  <c r="P40"/>
  <c r="P92" s="1"/>
  <c r="P40" i="30"/>
  <c r="P92" s="1"/>
  <c r="S27" i="43"/>
  <c r="M45" i="44"/>
  <c r="G100" i="33" s="1"/>
  <c r="M44" i="44"/>
  <c r="G99" i="33" s="1"/>
  <c r="M46" i="44"/>
  <c r="G101" i="33" s="1"/>
  <c r="G90" s="1"/>
  <c r="M47" i="44"/>
  <c r="G102" i="33" s="1"/>
  <c r="T10" i="43"/>
  <c r="S12"/>
  <c r="S15" s="1"/>
  <c r="S20" s="1"/>
  <c r="Q16"/>
  <c r="Q204" i="44"/>
  <c r="Q242" s="1"/>
  <c r="Q202"/>
  <c r="P15" i="42"/>
  <c r="R78" i="30"/>
  <c r="R179"/>
  <c r="R232" s="1"/>
  <c r="S14"/>
  <c r="R499"/>
  <c r="S13" i="44"/>
  <c r="R178"/>
  <c r="R231" s="1"/>
  <c r="R77"/>
  <c r="R498"/>
  <c r="BD14" i="42"/>
  <c r="R200" i="44"/>
  <c r="R249" s="1"/>
  <c r="Q208"/>
  <c r="Q257" s="1"/>
  <c r="Q197"/>
  <c r="Q258" s="1"/>
  <c r="Q204" i="30"/>
  <c r="Q242" s="1"/>
  <c r="BD22" i="42"/>
  <c r="R506" i="44"/>
  <c r="S21"/>
  <c r="R186"/>
  <c r="R85"/>
  <c r="R403"/>
  <c r="Q235"/>
  <c r="Q210"/>
  <c r="S16"/>
  <c r="R501"/>
  <c r="R661" s="1"/>
  <c r="BD177" i="42" s="1"/>
  <c r="R93" i="44"/>
  <c r="R80"/>
  <c r="BD17" i="42"/>
  <c r="R181" i="44"/>
  <c r="R226" s="1"/>
  <c r="Q203"/>
  <c r="Q241" s="1"/>
  <c r="R175"/>
  <c r="R222" s="1"/>
  <c r="S10"/>
  <c r="R495"/>
  <c r="BD11" i="42"/>
  <c r="R74" i="44"/>
  <c r="R430"/>
  <c r="BD66" i="42" s="1"/>
  <c r="R197" i="44"/>
  <c r="R258" s="1"/>
  <c r="BD18" i="42"/>
  <c r="S17" i="44"/>
  <c r="R182"/>
  <c r="R227" s="1"/>
  <c r="R81"/>
  <c r="R502"/>
  <c r="R94"/>
  <c r="S503"/>
  <c r="T18"/>
  <c r="S82"/>
  <c r="BE19" i="42"/>
  <c r="S183" i="44"/>
  <c r="S228" s="1"/>
  <c r="R188"/>
  <c r="R87"/>
  <c r="S23"/>
  <c r="R405"/>
  <c r="BD24" i="42"/>
  <c r="R508" i="44"/>
  <c r="R500"/>
  <c r="R180"/>
  <c r="R79"/>
  <c r="S15"/>
  <c r="BD16" i="42"/>
  <c r="D302" i="30"/>
  <c r="D281" s="1"/>
  <c r="E304"/>
  <c r="E283" s="1"/>
  <c r="H302"/>
  <c r="H281" s="1"/>
  <c r="F302" i="44"/>
  <c r="F281" s="1"/>
  <c r="E304"/>
  <c r="E283" s="1"/>
  <c r="D302"/>
  <c r="D281" s="1"/>
  <c r="G302"/>
  <c r="G281" s="1"/>
  <c r="G302" i="30"/>
  <c r="G281" s="1"/>
  <c r="H302" i="44"/>
  <c r="H281" s="1"/>
  <c r="F302" i="30"/>
  <c r="F281" s="1"/>
  <c r="S203"/>
  <c r="S241" s="1"/>
  <c r="Q11" i="42"/>
  <c r="S175" i="30"/>
  <c r="S222" s="1"/>
  <c r="S495"/>
  <c r="T10"/>
  <c r="S74"/>
  <c r="R189" i="44"/>
  <c r="R218" s="1"/>
  <c r="BD25" i="42"/>
  <c r="R88" i="44"/>
  <c r="R406"/>
  <c r="R509"/>
  <c r="S24"/>
  <c r="R17" i="42"/>
  <c r="T181" i="30"/>
  <c r="T226" s="1"/>
  <c r="T80"/>
  <c r="T93"/>
  <c r="T501"/>
  <c r="U16"/>
  <c r="I308" i="44"/>
  <c r="I287" s="1"/>
  <c r="J308"/>
  <c r="J287" s="1"/>
  <c r="J306" i="30"/>
  <c r="J285" s="1"/>
  <c r="L304"/>
  <c r="L283" s="1"/>
  <c r="K305"/>
  <c r="K284" s="1"/>
  <c r="L306" i="44"/>
  <c r="L285" s="1"/>
  <c r="K307"/>
  <c r="K286" s="1"/>
  <c r="R88" i="30"/>
  <c r="R189"/>
  <c r="R218" s="1"/>
  <c r="P25" i="42"/>
  <c r="R406" i="30"/>
  <c r="R509"/>
  <c r="S24"/>
  <c r="Q211"/>
  <c r="Q246" s="1"/>
  <c r="S197" l="1"/>
  <c r="S258" s="1"/>
  <c r="V68" i="43"/>
  <c r="V67"/>
  <c r="V66"/>
  <c r="W65"/>
  <c r="N278" i="44"/>
  <c r="N300" s="1"/>
  <c r="N279" s="1"/>
  <c r="N301" s="1"/>
  <c r="N280" s="1"/>
  <c r="N302" s="1"/>
  <c r="N281" s="1"/>
  <c r="N303" s="1"/>
  <c r="N282" s="1"/>
  <c r="N304" s="1"/>
  <c r="N283" s="1"/>
  <c r="N305" s="1"/>
  <c r="N284" s="1"/>
  <c r="R502" i="30"/>
  <c r="R94"/>
  <c r="O199"/>
  <c r="O240" s="1"/>
  <c r="R399"/>
  <c r="R81"/>
  <c r="P18" i="42"/>
  <c r="S17" i="30"/>
  <c r="T17" s="1"/>
  <c r="R204"/>
  <c r="R242" s="1"/>
  <c r="Q207" i="44"/>
  <c r="Q245" s="1"/>
  <c r="N279" i="30"/>
  <c r="N301" s="1"/>
  <c r="N280" s="1"/>
  <c r="N302" s="1"/>
  <c r="N281" s="1"/>
  <c r="N303" s="1"/>
  <c r="N282" s="1"/>
  <c r="O210"/>
  <c r="O254" s="1"/>
  <c r="P508"/>
  <c r="P87"/>
  <c r="Q23"/>
  <c r="P405"/>
  <c r="N24" i="42"/>
  <c r="P188" i="30"/>
  <c r="P234" s="1"/>
  <c r="Q26" i="44"/>
  <c r="P408"/>
  <c r="BB27" i="42"/>
  <c r="P90" i="44"/>
  <c r="P191"/>
  <c r="P220" s="1"/>
  <c r="Q26" i="30"/>
  <c r="N27" i="42"/>
  <c r="P408" i="30"/>
  <c r="P90"/>
  <c r="P191"/>
  <c r="O220"/>
  <c r="O213"/>
  <c r="O248" s="1"/>
  <c r="P407" i="44"/>
  <c r="Q25"/>
  <c r="P89"/>
  <c r="BB26" i="42"/>
  <c r="P190" i="44"/>
  <c r="P219" s="1"/>
  <c r="P190" i="30"/>
  <c r="P219" s="1"/>
  <c r="P407"/>
  <c r="P212"/>
  <c r="P247" s="1"/>
  <c r="N26" i="42"/>
  <c r="Q25" i="30"/>
  <c r="P89"/>
  <c r="O212" i="44"/>
  <c r="O247" s="1"/>
  <c r="O219"/>
  <c r="O199"/>
  <c r="O240" s="1"/>
  <c r="P497"/>
  <c r="BB13" i="42"/>
  <c r="P76" i="44"/>
  <c r="P177"/>
  <c r="P225" s="1"/>
  <c r="Q12"/>
  <c r="P76" i="30"/>
  <c r="Q12"/>
  <c r="N13" i="42"/>
  <c r="P497" i="30"/>
  <c r="P177"/>
  <c r="P225" s="1"/>
  <c r="H91" i="33"/>
  <c r="H32"/>
  <c r="R204" i="44"/>
  <c r="R242" s="1"/>
  <c r="P233" i="30"/>
  <c r="O208"/>
  <c r="O257" s="1"/>
  <c r="H115" i="33"/>
  <c r="N34" i="44"/>
  <c r="N34" i="30"/>
  <c r="H56" i="33"/>
  <c r="N33" i="44"/>
  <c r="Q256"/>
  <c r="R236"/>
  <c r="N256" i="30"/>
  <c r="N255"/>
  <c r="O256"/>
  <c r="O255"/>
  <c r="O236"/>
  <c r="O235"/>
  <c r="R84" i="44"/>
  <c r="S20"/>
  <c r="R505"/>
  <c r="BD21" i="42"/>
  <c r="R402" i="44"/>
  <c r="R185"/>
  <c r="O206" i="30"/>
  <c r="O244" s="1"/>
  <c r="O29" i="44"/>
  <c r="I848" i="30"/>
  <c r="I710"/>
  <c r="I756"/>
  <c r="I558"/>
  <c r="I409"/>
  <c r="I733"/>
  <c r="G57" i="42"/>
  <c r="I871" i="30"/>
  <c r="I802"/>
  <c r="I825"/>
  <c r="I535"/>
  <c r="I343"/>
  <c r="Q493" i="44"/>
  <c r="Q72"/>
  <c r="R8"/>
  <c r="Q173"/>
  <c r="BC9" i="42"/>
  <c r="P195" i="44"/>
  <c r="P253" s="1"/>
  <c r="P233"/>
  <c r="N33" i="30"/>
  <c r="O198"/>
  <c r="O252" s="1"/>
  <c r="Q200"/>
  <c r="Q249" s="1"/>
  <c r="R202" i="44"/>
  <c r="P21" i="42"/>
  <c r="R185" i="30"/>
  <c r="R230" s="1"/>
  <c r="S20"/>
  <c r="R402"/>
  <c r="R84"/>
  <c r="R505"/>
  <c r="R73"/>
  <c r="R174"/>
  <c r="R196" s="1"/>
  <c r="P10" i="42"/>
  <c r="R494" i="30"/>
  <c r="S9"/>
  <c r="I89" i="33"/>
  <c r="Q255" i="44"/>
  <c r="I30" i="33"/>
  <c r="Q201" i="44"/>
  <c r="Q251" s="1"/>
  <c r="R78"/>
  <c r="BD15" i="42"/>
  <c r="S14" i="44"/>
  <c r="R499"/>
  <c r="R179"/>
  <c r="R232" s="1"/>
  <c r="P19" i="42"/>
  <c r="R183" i="30"/>
  <c r="R228" s="1"/>
  <c r="R82"/>
  <c r="S18"/>
  <c r="R503"/>
  <c r="R400"/>
  <c r="P214"/>
  <c r="P239" s="1"/>
  <c r="O666"/>
  <c r="M186" i="42" s="1"/>
  <c r="Q254" i="44"/>
  <c r="O206"/>
  <c r="O244" s="1"/>
  <c r="P209" i="30"/>
  <c r="P250" s="1"/>
  <c r="P623" i="44" a="1"/>
  <c r="P623" s="1"/>
  <c r="BB157" i="42" s="1"/>
  <c r="O623" i="44" a="1"/>
  <c r="O623" s="1"/>
  <c r="BA157" i="42" s="1"/>
  <c r="E623" i="44" a="1"/>
  <c r="E623" s="1"/>
  <c r="AQ157" i="42" s="1"/>
  <c r="J623" i="44" a="1"/>
  <c r="J623" s="1"/>
  <c r="AV157" i="42" s="1"/>
  <c r="F623" i="44" a="1"/>
  <c r="F623" s="1"/>
  <c r="AR157" i="42" s="1"/>
  <c r="R623" i="44" a="1"/>
  <c r="R623" s="1"/>
  <c r="BD157" i="42" s="1"/>
  <c r="Q623" i="44" a="1"/>
  <c r="Q623" s="1"/>
  <c r="BC157" i="42" s="1"/>
  <c r="M623" i="44" a="1"/>
  <c r="M623" s="1"/>
  <c r="AY157" i="42" s="1"/>
  <c r="K623" i="30" a="1"/>
  <c r="K623" s="1"/>
  <c r="I157" i="42" s="1"/>
  <c r="J623" i="30" a="1"/>
  <c r="J623" s="1"/>
  <c r="H157" i="42" s="1"/>
  <c r="L623" i="30" a="1"/>
  <c r="L623" s="1"/>
  <c r="J157" i="42" s="1"/>
  <c r="O623" i="30" a="1"/>
  <c r="O623" s="1"/>
  <c r="M157" i="42" s="1"/>
  <c r="H623" i="30" a="1"/>
  <c r="H623" s="1"/>
  <c r="F157" i="42" s="1"/>
  <c r="G623" i="30" a="1"/>
  <c r="G623" s="1"/>
  <c r="E157" i="42" s="1"/>
  <c r="N623" i="30" a="1"/>
  <c r="N623" s="1"/>
  <c r="L157" i="42" s="1"/>
  <c r="E623" i="30" a="1"/>
  <c r="E623" s="1"/>
  <c r="C157" i="42" s="1"/>
  <c r="I623" i="44" a="1"/>
  <c r="I623" s="1"/>
  <c r="AU157" i="42" s="1"/>
  <c r="H623" i="44" a="1"/>
  <c r="H623" s="1"/>
  <c r="AT157" i="42" s="1"/>
  <c r="S623" i="44" a="1"/>
  <c r="S623" s="1"/>
  <c r="BE157" i="42" s="1"/>
  <c r="D623" i="44" a="1"/>
  <c r="D623" s="1"/>
  <c r="AP157" i="42" s="1"/>
  <c r="G623" i="44" a="1"/>
  <c r="G623" s="1"/>
  <c r="AS157" i="42" s="1"/>
  <c r="K623" i="44" a="1"/>
  <c r="K623" s="1"/>
  <c r="AW157" i="42" s="1"/>
  <c r="N623" i="44" a="1"/>
  <c r="N623" s="1"/>
  <c r="AZ157" i="42" s="1"/>
  <c r="L623" i="44" a="1"/>
  <c r="L623" s="1"/>
  <c r="AX157" i="42" s="1"/>
  <c r="I623" i="30" a="1"/>
  <c r="I623" s="1"/>
  <c r="G157" i="42" s="1"/>
  <c r="P623" i="30" a="1"/>
  <c r="P623" s="1"/>
  <c r="N157" i="42" s="1"/>
  <c r="M623" i="30" a="1"/>
  <c r="M623" s="1"/>
  <c r="K157" i="42" s="1"/>
  <c r="Q623" i="30" a="1"/>
  <c r="Q623" s="1"/>
  <c r="O157" i="42" s="1"/>
  <c r="D623" i="30" a="1"/>
  <c r="D623" s="1"/>
  <c r="B157" i="42" s="1"/>
  <c r="S623" i="30" a="1"/>
  <c r="S623" s="1"/>
  <c r="Q157" i="42" s="1"/>
  <c r="R623" i="30" a="1"/>
  <c r="R623" s="1"/>
  <c r="P157" i="42" s="1"/>
  <c r="F623" i="30" a="1"/>
  <c r="F623" s="1"/>
  <c r="D157" i="42" s="1"/>
  <c r="Q187" i="44"/>
  <c r="Q507"/>
  <c r="R22"/>
  <c r="BC23" i="42"/>
  <c r="Q404" i="44"/>
  <c r="Q86"/>
  <c r="P223"/>
  <c r="P209"/>
  <c r="P250" s="1"/>
  <c r="Q507" i="30"/>
  <c r="Q404"/>
  <c r="Q86"/>
  <c r="Q187"/>
  <c r="R22"/>
  <c r="O23" i="42"/>
  <c r="R211" i="44"/>
  <c r="R246" s="1"/>
  <c r="R234"/>
  <c r="R196"/>
  <c r="BE10" i="42"/>
  <c r="S174" i="44"/>
  <c r="S73"/>
  <c r="S494"/>
  <c r="S666" s="1"/>
  <c r="BE186" i="42" s="1"/>
  <c r="T9" i="44"/>
  <c r="T13" i="30"/>
  <c r="S178"/>
  <c r="S231" s="1"/>
  <c r="S77"/>
  <c r="S498"/>
  <c r="Q14" i="42"/>
  <c r="R231" i="30"/>
  <c r="R200"/>
  <c r="R249" s="1"/>
  <c r="V623" i="44" a="1"/>
  <c r="V623" s="1"/>
  <c r="BH157" i="42" s="1"/>
  <c r="AA623" i="44" a="1"/>
  <c r="AA623" s="1"/>
  <c r="BM157" i="42" s="1"/>
  <c r="X623" i="44" a="1"/>
  <c r="X623" s="1"/>
  <c r="BJ157" i="42" s="1"/>
  <c r="AB623" i="44" a="1"/>
  <c r="AB623" s="1"/>
  <c r="BN157" i="42" s="1"/>
  <c r="Y623" i="44" a="1"/>
  <c r="Y623" s="1"/>
  <c r="BK157" i="42" s="1"/>
  <c r="U623" i="30" a="1"/>
  <c r="U623" s="1"/>
  <c r="S157" i="42" s="1"/>
  <c r="X623" i="30" a="1"/>
  <c r="X623" s="1"/>
  <c r="V157" i="42" s="1"/>
  <c r="Y623" i="30" a="1"/>
  <c r="Y623" s="1"/>
  <c r="W157" i="42" s="1"/>
  <c r="AA623" i="30" a="1"/>
  <c r="AA623" s="1"/>
  <c r="Y157" i="42" s="1"/>
  <c r="U623" i="44" a="1"/>
  <c r="U623" s="1"/>
  <c r="BG157" i="42" s="1"/>
  <c r="W623" i="44" a="1"/>
  <c r="W623" s="1"/>
  <c r="BI157" i="42" s="1"/>
  <c r="Z623" i="44" a="1"/>
  <c r="Z623" s="1"/>
  <c r="BL157" i="42" s="1"/>
  <c r="AC623" i="44" a="1"/>
  <c r="AC623" s="1"/>
  <c r="BO157" i="42" s="1"/>
  <c r="T623" i="44" a="1"/>
  <c r="T623" s="1"/>
  <c r="BF157" i="42" s="1"/>
  <c r="T623" i="30" a="1"/>
  <c r="T623" s="1"/>
  <c r="R157" i="42" s="1"/>
  <c r="V623" i="30" a="1"/>
  <c r="V623" s="1"/>
  <c r="T157" i="42" s="1"/>
  <c r="W623" i="30" a="1"/>
  <c r="W623" s="1"/>
  <c r="U157" i="42" s="1"/>
  <c r="AB623" i="30" a="1"/>
  <c r="AB623" s="1"/>
  <c r="Z157" i="42" s="1"/>
  <c r="AC623" i="30" a="1"/>
  <c r="AC623" s="1"/>
  <c r="AA157" i="42" s="1"/>
  <c r="Z623" i="30" a="1"/>
  <c r="Z623" s="1"/>
  <c r="X157" i="42" s="1"/>
  <c r="T203" i="30"/>
  <c r="T241" s="1"/>
  <c r="X615" a="1"/>
  <c r="X615" s="1"/>
  <c r="Z615" a="1"/>
  <c r="Z615" s="1"/>
  <c r="AA615" a="1"/>
  <c r="AA615" s="1"/>
  <c r="AB615" a="1"/>
  <c r="AB615" s="1"/>
  <c r="AC615" a="1"/>
  <c r="AC615" s="1"/>
  <c r="U615" a="1"/>
  <c r="U615" s="1"/>
  <c r="Y615" a="1"/>
  <c r="Y615" s="1"/>
  <c r="T615" a="1"/>
  <c r="T615" s="1"/>
  <c r="W615" a="1"/>
  <c r="W615" s="1"/>
  <c r="V615" a="1"/>
  <c r="V615" s="1"/>
  <c r="T615" i="44" a="1"/>
  <c r="T615" s="1"/>
  <c r="R615" a="1"/>
  <c r="R615" s="1"/>
  <c r="Q615" i="30" a="1"/>
  <c r="Q615" s="1"/>
  <c r="Y615" i="44" a="1"/>
  <c r="Y615" s="1"/>
  <c r="W615" a="1"/>
  <c r="W615" s="1"/>
  <c r="L615" i="30" a="1"/>
  <c r="L615" s="1"/>
  <c r="D615" i="44" a="1"/>
  <c r="D615" s="1"/>
  <c r="E615" i="30" a="1"/>
  <c r="E615" s="1"/>
  <c r="F615" i="44" a="1"/>
  <c r="F615" s="1"/>
  <c r="M615" a="1"/>
  <c r="M615" s="1"/>
  <c r="O615" a="1"/>
  <c r="O615" s="1"/>
  <c r="AB615" a="1"/>
  <c r="AB615" s="1"/>
  <c r="G615" i="30" a="1"/>
  <c r="G615" s="1"/>
  <c r="J615" i="44" a="1"/>
  <c r="J615" s="1"/>
  <c r="P615" i="30" a="1"/>
  <c r="P615" s="1"/>
  <c r="K615" i="44" a="1"/>
  <c r="K615" s="1"/>
  <c r="H615" a="1"/>
  <c r="H615" s="1"/>
  <c r="N615" i="30" a="1"/>
  <c r="N615" s="1"/>
  <c r="I615" i="44" a="1"/>
  <c r="I615" s="1"/>
  <c r="X615" a="1"/>
  <c r="X615" s="1"/>
  <c r="S615" i="30" a="1"/>
  <c r="S615" s="1"/>
  <c r="R615" a="1"/>
  <c r="R615" s="1"/>
  <c r="Q615" i="44" a="1"/>
  <c r="Q615" s="1"/>
  <c r="V615" a="1"/>
  <c r="V615" s="1"/>
  <c r="AC615" a="1"/>
  <c r="AC615" s="1"/>
  <c r="L615" a="1"/>
  <c r="L615" s="1"/>
  <c r="AA615" a="1"/>
  <c r="AA615" s="1"/>
  <c r="E615" a="1"/>
  <c r="E615" s="1"/>
  <c r="D615" i="30" a="1"/>
  <c r="D615" s="1"/>
  <c r="F615" a="1"/>
  <c r="F615" s="1"/>
  <c r="M615" a="1"/>
  <c r="M615" s="1"/>
  <c r="O615" a="1"/>
  <c r="O615" s="1"/>
  <c r="G615" i="44" a="1"/>
  <c r="G615" s="1"/>
  <c r="J615" i="30" a="1"/>
  <c r="J615" s="1"/>
  <c r="P615" i="44" a="1"/>
  <c r="P615" s="1"/>
  <c r="K615" i="30" a="1"/>
  <c r="K615" s="1"/>
  <c r="H615" a="1"/>
  <c r="H615" s="1"/>
  <c r="N615" i="44" a="1"/>
  <c r="N615" s="1"/>
  <c r="I615" i="30" a="1"/>
  <c r="I615" s="1"/>
  <c r="Z615" i="44" a="1"/>
  <c r="Z615" s="1"/>
  <c r="S615" a="1"/>
  <c r="S615" s="1"/>
  <c r="U615" a="1"/>
  <c r="U615" s="1"/>
  <c r="Q512" i="30"/>
  <c r="O28" i="42"/>
  <c r="Q91" i="30"/>
  <c r="R27"/>
  <c r="R267" s="1"/>
  <c r="Q192"/>
  <c r="Q217" s="1"/>
  <c r="Q276" s="1"/>
  <c r="Q298" s="1"/>
  <c r="BC28" i="42"/>
  <c r="Q192" i="44"/>
  <c r="Q512"/>
  <c r="Q91"/>
  <c r="R27"/>
  <c r="R267" s="1"/>
  <c r="P83" i="30"/>
  <c r="P184"/>
  <c r="P229" s="1"/>
  <c r="P401"/>
  <c r="P504"/>
  <c r="N20" i="42"/>
  <c r="Q19" i="30"/>
  <c r="N16" i="42"/>
  <c r="P79" i="30"/>
  <c r="P500"/>
  <c r="P679" s="1"/>
  <c r="CI177" i="42" s="1"/>
  <c r="Q15" i="30"/>
  <c r="P180"/>
  <c r="R8"/>
  <c r="R431" s="1"/>
  <c r="P67" i="42" s="1"/>
  <c r="Q493" i="30"/>
  <c r="Q661" s="1"/>
  <c r="O177" i="42" s="1"/>
  <c r="O9"/>
  <c r="Q72" i="30"/>
  <c r="Q173"/>
  <c r="P217" i="44"/>
  <c r="P276" s="1"/>
  <c r="P298" s="1"/>
  <c r="P214"/>
  <c r="P239" s="1"/>
  <c r="P184"/>
  <c r="P229" s="1"/>
  <c r="P401"/>
  <c r="P504"/>
  <c r="P679" s="1"/>
  <c r="CI186" i="42" s="1"/>
  <c r="P83" i="44"/>
  <c r="BB20" i="42"/>
  <c r="Q19" i="44"/>
  <c r="P403" i="30"/>
  <c r="P186"/>
  <c r="P221" s="1"/>
  <c r="N22" i="42"/>
  <c r="Q21" i="30"/>
  <c r="P85"/>
  <c r="P506"/>
  <c r="O198" i="44"/>
  <c r="O252" s="1"/>
  <c r="P431"/>
  <c r="BB67" i="42" s="1"/>
  <c r="P75" i="44"/>
  <c r="P440"/>
  <c r="CJ67" i="42" s="1"/>
  <c r="Q11" i="44"/>
  <c r="P41"/>
  <c r="P28"/>
  <c r="P29" s="1"/>
  <c r="BB12" i="42"/>
  <c r="P496" i="44"/>
  <c r="P176"/>
  <c r="P224" s="1"/>
  <c r="P176" i="30"/>
  <c r="P224" s="1"/>
  <c r="P440"/>
  <c r="CJ66" i="42" s="1"/>
  <c r="N12"/>
  <c r="Q11" i="30"/>
  <c r="P41"/>
  <c r="P28"/>
  <c r="P29" s="1"/>
  <c r="P75"/>
  <c r="P496"/>
  <c r="P430"/>
  <c r="N66" i="42" s="1"/>
  <c r="T12" i="43"/>
  <c r="U10"/>
  <c r="N44" i="44"/>
  <c r="H99" i="33" s="1"/>
  <c r="N45" i="44"/>
  <c r="H100" i="33" s="1"/>
  <c r="N47" i="44"/>
  <c r="H102" i="33" s="1"/>
  <c r="N46" i="44"/>
  <c r="H101" i="33" s="1"/>
  <c r="H90" s="1"/>
  <c r="R269" i="30"/>
  <c r="R269" i="44"/>
  <c r="U26" i="43"/>
  <c r="I44" i="33"/>
  <c r="O271" i="30"/>
  <c r="O277" s="1"/>
  <c r="O299" s="1"/>
  <c r="O278" s="1"/>
  <c r="O300" s="1"/>
  <c r="I103" i="33"/>
  <c r="O271" i="44"/>
  <c r="O277" s="1"/>
  <c r="O299" s="1"/>
  <c r="S19" i="43"/>
  <c r="S23" s="1"/>
  <c r="S32" s="1"/>
  <c r="S16"/>
  <c r="Q40" i="30"/>
  <c r="Q92" s="1"/>
  <c r="Q40" i="44"/>
  <c r="Q92" s="1"/>
  <c r="T27" i="43"/>
  <c r="N44" i="30"/>
  <c r="H40" i="33" s="1"/>
  <c r="N45" i="30"/>
  <c r="H41" i="33" s="1"/>
  <c r="N46" i="30"/>
  <c r="H42" i="33" s="1"/>
  <c r="H31" s="1"/>
  <c r="N47" i="30"/>
  <c r="H43" i="33" s="1"/>
  <c r="O38" i="44"/>
  <c r="O38" i="30"/>
  <c r="T56" i="43"/>
  <c r="T73" s="1"/>
  <c r="T14" s="1"/>
  <c r="T55"/>
  <c r="T74" s="1"/>
  <c r="U54"/>
  <c r="U57"/>
  <c r="U75" s="1"/>
  <c r="Q164" i="42" s="1"/>
  <c r="BE164" s="1"/>
  <c r="V52" i="43"/>
  <c r="X268" i="30"/>
  <c r="X268" i="44"/>
  <c r="AA29" i="43"/>
  <c r="P266" i="30"/>
  <c r="R33" i="43"/>
  <c r="P266" i="44"/>
  <c r="R201" i="30"/>
  <c r="R251" s="1"/>
  <c r="S179"/>
  <c r="S232" s="1"/>
  <c r="T14"/>
  <c r="S499"/>
  <c r="S78"/>
  <c r="Q15" i="42"/>
  <c r="T13" i="44"/>
  <c r="S178"/>
  <c r="S231" s="1"/>
  <c r="BE14" i="42"/>
  <c r="S498" i="44"/>
  <c r="S77"/>
  <c r="S85"/>
  <c r="S506"/>
  <c r="S403"/>
  <c r="S186"/>
  <c r="S221" s="1"/>
  <c r="T21"/>
  <c r="BE22" i="42"/>
  <c r="R221" i="44"/>
  <c r="R208"/>
  <c r="R257" s="1"/>
  <c r="R203"/>
  <c r="R241" s="1"/>
  <c r="BE16" i="42"/>
  <c r="S79" i="44"/>
  <c r="T15"/>
  <c r="S180"/>
  <c r="S500"/>
  <c r="T23"/>
  <c r="S508"/>
  <c r="S405"/>
  <c r="S188"/>
  <c r="BE24" i="42"/>
  <c r="S87" i="44"/>
  <c r="R235"/>
  <c r="R210"/>
  <c r="T183"/>
  <c r="T228" s="1"/>
  <c r="BF19" i="42"/>
  <c r="T82" i="44"/>
  <c r="U18"/>
  <c r="T503"/>
  <c r="BE18" i="42"/>
  <c r="T17" i="44"/>
  <c r="S94"/>
  <c r="S182"/>
  <c r="S227" s="1"/>
  <c r="S502"/>
  <c r="S81"/>
  <c r="S175"/>
  <c r="S222" s="1"/>
  <c r="S430"/>
  <c r="BE66" i="42" s="1"/>
  <c r="S495" i="44"/>
  <c r="T10"/>
  <c r="S74"/>
  <c r="BE11" i="42"/>
  <c r="S80" i="44"/>
  <c r="T16"/>
  <c r="BE17" i="42"/>
  <c r="S93" i="44"/>
  <c r="S501"/>
  <c r="S661" s="1"/>
  <c r="BE177" i="42" s="1"/>
  <c r="S181" i="44"/>
  <c r="S226" s="1"/>
  <c r="S205"/>
  <c r="S243" s="1"/>
  <c r="F303" i="30"/>
  <c r="F282" s="1"/>
  <c r="H303" i="44"/>
  <c r="H282" s="1"/>
  <c r="G303" i="30"/>
  <c r="G282" s="1"/>
  <c r="G303" i="44"/>
  <c r="G282" s="1"/>
  <c r="D303"/>
  <c r="D282" s="1"/>
  <c r="E305"/>
  <c r="E284" s="1"/>
  <c r="F303"/>
  <c r="F282" s="1"/>
  <c r="H303" i="30"/>
  <c r="H282" s="1"/>
  <c r="E305"/>
  <c r="E284" s="1"/>
  <c r="D303"/>
  <c r="D282" s="1"/>
  <c r="R11" i="42"/>
  <c r="T74" i="30"/>
  <c r="U10"/>
  <c r="T175"/>
  <c r="T222" s="1"/>
  <c r="T495"/>
  <c r="T24" i="44"/>
  <c r="S88"/>
  <c r="S406"/>
  <c r="S189"/>
  <c r="S218" s="1"/>
  <c r="BE25" i="42"/>
  <c r="S509" i="44"/>
  <c r="U501" i="30"/>
  <c r="U181"/>
  <c r="U226" s="1"/>
  <c r="V16"/>
  <c r="U80"/>
  <c r="U93"/>
  <c r="S17" i="42"/>
  <c r="M306" i="44"/>
  <c r="M285" s="1"/>
  <c r="S189" i="30"/>
  <c r="S218" s="1"/>
  <c r="S509"/>
  <c r="S406"/>
  <c r="T24"/>
  <c r="Q25" i="42"/>
  <c r="S88" i="30"/>
  <c r="K308" i="44"/>
  <c r="K287" s="1"/>
  <c r="L307"/>
  <c r="L286" s="1"/>
  <c r="K306" i="30"/>
  <c r="K285" s="1"/>
  <c r="M304"/>
  <c r="M283" s="1"/>
  <c r="L305"/>
  <c r="L284" s="1"/>
  <c r="I309" i="44"/>
  <c r="I288" s="1"/>
  <c r="R211" i="30"/>
  <c r="R246" s="1"/>
  <c r="J307"/>
  <c r="J286" s="1"/>
  <c r="J309" i="44"/>
  <c r="J288" s="1"/>
  <c r="W67" i="43" l="1"/>
  <c r="X65"/>
  <c r="W66"/>
  <c r="W68"/>
  <c r="S81" i="30"/>
  <c r="Q18" i="42"/>
  <c r="S399" i="30"/>
  <c r="S502"/>
  <c r="S182"/>
  <c r="S227" s="1"/>
  <c r="S94"/>
  <c r="O278" i="44"/>
  <c r="O300" s="1"/>
  <c r="O279" s="1"/>
  <c r="O301" s="1"/>
  <c r="O280" s="1"/>
  <c r="O302" s="1"/>
  <c r="O281" s="1"/>
  <c r="O303" s="1"/>
  <c r="O282" s="1"/>
  <c r="O304" s="1"/>
  <c r="O283" s="1"/>
  <c r="O305" s="1"/>
  <c r="O284" s="1"/>
  <c r="O279" i="30"/>
  <c r="O301" s="1"/>
  <c r="O280" s="1"/>
  <c r="O302" s="1"/>
  <c r="O281" s="1"/>
  <c r="O303" s="1"/>
  <c r="O282" s="1"/>
  <c r="P212" i="44"/>
  <c r="P247" s="1"/>
  <c r="Q190" i="30"/>
  <c r="Q219" s="1"/>
  <c r="O26" i="42"/>
  <c r="Q89" i="30"/>
  <c r="R25"/>
  <c r="Q212"/>
  <c r="Q247" s="1"/>
  <c r="Q407"/>
  <c r="Q188"/>
  <c r="Q405"/>
  <c r="Q87"/>
  <c r="Q508"/>
  <c r="R23"/>
  <c r="O24" i="42"/>
  <c r="P213" i="44"/>
  <c r="P248" s="1"/>
  <c r="P210" i="30"/>
  <c r="P254" s="1"/>
  <c r="R25" i="44"/>
  <c r="Q407"/>
  <c r="BC26" i="42"/>
  <c r="Q89" i="44"/>
  <c r="Q190"/>
  <c r="Q219" s="1"/>
  <c r="P220" i="30"/>
  <c r="P213"/>
  <c r="P248" s="1"/>
  <c r="R26"/>
  <c r="Q408"/>
  <c r="O27" i="42"/>
  <c r="Q191" i="30"/>
  <c r="Q220" s="1"/>
  <c r="Q90"/>
  <c r="Q213"/>
  <c r="Q248" s="1"/>
  <c r="Q191" i="44"/>
  <c r="Q220" s="1"/>
  <c r="R26"/>
  <c r="Q90"/>
  <c r="BC27" i="42"/>
  <c r="Q408" i="44"/>
  <c r="P206"/>
  <c r="P244" s="1"/>
  <c r="P199"/>
  <c r="P240" s="1"/>
  <c r="R12" i="30"/>
  <c r="Q177"/>
  <c r="Q225" s="1"/>
  <c r="Q76"/>
  <c r="Q497"/>
  <c r="O13" i="42"/>
  <c r="Q199" i="30"/>
  <c r="Q240" s="1"/>
  <c r="Q497" i="44"/>
  <c r="R12"/>
  <c r="Q177"/>
  <c r="Q225" s="1"/>
  <c r="BC13" i="42"/>
  <c r="Q76" i="44"/>
  <c r="P199" i="30"/>
  <c r="P240" s="1"/>
  <c r="I91" i="33"/>
  <c r="I32"/>
  <c r="Q233" i="30"/>
  <c r="T205" i="44"/>
  <c r="T243" s="1"/>
  <c r="S236"/>
  <c r="P206" i="30"/>
  <c r="P244" s="1"/>
  <c r="O34"/>
  <c r="I56" i="33"/>
  <c r="I115"/>
  <c r="O34" i="44"/>
  <c r="O33"/>
  <c r="P236" i="30"/>
  <c r="P235"/>
  <c r="R256" i="44"/>
  <c r="R230"/>
  <c r="R207"/>
  <c r="R245" s="1"/>
  <c r="S505"/>
  <c r="S84"/>
  <c r="S185"/>
  <c r="S402"/>
  <c r="T20"/>
  <c r="BE21" i="42"/>
  <c r="I580" i="30"/>
  <c r="I322"/>
  <c r="I371" s="1"/>
  <c r="I969"/>
  <c r="I779"/>
  <c r="G243" i="42" s="1"/>
  <c r="BD9"/>
  <c r="R173" i="44"/>
  <c r="R493"/>
  <c r="R679" s="1"/>
  <c r="CK186" i="42" s="1"/>
  <c r="S8" i="44"/>
  <c r="R72"/>
  <c r="Q195"/>
  <c r="Q253" s="1"/>
  <c r="Q233"/>
  <c r="O33" i="30"/>
  <c r="R255" i="44"/>
  <c r="P198" i="30"/>
  <c r="P252" s="1"/>
  <c r="R207"/>
  <c r="R245" s="1"/>
  <c r="S84"/>
  <c r="T20"/>
  <c r="S402"/>
  <c r="S505"/>
  <c r="Q21" i="42"/>
  <c r="S185" i="30"/>
  <c r="S230" s="1"/>
  <c r="S211"/>
  <c r="S246" s="1"/>
  <c r="S494"/>
  <c r="S73"/>
  <c r="T9"/>
  <c r="S174"/>
  <c r="Q10" i="42"/>
  <c r="J89" i="33"/>
  <c r="J30"/>
  <c r="R205" i="30"/>
  <c r="R243" s="1"/>
  <c r="S197" i="44"/>
  <c r="S258" s="1"/>
  <c r="S202"/>
  <c r="BE15" i="42"/>
  <c r="S179" i="44"/>
  <c r="S232" s="1"/>
  <c r="S499"/>
  <c r="S78"/>
  <c r="T14"/>
  <c r="S201"/>
  <c r="S251" s="1"/>
  <c r="Q19" i="42"/>
  <c r="S400" i="30"/>
  <c r="S503"/>
  <c r="T18"/>
  <c r="S82"/>
  <c r="S183"/>
  <c r="S228" s="1"/>
  <c r="R201" i="44"/>
  <c r="R251" s="1"/>
  <c r="P666" i="30"/>
  <c r="N186" i="42" s="1"/>
  <c r="R254" i="44"/>
  <c r="S22" i="30"/>
  <c r="R86"/>
  <c r="R187"/>
  <c r="R223" s="1"/>
  <c r="R507"/>
  <c r="R404"/>
  <c r="P23" i="42"/>
  <c r="R86" i="44"/>
  <c r="R507"/>
  <c r="BD23" i="42"/>
  <c r="R404" i="44"/>
  <c r="S22"/>
  <c r="R187"/>
  <c r="Q223"/>
  <c r="Q209"/>
  <c r="Q250" s="1"/>
  <c r="Q223" i="30"/>
  <c r="Q209"/>
  <c r="Q250" s="1"/>
  <c r="BF10" i="42"/>
  <c r="T174" i="44"/>
  <c r="T494"/>
  <c r="T666" s="1"/>
  <c r="BF186" i="42" s="1"/>
  <c r="U9" i="44"/>
  <c r="T73"/>
  <c r="S196"/>
  <c r="S234"/>
  <c r="T197" i="30"/>
  <c r="T258" s="1"/>
  <c r="T77"/>
  <c r="T178"/>
  <c r="U13"/>
  <c r="T498"/>
  <c r="R14" i="42"/>
  <c r="S200" i="30"/>
  <c r="S249" s="1"/>
  <c r="S204" i="44"/>
  <c r="S242" s="1"/>
  <c r="BE149" i="42"/>
  <c r="S630" i="44"/>
  <c r="M112" i="33" s="1"/>
  <c r="G149" i="42"/>
  <c r="I630" i="30"/>
  <c r="C53" i="33" s="1"/>
  <c r="C37" s="1"/>
  <c r="F149" i="42"/>
  <c r="H630" i="30"/>
  <c r="BB149" i="42"/>
  <c r="P630" i="44"/>
  <c r="J112" i="33" s="1"/>
  <c r="AS149" i="42"/>
  <c r="G630" i="44"/>
  <c r="K149" i="42"/>
  <c r="M630" i="30"/>
  <c r="G53" i="33" s="1"/>
  <c r="G37" s="1"/>
  <c r="B149" i="42"/>
  <c r="D630" i="30"/>
  <c r="BM149" i="42"/>
  <c r="AA630" i="44"/>
  <c r="U112" i="33" s="1"/>
  <c r="BO149" i="42"/>
  <c r="AC630" i="44"/>
  <c r="W112" i="33" s="1"/>
  <c r="BC149" i="42"/>
  <c r="Q630" i="44"/>
  <c r="K112" i="33" s="1"/>
  <c r="Q149" i="42"/>
  <c r="S630" i="30"/>
  <c r="M53" i="33" s="1"/>
  <c r="M37" s="1"/>
  <c r="AU149" i="42"/>
  <c r="I630" i="44"/>
  <c r="C112" i="33" s="1"/>
  <c r="AT149" i="42"/>
  <c r="H630" i="44"/>
  <c r="N149" i="42"/>
  <c r="P630" i="30"/>
  <c r="J53" i="33" s="1"/>
  <c r="J37" s="1"/>
  <c r="E149" i="42"/>
  <c r="G630" i="30"/>
  <c r="BA149" i="42"/>
  <c r="O630" i="44"/>
  <c r="I112" i="33" s="1"/>
  <c r="AR149" i="42"/>
  <c r="F630" i="44"/>
  <c r="AP149" i="42"/>
  <c r="D630" i="44"/>
  <c r="BI149" i="42"/>
  <c r="W630" i="44"/>
  <c r="Q112" i="33" s="1"/>
  <c r="O149" i="42"/>
  <c r="Q630" i="30"/>
  <c r="K53" i="33" s="1"/>
  <c r="K37" s="1"/>
  <c r="BF149" i="42"/>
  <c r="T630" i="44"/>
  <c r="N112" i="33" s="1"/>
  <c r="U149" i="42"/>
  <c r="W630" i="30"/>
  <c r="Q53" i="33" s="1"/>
  <c r="Q37" s="1"/>
  <c r="W149" i="42"/>
  <c r="Y630" i="30"/>
  <c r="S53" i="33" s="1"/>
  <c r="S37" s="1"/>
  <c r="AA149" i="42"/>
  <c r="AC630" i="30"/>
  <c r="W53" i="33" s="1"/>
  <c r="W37" s="1"/>
  <c r="Y149" i="42"/>
  <c r="AA630" i="30"/>
  <c r="U53" i="33" s="1"/>
  <c r="U37" s="1"/>
  <c r="V149" i="42"/>
  <c r="X630" i="30"/>
  <c r="R53" i="33" s="1"/>
  <c r="R37" s="1"/>
  <c r="BG149" i="42"/>
  <c r="U630" i="44"/>
  <c r="O112" i="33" s="1"/>
  <c r="BL149" i="42"/>
  <c r="Z630" i="44"/>
  <c r="T112" i="33" s="1"/>
  <c r="AZ149" i="42"/>
  <c r="N630" i="44"/>
  <c r="H112" i="33" s="1"/>
  <c r="I149" i="42"/>
  <c r="K630" i="30"/>
  <c r="E53" i="33" s="1"/>
  <c r="E37" s="1"/>
  <c r="H149" i="42"/>
  <c r="J630" i="30"/>
  <c r="D53" i="33" s="1"/>
  <c r="D37" s="1"/>
  <c r="M149" i="42"/>
  <c r="O630" i="30"/>
  <c r="I53" i="33" s="1"/>
  <c r="I37" s="1"/>
  <c r="D149" i="42"/>
  <c r="F630" i="30"/>
  <c r="AQ149" i="42"/>
  <c r="E630" i="44"/>
  <c r="AX149" i="42"/>
  <c r="L630" i="44"/>
  <c r="F112" i="33" s="1"/>
  <c r="BH149" i="42"/>
  <c r="V630" i="44"/>
  <c r="P112" i="33" s="1"/>
  <c r="P149" i="42"/>
  <c r="R630" i="30"/>
  <c r="L53" i="33" s="1"/>
  <c r="L37" s="1"/>
  <c r="BJ149" i="42"/>
  <c r="X630" i="44"/>
  <c r="R112" i="33" s="1"/>
  <c r="L149" i="42"/>
  <c r="N630" i="30"/>
  <c r="H53" i="33" s="1"/>
  <c r="H37" s="1"/>
  <c r="AW149" i="42"/>
  <c r="K630" i="44"/>
  <c r="E112" i="33" s="1"/>
  <c r="AV149" i="42"/>
  <c r="J630" i="44"/>
  <c r="D112" i="33" s="1"/>
  <c r="BN149" i="42"/>
  <c r="AB630" i="44"/>
  <c r="V112" i="33" s="1"/>
  <c r="AY149" i="42"/>
  <c r="M630" i="44"/>
  <c r="G112" i="33" s="1"/>
  <c r="C149" i="42"/>
  <c r="E630" i="30"/>
  <c r="J149" i="42"/>
  <c r="L630" i="30"/>
  <c r="F53" i="33" s="1"/>
  <c r="F37" s="1"/>
  <c r="BK149" i="42"/>
  <c r="Y630" i="44"/>
  <c r="S112" i="33" s="1"/>
  <c r="BD149" i="42"/>
  <c r="R630" i="44"/>
  <c r="L112" i="33" s="1"/>
  <c r="T149" i="42"/>
  <c r="V630" i="30"/>
  <c r="P53" i="33" s="1"/>
  <c r="P37" s="1"/>
  <c r="R149" i="42"/>
  <c r="T630" i="30"/>
  <c r="N53" i="33" s="1"/>
  <c r="N37" s="1"/>
  <c r="S149" i="42"/>
  <c r="U630" i="30"/>
  <c r="O53" i="33" s="1"/>
  <c r="O37" s="1"/>
  <c r="Z149" i="42"/>
  <c r="AB630" i="30"/>
  <c r="V53" i="33" s="1"/>
  <c r="V37" s="1"/>
  <c r="X149" i="42"/>
  <c r="Z630" i="30"/>
  <c r="T53" i="33" s="1"/>
  <c r="T37" s="1"/>
  <c r="R72" i="30"/>
  <c r="P9" i="42"/>
  <c r="R173" i="30"/>
  <c r="S8"/>
  <c r="S431" s="1"/>
  <c r="Q67" i="42" s="1"/>
  <c r="R493" i="30"/>
  <c r="R661" s="1"/>
  <c r="P177" i="42" s="1"/>
  <c r="R192" i="44"/>
  <c r="R217" s="1"/>
  <c r="R276" s="1"/>
  <c r="R298" s="1"/>
  <c r="BD28" i="42"/>
  <c r="R214" i="44"/>
  <c r="R239" s="1"/>
  <c r="R512"/>
  <c r="R91"/>
  <c r="S27"/>
  <c r="S267" s="1"/>
  <c r="P28" i="42"/>
  <c r="R192" i="30"/>
  <c r="R217" s="1"/>
  <c r="R276" s="1"/>
  <c r="R298" s="1"/>
  <c r="R91"/>
  <c r="S27"/>
  <c r="S267" s="1"/>
  <c r="R512"/>
  <c r="Q214"/>
  <c r="Q239" s="1"/>
  <c r="R19" i="44"/>
  <c r="BC20" i="42"/>
  <c r="Q83" i="44"/>
  <c r="Q504"/>
  <c r="Q679" s="1"/>
  <c r="CJ186" i="42" s="1"/>
  <c r="Q184" i="44"/>
  <c r="Q229" s="1"/>
  <c r="Q401"/>
  <c r="Q206"/>
  <c r="Q244" s="1"/>
  <c r="O16" i="42"/>
  <c r="Q500" i="30"/>
  <c r="Q679" s="1"/>
  <c r="CJ177" i="42" s="1"/>
  <c r="R15" i="30"/>
  <c r="Q180"/>
  <c r="Q202" s="1"/>
  <c r="Q79"/>
  <c r="O20" i="42"/>
  <c r="Q401" i="30"/>
  <c r="R19"/>
  <c r="Q504"/>
  <c r="Q184"/>
  <c r="Q229" s="1"/>
  <c r="Q83"/>
  <c r="Q206"/>
  <c r="Q244" s="1"/>
  <c r="Q217" i="44"/>
  <c r="Q276" s="1"/>
  <c r="Q298" s="1"/>
  <c r="Q214"/>
  <c r="Q239" s="1"/>
  <c r="Q195" i="30"/>
  <c r="Q253" s="1"/>
  <c r="P202"/>
  <c r="Q75"/>
  <c r="Q496"/>
  <c r="Q440"/>
  <c r="CK66" i="42" s="1"/>
  <c r="Q176" i="30"/>
  <c r="Q224" s="1"/>
  <c r="O12" i="42"/>
  <c r="R11" i="30"/>
  <c r="Q430"/>
  <c r="O66" i="42" s="1"/>
  <c r="Q28" i="30"/>
  <c r="Q29" s="1"/>
  <c r="Q41"/>
  <c r="P198" i="44"/>
  <c r="P252" s="1"/>
  <c r="P208" i="30"/>
  <c r="P257" s="1"/>
  <c r="Q176" i="44"/>
  <c r="Q224" s="1"/>
  <c r="Q496"/>
  <c r="R11"/>
  <c r="Q41"/>
  <c r="Q431"/>
  <c r="BC67" i="42" s="1"/>
  <c r="Q440" i="44"/>
  <c r="CK67" i="42" s="1"/>
  <c r="BC12"/>
  <c r="Q75" i="44"/>
  <c r="Q28"/>
  <c r="Q186" i="30"/>
  <c r="Q221" s="1"/>
  <c r="R21"/>
  <c r="O22" i="42"/>
  <c r="Q506" i="30"/>
  <c r="Q85"/>
  <c r="Q403"/>
  <c r="P38" i="44"/>
  <c r="P38" i="30"/>
  <c r="Y268" i="44"/>
  <c r="Y268" i="30"/>
  <c r="AB29" i="43"/>
  <c r="O45" i="30"/>
  <c r="I41" i="33" s="1"/>
  <c r="O44" i="30"/>
  <c r="I40" i="33" s="1"/>
  <c r="O46" i="30"/>
  <c r="I42" i="33" s="1"/>
  <c r="I31" s="1"/>
  <c r="O47" i="30"/>
  <c r="I43" i="33" s="1"/>
  <c r="U27" i="43"/>
  <c r="R40" i="44"/>
  <c r="R92" s="1"/>
  <c r="R40" i="30"/>
  <c r="R92" s="1"/>
  <c r="S33" i="43"/>
  <c r="Q266" i="30"/>
  <c r="Q266" i="44"/>
  <c r="V26" i="43"/>
  <c r="S269" i="30"/>
  <c r="S269" i="44"/>
  <c r="T15" i="43"/>
  <c r="T20" s="1"/>
  <c r="J103" i="33"/>
  <c r="P271" i="44"/>
  <c r="P277" s="1"/>
  <c r="P299" s="1"/>
  <c r="P278" s="1"/>
  <c r="P300" s="1"/>
  <c r="P279" s="1"/>
  <c r="P301" s="1"/>
  <c r="P280" s="1"/>
  <c r="P302" s="1"/>
  <c r="P281" s="1"/>
  <c r="P303" s="1"/>
  <c r="P282" s="1"/>
  <c r="P304" s="1"/>
  <c r="P283" s="1"/>
  <c r="J44" i="33"/>
  <c r="P271" i="30"/>
  <c r="P277" s="1"/>
  <c r="P299" s="1"/>
  <c r="P278" s="1"/>
  <c r="P300" s="1"/>
  <c r="W52" i="43"/>
  <c r="V57"/>
  <c r="V75" s="1"/>
  <c r="R164" i="42" s="1"/>
  <c r="BF164" s="1"/>
  <c r="U55" i="43"/>
  <c r="U74" s="1"/>
  <c r="U56"/>
  <c r="U73" s="1"/>
  <c r="U14" s="1"/>
  <c r="V54"/>
  <c r="T19"/>
  <c r="T23" s="1"/>
  <c r="T32" s="1"/>
  <c r="O44" i="44"/>
  <c r="I99" i="33" s="1"/>
  <c r="O45" i="44"/>
  <c r="I100" i="33" s="1"/>
  <c r="O46" i="44"/>
  <c r="I101" i="33" s="1"/>
  <c r="I90" s="1"/>
  <c r="O47" i="44"/>
  <c r="I102" i="33" s="1"/>
  <c r="U12" i="43"/>
  <c r="U15" s="1"/>
  <c r="U20" s="1"/>
  <c r="V10"/>
  <c r="U13" i="44"/>
  <c r="T178"/>
  <c r="T231" s="1"/>
  <c r="T77"/>
  <c r="BF14" i="42"/>
  <c r="T498" i="44"/>
  <c r="T78" i="30"/>
  <c r="U14"/>
  <c r="R15" i="42"/>
  <c r="T499" i="30"/>
  <c r="T179"/>
  <c r="T232" s="1"/>
  <c r="S200" i="44"/>
  <c r="S249" s="1"/>
  <c r="S201" i="30"/>
  <c r="S251" s="1"/>
  <c r="S208" i="44"/>
  <c r="S257" s="1"/>
  <c r="T85"/>
  <c r="U21"/>
  <c r="T186"/>
  <c r="BF22" i="42"/>
  <c r="T506" i="44"/>
  <c r="T403"/>
  <c r="S203"/>
  <c r="S241" s="1"/>
  <c r="U16"/>
  <c r="T93"/>
  <c r="T80"/>
  <c r="T501"/>
  <c r="T661" s="1"/>
  <c r="BF177" i="42" s="1"/>
  <c r="BF17"/>
  <c r="T181" i="44"/>
  <c r="T226" s="1"/>
  <c r="BG19" i="42"/>
  <c r="U503" i="44"/>
  <c r="U183"/>
  <c r="U228" s="1"/>
  <c r="U82"/>
  <c r="V18"/>
  <c r="S235"/>
  <c r="S210"/>
  <c r="T94" i="30"/>
  <c r="U17"/>
  <c r="R18" i="42"/>
  <c r="T182" i="30"/>
  <c r="T227" s="1"/>
  <c r="T502"/>
  <c r="T399"/>
  <c r="T81"/>
  <c r="T175" i="44"/>
  <c r="T222" s="1"/>
  <c r="U10"/>
  <c r="T74"/>
  <c r="T430"/>
  <c r="BF66" i="42" s="1"/>
  <c r="T495" i="44"/>
  <c r="BF11" i="42"/>
  <c r="T94" i="44"/>
  <c r="T81"/>
  <c r="U17"/>
  <c r="BF18" i="42"/>
  <c r="T502" i="44"/>
  <c r="T182"/>
  <c r="T227" s="1"/>
  <c r="T508"/>
  <c r="U23"/>
  <c r="T87"/>
  <c r="BF24" i="42"/>
  <c r="T405" i="44"/>
  <c r="T188"/>
  <c r="T180"/>
  <c r="T500"/>
  <c r="U15"/>
  <c r="T79"/>
  <c r="BF16" i="42"/>
  <c r="D304" i="30"/>
  <c r="D283" s="1"/>
  <c r="E306"/>
  <c r="E285" s="1"/>
  <c r="H304"/>
  <c r="H283" s="1"/>
  <c r="F304" i="44"/>
  <c r="F283" s="1"/>
  <c r="E306"/>
  <c r="E285" s="1"/>
  <c r="D304"/>
  <c r="D283" s="1"/>
  <c r="G304"/>
  <c r="G283" s="1"/>
  <c r="G304" i="30"/>
  <c r="G283" s="1"/>
  <c r="H304" i="44"/>
  <c r="H283" s="1"/>
  <c r="F304" i="30"/>
  <c r="F283" s="1"/>
  <c r="U74"/>
  <c r="U495"/>
  <c r="V10"/>
  <c r="U175"/>
  <c r="U222" s="1"/>
  <c r="S11" i="42"/>
  <c r="T88" i="44"/>
  <c r="T509"/>
  <c r="T406"/>
  <c r="BF25" i="42"/>
  <c r="U24" i="44"/>
  <c r="T189"/>
  <c r="T218" s="1"/>
  <c r="U203" i="30"/>
  <c r="U241" s="1"/>
  <c r="S211" i="44"/>
  <c r="S246" s="1"/>
  <c r="V181" i="30"/>
  <c r="V226" s="1"/>
  <c r="T17" i="42"/>
  <c r="V501" i="30"/>
  <c r="V93"/>
  <c r="W16"/>
  <c r="V80"/>
  <c r="N306" i="44"/>
  <c r="N285" s="1"/>
  <c r="J310"/>
  <c r="J289" s="1"/>
  <c r="J308" i="30"/>
  <c r="J287" s="1"/>
  <c r="N304"/>
  <c r="N283" s="1"/>
  <c r="I310" i="44"/>
  <c r="I289" s="1"/>
  <c r="L308"/>
  <c r="L287" s="1"/>
  <c r="K309"/>
  <c r="K288" s="1"/>
  <c r="T406" i="30"/>
  <c r="T509"/>
  <c r="T88"/>
  <c r="T189"/>
  <c r="T218" s="1"/>
  <c r="R25" i="42"/>
  <c r="U24" i="30"/>
  <c r="M307" i="44"/>
  <c r="M286" s="1"/>
  <c r="L306" i="30"/>
  <c r="L285" s="1"/>
  <c r="M305"/>
  <c r="M284" s="1"/>
  <c r="K307"/>
  <c r="K286" s="1"/>
  <c r="X68" i="43" l="1"/>
  <c r="X66"/>
  <c r="Y65"/>
  <c r="X67"/>
  <c r="S204" i="30"/>
  <c r="S242" s="1"/>
  <c r="P279"/>
  <c r="P301" s="1"/>
  <c r="P280" s="1"/>
  <c r="P302" s="1"/>
  <c r="P281" s="1"/>
  <c r="P303" s="1"/>
  <c r="P282" s="1"/>
  <c r="Q213" i="44"/>
  <c r="Q248" s="1"/>
  <c r="R90" i="30"/>
  <c r="R191"/>
  <c r="R220" s="1"/>
  <c r="P27" i="42"/>
  <c r="R408" i="30"/>
  <c r="S26"/>
  <c r="R213"/>
  <c r="R248" s="1"/>
  <c r="S25" i="44"/>
  <c r="R190"/>
  <c r="R219" s="1"/>
  <c r="BD26" i="42"/>
  <c r="R89" i="44"/>
  <c r="R407"/>
  <c r="R212"/>
  <c r="R247" s="1"/>
  <c r="R188" i="30"/>
  <c r="R234" s="1"/>
  <c r="R405"/>
  <c r="S23"/>
  <c r="R508"/>
  <c r="R87"/>
  <c r="P24" i="42"/>
  <c r="R210" i="30"/>
  <c r="R254" s="1"/>
  <c r="Q210"/>
  <c r="Q254" s="1"/>
  <c r="Q234"/>
  <c r="BD27" i="42"/>
  <c r="S26" i="44"/>
  <c r="R90"/>
  <c r="R408"/>
  <c r="R191"/>
  <c r="R220" s="1"/>
  <c r="P26" i="42"/>
  <c r="R407" i="30"/>
  <c r="S25"/>
  <c r="R190"/>
  <c r="R219" s="1"/>
  <c r="R89"/>
  <c r="R212"/>
  <c r="R247" s="1"/>
  <c r="Q212" i="44"/>
  <c r="Q247" s="1"/>
  <c r="R177" i="30"/>
  <c r="R225" s="1"/>
  <c r="P13" i="42"/>
  <c r="R497" i="30"/>
  <c r="S12"/>
  <c r="R76"/>
  <c r="S12" i="44"/>
  <c r="R76"/>
  <c r="BD13" i="42"/>
  <c r="R497" i="44"/>
  <c r="R177"/>
  <c r="R225" s="1"/>
  <c r="Q199"/>
  <c r="Q240" s="1"/>
  <c r="J91" i="33"/>
  <c r="J32"/>
  <c r="R233" i="30"/>
  <c r="T236" i="44"/>
  <c r="P34" i="30"/>
  <c r="J56" i="33"/>
  <c r="J115"/>
  <c r="P34" i="44"/>
  <c r="P33"/>
  <c r="P256" i="30"/>
  <c r="P255"/>
  <c r="Q256"/>
  <c r="Q255"/>
  <c r="Q236"/>
  <c r="Q235"/>
  <c r="S256" i="44"/>
  <c r="BF21" i="42"/>
  <c r="T505" i="44"/>
  <c r="T84"/>
  <c r="T185"/>
  <c r="U20"/>
  <c r="T402"/>
  <c r="S230"/>
  <c r="S207"/>
  <c r="S245" s="1"/>
  <c r="Q29"/>
  <c r="S255"/>
  <c r="G129" i="42"/>
  <c r="I604" i="30"/>
  <c r="I741"/>
  <c r="I787"/>
  <c r="I543"/>
  <c r="I833"/>
  <c r="I718"/>
  <c r="I520"/>
  <c r="I810"/>
  <c r="I695"/>
  <c r="I856"/>
  <c r="I394"/>
  <c r="G42" i="42"/>
  <c r="I344" i="30"/>
  <c r="S72" i="44"/>
  <c r="BE9" i="42"/>
  <c r="S493" i="44"/>
  <c r="S173"/>
  <c r="T8"/>
  <c r="R233"/>
  <c r="R195"/>
  <c r="R253" s="1"/>
  <c r="P33" i="30"/>
  <c r="T197" i="44"/>
  <c r="T258" s="1"/>
  <c r="T16" i="43"/>
  <c r="S207" i="30"/>
  <c r="S245" s="1"/>
  <c r="U20"/>
  <c r="R21" i="42"/>
  <c r="T505" i="30"/>
  <c r="T84"/>
  <c r="T185"/>
  <c r="T230" s="1"/>
  <c r="T402"/>
  <c r="T204"/>
  <c r="T242" s="1"/>
  <c r="T235" i="44"/>
  <c r="R10" i="42"/>
  <c r="U9" i="30"/>
  <c r="T494"/>
  <c r="T174"/>
  <c r="T196" s="1"/>
  <c r="T73"/>
  <c r="S196"/>
  <c r="K89" i="33"/>
  <c r="K30"/>
  <c r="U14" i="44"/>
  <c r="T78"/>
  <c r="T179"/>
  <c r="T232" s="1"/>
  <c r="BF15" i="42"/>
  <c r="T499" i="44"/>
  <c r="S205" i="30"/>
  <c r="S243" s="1"/>
  <c r="T82"/>
  <c r="U18"/>
  <c r="T503"/>
  <c r="R19" i="42"/>
  <c r="T400" i="30"/>
  <c r="T183"/>
  <c r="T228" s="1"/>
  <c r="Q666"/>
  <c r="O186" i="42" s="1"/>
  <c r="S254" i="44"/>
  <c r="T204"/>
  <c r="T242" s="1"/>
  <c r="R209" i="30"/>
  <c r="R250" s="1"/>
  <c r="R223" i="44"/>
  <c r="R209"/>
  <c r="R250" s="1"/>
  <c r="S187" i="30"/>
  <c r="S223" s="1"/>
  <c r="Q23" i="42"/>
  <c r="S404" i="30"/>
  <c r="T22"/>
  <c r="S86"/>
  <c r="S507"/>
  <c r="S86" i="44"/>
  <c r="S187"/>
  <c r="S507"/>
  <c r="BE23" i="42"/>
  <c r="S404" i="44"/>
  <c r="T22"/>
  <c r="U174"/>
  <c r="V9"/>
  <c r="BG10" i="42"/>
  <c r="U73" i="44"/>
  <c r="U494"/>
  <c r="U666" s="1"/>
  <c r="BG186" i="42" s="1"/>
  <c r="T196" i="44"/>
  <c r="T234"/>
  <c r="U77" i="30"/>
  <c r="S14" i="42"/>
  <c r="U178" i="30"/>
  <c r="U498"/>
  <c r="V13"/>
  <c r="T231"/>
  <c r="T200"/>
  <c r="T249" s="1"/>
  <c r="U197"/>
  <c r="U258" s="1"/>
  <c r="Q208"/>
  <c r="Q257" s="1"/>
  <c r="Q198" i="44"/>
  <c r="Q252" s="1"/>
  <c r="Q198" i="30"/>
  <c r="Q252" s="1"/>
  <c r="R214"/>
  <c r="R239" s="1"/>
  <c r="R195"/>
  <c r="R253" s="1"/>
  <c r="R504"/>
  <c r="R401"/>
  <c r="S19"/>
  <c r="R83"/>
  <c r="P20" i="42"/>
  <c r="R184" i="30"/>
  <c r="R229" s="1"/>
  <c r="R79"/>
  <c r="R180"/>
  <c r="R500"/>
  <c r="R679" s="1"/>
  <c r="CK177" i="42" s="1"/>
  <c r="S15" i="30"/>
  <c r="P16" i="42"/>
  <c r="S91" i="44"/>
  <c r="S192"/>
  <c r="S217" s="1"/>
  <c r="S276" s="1"/>
  <c r="S298" s="1"/>
  <c r="BE28" i="42"/>
  <c r="T27" i="44"/>
  <c r="T267" s="1"/>
  <c r="S512"/>
  <c r="R184"/>
  <c r="R229" s="1"/>
  <c r="R504"/>
  <c r="S19"/>
  <c r="R401"/>
  <c r="BD20" i="42"/>
  <c r="R83" i="44"/>
  <c r="R206"/>
  <c r="R244" s="1"/>
  <c r="Q28" i="42"/>
  <c r="S512" i="30"/>
  <c r="T27"/>
  <c r="T267" s="1"/>
  <c r="S192"/>
  <c r="S217" s="1"/>
  <c r="S276" s="1"/>
  <c r="S298" s="1"/>
  <c r="S91"/>
  <c r="S214"/>
  <c r="S239" s="1"/>
  <c r="S72"/>
  <c r="Q9" i="42"/>
  <c r="S173" i="30"/>
  <c r="T8"/>
  <c r="T431" s="1"/>
  <c r="R67" i="42" s="1"/>
  <c r="S493" i="30"/>
  <c r="S661" s="1"/>
  <c r="Q177" i="42" s="1"/>
  <c r="R85" i="30"/>
  <c r="S21"/>
  <c r="P22" i="42"/>
  <c r="R403" i="30"/>
  <c r="R506"/>
  <c r="R186"/>
  <c r="R221" s="1"/>
  <c r="R431" i="44"/>
  <c r="BD67" i="42" s="1"/>
  <c r="R440" i="44"/>
  <c r="CL67" i="42" s="1"/>
  <c r="R176" i="44"/>
  <c r="R224" s="1"/>
  <c r="S11"/>
  <c r="R28"/>
  <c r="R29" s="1"/>
  <c r="R41"/>
  <c r="R496"/>
  <c r="BD12" i="42"/>
  <c r="R75" i="44"/>
  <c r="S11" i="30"/>
  <c r="R440"/>
  <c r="CL66" i="42" s="1"/>
  <c r="P12"/>
  <c r="R28" i="30"/>
  <c r="R29" s="1"/>
  <c r="R75"/>
  <c r="R496"/>
  <c r="R430"/>
  <c r="P66" i="42" s="1"/>
  <c r="R176" i="30"/>
  <c r="R224" s="1"/>
  <c r="R41"/>
  <c r="R266"/>
  <c r="R266" i="44"/>
  <c r="T33" i="43"/>
  <c r="U19"/>
  <c r="U23" s="1"/>
  <c r="U32" s="1"/>
  <c r="U16"/>
  <c r="K103" i="33"/>
  <c r="Q271" i="44"/>
  <c r="Q277" s="1"/>
  <c r="Q299" s="1"/>
  <c r="Q278" s="1"/>
  <c r="Q300" s="1"/>
  <c r="Q279" s="1"/>
  <c r="Q301" s="1"/>
  <c r="Q280" s="1"/>
  <c r="Q302" s="1"/>
  <c r="Q281" s="1"/>
  <c r="Q303" s="1"/>
  <c r="Q282" s="1"/>
  <c r="Q304" s="1"/>
  <c r="Q283" s="1"/>
  <c r="Q38"/>
  <c r="Q33" s="1"/>
  <c r="Q38" i="30"/>
  <c r="Z268"/>
  <c r="Z268" i="44"/>
  <c r="AC29" i="43"/>
  <c r="P45" i="44"/>
  <c r="J100" i="33" s="1"/>
  <c r="P44" i="44"/>
  <c r="J99" i="33" s="1"/>
  <c r="P47" i="44"/>
  <c r="J102" i="33" s="1"/>
  <c r="P46" i="44"/>
  <c r="J101" i="33" s="1"/>
  <c r="J90" s="1"/>
  <c r="W10" i="43"/>
  <c r="V12"/>
  <c r="V55"/>
  <c r="V74" s="1"/>
  <c r="W54"/>
  <c r="V56"/>
  <c r="V73" s="1"/>
  <c r="V14" s="1"/>
  <c r="W57"/>
  <c r="W75" s="1"/>
  <c r="S164" i="42" s="1"/>
  <c r="BG164" s="1"/>
  <c r="X52" i="43"/>
  <c r="T269" i="44"/>
  <c r="T269" i="30"/>
  <c r="W26" i="43"/>
  <c r="K44" i="33"/>
  <c r="Q271" i="30"/>
  <c r="Q277" s="1"/>
  <c r="Q299" s="1"/>
  <c r="Q278" s="1"/>
  <c r="Q300" s="1"/>
  <c r="Q279" s="1"/>
  <c r="Q301" s="1"/>
  <c r="Q280" s="1"/>
  <c r="Q302" s="1"/>
  <c r="Q281" s="1"/>
  <c r="S40"/>
  <c r="S92" s="1"/>
  <c r="S40" i="44"/>
  <c r="S92" s="1"/>
  <c r="V27" i="43"/>
  <c r="P45" i="30"/>
  <c r="J41" i="33" s="1"/>
  <c r="P44" i="30"/>
  <c r="J40" i="33" s="1"/>
  <c r="P46" i="30"/>
  <c r="J42" i="33" s="1"/>
  <c r="J31" s="1"/>
  <c r="P47" i="30"/>
  <c r="J43" i="33" s="1"/>
  <c r="T201" i="30"/>
  <c r="T251" s="1"/>
  <c r="U179"/>
  <c r="U232" s="1"/>
  <c r="U499"/>
  <c r="U201"/>
  <c r="U251" s="1"/>
  <c r="S15" i="42"/>
  <c r="V14" i="30"/>
  <c r="U78"/>
  <c r="U77" i="44"/>
  <c r="U498"/>
  <c r="U178"/>
  <c r="U231" s="1"/>
  <c r="V13"/>
  <c r="BG14" i="42"/>
  <c r="T200" i="44"/>
  <c r="T249" s="1"/>
  <c r="U506"/>
  <c r="U85"/>
  <c r="U186"/>
  <c r="U221" s="1"/>
  <c r="BG22" i="42"/>
  <c r="V21" i="44"/>
  <c r="U403"/>
  <c r="T221"/>
  <c r="T208"/>
  <c r="T257" s="1"/>
  <c r="U205"/>
  <c r="U243" s="1"/>
  <c r="T203"/>
  <c r="T241" s="1"/>
  <c r="U502"/>
  <c r="BG18" i="42"/>
  <c r="U94" i="44"/>
  <c r="U182"/>
  <c r="U227" s="1"/>
  <c r="V17"/>
  <c r="U81"/>
  <c r="U74"/>
  <c r="U430"/>
  <c r="BG66" i="42" s="1"/>
  <c r="U495" i="44"/>
  <c r="BG11" i="42"/>
  <c r="U175" i="44"/>
  <c r="U222" s="1"/>
  <c r="V10"/>
  <c r="U502" i="30"/>
  <c r="V17"/>
  <c r="U81"/>
  <c r="S18" i="42"/>
  <c r="U94" i="30"/>
  <c r="U399"/>
  <c r="U182"/>
  <c r="U227" s="1"/>
  <c r="T202" i="44"/>
  <c r="T210"/>
  <c r="U500"/>
  <c r="U79"/>
  <c r="U180"/>
  <c r="BG16" i="42"/>
  <c r="V15" i="44"/>
  <c r="U87"/>
  <c r="U188"/>
  <c r="U508"/>
  <c r="U405"/>
  <c r="BG24" i="42"/>
  <c r="V23" i="44"/>
  <c r="V503"/>
  <c r="V183"/>
  <c r="V228" s="1"/>
  <c r="W18"/>
  <c r="BH19" i="42"/>
  <c r="V82" i="44"/>
  <c r="U93"/>
  <c r="V16"/>
  <c r="U80"/>
  <c r="BG17" i="42"/>
  <c r="U501" i="44"/>
  <c r="U661" s="1"/>
  <c r="BG177" i="42" s="1"/>
  <c r="U181" i="44"/>
  <c r="U226" s="1"/>
  <c r="F305" i="30"/>
  <c r="F284" s="1"/>
  <c r="H305" i="44"/>
  <c r="H284" s="1"/>
  <c r="G305" i="30"/>
  <c r="G284" s="1"/>
  <c r="G305" i="44"/>
  <c r="G284" s="1"/>
  <c r="D305"/>
  <c r="D284" s="1"/>
  <c r="E307"/>
  <c r="E286" s="1"/>
  <c r="F305"/>
  <c r="F284" s="1"/>
  <c r="H305" i="30"/>
  <c r="H284" s="1"/>
  <c r="E307"/>
  <c r="E286" s="1"/>
  <c r="D305"/>
  <c r="D284" s="1"/>
  <c r="T11" i="42"/>
  <c r="V495" i="30"/>
  <c r="V175"/>
  <c r="V222" s="1"/>
  <c r="W10"/>
  <c r="V74"/>
  <c r="U189" i="44"/>
  <c r="U218" s="1"/>
  <c r="BG25" i="42"/>
  <c r="V24" i="44"/>
  <c r="U509"/>
  <c r="U88"/>
  <c r="U406"/>
  <c r="T211"/>
  <c r="T246" s="1"/>
  <c r="W501" i="30"/>
  <c r="W181"/>
  <c r="W226" s="1"/>
  <c r="W80"/>
  <c r="U17" i="42"/>
  <c r="X16" i="30"/>
  <c r="W93"/>
  <c r="V203"/>
  <c r="V241" s="1"/>
  <c r="T211"/>
  <c r="T246" s="1"/>
  <c r="M306"/>
  <c r="M285" s="1"/>
  <c r="M308" i="44"/>
  <c r="M287" s="1"/>
  <c r="P305"/>
  <c r="P284" s="1"/>
  <c r="S25" i="42"/>
  <c r="U88" i="30"/>
  <c r="U189"/>
  <c r="U218" s="1"/>
  <c r="V24"/>
  <c r="U406"/>
  <c r="U509"/>
  <c r="K310" i="44"/>
  <c r="K289" s="1"/>
  <c r="L309"/>
  <c r="L288" s="1"/>
  <c r="N305" i="30"/>
  <c r="N284" s="1"/>
  <c r="J309"/>
  <c r="J288" s="1"/>
  <c r="J311" i="44"/>
  <c r="J290" s="1"/>
  <c r="K308" i="30"/>
  <c r="K287" s="1"/>
  <c r="O304"/>
  <c r="O283" s="1"/>
  <c r="L307"/>
  <c r="L286" s="1"/>
  <c r="I311" i="44"/>
  <c r="I290" s="1"/>
  <c r="O306"/>
  <c r="O285" s="1"/>
  <c r="N307"/>
  <c r="N286" s="1"/>
  <c r="T207" i="30" l="1"/>
  <c r="T245" s="1"/>
  <c r="Y67" i="43"/>
  <c r="Y66"/>
  <c r="Z65"/>
  <c r="Y68"/>
  <c r="BE27" i="42"/>
  <c r="S191" i="44"/>
  <c r="S220" s="1"/>
  <c r="T26"/>
  <c r="S408"/>
  <c r="S90"/>
  <c r="S213"/>
  <c r="S248" s="1"/>
  <c r="S508" i="30"/>
  <c r="T23"/>
  <c r="S405"/>
  <c r="Q24" i="42"/>
  <c r="S87" i="30"/>
  <c r="S188"/>
  <c r="S234" s="1"/>
  <c r="BE26" i="42"/>
  <c r="S407" i="44"/>
  <c r="T25"/>
  <c r="S190"/>
  <c r="S219" s="1"/>
  <c r="S89"/>
  <c r="S212"/>
  <c r="S247" s="1"/>
  <c r="Q27" i="42"/>
  <c r="S408" i="30"/>
  <c r="S191"/>
  <c r="S220" s="1"/>
  <c r="S90"/>
  <c r="T26"/>
  <c r="R213" i="44"/>
  <c r="R248" s="1"/>
  <c r="S407" i="30"/>
  <c r="T25"/>
  <c r="S190"/>
  <c r="S219" s="1"/>
  <c r="S89"/>
  <c r="Q26" i="42"/>
  <c r="S177" i="44"/>
  <c r="S225" s="1"/>
  <c r="S76"/>
  <c r="S199"/>
  <c r="S240" s="1"/>
  <c r="S497"/>
  <c r="BE13" i="42"/>
  <c r="T12" i="44"/>
  <c r="Q13" i="42"/>
  <c r="S76" i="30"/>
  <c r="S177"/>
  <c r="S225" s="1"/>
  <c r="S497"/>
  <c r="T12"/>
  <c r="R199" i="44"/>
  <c r="R240" s="1"/>
  <c r="R199" i="30"/>
  <c r="R240" s="1"/>
  <c r="K91" i="33"/>
  <c r="K32"/>
  <c r="S233" i="30"/>
  <c r="U236" i="44"/>
  <c r="U204"/>
  <c r="U242" s="1"/>
  <c r="Q34" i="30"/>
  <c r="K56" i="33"/>
  <c r="K115"/>
  <c r="Q34" i="44"/>
  <c r="V205"/>
  <c r="V243" s="1"/>
  <c r="T256"/>
  <c r="R236" i="30"/>
  <c r="R235"/>
  <c r="U84" i="44"/>
  <c r="U185"/>
  <c r="U230" s="1"/>
  <c r="U402"/>
  <c r="U505"/>
  <c r="BG21" i="42"/>
  <c r="V20" i="44"/>
  <c r="T230"/>
  <c r="T207"/>
  <c r="T245" s="1"/>
  <c r="U211" i="30"/>
  <c r="U246" s="1"/>
  <c r="R198" i="44"/>
  <c r="R252" s="1"/>
  <c r="I565" i="30"/>
  <c r="I323"/>
  <c r="I375" s="1"/>
  <c r="I954"/>
  <c r="I764"/>
  <c r="G228" i="42" s="1"/>
  <c r="BF9"/>
  <c r="U8" i="44"/>
  <c r="T173"/>
  <c r="T493"/>
  <c r="T72"/>
  <c r="S195"/>
  <c r="S253" s="1"/>
  <c r="S233"/>
  <c r="Q33" i="30"/>
  <c r="R198"/>
  <c r="R252" s="1"/>
  <c r="U84"/>
  <c r="U185"/>
  <c r="U230" s="1"/>
  <c r="U505"/>
  <c r="V20"/>
  <c r="U402"/>
  <c r="S21" i="42"/>
  <c r="T255" i="44"/>
  <c r="U494" i="30"/>
  <c r="U73"/>
  <c r="V9"/>
  <c r="U174"/>
  <c r="U196" s="1"/>
  <c r="S10" i="42"/>
  <c r="L89" i="33"/>
  <c r="L30"/>
  <c r="V18" i="30"/>
  <c r="S19" i="42"/>
  <c r="U503" i="30"/>
  <c r="U400"/>
  <c r="U183"/>
  <c r="U228" s="1"/>
  <c r="U82"/>
  <c r="U205"/>
  <c r="U243" s="1"/>
  <c r="V14" i="44"/>
  <c r="U499"/>
  <c r="U78"/>
  <c r="U179"/>
  <c r="U232" s="1"/>
  <c r="BG15" i="42"/>
  <c r="U201" i="44"/>
  <c r="U251" s="1"/>
  <c r="T205" i="30"/>
  <c r="T243" s="1"/>
  <c r="T201" i="44"/>
  <c r="T251" s="1"/>
  <c r="R666" i="30"/>
  <c r="P186" i="42" s="1"/>
  <c r="T254" i="44"/>
  <c r="S209" i="30"/>
  <c r="S250" s="1"/>
  <c r="BF23" i="42"/>
  <c r="T187" i="44"/>
  <c r="T507"/>
  <c r="T404"/>
  <c r="T86"/>
  <c r="U22"/>
  <c r="S223"/>
  <c r="S209"/>
  <c r="S250" s="1"/>
  <c r="T404" i="30"/>
  <c r="T187"/>
  <c r="U22"/>
  <c r="T507"/>
  <c r="T86"/>
  <c r="R23" i="42"/>
  <c r="U234" i="44"/>
  <c r="U196"/>
  <c r="V174"/>
  <c r="BH10" i="42"/>
  <c r="V494" i="44"/>
  <c r="V666" s="1"/>
  <c r="BH186" i="42" s="1"/>
  <c r="V73" i="44"/>
  <c r="W9"/>
  <c r="T14" i="42"/>
  <c r="V178" i="30"/>
  <c r="V231" s="1"/>
  <c r="V498"/>
  <c r="V77"/>
  <c r="W13"/>
  <c r="U231"/>
  <c r="U200"/>
  <c r="U249" s="1"/>
  <c r="S195"/>
  <c r="S253" s="1"/>
  <c r="S214" i="44"/>
  <c r="S239" s="1"/>
  <c r="R202" i="30"/>
  <c r="S184" i="44"/>
  <c r="S229" s="1"/>
  <c r="BE20" i="42"/>
  <c r="T19" i="44"/>
  <c r="S83"/>
  <c r="S401"/>
  <c r="S504"/>
  <c r="S679" s="1"/>
  <c r="CL186" i="42" s="1"/>
  <c r="S184" i="30"/>
  <c r="S229" s="1"/>
  <c r="S401"/>
  <c r="Q20" i="42"/>
  <c r="T19" i="30"/>
  <c r="S83"/>
  <c r="S504"/>
  <c r="S206"/>
  <c r="S244" s="1"/>
  <c r="R206"/>
  <c r="R244" s="1"/>
  <c r="T72"/>
  <c r="T493"/>
  <c r="T661" s="1"/>
  <c r="R177" i="42" s="1"/>
  <c r="R9"/>
  <c r="U8" i="30"/>
  <c r="U431" s="1"/>
  <c r="S67" i="42" s="1"/>
  <c r="T173" i="30"/>
  <c r="T192"/>
  <c r="T217" s="1"/>
  <c r="T276" s="1"/>
  <c r="T298" s="1"/>
  <c r="T91"/>
  <c r="R28" i="42"/>
  <c r="U27" i="30"/>
  <c r="U267" s="1"/>
  <c r="T512"/>
  <c r="T512" i="44"/>
  <c r="BF28" i="42"/>
  <c r="U27" i="44"/>
  <c r="U267" s="1"/>
  <c r="T91"/>
  <c r="T192"/>
  <c r="S500" i="30"/>
  <c r="S679" s="1"/>
  <c r="CL177" i="42" s="1"/>
  <c r="T15" i="30"/>
  <c r="S79"/>
  <c r="Q16" i="42"/>
  <c r="S180" i="30"/>
  <c r="U202" i="44"/>
  <c r="U256" s="1"/>
  <c r="S75" i="30"/>
  <c r="S496"/>
  <c r="Q12" i="42"/>
  <c r="S430" i="30"/>
  <c r="Q66" i="42" s="1"/>
  <c r="S28" i="30"/>
  <c r="S29" s="1"/>
  <c r="S176"/>
  <c r="S224" s="1"/>
  <c r="T11"/>
  <c r="S440"/>
  <c r="CM66" i="42" s="1"/>
  <c r="S41" i="30"/>
  <c r="S431" i="44"/>
  <c r="BE67" i="42" s="1"/>
  <c r="S176" i="44"/>
  <c r="S224" s="1"/>
  <c r="BE12" i="42"/>
  <c r="S496" i="44"/>
  <c r="S75"/>
  <c r="T11"/>
  <c r="S440"/>
  <c r="CM67" i="42" s="1"/>
  <c r="S28" i="44"/>
  <c r="S41"/>
  <c r="R208" i="30"/>
  <c r="R257" s="1"/>
  <c r="Q22" i="42"/>
  <c r="S85" i="30"/>
  <c r="S403"/>
  <c r="S506"/>
  <c r="S186"/>
  <c r="S221" s="1"/>
  <c r="T21"/>
  <c r="S208"/>
  <c r="S257" s="1"/>
  <c r="U197" i="44"/>
  <c r="U258" s="1"/>
  <c r="V15" i="43"/>
  <c r="V20" s="1"/>
  <c r="U269" i="30"/>
  <c r="X26" i="43"/>
  <c r="U269" i="44"/>
  <c r="X54" i="43"/>
  <c r="W55"/>
  <c r="W74" s="1"/>
  <c r="W56"/>
  <c r="W73" s="1"/>
  <c r="W14" s="1"/>
  <c r="Q44" i="30"/>
  <c r="K40" i="33" s="1"/>
  <c r="Q45" i="30"/>
  <c r="K41" i="33" s="1"/>
  <c r="Q46" i="30"/>
  <c r="K42" i="33" s="1"/>
  <c r="K31" s="1"/>
  <c r="Q47" i="30"/>
  <c r="K43" i="33" s="1"/>
  <c r="R38" i="44"/>
  <c r="R38" i="30"/>
  <c r="L44" i="33"/>
  <c r="R271" i="30"/>
  <c r="R277" s="1"/>
  <c r="R299" s="1"/>
  <c r="R278" s="1"/>
  <c r="R300" s="1"/>
  <c r="R279" s="1"/>
  <c r="R301" s="1"/>
  <c r="R280" s="1"/>
  <c r="R302" s="1"/>
  <c r="R281" s="1"/>
  <c r="T40" i="44"/>
  <c r="T92" s="1"/>
  <c r="W27" i="43"/>
  <c r="T40" i="30"/>
  <c r="T92" s="1"/>
  <c r="X57" i="43"/>
  <c r="X75" s="1"/>
  <c r="T164" i="42" s="1"/>
  <c r="BH164" s="1"/>
  <c r="Y52" i="43"/>
  <c r="V19"/>
  <c r="V23" s="1"/>
  <c r="V32" s="1"/>
  <c r="W12"/>
  <c r="X10"/>
  <c r="AA268" i="30"/>
  <c r="AA268" i="44"/>
  <c r="AD29" i="43"/>
  <c r="Q45" i="44"/>
  <c r="K100" i="33" s="1"/>
  <c r="Q44" i="44"/>
  <c r="K99" i="33" s="1"/>
  <c r="Q47" i="44"/>
  <c r="K102" i="33" s="1"/>
  <c r="Q46" i="44"/>
  <c r="K101" i="33" s="1"/>
  <c r="K90" s="1"/>
  <c r="S266" i="44"/>
  <c r="U33" i="43"/>
  <c r="S266" i="30"/>
  <c r="L103" i="33"/>
  <c r="R271" i="44"/>
  <c r="R277" s="1"/>
  <c r="R299" s="1"/>
  <c r="R278" s="1"/>
  <c r="R300" s="1"/>
  <c r="R279" s="1"/>
  <c r="R301" s="1"/>
  <c r="R280" s="1"/>
  <c r="R302" s="1"/>
  <c r="R281" s="1"/>
  <c r="R303" s="1"/>
  <c r="R282" s="1"/>
  <c r="R304" s="1"/>
  <c r="R283" s="1"/>
  <c r="V499" i="30"/>
  <c r="T15" i="42"/>
  <c r="V179" i="30"/>
  <c r="V232" s="1"/>
  <c r="V78"/>
  <c r="W14"/>
  <c r="V77" i="44"/>
  <c r="V498"/>
  <c r="V178"/>
  <c r="V231" s="1"/>
  <c r="BH14" i="42"/>
  <c r="W13" i="44"/>
  <c r="U208"/>
  <c r="U257" s="1"/>
  <c r="U200"/>
  <c r="U249" s="1"/>
  <c r="V506"/>
  <c r="W21"/>
  <c r="V85"/>
  <c r="V186"/>
  <c r="V221" s="1"/>
  <c r="BH22" i="42"/>
  <c r="V403" i="44"/>
  <c r="V501"/>
  <c r="V661" s="1"/>
  <c r="BH177" i="42" s="1"/>
  <c r="V181" i="44"/>
  <c r="V226" s="1"/>
  <c r="W16"/>
  <c r="BH17" i="42"/>
  <c r="V80" i="44"/>
  <c r="V93"/>
  <c r="BI19" i="42"/>
  <c r="W82" i="44"/>
  <c r="W503"/>
  <c r="X18"/>
  <c r="W183"/>
  <c r="W228" s="1"/>
  <c r="V188"/>
  <c r="V405"/>
  <c r="V87"/>
  <c r="V508"/>
  <c r="BH24" i="42"/>
  <c r="W23" i="44"/>
  <c r="U235"/>
  <c r="U210"/>
  <c r="W17"/>
  <c r="V182"/>
  <c r="V227" s="1"/>
  <c r="BH18" i="42"/>
  <c r="V502" i="44"/>
  <c r="V81"/>
  <c r="V94"/>
  <c r="V500"/>
  <c r="V79"/>
  <c r="BH16" i="42"/>
  <c r="V180" i="44"/>
  <c r="W15"/>
  <c r="T18" i="42"/>
  <c r="W17" i="30"/>
  <c r="V94"/>
  <c r="V81"/>
  <c r="V182"/>
  <c r="V227" s="1"/>
  <c r="V399"/>
  <c r="V502"/>
  <c r="V495" i="44"/>
  <c r="V74"/>
  <c r="W10"/>
  <c r="V430"/>
  <c r="BH66" i="42" s="1"/>
  <c r="V175" i="44"/>
  <c r="V222" s="1"/>
  <c r="BH11" i="42"/>
  <c r="U203" i="44"/>
  <c r="U241" s="1"/>
  <c r="U204" i="30"/>
  <c r="U242" s="1"/>
  <c r="D306"/>
  <c r="D285" s="1"/>
  <c r="E308"/>
  <c r="E287" s="1"/>
  <c r="H306"/>
  <c r="H285" s="1"/>
  <c r="F306" i="44"/>
  <c r="F285" s="1"/>
  <c r="E308"/>
  <c r="E287" s="1"/>
  <c r="D306"/>
  <c r="D285" s="1"/>
  <c r="G306"/>
  <c r="G285" s="1"/>
  <c r="G306" i="30"/>
  <c r="G285" s="1"/>
  <c r="H306" i="44"/>
  <c r="H285" s="1"/>
  <c r="F306" i="30"/>
  <c r="F285" s="1"/>
  <c r="V197"/>
  <c r="V258" s="1"/>
  <c r="W175"/>
  <c r="W222" s="1"/>
  <c r="U11" i="42"/>
  <c r="W495" i="30"/>
  <c r="X10"/>
  <c r="W74"/>
  <c r="W203"/>
  <c r="W241" s="1"/>
  <c r="BH25" i="42"/>
  <c r="V88" i="44"/>
  <c r="V406"/>
  <c r="W24"/>
  <c r="V189"/>
  <c r="V218" s="1"/>
  <c r="V509"/>
  <c r="U211"/>
  <c r="U246" s="1"/>
  <c r="Y16" i="30"/>
  <c r="X93"/>
  <c r="X181"/>
  <c r="X226" s="1"/>
  <c r="X501"/>
  <c r="X80"/>
  <c r="V17" i="42"/>
  <c r="X203" i="30"/>
  <c r="X241" s="1"/>
  <c r="P306" i="44"/>
  <c r="P285" s="1"/>
  <c r="M309"/>
  <c r="M288" s="1"/>
  <c r="N308"/>
  <c r="N287" s="1"/>
  <c r="O307"/>
  <c r="O286" s="1"/>
  <c r="P304" i="30"/>
  <c r="P283" s="1"/>
  <c r="I312" i="44"/>
  <c r="I291" s="1"/>
  <c r="L308" i="30"/>
  <c r="L287" s="1"/>
  <c r="O305"/>
  <c r="O284" s="1"/>
  <c r="K309"/>
  <c r="K288" s="1"/>
  <c r="J312" i="44"/>
  <c r="J291" s="1"/>
  <c r="J310" i="30"/>
  <c r="J289" s="1"/>
  <c r="N306"/>
  <c r="N285" s="1"/>
  <c r="L310" i="44"/>
  <c r="L289" s="1"/>
  <c r="K311"/>
  <c r="K290" s="1"/>
  <c r="V509" i="30"/>
  <c r="V406"/>
  <c r="T25" i="42"/>
  <c r="V189" i="30"/>
  <c r="V218" s="1"/>
  <c r="V88"/>
  <c r="W24"/>
  <c r="Q305" i="44"/>
  <c r="Q284" s="1"/>
  <c r="Q303" i="30"/>
  <c r="Q282" s="1"/>
  <c r="M307"/>
  <c r="M286" s="1"/>
  <c r="Z66" i="43" l="1"/>
  <c r="Z68"/>
  <c r="AA65"/>
  <c r="Z67"/>
  <c r="V16"/>
  <c r="S198" i="30"/>
  <c r="S252" s="1"/>
  <c r="U207" i="44"/>
  <c r="U245" s="1"/>
  <c r="S213" i="30"/>
  <c r="S248" s="1"/>
  <c r="S210"/>
  <c r="S254" s="1"/>
  <c r="U26" i="44"/>
  <c r="T191"/>
  <c r="T220" s="1"/>
  <c r="BF27" i="42"/>
  <c r="T90" i="44"/>
  <c r="T408"/>
  <c r="T213"/>
  <c r="T248" s="1"/>
  <c r="T190" i="30"/>
  <c r="T219" s="1"/>
  <c r="R26" i="42"/>
  <c r="T407" i="30"/>
  <c r="T89"/>
  <c r="U25"/>
  <c r="R27" i="42"/>
  <c r="T90" i="30"/>
  <c r="T408"/>
  <c r="U26"/>
  <c r="T191"/>
  <c r="T220" s="1"/>
  <c r="U25" i="44"/>
  <c r="T89"/>
  <c r="BF26" i="42"/>
  <c r="T407" i="44"/>
  <c r="T190"/>
  <c r="T219" s="1"/>
  <c r="R24" i="42"/>
  <c r="T405" i="30"/>
  <c r="T188"/>
  <c r="T234" s="1"/>
  <c r="U23"/>
  <c r="T508"/>
  <c r="T87"/>
  <c r="T210"/>
  <c r="T254" s="1"/>
  <c r="S212"/>
  <c r="S247" s="1"/>
  <c r="T76"/>
  <c r="T177"/>
  <c r="T225" s="1"/>
  <c r="T497"/>
  <c r="U12"/>
  <c r="R13" i="42"/>
  <c r="T199" i="30"/>
  <c r="T240" s="1"/>
  <c r="BF13" i="42"/>
  <c r="T177" i="44"/>
  <c r="T225" s="1"/>
  <c r="T76"/>
  <c r="T497"/>
  <c r="U12"/>
  <c r="T199"/>
  <c r="T240" s="1"/>
  <c r="S199" i="30"/>
  <c r="S240" s="1"/>
  <c r="L91" i="33"/>
  <c r="L32"/>
  <c r="T233" i="30"/>
  <c r="U207"/>
  <c r="U245" s="1"/>
  <c r="V204" i="44"/>
  <c r="V242" s="1"/>
  <c r="I398" i="30"/>
  <c r="R34"/>
  <c r="L56" i="33"/>
  <c r="L115"/>
  <c r="R34" i="44"/>
  <c r="R33"/>
  <c r="V236"/>
  <c r="S236" i="30"/>
  <c r="S235"/>
  <c r="R256"/>
  <c r="R255"/>
  <c r="V185" i="44"/>
  <c r="W20"/>
  <c r="V402"/>
  <c r="V505"/>
  <c r="BH21" i="42"/>
  <c r="V84" i="44"/>
  <c r="S29"/>
  <c r="G114" i="42"/>
  <c r="I589" i="30"/>
  <c r="I814"/>
  <c r="I837"/>
  <c r="G46" i="42"/>
  <c r="I699" i="30"/>
  <c r="I524"/>
  <c r="I722"/>
  <c r="I791"/>
  <c r="I547"/>
  <c r="I860"/>
  <c r="I745"/>
  <c r="I345"/>
  <c r="T233" i="44"/>
  <c r="T195"/>
  <c r="T253" s="1"/>
  <c r="U493"/>
  <c r="BG9" i="42"/>
  <c r="U173" i="44"/>
  <c r="V8"/>
  <c r="U72"/>
  <c r="R33" i="30"/>
  <c r="W15" i="43"/>
  <c r="W20" s="1"/>
  <c r="V84" i="30"/>
  <c r="W20"/>
  <c r="V185"/>
  <c r="V230" s="1"/>
  <c r="V505"/>
  <c r="V402"/>
  <c r="T21" i="42"/>
  <c r="V73" i="30"/>
  <c r="T10" i="42"/>
  <c r="W9" i="30"/>
  <c r="V494"/>
  <c r="V174"/>
  <c r="V196" s="1"/>
  <c r="M89" i="33"/>
  <c r="U255" i="44"/>
  <c r="V202"/>
  <c r="V197"/>
  <c r="V258" s="1"/>
  <c r="M30" i="33"/>
  <c r="W18" i="30"/>
  <c r="V183"/>
  <c r="V228" s="1"/>
  <c r="V503"/>
  <c r="V82"/>
  <c r="V400"/>
  <c r="T19" i="42"/>
  <c r="V499" i="44"/>
  <c r="W14"/>
  <c r="BH15" i="42"/>
  <c r="V78" i="44"/>
  <c r="V179"/>
  <c r="V232" s="1"/>
  <c r="T214" i="30"/>
  <c r="T239" s="1"/>
  <c r="S666"/>
  <c r="Q186" i="42" s="1"/>
  <c r="U254" i="44"/>
  <c r="V22" i="30"/>
  <c r="U507"/>
  <c r="S23" i="42"/>
  <c r="U404" i="30"/>
  <c r="U187"/>
  <c r="U223" s="1"/>
  <c r="U86"/>
  <c r="T223"/>
  <c r="T209"/>
  <c r="T250" s="1"/>
  <c r="U187" i="44"/>
  <c r="U86"/>
  <c r="U507"/>
  <c r="U404"/>
  <c r="V22"/>
  <c r="BG23" i="42"/>
  <c r="T223" i="44"/>
  <c r="T209"/>
  <c r="T250" s="1"/>
  <c r="BI10" i="42"/>
  <c r="W73" i="44"/>
  <c r="W494"/>
  <c r="W666" s="1"/>
  <c r="BI186" i="42" s="1"/>
  <c r="W174" i="44"/>
  <c r="X9"/>
  <c r="V234"/>
  <c r="V196"/>
  <c r="V200" i="30"/>
  <c r="V249" s="1"/>
  <c r="W178"/>
  <c r="W231" s="1"/>
  <c r="X13"/>
  <c r="W200"/>
  <c r="W249" s="1"/>
  <c r="W77"/>
  <c r="U14" i="42"/>
  <c r="W498" i="30"/>
  <c r="S206" i="44"/>
  <c r="S244" s="1"/>
  <c r="V200"/>
  <c r="V249" s="1"/>
  <c r="V201" i="30"/>
  <c r="V251" s="1"/>
  <c r="V204"/>
  <c r="V242" s="1"/>
  <c r="S202"/>
  <c r="T217" i="44"/>
  <c r="T276" s="1"/>
  <c r="T298" s="1"/>
  <c r="T214"/>
  <c r="T239" s="1"/>
  <c r="V27"/>
  <c r="V267" s="1"/>
  <c r="U91"/>
  <c r="U512"/>
  <c r="U192"/>
  <c r="U217" s="1"/>
  <c r="U276" s="1"/>
  <c r="U298" s="1"/>
  <c r="BG28" i="42"/>
  <c r="U192" i="30"/>
  <c r="U217" s="1"/>
  <c r="U276" s="1"/>
  <c r="U298" s="1"/>
  <c r="V27"/>
  <c r="V267" s="1"/>
  <c r="U91"/>
  <c r="U512"/>
  <c r="S28" i="42"/>
  <c r="U173" i="30"/>
  <c r="S9" i="42"/>
  <c r="U72" i="30"/>
  <c r="V8"/>
  <c r="V431" s="1"/>
  <c r="T67" i="42" s="1"/>
  <c r="U493" i="30"/>
  <c r="U661" s="1"/>
  <c r="S177" i="42" s="1"/>
  <c r="T401" i="30"/>
  <c r="T504"/>
  <c r="T184"/>
  <c r="T229" s="1"/>
  <c r="U19"/>
  <c r="R20" i="42"/>
  <c r="T83" i="30"/>
  <c r="T206"/>
  <c r="T244" s="1"/>
  <c r="U19" i="44"/>
  <c r="T83"/>
  <c r="T184"/>
  <c r="T229" s="1"/>
  <c r="T401"/>
  <c r="T504"/>
  <c r="T679" s="1"/>
  <c r="CM186" i="42" s="1"/>
  <c r="BF20"/>
  <c r="T195" i="30"/>
  <c r="T253" s="1"/>
  <c r="T180"/>
  <c r="T202" s="1"/>
  <c r="U15"/>
  <c r="T500"/>
  <c r="T679" s="1"/>
  <c r="CM177" i="42" s="1"/>
  <c r="R16"/>
  <c r="T79" i="30"/>
  <c r="S198" i="44"/>
  <c r="S252" s="1"/>
  <c r="R22" i="42"/>
  <c r="T186" i="30"/>
  <c r="T221" s="1"/>
  <c r="T403"/>
  <c r="T85"/>
  <c r="U21"/>
  <c r="T506"/>
  <c r="T496" i="44"/>
  <c r="T176"/>
  <c r="T224" s="1"/>
  <c r="U11"/>
  <c r="T431"/>
  <c r="BF67" i="42" s="1"/>
  <c r="T440" i="44"/>
  <c r="CN67" i="42" s="1"/>
  <c r="T75" i="44"/>
  <c r="BF12" i="42"/>
  <c r="T28" i="44"/>
  <c r="T29" s="1"/>
  <c r="T41"/>
  <c r="U11" i="30"/>
  <c r="R12" i="42"/>
  <c r="T440" i="30"/>
  <c r="CN66" i="42" s="1"/>
  <c r="T41" i="30"/>
  <c r="T496"/>
  <c r="T176"/>
  <c r="T224" s="1"/>
  <c r="T75"/>
  <c r="T430"/>
  <c r="R66" i="42" s="1"/>
  <c r="T28" i="30"/>
  <c r="T29" s="1"/>
  <c r="S38" i="44"/>
  <c r="S38" i="30"/>
  <c r="AB268" i="44"/>
  <c r="AB268" i="30"/>
  <c r="AE29" i="43"/>
  <c r="W19"/>
  <c r="W23" s="1"/>
  <c r="W32" s="1"/>
  <c r="Y57"/>
  <c r="Y75" s="1"/>
  <c r="U164" i="42" s="1"/>
  <c r="BI164" s="1"/>
  <c r="Z52" i="43"/>
  <c r="R44" i="44"/>
  <c r="L99" i="33" s="1"/>
  <c r="R45" i="44"/>
  <c r="L100" i="33" s="1"/>
  <c r="R47" i="44"/>
  <c r="L102" i="33" s="1"/>
  <c r="R46" i="44"/>
  <c r="L101" i="33" s="1"/>
  <c r="L90" s="1"/>
  <c r="M44"/>
  <c r="S271" i="30"/>
  <c r="S277" s="1"/>
  <c r="S299" s="1"/>
  <c r="S278" s="1"/>
  <c r="S300" s="1"/>
  <c r="S279" s="1"/>
  <c r="S301" s="1"/>
  <c r="S280" s="1"/>
  <c r="S302" s="1"/>
  <c r="S281" s="1"/>
  <c r="M103" i="33"/>
  <c r="S271" i="44"/>
  <c r="S277" s="1"/>
  <c r="S299" s="1"/>
  <c r="S278" s="1"/>
  <c r="S300" s="1"/>
  <c r="S279" s="1"/>
  <c r="S301" s="1"/>
  <c r="S280" s="1"/>
  <c r="S302" s="1"/>
  <c r="S281" s="1"/>
  <c r="S303" s="1"/>
  <c r="S282" s="1"/>
  <c r="S304" s="1"/>
  <c r="S283" s="1"/>
  <c r="Y10" i="43"/>
  <c r="X12"/>
  <c r="T266" i="44"/>
  <c r="T266" i="30"/>
  <c r="V33" i="43"/>
  <c r="X27"/>
  <c r="U40" i="30"/>
  <c r="U92" s="1"/>
  <c r="U40" i="44"/>
  <c r="U92" s="1"/>
  <c r="R44" i="30"/>
  <c r="L40" i="33" s="1"/>
  <c r="R45" i="30"/>
  <c r="L41" i="33" s="1"/>
  <c r="R47" i="30"/>
  <c r="L43" i="33" s="1"/>
  <c r="R46" i="30"/>
  <c r="L42" i="33" s="1"/>
  <c r="L31" s="1"/>
  <c r="X56" i="43"/>
  <c r="X73" s="1"/>
  <c r="X14" s="1"/>
  <c r="X55"/>
  <c r="X74" s="1"/>
  <c r="Y54"/>
  <c r="V269" i="30"/>
  <c r="Y26" i="43"/>
  <c r="V269" i="44"/>
  <c r="X13"/>
  <c r="W77"/>
  <c r="W178"/>
  <c r="W231" s="1"/>
  <c r="BI14" i="42"/>
  <c r="W498" i="44"/>
  <c r="U15" i="42"/>
  <c r="W499" i="30"/>
  <c r="X14"/>
  <c r="W78"/>
  <c r="W179"/>
  <c r="W232" s="1"/>
  <c r="V203" i="44"/>
  <c r="V241" s="1"/>
  <c r="V208"/>
  <c r="V257" s="1"/>
  <c r="W506"/>
  <c r="W85"/>
  <c r="BI22" i="42"/>
  <c r="W186" i="44"/>
  <c r="X21"/>
  <c r="W403"/>
  <c r="W175"/>
  <c r="W222" s="1"/>
  <c r="X10"/>
  <c r="W74"/>
  <c r="BI11" i="42"/>
  <c r="W430" i="44"/>
  <c r="BI66" i="42" s="1"/>
  <c r="W495" i="44"/>
  <c r="W197"/>
  <c r="W258" s="1"/>
  <c r="W182"/>
  <c r="W227" s="1"/>
  <c r="W94"/>
  <c r="W502"/>
  <c r="X17"/>
  <c r="W81"/>
  <c r="BI18" i="42"/>
  <c r="BI24"/>
  <c r="W508" i="44"/>
  <c r="X23"/>
  <c r="W188"/>
  <c r="W87"/>
  <c r="W405"/>
  <c r="W181"/>
  <c r="W226" s="1"/>
  <c r="W93"/>
  <c r="BI17" i="42"/>
  <c r="X16" i="44"/>
  <c r="W80"/>
  <c r="W501"/>
  <c r="W661" s="1"/>
  <c r="BI177" i="42" s="1"/>
  <c r="W205" i="44"/>
  <c r="W243" s="1"/>
  <c r="W399" i="30"/>
  <c r="W94"/>
  <c r="W81"/>
  <c r="U18" i="42"/>
  <c r="X17" i="30"/>
  <c r="W182"/>
  <c r="W227" s="1"/>
  <c r="W502"/>
  <c r="BI16" i="42"/>
  <c r="W79" i="44"/>
  <c r="W500"/>
  <c r="W180"/>
  <c r="X15"/>
  <c r="V235"/>
  <c r="V210"/>
  <c r="X183"/>
  <c r="X228" s="1"/>
  <c r="BJ19" i="42"/>
  <c r="X503" i="44"/>
  <c r="Y18"/>
  <c r="X82"/>
  <c r="F307" i="30"/>
  <c r="F286" s="1"/>
  <c r="H307" i="44"/>
  <c r="H286" s="1"/>
  <c r="G307" i="30"/>
  <c r="G286" s="1"/>
  <c r="G307" i="44"/>
  <c r="G286" s="1"/>
  <c r="D307"/>
  <c r="D286" s="1"/>
  <c r="E309"/>
  <c r="E288" s="1"/>
  <c r="F307"/>
  <c r="F286" s="1"/>
  <c r="H307" i="30"/>
  <c r="H286" s="1"/>
  <c r="E309"/>
  <c r="E288" s="1"/>
  <c r="D307"/>
  <c r="D286" s="1"/>
  <c r="W197"/>
  <c r="W258" s="1"/>
  <c r="Y10"/>
  <c r="X175"/>
  <c r="X222" s="1"/>
  <c r="X495"/>
  <c r="V11" i="42"/>
  <c r="X74" i="30"/>
  <c r="V211" i="44"/>
  <c r="V246" s="1"/>
  <c r="W189"/>
  <c r="W218" s="1"/>
  <c r="X24"/>
  <c r="W406"/>
  <c r="BI25" i="42"/>
  <c r="W509" i="44"/>
  <c r="W88"/>
  <c r="Y501" i="30"/>
  <c r="Y93"/>
  <c r="W17" i="42"/>
  <c r="Z16" i="30"/>
  <c r="Y181"/>
  <c r="Y226" s="1"/>
  <c r="Y80"/>
  <c r="Y203"/>
  <c r="Y241" s="1"/>
  <c r="Q306" i="44"/>
  <c r="Q285" s="1"/>
  <c r="W509" i="30"/>
  <c r="W189"/>
  <c r="W218" s="1"/>
  <c r="W406"/>
  <c r="X24"/>
  <c r="U25" i="42"/>
  <c r="W88" i="30"/>
  <c r="K312" i="44"/>
  <c r="K291" s="1"/>
  <c r="L311"/>
  <c r="L290" s="1"/>
  <c r="K310" i="30"/>
  <c r="K289" s="1"/>
  <c r="O306"/>
  <c r="O285" s="1"/>
  <c r="L309"/>
  <c r="L288" s="1"/>
  <c r="I313" i="44"/>
  <c r="I292" s="1"/>
  <c r="R303" i="30"/>
  <c r="R282" s="1"/>
  <c r="M310" i="44"/>
  <c r="M289" s="1"/>
  <c r="P307"/>
  <c r="P286" s="1"/>
  <c r="M308" i="30"/>
  <c r="M287" s="1"/>
  <c r="Q304"/>
  <c r="Q283" s="1"/>
  <c r="N307"/>
  <c r="N286" s="1"/>
  <c r="J311"/>
  <c r="J290" s="1"/>
  <c r="J313" i="44"/>
  <c r="J292" s="1"/>
  <c r="P305" i="30"/>
  <c r="P284" s="1"/>
  <c r="R305" i="44"/>
  <c r="R284" s="1"/>
  <c r="O308"/>
  <c r="O287" s="1"/>
  <c r="N309"/>
  <c r="N288" s="1"/>
  <c r="V211" i="30"/>
  <c r="V246" s="1"/>
  <c r="W16" i="43" l="1"/>
  <c r="V207" i="30"/>
  <c r="V245" s="1"/>
  <c r="AB65" i="43"/>
  <c r="AA68"/>
  <c r="AA67"/>
  <c r="AA66"/>
  <c r="T212" i="44"/>
  <c r="T247" s="1"/>
  <c r="T213" i="30"/>
  <c r="T248" s="1"/>
  <c r="T212"/>
  <c r="T247" s="1"/>
  <c r="U89" i="44"/>
  <c r="U407"/>
  <c r="U190"/>
  <c r="U219" s="1"/>
  <c r="V25"/>
  <c r="BG26" i="42"/>
  <c r="U408" i="44"/>
  <c r="V26"/>
  <c r="U90"/>
  <c r="BG27" i="42"/>
  <c r="U191" i="44"/>
  <c r="U220" s="1"/>
  <c r="U405" i="30"/>
  <c r="U188"/>
  <c r="U234" s="1"/>
  <c r="U508"/>
  <c r="U87"/>
  <c r="S24" i="42"/>
  <c r="V23" i="30"/>
  <c r="U408"/>
  <c r="U90"/>
  <c r="V26"/>
  <c r="U191"/>
  <c r="U220" s="1"/>
  <c r="S27" i="42"/>
  <c r="U213" i="30"/>
  <c r="U248" s="1"/>
  <c r="U407"/>
  <c r="U89"/>
  <c r="V25"/>
  <c r="U190"/>
  <c r="U219" s="1"/>
  <c r="S26" i="42"/>
  <c r="U212" i="30"/>
  <c r="U247" s="1"/>
  <c r="W204" i="44"/>
  <c r="W242" s="1"/>
  <c r="M32" i="33"/>
  <c r="U497" i="44"/>
  <c r="V12"/>
  <c r="BG13" i="42"/>
  <c r="U76" i="44"/>
  <c r="U177"/>
  <c r="U225" s="1"/>
  <c r="U76" i="30"/>
  <c r="S13" i="42"/>
  <c r="U177" i="30"/>
  <c r="U225" s="1"/>
  <c r="V12"/>
  <c r="U497"/>
  <c r="U214" i="44"/>
  <c r="U239" s="1"/>
  <c r="M91" i="33"/>
  <c r="U233" i="30"/>
  <c r="S34"/>
  <c r="M56" i="33"/>
  <c r="M115"/>
  <c r="S34" i="44"/>
  <c r="S33"/>
  <c r="W236"/>
  <c r="T198"/>
  <c r="T252" s="1"/>
  <c r="T256" i="30"/>
  <c r="T255"/>
  <c r="T236"/>
  <c r="T235"/>
  <c r="V256" i="44"/>
  <c r="S256" i="30"/>
  <c r="S255"/>
  <c r="V230" i="44"/>
  <c r="V207"/>
  <c r="V245" s="1"/>
  <c r="W84"/>
  <c r="W185"/>
  <c r="W230" s="1"/>
  <c r="X20"/>
  <c r="BI21" i="42"/>
  <c r="W402" i="44"/>
  <c r="W505"/>
  <c r="W204" i="30"/>
  <c r="W242" s="1"/>
  <c r="W202" i="44"/>
  <c r="I324" i="30"/>
  <c r="I376" s="1"/>
  <c r="I569"/>
  <c r="I958"/>
  <c r="I768"/>
  <c r="G232" i="42" s="1"/>
  <c r="U195" i="44"/>
  <c r="U253" s="1"/>
  <c r="U233"/>
  <c r="BH9" i="42"/>
  <c r="W8" i="44"/>
  <c r="V493"/>
  <c r="V679" s="1"/>
  <c r="CO186" i="42" s="1"/>
  <c r="V72" i="44"/>
  <c r="V173"/>
  <c r="S33" i="30"/>
  <c r="W402"/>
  <c r="W505"/>
  <c r="X20"/>
  <c r="W84"/>
  <c r="W185"/>
  <c r="W230" s="1"/>
  <c r="U21" i="42"/>
  <c r="W207" i="30"/>
  <c r="W245" s="1"/>
  <c r="V255" i="44"/>
  <c r="W494" i="30"/>
  <c r="X9"/>
  <c r="W73"/>
  <c r="W174"/>
  <c r="W196" s="1"/>
  <c r="U10" i="42"/>
  <c r="N89" i="33"/>
  <c r="N30"/>
  <c r="V201" i="44"/>
  <c r="V251" s="1"/>
  <c r="V205" i="30"/>
  <c r="V243" s="1"/>
  <c r="BI15" i="42"/>
  <c r="W499" i="44"/>
  <c r="X14"/>
  <c r="W78"/>
  <c r="W179"/>
  <c r="W232" s="1"/>
  <c r="X18" i="30"/>
  <c r="W503"/>
  <c r="W183"/>
  <c r="W228" s="1"/>
  <c r="W400"/>
  <c r="U19" i="42"/>
  <c r="W82" i="30"/>
  <c r="U214"/>
  <c r="U239" s="1"/>
  <c r="T666"/>
  <c r="R186" i="42" s="1"/>
  <c r="V254" i="44"/>
  <c r="W234"/>
  <c r="U209" i="30"/>
  <c r="U250" s="1"/>
  <c r="T23" i="42"/>
  <c r="V507" i="30"/>
  <c r="V187"/>
  <c r="V86"/>
  <c r="W22"/>
  <c r="V404"/>
  <c r="V187" i="44"/>
  <c r="V223" s="1"/>
  <c r="V404"/>
  <c r="W22"/>
  <c r="V86"/>
  <c r="BH23" i="42"/>
  <c r="V507" i="44"/>
  <c r="U223"/>
  <c r="U209"/>
  <c r="U250" s="1"/>
  <c r="W211" i="30"/>
  <c r="W246" s="1"/>
  <c r="W196" i="44"/>
  <c r="Y9"/>
  <c r="X174"/>
  <c r="X494"/>
  <c r="X666" s="1"/>
  <c r="BJ186" i="42" s="1"/>
  <c r="BJ10"/>
  <c r="X73" i="44"/>
  <c r="X498" i="30"/>
  <c r="X178"/>
  <c r="V14" i="42"/>
  <c r="X77" i="30"/>
  <c r="Y13"/>
  <c r="T198"/>
  <c r="T252" s="1"/>
  <c r="U195"/>
  <c r="U253" s="1"/>
  <c r="T206" i="44"/>
  <c r="T244" s="1"/>
  <c r="U79" i="30"/>
  <c r="U500"/>
  <c r="U679" s="1"/>
  <c r="CN177" i="42" s="1"/>
  <c r="V15" i="30"/>
  <c r="U180"/>
  <c r="S16" i="42"/>
  <c r="V512" i="30"/>
  <c r="V91"/>
  <c r="W27"/>
  <c r="W267" s="1"/>
  <c r="V192"/>
  <c r="V217" s="1"/>
  <c r="V276" s="1"/>
  <c r="V298" s="1"/>
  <c r="T28" i="42"/>
  <c r="V512" i="44"/>
  <c r="BH28" i="42"/>
  <c r="V192" i="44"/>
  <c r="W27"/>
  <c r="W267" s="1"/>
  <c r="V91"/>
  <c r="U83"/>
  <c r="V19"/>
  <c r="U184"/>
  <c r="U229" s="1"/>
  <c r="BG20" i="42"/>
  <c r="U401" i="44"/>
  <c r="U504"/>
  <c r="U679" s="1"/>
  <c r="CN186" i="42" s="1"/>
  <c r="U401" i="30"/>
  <c r="S20" i="42"/>
  <c r="U504" i="30"/>
  <c r="U83"/>
  <c r="U184"/>
  <c r="U229" s="1"/>
  <c r="V19"/>
  <c r="U206"/>
  <c r="U244" s="1"/>
  <c r="V493"/>
  <c r="V661" s="1"/>
  <c r="T177" i="42" s="1"/>
  <c r="T9"/>
  <c r="V173" i="30"/>
  <c r="V72"/>
  <c r="W8"/>
  <c r="W431" s="1"/>
  <c r="U67" i="42" s="1"/>
  <c r="U430" i="30"/>
  <c r="S66" i="42" s="1"/>
  <c r="S12"/>
  <c r="U176" i="30"/>
  <c r="U224" s="1"/>
  <c r="U75"/>
  <c r="U28"/>
  <c r="U29" s="1"/>
  <c r="U440"/>
  <c r="CO66" i="42" s="1"/>
  <c r="V11" i="30"/>
  <c r="U496"/>
  <c r="U41"/>
  <c r="U506"/>
  <c r="U85"/>
  <c r="U403"/>
  <c r="U186"/>
  <c r="U221" s="1"/>
  <c r="V21"/>
  <c r="S22" i="42"/>
  <c r="T208" i="30"/>
  <c r="T257" s="1"/>
  <c r="U496" i="44"/>
  <c r="U75"/>
  <c r="U176"/>
  <c r="U224" s="1"/>
  <c r="V11"/>
  <c r="U41"/>
  <c r="U440"/>
  <c r="CO67" i="42" s="1"/>
  <c r="U431" i="44"/>
  <c r="BG67" i="42" s="1"/>
  <c r="BG12"/>
  <c r="U28" i="44"/>
  <c r="X19" i="43"/>
  <c r="X23" s="1"/>
  <c r="X32" s="1"/>
  <c r="V40" i="44"/>
  <c r="V92" s="1"/>
  <c r="V40" i="30"/>
  <c r="V92" s="1"/>
  <c r="Y27" i="43"/>
  <c r="N44" i="33"/>
  <c r="T271" i="30"/>
  <c r="T277" s="1"/>
  <c r="T299" s="1"/>
  <c r="T278" s="1"/>
  <c r="T300" s="1"/>
  <c r="T279" s="1"/>
  <c r="T301" s="1"/>
  <c r="T280" s="1"/>
  <c r="T302" s="1"/>
  <c r="T281" s="1"/>
  <c r="Y12" i="43"/>
  <c r="Z10"/>
  <c r="AA52"/>
  <c r="Z57"/>
  <c r="Z75" s="1"/>
  <c r="V164" i="42" s="1"/>
  <c r="BJ164" s="1"/>
  <c r="AC268" i="30"/>
  <c r="AC268" i="44"/>
  <c r="S45"/>
  <c r="M100" i="33" s="1"/>
  <c r="S44" i="44"/>
  <c r="M99" i="33" s="1"/>
  <c r="S46" i="44"/>
  <c r="M101" i="33" s="1"/>
  <c r="M90" s="1"/>
  <c r="S47" i="44"/>
  <c r="M102" i="33" s="1"/>
  <c r="X15" i="43"/>
  <c r="X20" s="1"/>
  <c r="W269" i="44"/>
  <c r="W269" i="30"/>
  <c r="Z26" i="43"/>
  <c r="Y56"/>
  <c r="Y73" s="1"/>
  <c r="Y14" s="1"/>
  <c r="Y55"/>
  <c r="Y74" s="1"/>
  <c r="Z54"/>
  <c r="T38" i="44"/>
  <c r="T38" i="30"/>
  <c r="N103" i="33"/>
  <c r="T271" i="44"/>
  <c r="T277" s="1"/>
  <c r="T299" s="1"/>
  <c r="T278" s="1"/>
  <c r="T300" s="1"/>
  <c r="T279" s="1"/>
  <c r="T301" s="1"/>
  <c r="T280" s="1"/>
  <c r="T302" s="1"/>
  <c r="T281" s="1"/>
  <c r="T303" s="1"/>
  <c r="T282" s="1"/>
  <c r="T304" s="1"/>
  <c r="T283" s="1"/>
  <c r="U266"/>
  <c r="W33" i="43"/>
  <c r="U266" i="30"/>
  <c r="S45"/>
  <c r="M41" i="33" s="1"/>
  <c r="S44" i="30"/>
  <c r="M40" i="33" s="1"/>
  <c r="S47" i="30"/>
  <c r="M43" i="33" s="1"/>
  <c r="S46" i="30"/>
  <c r="M42" i="33" s="1"/>
  <c r="M31" s="1"/>
  <c r="W201" i="30"/>
  <c r="W251" s="1"/>
  <c r="W200" i="44"/>
  <c r="W249" s="1"/>
  <c r="X78" i="30"/>
  <c r="Y14"/>
  <c r="X179"/>
  <c r="X232" s="1"/>
  <c r="V15" i="42"/>
  <c r="X499" i="30"/>
  <c r="X498" i="44"/>
  <c r="BJ14" i="42"/>
  <c r="X178" i="44"/>
  <c r="X231" s="1"/>
  <c r="Y13"/>
  <c r="X77"/>
  <c r="BJ22" i="42"/>
  <c r="Y21" i="44"/>
  <c r="X506"/>
  <c r="X403"/>
  <c r="X85"/>
  <c r="X186"/>
  <c r="W221"/>
  <c r="W208"/>
  <c r="W257" s="1"/>
  <c r="Y17" i="30"/>
  <c r="V18" i="42"/>
  <c r="X182" i="30"/>
  <c r="X227" s="1"/>
  <c r="X94"/>
  <c r="X399"/>
  <c r="X81"/>
  <c r="X502"/>
  <c r="W235" i="44"/>
  <c r="W210"/>
  <c r="X94"/>
  <c r="BJ18" i="42"/>
  <c r="X182" i="44"/>
  <c r="X227" s="1"/>
  <c r="Y17"/>
  <c r="X81"/>
  <c r="X502"/>
  <c r="X74"/>
  <c r="BJ11" i="42"/>
  <c r="X495" i="44"/>
  <c r="X430"/>
  <c r="BJ66" i="42" s="1"/>
  <c r="X175" i="44"/>
  <c r="X222" s="1"/>
  <c r="Y10"/>
  <c r="X205"/>
  <c r="X243" s="1"/>
  <c r="W203"/>
  <c r="W241" s="1"/>
  <c r="BK19" i="42"/>
  <c r="Y183" i="44"/>
  <c r="Y228" s="1"/>
  <c r="Y82"/>
  <c r="Y503"/>
  <c r="Z18"/>
  <c r="BJ16" i="42"/>
  <c r="Y15" i="44"/>
  <c r="X180"/>
  <c r="X79"/>
  <c r="X500"/>
  <c r="X181"/>
  <c r="X226" s="1"/>
  <c r="BJ17" i="42"/>
  <c r="Y16" i="44"/>
  <c r="X93"/>
  <c r="X501"/>
  <c r="X661" s="1"/>
  <c r="BJ177" i="42" s="1"/>
  <c r="X80" i="44"/>
  <c r="BJ24" i="42"/>
  <c r="X87" i="44"/>
  <c r="Y23"/>
  <c r="X405"/>
  <c r="X188"/>
  <c r="X210" s="1"/>
  <c r="X508"/>
  <c r="D308" i="30"/>
  <c r="D287" s="1"/>
  <c r="E310"/>
  <c r="E289" s="1"/>
  <c r="H308"/>
  <c r="H287" s="1"/>
  <c r="F308" i="44"/>
  <c r="F287" s="1"/>
  <c r="E310"/>
  <c r="E289" s="1"/>
  <c r="D308"/>
  <c r="D287" s="1"/>
  <c r="G308"/>
  <c r="G287" s="1"/>
  <c r="G308" i="30"/>
  <c r="G287" s="1"/>
  <c r="H308" i="44"/>
  <c r="H287" s="1"/>
  <c r="F308" i="30"/>
  <c r="F287" s="1"/>
  <c r="W11" i="42"/>
  <c r="Y74" i="30"/>
  <c r="Z10"/>
  <c r="Y495"/>
  <c r="Y175"/>
  <c r="Y222" s="1"/>
  <c r="X197"/>
  <c r="X258" s="1"/>
  <c r="W211" i="44"/>
  <c r="W246" s="1"/>
  <c r="X406"/>
  <c r="X88"/>
  <c r="X509"/>
  <c r="BJ25" i="42"/>
  <c r="X189" i="44"/>
  <c r="X218" s="1"/>
  <c r="Y24"/>
  <c r="Z181" i="30"/>
  <c r="Z226" s="1"/>
  <c r="Z80"/>
  <c r="Z501"/>
  <c r="Z93"/>
  <c r="AA16"/>
  <c r="X17" i="42"/>
  <c r="S305" i="44"/>
  <c r="S284" s="1"/>
  <c r="Q305" i="30"/>
  <c r="Q284" s="1"/>
  <c r="M309"/>
  <c r="M288" s="1"/>
  <c r="Q307" i="44"/>
  <c r="Q286" s="1"/>
  <c r="N310"/>
  <c r="N289" s="1"/>
  <c r="O309"/>
  <c r="O288" s="1"/>
  <c r="R306"/>
  <c r="R285" s="1"/>
  <c r="P306" i="30"/>
  <c r="P285" s="1"/>
  <c r="S303"/>
  <c r="S282" s="1"/>
  <c r="J314" i="44"/>
  <c r="J293" s="1"/>
  <c r="J312" i="30"/>
  <c r="J291" s="1"/>
  <c r="N308"/>
  <c r="N287" s="1"/>
  <c r="P308" i="44"/>
  <c r="P287" s="1"/>
  <c r="M311"/>
  <c r="M290" s="1"/>
  <c r="R304" i="30"/>
  <c r="R283" s="1"/>
  <c r="I314" i="44"/>
  <c r="I293" s="1"/>
  <c r="L310" i="30"/>
  <c r="L289" s="1"/>
  <c r="O307"/>
  <c r="O286" s="1"/>
  <c r="K311"/>
  <c r="K290" s="1"/>
  <c r="L312" i="44"/>
  <c r="L291" s="1"/>
  <c r="K313"/>
  <c r="K292" s="1"/>
  <c r="X509" i="30"/>
  <c r="X189"/>
  <c r="X218" s="1"/>
  <c r="V25" i="42"/>
  <c r="Y24" i="30"/>
  <c r="X88"/>
  <c r="X406"/>
  <c r="AB67" i="43" l="1"/>
  <c r="AB66"/>
  <c r="AC65"/>
  <c r="AB68"/>
  <c r="U213" i="44"/>
  <c r="U248" s="1"/>
  <c r="U212"/>
  <c r="U247" s="1"/>
  <c r="U210" i="30"/>
  <c r="U254" s="1"/>
  <c r="V89"/>
  <c r="W25"/>
  <c r="T26" i="42"/>
  <c r="V190" i="30"/>
  <c r="V219" s="1"/>
  <c r="V407"/>
  <c r="V212"/>
  <c r="V247" s="1"/>
  <c r="T27" i="42"/>
  <c r="V408" i="30"/>
  <c r="V90"/>
  <c r="V191"/>
  <c r="V220" s="1"/>
  <c r="W26"/>
  <c r="V213"/>
  <c r="V248" s="1"/>
  <c r="V405"/>
  <c r="W23"/>
  <c r="V87"/>
  <c r="V508"/>
  <c r="V188"/>
  <c r="V234" s="1"/>
  <c r="T24" i="42"/>
  <c r="V210" i="30"/>
  <c r="V254" s="1"/>
  <c r="BH27" i="42"/>
  <c r="V90" i="44"/>
  <c r="V191"/>
  <c r="V220" s="1"/>
  <c r="V408"/>
  <c r="W26"/>
  <c r="V407"/>
  <c r="V190"/>
  <c r="V219" s="1"/>
  <c r="BH26" i="42"/>
  <c r="W25" i="44"/>
  <c r="V89"/>
  <c r="V212"/>
  <c r="V247" s="1"/>
  <c r="U199"/>
  <c r="U240" s="1"/>
  <c r="V76" i="30"/>
  <c r="V177"/>
  <c r="V225" s="1"/>
  <c r="T13" i="42"/>
  <c r="V497" i="30"/>
  <c r="W12"/>
  <c r="V497" i="44"/>
  <c r="BH13" i="42"/>
  <c r="V76" i="44"/>
  <c r="W12"/>
  <c r="V177"/>
  <c r="V225" s="1"/>
  <c r="U199" i="30"/>
  <c r="U240" s="1"/>
  <c r="N91" i="33"/>
  <c r="N32"/>
  <c r="V233" i="30"/>
  <c r="W207" i="44"/>
  <c r="W245" s="1"/>
  <c r="X236"/>
  <c r="X211"/>
  <c r="X246" s="1"/>
  <c r="G118" i="42"/>
  <c r="I593" i="30"/>
  <c r="T34"/>
  <c r="N56" i="33"/>
  <c r="N115"/>
  <c r="T34" i="44"/>
  <c r="T33"/>
  <c r="U236" i="30"/>
  <c r="U235"/>
  <c r="W256" i="44"/>
  <c r="X185"/>
  <c r="Y20"/>
  <c r="X505"/>
  <c r="X84"/>
  <c r="X402"/>
  <c r="BJ21" i="42"/>
  <c r="X197" i="44"/>
  <c r="X258" s="1"/>
  <c r="U29"/>
  <c r="U198"/>
  <c r="U252" s="1"/>
  <c r="I346" i="30"/>
  <c r="I792"/>
  <c r="I723"/>
  <c r="I525"/>
  <c r="G47" i="42"/>
  <c r="I548" i="30"/>
  <c r="I838"/>
  <c r="I746"/>
  <c r="I815"/>
  <c r="I700"/>
  <c r="I594"/>
  <c r="I861"/>
  <c r="I325"/>
  <c r="U202"/>
  <c r="V195" i="44"/>
  <c r="V253" s="1"/>
  <c r="V233"/>
  <c r="W493"/>
  <c r="X8"/>
  <c r="W72"/>
  <c r="W173"/>
  <c r="BI9" i="42"/>
  <c r="T33" i="30"/>
  <c r="W205"/>
  <c r="W243" s="1"/>
  <c r="U198"/>
  <c r="U252" s="1"/>
  <c r="X84"/>
  <c r="Y20"/>
  <c r="X185"/>
  <c r="X230" s="1"/>
  <c r="X505"/>
  <c r="V21" i="42"/>
  <c r="X402" i="30"/>
  <c r="X235" i="44"/>
  <c r="Y9" i="30"/>
  <c r="X73"/>
  <c r="V10" i="42"/>
  <c r="X174" i="30"/>
  <c r="X196" s="1"/>
  <c r="X494"/>
  <c r="W255" i="44"/>
  <c r="O89" i="33"/>
  <c r="O30"/>
  <c r="W201" i="44"/>
  <c r="W251" s="1"/>
  <c r="X183" i="30"/>
  <c r="X228" s="1"/>
  <c r="X503"/>
  <c r="X82"/>
  <c r="Y18"/>
  <c r="X400"/>
  <c r="V19" i="42"/>
  <c r="X205" i="30"/>
  <c r="X243" s="1"/>
  <c r="X78" i="44"/>
  <c r="BJ15" i="42"/>
  <c r="X499" i="44"/>
  <c r="X179"/>
  <c r="X232" s="1"/>
  <c r="Y14"/>
  <c r="U666" i="30"/>
  <c r="S186" i="42" s="1"/>
  <c r="W254" i="44"/>
  <c r="W507"/>
  <c r="W187"/>
  <c r="W86"/>
  <c r="BI23" i="42"/>
  <c r="W404" i="44"/>
  <c r="X22"/>
  <c r="W507" i="30"/>
  <c r="U23" i="42"/>
  <c r="W187" i="30"/>
  <c r="W404"/>
  <c r="W86"/>
  <c r="X22"/>
  <c r="V223"/>
  <c r="V209"/>
  <c r="V250" s="1"/>
  <c r="V209" i="44"/>
  <c r="V250" s="1"/>
  <c r="BK10" i="42"/>
  <c r="Y494" i="44"/>
  <c r="Y666" s="1"/>
  <c r="BK186" i="42" s="1"/>
  <c r="Z9" i="44"/>
  <c r="Y174"/>
  <c r="Y73"/>
  <c r="X234"/>
  <c r="X196"/>
  <c r="X254" s="1"/>
  <c r="Z13" i="30"/>
  <c r="Y178"/>
  <c r="Y77"/>
  <c r="W14" i="42"/>
  <c r="Y498" i="30"/>
  <c r="X231"/>
  <c r="X200"/>
  <c r="X249" s="1"/>
  <c r="W19" i="44"/>
  <c r="BH20" i="42"/>
  <c r="V83" i="44"/>
  <c r="V401"/>
  <c r="V504"/>
  <c r="V184"/>
  <c r="V229" s="1"/>
  <c r="V217"/>
  <c r="V276" s="1"/>
  <c r="V298" s="1"/>
  <c r="V214"/>
  <c r="V239" s="1"/>
  <c r="W91" i="30"/>
  <c r="U28" i="42"/>
  <c r="X27" i="30"/>
  <c r="X267" s="1"/>
  <c r="W512"/>
  <c r="W192"/>
  <c r="W217" s="1"/>
  <c r="W276" s="1"/>
  <c r="W298" s="1"/>
  <c r="W15"/>
  <c r="V180"/>
  <c r="T16" i="42"/>
  <c r="V79" i="30"/>
  <c r="V500"/>
  <c r="V679" s="1"/>
  <c r="CO177" i="42" s="1"/>
  <c r="V202" i="30"/>
  <c r="V195"/>
  <c r="V253" s="1"/>
  <c r="U206" i="44"/>
  <c r="U244" s="1"/>
  <c r="V214" i="30"/>
  <c r="V239" s="1"/>
  <c r="W173"/>
  <c r="X8"/>
  <c r="X431" s="1"/>
  <c r="V67" i="42" s="1"/>
  <c r="W493" i="30"/>
  <c r="W661" s="1"/>
  <c r="U177" i="42" s="1"/>
  <c r="U9"/>
  <c r="W72" i="30"/>
  <c r="V504"/>
  <c r="T20" i="42"/>
  <c r="V401" i="30"/>
  <c r="W19"/>
  <c r="V83"/>
  <c r="V184"/>
  <c r="V229" s="1"/>
  <c r="X27" i="44"/>
  <c r="X267" s="1"/>
  <c r="W91"/>
  <c r="W512"/>
  <c r="BI28" i="42"/>
  <c r="W192" i="44"/>
  <c r="W11"/>
  <c r="V440"/>
  <c r="CP67" i="42" s="1"/>
  <c r="V496" i="44"/>
  <c r="V75"/>
  <c r="V41"/>
  <c r="V431"/>
  <c r="BH67" i="42" s="1"/>
  <c r="BH12"/>
  <c r="V176" i="44"/>
  <c r="V224" s="1"/>
  <c r="V28"/>
  <c r="V29" s="1"/>
  <c r="V506" i="30"/>
  <c r="W21"/>
  <c r="V85"/>
  <c r="V403"/>
  <c r="T22" i="42"/>
  <c r="V186" i="30"/>
  <c r="V221" s="1"/>
  <c r="V496"/>
  <c r="V176"/>
  <c r="V224" s="1"/>
  <c r="V430"/>
  <c r="T66" i="42" s="1"/>
  <c r="V75" i="30"/>
  <c r="V28"/>
  <c r="V29" s="1"/>
  <c r="V41"/>
  <c r="W11"/>
  <c r="V440"/>
  <c r="CP66" i="42" s="1"/>
  <c r="T12"/>
  <c r="U208" i="30"/>
  <c r="U257" s="1"/>
  <c r="Y19" i="43"/>
  <c r="Y23" s="1"/>
  <c r="Y32" s="1"/>
  <c r="O44" i="33"/>
  <c r="U271" i="30"/>
  <c r="U277" s="1"/>
  <c r="U299" s="1"/>
  <c r="U278" s="1"/>
  <c r="U300" s="1"/>
  <c r="U279" s="1"/>
  <c r="U301" s="1"/>
  <c r="U280" s="1"/>
  <c r="U302" s="1"/>
  <c r="U281" s="1"/>
  <c r="O103" i="33"/>
  <c r="U271" i="44"/>
  <c r="U277" s="1"/>
  <c r="U299" s="1"/>
  <c r="U278" s="1"/>
  <c r="U300" s="1"/>
  <c r="U279" s="1"/>
  <c r="U301" s="1"/>
  <c r="U280" s="1"/>
  <c r="U302" s="1"/>
  <c r="U281" s="1"/>
  <c r="U303" s="1"/>
  <c r="U282" s="1"/>
  <c r="U304" s="1"/>
  <c r="U283" s="1"/>
  <c r="T45" i="30"/>
  <c r="N41" i="33" s="1"/>
  <c r="T44" i="30"/>
  <c r="N40" i="33" s="1"/>
  <c r="T46" i="30"/>
  <c r="N42" i="33" s="1"/>
  <c r="N31" s="1"/>
  <c r="T47" i="30"/>
  <c r="N43" i="33" s="1"/>
  <c r="AA54" i="43"/>
  <c r="Z56"/>
  <c r="Z73" s="1"/>
  <c r="Z14" s="1"/>
  <c r="Z55"/>
  <c r="Z74" s="1"/>
  <c r="AB52"/>
  <c r="AA57"/>
  <c r="AA75" s="1"/>
  <c r="W164" i="42" s="1"/>
  <c r="BK164" s="1"/>
  <c r="Z27" i="43"/>
  <c r="W40" i="44"/>
  <c r="W92" s="1"/>
  <c r="W40" i="30"/>
  <c r="W92" s="1"/>
  <c r="V266" i="44"/>
  <c r="X33" i="43"/>
  <c r="V266" i="30"/>
  <c r="U38" i="44"/>
  <c r="U38" i="30"/>
  <c r="T44" i="44"/>
  <c r="N99" i="33" s="1"/>
  <c r="T45" i="44"/>
  <c r="N100" i="33" s="1"/>
  <c r="T46" i="44"/>
  <c r="N101" i="33" s="1"/>
  <c r="N90" s="1"/>
  <c r="T47" i="44"/>
  <c r="N102" i="33" s="1"/>
  <c r="AA26" i="43"/>
  <c r="X269" i="44"/>
  <c r="X269" i="30"/>
  <c r="Z12" i="43"/>
  <c r="Z15" s="1"/>
  <c r="Z20" s="1"/>
  <c r="AA10"/>
  <c r="Y15"/>
  <c r="Y20" s="1"/>
  <c r="X16"/>
  <c r="X211" i="30"/>
  <c r="X246" s="1"/>
  <c r="BK14" i="42"/>
  <c r="Y178" i="44"/>
  <c r="Y231" s="1"/>
  <c r="Y77"/>
  <c r="Y498"/>
  <c r="Z13"/>
  <c r="W15" i="42"/>
  <c r="Y78" i="30"/>
  <c r="Y179"/>
  <c r="Y232" s="1"/>
  <c r="Y499"/>
  <c r="Z14"/>
  <c r="X202" i="44"/>
  <c r="X200"/>
  <c r="X249" s="1"/>
  <c r="X201" i="30"/>
  <c r="X251" s="1"/>
  <c r="X221" i="44"/>
  <c r="X208"/>
  <c r="X257" s="1"/>
  <c r="Y85"/>
  <c r="Y403"/>
  <c r="Z21"/>
  <c r="BK22" i="42"/>
  <c r="Y186" i="44"/>
  <c r="Y221" s="1"/>
  <c r="Y506"/>
  <c r="Y208"/>
  <c r="Y257" s="1"/>
  <c r="Y205"/>
  <c r="Y243" s="1"/>
  <c r="Y188"/>
  <c r="Y87"/>
  <c r="Y405"/>
  <c r="Z23"/>
  <c r="BK24" i="42"/>
  <c r="Y508" i="44"/>
  <c r="BK11" i="42"/>
  <c r="Y175" i="44"/>
  <c r="Y222" s="1"/>
  <c r="Y495"/>
  <c r="Y74"/>
  <c r="Z10"/>
  <c r="Y430"/>
  <c r="BK66" i="42" s="1"/>
  <c r="W18"/>
  <c r="Y399" i="30"/>
  <c r="Y81"/>
  <c r="Y182"/>
  <c r="Y227" s="1"/>
  <c r="Y94"/>
  <c r="Y502"/>
  <c r="Z17"/>
  <c r="Y204"/>
  <c r="Y242" s="1"/>
  <c r="X203" i="44"/>
  <c r="X241" s="1"/>
  <c r="Y93"/>
  <c r="Z16"/>
  <c r="Y501"/>
  <c r="Y661" s="1"/>
  <c r="BK177" i="42" s="1"/>
  <c r="Y80" i="44"/>
  <c r="Y181"/>
  <c r="Y226" s="1"/>
  <c r="BK17" i="42"/>
  <c r="Y79" i="44"/>
  <c r="Y500"/>
  <c r="BK16" i="42"/>
  <c r="Y180" i="44"/>
  <c r="Z15"/>
  <c r="Z183"/>
  <c r="Z228" s="1"/>
  <c r="Z503"/>
  <c r="Z82"/>
  <c r="BL19" i="42"/>
  <c r="AA18" i="44"/>
  <c r="Y502"/>
  <c r="BK18" i="42"/>
  <c r="Y94" i="44"/>
  <c r="Z17"/>
  <c r="Y81"/>
  <c r="Y182"/>
  <c r="Y227" s="1"/>
  <c r="X204"/>
  <c r="X242" s="1"/>
  <c r="X204" i="30"/>
  <c r="X242" s="1"/>
  <c r="F309"/>
  <c r="F288" s="1"/>
  <c r="H309" i="44"/>
  <c r="H288" s="1"/>
  <c r="G309" i="30"/>
  <c r="G288" s="1"/>
  <c r="G309" i="44"/>
  <c r="G288" s="1"/>
  <c r="D309"/>
  <c r="D288" s="1"/>
  <c r="E311"/>
  <c r="E290" s="1"/>
  <c r="F309"/>
  <c r="F288" s="1"/>
  <c r="H309" i="30"/>
  <c r="H288" s="1"/>
  <c r="E311"/>
  <c r="E290" s="1"/>
  <c r="D309"/>
  <c r="D288" s="1"/>
  <c r="Z203"/>
  <c r="Z241" s="1"/>
  <c r="Y197"/>
  <c r="Y258" s="1"/>
  <c r="Z495"/>
  <c r="AA10"/>
  <c r="Z74"/>
  <c r="Z175"/>
  <c r="Z222" s="1"/>
  <c r="X11" i="42"/>
  <c r="BK25"/>
  <c r="Y189" i="44"/>
  <c r="Y218" s="1"/>
  <c r="Y509"/>
  <c r="Y88"/>
  <c r="Y406"/>
  <c r="Z24"/>
  <c r="Y17" i="42"/>
  <c r="AA93" i="30"/>
  <c r="AA181"/>
  <c r="AA226" s="1"/>
  <c r="AA80"/>
  <c r="AB16"/>
  <c r="AA501"/>
  <c r="K314" i="44"/>
  <c r="K293" s="1"/>
  <c r="L313"/>
  <c r="L292" s="1"/>
  <c r="N309" i="30"/>
  <c r="N288" s="1"/>
  <c r="J313"/>
  <c r="J292" s="1"/>
  <c r="J315" i="44"/>
  <c r="J294" s="1"/>
  <c r="S304" i="30"/>
  <c r="S283" s="1"/>
  <c r="M310"/>
  <c r="M289" s="1"/>
  <c r="Q306"/>
  <c r="Q285" s="1"/>
  <c r="S306" i="44"/>
  <c r="S285" s="1"/>
  <c r="Y509" i="30"/>
  <c r="Y88"/>
  <c r="Y189"/>
  <c r="Y218" s="1"/>
  <c r="W25" i="42"/>
  <c r="Y406" i="30"/>
  <c r="Z24"/>
  <c r="K312"/>
  <c r="K291" s="1"/>
  <c r="O308"/>
  <c r="O287" s="1"/>
  <c r="L311"/>
  <c r="L290" s="1"/>
  <c r="I315" i="44"/>
  <c r="I294" s="1"/>
  <c r="T305"/>
  <c r="T284" s="1"/>
  <c r="R305" i="30"/>
  <c r="R284" s="1"/>
  <c r="M312" i="44"/>
  <c r="M291" s="1"/>
  <c r="P309"/>
  <c r="P288" s="1"/>
  <c r="P307" i="30"/>
  <c r="P286" s="1"/>
  <c r="R307" i="44"/>
  <c r="R286" s="1"/>
  <c r="O310"/>
  <c r="O289" s="1"/>
  <c r="N311"/>
  <c r="N290" s="1"/>
  <c r="Q308"/>
  <c r="Q287" s="1"/>
  <c r="T303" i="30"/>
  <c r="T282" s="1"/>
  <c r="AC67" i="43" l="1"/>
  <c r="AC66"/>
  <c r="AC68"/>
  <c r="AD65"/>
  <c r="W191" i="44"/>
  <c r="W220" s="1"/>
  <c r="X26"/>
  <c r="W90"/>
  <c r="W408"/>
  <c r="BI27" i="42"/>
  <c r="W405" i="30"/>
  <c r="W87"/>
  <c r="U24" i="42"/>
  <c r="X23" i="30"/>
  <c r="W508"/>
  <c r="W188"/>
  <c r="W234" s="1"/>
  <c r="W89"/>
  <c r="W407"/>
  <c r="U26" i="42"/>
  <c r="W190" i="30"/>
  <c r="W219" s="1"/>
  <c r="X25"/>
  <c r="W212"/>
  <c r="W247" s="1"/>
  <c r="W89" i="44"/>
  <c r="W190"/>
  <c r="W219" s="1"/>
  <c r="W407"/>
  <c r="BI26" i="42"/>
  <c r="X25" i="44"/>
  <c r="W212"/>
  <c r="W247" s="1"/>
  <c r="W90" i="30"/>
  <c r="W191"/>
  <c r="W220" s="1"/>
  <c r="U27" i="42"/>
  <c r="W408" i="30"/>
  <c r="X26"/>
  <c r="W213"/>
  <c r="W248" s="1"/>
  <c r="V213" i="44"/>
  <c r="V248" s="1"/>
  <c r="Y236"/>
  <c r="AA203" i="30"/>
  <c r="AA241" s="1"/>
  <c r="V199"/>
  <c r="V240" s="1"/>
  <c r="W177" i="44"/>
  <c r="W225" s="1"/>
  <c r="BI13" i="42"/>
  <c r="W199" i="44"/>
  <c r="W240" s="1"/>
  <c r="W497"/>
  <c r="W76"/>
  <c r="X12"/>
  <c r="W76" i="30"/>
  <c r="U13" i="42"/>
  <c r="X12" i="30"/>
  <c r="W497"/>
  <c r="W177"/>
  <c r="W225" s="1"/>
  <c r="V199" i="44"/>
  <c r="V240" s="1"/>
  <c r="O91" i="33"/>
  <c r="O32"/>
  <c r="I377" i="30"/>
  <c r="I793" s="1"/>
  <c r="W233"/>
  <c r="Y202" i="44"/>
  <c r="Z205"/>
  <c r="Z243" s="1"/>
  <c r="O115" i="33"/>
  <c r="U34" i="44"/>
  <c r="U33"/>
  <c r="U34" i="30"/>
  <c r="O56" i="33"/>
  <c r="X256" i="44"/>
  <c r="V256" i="30"/>
  <c r="V255"/>
  <c r="V236"/>
  <c r="V235"/>
  <c r="U256"/>
  <c r="U255"/>
  <c r="X230" i="44"/>
  <c r="X207"/>
  <c r="X245" s="1"/>
  <c r="Y185"/>
  <c r="Y230" s="1"/>
  <c r="Z20"/>
  <c r="Y402"/>
  <c r="Y84"/>
  <c r="Y505"/>
  <c r="BK21" i="42"/>
  <c r="I347" i="30"/>
  <c r="I959"/>
  <c r="I769"/>
  <c r="G233" i="42" s="1"/>
  <c r="I570" i="30"/>
  <c r="G119" i="42" s="1"/>
  <c r="W195" i="44"/>
  <c r="W253" s="1"/>
  <c r="W233"/>
  <c r="Y8"/>
  <c r="BJ9" i="42"/>
  <c r="X493" i="44"/>
  <c r="X173"/>
  <c r="X72"/>
  <c r="U33" i="30"/>
  <c r="Y200" i="44"/>
  <c r="Y249" s="1"/>
  <c r="X207" i="30"/>
  <c r="X245" s="1"/>
  <c r="W21" i="42"/>
  <c r="Y185" i="30"/>
  <c r="Y230" s="1"/>
  <c r="Y402"/>
  <c r="Y505"/>
  <c r="Y84"/>
  <c r="Z20"/>
  <c r="Y174"/>
  <c r="Y196" s="1"/>
  <c r="Z9"/>
  <c r="Y494"/>
  <c r="W10" i="42"/>
  <c r="Y73" i="30"/>
  <c r="P89" i="33"/>
  <c r="P30"/>
  <c r="Y78" i="44"/>
  <c r="Z14"/>
  <c r="BK15" i="42"/>
  <c r="Y179" i="44"/>
  <c r="Y232" s="1"/>
  <c r="Y499"/>
  <c r="W19" i="42"/>
  <c r="Z18" i="30"/>
  <c r="Y183"/>
  <c r="Y228" s="1"/>
  <c r="Y503"/>
  <c r="Y400"/>
  <c r="Y82"/>
  <c r="Y205"/>
  <c r="Y243" s="1"/>
  <c r="X201" i="44"/>
  <c r="X251" s="1"/>
  <c r="V666" i="30"/>
  <c r="T186" i="42" s="1"/>
  <c r="X255" i="44"/>
  <c r="W223" i="30"/>
  <c r="W209"/>
  <c r="W250" s="1"/>
  <c r="X507"/>
  <c r="X86"/>
  <c r="V23" i="42"/>
  <c r="X404" i="30"/>
  <c r="X187"/>
  <c r="Y22"/>
  <c r="X507" i="44"/>
  <c r="X404"/>
  <c r="X187"/>
  <c r="X223" s="1"/>
  <c r="Y22"/>
  <c r="X86"/>
  <c r="BJ23" i="42"/>
  <c r="W223" i="44"/>
  <c r="W209"/>
  <c r="W250" s="1"/>
  <c r="Z174"/>
  <c r="BL10" i="42"/>
  <c r="Z73" i="44"/>
  <c r="Z494"/>
  <c r="Z666" s="1"/>
  <c r="BL186" i="42" s="1"/>
  <c r="AA9" i="44"/>
  <c r="Y196"/>
  <c r="Y256" s="1"/>
  <c r="Y234"/>
  <c r="Z197" i="30"/>
  <c r="Z258" s="1"/>
  <c r="Z498"/>
  <c r="Z178"/>
  <c r="Z77"/>
  <c r="AA13"/>
  <c r="BM14" i="33" s="1"/>
  <c r="X14" i="42"/>
  <c r="Y231" i="30"/>
  <c r="Y200"/>
  <c r="Y249" s="1"/>
  <c r="V206"/>
  <c r="V244" s="1"/>
  <c r="BJ28" i="42"/>
  <c r="X512" i="44"/>
  <c r="Y27"/>
  <c r="Y267" s="1"/>
  <c r="X192"/>
  <c r="X91"/>
  <c r="W504" i="30"/>
  <c r="W83"/>
  <c r="W401"/>
  <c r="U20" i="42"/>
  <c r="W184" i="30"/>
  <c r="W229" s="1"/>
  <c r="X19"/>
  <c r="X173"/>
  <c r="X493"/>
  <c r="X661" s="1"/>
  <c r="V177" i="42" s="1"/>
  <c r="Y8" i="30"/>
  <c r="Y431" s="1"/>
  <c r="W67" i="42" s="1"/>
  <c r="X72" i="30"/>
  <c r="V9" i="42"/>
  <c r="W500" i="30"/>
  <c r="W679" s="1"/>
  <c r="CP177" i="42" s="1"/>
  <c r="W79" i="30"/>
  <c r="U16" i="42"/>
  <c r="W180" i="30"/>
  <c r="X15"/>
  <c r="W202"/>
  <c r="W401" i="44"/>
  <c r="W83"/>
  <c r="BI20" i="42"/>
  <c r="W184" i="44"/>
  <c r="W229" s="1"/>
  <c r="W504"/>
  <c r="W679" s="1"/>
  <c r="CP186" i="42" s="1"/>
  <c r="X19" i="44"/>
  <c r="W195" i="30"/>
  <c r="W253" s="1"/>
  <c r="V206" i="44"/>
  <c r="V244" s="1"/>
  <c r="W217"/>
  <c r="W276" s="1"/>
  <c r="W298" s="1"/>
  <c r="W214"/>
  <c r="W239" s="1"/>
  <c r="X512" i="30"/>
  <c r="Y27"/>
  <c r="Y267" s="1"/>
  <c r="V28" i="42"/>
  <c r="X192" i="30"/>
  <c r="X217" s="1"/>
  <c r="X276" s="1"/>
  <c r="X298" s="1"/>
  <c r="X91"/>
  <c r="X214"/>
  <c r="X239" s="1"/>
  <c r="W214"/>
  <c r="W239" s="1"/>
  <c r="V198"/>
  <c r="V252" s="1"/>
  <c r="V208"/>
  <c r="V257" s="1"/>
  <c r="W403"/>
  <c r="W85"/>
  <c r="W186"/>
  <c r="W221" s="1"/>
  <c r="W506"/>
  <c r="X21"/>
  <c r="U22" i="42"/>
  <c r="W496" i="44"/>
  <c r="BI12" i="42"/>
  <c r="W440" i="44"/>
  <c r="CQ67" i="42" s="1"/>
  <c r="W41" i="44"/>
  <c r="W75"/>
  <c r="W431"/>
  <c r="BI67" i="42" s="1"/>
  <c r="X11" i="44"/>
  <c r="W176"/>
  <c r="W224" s="1"/>
  <c r="W28"/>
  <c r="W198"/>
  <c r="W252" s="1"/>
  <c r="V198"/>
  <c r="V252" s="1"/>
  <c r="X11" i="30"/>
  <c r="W430"/>
  <c r="U66" i="42" s="1"/>
  <c r="W75" i="30"/>
  <c r="W496"/>
  <c r="W176"/>
  <c r="W224" s="1"/>
  <c r="W440"/>
  <c r="CQ66" i="42" s="1"/>
  <c r="U12"/>
  <c r="W28" i="30"/>
  <c r="W29" s="1"/>
  <c r="W41"/>
  <c r="AA12" i="43"/>
  <c r="AB10"/>
  <c r="Y269" i="30"/>
  <c r="Y269" i="44"/>
  <c r="AB26" i="43"/>
  <c r="U44" i="44"/>
  <c r="O99" i="33" s="1"/>
  <c r="U45" i="44"/>
  <c r="O100" i="33" s="1"/>
  <c r="U46" i="44"/>
  <c r="O101" i="33" s="1"/>
  <c r="O90" s="1"/>
  <c r="U47" i="44"/>
  <c r="O102" i="33" s="1"/>
  <c r="P44"/>
  <c r="V271" i="30"/>
  <c r="V277" s="1"/>
  <c r="V299" s="1"/>
  <c r="V278" s="1"/>
  <c r="V300" s="1"/>
  <c r="V279" s="1"/>
  <c r="V301" s="1"/>
  <c r="V280" s="1"/>
  <c r="V302" s="1"/>
  <c r="V281" s="1"/>
  <c r="P103" i="33"/>
  <c r="V271" i="44"/>
  <c r="V277" s="1"/>
  <c r="V299" s="1"/>
  <c r="V278" s="1"/>
  <c r="V300" s="1"/>
  <c r="V279" s="1"/>
  <c r="V301" s="1"/>
  <c r="V280" s="1"/>
  <c r="V302" s="1"/>
  <c r="V281" s="1"/>
  <c r="V303" s="1"/>
  <c r="V282" s="1"/>
  <c r="V304" s="1"/>
  <c r="V283" s="1"/>
  <c r="AA56" i="43"/>
  <c r="AA73" s="1"/>
  <c r="AA14" s="1"/>
  <c r="AA55"/>
  <c r="AA74" s="1"/>
  <c r="AB54"/>
  <c r="Y16"/>
  <c r="U45" i="30"/>
  <c r="O41" i="33" s="1"/>
  <c r="U44" i="30"/>
  <c r="O40" i="33" s="1"/>
  <c r="U46" i="30"/>
  <c r="O42" i="33" s="1"/>
  <c r="O31" s="1"/>
  <c r="U47" i="30"/>
  <c r="O43" i="33" s="1"/>
  <c r="V38" i="44"/>
  <c r="V33" s="1"/>
  <c r="V38" i="30"/>
  <c r="AA27" i="43"/>
  <c r="X40" i="30"/>
  <c r="X92" s="1"/>
  <c r="X40" i="44"/>
  <c r="X92" s="1"/>
  <c r="AB57" i="43"/>
  <c r="AB75" s="1"/>
  <c r="X164" i="42" s="1"/>
  <c r="BL164" s="1"/>
  <c r="AC52" i="43"/>
  <c r="Z16"/>
  <c r="Z19"/>
  <c r="Z23" s="1"/>
  <c r="Z32" s="1"/>
  <c r="W266" i="30"/>
  <c r="Y33" i="43"/>
  <c r="W266" i="44"/>
  <c r="Z78" i="30"/>
  <c r="Z499"/>
  <c r="X15" i="42"/>
  <c r="AA14" i="30"/>
  <c r="BM15" i="33" s="1"/>
  <c r="BL11" s="1"/>
  <c r="Z179" i="30"/>
  <c r="Z232" s="1"/>
  <c r="Z178" i="44"/>
  <c r="Z231" s="1"/>
  <c r="AA13"/>
  <c r="Z498"/>
  <c r="Z77"/>
  <c r="BL14" i="42"/>
  <c r="Y201" i="30"/>
  <c r="Y251" s="1"/>
  <c r="Z85" i="44"/>
  <c r="AA21"/>
  <c r="Z186"/>
  <c r="BL22" i="42"/>
  <c r="Z506" i="44"/>
  <c r="Z502"/>
  <c r="Z81"/>
  <c r="Z182"/>
  <c r="Z227" s="1"/>
  <c r="BL18" i="42"/>
  <c r="AA17" i="44"/>
  <c r="Z94"/>
  <c r="Z500"/>
  <c r="AA15"/>
  <c r="BL16" i="42"/>
  <c r="Z79" i="44"/>
  <c r="Z180"/>
  <c r="Y235"/>
  <c r="Y210"/>
  <c r="AB18"/>
  <c r="AA82"/>
  <c r="AA503"/>
  <c r="BM19" i="42"/>
  <c r="AA183" i="44"/>
  <c r="AA228" s="1"/>
  <c r="Z181"/>
  <c r="Z226" s="1"/>
  <c r="Z80"/>
  <c r="Z93"/>
  <c r="AA16"/>
  <c r="Z501"/>
  <c r="Z661" s="1"/>
  <c r="BL177" i="42" s="1"/>
  <c r="BL17"/>
  <c r="Z203" i="44"/>
  <c r="Z241" s="1"/>
  <c r="Z182" i="30"/>
  <c r="Z227" s="1"/>
  <c r="Z81"/>
  <c r="X18" i="42"/>
  <c r="Z399" i="30"/>
  <c r="Z502"/>
  <c r="AA17"/>
  <c r="Z94"/>
  <c r="Z175" i="44"/>
  <c r="Z222" s="1"/>
  <c r="Z430"/>
  <c r="BL66" i="42" s="1"/>
  <c r="BL11"/>
  <c r="AA10" i="44"/>
  <c r="Z495"/>
  <c r="Z74"/>
  <c r="BL24" i="42"/>
  <c r="AA23" i="44"/>
  <c r="Z87"/>
  <c r="Z188"/>
  <c r="Z508"/>
  <c r="Y204"/>
  <c r="Y242" s="1"/>
  <c r="Y203"/>
  <c r="Y241" s="1"/>
  <c r="Y197"/>
  <c r="Y258" s="1"/>
  <c r="D310" i="30"/>
  <c r="D289" s="1"/>
  <c r="E312"/>
  <c r="E291" s="1"/>
  <c r="H310"/>
  <c r="H289" s="1"/>
  <c r="F310" i="44"/>
  <c r="F289" s="1"/>
  <c r="E312"/>
  <c r="E291" s="1"/>
  <c r="D310"/>
  <c r="D289" s="1"/>
  <c r="G310"/>
  <c r="G289" s="1"/>
  <c r="G310" i="30"/>
  <c r="G289" s="1"/>
  <c r="H310" i="44"/>
  <c r="H289" s="1"/>
  <c r="F310" i="30"/>
  <c r="F289" s="1"/>
  <c r="AA175"/>
  <c r="AA222" s="1"/>
  <c r="AB10"/>
  <c r="AA74"/>
  <c r="Y11" i="42"/>
  <c r="AA495" i="30"/>
  <c r="BL25" i="42"/>
  <c r="AA24" i="44"/>
  <c r="Z509"/>
  <c r="Z88"/>
  <c r="Z189"/>
  <c r="Z218" s="1"/>
  <c r="Z406"/>
  <c r="Y211"/>
  <c r="Y246" s="1"/>
  <c r="AB181" i="30"/>
  <c r="AB226" s="1"/>
  <c r="AC16"/>
  <c r="AB501"/>
  <c r="AB80"/>
  <c r="Z17" i="42"/>
  <c r="AB93" i="30"/>
  <c r="T304"/>
  <c r="T283" s="1"/>
  <c r="N312" i="44"/>
  <c r="N291" s="1"/>
  <c r="O311"/>
  <c r="O290" s="1"/>
  <c r="R308"/>
  <c r="R287" s="1"/>
  <c r="P308" i="30"/>
  <c r="P287" s="1"/>
  <c r="U303"/>
  <c r="U282" s="1"/>
  <c r="L314" i="44"/>
  <c r="L293" s="1"/>
  <c r="K315"/>
  <c r="K294" s="1"/>
  <c r="Q309"/>
  <c r="Q288" s="1"/>
  <c r="P310"/>
  <c r="P289" s="1"/>
  <c r="M313"/>
  <c r="M292" s="1"/>
  <c r="R306" i="30"/>
  <c r="R285" s="1"/>
  <c r="U305" i="44"/>
  <c r="U284" s="1"/>
  <c r="T306"/>
  <c r="T285" s="1"/>
  <c r="I316"/>
  <c r="I295" s="1"/>
  <c r="L312" i="30"/>
  <c r="L291" s="1"/>
  <c r="O309"/>
  <c r="O288" s="1"/>
  <c r="K313"/>
  <c r="K292" s="1"/>
  <c r="Z189"/>
  <c r="Z218" s="1"/>
  <c r="Z406"/>
  <c r="Z509"/>
  <c r="X25" i="42"/>
  <c r="Z88" i="30"/>
  <c r="AA24"/>
  <c r="S307" i="44"/>
  <c r="S286" s="1"/>
  <c r="Q307" i="30"/>
  <c r="Q286" s="1"/>
  <c r="M311"/>
  <c r="M290" s="1"/>
  <c r="S305"/>
  <c r="S284" s="1"/>
  <c r="J316" i="44"/>
  <c r="J295" s="1"/>
  <c r="J314" i="30"/>
  <c r="J293" s="1"/>
  <c r="N310"/>
  <c r="N289" s="1"/>
  <c r="Y211"/>
  <c r="Y246" s="1"/>
  <c r="AD67" i="43" l="1"/>
  <c r="AD66"/>
  <c r="AD68"/>
  <c r="AE65"/>
  <c r="W208" i="30"/>
  <c r="W257" s="1"/>
  <c r="W213" i="44"/>
  <c r="W248" s="1"/>
  <c r="W210" i="30"/>
  <c r="W254" s="1"/>
  <c r="Y26"/>
  <c r="X191"/>
  <c r="X220" s="1"/>
  <c r="X408"/>
  <c r="X90"/>
  <c r="V27" i="42"/>
  <c r="X213" i="30"/>
  <c r="X248" s="1"/>
  <c r="X89" i="44"/>
  <c r="BJ26" i="42"/>
  <c r="Y25" i="44"/>
  <c r="X190"/>
  <c r="X219" s="1"/>
  <c r="X407"/>
  <c r="X212"/>
  <c r="X247" s="1"/>
  <c r="X407" i="30"/>
  <c r="Y25"/>
  <c r="V26" i="42"/>
  <c r="X190" i="30"/>
  <c r="X219" s="1"/>
  <c r="X89"/>
  <c r="X212"/>
  <c r="X247" s="1"/>
  <c r="V24" i="42"/>
  <c r="Y23" i="30"/>
  <c r="X508"/>
  <c r="X87"/>
  <c r="X405"/>
  <c r="X188"/>
  <c r="X234" s="1"/>
  <c r="X408" i="44"/>
  <c r="X191"/>
  <c r="X220" s="1"/>
  <c r="Y26"/>
  <c r="BJ27" i="42"/>
  <c r="X90" i="44"/>
  <c r="X213"/>
  <c r="X248" s="1"/>
  <c r="I724" i="30"/>
  <c r="I816"/>
  <c r="I839"/>
  <c r="Z197" i="44"/>
  <c r="Z258" s="1"/>
  <c r="Y12" i="30"/>
  <c r="V13" i="42"/>
  <c r="X177" i="30"/>
  <c r="X225" s="1"/>
  <c r="X497"/>
  <c r="X76"/>
  <c r="X177" i="44"/>
  <c r="X225" s="1"/>
  <c r="Y12"/>
  <c r="X76"/>
  <c r="X497"/>
  <c r="BJ13" i="42"/>
  <c r="W199" i="30"/>
  <c r="W240" s="1"/>
  <c r="G48" i="42"/>
  <c r="I595" i="30"/>
  <c r="I549"/>
  <c r="I701"/>
  <c r="I526"/>
  <c r="I571" s="1"/>
  <c r="G120" i="42" s="1"/>
  <c r="I747" i="30"/>
  <c r="I862"/>
  <c r="P91" i="33"/>
  <c r="P32"/>
  <c r="X233" i="30"/>
  <c r="Z200" i="44"/>
  <c r="Z249" s="1"/>
  <c r="V34" i="30"/>
  <c r="P56" i="33"/>
  <c r="P115"/>
  <c r="V34" i="44"/>
  <c r="Z236"/>
  <c r="W256" i="30"/>
  <c r="W255"/>
  <c r="W236"/>
  <c r="W235"/>
  <c r="Z84" i="44"/>
  <c r="Z402"/>
  <c r="AA20"/>
  <c r="Z505"/>
  <c r="Z185"/>
  <c r="BL21" i="42"/>
  <c r="W206" i="30"/>
  <c r="W244" s="1"/>
  <c r="Y207" i="44"/>
  <c r="Y245" s="1"/>
  <c r="W29"/>
  <c r="Y201"/>
  <c r="Y251" s="1"/>
  <c r="I326" i="30"/>
  <c r="I960"/>
  <c r="Y72" i="44"/>
  <c r="Y493"/>
  <c r="Y173"/>
  <c r="Z8"/>
  <c r="BK9" i="42"/>
  <c r="X195" i="44"/>
  <c r="X253" s="1"/>
  <c r="X233"/>
  <c r="V33" i="30"/>
  <c r="Y255" i="44"/>
  <c r="Y207" i="30"/>
  <c r="Y245" s="1"/>
  <c r="AA20"/>
  <c r="Z402"/>
  <c r="Z185"/>
  <c r="Z230" s="1"/>
  <c r="Z84"/>
  <c r="Z505"/>
  <c r="X21" i="42"/>
  <c r="Z207" i="30"/>
  <c r="Z245" s="1"/>
  <c r="Z73"/>
  <c r="Z174"/>
  <c r="Z196" s="1"/>
  <c r="X10" i="42"/>
  <c r="AA9" i="30"/>
  <c r="Z494"/>
  <c r="Q89" i="33"/>
  <c r="Q30"/>
  <c r="X19" i="42"/>
  <c r="AA18" i="30"/>
  <c r="Z400"/>
  <c r="Z503"/>
  <c r="Z82"/>
  <c r="Z183"/>
  <c r="Z228" s="1"/>
  <c r="BL15" i="42"/>
  <c r="Z179" i="44"/>
  <c r="Z232" s="1"/>
  <c r="Z78"/>
  <c r="Z499"/>
  <c r="AA14"/>
  <c r="Z201"/>
  <c r="Z251" s="1"/>
  <c r="W666" i="30"/>
  <c r="U186" i="42" s="1"/>
  <c r="Y254" i="44"/>
  <c r="AB203" i="30"/>
  <c r="AB241" s="1"/>
  <c r="X209" i="44"/>
  <c r="X250" s="1"/>
  <c r="Y187"/>
  <c r="Y223" s="1"/>
  <c r="Y507"/>
  <c r="BK23" i="42"/>
  <c r="Y404" i="44"/>
  <c r="Z22"/>
  <c r="Y86"/>
  <c r="X223" i="30"/>
  <c r="X209"/>
  <c r="X250" s="1"/>
  <c r="Y86"/>
  <c r="Z22"/>
  <c r="W23" i="42"/>
  <c r="Y187" i="30"/>
  <c r="Y507"/>
  <c r="Y404"/>
  <c r="AA73" i="44"/>
  <c r="AA494"/>
  <c r="AA666" s="1"/>
  <c r="BM186" i="42" s="1"/>
  <c r="BM10"/>
  <c r="AA174" i="44"/>
  <c r="AB9"/>
  <c r="Z196"/>
  <c r="Z234"/>
  <c r="AB13" i="30"/>
  <c r="Y14" i="42"/>
  <c r="AA77" i="30"/>
  <c r="AA178"/>
  <c r="AA231" s="1"/>
  <c r="AA498"/>
  <c r="AA200"/>
  <c r="AA249" s="1"/>
  <c r="Z231"/>
  <c r="Z200"/>
  <c r="Z249" s="1"/>
  <c r="X195"/>
  <c r="X253" s="1"/>
  <c r="X504" i="44"/>
  <c r="X679" s="1"/>
  <c r="CQ186" i="42" s="1"/>
  <c r="X184" i="44"/>
  <c r="X229" s="1"/>
  <c r="X401"/>
  <c r="Y19"/>
  <c r="X83"/>
  <c r="BJ20" i="42"/>
  <c r="Y192" i="44"/>
  <c r="Y512"/>
  <c r="BK28" i="42"/>
  <c r="Y91" i="44"/>
  <c r="Z27"/>
  <c r="Z267" s="1"/>
  <c r="Y91" i="30"/>
  <c r="Y512"/>
  <c r="W28" i="42"/>
  <c r="Y192" i="30"/>
  <c r="Y217" s="1"/>
  <c r="Y276" s="1"/>
  <c r="Y298" s="1"/>
  <c r="Z27"/>
  <c r="Z267" s="1"/>
  <c r="Y214"/>
  <c r="Y239" s="1"/>
  <c r="Y15"/>
  <c r="X500"/>
  <c r="X679" s="1"/>
  <c r="CQ177" i="42" s="1"/>
  <c r="V16"/>
  <c r="X180" i="30"/>
  <c r="X79"/>
  <c r="X202"/>
  <c r="W9" i="42"/>
  <c r="Y493" i="30"/>
  <c r="Y661" s="1"/>
  <c r="W177" i="42" s="1"/>
  <c r="Y72" i="30"/>
  <c r="Y173"/>
  <c r="Z8"/>
  <c r="Z431" s="1"/>
  <c r="X67" i="42" s="1"/>
  <c r="X184" i="30"/>
  <c r="X229" s="1"/>
  <c r="X504"/>
  <c r="Y19"/>
  <c r="X83"/>
  <c r="X401"/>
  <c r="V20" i="42"/>
  <c r="X206" i="30"/>
  <c r="X244" s="1"/>
  <c r="X217" i="44"/>
  <c r="X276" s="1"/>
  <c r="X298" s="1"/>
  <c r="X214"/>
  <c r="X239" s="1"/>
  <c r="W198" i="30"/>
  <c r="W252" s="1"/>
  <c r="W206" i="44"/>
  <c r="W244" s="1"/>
  <c r="X75"/>
  <c r="X440"/>
  <c r="CR67" i="42" s="1"/>
  <c r="BJ12"/>
  <c r="X496" i="44"/>
  <c r="Y11"/>
  <c r="X431"/>
  <c r="BJ67" i="42" s="1"/>
  <c r="X176" i="44"/>
  <c r="X224" s="1"/>
  <c r="X41"/>
  <c r="X28"/>
  <c r="X29" s="1"/>
  <c r="X506" i="30"/>
  <c r="X85"/>
  <c r="X403"/>
  <c r="V22" i="42"/>
  <c r="Y21" i="30"/>
  <c r="X186"/>
  <c r="X221" s="1"/>
  <c r="X176"/>
  <c r="X224" s="1"/>
  <c r="V12" i="42"/>
  <c r="X440" i="30"/>
  <c r="CR66" i="42" s="1"/>
  <c r="X496" i="30"/>
  <c r="X28"/>
  <c r="X29" s="1"/>
  <c r="X75"/>
  <c r="X430"/>
  <c r="V66" i="42" s="1"/>
  <c r="Y11" i="30"/>
  <c r="X41"/>
  <c r="AA19" i="43"/>
  <c r="AA23" s="1"/>
  <c r="AA32" s="1"/>
  <c r="W38" i="44"/>
  <c r="W33" s="1"/>
  <c r="W38" i="30"/>
  <c r="Z33" i="43"/>
  <c r="X266" i="30"/>
  <c r="X266" i="44"/>
  <c r="AD52" i="43"/>
  <c r="AC57"/>
  <c r="AC75" s="1"/>
  <c r="Y164" i="42" s="1"/>
  <c r="BM164" s="1"/>
  <c r="Y40" i="30"/>
  <c r="Y92" s="1"/>
  <c r="AB27" i="43"/>
  <c r="Y40" i="44"/>
  <c r="Y92" s="1"/>
  <c r="V44"/>
  <c r="P99" i="33" s="1"/>
  <c r="V45" i="44"/>
  <c r="P100" i="33" s="1"/>
  <c r="V46" i="44"/>
  <c r="P101" i="33" s="1"/>
  <c r="P90" s="1"/>
  <c r="V47" i="44"/>
  <c r="P102" i="33" s="1"/>
  <c r="AB56" i="43"/>
  <c r="AB73" s="1"/>
  <c r="AB14" s="1"/>
  <c r="AB55"/>
  <c r="AB74" s="1"/>
  <c r="AC54"/>
  <c r="AB12"/>
  <c r="AB15" s="1"/>
  <c r="AB20" s="1"/>
  <c r="AC10"/>
  <c r="AA15"/>
  <c r="AA20" s="1"/>
  <c r="Q103" i="33"/>
  <c r="W271" i="44"/>
  <c r="W277" s="1"/>
  <c r="W299" s="1"/>
  <c r="W278" s="1"/>
  <c r="W300" s="1"/>
  <c r="W279" s="1"/>
  <c r="W301" s="1"/>
  <c r="W280" s="1"/>
  <c r="W302" s="1"/>
  <c r="W281" s="1"/>
  <c r="W303" s="1"/>
  <c r="W282" s="1"/>
  <c r="W304" s="1"/>
  <c r="W283" s="1"/>
  <c r="Q44" i="33"/>
  <c r="W271" i="30"/>
  <c r="W277" s="1"/>
  <c r="W299" s="1"/>
  <c r="W278" s="1"/>
  <c r="W300" s="1"/>
  <c r="W279" s="1"/>
  <c r="W301" s="1"/>
  <c r="W280" s="1"/>
  <c r="W302" s="1"/>
  <c r="W281" s="1"/>
  <c r="V44"/>
  <c r="P40" i="33" s="1"/>
  <c r="V45" i="30"/>
  <c r="P41" i="33" s="1"/>
  <c r="V47" i="30"/>
  <c r="P43" i="33" s="1"/>
  <c r="V46" i="30"/>
  <c r="P42" i="33" s="1"/>
  <c r="P31" s="1"/>
  <c r="AC26" i="43"/>
  <c r="Z269" i="44"/>
  <c r="Z269" i="30"/>
  <c r="Z204" i="44"/>
  <c r="Z242" s="1"/>
  <c r="Z201" i="30"/>
  <c r="Z251" s="1"/>
  <c r="AA178" i="44"/>
  <c r="AA231" s="1"/>
  <c r="AA77"/>
  <c r="BM14" i="42"/>
  <c r="AA498" i="44"/>
  <c r="AB13"/>
  <c r="AA179" i="30"/>
  <c r="AA232" s="1"/>
  <c r="AB14"/>
  <c r="AA499"/>
  <c r="Y15" i="42"/>
  <c r="AA78" i="30"/>
  <c r="AA506" i="44"/>
  <c r="AB21"/>
  <c r="BM22" i="42"/>
  <c r="AA186" i="44"/>
  <c r="AA221" s="1"/>
  <c r="AA85"/>
  <c r="Z204" i="30"/>
  <c r="Z242" s="1"/>
  <c r="Z221" i="44"/>
  <c r="Z208"/>
  <c r="Z257" s="1"/>
  <c r="AB17" i="30"/>
  <c r="Y18" i="42"/>
  <c r="AA94" i="30"/>
  <c r="AA502"/>
  <c r="AA399"/>
  <c r="AA182"/>
  <c r="AA227" s="1"/>
  <c r="AA81"/>
  <c r="AB15" i="44"/>
  <c r="AA79"/>
  <c r="BM16" i="42"/>
  <c r="AA180" i="44"/>
  <c r="AA500"/>
  <c r="AA81"/>
  <c r="BM18" i="42"/>
  <c r="AA94" i="44"/>
  <c r="AB17"/>
  <c r="AA502"/>
  <c r="AA182"/>
  <c r="AA227" s="1"/>
  <c r="AA205"/>
  <c r="AA243" s="1"/>
  <c r="Z202"/>
  <c r="Z235"/>
  <c r="Z210"/>
  <c r="AB23"/>
  <c r="AA87"/>
  <c r="AA188"/>
  <c r="AA508"/>
  <c r="BM24" i="42"/>
  <c r="AA495" i="44"/>
  <c r="AA175"/>
  <c r="AA222" s="1"/>
  <c r="AA430"/>
  <c r="BM66" i="42" s="1"/>
  <c r="BM11"/>
  <c r="AB10" i="44"/>
  <c r="AA74"/>
  <c r="BM17" i="42"/>
  <c r="AA80" i="44"/>
  <c r="AA501"/>
  <c r="AA661" s="1"/>
  <c r="BM177" i="42" s="1"/>
  <c r="AA181" i="44"/>
  <c r="AA226" s="1"/>
  <c r="AA93"/>
  <c r="AB16"/>
  <c r="AC18"/>
  <c r="AB183"/>
  <c r="AB228" s="1"/>
  <c r="AB82"/>
  <c r="BN19" i="42"/>
  <c r="AB503" i="44"/>
  <c r="F311" i="30"/>
  <c r="F290" s="1"/>
  <c r="H311" i="44"/>
  <c r="H290" s="1"/>
  <c r="G311" i="30"/>
  <c r="G290" s="1"/>
  <c r="G311" i="44"/>
  <c r="G290" s="1"/>
  <c r="D311"/>
  <c r="D290" s="1"/>
  <c r="E313"/>
  <c r="E292" s="1"/>
  <c r="F311"/>
  <c r="F290" s="1"/>
  <c r="H311" i="30"/>
  <c r="H290" s="1"/>
  <c r="E313"/>
  <c r="E292" s="1"/>
  <c r="D311"/>
  <c r="D290" s="1"/>
  <c r="AA197"/>
  <c r="AA258" s="1"/>
  <c r="AB74"/>
  <c r="Z11" i="42"/>
  <c r="AB175" i="30"/>
  <c r="AB222" s="1"/>
  <c r="AB495"/>
  <c r="AC10"/>
  <c r="Z211"/>
  <c r="Z246" s="1"/>
  <c r="AA406" i="44"/>
  <c r="AA189"/>
  <c r="AA218" s="1"/>
  <c r="BM25" i="42"/>
  <c r="AA509" i="44"/>
  <c r="AA88"/>
  <c r="AB24"/>
  <c r="Z211"/>
  <c r="Z246" s="1"/>
  <c r="AC181" i="30"/>
  <c r="AC226" s="1"/>
  <c r="AC80"/>
  <c r="AC93"/>
  <c r="AC501"/>
  <c r="AD16"/>
  <c r="AA17" i="42"/>
  <c r="N311" i="30"/>
  <c r="N290" s="1"/>
  <c r="J315"/>
  <c r="J294" s="1"/>
  <c r="J317" i="44"/>
  <c r="S306" i="30"/>
  <c r="S285" s="1"/>
  <c r="V305" i="44"/>
  <c r="V284" s="1"/>
  <c r="V303" i="30"/>
  <c r="V282" s="1"/>
  <c r="M312"/>
  <c r="M291" s="1"/>
  <c r="Q308"/>
  <c r="Q287" s="1"/>
  <c r="S308" i="44"/>
  <c r="S287" s="1"/>
  <c r="AA88" i="30"/>
  <c r="AA509"/>
  <c r="AB24"/>
  <c r="AA406"/>
  <c r="Y25" i="42"/>
  <c r="AA189" i="30"/>
  <c r="AA218" s="1"/>
  <c r="K314"/>
  <c r="K293" s="1"/>
  <c r="O310"/>
  <c r="O289" s="1"/>
  <c r="L313"/>
  <c r="L292" s="1"/>
  <c r="I317" i="44"/>
  <c r="T307"/>
  <c r="T286" s="1"/>
  <c r="U306"/>
  <c r="U285" s="1"/>
  <c r="R307" i="30"/>
  <c r="R286" s="1"/>
  <c r="M314" i="44"/>
  <c r="M293" s="1"/>
  <c r="P311"/>
  <c r="P290" s="1"/>
  <c r="U304" i="30"/>
  <c r="U283" s="1"/>
  <c r="P309"/>
  <c r="P288" s="1"/>
  <c r="R309" i="44"/>
  <c r="R288" s="1"/>
  <c r="O312"/>
  <c r="O291" s="1"/>
  <c r="N313"/>
  <c r="N292" s="1"/>
  <c r="Q310"/>
  <c r="Q289" s="1"/>
  <c r="K316"/>
  <c r="K295" s="1"/>
  <c r="L315"/>
  <c r="L294" s="1"/>
  <c r="T305" i="30"/>
  <c r="T284" s="1"/>
  <c r="X206" i="44" l="1"/>
  <c r="X244" s="1"/>
  <c r="AE68" i="43"/>
  <c r="AE66"/>
  <c r="AE67"/>
  <c r="AA200" i="44"/>
  <c r="AA249" s="1"/>
  <c r="Z26"/>
  <c r="Y191"/>
  <c r="Y220" s="1"/>
  <c r="Y90"/>
  <c r="Y408"/>
  <c r="BK27" i="42"/>
  <c r="Y213" i="44"/>
  <c r="Y248" s="1"/>
  <c r="Y87" i="30"/>
  <c r="Y405"/>
  <c r="Z23"/>
  <c r="W24" i="42"/>
  <c r="Y508" i="30"/>
  <c r="Y188"/>
  <c r="Y234" s="1"/>
  <c r="Y89"/>
  <c r="W26" i="42"/>
  <c r="Y407" i="30"/>
  <c r="Y190"/>
  <c r="Y219" s="1"/>
  <c r="Z25"/>
  <c r="Y212"/>
  <c r="Y247" s="1"/>
  <c r="Z25" i="44"/>
  <c r="Y190"/>
  <c r="Y219" s="1"/>
  <c r="Y89"/>
  <c r="Y407"/>
  <c r="BK26" i="42"/>
  <c r="Y212" i="44"/>
  <c r="Y247" s="1"/>
  <c r="W27" i="42"/>
  <c r="Y90" i="30"/>
  <c r="Y408"/>
  <c r="Y191"/>
  <c r="Y220" s="1"/>
  <c r="Z26"/>
  <c r="Y213"/>
  <c r="Y248" s="1"/>
  <c r="X210"/>
  <c r="X254" s="1"/>
  <c r="I770"/>
  <c r="G234" i="42" s="1"/>
  <c r="Y497" i="44"/>
  <c r="Y177"/>
  <c r="Y225" s="1"/>
  <c r="Z12"/>
  <c r="BK13" i="42"/>
  <c r="Y76" i="44"/>
  <c r="Y199"/>
  <c r="Y240" s="1"/>
  <c r="Y177" i="30"/>
  <c r="Y225" s="1"/>
  <c r="Y76"/>
  <c r="Y199"/>
  <c r="Y240" s="1"/>
  <c r="Y497"/>
  <c r="Z12"/>
  <c r="W13" i="42"/>
  <c r="X199" i="44"/>
  <c r="X240" s="1"/>
  <c r="X199" i="30"/>
  <c r="X240" s="1"/>
  <c r="Q91" i="33"/>
  <c r="Q32"/>
  <c r="I378" i="30"/>
  <c r="I817" s="1"/>
  <c r="Y233"/>
  <c r="AA208" i="44"/>
  <c r="AA257" s="1"/>
  <c r="W34" i="30"/>
  <c r="Q56" i="33"/>
  <c r="Q115"/>
  <c r="W34" i="44"/>
  <c r="Z256"/>
  <c r="AA236"/>
  <c r="X256" i="30"/>
  <c r="X255"/>
  <c r="X236"/>
  <c r="X235"/>
  <c r="Z230" i="44"/>
  <c r="Z207"/>
  <c r="Z245" s="1"/>
  <c r="AA402"/>
  <c r="AA84"/>
  <c r="AA185"/>
  <c r="AA230" s="1"/>
  <c r="BM21" i="42"/>
  <c r="AA505" i="44"/>
  <c r="AB20"/>
  <c r="AA197"/>
  <c r="AA258" s="1"/>
  <c r="X198"/>
  <c r="X252" s="1"/>
  <c r="I348" i="30"/>
  <c r="I327" s="1"/>
  <c r="I379" s="1"/>
  <c r="Y195"/>
  <c r="Y253" s="1"/>
  <c r="Y233" i="44"/>
  <c r="Y195"/>
  <c r="Y253" s="1"/>
  <c r="AA8"/>
  <c r="Z72"/>
  <c r="BL9" i="42"/>
  <c r="Z493" i="44"/>
  <c r="Z173"/>
  <c r="W33" i="30"/>
  <c r="X198"/>
  <c r="X252" s="1"/>
  <c r="AB20"/>
  <c r="AA185"/>
  <c r="AA230" s="1"/>
  <c r="Y21" i="42"/>
  <c r="AA505" i="30"/>
  <c r="AA402"/>
  <c r="AA84"/>
  <c r="Z255" i="44"/>
  <c r="AA174" i="30"/>
  <c r="AA196" s="1"/>
  <c r="Y10" i="42"/>
  <c r="AA73" i="30"/>
  <c r="AB9"/>
  <c r="AA494"/>
  <c r="R89" i="33"/>
  <c r="R30"/>
  <c r="Z205" i="30"/>
  <c r="Z243" s="1"/>
  <c r="BM15" i="42"/>
  <c r="AA499" i="44"/>
  <c r="AB14"/>
  <c r="AA78"/>
  <c r="AA179"/>
  <c r="AA232" s="1"/>
  <c r="AA82" i="30"/>
  <c r="AA183"/>
  <c r="AA228" s="1"/>
  <c r="AA400"/>
  <c r="AA503"/>
  <c r="AB18"/>
  <c r="Y19" i="42"/>
  <c r="X666" i="30"/>
  <c r="V186" i="42" s="1"/>
  <c r="Z254" i="44"/>
  <c r="AA204" i="30"/>
  <c r="AA242" s="1"/>
  <c r="Y209" i="44"/>
  <c r="Y250" s="1"/>
  <c r="Y223" i="30"/>
  <c r="Y209"/>
  <c r="Y250" s="1"/>
  <c r="Z86"/>
  <c r="AA22"/>
  <c r="X23" i="42"/>
  <c r="Z404" i="30"/>
  <c r="Z187"/>
  <c r="Z223" s="1"/>
  <c r="Z507"/>
  <c r="Z507" i="44"/>
  <c r="Z187"/>
  <c r="BL23" i="42"/>
  <c r="Z404" i="44"/>
  <c r="Z86"/>
  <c r="AA22"/>
  <c r="AB174"/>
  <c r="AC9"/>
  <c r="BN10" i="42"/>
  <c r="AB494" i="44"/>
  <c r="AB666" s="1"/>
  <c r="BN186" i="42" s="1"/>
  <c r="AB73" i="44"/>
  <c r="AA234"/>
  <c r="AA196"/>
  <c r="AB178" i="30"/>
  <c r="AB231" s="1"/>
  <c r="Z14" i="42"/>
  <c r="AB498" i="30"/>
  <c r="AB77"/>
  <c r="AC13"/>
  <c r="Y83"/>
  <c r="Y504"/>
  <c r="Z19"/>
  <c r="W20" i="42"/>
  <c r="Y184" i="30"/>
  <c r="Y229" s="1"/>
  <c r="Y401"/>
  <c r="Z72"/>
  <c r="AA8"/>
  <c r="AA431" s="1"/>
  <c r="Y67" i="42" s="1"/>
  <c r="X9"/>
  <c r="Z173" i="30"/>
  <c r="Z195" s="1"/>
  <c r="Z253" s="1"/>
  <c r="Z493"/>
  <c r="Z661" s="1"/>
  <c r="X177" i="42" s="1"/>
  <c r="Y180" i="30"/>
  <c r="Y79"/>
  <c r="Y500"/>
  <c r="Y679" s="1"/>
  <c r="CR177" i="42" s="1"/>
  <c r="Z15" i="30"/>
  <c r="W16" i="42"/>
  <c r="X28"/>
  <c r="AA27" i="30"/>
  <c r="AA267" s="1"/>
  <c r="Z512"/>
  <c r="Z91"/>
  <c r="Z192"/>
  <c r="Z217" s="1"/>
  <c r="Z276" s="1"/>
  <c r="Z298" s="1"/>
  <c r="Z192" i="44"/>
  <c r="Z91"/>
  <c r="Z512"/>
  <c r="AA27"/>
  <c r="AA267" s="1"/>
  <c r="BL28" i="42"/>
  <c r="Y184" i="44"/>
  <c r="Y229" s="1"/>
  <c r="Y401"/>
  <c r="Z19"/>
  <c r="BK20" i="42"/>
  <c r="Y83" i="44"/>
  <c r="Y504"/>
  <c r="Y679" s="1"/>
  <c r="CR186" i="42" s="1"/>
  <c r="Y206" i="44"/>
  <c r="Y244" s="1"/>
  <c r="Y217"/>
  <c r="Y276" s="1"/>
  <c r="Y298" s="1"/>
  <c r="Y214"/>
  <c r="Y239" s="1"/>
  <c r="X208" i="30"/>
  <c r="X257" s="1"/>
  <c r="Y431" i="44"/>
  <c r="BK67" i="42" s="1"/>
  <c r="Y75" i="44"/>
  <c r="Z11"/>
  <c r="Y496"/>
  <c r="Y176"/>
  <c r="Y224" s="1"/>
  <c r="BK12" i="42"/>
  <c r="Y440" i="44"/>
  <c r="CS67" i="42" s="1"/>
  <c r="Y28" i="44"/>
  <c r="Y41"/>
  <c r="Y430" i="30"/>
  <c r="W66" i="42" s="1"/>
  <c r="Y496" i="30"/>
  <c r="W12" i="42"/>
  <c r="Z11" i="30"/>
  <c r="Y440"/>
  <c r="CS66" i="42" s="1"/>
  <c r="Y75" i="30"/>
  <c r="Y176"/>
  <c r="Y224" s="1"/>
  <c r="Y28"/>
  <c r="Y29" s="1"/>
  <c r="Y41"/>
  <c r="W22" i="42"/>
  <c r="Y506" i="30"/>
  <c r="Z21"/>
  <c r="Y186"/>
  <c r="Y221" s="1"/>
  <c r="Y403"/>
  <c r="Y85"/>
  <c r="AD10" i="43"/>
  <c r="AC12"/>
  <c r="AD54"/>
  <c r="AC55"/>
  <c r="AC74" s="1"/>
  <c r="AC56"/>
  <c r="AC73" s="1"/>
  <c r="AC14" s="1"/>
  <c r="AC27"/>
  <c r="Z40" i="44"/>
  <c r="Z92" s="1"/>
  <c r="Z40" i="30"/>
  <c r="Z92" s="1"/>
  <c r="R103" i="33"/>
  <c r="X271" i="44"/>
  <c r="X277" s="1"/>
  <c r="X299" s="1"/>
  <c r="X278" s="1"/>
  <c r="X300" s="1"/>
  <c r="X279" s="1"/>
  <c r="X301" s="1"/>
  <c r="X280" s="1"/>
  <c r="X302" s="1"/>
  <c r="X281" s="1"/>
  <c r="X303" s="1"/>
  <c r="X282" s="1"/>
  <c r="X304" s="1"/>
  <c r="X283" s="1"/>
  <c r="X38"/>
  <c r="X38" i="30"/>
  <c r="W44" i="44"/>
  <c r="Q99" i="33" s="1"/>
  <c r="W45" i="44"/>
  <c r="Q100" i="33" s="1"/>
  <c r="W46" i="44"/>
  <c r="Q101" i="33" s="1"/>
  <c r="Q90" s="1"/>
  <c r="W47" i="44"/>
  <c r="Q102" i="33" s="1"/>
  <c r="AA33" i="43"/>
  <c r="Y266" i="30"/>
  <c r="Y266" i="44"/>
  <c r="AA269" i="30"/>
  <c r="AD26" i="43"/>
  <c r="AA269" i="44"/>
  <c r="AB19" i="43"/>
  <c r="AB23" s="1"/>
  <c r="AB32" s="1"/>
  <c r="AB16"/>
  <c r="AE52"/>
  <c r="AE57" s="1"/>
  <c r="AE75" s="1"/>
  <c r="AA164" i="42" s="1"/>
  <c r="BO164" s="1"/>
  <c r="AD57" i="43"/>
  <c r="AD75" s="1"/>
  <c r="Z164" i="42" s="1"/>
  <c r="BN164" s="1"/>
  <c r="R44" i="33"/>
  <c r="X271" i="30"/>
  <c r="X277" s="1"/>
  <c r="X299" s="1"/>
  <c r="X278" s="1"/>
  <c r="X300" s="1"/>
  <c r="X279" s="1"/>
  <c r="X301" s="1"/>
  <c r="X280" s="1"/>
  <c r="X302" s="1"/>
  <c r="X281" s="1"/>
  <c r="W44"/>
  <c r="Q40" i="33" s="1"/>
  <c r="W45" i="30"/>
  <c r="Q41" i="33" s="1"/>
  <c r="W47" i="30"/>
  <c r="Q43" i="33" s="1"/>
  <c r="W46" i="30"/>
  <c r="Q42" i="33" s="1"/>
  <c r="Q31" s="1"/>
  <c r="AA16" i="43"/>
  <c r="AA204" i="44"/>
  <c r="AA242" s="1"/>
  <c r="AA203"/>
  <c r="AA241" s="1"/>
  <c r="AB178"/>
  <c r="AB231" s="1"/>
  <c r="BN14" i="42"/>
  <c r="AC13" i="44"/>
  <c r="AB77"/>
  <c r="AB498"/>
  <c r="AA201" i="30"/>
  <c r="AA251" s="1"/>
  <c r="Z15" i="42"/>
  <c r="AB499" i="30"/>
  <c r="AC14"/>
  <c r="AB179"/>
  <c r="AB232" s="1"/>
  <c r="AB78"/>
  <c r="AB201"/>
  <c r="AB251" s="1"/>
  <c r="AC21" i="44"/>
  <c r="AB506"/>
  <c r="AB186"/>
  <c r="AB221" s="1"/>
  <c r="AB85"/>
  <c r="BN22" i="42"/>
  <c r="AB175" i="44"/>
  <c r="AB222" s="1"/>
  <c r="AB430"/>
  <c r="BN66" i="42" s="1"/>
  <c r="AB495" i="44"/>
  <c r="AC10"/>
  <c r="AB74"/>
  <c r="BN11" i="42"/>
  <c r="AA235" i="44"/>
  <c r="AA210"/>
  <c r="AB182"/>
  <c r="AB227" s="1"/>
  <c r="AC17"/>
  <c r="AB502"/>
  <c r="AB81"/>
  <c r="AB94"/>
  <c r="BN18" i="42"/>
  <c r="AB79" i="44"/>
  <c r="BN16" i="42"/>
  <c r="AC15" i="44"/>
  <c r="AB500"/>
  <c r="AB180"/>
  <c r="AA202"/>
  <c r="AD18"/>
  <c r="AC82"/>
  <c r="AC503"/>
  <c r="AC183"/>
  <c r="AC228" s="1"/>
  <c r="BO19" i="42"/>
  <c r="AB181" i="44"/>
  <c r="AB226" s="1"/>
  <c r="AB501"/>
  <c r="AB661" s="1"/>
  <c r="BN177" i="42" s="1"/>
  <c r="AC16" i="44"/>
  <c r="AB80"/>
  <c r="AB93"/>
  <c r="BN17" i="42"/>
  <c r="AC23" i="44"/>
  <c r="AB87"/>
  <c r="AB508"/>
  <c r="BN24" i="42"/>
  <c r="AB188" i="44"/>
  <c r="AC17" i="30"/>
  <c r="AB502"/>
  <c r="AB182"/>
  <c r="AB227" s="1"/>
  <c r="AB81"/>
  <c r="AB399"/>
  <c r="Z18" i="42"/>
  <c r="AB94" i="30"/>
  <c r="AB205" i="44"/>
  <c r="AB243" s="1"/>
  <c r="D312" i="30"/>
  <c r="D291" s="1"/>
  <c r="E314"/>
  <c r="E293" s="1"/>
  <c r="H312"/>
  <c r="H291" s="1"/>
  <c r="F312" i="44"/>
  <c r="F291" s="1"/>
  <c r="E314"/>
  <c r="E293" s="1"/>
  <c r="D312"/>
  <c r="D291" s="1"/>
  <c r="G312"/>
  <c r="G291" s="1"/>
  <c r="G312" i="30"/>
  <c r="G291" s="1"/>
  <c r="H312" i="44"/>
  <c r="H291" s="1"/>
  <c r="F312" i="30"/>
  <c r="F291" s="1"/>
  <c r="AB197"/>
  <c r="AB258" s="1"/>
  <c r="AC74"/>
  <c r="AC175"/>
  <c r="AC222" s="1"/>
  <c r="AA11" i="42"/>
  <c r="AC495" i="30"/>
  <c r="AD10"/>
  <c r="AB509" i="44"/>
  <c r="AB189"/>
  <c r="AB218" s="1"/>
  <c r="AC24"/>
  <c r="BN25" i="42"/>
  <c r="AB406" i="44"/>
  <c r="AB88"/>
  <c r="AC203" i="30"/>
  <c r="AC241" s="1"/>
  <c r="AA211" i="44"/>
  <c r="AA246" s="1"/>
  <c r="AD501" i="30"/>
  <c r="AE16"/>
  <c r="L316" i="44"/>
  <c r="L295" s="1"/>
  <c r="K317"/>
  <c r="Q311"/>
  <c r="Q290" s="1"/>
  <c r="N314"/>
  <c r="N293" s="1"/>
  <c r="O313"/>
  <c r="O292" s="1"/>
  <c r="R310"/>
  <c r="R289" s="1"/>
  <c r="P310" i="30"/>
  <c r="P289" s="1"/>
  <c r="W303"/>
  <c r="W282" s="1"/>
  <c r="U305"/>
  <c r="U284" s="1"/>
  <c r="P312" i="44"/>
  <c r="P291" s="1"/>
  <c r="M315"/>
  <c r="M294" s="1"/>
  <c r="R308" i="30"/>
  <c r="R287" s="1"/>
  <c r="U307" i="44"/>
  <c r="U286" s="1"/>
  <c r="T308"/>
  <c r="T287" s="1"/>
  <c r="I321"/>
  <c r="I386" s="1"/>
  <c r="L314" i="30"/>
  <c r="L293" s="1"/>
  <c r="O311"/>
  <c r="O290" s="1"/>
  <c r="K315"/>
  <c r="K294" s="1"/>
  <c r="AB88"/>
  <c r="Z25" i="42"/>
  <c r="AB189" i="30"/>
  <c r="AB218" s="1"/>
  <c r="AC24"/>
  <c r="AB406"/>
  <c r="AB509"/>
  <c r="S309" i="44"/>
  <c r="S288" s="1"/>
  <c r="Q309" i="30"/>
  <c r="Q288" s="1"/>
  <c r="M313"/>
  <c r="M292" s="1"/>
  <c r="V304"/>
  <c r="V283" s="1"/>
  <c r="V306" i="44"/>
  <c r="V285" s="1"/>
  <c r="S307" i="30"/>
  <c r="S286" s="1"/>
  <c r="J321" i="44"/>
  <c r="J386" s="1"/>
  <c r="J316" i="30"/>
  <c r="J295" s="1"/>
  <c r="N312"/>
  <c r="N291" s="1"/>
  <c r="W305" i="44"/>
  <c r="W284" s="1"/>
  <c r="T306" i="30"/>
  <c r="T285" s="1"/>
  <c r="AA211"/>
  <c r="AA246" s="1"/>
  <c r="AB197" i="44" l="1"/>
  <c r="AB258" s="1"/>
  <c r="I550" i="30"/>
  <c r="X24" i="42"/>
  <c r="Z87" i="30"/>
  <c r="AA23"/>
  <c r="Z188"/>
  <c r="Z234" s="1"/>
  <c r="Z508"/>
  <c r="Z405"/>
  <c r="AA26" i="44"/>
  <c r="Z408"/>
  <c r="Z191"/>
  <c r="Z220" s="1"/>
  <c r="Z90"/>
  <c r="BL27" i="42"/>
  <c r="Y210" i="30"/>
  <c r="Y254" s="1"/>
  <c r="Z90"/>
  <c r="Z408"/>
  <c r="Z191"/>
  <c r="Z220" s="1"/>
  <c r="AA26"/>
  <c r="X27" i="42"/>
  <c r="Z89" i="44"/>
  <c r="Z407"/>
  <c r="BL26" i="42"/>
  <c r="AA25" i="44"/>
  <c r="Z190"/>
  <c r="Z219" s="1"/>
  <c r="Z407" i="30"/>
  <c r="Z89"/>
  <c r="AA25"/>
  <c r="Z190"/>
  <c r="Z219" s="1"/>
  <c r="X26" i="42"/>
  <c r="Z212" i="30"/>
  <c r="Z247" s="1"/>
  <c r="Z497"/>
  <c r="Z177"/>
  <c r="Z225" s="1"/>
  <c r="AA12"/>
  <c r="Z76"/>
  <c r="X13" i="42"/>
  <c r="BL13"/>
  <c r="Z76" i="44"/>
  <c r="AA12"/>
  <c r="Z497"/>
  <c r="Z177"/>
  <c r="Z225" s="1"/>
  <c r="I702" i="30"/>
  <c r="I961" s="1"/>
  <c r="I725"/>
  <c r="I840"/>
  <c r="G49" i="42"/>
  <c r="R91" i="33"/>
  <c r="I794" i="30"/>
  <c r="I596"/>
  <c r="I748"/>
  <c r="I863"/>
  <c r="I527"/>
  <c r="I572" s="1"/>
  <c r="G121" i="42" s="1"/>
  <c r="R32" i="33"/>
  <c r="Z233" i="30"/>
  <c r="AA256" i="44"/>
  <c r="R115" i="33"/>
  <c r="X34" i="44"/>
  <c r="X33"/>
  <c r="X34" i="30"/>
  <c r="R56" i="33"/>
  <c r="AB236" i="44"/>
  <c r="Y236" i="30"/>
  <c r="Y235"/>
  <c r="Z209"/>
  <c r="Z250" s="1"/>
  <c r="AA207" i="44"/>
  <c r="AA245" s="1"/>
  <c r="AB84"/>
  <c r="AB505"/>
  <c r="AB402"/>
  <c r="BN21" i="42"/>
  <c r="AC20" i="44"/>
  <c r="AB185"/>
  <c r="AB230" s="1"/>
  <c r="Y29"/>
  <c r="Y206" i="30"/>
  <c r="Y244" s="1"/>
  <c r="I349"/>
  <c r="I597"/>
  <c r="I551"/>
  <c r="I818"/>
  <c r="I703"/>
  <c r="I864"/>
  <c r="G50" i="42"/>
  <c r="I749" i="30"/>
  <c r="I528"/>
  <c r="I573" s="1"/>
  <c r="G122" i="42" s="1"/>
  <c r="I795" i="30"/>
  <c r="I726"/>
  <c r="I841"/>
  <c r="Z195" i="44"/>
  <c r="Z253" s="1"/>
  <c r="Z233"/>
  <c r="AA173"/>
  <c r="AA493"/>
  <c r="AA72"/>
  <c r="BM9" i="42"/>
  <c r="AB8" i="44"/>
  <c r="X33" i="30"/>
  <c r="Y198"/>
  <c r="Y252" s="1"/>
  <c r="AB402"/>
  <c r="Z21" i="42"/>
  <c r="AC20" i="30"/>
  <c r="AB84"/>
  <c r="AB505"/>
  <c r="AB185"/>
  <c r="AB230" s="1"/>
  <c r="AA207"/>
  <c r="AA245" s="1"/>
  <c r="AB235" i="44"/>
  <c r="AB73" i="30"/>
  <c r="AC9"/>
  <c r="Z10" i="42"/>
  <c r="AB174" i="30"/>
  <c r="AB196" s="1"/>
  <c r="AB494"/>
  <c r="Y202"/>
  <c r="AA255" i="44"/>
  <c r="AB200"/>
  <c r="AB249" s="1"/>
  <c r="S89" i="33"/>
  <c r="S30"/>
  <c r="AA201" i="44"/>
  <c r="AA251" s="1"/>
  <c r="AB82" i="30"/>
  <c r="AB183"/>
  <c r="AB228" s="1"/>
  <c r="AC18"/>
  <c r="AB503"/>
  <c r="AB400"/>
  <c r="Z19" i="42"/>
  <c r="AB499" i="44"/>
  <c r="AB179"/>
  <c r="AB232" s="1"/>
  <c r="BN15" i="42"/>
  <c r="AC14" i="44"/>
  <c r="AB78"/>
  <c r="AA205" i="30"/>
  <c r="AA243" s="1"/>
  <c r="Y666"/>
  <c r="W186" i="42" s="1"/>
  <c r="AA254" i="44"/>
  <c r="AB22"/>
  <c r="AA507"/>
  <c r="BM23" i="42"/>
  <c r="AA187" i="44"/>
  <c r="AA223" s="1"/>
  <c r="AA86"/>
  <c r="AA404"/>
  <c r="Z223"/>
  <c r="Z209"/>
  <c r="Z250" s="1"/>
  <c r="AA86" i="30"/>
  <c r="AB22"/>
  <c r="AA187"/>
  <c r="AA223" s="1"/>
  <c r="Y23" i="42"/>
  <c r="AA507" i="30"/>
  <c r="AA404"/>
  <c r="AB196" i="44"/>
  <c r="AB234"/>
  <c r="AD9"/>
  <c r="AC494"/>
  <c r="AC666" s="1"/>
  <c r="BO186" i="42" s="1"/>
  <c r="AC174" i="44"/>
  <c r="AC73"/>
  <c r="BO10" i="42"/>
  <c r="AB200" i="30"/>
  <c r="AB249" s="1"/>
  <c r="AC77"/>
  <c r="AD13"/>
  <c r="AC498"/>
  <c r="AC178"/>
  <c r="AC231" s="1"/>
  <c r="AA14" i="42"/>
  <c r="AC200" i="30"/>
  <c r="AC249" s="1"/>
  <c r="AC205" i="44"/>
  <c r="AC243" s="1"/>
  <c r="BL20" i="42"/>
  <c r="AA19" i="44"/>
  <c r="Z401"/>
  <c r="Z83"/>
  <c r="Z184"/>
  <c r="Z229" s="1"/>
  <c r="Z504"/>
  <c r="Z679" s="1"/>
  <c r="CS186" i="42" s="1"/>
  <c r="Z206" i="44"/>
  <c r="Z244" s="1"/>
  <c r="Z217"/>
  <c r="Z276" s="1"/>
  <c r="Z298" s="1"/>
  <c r="Z214"/>
  <c r="Z239" s="1"/>
  <c r="AA91" i="30"/>
  <c r="AB27"/>
  <c r="AB267" s="1"/>
  <c r="AA192"/>
  <c r="AA217" s="1"/>
  <c r="AA276" s="1"/>
  <c r="AA298" s="1"/>
  <c r="AA512"/>
  <c r="Y28" i="42"/>
  <c r="AA72" i="30"/>
  <c r="AA493"/>
  <c r="AA661" s="1"/>
  <c r="Y177" i="42" s="1"/>
  <c r="AB8" i="30"/>
  <c r="AB431" s="1"/>
  <c r="Z67" i="42" s="1"/>
  <c r="AA173" i="30"/>
  <c r="Y9" i="42"/>
  <c r="AA195" i="30"/>
  <c r="AA253" s="1"/>
  <c r="X20" i="42"/>
  <c r="Z83" i="30"/>
  <c r="Z504"/>
  <c r="Z401"/>
  <c r="Z184"/>
  <c r="Z229" s="1"/>
  <c r="AA19"/>
  <c r="AA512" i="44"/>
  <c r="BM28" i="42"/>
  <c r="AA91" i="44"/>
  <c r="AA192"/>
  <c r="AB27"/>
  <c r="AB267" s="1"/>
  <c r="AA15" i="30"/>
  <c r="Z79"/>
  <c r="X16" i="42"/>
  <c r="Z500" i="30"/>
  <c r="Z679" s="1"/>
  <c r="CS177" i="42" s="1"/>
  <c r="Z180" i="30"/>
  <c r="Y198" i="44"/>
  <c r="Y252" s="1"/>
  <c r="Z214" i="30"/>
  <c r="Z239" s="1"/>
  <c r="AA21"/>
  <c r="Z506"/>
  <c r="Z85"/>
  <c r="X22" i="42"/>
  <c r="Z186" i="30"/>
  <c r="Z221" s="1"/>
  <c r="Z403"/>
  <c r="Z430"/>
  <c r="X66" i="42" s="1"/>
  <c r="X12"/>
  <c r="AA11" i="30"/>
  <c r="Z28"/>
  <c r="Z29" s="1"/>
  <c r="Z496"/>
  <c r="Z176"/>
  <c r="Z224" s="1"/>
  <c r="Z75"/>
  <c r="Z440"/>
  <c r="CT66" i="42" s="1"/>
  <c r="Z41" i="30"/>
  <c r="Z198"/>
  <c r="Z252" s="1"/>
  <c r="Z431" i="44"/>
  <c r="BL67" i="42" s="1"/>
  <c r="Z75" i="44"/>
  <c r="BL12" i="42"/>
  <c r="Z176" i="44"/>
  <c r="Z224" s="1"/>
  <c r="Z28"/>
  <c r="Z29" s="1"/>
  <c r="AA11"/>
  <c r="Z440"/>
  <c r="CT67" i="42" s="1"/>
  <c r="Z496" i="44"/>
  <c r="Z41"/>
  <c r="Y208" i="30"/>
  <c r="Y257" s="1"/>
  <c r="AB33" i="43"/>
  <c r="Z266" i="30"/>
  <c r="Z266" i="44"/>
  <c r="AB269" i="30"/>
  <c r="AE26" i="43"/>
  <c r="AB269" i="44"/>
  <c r="S103" i="33"/>
  <c r="Y271" i="44"/>
  <c r="Y277" s="1"/>
  <c r="Y299" s="1"/>
  <c r="Y278" s="1"/>
  <c r="Y300" s="1"/>
  <c r="Y279" s="1"/>
  <c r="Y301" s="1"/>
  <c r="Y280" s="1"/>
  <c r="Y302" s="1"/>
  <c r="Y281" s="1"/>
  <c r="Y303" s="1"/>
  <c r="Y282" s="1"/>
  <c r="Y304" s="1"/>
  <c r="Y283" s="1"/>
  <c r="Y38" i="30"/>
  <c r="Y38" i="44"/>
  <c r="Y33" s="1"/>
  <c r="X45"/>
  <c r="R100" i="33" s="1"/>
  <c r="X44" i="44"/>
  <c r="R99" i="33" s="1"/>
  <c r="X46" i="44"/>
  <c r="R101" i="33" s="1"/>
  <c r="R90" s="1"/>
  <c r="X47" i="44"/>
  <c r="R102" i="33" s="1"/>
  <c r="AC19" i="43"/>
  <c r="AC23" s="1"/>
  <c r="AC32" s="1"/>
  <c r="AD55"/>
  <c r="AD74" s="1"/>
  <c r="AE54"/>
  <c r="AD56"/>
  <c r="AD73" s="1"/>
  <c r="AD14" s="1"/>
  <c r="AD12"/>
  <c r="AE10"/>
  <c r="S44" i="33"/>
  <c r="Y271" i="30"/>
  <c r="Y277" s="1"/>
  <c r="Y299" s="1"/>
  <c r="Y278" s="1"/>
  <c r="Y300" s="1"/>
  <c r="Y279" s="1"/>
  <c r="Y301" s="1"/>
  <c r="Y280" s="1"/>
  <c r="Y302" s="1"/>
  <c r="Y281" s="1"/>
  <c r="X44"/>
  <c r="R40" i="33" s="1"/>
  <c r="X45" i="30"/>
  <c r="R41" i="33" s="1"/>
  <c r="X47" i="30"/>
  <c r="R43" i="33" s="1"/>
  <c r="X46" i="30"/>
  <c r="R42" i="33" s="1"/>
  <c r="R31" s="1"/>
  <c r="AA40" i="30"/>
  <c r="AA92" s="1"/>
  <c r="AA40" i="44"/>
  <c r="AA92" s="1"/>
  <c r="AD27" i="43"/>
  <c r="AC15"/>
  <c r="AC20" s="1"/>
  <c r="AB202" i="44"/>
  <c r="AB204"/>
  <c r="AB242" s="1"/>
  <c r="AA15" i="42"/>
  <c r="AD14" i="30"/>
  <c r="AC499"/>
  <c r="AC179"/>
  <c r="AC232" s="1"/>
  <c r="AC78"/>
  <c r="AC77" i="44"/>
  <c r="AC178"/>
  <c r="AC231" s="1"/>
  <c r="AD13"/>
  <c r="AC498"/>
  <c r="BO14" i="42"/>
  <c r="AB208" i="44"/>
  <c r="AB257" s="1"/>
  <c r="AD21"/>
  <c r="AC186"/>
  <c r="AC221" s="1"/>
  <c r="AC506"/>
  <c r="BO22" i="42"/>
  <c r="AC85" i="44"/>
  <c r="AB210"/>
  <c r="AB203"/>
  <c r="AB241" s="1"/>
  <c r="BO17" i="42"/>
  <c r="AC80" i="44"/>
  <c r="AC181"/>
  <c r="AC226" s="1"/>
  <c r="AC501"/>
  <c r="AC661" s="1"/>
  <c r="BO177" i="42" s="1"/>
  <c r="AC93" i="44"/>
  <c r="AD16"/>
  <c r="AC79"/>
  <c r="BO16" i="42"/>
  <c r="AC500" i="44"/>
  <c r="AD15"/>
  <c r="AC180"/>
  <c r="BO18" i="42"/>
  <c r="AC94" i="44"/>
  <c r="AC81"/>
  <c r="AC182"/>
  <c r="AC227" s="1"/>
  <c r="AC502"/>
  <c r="AD17"/>
  <c r="AC175"/>
  <c r="AC222" s="1"/>
  <c r="AC495"/>
  <c r="AD10"/>
  <c r="BO11" i="42"/>
  <c r="AC430" i="44"/>
  <c r="BO66" i="42" s="1"/>
  <c r="AC74" i="44"/>
  <c r="AB204" i="30"/>
  <c r="AB242" s="1"/>
  <c r="AA18" i="42"/>
  <c r="AC81" i="30"/>
  <c r="AC399"/>
  <c r="AC182"/>
  <c r="AC227" s="1"/>
  <c r="AC94"/>
  <c r="AC502"/>
  <c r="AD17"/>
  <c r="BO24" i="42"/>
  <c r="AC188" i="44"/>
  <c r="AC508"/>
  <c r="AD23"/>
  <c r="AC87"/>
  <c r="AE18"/>
  <c r="AD503"/>
  <c r="F313" i="30"/>
  <c r="F292" s="1"/>
  <c r="H313" i="44"/>
  <c r="H292" s="1"/>
  <c r="G313" i="30"/>
  <c r="G292" s="1"/>
  <c r="G313" i="44"/>
  <c r="G292" s="1"/>
  <c r="D313"/>
  <c r="D292" s="1"/>
  <c r="E315"/>
  <c r="E294" s="1"/>
  <c r="F313"/>
  <c r="F292" s="1"/>
  <c r="H313" i="30"/>
  <c r="H292" s="1"/>
  <c r="E315"/>
  <c r="E294" s="1"/>
  <c r="D313"/>
  <c r="D292" s="1"/>
  <c r="AC197"/>
  <c r="AC258" s="1"/>
  <c r="AE10"/>
  <c r="AD495"/>
  <c r="AC88" i="44"/>
  <c r="AC406"/>
  <c r="AC509"/>
  <c r="AD24"/>
  <c r="AC189"/>
  <c r="AC218" s="1"/>
  <c r="BO25" i="42"/>
  <c r="AB211" i="44"/>
  <c r="AB246" s="1"/>
  <c r="AF16" i="30"/>
  <c r="AE501"/>
  <c r="J343" i="44"/>
  <c r="J322" s="1"/>
  <c r="J371" s="1"/>
  <c r="AB211" i="30"/>
  <c r="AB246" s="1"/>
  <c r="N313"/>
  <c r="N292" s="1"/>
  <c r="J317"/>
  <c r="J802" i="44"/>
  <c r="J733"/>
  <c r="J409"/>
  <c r="J535"/>
  <c r="J871"/>
  <c r="J756"/>
  <c r="J825"/>
  <c r="J558"/>
  <c r="J848"/>
  <c r="J710"/>
  <c r="AV57" i="42"/>
  <c r="S308" i="30"/>
  <c r="S287" s="1"/>
  <c r="V307" i="44"/>
  <c r="V286" s="1"/>
  <c r="V305" i="30"/>
  <c r="V284" s="1"/>
  <c r="M314"/>
  <c r="M293" s="1"/>
  <c r="Q310"/>
  <c r="Q289" s="1"/>
  <c r="S310" i="44"/>
  <c r="S289" s="1"/>
  <c r="AC406" i="30"/>
  <c r="AC88"/>
  <c r="AC189"/>
  <c r="AC218" s="1"/>
  <c r="AC509"/>
  <c r="AA25" i="42"/>
  <c r="AD24" i="30"/>
  <c r="X305" i="44"/>
  <c r="X284" s="1"/>
  <c r="Q312"/>
  <c r="Q291" s="1"/>
  <c r="K321"/>
  <c r="K386" s="1"/>
  <c r="L317"/>
  <c r="X303" i="30"/>
  <c r="X282" s="1"/>
  <c r="I343" i="44"/>
  <c r="T307" i="30"/>
  <c r="T286" s="1"/>
  <c r="W306" i="44"/>
  <c r="W285" s="1"/>
  <c r="K316" i="30"/>
  <c r="K295" s="1"/>
  <c r="O312"/>
  <c r="O291" s="1"/>
  <c r="L315"/>
  <c r="L294" s="1"/>
  <c r="I802" i="44"/>
  <c r="I871"/>
  <c r="I409"/>
  <c r="I756"/>
  <c r="I848"/>
  <c r="I733"/>
  <c r="I535"/>
  <c r="AU57" i="42"/>
  <c r="I558" i="44"/>
  <c r="I710"/>
  <c r="I825"/>
  <c r="T309"/>
  <c r="T288" s="1"/>
  <c r="U308"/>
  <c r="U287" s="1"/>
  <c r="R309" i="30"/>
  <c r="R288" s="1"/>
  <c r="M316" i="44"/>
  <c r="M295" s="1"/>
  <c r="P313"/>
  <c r="P292" s="1"/>
  <c r="U306" i="30"/>
  <c r="U285" s="1"/>
  <c r="W304"/>
  <c r="W283" s="1"/>
  <c r="P311"/>
  <c r="P290" s="1"/>
  <c r="R311" i="44"/>
  <c r="R290" s="1"/>
  <c r="O314"/>
  <c r="O293" s="1"/>
  <c r="N315"/>
  <c r="N294" s="1"/>
  <c r="Z212" l="1"/>
  <c r="Z247" s="1"/>
  <c r="Z213" i="30"/>
  <c r="Z248" s="1"/>
  <c r="AA407"/>
  <c r="AA89"/>
  <c r="AB25"/>
  <c r="Y26" i="42"/>
  <c r="AA190" i="30"/>
  <c r="AA219" s="1"/>
  <c r="AA188"/>
  <c r="AA405"/>
  <c r="AA87"/>
  <c r="AA508"/>
  <c r="Y24" i="42"/>
  <c r="AB23" i="30"/>
  <c r="Z213" i="44"/>
  <c r="Z248" s="1"/>
  <c r="Z210" i="30"/>
  <c r="Z254" s="1"/>
  <c r="AA190" i="44"/>
  <c r="AA219" s="1"/>
  <c r="BM26" i="42"/>
  <c r="AA407" i="44"/>
  <c r="AA89"/>
  <c r="AB25"/>
  <c r="AA191" i="30"/>
  <c r="AA220" s="1"/>
  <c r="AA408"/>
  <c r="AB26"/>
  <c r="Y27" i="42"/>
  <c r="AA90" i="30"/>
  <c r="BM27" i="42"/>
  <c r="AA90" i="44"/>
  <c r="AA408"/>
  <c r="AB26"/>
  <c r="AA191"/>
  <c r="AA220" s="1"/>
  <c r="Z199"/>
  <c r="Z240" s="1"/>
  <c r="Z199" i="30"/>
  <c r="Z240" s="1"/>
  <c r="AB12" i="44"/>
  <c r="AA497"/>
  <c r="AA76"/>
  <c r="BM13" i="42"/>
  <c r="AA177" i="44"/>
  <c r="AA225" s="1"/>
  <c r="AA76" i="30"/>
  <c r="AA497"/>
  <c r="AB12"/>
  <c r="AA177"/>
  <c r="AA225" s="1"/>
  <c r="Y13" i="42"/>
  <c r="AA199" i="30"/>
  <c r="AA240" s="1"/>
  <c r="I771"/>
  <c r="G235" i="42" s="1"/>
  <c r="S91" i="33"/>
  <c r="S32"/>
  <c r="AA233" i="30"/>
  <c r="AB201" i="44"/>
  <c r="AB251" s="1"/>
  <c r="AB256"/>
  <c r="Z208" i="30"/>
  <c r="Z257" s="1"/>
  <c r="Y34"/>
  <c r="S56" i="33"/>
  <c r="S115"/>
  <c r="Y34" i="44"/>
  <c r="AC204" i="30"/>
  <c r="AC242" s="1"/>
  <c r="AC236" i="44"/>
  <c r="Z236" i="30"/>
  <c r="Z235"/>
  <c r="Y256"/>
  <c r="Y255"/>
  <c r="AC402" i="44"/>
  <c r="AC185"/>
  <c r="AC230" s="1"/>
  <c r="AC84"/>
  <c r="BO21" i="42"/>
  <c r="AD20" i="44"/>
  <c r="AC505"/>
  <c r="AB207"/>
  <c r="AB245" s="1"/>
  <c r="AB255"/>
  <c r="I328" i="30"/>
  <c r="I962"/>
  <c r="I772"/>
  <c r="G236" i="42" s="1"/>
  <c r="AB72" i="44"/>
  <c r="AB173"/>
  <c r="AC8"/>
  <c r="AB493"/>
  <c r="BN9" i="42"/>
  <c r="AA195" i="44"/>
  <c r="AA253" s="1"/>
  <c r="AA233"/>
  <c r="Y33" i="30"/>
  <c r="AC201"/>
  <c r="AC251" s="1"/>
  <c r="AC505"/>
  <c r="AC84"/>
  <c r="AC402"/>
  <c r="AC185"/>
  <c r="AC230" s="1"/>
  <c r="AA21" i="42"/>
  <c r="AD20" i="30"/>
  <c r="AB207"/>
  <c r="AB245" s="1"/>
  <c r="AC235" i="44"/>
  <c r="AC494" i="30"/>
  <c r="AC73"/>
  <c r="AC174"/>
  <c r="AC196" s="1"/>
  <c r="AA10" i="42"/>
  <c r="AD9" i="30"/>
  <c r="T89" i="33"/>
  <c r="T30"/>
  <c r="AB205" i="30"/>
  <c r="AB243" s="1"/>
  <c r="AC499" i="44"/>
  <c r="AC179"/>
  <c r="AC232" s="1"/>
  <c r="AD14"/>
  <c r="AC78"/>
  <c r="BO15" i="42"/>
  <c r="AC183" i="30"/>
  <c r="AC228" s="1"/>
  <c r="AA19" i="42"/>
  <c r="AD18" i="30"/>
  <c r="AC82"/>
  <c r="AC400"/>
  <c r="AC503"/>
  <c r="AC205"/>
  <c r="AC243" s="1"/>
  <c r="Z666"/>
  <c r="X186" i="42" s="1"/>
  <c r="AB254" i="44"/>
  <c r="AB507" i="30"/>
  <c r="Z23" i="42"/>
  <c r="AB404" i="30"/>
  <c r="AC22"/>
  <c r="AB187"/>
  <c r="AB86"/>
  <c r="AB507" i="44"/>
  <c r="AC22"/>
  <c r="AB86"/>
  <c r="BN23" i="42"/>
  <c r="AB187" i="44"/>
  <c r="AB223" s="1"/>
  <c r="AA209" i="30"/>
  <c r="AA250" s="1"/>
  <c r="AA209" i="44"/>
  <c r="AA250" s="1"/>
  <c r="AC234"/>
  <c r="AC196"/>
  <c r="AD494"/>
  <c r="AE9"/>
  <c r="AE13" i="30"/>
  <c r="AD498"/>
  <c r="Z206"/>
  <c r="Z244" s="1"/>
  <c r="AC210" i="44"/>
  <c r="AA214" i="30"/>
  <c r="AA239" s="1"/>
  <c r="Z9" i="42"/>
  <c r="AB72" i="30"/>
  <c r="AB493"/>
  <c r="AB661" s="1"/>
  <c r="Z177" i="42" s="1"/>
  <c r="AB173" i="30"/>
  <c r="AC8"/>
  <c r="AC431" s="1"/>
  <c r="AA67" i="42" s="1"/>
  <c r="AB195" i="30"/>
  <c r="AB253" s="1"/>
  <c r="AB192"/>
  <c r="AB217" s="1"/>
  <c r="AB276" s="1"/>
  <c r="AB298" s="1"/>
  <c r="AB512"/>
  <c r="Z28" i="42"/>
  <c r="AB91" i="30"/>
  <c r="AC27"/>
  <c r="AC267" s="1"/>
  <c r="AA217" i="44"/>
  <c r="AA276" s="1"/>
  <c r="AA298" s="1"/>
  <c r="AA214"/>
  <c r="AA239" s="1"/>
  <c r="Y20" i="42"/>
  <c r="AA83" i="30"/>
  <c r="AA401"/>
  <c r="AA184"/>
  <c r="AA229" s="1"/>
  <c r="AA504"/>
  <c r="AB19"/>
  <c r="AA79"/>
  <c r="AB15"/>
  <c r="AA500"/>
  <c r="AA679" s="1"/>
  <c r="CT177" i="42" s="1"/>
  <c r="Y16"/>
  <c r="AA180" i="30"/>
  <c r="AB91" i="44"/>
  <c r="AC27"/>
  <c r="AC267" s="1"/>
  <c r="BN28" i="42"/>
  <c r="AB512" i="44"/>
  <c r="AB192"/>
  <c r="AA83"/>
  <c r="AA504"/>
  <c r="AA679" s="1"/>
  <c r="CT186" i="42" s="1"/>
  <c r="AA184" i="44"/>
  <c r="AA229" s="1"/>
  <c r="AA401"/>
  <c r="BM20" i="42"/>
  <c r="AB19" i="44"/>
  <c r="Z202" i="30"/>
  <c r="AC197" i="44"/>
  <c r="AC258" s="1"/>
  <c r="AC204"/>
  <c r="AC242" s="1"/>
  <c r="AC202"/>
  <c r="AC203"/>
  <c r="AC241" s="1"/>
  <c r="Z198"/>
  <c r="Z252" s="1"/>
  <c r="AA75"/>
  <c r="AB11"/>
  <c r="AA496"/>
  <c r="BM12" i="42"/>
  <c r="AA28" i="44"/>
  <c r="AA176"/>
  <c r="AA224" s="1"/>
  <c r="AA431"/>
  <c r="BM67" i="42" s="1"/>
  <c r="AA440" i="44"/>
  <c r="CU67" i="42" s="1"/>
  <c r="AA41" i="44"/>
  <c r="Y22" i="42"/>
  <c r="AA403" i="30"/>
  <c r="AA186"/>
  <c r="AA221" s="1"/>
  <c r="AB21"/>
  <c r="AA506"/>
  <c r="AA85"/>
  <c r="AA208"/>
  <c r="AA257" s="1"/>
  <c r="Y12" i="42"/>
  <c r="AA75" i="30"/>
  <c r="AA176"/>
  <c r="AA224" s="1"/>
  <c r="AB11"/>
  <c r="AA28"/>
  <c r="AA29" s="1"/>
  <c r="AA496"/>
  <c r="AA430"/>
  <c r="Y66" i="42" s="1"/>
  <c r="AA440" i="30"/>
  <c r="CU66" i="42" s="1"/>
  <c r="AA41" i="30"/>
  <c r="AD15" i="43"/>
  <c r="AD20" s="1"/>
  <c r="AB40" i="30"/>
  <c r="AB92" s="1"/>
  <c r="AE27" i="43"/>
  <c r="AB40" i="44"/>
  <c r="AB92" s="1"/>
  <c r="AE12" i="43"/>
  <c r="Y45" i="30"/>
  <c r="S41" i="33" s="1"/>
  <c r="Y44" i="30"/>
  <c r="S40" i="33" s="1"/>
  <c r="Y47" i="30"/>
  <c r="S43" i="33" s="1"/>
  <c r="Y46" i="30"/>
  <c r="S42" i="33" s="1"/>
  <c r="S31" s="1"/>
  <c r="AC269" i="30"/>
  <c r="AC269" i="44"/>
  <c r="T103" i="33"/>
  <c r="Z271" i="44"/>
  <c r="Z277" s="1"/>
  <c r="Z299" s="1"/>
  <c r="Z278" s="1"/>
  <c r="Z300" s="1"/>
  <c r="Z279" s="1"/>
  <c r="Z301" s="1"/>
  <c r="Z280" s="1"/>
  <c r="Z302" s="1"/>
  <c r="Z281" s="1"/>
  <c r="Z303" s="1"/>
  <c r="Z282" s="1"/>
  <c r="Z304" s="1"/>
  <c r="Z283" s="1"/>
  <c r="Z38" i="30"/>
  <c r="Z38" i="44"/>
  <c r="AC16" i="43"/>
  <c r="AD19"/>
  <c r="AD23" s="1"/>
  <c r="AD32" s="1"/>
  <c r="AE56"/>
  <c r="AE73" s="1"/>
  <c r="AE14" s="1"/>
  <c r="AE55"/>
  <c r="AE74" s="1"/>
  <c r="AC33"/>
  <c r="AA266" i="44"/>
  <c r="AA266" i="30"/>
  <c r="Y45" i="44"/>
  <c r="S100" i="33" s="1"/>
  <c r="Y44" i="44"/>
  <c r="S99" i="33" s="1"/>
  <c r="Y47" i="44"/>
  <c r="S102" i="33" s="1"/>
  <c r="Y46" i="44"/>
  <c r="S101" i="33" s="1"/>
  <c r="S90" s="1"/>
  <c r="T44"/>
  <c r="Z271" i="30"/>
  <c r="Z277" s="1"/>
  <c r="Z299" s="1"/>
  <c r="Z278" s="1"/>
  <c r="Z300" s="1"/>
  <c r="Z279" s="1"/>
  <c r="Z301" s="1"/>
  <c r="Z280" s="1"/>
  <c r="Z302" s="1"/>
  <c r="Z281" s="1"/>
  <c r="AC208" i="44"/>
  <c r="AC257" s="1"/>
  <c r="AC200"/>
  <c r="AC249" s="1"/>
  <c r="AE13"/>
  <c r="AD498"/>
  <c r="AE14" i="30"/>
  <c r="AD499"/>
  <c r="AE21" i="44"/>
  <c r="AD506"/>
  <c r="AE503"/>
  <c r="AF18"/>
  <c r="AD508"/>
  <c r="AE23"/>
  <c r="AD502" i="30"/>
  <c r="AE17"/>
  <c r="AD501" i="44"/>
  <c r="AE16"/>
  <c r="AD495"/>
  <c r="AE10"/>
  <c r="AE17"/>
  <c r="AD502"/>
  <c r="AD500"/>
  <c r="AE15"/>
  <c r="D314" i="30"/>
  <c r="D293" s="1"/>
  <c r="E316"/>
  <c r="E295" s="1"/>
  <c r="H314"/>
  <c r="H293" s="1"/>
  <c r="F314" i="44"/>
  <c r="F293" s="1"/>
  <c r="E316"/>
  <c r="E295" s="1"/>
  <c r="D314"/>
  <c r="D293" s="1"/>
  <c r="G314"/>
  <c r="G293" s="1"/>
  <c r="G314" i="30"/>
  <c r="G293" s="1"/>
  <c r="H314" i="44"/>
  <c r="H293" s="1"/>
  <c r="F314" i="30"/>
  <c r="F293" s="1"/>
  <c r="AE495"/>
  <c r="AF10"/>
  <c r="AC211" i="44"/>
  <c r="AC246" s="1"/>
  <c r="AD509"/>
  <c r="AE24"/>
  <c r="AG16" i="30"/>
  <c r="AF501"/>
  <c r="J344" i="44"/>
  <c r="J323" s="1"/>
  <c r="J375" s="1"/>
  <c r="N316"/>
  <c r="N295" s="1"/>
  <c r="O315"/>
  <c r="O294" s="1"/>
  <c r="R312"/>
  <c r="R291" s="1"/>
  <c r="P312" i="30"/>
  <c r="P291" s="1"/>
  <c r="W305"/>
  <c r="W284" s="1"/>
  <c r="U307"/>
  <c r="U286" s="1"/>
  <c r="P314" i="44"/>
  <c r="P293" s="1"/>
  <c r="M317"/>
  <c r="R310" i="30"/>
  <c r="R289" s="1"/>
  <c r="U309" i="44"/>
  <c r="U288" s="1"/>
  <c r="T310"/>
  <c r="T289" s="1"/>
  <c r="L316" i="30"/>
  <c r="L295" s="1"/>
  <c r="O313"/>
  <c r="O292" s="1"/>
  <c r="K317"/>
  <c r="J856" i="44"/>
  <c r="J718"/>
  <c r="J833"/>
  <c r="AV42" i="42"/>
  <c r="J741" i="44"/>
  <c r="J787"/>
  <c r="J695"/>
  <c r="J394"/>
  <c r="J810"/>
  <c r="J520"/>
  <c r="J543"/>
  <c r="Y303" i="30"/>
  <c r="Y282" s="1"/>
  <c r="W307" i="44"/>
  <c r="W286" s="1"/>
  <c r="T308" i="30"/>
  <c r="T287" s="1"/>
  <c r="I322" i="44"/>
  <c r="I371" s="1"/>
  <c r="X304" i="30"/>
  <c r="X283" s="1"/>
  <c r="L321" i="44"/>
  <c r="L386" s="1"/>
  <c r="K535"/>
  <c r="K802"/>
  <c r="K733"/>
  <c r="K558"/>
  <c r="K756"/>
  <c r="AW57" i="42"/>
  <c r="K409" i="44"/>
  <c r="K825"/>
  <c r="K848"/>
  <c r="K871"/>
  <c r="K710"/>
  <c r="Q313"/>
  <c r="Q292" s="1"/>
  <c r="X306"/>
  <c r="X285" s="1"/>
  <c r="Y305"/>
  <c r="Y284" s="1"/>
  <c r="J969"/>
  <c r="J779"/>
  <c r="AV243" i="42" s="1"/>
  <c r="I580" i="44"/>
  <c r="AC211" i="30"/>
  <c r="AC246" s="1"/>
  <c r="J580" i="44"/>
  <c r="I969"/>
  <c r="I779"/>
  <c r="AU243" i="42" s="1"/>
  <c r="AD509" i="30"/>
  <c r="AE24"/>
  <c r="S311" i="44"/>
  <c r="S290" s="1"/>
  <c r="Q311" i="30"/>
  <c r="Q290" s="1"/>
  <c r="M315"/>
  <c r="M294" s="1"/>
  <c r="V306"/>
  <c r="V285" s="1"/>
  <c r="V308" i="44"/>
  <c r="V287" s="1"/>
  <c r="S309" i="30"/>
  <c r="S288" s="1"/>
  <c r="J321"/>
  <c r="J386" s="1"/>
  <c r="N314"/>
  <c r="N293" s="1"/>
  <c r="K343" i="44"/>
  <c r="AD16" i="43" l="1"/>
  <c r="Z27" i="42"/>
  <c r="AB191" i="30"/>
  <c r="AB220" s="1"/>
  <c r="AB90"/>
  <c r="AB408"/>
  <c r="AC26"/>
  <c r="AB213"/>
  <c r="AB248" s="1"/>
  <c r="AB190" i="44"/>
  <c r="AB219" s="1"/>
  <c r="AC25"/>
  <c r="BN26" i="42"/>
  <c r="AB89" i="44"/>
  <c r="AB407"/>
  <c r="AA210" i="30"/>
  <c r="AA254" s="1"/>
  <c r="AA234"/>
  <c r="Z26" i="42"/>
  <c r="AB190" i="30"/>
  <c r="AB219" s="1"/>
  <c r="AB89"/>
  <c r="AB407"/>
  <c r="AC25"/>
  <c r="AB212"/>
  <c r="AB247" s="1"/>
  <c r="AB408" i="44"/>
  <c r="AB191"/>
  <c r="AB220" s="1"/>
  <c r="BN27" i="42"/>
  <c r="AC26" i="44"/>
  <c r="AB90"/>
  <c r="AB213"/>
  <c r="AB248" s="1"/>
  <c r="Z24" i="42"/>
  <c r="AB405" i="30"/>
  <c r="AB87"/>
  <c r="AB508"/>
  <c r="AC23"/>
  <c r="AB188"/>
  <c r="AB234" s="1"/>
  <c r="AA213" i="44"/>
  <c r="AA248" s="1"/>
  <c r="AA213" i="30"/>
  <c r="AA248" s="1"/>
  <c r="AA212" i="44"/>
  <c r="AA247" s="1"/>
  <c r="AA212" i="30"/>
  <c r="AA247" s="1"/>
  <c r="AA206" i="44"/>
  <c r="AA244" s="1"/>
  <c r="AB497" i="30"/>
  <c r="Z13" i="42"/>
  <c r="AC12" i="30"/>
  <c r="AB177"/>
  <c r="AB225" s="1"/>
  <c r="AB76"/>
  <c r="AB199"/>
  <c r="AB240" s="1"/>
  <c r="AB177" i="44"/>
  <c r="AB225" s="1"/>
  <c r="AC12"/>
  <c r="BN13" i="42"/>
  <c r="AB76" i="44"/>
  <c r="AB497"/>
  <c r="AA199"/>
  <c r="AA240" s="1"/>
  <c r="T32" i="33"/>
  <c r="T91"/>
  <c r="I383" i="30"/>
  <c r="I822" s="1"/>
  <c r="AB233"/>
  <c r="Z34"/>
  <c r="T56" i="33"/>
  <c r="T115"/>
  <c r="Z34" i="44"/>
  <c r="Z33"/>
  <c r="AC207"/>
  <c r="AC245" s="1"/>
  <c r="AC255"/>
  <c r="Z256" i="30"/>
  <c r="Z255"/>
  <c r="AA236"/>
  <c r="AA235"/>
  <c r="AC256" i="44"/>
  <c r="AD505"/>
  <c r="AE20"/>
  <c r="AC201"/>
  <c r="AC251" s="1"/>
  <c r="AA29"/>
  <c r="I350" i="30"/>
  <c r="I329" s="1"/>
  <c r="I384" s="1"/>
  <c r="AD8" i="44"/>
  <c r="AC493"/>
  <c r="AC72"/>
  <c r="AC173"/>
  <c r="BO9" i="42"/>
  <c r="AB233" i="44"/>
  <c r="AB195"/>
  <c r="AB253" s="1"/>
  <c r="Z33" i="30"/>
  <c r="AA198"/>
  <c r="AA252" s="1"/>
  <c r="AC207"/>
  <c r="AC245" s="1"/>
  <c r="AD505"/>
  <c r="AE20"/>
  <c r="AE9"/>
  <c r="AD494"/>
  <c r="U89" i="33"/>
  <c r="AB214" i="30"/>
  <c r="AB239" s="1"/>
  <c r="U30" i="33"/>
  <c r="AD503" i="30"/>
  <c r="AE18"/>
  <c r="AE14" i="44"/>
  <c r="AD499"/>
  <c r="AA666" i="30"/>
  <c r="Y186" i="42" s="1"/>
  <c r="AC254" i="44"/>
  <c r="AB209"/>
  <c r="AB250" s="1"/>
  <c r="AB223" i="30"/>
  <c r="AB209"/>
  <c r="AB250" s="1"/>
  <c r="AD22" i="44"/>
  <c r="AC86"/>
  <c r="AC187"/>
  <c r="AC507"/>
  <c r="BO23" i="42"/>
  <c r="AC507" i="30"/>
  <c r="AC187"/>
  <c r="AC86"/>
  <c r="AC404"/>
  <c r="AA23" i="42"/>
  <c r="AD22" i="30"/>
  <c r="AE494" i="44"/>
  <c r="AF9"/>
  <c r="AE498" i="30"/>
  <c r="AF13"/>
  <c r="BO28" i="42"/>
  <c r="AC91" i="44"/>
  <c r="AC192"/>
  <c r="AC217" s="1"/>
  <c r="AC276" s="1"/>
  <c r="AC298" s="1"/>
  <c r="AD27"/>
  <c r="AC512"/>
  <c r="AC19" i="30"/>
  <c r="AB184"/>
  <c r="AB229" s="1"/>
  <c r="AB401"/>
  <c r="AB504"/>
  <c r="Z20" i="42"/>
  <c r="AB83" i="30"/>
  <c r="AC493"/>
  <c r="AC661" s="1"/>
  <c r="AA177" i="42" s="1"/>
  <c r="AA9"/>
  <c r="AD8" i="30"/>
  <c r="AC72"/>
  <c r="AC173"/>
  <c r="AB504" i="44"/>
  <c r="AB679" s="1"/>
  <c r="CU186" i="42" s="1"/>
  <c r="BN20"/>
  <c r="AC19" i="44"/>
  <c r="AB184"/>
  <c r="AB229" s="1"/>
  <c r="AB83"/>
  <c r="AB401"/>
  <c r="AB217"/>
  <c r="AB276" s="1"/>
  <c r="AB298" s="1"/>
  <c r="AB214"/>
  <c r="AB239" s="1"/>
  <c r="AC15" i="30"/>
  <c r="AB500"/>
  <c r="AB679" s="1"/>
  <c r="CU177" i="42" s="1"/>
  <c r="Z16"/>
  <c r="AB180" i="30"/>
  <c r="AB79"/>
  <c r="AC192"/>
  <c r="AC217" s="1"/>
  <c r="AC276" s="1"/>
  <c r="AC298" s="1"/>
  <c r="AA28" i="42"/>
  <c r="AC512" i="30"/>
  <c r="AC91"/>
  <c r="AD27"/>
  <c r="AA198" i="44"/>
  <c r="AA252" s="1"/>
  <c r="AA202" i="30"/>
  <c r="AA206"/>
  <c r="AA244" s="1"/>
  <c r="AB85"/>
  <c r="AB186"/>
  <c r="AB221" s="1"/>
  <c r="Z22" i="42"/>
  <c r="AB403" i="30"/>
  <c r="AC21"/>
  <c r="AB506"/>
  <c r="AB430"/>
  <c r="Z66" i="42" s="1"/>
  <c r="AB440" i="30"/>
  <c r="CV66" i="42" s="1"/>
  <c r="AC11" i="30"/>
  <c r="AB75"/>
  <c r="AB28"/>
  <c r="AB29" s="1"/>
  <c r="AB176"/>
  <c r="AB224" s="1"/>
  <c r="Z12" i="42"/>
  <c r="AB198" i="30"/>
  <c r="AB252" s="1"/>
  <c r="AB496"/>
  <c r="AB41"/>
  <c r="AB75" i="44"/>
  <c r="AB496"/>
  <c r="AC11"/>
  <c r="AB440"/>
  <c r="CV67" i="42" s="1"/>
  <c r="AB28" i="44"/>
  <c r="AB29" s="1"/>
  <c r="AB41"/>
  <c r="BN12" i="42"/>
  <c r="AB431" i="44"/>
  <c r="BN67" i="42" s="1"/>
  <c r="AB176" i="44"/>
  <c r="AB224" s="1"/>
  <c r="AE19" i="43"/>
  <c r="AE23" s="1"/>
  <c r="AE32" s="1"/>
  <c r="U44" i="33"/>
  <c r="AA271" i="30"/>
  <c r="AA277" s="1"/>
  <c r="AA299" s="1"/>
  <c r="AA278" s="1"/>
  <c r="AA300" s="1"/>
  <c r="AA279" s="1"/>
  <c r="AA301" s="1"/>
  <c r="AA280" s="1"/>
  <c r="AA302" s="1"/>
  <c r="AA281" s="1"/>
  <c r="AA38" i="44"/>
  <c r="AA38" i="30"/>
  <c r="AD33" i="43"/>
  <c r="AB266" i="44"/>
  <c r="AB266" i="30"/>
  <c r="Z44" i="44"/>
  <c r="T99" i="33" s="1"/>
  <c r="Z45" i="44"/>
  <c r="T100" i="33" s="1"/>
  <c r="Z47" i="44"/>
  <c r="T102" i="33" s="1"/>
  <c r="Z46" i="44"/>
  <c r="T101" i="33" s="1"/>
  <c r="T90" s="1"/>
  <c r="U103"/>
  <c r="AA271" i="44"/>
  <c r="AA277" s="1"/>
  <c r="AA299" s="1"/>
  <c r="AA278" s="1"/>
  <c r="AA300" s="1"/>
  <c r="AA279" s="1"/>
  <c r="AA301" s="1"/>
  <c r="AA280" s="1"/>
  <c r="AA302" s="1"/>
  <c r="AA281" s="1"/>
  <c r="AA303" s="1"/>
  <c r="AA282" s="1"/>
  <c r="AA304" s="1"/>
  <c r="AA283" s="1"/>
  <c r="Z44" i="30"/>
  <c r="T40" i="33" s="1"/>
  <c r="Z45" i="30"/>
  <c r="T41" i="33" s="1"/>
  <c r="Z46" i="30"/>
  <c r="T42" i="33" s="1"/>
  <c r="T31" s="1"/>
  <c r="Z47" i="30"/>
  <c r="T43" i="33" s="1"/>
  <c r="AC40" i="30"/>
  <c r="AC92" s="1"/>
  <c r="AC40" i="44"/>
  <c r="AC92" s="1"/>
  <c r="AE15" i="43"/>
  <c r="AE20" s="1"/>
  <c r="AE499" i="30"/>
  <c r="AF14"/>
  <c r="AF13" i="44"/>
  <c r="AE498"/>
  <c r="AE506"/>
  <c r="AF21"/>
  <c r="AF17"/>
  <c r="AE502"/>
  <c r="AF15"/>
  <c r="AE500"/>
  <c r="AF10"/>
  <c r="AE495"/>
  <c r="AE501"/>
  <c r="AF16"/>
  <c r="AE502" i="30"/>
  <c r="AF17"/>
  <c r="AF23" i="44"/>
  <c r="AE508"/>
  <c r="AG18"/>
  <c r="AF503"/>
  <c r="F315" i="30"/>
  <c r="F294" s="1"/>
  <c r="H315" i="44"/>
  <c r="H294" s="1"/>
  <c r="G315" i="30"/>
  <c r="G294" s="1"/>
  <c r="G315" i="44"/>
  <c r="G294" s="1"/>
  <c r="D315"/>
  <c r="D294" s="1"/>
  <c r="E317"/>
  <c r="F315"/>
  <c r="F294" s="1"/>
  <c r="H315" i="30"/>
  <c r="H294" s="1"/>
  <c r="E317"/>
  <c r="D315"/>
  <c r="D294" s="1"/>
  <c r="AG10"/>
  <c r="AF495"/>
  <c r="AE509" i="44"/>
  <c r="AF24"/>
  <c r="AH16" i="30"/>
  <c r="AG501"/>
  <c r="J345" i="44"/>
  <c r="J324" s="1"/>
  <c r="J376" s="1"/>
  <c r="I344"/>
  <c r="I323" s="1"/>
  <c r="J343" i="30"/>
  <c r="K322" i="44"/>
  <c r="K371" s="1"/>
  <c r="J322" i="30"/>
  <c r="J371" s="1"/>
  <c r="AF24"/>
  <c r="AE509"/>
  <c r="AU129" i="42"/>
  <c r="I604" i="44"/>
  <c r="L733"/>
  <c r="L802"/>
  <c r="L535"/>
  <c r="L756"/>
  <c r="L409"/>
  <c r="AX57" i="42"/>
  <c r="L825" i="44"/>
  <c r="L558"/>
  <c r="L871"/>
  <c r="L710"/>
  <c r="L848"/>
  <c r="N315" i="30"/>
  <c r="N294" s="1"/>
  <c r="J558"/>
  <c r="J871"/>
  <c r="J535"/>
  <c r="J733"/>
  <c r="J756"/>
  <c r="J848"/>
  <c r="J802"/>
  <c r="H57" i="42"/>
  <c r="J409" i="30"/>
  <c r="J710"/>
  <c r="J825"/>
  <c r="S310"/>
  <c r="S289" s="1"/>
  <c r="V309" i="44"/>
  <c r="V288" s="1"/>
  <c r="V307" i="30"/>
  <c r="V286" s="1"/>
  <c r="M316"/>
  <c r="M295" s="1"/>
  <c r="Q312"/>
  <c r="Q291" s="1"/>
  <c r="S312" i="44"/>
  <c r="S291" s="1"/>
  <c r="J722"/>
  <c r="J699"/>
  <c r="J547"/>
  <c r="J663" s="1"/>
  <c r="AV179" i="42" s="1"/>
  <c r="J814" i="44"/>
  <c r="J932" s="1"/>
  <c r="AV300" i="42" s="1"/>
  <c r="J791" i="44"/>
  <c r="J931" s="1"/>
  <c r="AV299" i="42" s="1"/>
  <c r="J524" i="44"/>
  <c r="J745"/>
  <c r="J837"/>
  <c r="J933" s="1"/>
  <c r="AV301" i="42" s="1"/>
  <c r="J398" i="44"/>
  <c r="AV46" i="42"/>
  <c r="J860" i="44"/>
  <c r="J934" s="1"/>
  <c r="AV302" i="42" s="1"/>
  <c r="AV129"/>
  <c r="J604" i="44"/>
  <c r="Z305"/>
  <c r="Z284" s="1"/>
  <c r="Y306"/>
  <c r="Y285" s="1"/>
  <c r="X307"/>
  <c r="X286" s="1"/>
  <c r="Q314"/>
  <c r="Q293" s="1"/>
  <c r="X305" i="30"/>
  <c r="X284" s="1"/>
  <c r="I810" i="44"/>
  <c r="AU42" i="42"/>
  <c r="I741" i="44"/>
  <c r="I394"/>
  <c r="I695"/>
  <c r="I856"/>
  <c r="I787"/>
  <c r="I833"/>
  <c r="I543"/>
  <c r="I718"/>
  <c r="I520"/>
  <c r="T309" i="30"/>
  <c r="T288" s="1"/>
  <c r="W308" i="44"/>
  <c r="W287" s="1"/>
  <c r="Y304" i="30"/>
  <c r="Y283" s="1"/>
  <c r="Z303"/>
  <c r="Z282" s="1"/>
  <c r="J954" i="44"/>
  <c r="J764"/>
  <c r="AV228" i="42" s="1"/>
  <c r="K321" i="30"/>
  <c r="K386" s="1"/>
  <c r="O314"/>
  <c r="O293" s="1"/>
  <c r="L317"/>
  <c r="T311" i="44"/>
  <c r="T290" s="1"/>
  <c r="U310"/>
  <c r="U289" s="1"/>
  <c r="R311" i="30"/>
  <c r="R290" s="1"/>
  <c r="M321" i="44"/>
  <c r="M386" s="1"/>
  <c r="P315"/>
  <c r="P294" s="1"/>
  <c r="U308" i="30"/>
  <c r="U287" s="1"/>
  <c r="W306"/>
  <c r="W285" s="1"/>
  <c r="P313"/>
  <c r="P292" s="1"/>
  <c r="R313" i="44"/>
  <c r="R292" s="1"/>
  <c r="O316"/>
  <c r="O295" s="1"/>
  <c r="N317"/>
  <c r="K580"/>
  <c r="L343"/>
  <c r="K969"/>
  <c r="K779"/>
  <c r="AW243" i="42" s="1"/>
  <c r="J565" i="44"/>
  <c r="AB212" l="1"/>
  <c r="AB247" s="1"/>
  <c r="AC188" i="30"/>
  <c r="AC234" s="1"/>
  <c r="AC87"/>
  <c r="AC508"/>
  <c r="AA24" i="42"/>
  <c r="AC405" i="30"/>
  <c r="AD23"/>
  <c r="AC210"/>
  <c r="AC254" s="1"/>
  <c r="AC190"/>
  <c r="AC219" s="1"/>
  <c r="AC407"/>
  <c r="AA26" i="42"/>
  <c r="AC89" i="30"/>
  <c r="AD25"/>
  <c r="AC191"/>
  <c r="AC220" s="1"/>
  <c r="AD26"/>
  <c r="AC213"/>
  <c r="AC248" s="1"/>
  <c r="AA27" i="42"/>
  <c r="AC90" i="30"/>
  <c r="AC408"/>
  <c r="AB210"/>
  <c r="AB254" s="1"/>
  <c r="BO27" i="42"/>
  <c r="AD26" i="44"/>
  <c r="AC408"/>
  <c r="AC191"/>
  <c r="AC220" s="1"/>
  <c r="AC90"/>
  <c r="AC213"/>
  <c r="AC248" s="1"/>
  <c r="AC407"/>
  <c r="BO26" i="42"/>
  <c r="AD25" i="44"/>
  <c r="AC89"/>
  <c r="AC190"/>
  <c r="AC219" s="1"/>
  <c r="I868" i="30"/>
  <c r="I753"/>
  <c r="G54" i="42"/>
  <c r="AB199" i="44"/>
  <c r="AB240" s="1"/>
  <c r="I532" i="30"/>
  <c r="I707"/>
  <c r="I966" s="1"/>
  <c r="I555"/>
  <c r="I601"/>
  <c r="I799"/>
  <c r="I845"/>
  <c r="I730"/>
  <c r="AC76"/>
  <c r="AA13" i="42"/>
  <c r="AC497" i="30"/>
  <c r="AC177"/>
  <c r="AC225" s="1"/>
  <c r="AD12"/>
  <c r="AC199"/>
  <c r="AC240" s="1"/>
  <c r="AD12" i="44"/>
  <c r="AC76"/>
  <c r="BO13" i="42"/>
  <c r="AC177" i="44"/>
  <c r="AC225" s="1"/>
  <c r="AC497"/>
  <c r="AC199"/>
  <c r="AC240" s="1"/>
  <c r="U91" i="33"/>
  <c r="U32"/>
  <c r="AC233" i="30"/>
  <c r="U115" i="33"/>
  <c r="AA34" i="44"/>
  <c r="AA34" i="30"/>
  <c r="U56" i="33"/>
  <c r="AA33" i="44"/>
  <c r="AA256" i="30"/>
  <c r="AA255"/>
  <c r="AB236"/>
  <c r="AB235"/>
  <c r="AE505" i="44"/>
  <c r="AF20"/>
  <c r="I351" i="30"/>
  <c r="I533"/>
  <c r="I602"/>
  <c r="G55" i="42"/>
  <c r="I731" i="30"/>
  <c r="I800"/>
  <c r="I823"/>
  <c r="I708"/>
  <c r="I869"/>
  <c r="I556"/>
  <c r="I754"/>
  <c r="I846"/>
  <c r="AD493" i="44"/>
  <c r="AE8"/>
  <c r="AC195"/>
  <c r="AC253" s="1"/>
  <c r="AC233"/>
  <c r="AA33" i="30"/>
  <c r="AE505"/>
  <c r="AF20"/>
  <c r="AF9"/>
  <c r="AE494"/>
  <c r="V89" i="33"/>
  <c r="AB202" i="30"/>
  <c r="AC214"/>
  <c r="AC239" s="1"/>
  <c r="J580"/>
  <c r="J604" s="1"/>
  <c r="V30" i="33"/>
  <c r="AE499" i="44"/>
  <c r="AF14"/>
  <c r="AE503" i="30"/>
  <c r="AF18"/>
  <c r="AB666"/>
  <c r="Z186" i="42" s="1"/>
  <c r="AE22" i="30"/>
  <c r="AD507"/>
  <c r="AC223"/>
  <c r="AC209"/>
  <c r="AC250" s="1"/>
  <c r="AC223" i="44"/>
  <c r="AC209"/>
  <c r="AC250" s="1"/>
  <c r="AE22"/>
  <c r="AD507"/>
  <c r="AF494"/>
  <c r="AG9"/>
  <c r="AF498" i="30"/>
  <c r="AG13"/>
  <c r="AB206"/>
  <c r="AB244" s="1"/>
  <c r="AB198" i="44"/>
  <c r="AB252" s="1"/>
  <c r="AC214"/>
  <c r="AC239" s="1"/>
  <c r="AB206"/>
  <c r="AB244" s="1"/>
  <c r="AC180" i="30"/>
  <c r="AD15"/>
  <c r="AC500"/>
  <c r="AC679" s="1"/>
  <c r="CV177" i="42" s="1"/>
  <c r="AC79" i="30"/>
  <c r="AA16" i="42"/>
  <c r="AC184" i="30"/>
  <c r="AC229" s="1"/>
  <c r="AC504"/>
  <c r="AC83"/>
  <c r="AA20" i="42"/>
  <c r="AC401" i="30"/>
  <c r="AD19"/>
  <c r="AD512" i="44"/>
  <c r="AE27"/>
  <c r="AC195" i="30"/>
  <c r="AC253" s="1"/>
  <c r="AD512"/>
  <c r="AE27"/>
  <c r="AC401" i="44"/>
  <c r="AD19"/>
  <c r="AC504"/>
  <c r="AC679" s="1"/>
  <c r="CV186" i="42" s="1"/>
  <c r="BO20"/>
  <c r="AC83" i="44"/>
  <c r="AC184"/>
  <c r="AC229" s="1"/>
  <c r="AE8" i="30"/>
  <c r="AD493"/>
  <c r="BO12" i="42"/>
  <c r="AC176" i="44"/>
  <c r="AC224" s="1"/>
  <c r="AC431"/>
  <c r="BO67" i="42" s="1"/>
  <c r="AD11" i="44"/>
  <c r="AC28"/>
  <c r="AC440"/>
  <c r="CW67" i="42" s="1"/>
  <c r="AC75" i="44"/>
  <c r="AC496"/>
  <c r="AC41"/>
  <c r="AC85" i="30"/>
  <c r="AA22" i="42"/>
  <c r="AC186" i="30"/>
  <c r="AC221" s="1"/>
  <c r="AC403"/>
  <c r="AC506"/>
  <c r="AD21"/>
  <c r="AC208"/>
  <c r="AC257" s="1"/>
  <c r="AB208"/>
  <c r="AB257" s="1"/>
  <c r="AC176"/>
  <c r="AC224" s="1"/>
  <c r="AC430"/>
  <c r="AA66" i="42" s="1"/>
  <c r="AC75" i="30"/>
  <c r="AC41"/>
  <c r="AC28"/>
  <c r="AC29" s="1"/>
  <c r="AA12" i="42"/>
  <c r="AC496" i="30"/>
  <c r="AD11"/>
  <c r="AC440"/>
  <c r="CW66" i="42" s="1"/>
  <c r="V44" i="33"/>
  <c r="AB271" i="30"/>
  <c r="AB277" s="1"/>
  <c r="AB299" s="1"/>
  <c r="AB278" s="1"/>
  <c r="AB300" s="1"/>
  <c r="AB279" s="1"/>
  <c r="AB301" s="1"/>
  <c r="AB280" s="1"/>
  <c r="AB302" s="1"/>
  <c r="AB281" s="1"/>
  <c r="AB38" i="44"/>
  <c r="AB38" i="30"/>
  <c r="AA45" i="44"/>
  <c r="U100" i="33" s="1"/>
  <c r="AA44" i="44"/>
  <c r="U99" i="33" s="1"/>
  <c r="AA46" i="44"/>
  <c r="U101" i="33" s="1"/>
  <c r="U90" s="1"/>
  <c r="AA47" i="44"/>
  <c r="U102" i="33" s="1"/>
  <c r="AE33" i="43"/>
  <c r="AC266" i="30"/>
  <c r="AC266" i="44"/>
  <c r="V103" i="33"/>
  <c r="AB271" i="44"/>
  <c r="AB277" s="1"/>
  <c r="AB299" s="1"/>
  <c r="AB278" s="1"/>
  <c r="AB300" s="1"/>
  <c r="AB279" s="1"/>
  <c r="AB301" s="1"/>
  <c r="AB280" s="1"/>
  <c r="AB302" s="1"/>
  <c r="AB281" s="1"/>
  <c r="AB303" s="1"/>
  <c r="AB282" s="1"/>
  <c r="AB304" s="1"/>
  <c r="AB283" s="1"/>
  <c r="AA45" i="30"/>
  <c r="U41" i="33" s="1"/>
  <c r="AA44" i="30"/>
  <c r="U40" i="33" s="1"/>
  <c r="AA47" i="30"/>
  <c r="U43" i="33" s="1"/>
  <c r="AA46" i="30"/>
  <c r="U42" i="33" s="1"/>
  <c r="U31" s="1"/>
  <c r="AE16" i="43"/>
  <c r="AG13" i="44"/>
  <c r="AF498"/>
  <c r="AF499" i="30"/>
  <c r="AG14"/>
  <c r="AG21" i="44"/>
  <c r="AF506"/>
  <c r="AG503"/>
  <c r="AH18"/>
  <c r="AF508"/>
  <c r="AG23"/>
  <c r="AG10"/>
  <c r="AF495"/>
  <c r="AF500"/>
  <c r="AG15"/>
  <c r="AF502"/>
  <c r="AG17"/>
  <c r="AF502" i="30"/>
  <c r="AG17"/>
  <c r="AG16" i="44"/>
  <c r="AF501"/>
  <c r="D316" i="30"/>
  <c r="D295" s="1"/>
  <c r="E321"/>
  <c r="E386" s="1"/>
  <c r="H316"/>
  <c r="H295" s="1"/>
  <c r="F316" i="44"/>
  <c r="F295" s="1"/>
  <c r="E321"/>
  <c r="E386" s="1"/>
  <c r="D316"/>
  <c r="D295" s="1"/>
  <c r="G316"/>
  <c r="G295" s="1"/>
  <c r="G316" i="30"/>
  <c r="G295" s="1"/>
  <c r="H316" i="44"/>
  <c r="H295" s="1"/>
  <c r="F316" i="30"/>
  <c r="F295" s="1"/>
  <c r="I375" i="44"/>
  <c r="I524" s="1"/>
  <c r="I345"/>
  <c r="I324" s="1"/>
  <c r="I376" s="1"/>
  <c r="AH10" i="30"/>
  <c r="AG495"/>
  <c r="AF509" i="44"/>
  <c r="AG24"/>
  <c r="AI16" i="30"/>
  <c r="AH501"/>
  <c r="K344" i="44"/>
  <c r="K323" s="1"/>
  <c r="K375" s="1"/>
  <c r="L322"/>
  <c r="L371" s="1"/>
  <c r="O317"/>
  <c r="P314" i="30"/>
  <c r="P293" s="1"/>
  <c r="P316" i="44"/>
  <c r="P295" s="1"/>
  <c r="AV114" i="42"/>
  <c r="J589" i="44"/>
  <c r="AW129" i="42"/>
  <c r="K604" i="44"/>
  <c r="X306" i="30"/>
  <c r="X285" s="1"/>
  <c r="AA303"/>
  <c r="AA282" s="1"/>
  <c r="AA305" i="44"/>
  <c r="AA284" s="1"/>
  <c r="Q315"/>
  <c r="Q294" s="1"/>
  <c r="X308"/>
  <c r="X287" s="1"/>
  <c r="Y307"/>
  <c r="Y286" s="1"/>
  <c r="Z306"/>
  <c r="Z285" s="1"/>
  <c r="J569"/>
  <c r="J662"/>
  <c r="AV178" i="42" s="1"/>
  <c r="J958" i="44"/>
  <c r="J664" s="1"/>
  <c r="AV180" i="42" s="1"/>
  <c r="J768" i="44"/>
  <c r="S313"/>
  <c r="S292" s="1"/>
  <c r="Q313" i="30"/>
  <c r="Q292" s="1"/>
  <c r="M317"/>
  <c r="V308"/>
  <c r="V287" s="1"/>
  <c r="V310" i="44"/>
  <c r="V289" s="1"/>
  <c r="S311" i="30"/>
  <c r="S290" s="1"/>
  <c r="N316"/>
  <c r="N295" s="1"/>
  <c r="AG24"/>
  <c r="AF509"/>
  <c r="K520" i="44"/>
  <c r="K543"/>
  <c r="K856"/>
  <c r="K787"/>
  <c r="K718"/>
  <c r="K810"/>
  <c r="AW42" i="42"/>
  <c r="K741" i="44"/>
  <c r="K833"/>
  <c r="K695"/>
  <c r="K394"/>
  <c r="M343"/>
  <c r="K343" i="30"/>
  <c r="L580" i="44"/>
  <c r="J346"/>
  <c r="J344" i="30"/>
  <c r="N321" i="44"/>
  <c r="N386" s="1"/>
  <c r="R314"/>
  <c r="R293" s="1"/>
  <c r="W307" i="30"/>
  <c r="W286" s="1"/>
  <c r="U309"/>
  <c r="U288" s="1"/>
  <c r="M848" i="44"/>
  <c r="M710"/>
  <c r="M535"/>
  <c r="M733"/>
  <c r="M825"/>
  <c r="M409"/>
  <c r="M802"/>
  <c r="M756"/>
  <c r="M558"/>
  <c r="M871"/>
  <c r="AY57" i="42"/>
  <c r="R312" i="30"/>
  <c r="R291" s="1"/>
  <c r="U311" i="44"/>
  <c r="U290" s="1"/>
  <c r="T312"/>
  <c r="T291" s="1"/>
  <c r="L321" i="30"/>
  <c r="L386" s="1"/>
  <c r="O315"/>
  <c r="O294" s="1"/>
  <c r="K733"/>
  <c r="K558"/>
  <c r="K825"/>
  <c r="K710"/>
  <c r="K871"/>
  <c r="K409"/>
  <c r="I57" i="42"/>
  <c r="K848" i="30"/>
  <c r="K535"/>
  <c r="K802"/>
  <c r="K756"/>
  <c r="Z304"/>
  <c r="Z283" s="1"/>
  <c r="Y305"/>
  <c r="Y284" s="1"/>
  <c r="W309" i="44"/>
  <c r="W288" s="1"/>
  <c r="T310" i="30"/>
  <c r="T289" s="1"/>
  <c r="I565" i="44"/>
  <c r="I764"/>
  <c r="AU228" i="42" s="1"/>
  <c r="I954" i="44"/>
  <c r="J969" i="30"/>
  <c r="J779"/>
  <c r="H243" i="42" s="1"/>
  <c r="L969" i="44"/>
  <c r="L779"/>
  <c r="AX243" i="42" s="1"/>
  <c r="J594" i="44"/>
  <c r="J815"/>
  <c r="J792"/>
  <c r="J746"/>
  <c r="J723"/>
  <c r="J700"/>
  <c r="J861"/>
  <c r="AV47" i="42"/>
  <c r="J525" i="44"/>
  <c r="J838"/>
  <c r="J548"/>
  <c r="J741" i="30"/>
  <c r="J520"/>
  <c r="J695"/>
  <c r="J543"/>
  <c r="J718"/>
  <c r="J787"/>
  <c r="J810"/>
  <c r="J833"/>
  <c r="J394"/>
  <c r="J856"/>
  <c r="H42" i="42"/>
  <c r="AC212" i="30" l="1"/>
  <c r="AC247" s="1"/>
  <c r="AD511"/>
  <c r="AE26"/>
  <c r="AE25" i="44"/>
  <c r="AD510"/>
  <c r="AD510" i="30"/>
  <c r="AE25"/>
  <c r="AE26" i="44"/>
  <c r="AD511"/>
  <c r="AE23" i="30"/>
  <c r="AD508"/>
  <c r="AC212" i="44"/>
  <c r="AC247" s="1"/>
  <c r="I776" i="30"/>
  <c r="G240" i="42" s="1"/>
  <c r="I577" i="30"/>
  <c r="G126" i="42" s="1"/>
  <c r="AE12" i="44"/>
  <c r="AD497"/>
  <c r="AD497" i="30"/>
  <c r="AE12"/>
  <c r="V91" i="33"/>
  <c r="V32"/>
  <c r="AB34" i="30"/>
  <c r="V56" i="33"/>
  <c r="V115"/>
  <c r="AB34" i="44"/>
  <c r="AB33"/>
  <c r="AB256" i="30"/>
  <c r="AB255"/>
  <c r="AC236"/>
  <c r="AC235"/>
  <c r="AF505" i="44"/>
  <c r="AG20"/>
  <c r="AC29"/>
  <c r="I330" i="30"/>
  <c r="I385" s="1"/>
  <c r="I967"/>
  <c r="I777"/>
  <c r="G241" i="42" s="1"/>
  <c r="I578" i="30"/>
  <c r="G127" i="42" s="1"/>
  <c r="AF8" i="44"/>
  <c r="AE493"/>
  <c r="AB33" i="30"/>
  <c r="AC198"/>
  <c r="AC252" s="1"/>
  <c r="AG20"/>
  <c r="AF505"/>
  <c r="AF494"/>
  <c r="AG9"/>
  <c r="W89" i="33"/>
  <c r="H129" i="42"/>
  <c r="W30" i="33"/>
  <c r="AG18" i="30"/>
  <c r="AF503"/>
  <c r="AG14" i="44"/>
  <c r="AF499"/>
  <c r="AC206" i="30"/>
  <c r="AC244" s="1"/>
  <c r="AC666"/>
  <c r="AA186" i="42" s="1"/>
  <c r="AF22" i="44"/>
  <c r="AE507"/>
  <c r="AE507" i="30"/>
  <c r="AF22"/>
  <c r="AH9" i="44"/>
  <c r="AG494"/>
  <c r="AG498" i="30"/>
  <c r="AH13"/>
  <c r="AC202"/>
  <c r="AC206" i="44"/>
  <c r="AC244" s="1"/>
  <c r="AC198"/>
  <c r="AC252" s="1"/>
  <c r="AE512"/>
  <c r="AF27"/>
  <c r="AD500" i="30"/>
  <c r="AE15"/>
  <c r="AE493"/>
  <c r="AF8"/>
  <c r="AE19" i="44"/>
  <c r="AD504"/>
  <c r="AE512" i="30"/>
  <c r="AF27"/>
  <c r="AD504"/>
  <c r="AE19"/>
  <c r="I837" i="44"/>
  <c r="I933" s="1"/>
  <c r="AU301" i="42" s="1"/>
  <c r="AE21" i="30"/>
  <c r="AD506"/>
  <c r="AD496"/>
  <c r="AD28"/>
  <c r="AE11"/>
  <c r="AD496" i="44"/>
  <c r="AE11"/>
  <c r="AD28"/>
  <c r="W103" i="33"/>
  <c r="AC271" i="44"/>
  <c r="AC277" s="1"/>
  <c r="AC299" s="1"/>
  <c r="AC278" s="1"/>
  <c r="AC300" s="1"/>
  <c r="AC279" s="1"/>
  <c r="AC301" s="1"/>
  <c r="AC280" s="1"/>
  <c r="AC302" s="1"/>
  <c r="AC281" s="1"/>
  <c r="AC303" s="1"/>
  <c r="AC282" s="1"/>
  <c r="AC304" s="1"/>
  <c r="AC283" s="1"/>
  <c r="AC38"/>
  <c r="AC38" i="30"/>
  <c r="AB45" i="44"/>
  <c r="V100" i="33" s="1"/>
  <c r="AB44" i="44"/>
  <c r="V99" i="33" s="1"/>
  <c r="AB47" i="44"/>
  <c r="V102" i="33" s="1"/>
  <c r="AB46" i="44"/>
  <c r="V101" i="33" s="1"/>
  <c r="V90" s="1"/>
  <c r="W44"/>
  <c r="AC271" i="30"/>
  <c r="AC277" s="1"/>
  <c r="AC299" s="1"/>
  <c r="AC278" s="1"/>
  <c r="AC300" s="1"/>
  <c r="AC279" s="1"/>
  <c r="AC301" s="1"/>
  <c r="AC280" s="1"/>
  <c r="AC302" s="1"/>
  <c r="AC281" s="1"/>
  <c r="AB45"/>
  <c r="V41" i="33" s="1"/>
  <c r="AB44" i="30"/>
  <c r="V40" i="33" s="1"/>
  <c r="AB46" i="30"/>
  <c r="V42" i="33" s="1"/>
  <c r="V31" s="1"/>
  <c r="AB47" i="30"/>
  <c r="V43" i="33" s="1"/>
  <c r="AG498" i="44"/>
  <c r="AH13"/>
  <c r="AG499" i="30"/>
  <c r="AH14"/>
  <c r="AG506" i="44"/>
  <c r="AH21"/>
  <c r="AG501"/>
  <c r="AH16"/>
  <c r="AH10"/>
  <c r="AG495"/>
  <c r="AH17" i="30"/>
  <c r="AG502"/>
  <c r="AG502" i="44"/>
  <c r="AH17"/>
  <c r="AG500"/>
  <c r="AH15"/>
  <c r="AH23"/>
  <c r="AG508"/>
  <c r="AH503"/>
  <c r="AI18"/>
  <c r="I745"/>
  <c r="I860"/>
  <c r="I934" s="1"/>
  <c r="AU302" i="42" s="1"/>
  <c r="I547" i="44"/>
  <c r="I663" s="1"/>
  <c r="AU179" i="42" s="1"/>
  <c r="I699" i="44"/>
  <c r="I958" s="1"/>
  <c r="I814"/>
  <c r="I932" s="1"/>
  <c r="AU300" i="42" s="1"/>
  <c r="E343" i="44"/>
  <c r="E343" i="30"/>
  <c r="F317"/>
  <c r="H317" i="44"/>
  <c r="G317" i="30"/>
  <c r="G317" i="44"/>
  <c r="D317"/>
  <c r="E710"/>
  <c r="E409"/>
  <c r="AQ57" i="42"/>
  <c r="E871" i="44"/>
  <c r="E733"/>
  <c r="E756"/>
  <c r="E558"/>
  <c r="E802"/>
  <c r="E825"/>
  <c r="E535"/>
  <c r="E848"/>
  <c r="F317"/>
  <c r="H317" i="30"/>
  <c r="E409"/>
  <c r="E733"/>
  <c r="E825"/>
  <c r="E756"/>
  <c r="E558"/>
  <c r="E710"/>
  <c r="E848"/>
  <c r="C57" i="42"/>
  <c r="E535" i="30"/>
  <c r="E580" s="1"/>
  <c r="C129" i="42" s="1"/>
  <c r="E802" i="30"/>
  <c r="E871"/>
  <c r="D317"/>
  <c r="E322" i="44"/>
  <c r="E371" s="1"/>
  <c r="E322" i="30"/>
  <c r="E371" s="1"/>
  <c r="I722" i="44"/>
  <c r="AU46" i="42"/>
  <c r="I791" i="44"/>
  <c r="I931" s="1"/>
  <c r="AU299" i="42" s="1"/>
  <c r="I398" i="44"/>
  <c r="AH495" i="30"/>
  <c r="AI10"/>
  <c r="AH24" i="44"/>
  <c r="AG509"/>
  <c r="AI501" i="30"/>
  <c r="AJ16"/>
  <c r="K580"/>
  <c r="I129" i="42" s="1"/>
  <c r="K547" i="44"/>
  <c r="K663" s="1"/>
  <c r="AW179" i="42" s="1"/>
  <c r="K524" i="44"/>
  <c r="K860"/>
  <c r="K934" s="1"/>
  <c r="AW302" i="42" s="1"/>
  <c r="K699" i="44"/>
  <c r="K722"/>
  <c r="K398"/>
  <c r="K791"/>
  <c r="K931" s="1"/>
  <c r="AW299" i="42" s="1"/>
  <c r="K814" i="44"/>
  <c r="K932" s="1"/>
  <c r="AW300" i="42" s="1"/>
  <c r="AW46"/>
  <c r="K745" i="44"/>
  <c r="K837"/>
  <c r="K933" s="1"/>
  <c r="AW301" i="42" s="1"/>
  <c r="AU114"/>
  <c r="I589" i="44"/>
  <c r="T311" i="30"/>
  <c r="T290" s="1"/>
  <c r="W310" i="44"/>
  <c r="W289" s="1"/>
  <c r="Y306" i="30"/>
  <c r="Y285" s="1"/>
  <c r="Z305"/>
  <c r="Z284" s="1"/>
  <c r="O316"/>
  <c r="O295" s="1"/>
  <c r="L802"/>
  <c r="L710"/>
  <c r="L558"/>
  <c r="L756"/>
  <c r="L535"/>
  <c r="L580" s="1"/>
  <c r="J129" i="42" s="1"/>
  <c r="L871" i="30"/>
  <c r="L733"/>
  <c r="L825"/>
  <c r="J57" i="42"/>
  <c r="L848" i="30"/>
  <c r="L409"/>
  <c r="T313" i="44"/>
  <c r="T292" s="1"/>
  <c r="U312"/>
  <c r="U291" s="1"/>
  <c r="R313" i="30"/>
  <c r="R292" s="1"/>
  <c r="U310"/>
  <c r="U289" s="1"/>
  <c r="W308"/>
  <c r="W287" s="1"/>
  <c r="R315" i="44"/>
  <c r="R294" s="1"/>
  <c r="AZ57" i="42"/>
  <c r="N871" i="44"/>
  <c r="N756"/>
  <c r="N558"/>
  <c r="N409"/>
  <c r="N733"/>
  <c r="N825"/>
  <c r="N710"/>
  <c r="N535"/>
  <c r="N802"/>
  <c r="N848"/>
  <c r="AB305"/>
  <c r="AB284" s="1"/>
  <c r="I746"/>
  <c r="AU47" i="42"/>
  <c r="I838" i="44"/>
  <c r="I548"/>
  <c r="I700"/>
  <c r="I861"/>
  <c r="I594"/>
  <c r="I723"/>
  <c r="I792"/>
  <c r="I815"/>
  <c r="I525"/>
  <c r="AX129" i="42"/>
  <c r="L604" i="44"/>
  <c r="K322" i="30"/>
  <c r="K371" s="1"/>
  <c r="K565" i="44"/>
  <c r="AH24" i="30"/>
  <c r="AG509"/>
  <c r="J930" i="44"/>
  <c r="AV298" i="42" s="1"/>
  <c r="AV232"/>
  <c r="M580" i="44"/>
  <c r="L344"/>
  <c r="J954" i="30"/>
  <c r="J764"/>
  <c r="H228" i="42" s="1"/>
  <c r="J959" i="44"/>
  <c r="J769"/>
  <c r="AV233" i="42" s="1"/>
  <c r="J565" i="30"/>
  <c r="K969"/>
  <c r="K779"/>
  <c r="I243" i="42" s="1"/>
  <c r="M779" i="44"/>
  <c r="AY243" i="42" s="1"/>
  <c r="M969" i="44"/>
  <c r="J323" i="30"/>
  <c r="J375" s="1"/>
  <c r="J325" i="44"/>
  <c r="J377" s="1"/>
  <c r="M322"/>
  <c r="M371" s="1"/>
  <c r="K954"/>
  <c r="K764"/>
  <c r="AW228" i="42" s="1"/>
  <c r="AB303" i="30"/>
  <c r="AB282" s="1"/>
  <c r="N317"/>
  <c r="S312"/>
  <c r="S291" s="1"/>
  <c r="V311" i="44"/>
  <c r="V290" s="1"/>
  <c r="V309" i="30"/>
  <c r="V288" s="1"/>
  <c r="M321"/>
  <c r="M386" s="1"/>
  <c r="Q314"/>
  <c r="Q293" s="1"/>
  <c r="S314" i="44"/>
  <c r="S293" s="1"/>
  <c r="AV118" i="42"/>
  <c r="J593" i="44"/>
  <c r="Z307"/>
  <c r="Z286" s="1"/>
  <c r="Y308"/>
  <c r="Y287" s="1"/>
  <c r="X309"/>
  <c r="X288" s="1"/>
  <c r="Q316"/>
  <c r="Q295" s="1"/>
  <c r="AA306"/>
  <c r="AA285" s="1"/>
  <c r="AA304" i="30"/>
  <c r="AA283" s="1"/>
  <c r="X307"/>
  <c r="X286" s="1"/>
  <c r="I662" i="44"/>
  <c r="AU178" i="42" s="1"/>
  <c r="P317" i="44"/>
  <c r="P315" i="30"/>
  <c r="P294" s="1"/>
  <c r="O321" i="44"/>
  <c r="O386" s="1"/>
  <c r="L543"/>
  <c r="L695"/>
  <c r="L833"/>
  <c r="L718"/>
  <c r="L787"/>
  <c r="L394"/>
  <c r="L520"/>
  <c r="L856"/>
  <c r="L741"/>
  <c r="L810"/>
  <c r="AX42" i="42"/>
  <c r="K345" i="44"/>
  <c r="J570"/>
  <c r="AV119" i="42" s="1"/>
  <c r="L343" i="30"/>
  <c r="N343" i="44"/>
  <c r="I346"/>
  <c r="AF23" i="30" l="1"/>
  <c r="AE508"/>
  <c r="AE511" i="44"/>
  <c r="AF26"/>
  <c r="AF25"/>
  <c r="AE510"/>
  <c r="AE510" i="30"/>
  <c r="AF25"/>
  <c r="AF26"/>
  <c r="AE511"/>
  <c r="AF12" i="44"/>
  <c r="AE497"/>
  <c r="AF12" i="30"/>
  <c r="AE497"/>
  <c r="W91" i="33"/>
  <c r="W32"/>
  <c r="W115"/>
  <c r="AC34" i="44"/>
  <c r="AC33"/>
  <c r="AC34" i="30"/>
  <c r="W56" i="33"/>
  <c r="AC256" i="30"/>
  <c r="AC255"/>
  <c r="AG505" i="44"/>
  <c r="AH20"/>
  <c r="I352" i="30"/>
  <c r="I870"/>
  <c r="I709"/>
  <c r="I847"/>
  <c r="I534"/>
  <c r="I557"/>
  <c r="I755"/>
  <c r="I824"/>
  <c r="I732"/>
  <c r="I801"/>
  <c r="G56" i="42"/>
  <c r="I603" i="30"/>
  <c r="I331"/>
  <c r="I372" s="1"/>
  <c r="AF493" i="44"/>
  <c r="AG8"/>
  <c r="AC33" i="30"/>
  <c r="AH20"/>
  <c r="AG505"/>
  <c r="AG494"/>
  <c r="AH9"/>
  <c r="AG499" i="44"/>
  <c r="AH14"/>
  <c r="AH18" i="30"/>
  <c r="AG503"/>
  <c r="AF507" i="44"/>
  <c r="AG22"/>
  <c r="AF507" i="30"/>
  <c r="AG22"/>
  <c r="AI9" i="44"/>
  <c r="AH494"/>
  <c r="AH498" i="30"/>
  <c r="AI13"/>
  <c r="AF19" i="44"/>
  <c r="AE504"/>
  <c r="AE504" i="30"/>
  <c r="AF19"/>
  <c r="AF512"/>
  <c r="AG27"/>
  <c r="AG8"/>
  <c r="AF493"/>
  <c r="AF15"/>
  <c r="AE500"/>
  <c r="AG27" i="44"/>
  <c r="AF512"/>
  <c r="AE496"/>
  <c r="AF11"/>
  <c r="AE28"/>
  <c r="AE496" i="30"/>
  <c r="AF11"/>
  <c r="AE28"/>
  <c r="AE506"/>
  <c r="AF21"/>
  <c r="AC45" i="44"/>
  <c r="W100" i="33" s="1"/>
  <c r="AC44" i="44"/>
  <c r="W99" i="33" s="1"/>
  <c r="AC47" i="44"/>
  <c r="W102" i="33" s="1"/>
  <c r="AC46" i="44"/>
  <c r="W101" i="33" s="1"/>
  <c r="W90" s="1"/>
  <c r="AC45" i="30"/>
  <c r="W41" i="33" s="1"/>
  <c r="AC44" i="30"/>
  <c r="W40" i="33" s="1"/>
  <c r="AC46" i="30"/>
  <c r="W42" i="33" s="1"/>
  <c r="W31" s="1"/>
  <c r="AC47" i="30"/>
  <c r="W43" i="33" s="1"/>
  <c r="AI14" i="30"/>
  <c r="AH499"/>
  <c r="AH498" i="44"/>
  <c r="AI13"/>
  <c r="AH506"/>
  <c r="AI21"/>
  <c r="AH508"/>
  <c r="AI23"/>
  <c r="AH502" i="30"/>
  <c r="AI17"/>
  <c r="AH495" i="44"/>
  <c r="AI10"/>
  <c r="AJ18"/>
  <c r="AI503"/>
  <c r="AH500"/>
  <c r="AI15"/>
  <c r="AH502"/>
  <c r="AI17"/>
  <c r="AI16"/>
  <c r="AH501"/>
  <c r="I768"/>
  <c r="AU232" i="42" s="1"/>
  <c r="K604" i="30"/>
  <c r="I569" i="44"/>
  <c r="AU118" i="42" s="1"/>
  <c r="E344" i="30"/>
  <c r="E323" s="1"/>
  <c r="E375" s="1"/>
  <c r="E344" i="44"/>
  <c r="E580"/>
  <c r="E604" i="30"/>
  <c r="E741"/>
  <c r="E695"/>
  <c r="E520"/>
  <c r="E787"/>
  <c r="E810"/>
  <c r="E833"/>
  <c r="E543"/>
  <c r="E718"/>
  <c r="E856"/>
  <c r="C42" i="42"/>
  <c r="E394" i="30"/>
  <c r="E520" i="44"/>
  <c r="E695"/>
  <c r="E718"/>
  <c r="E543"/>
  <c r="E394"/>
  <c r="E810"/>
  <c r="E741"/>
  <c r="AQ42" i="42"/>
  <c r="E856" i="44"/>
  <c r="E787"/>
  <c r="E833"/>
  <c r="D321" i="30"/>
  <c r="D386" s="1"/>
  <c r="H321"/>
  <c r="H386" s="1"/>
  <c r="F321" i="44"/>
  <c r="F386" s="1"/>
  <c r="E969"/>
  <c r="E779"/>
  <c r="AQ243" i="42" s="1"/>
  <c r="D321" i="44"/>
  <c r="D386" s="1"/>
  <c r="G321"/>
  <c r="G386" s="1"/>
  <c r="G321" i="30"/>
  <c r="G386" s="1"/>
  <c r="H321" i="44"/>
  <c r="H386" s="1"/>
  <c r="F321" i="30"/>
  <c r="F386" s="1"/>
  <c r="E323" i="44"/>
  <c r="E375" s="1"/>
  <c r="E779" i="30"/>
  <c r="C243" i="42" s="1"/>
  <c r="E969" i="30"/>
  <c r="AI495"/>
  <c r="AJ10"/>
  <c r="AI24" i="44"/>
  <c r="AH509"/>
  <c r="M344"/>
  <c r="M323" s="1"/>
  <c r="M375" s="1"/>
  <c r="N580"/>
  <c r="AZ129" i="42" s="1"/>
  <c r="J345" i="30"/>
  <c r="J324" s="1"/>
  <c r="J376" s="1"/>
  <c r="AJ501"/>
  <c r="AK16"/>
  <c r="M343"/>
  <c r="M322" s="1"/>
  <c r="M371" s="1"/>
  <c r="L604"/>
  <c r="BA57" i="42"/>
  <c r="O535" i="44"/>
  <c r="O756"/>
  <c r="O558"/>
  <c r="O409"/>
  <c r="O733"/>
  <c r="O848"/>
  <c r="O710"/>
  <c r="O825"/>
  <c r="O802"/>
  <c r="O871"/>
  <c r="I325"/>
  <c r="I377" s="1"/>
  <c r="L322" i="30"/>
  <c r="L371" s="1"/>
  <c r="K324" i="44"/>
  <c r="K376" s="1"/>
  <c r="L565"/>
  <c r="P316" i="30"/>
  <c r="P295" s="1"/>
  <c r="P321" i="44"/>
  <c r="P386" s="1"/>
  <c r="X308" i="30"/>
  <c r="X287" s="1"/>
  <c r="AA305"/>
  <c r="AA284" s="1"/>
  <c r="AA307" i="44"/>
  <c r="AA286" s="1"/>
  <c r="Q317"/>
  <c r="X310"/>
  <c r="X289" s="1"/>
  <c r="Y309"/>
  <c r="Y288" s="1"/>
  <c r="Z308"/>
  <c r="Z287" s="1"/>
  <c r="S315"/>
  <c r="S294" s="1"/>
  <c r="Q315" i="30"/>
  <c r="Q294" s="1"/>
  <c r="V310"/>
  <c r="V289" s="1"/>
  <c r="V312" i="44"/>
  <c r="V291" s="1"/>
  <c r="S313" i="30"/>
  <c r="S292" s="1"/>
  <c r="N321"/>
  <c r="N386" s="1"/>
  <c r="AB304"/>
  <c r="AB283" s="1"/>
  <c r="J701" i="44"/>
  <c r="J724"/>
  <c r="J526"/>
  <c r="J747"/>
  <c r="J595"/>
  <c r="AV48" i="42"/>
  <c r="J793" i="44"/>
  <c r="J549"/>
  <c r="J816"/>
  <c r="J839"/>
  <c r="J862"/>
  <c r="H114" i="42"/>
  <c r="J589" i="30"/>
  <c r="AC303"/>
  <c r="AC282" s="1"/>
  <c r="I664" i="44"/>
  <c r="AU180" i="42" s="1"/>
  <c r="AC305" i="44"/>
  <c r="AC284" s="1"/>
  <c r="AH509" i="30"/>
  <c r="AI24"/>
  <c r="AW114" i="42"/>
  <c r="K589" i="44"/>
  <c r="K718" i="30"/>
  <c r="K856"/>
  <c r="I42" i="42"/>
  <c r="K833" i="30"/>
  <c r="K810"/>
  <c r="K520"/>
  <c r="K543"/>
  <c r="K695"/>
  <c r="K741"/>
  <c r="K787"/>
  <c r="K394"/>
  <c r="L779"/>
  <c r="J243" i="42" s="1"/>
  <c r="L969" i="30"/>
  <c r="O343" i="44"/>
  <c r="N322"/>
  <c r="N371" s="1"/>
  <c r="L764"/>
  <c r="AX228" i="42" s="1"/>
  <c r="L954" i="44"/>
  <c r="M825" i="30"/>
  <c r="M802"/>
  <c r="M871"/>
  <c r="M535"/>
  <c r="M710"/>
  <c r="M848"/>
  <c r="M733"/>
  <c r="K57" i="42"/>
  <c r="M558" i="30"/>
  <c r="M756"/>
  <c r="M409"/>
  <c r="M787" i="44"/>
  <c r="M810"/>
  <c r="M833"/>
  <c r="AY42" i="42"/>
  <c r="M741" i="44"/>
  <c r="M856"/>
  <c r="M695"/>
  <c r="M520"/>
  <c r="M394"/>
  <c r="M718"/>
  <c r="M543"/>
  <c r="H46" i="42"/>
  <c r="J745" i="30"/>
  <c r="J791"/>
  <c r="J699"/>
  <c r="J814"/>
  <c r="J547"/>
  <c r="J837"/>
  <c r="J860"/>
  <c r="J398"/>
  <c r="J722"/>
  <c r="J524"/>
  <c r="L323" i="44"/>
  <c r="L375" s="1"/>
  <c r="AY129" i="42"/>
  <c r="M604" i="44"/>
  <c r="I959"/>
  <c r="I769"/>
  <c r="AU233" i="42" s="1"/>
  <c r="AB306" i="44"/>
  <c r="AB285" s="1"/>
  <c r="N969"/>
  <c r="N779"/>
  <c r="AZ243" i="42" s="1"/>
  <c r="R316" i="44"/>
  <c r="R295" s="1"/>
  <c r="W309" i="30"/>
  <c r="W288" s="1"/>
  <c r="U311"/>
  <c r="U290" s="1"/>
  <c r="R314"/>
  <c r="R293" s="1"/>
  <c r="U313" i="44"/>
  <c r="U292" s="1"/>
  <c r="T314"/>
  <c r="T293" s="1"/>
  <c r="O317" i="30"/>
  <c r="Z306"/>
  <c r="Z285" s="1"/>
  <c r="Y307"/>
  <c r="Y286" s="1"/>
  <c r="W311" i="44"/>
  <c r="W290" s="1"/>
  <c r="T312" i="30"/>
  <c r="T291" s="1"/>
  <c r="K958" i="44"/>
  <c r="K664" s="1"/>
  <c r="AW180" i="42" s="1"/>
  <c r="K768" i="44"/>
  <c r="K569"/>
  <c r="K662"/>
  <c r="AW178" i="42" s="1"/>
  <c r="J347" i="44"/>
  <c r="K344" i="30"/>
  <c r="I570" i="44"/>
  <c r="AF511" i="30" l="1"/>
  <c r="AG26"/>
  <c r="AF510" i="44"/>
  <c r="AG25"/>
  <c r="AF508" i="30"/>
  <c r="AG23"/>
  <c r="AF510"/>
  <c r="AG25"/>
  <c r="AG26" i="44"/>
  <c r="AF511"/>
  <c r="AF497" i="30"/>
  <c r="AG12"/>
  <c r="AF497" i="44"/>
  <c r="AG12"/>
  <c r="AH505"/>
  <c r="AI20"/>
  <c r="I579" i="30"/>
  <c r="G128" i="42" s="1"/>
  <c r="I353" i="30"/>
  <c r="I719"/>
  <c r="I544"/>
  <c r="I395"/>
  <c r="I857"/>
  <c r="I811"/>
  <c r="I696"/>
  <c r="I834"/>
  <c r="G43" i="42"/>
  <c r="I742" i="30"/>
  <c r="I788"/>
  <c r="I521"/>
  <c r="I968"/>
  <c r="I778"/>
  <c r="G242" i="42" s="1"/>
  <c r="AG493" i="44"/>
  <c r="AH8"/>
  <c r="AI20" i="30"/>
  <c r="AH505"/>
  <c r="AH494"/>
  <c r="AI9"/>
  <c r="AH503"/>
  <c r="AI18"/>
  <c r="AH499" i="44"/>
  <c r="AI14"/>
  <c r="AH22" i="30"/>
  <c r="AG507"/>
  <c r="AG507" i="44"/>
  <c r="AH22"/>
  <c r="AI494"/>
  <c r="AJ9"/>
  <c r="AI498" i="30"/>
  <c r="AJ13"/>
  <c r="AH27" i="44"/>
  <c r="AG512"/>
  <c r="AF500" i="30"/>
  <c r="AG15"/>
  <c r="AG493"/>
  <c r="AH8"/>
  <c r="AG19" i="44"/>
  <c r="AF504"/>
  <c r="AH27" i="30"/>
  <c r="AG512"/>
  <c r="AG19"/>
  <c r="AF504"/>
  <c r="N604" i="44"/>
  <c r="AG11" i="30"/>
  <c r="AF496"/>
  <c r="AF28"/>
  <c r="AG21"/>
  <c r="AF506"/>
  <c r="AF496" i="44"/>
  <c r="AG11"/>
  <c r="AF28"/>
  <c r="I930"/>
  <c r="AU298" i="42" s="1"/>
  <c r="I593" i="44"/>
  <c r="AJ14" i="30"/>
  <c r="AI499"/>
  <c r="AJ13" i="44"/>
  <c r="AI498"/>
  <c r="AJ21"/>
  <c r="AI506"/>
  <c r="AJ16"/>
  <c r="AI501"/>
  <c r="AJ503"/>
  <c r="AK18"/>
  <c r="AJ17"/>
  <c r="AI502"/>
  <c r="AI500"/>
  <c r="AJ15"/>
  <c r="AI495"/>
  <c r="AJ10"/>
  <c r="AI502" i="30"/>
  <c r="AJ17"/>
  <c r="AJ23" i="44"/>
  <c r="AI508"/>
  <c r="D343" i="30"/>
  <c r="AQ129" i="42"/>
  <c r="E604" i="44"/>
  <c r="E345"/>
  <c r="E324" s="1"/>
  <c r="E376" s="1"/>
  <c r="C46" i="42"/>
  <c r="E699" i="30"/>
  <c r="E791"/>
  <c r="E814"/>
  <c r="E837"/>
  <c r="E547"/>
  <c r="E745"/>
  <c r="E722"/>
  <c r="E593"/>
  <c r="E524"/>
  <c r="E569" s="1"/>
  <c r="C118" i="42" s="1"/>
  <c r="E860" i="30"/>
  <c r="F848"/>
  <c r="F535"/>
  <c r="F733"/>
  <c r="F710"/>
  <c r="F409"/>
  <c r="D57" i="42"/>
  <c r="F825" i="30"/>
  <c r="F871"/>
  <c r="F756"/>
  <c r="F558"/>
  <c r="F802"/>
  <c r="H825" i="44"/>
  <c r="H558"/>
  <c r="H733"/>
  <c r="H848"/>
  <c r="H871"/>
  <c r="H535"/>
  <c r="H580" s="1"/>
  <c r="H710"/>
  <c r="H756"/>
  <c r="AT57" i="42"/>
  <c r="H409" i="44"/>
  <c r="H802"/>
  <c r="E57" i="42"/>
  <c r="G756" i="30"/>
  <c r="G802"/>
  <c r="G409"/>
  <c r="G535"/>
  <c r="G733"/>
  <c r="G825"/>
  <c r="G558"/>
  <c r="G871"/>
  <c r="G710"/>
  <c r="G848"/>
  <c r="G558" i="44"/>
  <c r="G802"/>
  <c r="G848"/>
  <c r="G409"/>
  <c r="G535"/>
  <c r="G580" s="1"/>
  <c r="AS129" i="42" s="1"/>
  <c r="G756" i="44"/>
  <c r="G871"/>
  <c r="AS57" i="42"/>
  <c r="G733" i="44"/>
  <c r="G710"/>
  <c r="G825"/>
  <c r="D802"/>
  <c r="D558"/>
  <c r="D710"/>
  <c r="D756"/>
  <c r="D825"/>
  <c r="D409"/>
  <c r="D848"/>
  <c r="D733"/>
  <c r="AP57" i="42"/>
  <c r="D535" i="44"/>
  <c r="D580" s="1"/>
  <c r="D871"/>
  <c r="F756"/>
  <c r="AR57" i="42"/>
  <c r="F825" i="44"/>
  <c r="F848"/>
  <c r="F535"/>
  <c r="F710"/>
  <c r="F802"/>
  <c r="F558"/>
  <c r="F409"/>
  <c r="F733"/>
  <c r="F871"/>
  <c r="H848" i="30"/>
  <c r="H409"/>
  <c r="H535"/>
  <c r="H802"/>
  <c r="H871"/>
  <c r="F57" i="42"/>
  <c r="H733" i="30"/>
  <c r="H825"/>
  <c r="H756"/>
  <c r="H558"/>
  <c r="H710"/>
  <c r="B57" i="42"/>
  <c r="D710" i="30"/>
  <c r="D848"/>
  <c r="D871"/>
  <c r="D558"/>
  <c r="D802"/>
  <c r="D756"/>
  <c r="D409"/>
  <c r="D535"/>
  <c r="D580" s="1"/>
  <c r="B129" i="42" s="1"/>
  <c r="D825" i="30"/>
  <c r="D733"/>
  <c r="E565" i="44"/>
  <c r="E565" i="30"/>
  <c r="E524" i="44"/>
  <c r="E860"/>
  <c r="E934" s="1"/>
  <c r="AQ302" i="42" s="1"/>
  <c r="E745" i="44"/>
  <c r="E547"/>
  <c r="E663" s="1"/>
  <c r="AQ179" i="42" s="1"/>
  <c r="E791" i="44"/>
  <c r="E931" s="1"/>
  <c r="AQ299" i="42" s="1"/>
  <c r="E814" i="44"/>
  <c r="E932" s="1"/>
  <c r="AQ300" i="42" s="1"/>
  <c r="E722" i="44"/>
  <c r="AQ46" i="42"/>
  <c r="E837" i="44"/>
  <c r="E933" s="1"/>
  <c r="AQ301" i="42" s="1"/>
  <c r="E593" i="44"/>
  <c r="E699"/>
  <c r="D322" i="30"/>
  <c r="D371" s="1"/>
  <c r="E954" i="44"/>
  <c r="E764"/>
  <c r="AQ228" i="42" s="1"/>
  <c r="E954" i="30"/>
  <c r="E764"/>
  <c r="C228" i="42" s="1"/>
  <c r="E345" i="30"/>
  <c r="F343"/>
  <c r="H343" i="44"/>
  <c r="G343" i="30"/>
  <c r="G343" i="44"/>
  <c r="D343"/>
  <c r="F343"/>
  <c r="H343" i="30"/>
  <c r="N344" i="44"/>
  <c r="N323" s="1"/>
  <c r="N375" s="1"/>
  <c r="AJ495" i="30"/>
  <c r="AK10"/>
  <c r="AI509" i="44"/>
  <c r="AJ24"/>
  <c r="AL16" i="30"/>
  <c r="AK501"/>
  <c r="J569"/>
  <c r="J593" s="1"/>
  <c r="N343"/>
  <c r="N322" s="1"/>
  <c r="N371" s="1"/>
  <c r="I347" i="44"/>
  <c r="I326" s="1"/>
  <c r="I378" s="1"/>
  <c r="M344" i="30"/>
  <c r="M323" s="1"/>
  <c r="M375" s="1"/>
  <c r="AU119" i="42"/>
  <c r="AW232"/>
  <c r="K930" i="44"/>
  <c r="AW298" i="42" s="1"/>
  <c r="T313" i="30"/>
  <c r="T292" s="1"/>
  <c r="W312" i="44"/>
  <c r="W291" s="1"/>
  <c r="Y308" i="30"/>
  <c r="Y287" s="1"/>
  <c r="Z307"/>
  <c r="Z286" s="1"/>
  <c r="O321"/>
  <c r="O386" s="1"/>
  <c r="T315" i="44"/>
  <c r="T294" s="1"/>
  <c r="U314"/>
  <c r="U293" s="1"/>
  <c r="R315" i="30"/>
  <c r="R294" s="1"/>
  <c r="U312"/>
  <c r="U291" s="1"/>
  <c r="W310"/>
  <c r="W289" s="1"/>
  <c r="R317" i="44"/>
  <c r="AB307"/>
  <c r="AB286" s="1"/>
  <c r="L814"/>
  <c r="L932" s="1"/>
  <c r="AX300" i="42" s="1"/>
  <c r="AX46"/>
  <c r="L745" i="44"/>
  <c r="L791"/>
  <c r="L931" s="1"/>
  <c r="AX299" i="42" s="1"/>
  <c r="L398" i="44"/>
  <c r="L699"/>
  <c r="L547"/>
  <c r="L663" s="1"/>
  <c r="AX179" i="42" s="1"/>
  <c r="L860" i="44"/>
  <c r="L934" s="1"/>
  <c r="AX302" i="42" s="1"/>
  <c r="L837" i="44"/>
  <c r="L933" s="1"/>
  <c r="AX301" i="42" s="1"/>
  <c r="L722" i="44"/>
  <c r="L524"/>
  <c r="H118" i="42"/>
  <c r="M565" i="44"/>
  <c r="O322"/>
  <c r="O371" s="1"/>
  <c r="AJ24" i="30"/>
  <c r="AI509"/>
  <c r="J746"/>
  <c r="J525"/>
  <c r="J861"/>
  <c r="J594"/>
  <c r="J548"/>
  <c r="J815"/>
  <c r="J792"/>
  <c r="J838"/>
  <c r="H47" i="42"/>
  <c r="J723" i="30"/>
  <c r="J700"/>
  <c r="M547" i="44"/>
  <c r="M663" s="1"/>
  <c r="AY179" i="42" s="1"/>
  <c r="M745" i="44"/>
  <c r="M791"/>
  <c r="M931" s="1"/>
  <c r="AY299" i="42" s="1"/>
  <c r="M722" i="44"/>
  <c r="M398"/>
  <c r="M524"/>
  <c r="M814"/>
  <c r="M932" s="1"/>
  <c r="AY300" i="42" s="1"/>
  <c r="AY46"/>
  <c r="M860" i="44"/>
  <c r="M934" s="1"/>
  <c r="AY302" i="42" s="1"/>
  <c r="M699" i="44"/>
  <c r="M837"/>
  <c r="M933" s="1"/>
  <c r="AY301" i="42" s="1"/>
  <c r="P710" i="44"/>
  <c r="P825"/>
  <c r="P871"/>
  <c r="P756"/>
  <c r="BB57" i="42"/>
  <c r="P409" i="44"/>
  <c r="P558"/>
  <c r="P535"/>
  <c r="P733"/>
  <c r="P802"/>
  <c r="P848"/>
  <c r="P317" i="30"/>
  <c r="AX114" i="42"/>
  <c r="L589" i="44"/>
  <c r="K861"/>
  <c r="K746"/>
  <c r="K838"/>
  <c r="AW47" i="42"/>
  <c r="K594" i="44"/>
  <c r="K792"/>
  <c r="K700"/>
  <c r="K548"/>
  <c r="K525"/>
  <c r="K815"/>
  <c r="K723"/>
  <c r="L833" i="30"/>
  <c r="L787"/>
  <c r="J42" i="42"/>
  <c r="L741" i="30"/>
  <c r="L394"/>
  <c r="L718"/>
  <c r="L856"/>
  <c r="L520"/>
  <c r="L695"/>
  <c r="L810"/>
  <c r="L543"/>
  <c r="I862" i="44"/>
  <c r="I793"/>
  <c r="I701"/>
  <c r="I526"/>
  <c r="I724"/>
  <c r="AU48" i="42"/>
  <c r="I595" i="44"/>
  <c r="I839"/>
  <c r="I549"/>
  <c r="I747"/>
  <c r="I816"/>
  <c r="M580" i="30"/>
  <c r="K323"/>
  <c r="K375" s="1"/>
  <c r="J326" i="44"/>
  <c r="J378" s="1"/>
  <c r="AW118" i="42"/>
  <c r="K593" i="44"/>
  <c r="J768" i="30"/>
  <c r="J958"/>
  <c r="M954" i="44"/>
  <c r="M764"/>
  <c r="AY228" i="42" s="1"/>
  <c r="M969" i="30"/>
  <c r="M779"/>
  <c r="K243" i="42" s="1"/>
  <c r="N856" i="44"/>
  <c r="N810"/>
  <c r="N695"/>
  <c r="N787"/>
  <c r="N543"/>
  <c r="N520"/>
  <c r="AZ42" i="42"/>
  <c r="N741" i="44"/>
  <c r="N718"/>
  <c r="N833"/>
  <c r="N394"/>
  <c r="K954" i="30"/>
  <c r="K764"/>
  <c r="I228" i="42" s="1"/>
  <c r="K565" i="30"/>
  <c r="AC306" i="44"/>
  <c r="AC285" s="1"/>
  <c r="AC304" i="30"/>
  <c r="AC283" s="1"/>
  <c r="J770" i="44"/>
  <c r="AV234" i="42" s="1"/>
  <c r="J960" i="44"/>
  <c r="AB305" i="30"/>
  <c r="AB284" s="1"/>
  <c r="N848"/>
  <c r="N710"/>
  <c r="N558"/>
  <c r="N733"/>
  <c r="N825"/>
  <c r="N802"/>
  <c r="N756"/>
  <c r="N871"/>
  <c r="N535"/>
  <c r="L57" i="42"/>
  <c r="N409" i="30"/>
  <c r="S314"/>
  <c r="S293" s="1"/>
  <c r="V313" i="44"/>
  <c r="V292" s="1"/>
  <c r="V311" i="30"/>
  <c r="V290" s="1"/>
  <c r="M810"/>
  <c r="M520"/>
  <c r="M718"/>
  <c r="M856"/>
  <c r="M394"/>
  <c r="K42" i="42"/>
  <c r="M741" i="30"/>
  <c r="M543"/>
  <c r="M695"/>
  <c r="M787"/>
  <c r="M833"/>
  <c r="Q316"/>
  <c r="Q295" s="1"/>
  <c r="S316" i="44"/>
  <c r="S295" s="1"/>
  <c r="Z309"/>
  <c r="Z288" s="1"/>
  <c r="Y310"/>
  <c r="Y289" s="1"/>
  <c r="X311"/>
  <c r="X290" s="1"/>
  <c r="Q321"/>
  <c r="Q386" s="1"/>
  <c r="AA308"/>
  <c r="AA287" s="1"/>
  <c r="AA306" i="30"/>
  <c r="AA285" s="1"/>
  <c r="X309"/>
  <c r="X288" s="1"/>
  <c r="O969" i="44"/>
  <c r="O779"/>
  <c r="BA243" i="42" s="1"/>
  <c r="L345" i="44"/>
  <c r="J346" i="30"/>
  <c r="J571" i="44"/>
  <c r="AV120" i="42" s="1"/>
  <c r="M345" i="44"/>
  <c r="P343"/>
  <c r="K346"/>
  <c r="L344" i="30"/>
  <c r="O580" i="44"/>
  <c r="AG511" l="1"/>
  <c r="AH26"/>
  <c r="AG510" i="30"/>
  <c r="AH25"/>
  <c r="AG508"/>
  <c r="AH23"/>
  <c r="AH25" i="44"/>
  <c r="AG510"/>
  <c r="AH26" i="30"/>
  <c r="AG511"/>
  <c r="AG497" i="44"/>
  <c r="AH12"/>
  <c r="AH12" i="30"/>
  <c r="AG497"/>
  <c r="AI505" i="44"/>
  <c r="AJ20"/>
  <c r="I566" i="30"/>
  <c r="G115" i="42" s="1"/>
  <c r="I765" i="30"/>
  <c r="G229" i="42" s="1"/>
  <c r="I955" i="30"/>
  <c r="I332"/>
  <c r="I381" s="1"/>
  <c r="I590"/>
  <c r="AI8" i="44"/>
  <c r="AH493"/>
  <c r="AI505" i="30"/>
  <c r="AJ20"/>
  <c r="AI494"/>
  <c r="AJ9"/>
  <c r="AJ14" i="44"/>
  <c r="AI499"/>
  <c r="AI503" i="30"/>
  <c r="AJ18"/>
  <c r="AI22"/>
  <c r="AH507"/>
  <c r="AH507" i="44"/>
  <c r="AI22"/>
  <c r="AJ494"/>
  <c r="AK9"/>
  <c r="AK13" i="30"/>
  <c r="AJ498"/>
  <c r="AH19"/>
  <c r="AG504"/>
  <c r="AI27"/>
  <c r="AH512"/>
  <c r="AG504" i="44"/>
  <c r="AH19"/>
  <c r="AH512"/>
  <c r="AI27"/>
  <c r="AI8" i="30"/>
  <c r="AH493"/>
  <c r="AH15"/>
  <c r="AG500"/>
  <c r="AH11" i="44"/>
  <c r="AG496"/>
  <c r="AG28"/>
  <c r="AG496" i="30"/>
  <c r="AG28"/>
  <c r="AH11"/>
  <c r="AG506"/>
  <c r="AH21"/>
  <c r="N580"/>
  <c r="L129" i="42" s="1"/>
  <c r="AK13" i="44"/>
  <c r="AJ498"/>
  <c r="AK14" i="30"/>
  <c r="AJ499"/>
  <c r="AJ506" i="44"/>
  <c r="AK21"/>
  <c r="AJ508"/>
  <c r="AK23"/>
  <c r="AK17"/>
  <c r="AJ502"/>
  <c r="AK16"/>
  <c r="AJ501"/>
  <c r="AJ502" i="30"/>
  <c r="AK17"/>
  <c r="AJ495" i="44"/>
  <c r="AK10"/>
  <c r="AJ500"/>
  <c r="AK15"/>
  <c r="AL18"/>
  <c r="AK503"/>
  <c r="D344" i="30"/>
  <c r="D323" s="1"/>
  <c r="D375" s="1"/>
  <c r="D604"/>
  <c r="E346" i="44"/>
  <c r="E325" s="1"/>
  <c r="E377" s="1"/>
  <c r="F322"/>
  <c r="F371" s="1"/>
  <c r="G322"/>
  <c r="G371" s="1"/>
  <c r="H322"/>
  <c r="H371" s="1"/>
  <c r="E324" i="30"/>
  <c r="E376" s="1"/>
  <c r="C114" i="42"/>
  <c r="E589" i="30"/>
  <c r="D969"/>
  <c r="D779"/>
  <c r="B243" i="42" s="1"/>
  <c r="F969" i="44"/>
  <c r="F779"/>
  <c r="AR243" i="42" s="1"/>
  <c r="D969" i="44"/>
  <c r="D779"/>
  <c r="AP243" i="42" s="1"/>
  <c r="G969" i="30"/>
  <c r="G779"/>
  <c r="E243" i="42" s="1"/>
  <c r="H969" i="44"/>
  <c r="H779"/>
  <c r="AT243" i="42" s="1"/>
  <c r="F969" i="30"/>
  <c r="F779"/>
  <c r="D243" i="42" s="1"/>
  <c r="E525" i="44"/>
  <c r="E815"/>
  <c r="E792"/>
  <c r="AQ47" i="42"/>
  <c r="E861" i="44"/>
  <c r="E594"/>
  <c r="E746"/>
  <c r="E838"/>
  <c r="E548"/>
  <c r="E723"/>
  <c r="E700"/>
  <c r="F580" i="30"/>
  <c r="H322"/>
  <c r="H371" s="1"/>
  <c r="D322" i="44"/>
  <c r="D371" s="1"/>
  <c r="G322" i="30"/>
  <c r="G371" s="1"/>
  <c r="F322"/>
  <c r="F371" s="1"/>
  <c r="D833"/>
  <c r="D543"/>
  <c r="D394"/>
  <c r="D856"/>
  <c r="D695"/>
  <c r="B42" i="42"/>
  <c r="D741" i="30"/>
  <c r="D787"/>
  <c r="D520"/>
  <c r="D810"/>
  <c r="D718"/>
  <c r="E958" i="44"/>
  <c r="E664" s="1"/>
  <c r="AQ180" i="42" s="1"/>
  <c r="E768" i="44"/>
  <c r="E569"/>
  <c r="AQ118" i="42" s="1"/>
  <c r="E662" i="44"/>
  <c r="AQ178" i="42" s="1"/>
  <c r="AQ114"/>
  <c r="E589" i="44"/>
  <c r="H779" i="30"/>
  <c r="F243" i="42" s="1"/>
  <c r="H969" i="30"/>
  <c r="D604" i="44"/>
  <c r="AP129" i="42"/>
  <c r="G969" i="44"/>
  <c r="G779"/>
  <c r="AS243" i="42" s="1"/>
  <c r="H604" i="44"/>
  <c r="AT129" i="42"/>
  <c r="E958" i="30"/>
  <c r="E768"/>
  <c r="H580"/>
  <c r="F580" i="44"/>
  <c r="G604"/>
  <c r="G580" i="30"/>
  <c r="P580" i="44"/>
  <c r="BB129" i="42" s="1"/>
  <c r="M345" i="30"/>
  <c r="M324" s="1"/>
  <c r="M376" s="1"/>
  <c r="N344"/>
  <c r="N323" s="1"/>
  <c r="N375" s="1"/>
  <c r="AL10"/>
  <c r="AK495"/>
  <c r="O343"/>
  <c r="O322" s="1"/>
  <c r="O371" s="1"/>
  <c r="AJ509" i="44"/>
  <c r="AK24"/>
  <c r="AM16" i="30"/>
  <c r="AL501"/>
  <c r="I348" i="44"/>
  <c r="I327" s="1"/>
  <c r="O344"/>
  <c r="O323" s="1"/>
  <c r="O375" s="1"/>
  <c r="P322"/>
  <c r="P371" s="1"/>
  <c r="Q848"/>
  <c r="Q733"/>
  <c r="BC57" i="42"/>
  <c r="Q710" i="44"/>
  <c r="Q535"/>
  <c r="Q756"/>
  <c r="Q825"/>
  <c r="Q802"/>
  <c r="Q558"/>
  <c r="Q871"/>
  <c r="Q409"/>
  <c r="N779" i="30"/>
  <c r="L243" i="42" s="1"/>
  <c r="N969" i="30"/>
  <c r="AC305"/>
  <c r="AC284" s="1"/>
  <c r="AC307" i="44"/>
  <c r="AC286" s="1"/>
  <c r="I114" i="42"/>
  <c r="K589" i="30"/>
  <c r="N565" i="44"/>
  <c r="H232" i="42"/>
  <c r="J840" i="44"/>
  <c r="J725"/>
  <c r="J863"/>
  <c r="J596"/>
  <c r="J550"/>
  <c r="J817"/>
  <c r="AV49" i="42"/>
  <c r="J748" i="44"/>
  <c r="J527"/>
  <c r="J702"/>
  <c r="J794"/>
  <c r="K547" i="30"/>
  <c r="K860"/>
  <c r="K745"/>
  <c r="K398"/>
  <c r="K837"/>
  <c r="K722"/>
  <c r="K524"/>
  <c r="K569" s="1"/>
  <c r="K593" s="1"/>
  <c r="I46" i="42"/>
  <c r="K814" i="30"/>
  <c r="K699"/>
  <c r="K791"/>
  <c r="K129" i="42"/>
  <c r="M604" i="30"/>
  <c r="I960" i="44"/>
  <c r="I770"/>
  <c r="AU234" i="42" s="1"/>
  <c r="L954" i="30"/>
  <c r="L764"/>
  <c r="J228" i="42" s="1"/>
  <c r="M547" i="30"/>
  <c r="M814"/>
  <c r="M699"/>
  <c r="K46" i="42"/>
  <c r="M722" i="30"/>
  <c r="M837"/>
  <c r="M398"/>
  <c r="M860"/>
  <c r="M791"/>
  <c r="M745"/>
  <c r="M524"/>
  <c r="L42" i="42"/>
  <c r="N787" i="30"/>
  <c r="N856"/>
  <c r="N741"/>
  <c r="N520"/>
  <c r="N833"/>
  <c r="N810"/>
  <c r="N695"/>
  <c r="N543"/>
  <c r="N718"/>
  <c r="N394"/>
  <c r="O741" i="44"/>
  <c r="BA42" i="42"/>
  <c r="O810" i="44"/>
  <c r="O543"/>
  <c r="O394"/>
  <c r="O520"/>
  <c r="O695"/>
  <c r="O856"/>
  <c r="O833"/>
  <c r="O718"/>
  <c r="O787"/>
  <c r="AY114" i="42"/>
  <c r="M589" i="44"/>
  <c r="L569"/>
  <c r="L662"/>
  <c r="AX178" i="42" s="1"/>
  <c r="AB308" i="44"/>
  <c r="AB287" s="1"/>
  <c r="R321"/>
  <c r="R386" s="1"/>
  <c r="W311" i="30"/>
  <c r="W290" s="1"/>
  <c r="U313"/>
  <c r="U292" s="1"/>
  <c r="R316"/>
  <c r="R295" s="1"/>
  <c r="U315" i="44"/>
  <c r="U294" s="1"/>
  <c r="T316"/>
  <c r="T295" s="1"/>
  <c r="O733" i="30"/>
  <c r="M57" i="42"/>
  <c r="O710" i="30"/>
  <c r="O802"/>
  <c r="O871"/>
  <c r="O848"/>
  <c r="O558"/>
  <c r="O535"/>
  <c r="O825"/>
  <c r="O756"/>
  <c r="O409"/>
  <c r="Z308"/>
  <c r="Z287" s="1"/>
  <c r="Y309"/>
  <c r="Y288" s="1"/>
  <c r="W313" i="44"/>
  <c r="W292" s="1"/>
  <c r="T314" i="30"/>
  <c r="T293" s="1"/>
  <c r="J570"/>
  <c r="N345" i="44"/>
  <c r="L323" i="30"/>
  <c r="L375" s="1"/>
  <c r="M954"/>
  <c r="M764"/>
  <c r="K228" i="42" s="1"/>
  <c r="M565" i="30"/>
  <c r="BA129" i="42"/>
  <c r="O604" i="44"/>
  <c r="K325"/>
  <c r="K377" s="1"/>
  <c r="M324"/>
  <c r="M376" s="1"/>
  <c r="J325" i="30"/>
  <c r="L324" i="44"/>
  <c r="L376" s="1"/>
  <c r="I794"/>
  <c r="I863"/>
  <c r="AU49" i="42"/>
  <c r="I596" i="44"/>
  <c r="I840"/>
  <c r="I817"/>
  <c r="I527"/>
  <c r="I702"/>
  <c r="I725"/>
  <c r="I550"/>
  <c r="I748"/>
  <c r="X310" i="30"/>
  <c r="X289" s="1"/>
  <c r="AA307"/>
  <c r="AA286" s="1"/>
  <c r="AA309" i="44"/>
  <c r="AA288" s="1"/>
  <c r="X312"/>
  <c r="X291" s="1"/>
  <c r="Y311"/>
  <c r="Y290" s="1"/>
  <c r="Z310"/>
  <c r="Z289" s="1"/>
  <c r="S317"/>
  <c r="Q317" i="30"/>
  <c r="V312"/>
  <c r="V291" s="1"/>
  <c r="V314" i="44"/>
  <c r="V293" s="1"/>
  <c r="S315" i="30"/>
  <c r="S294" s="1"/>
  <c r="AB306"/>
  <c r="AB285" s="1"/>
  <c r="N764" i="44"/>
  <c r="AZ228" i="42" s="1"/>
  <c r="N954" i="44"/>
  <c r="L565" i="30"/>
  <c r="K959" i="44"/>
  <c r="K769"/>
  <c r="AW233" i="42" s="1"/>
  <c r="P321" i="30"/>
  <c r="P386" s="1"/>
  <c r="P779" i="44"/>
  <c r="BB243" i="42" s="1"/>
  <c r="P969" i="44"/>
  <c r="M958"/>
  <c r="M664" s="1"/>
  <c r="AY180" i="42" s="1"/>
  <c r="M768" i="44"/>
  <c r="M569"/>
  <c r="M662"/>
  <c r="AY178" i="42" s="1"/>
  <c r="J959" i="30"/>
  <c r="J769"/>
  <c r="H233" i="42" s="1"/>
  <c r="AJ509" i="30"/>
  <c r="AK24"/>
  <c r="N524" i="44"/>
  <c r="N860"/>
  <c r="N934" s="1"/>
  <c r="AZ302" i="42" s="1"/>
  <c r="N791" i="44"/>
  <c r="N931" s="1"/>
  <c r="AZ299" i="42" s="1"/>
  <c r="N745" i="44"/>
  <c r="N722"/>
  <c r="AZ46" i="42"/>
  <c r="N547" i="44"/>
  <c r="N663" s="1"/>
  <c r="AZ179" i="42" s="1"/>
  <c r="N699" i="44"/>
  <c r="N814"/>
  <c r="N932" s="1"/>
  <c r="AZ300" i="42" s="1"/>
  <c r="N837" i="44"/>
  <c r="N933" s="1"/>
  <c r="AZ301" i="42" s="1"/>
  <c r="N398" i="44"/>
  <c r="L958"/>
  <c r="L768"/>
  <c r="Q343"/>
  <c r="J348"/>
  <c r="K345" i="30"/>
  <c r="I571" i="44"/>
  <c r="K570"/>
  <c r="AH511" i="30" l="1"/>
  <c r="AI26"/>
  <c r="AI25" i="44"/>
  <c r="AH510"/>
  <c r="AI23" i="30"/>
  <c r="AH508"/>
  <c r="AI25"/>
  <c r="AH510"/>
  <c r="AH511" i="44"/>
  <c r="AI26"/>
  <c r="AI12" i="30"/>
  <c r="AH497"/>
  <c r="AI12" i="44"/>
  <c r="AH497"/>
  <c r="J377" i="30"/>
  <c r="J595" s="1"/>
  <c r="J572" i="44"/>
  <c r="AV121" i="42" s="1"/>
  <c r="AJ505" i="44"/>
  <c r="AK20"/>
  <c r="I354" i="30"/>
  <c r="I866"/>
  <c r="I843"/>
  <c r="I797"/>
  <c r="I553"/>
  <c r="I705"/>
  <c r="G52" i="42"/>
  <c r="I820" i="30"/>
  <c r="I728"/>
  <c r="I530"/>
  <c r="I599"/>
  <c r="I751"/>
  <c r="I333"/>
  <c r="I373" s="1"/>
  <c r="AI493" i="44"/>
  <c r="AJ8"/>
  <c r="AJ505" i="30"/>
  <c r="AK20"/>
  <c r="AJ494"/>
  <c r="AK9"/>
  <c r="AJ499" i="44"/>
  <c r="AK14"/>
  <c r="AJ503" i="30"/>
  <c r="AK18"/>
  <c r="AJ22"/>
  <c r="AI507"/>
  <c r="AJ22" i="44"/>
  <c r="AI507"/>
  <c r="AL9"/>
  <c r="AK494"/>
  <c r="AL13" i="30"/>
  <c r="AK498"/>
  <c r="N604"/>
  <c r="AH500"/>
  <c r="AI15"/>
  <c r="AI493"/>
  <c r="AJ8"/>
  <c r="AI512"/>
  <c r="AJ27"/>
  <c r="AH504"/>
  <c r="AI19"/>
  <c r="AJ27" i="44"/>
  <c r="AI512"/>
  <c r="AI19"/>
  <c r="AH504"/>
  <c r="AI11"/>
  <c r="AH28"/>
  <c r="AH496"/>
  <c r="AH506" i="30"/>
  <c r="AI21"/>
  <c r="AI11"/>
  <c r="AH28"/>
  <c r="AH496"/>
  <c r="AL14"/>
  <c r="AK499"/>
  <c r="AK498" i="44"/>
  <c r="AL13"/>
  <c r="AK506"/>
  <c r="AL21"/>
  <c r="AM18"/>
  <c r="AL503"/>
  <c r="AK501"/>
  <c r="AL16"/>
  <c r="AK502"/>
  <c r="AL17"/>
  <c r="AK500"/>
  <c r="AL15"/>
  <c r="AK495"/>
  <c r="AL10"/>
  <c r="AL17" i="30"/>
  <c r="AK502"/>
  <c r="AK508" i="44"/>
  <c r="AL23"/>
  <c r="D345" i="30"/>
  <c r="E346"/>
  <c r="F344" i="44"/>
  <c r="F323" s="1"/>
  <c r="F375" s="1"/>
  <c r="D565" i="30"/>
  <c r="B114" i="42" s="1"/>
  <c r="L345" i="30"/>
  <c r="L324" s="1"/>
  <c r="L376" s="1"/>
  <c r="F129" i="42"/>
  <c r="H604" i="30"/>
  <c r="E595" i="44"/>
  <c r="E816"/>
  <c r="E862"/>
  <c r="E839"/>
  <c r="E526"/>
  <c r="E701"/>
  <c r="E747"/>
  <c r="E549"/>
  <c r="AQ48" i="42"/>
  <c r="E724" i="44"/>
  <c r="E793"/>
  <c r="D954" i="30"/>
  <c r="D764"/>
  <c r="B228" i="42" s="1"/>
  <c r="F543" i="30"/>
  <c r="F833"/>
  <c r="F695"/>
  <c r="F520"/>
  <c r="F856"/>
  <c r="F394"/>
  <c r="F741"/>
  <c r="D42" i="42"/>
  <c r="F718" i="30"/>
  <c r="F810"/>
  <c r="F787"/>
  <c r="G695"/>
  <c r="G394"/>
  <c r="G520"/>
  <c r="G833"/>
  <c r="G718"/>
  <c r="G543"/>
  <c r="G787"/>
  <c r="G810"/>
  <c r="G741"/>
  <c r="E42" i="42"/>
  <c r="G856" i="30"/>
  <c r="D741" i="44"/>
  <c r="D520"/>
  <c r="D695"/>
  <c r="D856"/>
  <c r="D543"/>
  <c r="D394"/>
  <c r="D833"/>
  <c r="D718"/>
  <c r="AP42" i="42"/>
  <c r="D810" i="44"/>
  <c r="D787"/>
  <c r="H810" i="30"/>
  <c r="H394"/>
  <c r="H520"/>
  <c r="H695"/>
  <c r="H718"/>
  <c r="H543"/>
  <c r="H787"/>
  <c r="H741"/>
  <c r="H833"/>
  <c r="F42" i="42"/>
  <c r="H856" i="30"/>
  <c r="E959" i="44"/>
  <c r="E769"/>
  <c r="AQ233" i="42" s="1"/>
  <c r="D324" i="30"/>
  <c r="D376" s="1"/>
  <c r="E325"/>
  <c r="E377" s="1"/>
  <c r="H394" i="44"/>
  <c r="H787"/>
  <c r="H833"/>
  <c r="H741"/>
  <c r="H543"/>
  <c r="H856"/>
  <c r="H810"/>
  <c r="AT42" i="42"/>
  <c r="H520" i="44"/>
  <c r="H565" s="1"/>
  <c r="AT114" i="42" s="1"/>
  <c r="H695" i="44"/>
  <c r="H718"/>
  <c r="G543"/>
  <c r="G787"/>
  <c r="G833"/>
  <c r="G394"/>
  <c r="AS42" i="42"/>
  <c r="G810" i="44"/>
  <c r="G741"/>
  <c r="G520"/>
  <c r="G856"/>
  <c r="G695"/>
  <c r="G718"/>
  <c r="F856"/>
  <c r="AR42" i="42"/>
  <c r="F394" i="44"/>
  <c r="F833"/>
  <c r="F520"/>
  <c r="F741"/>
  <c r="F718"/>
  <c r="F787"/>
  <c r="F543"/>
  <c r="F810"/>
  <c r="F695"/>
  <c r="E570"/>
  <c r="AQ119" i="42" s="1"/>
  <c r="G604" i="30"/>
  <c r="E129" i="42"/>
  <c r="AR129"/>
  <c r="F604" i="44"/>
  <c r="C232" i="42"/>
  <c r="E930" i="44"/>
  <c r="AQ298" i="42" s="1"/>
  <c r="AQ232"/>
  <c r="F604" i="30"/>
  <c r="D129" i="42"/>
  <c r="D547" i="30"/>
  <c r="D860"/>
  <c r="D791"/>
  <c r="D837"/>
  <c r="B46" i="42"/>
  <c r="D722" i="30"/>
  <c r="D524"/>
  <c r="D569" s="1"/>
  <c r="B118" i="42" s="1"/>
  <c r="D745" i="30"/>
  <c r="D593"/>
  <c r="D814"/>
  <c r="D699"/>
  <c r="E548"/>
  <c r="E700"/>
  <c r="C47" i="42"/>
  <c r="E838" i="30"/>
  <c r="E815"/>
  <c r="E525"/>
  <c r="E746"/>
  <c r="E861"/>
  <c r="E594"/>
  <c r="E723"/>
  <c r="E792"/>
  <c r="E347" i="44"/>
  <c r="F344" i="30"/>
  <c r="G344"/>
  <c r="D344" i="44"/>
  <c r="H344" i="30"/>
  <c r="H344" i="44"/>
  <c r="G344"/>
  <c r="P604"/>
  <c r="AL495" i="30"/>
  <c r="AM10"/>
  <c r="I379" i="44"/>
  <c r="I818" s="1"/>
  <c r="I349"/>
  <c r="I328" s="1"/>
  <c r="I383" s="1"/>
  <c r="P344"/>
  <c r="P323" s="1"/>
  <c r="P375" s="1"/>
  <c r="AL24"/>
  <c r="AK509"/>
  <c r="AN16" i="30"/>
  <c r="AM501"/>
  <c r="N345"/>
  <c r="N324" s="1"/>
  <c r="N376" s="1"/>
  <c r="M346"/>
  <c r="M325" s="1"/>
  <c r="I572" i="44"/>
  <c r="AU121" i="42" s="1"/>
  <c r="K347" i="44"/>
  <c r="K326" s="1"/>
  <c r="K378" s="1"/>
  <c r="O580" i="30"/>
  <c r="M129" i="42" s="1"/>
  <c r="AU120"/>
  <c r="K324" i="30"/>
  <c r="K376" s="1"/>
  <c r="Q322" i="44"/>
  <c r="Q371" s="1"/>
  <c r="L664"/>
  <c r="AX180" i="42" s="1"/>
  <c r="N569" i="44"/>
  <c r="N662"/>
  <c r="AZ178" i="42" s="1"/>
  <c r="L815" i="44"/>
  <c r="AX47" i="42"/>
  <c r="L548" i="44"/>
  <c r="L861"/>
  <c r="L723"/>
  <c r="L700"/>
  <c r="L838"/>
  <c r="L594"/>
  <c r="L746"/>
  <c r="L525"/>
  <c r="L792"/>
  <c r="J549" i="30"/>
  <c r="M548" i="44"/>
  <c r="M594"/>
  <c r="M815"/>
  <c r="M861"/>
  <c r="M792"/>
  <c r="AY47" i="42"/>
  <c r="M700" i="44"/>
  <c r="M723"/>
  <c r="M746"/>
  <c r="M838"/>
  <c r="M525"/>
  <c r="M570" s="1"/>
  <c r="AY119" i="42" s="1"/>
  <c r="K114"/>
  <c r="M589" i="30"/>
  <c r="O954" i="44"/>
  <c r="O764"/>
  <c r="BA228" i="42" s="1"/>
  <c r="N954" i="30"/>
  <c r="N764"/>
  <c r="L228" i="42" s="1"/>
  <c r="K958" i="30"/>
  <c r="K768"/>
  <c r="I118" i="42"/>
  <c r="J961" i="44"/>
  <c r="J771"/>
  <c r="AV235" i="42" s="1"/>
  <c r="AC308" i="44"/>
  <c r="AC287" s="1"/>
  <c r="AC306" i="30"/>
  <c r="AC285" s="1"/>
  <c r="P695" i="44"/>
  <c r="P856"/>
  <c r="P833"/>
  <c r="P787"/>
  <c r="P741"/>
  <c r="P718"/>
  <c r="BB42" i="42"/>
  <c r="P543" i="44"/>
  <c r="P810"/>
  <c r="P520"/>
  <c r="P394"/>
  <c r="R343"/>
  <c r="M569" i="30"/>
  <c r="Q580" i="44"/>
  <c r="O833" i="30"/>
  <c r="O718"/>
  <c r="O787"/>
  <c r="O520"/>
  <c r="O856"/>
  <c r="O543"/>
  <c r="O695"/>
  <c r="O741"/>
  <c r="M42" i="42"/>
  <c r="O810" i="30"/>
  <c r="O394"/>
  <c r="O699" i="44"/>
  <c r="O860"/>
  <c r="O934" s="1"/>
  <c r="BA302" i="42" s="1"/>
  <c r="O524" i="44"/>
  <c r="O745"/>
  <c r="O791"/>
  <c r="O931" s="1"/>
  <c r="BA299" i="42" s="1"/>
  <c r="O547" i="44"/>
  <c r="O663" s="1"/>
  <c r="BA179" i="42" s="1"/>
  <c r="O814" i="44"/>
  <c r="O932" s="1"/>
  <c r="BA300" i="42" s="1"/>
  <c r="O837" i="44"/>
  <c r="O933" s="1"/>
  <c r="BA301" i="42" s="1"/>
  <c r="O722" i="44"/>
  <c r="BA46" i="42"/>
  <c r="O398" i="44"/>
  <c r="AY118" i="42"/>
  <c r="M593" i="44"/>
  <c r="P756" i="30"/>
  <c r="N57" i="42"/>
  <c r="P733" i="30"/>
  <c r="P825"/>
  <c r="P558"/>
  <c r="P848"/>
  <c r="P535"/>
  <c r="P580" s="1"/>
  <c r="N129" i="42" s="1"/>
  <c r="P710" i="30"/>
  <c r="P802"/>
  <c r="P871"/>
  <c r="P409"/>
  <c r="J114" i="42"/>
  <c r="L589" i="30"/>
  <c r="AW119" i="42"/>
  <c r="J327" i="44"/>
  <c r="J379" s="1"/>
  <c r="L930"/>
  <c r="AX298" i="42" s="1"/>
  <c r="AX232"/>
  <c r="N958" i="44"/>
  <c r="N664" s="1"/>
  <c r="AZ180" i="42" s="1"/>
  <c r="N768" i="44"/>
  <c r="AK509" i="30"/>
  <c r="AL24"/>
  <c r="AY232" i="42"/>
  <c r="M930" i="44"/>
  <c r="AY298" i="42" s="1"/>
  <c r="N398" i="30"/>
  <c r="N791"/>
  <c r="N837"/>
  <c r="L46" i="42"/>
  <c r="N699" i="30"/>
  <c r="N547"/>
  <c r="N860"/>
  <c r="N814"/>
  <c r="N524"/>
  <c r="N745"/>
  <c r="N722"/>
  <c r="M525"/>
  <c r="M792"/>
  <c r="M746"/>
  <c r="M815"/>
  <c r="K47" i="42"/>
  <c r="M700" i="30"/>
  <c r="M548"/>
  <c r="M723"/>
  <c r="M594"/>
  <c r="M838"/>
  <c r="M861"/>
  <c r="AB307"/>
  <c r="AB286" s="1"/>
  <c r="S316"/>
  <c r="S295" s="1"/>
  <c r="V315" i="44"/>
  <c r="V294" s="1"/>
  <c r="V313" i="30"/>
  <c r="V292" s="1"/>
  <c r="Q321"/>
  <c r="Q386" s="1"/>
  <c r="S321" i="44"/>
  <c r="S386" s="1"/>
  <c r="Z311"/>
  <c r="Z290" s="1"/>
  <c r="Y312"/>
  <c r="Y291" s="1"/>
  <c r="X313"/>
  <c r="X292" s="1"/>
  <c r="AA310"/>
  <c r="AA289" s="1"/>
  <c r="AA308" i="30"/>
  <c r="AA287" s="1"/>
  <c r="X311"/>
  <c r="X290" s="1"/>
  <c r="I961" i="44"/>
  <c r="I771"/>
  <c r="AU235" i="42" s="1"/>
  <c r="AW48"/>
  <c r="K816" i="44"/>
  <c r="K724"/>
  <c r="K793"/>
  <c r="K701"/>
  <c r="K862"/>
  <c r="K595"/>
  <c r="K839"/>
  <c r="K549"/>
  <c r="K747"/>
  <c r="K526"/>
  <c r="L814" i="30"/>
  <c r="L699"/>
  <c r="L524"/>
  <c r="L791"/>
  <c r="L722"/>
  <c r="J46" i="42"/>
  <c r="L745" i="30"/>
  <c r="L398"/>
  <c r="L837"/>
  <c r="L547"/>
  <c r="L860"/>
  <c r="N324" i="44"/>
  <c r="N376" s="1"/>
  <c r="H119" i="42"/>
  <c r="T315" i="30"/>
  <c r="T294" s="1"/>
  <c r="W314" i="44"/>
  <c r="W293" s="1"/>
  <c r="Y310" i="30"/>
  <c r="Y289" s="1"/>
  <c r="Z309"/>
  <c r="Z288" s="1"/>
  <c r="O969"/>
  <c r="O779"/>
  <c r="M243" i="42" s="1"/>
  <c r="T317" i="44"/>
  <c r="U316"/>
  <c r="U295" s="1"/>
  <c r="R317" i="30"/>
  <c r="U314"/>
  <c r="U293" s="1"/>
  <c r="W312"/>
  <c r="W291" s="1"/>
  <c r="R558" i="44"/>
  <c r="R733"/>
  <c r="R710"/>
  <c r="R535"/>
  <c r="R825"/>
  <c r="R409"/>
  <c r="R802"/>
  <c r="R848"/>
  <c r="BD57" i="42"/>
  <c r="R756" i="44"/>
  <c r="R871"/>
  <c r="AB309"/>
  <c r="AB288" s="1"/>
  <c r="AX118" i="42"/>
  <c r="L593" i="44"/>
  <c r="O565"/>
  <c r="N565" i="30"/>
  <c r="M768"/>
  <c r="M958"/>
  <c r="AZ114" i="42"/>
  <c r="N589" i="44"/>
  <c r="Q779"/>
  <c r="BC243" i="42" s="1"/>
  <c r="Q969" i="44"/>
  <c r="O344" i="30"/>
  <c r="O345" i="44"/>
  <c r="P343" i="30"/>
  <c r="L346" i="44"/>
  <c r="J347" i="30"/>
  <c r="M346" i="44"/>
  <c r="AI510" i="30" l="1"/>
  <c r="AJ25"/>
  <c r="AI508"/>
  <c r="AJ23"/>
  <c r="AI510" i="44"/>
  <c r="AJ25"/>
  <c r="AI511"/>
  <c r="AJ26"/>
  <c r="AI511" i="30"/>
  <c r="AJ26"/>
  <c r="AJ12" i="44"/>
  <c r="AI497"/>
  <c r="AI497" i="30"/>
  <c r="AJ12"/>
  <c r="J747"/>
  <c r="J793"/>
  <c r="J839"/>
  <c r="J724"/>
  <c r="J816"/>
  <c r="J526"/>
  <c r="J571" s="1"/>
  <c r="H120" i="42" s="1"/>
  <c r="H48"/>
  <c r="J701" i="30"/>
  <c r="J960" s="1"/>
  <c r="J862"/>
  <c r="M377"/>
  <c r="M793" s="1"/>
  <c r="AK505" i="44"/>
  <c r="AL20"/>
  <c r="I575" i="30"/>
  <c r="G124" i="42" s="1"/>
  <c r="I355" i="30"/>
  <c r="I964"/>
  <c r="I774"/>
  <c r="G238" i="42" s="1"/>
  <c r="I858" i="30"/>
  <c r="I720"/>
  <c r="I812"/>
  <c r="G44" i="42"/>
  <c r="I522" i="30"/>
  <c r="I396"/>
  <c r="I835"/>
  <c r="I743"/>
  <c r="I545"/>
  <c r="I789"/>
  <c r="I697"/>
  <c r="AK8" i="44"/>
  <c r="AJ493"/>
  <c r="AK505" i="30"/>
  <c r="AL20"/>
  <c r="AL9"/>
  <c r="AK494"/>
  <c r="AL18"/>
  <c r="AK503"/>
  <c r="AL14" i="44"/>
  <c r="AK499"/>
  <c r="D589" i="30"/>
  <c r="K571" i="44"/>
  <c r="AW120" i="42" s="1"/>
  <c r="I841" i="44"/>
  <c r="I551"/>
  <c r="AK22"/>
  <c r="AJ507"/>
  <c r="AK22" i="30"/>
  <c r="AJ507"/>
  <c r="AL494" i="44"/>
  <c r="AM9"/>
  <c r="P604" i="30"/>
  <c r="AM13"/>
  <c r="AL498"/>
  <c r="I864" i="44"/>
  <c r="AJ19"/>
  <c r="AI504"/>
  <c r="AK27"/>
  <c r="AJ512"/>
  <c r="AJ19" i="30"/>
  <c r="AI504"/>
  <c r="AK27"/>
  <c r="AJ512"/>
  <c r="AK8"/>
  <c r="AJ493"/>
  <c r="AJ15"/>
  <c r="AI500"/>
  <c r="AJ21"/>
  <c r="AI506"/>
  <c r="AI496" i="44"/>
  <c r="AI28"/>
  <c r="AJ11"/>
  <c r="AI496" i="30"/>
  <c r="AJ11"/>
  <c r="AI28"/>
  <c r="F345" i="44"/>
  <c r="F324" s="1"/>
  <c r="F376" s="1"/>
  <c r="I434" i="30"/>
  <c r="G73" i="42" s="1"/>
  <c r="AL499" i="30"/>
  <c r="AM14"/>
  <c r="AL498" i="44"/>
  <c r="AM13"/>
  <c r="AM21"/>
  <c r="AL506"/>
  <c r="AL502" i="30"/>
  <c r="AM17"/>
  <c r="AN18" i="44"/>
  <c r="AM503"/>
  <c r="AM23"/>
  <c r="AL508"/>
  <c r="AM10"/>
  <c r="AL495"/>
  <c r="AL500"/>
  <c r="AM15"/>
  <c r="AL502"/>
  <c r="AM17"/>
  <c r="AL501"/>
  <c r="AM16"/>
  <c r="D565"/>
  <c r="AP114" i="42" s="1"/>
  <c r="I726" i="44"/>
  <c r="I528"/>
  <c r="AU50" i="42"/>
  <c r="E347" i="30"/>
  <c r="H323" i="44"/>
  <c r="H375" s="1"/>
  <c r="D323"/>
  <c r="D375" s="1"/>
  <c r="F323" i="30"/>
  <c r="F375" s="1"/>
  <c r="E326" i="44"/>
  <c r="E378" s="1"/>
  <c r="F524"/>
  <c r="F547"/>
  <c r="F663" s="1"/>
  <c r="AR179" i="42" s="1"/>
  <c r="F722" i="44"/>
  <c r="AR46" i="42"/>
  <c r="F593" i="44"/>
  <c r="F860"/>
  <c r="F934" s="1"/>
  <c r="AR302" i="42" s="1"/>
  <c r="F745" i="44"/>
  <c r="F699"/>
  <c r="F791"/>
  <c r="F931" s="1"/>
  <c r="AR299" i="42" s="1"/>
  <c r="F814" i="44"/>
  <c r="F932" s="1"/>
  <c r="AR300" i="42" s="1"/>
  <c r="F837" i="44"/>
  <c r="F933" s="1"/>
  <c r="AR301" i="42" s="1"/>
  <c r="E959" i="30"/>
  <c r="E769"/>
  <c r="C233" i="42" s="1"/>
  <c r="D958" i="30"/>
  <c r="D768"/>
  <c r="G954" i="44"/>
  <c r="G764"/>
  <c r="AS228" i="42" s="1"/>
  <c r="H954" i="44"/>
  <c r="H764"/>
  <c r="AT228" i="42" s="1"/>
  <c r="E526" i="30"/>
  <c r="E724"/>
  <c r="E793"/>
  <c r="E701"/>
  <c r="E595"/>
  <c r="E862"/>
  <c r="E816"/>
  <c r="E549"/>
  <c r="C48" i="42"/>
  <c r="E747" i="30"/>
  <c r="E839"/>
  <c r="H954"/>
  <c r="H764"/>
  <c r="F228" i="42" s="1"/>
  <c r="D954" i="44"/>
  <c r="D764"/>
  <c r="AP228" i="42" s="1"/>
  <c r="G954" i="30"/>
  <c r="G764"/>
  <c r="E228" i="42" s="1"/>
  <c r="E570" i="30"/>
  <c r="C119" i="42" s="1"/>
  <c r="G565" i="44"/>
  <c r="H589"/>
  <c r="D346" i="30"/>
  <c r="G565"/>
  <c r="F565"/>
  <c r="E571" i="44"/>
  <c r="AQ120" i="42" s="1"/>
  <c r="G323" i="44"/>
  <c r="G375" s="1"/>
  <c r="H323" i="30"/>
  <c r="H375" s="1"/>
  <c r="G323"/>
  <c r="G375" s="1"/>
  <c r="F954" i="44"/>
  <c r="F764"/>
  <c r="AR228" i="42" s="1"/>
  <c r="E326" i="30"/>
  <c r="E378" s="1"/>
  <c r="D525"/>
  <c r="D815"/>
  <c r="D838"/>
  <c r="B47" i="42"/>
  <c r="D861" i="30"/>
  <c r="D594"/>
  <c r="D746"/>
  <c r="D792"/>
  <c r="D548"/>
  <c r="D700"/>
  <c r="D723"/>
  <c r="F954"/>
  <c r="F764"/>
  <c r="D228" i="42" s="1"/>
  <c r="E960" i="44"/>
  <c r="E770"/>
  <c r="AQ234" i="42" s="1"/>
  <c r="F565" i="44"/>
  <c r="H565" i="30"/>
  <c r="O604"/>
  <c r="AN10"/>
  <c r="AM495"/>
  <c r="I703" i="44"/>
  <c r="I962" s="1"/>
  <c r="I597"/>
  <c r="I795"/>
  <c r="I749"/>
  <c r="AM24"/>
  <c r="AL509"/>
  <c r="AO16" i="30"/>
  <c r="AN501"/>
  <c r="R580" i="44"/>
  <c r="BD129" i="42" s="1"/>
  <c r="Q343" i="30"/>
  <c r="Q322" s="1"/>
  <c r="Q371" s="1"/>
  <c r="L346"/>
  <c r="L325" s="1"/>
  <c r="K346"/>
  <c r="K325" s="1"/>
  <c r="P345" i="44"/>
  <c r="P324" s="1"/>
  <c r="P376" s="1"/>
  <c r="N569" i="30"/>
  <c r="L118" i="42" s="1"/>
  <c r="J349" i="44"/>
  <c r="J328" s="1"/>
  <c r="J383" s="1"/>
  <c r="J326" i="30"/>
  <c r="O323"/>
  <c r="O375" s="1"/>
  <c r="K232" i="42"/>
  <c r="N861" i="44"/>
  <c r="N746"/>
  <c r="N815"/>
  <c r="N723"/>
  <c r="N548"/>
  <c r="N525"/>
  <c r="N792"/>
  <c r="N594"/>
  <c r="AZ47" i="42"/>
  <c r="N700" i="44"/>
  <c r="N838"/>
  <c r="S558"/>
  <c r="S710"/>
  <c r="S825"/>
  <c r="S848"/>
  <c r="S733"/>
  <c r="S535"/>
  <c r="S756"/>
  <c r="BE57" i="42"/>
  <c r="S871" i="44"/>
  <c r="S802"/>
  <c r="S409"/>
  <c r="N958" i="30"/>
  <c r="N768"/>
  <c r="AM24"/>
  <c r="AL509"/>
  <c r="N930" i="44"/>
  <c r="AZ298" i="42" s="1"/>
  <c r="AZ232"/>
  <c r="P969" i="30"/>
  <c r="P779"/>
  <c r="N243" i="42" s="1"/>
  <c r="O565" i="30"/>
  <c r="BC129" i="42"/>
  <c r="Q604" i="44"/>
  <c r="P565"/>
  <c r="P954"/>
  <c r="P764"/>
  <c r="BB228" i="42" s="1"/>
  <c r="I532" i="44"/>
  <c r="I799"/>
  <c r="I822"/>
  <c r="I601"/>
  <c r="I707"/>
  <c r="I845"/>
  <c r="I753"/>
  <c r="I868"/>
  <c r="AU54" i="42"/>
  <c r="I730" i="44"/>
  <c r="I555"/>
  <c r="AC307" i="30"/>
  <c r="AC286" s="1"/>
  <c r="AC309" i="44"/>
  <c r="AC288" s="1"/>
  <c r="AW49" i="42"/>
  <c r="K863" i="44"/>
  <c r="K748"/>
  <c r="K794"/>
  <c r="K702"/>
  <c r="K725"/>
  <c r="K550"/>
  <c r="K840"/>
  <c r="K817"/>
  <c r="K527"/>
  <c r="K596"/>
  <c r="M959"/>
  <c r="M769"/>
  <c r="AY233" i="42" s="1"/>
  <c r="N594" i="30"/>
  <c r="N746"/>
  <c r="N548"/>
  <c r="N861"/>
  <c r="N815"/>
  <c r="N838"/>
  <c r="N723"/>
  <c r="N792"/>
  <c r="N700"/>
  <c r="N525"/>
  <c r="L47" i="42"/>
  <c r="AZ118"/>
  <c r="N593" i="44"/>
  <c r="BC42" i="42"/>
  <c r="Q741" i="44"/>
  <c r="Q833"/>
  <c r="Q810"/>
  <c r="Q394"/>
  <c r="Q695"/>
  <c r="Q543"/>
  <c r="Q787"/>
  <c r="Q718"/>
  <c r="Q856"/>
  <c r="Q520"/>
  <c r="K838" i="30"/>
  <c r="K548"/>
  <c r="K792"/>
  <c r="K700"/>
  <c r="K815"/>
  <c r="K723"/>
  <c r="K525"/>
  <c r="K861"/>
  <c r="I47" i="42"/>
  <c r="K594" i="30"/>
  <c r="K746"/>
  <c r="L569"/>
  <c r="M570"/>
  <c r="K119" i="42" s="1"/>
  <c r="BA114"/>
  <c r="O589" i="44"/>
  <c r="M325"/>
  <c r="M377" s="1"/>
  <c r="L325"/>
  <c r="L377" s="1"/>
  <c r="P322" i="30"/>
  <c r="P371" s="1"/>
  <c r="O324" i="44"/>
  <c r="O376" s="1"/>
  <c r="P699"/>
  <c r="P860"/>
  <c r="P934" s="1"/>
  <c r="BB302" i="42" s="1"/>
  <c r="P524" i="44"/>
  <c r="P722"/>
  <c r="BB46" i="42"/>
  <c r="P814" i="44"/>
  <c r="P932" s="1"/>
  <c r="BB300" i="42" s="1"/>
  <c r="P745" i="44"/>
  <c r="P837"/>
  <c r="P933" s="1"/>
  <c r="BB301" i="42" s="1"/>
  <c r="P791" i="44"/>
  <c r="P931" s="1"/>
  <c r="BB299" i="42" s="1"/>
  <c r="P547" i="44"/>
  <c r="P663" s="1"/>
  <c r="BB179" i="42" s="1"/>
  <c r="P398" i="44"/>
  <c r="L114" i="42"/>
  <c r="N589" i="30"/>
  <c r="AB310" i="44"/>
  <c r="AB289" s="1"/>
  <c r="R969"/>
  <c r="R779"/>
  <c r="BD243" i="42" s="1"/>
  <c r="W313" i="30"/>
  <c r="W292" s="1"/>
  <c r="U315"/>
  <c r="U294" s="1"/>
  <c r="R321"/>
  <c r="R386" s="1"/>
  <c r="U317" i="44"/>
  <c r="T321"/>
  <c r="T386" s="1"/>
  <c r="Z310" i="30"/>
  <c r="Z289" s="1"/>
  <c r="Y311"/>
  <c r="Y290" s="1"/>
  <c r="W315" i="44"/>
  <c r="W294" s="1"/>
  <c r="T316" i="30"/>
  <c r="T295" s="1"/>
  <c r="L958"/>
  <c r="L768"/>
  <c r="K960" i="44"/>
  <c r="K770"/>
  <c r="AW234" i="42" s="1"/>
  <c r="X312" i="30"/>
  <c r="X291" s="1"/>
  <c r="AA309"/>
  <c r="AA288" s="1"/>
  <c r="AA311" i="44"/>
  <c r="AA290" s="1"/>
  <c r="X314"/>
  <c r="X293" s="1"/>
  <c r="Y313"/>
  <c r="Y292" s="1"/>
  <c r="Z312"/>
  <c r="Z291" s="1"/>
  <c r="Q535" i="30"/>
  <c r="Q756"/>
  <c r="Q733"/>
  <c r="Q710"/>
  <c r="O57" i="42"/>
  <c r="Q825" i="30"/>
  <c r="Q802"/>
  <c r="Q558"/>
  <c r="Q848"/>
  <c r="Q871"/>
  <c r="Q409"/>
  <c r="V314"/>
  <c r="V293" s="1"/>
  <c r="V316" i="44"/>
  <c r="V295" s="1"/>
  <c r="S317" i="30"/>
  <c r="AB308"/>
  <c r="AB287" s="1"/>
  <c r="M959"/>
  <c r="M769"/>
  <c r="K233" i="42" s="1"/>
  <c r="J597" i="44"/>
  <c r="J726"/>
  <c r="J528"/>
  <c r="J551"/>
  <c r="J818"/>
  <c r="J749"/>
  <c r="AV50" i="42"/>
  <c r="J795" i="44"/>
  <c r="J864"/>
  <c r="J703"/>
  <c r="J841"/>
  <c r="O569"/>
  <c r="O662"/>
  <c r="BA178" i="42" s="1"/>
  <c r="O958" i="44"/>
  <c r="O664" s="1"/>
  <c r="BA180" i="42" s="1"/>
  <c r="O768" i="44"/>
  <c r="O954" i="30"/>
  <c r="O764"/>
  <c r="M228" i="42" s="1"/>
  <c r="K118"/>
  <c r="M593" i="30"/>
  <c r="R322" i="44"/>
  <c r="R371" s="1"/>
  <c r="I232" i="42"/>
  <c r="L838" i="30"/>
  <c r="L723"/>
  <c r="L594"/>
  <c r="L746"/>
  <c r="L815"/>
  <c r="J47" i="42"/>
  <c r="L548" i="30"/>
  <c r="L861"/>
  <c r="L792"/>
  <c r="L700"/>
  <c r="L525"/>
  <c r="L959" i="44"/>
  <c r="L769"/>
  <c r="AX233" i="42" s="1"/>
  <c r="N346" i="44"/>
  <c r="S343"/>
  <c r="I350"/>
  <c r="K348"/>
  <c r="L570"/>
  <c r="M347" i="30"/>
  <c r="N346"/>
  <c r="Q344" i="44"/>
  <c r="M747" i="30" l="1"/>
  <c r="AJ511"/>
  <c r="AK26"/>
  <c r="AJ511" i="44"/>
  <c r="AK26"/>
  <c r="AK25"/>
  <c r="AJ510"/>
  <c r="AK23" i="30"/>
  <c r="AJ508"/>
  <c r="AK25"/>
  <c r="AJ510"/>
  <c r="M595"/>
  <c r="M724"/>
  <c r="D589" i="44"/>
  <c r="AJ497"/>
  <c r="AK12"/>
  <c r="AJ497" i="30"/>
  <c r="AK12"/>
  <c r="M816"/>
  <c r="M701"/>
  <c r="M960" s="1"/>
  <c r="J770"/>
  <c r="H234" i="42" s="1"/>
  <c r="M862" i="30"/>
  <c r="M839"/>
  <c r="K48" i="42"/>
  <c r="M549" i="30"/>
  <c r="M526"/>
  <c r="J378"/>
  <c r="J794" s="1"/>
  <c r="K377"/>
  <c r="K793" s="1"/>
  <c r="L377"/>
  <c r="L862" s="1"/>
  <c r="AM20" i="44"/>
  <c r="AL505"/>
  <c r="I573"/>
  <c r="AU122" i="42" s="1"/>
  <c r="I334" i="30"/>
  <c r="I370" s="1"/>
  <c r="I956"/>
  <c r="I766"/>
  <c r="G230" i="42" s="1"/>
  <c r="I567" i="30"/>
  <c r="AK493" i="44"/>
  <c r="AL8"/>
  <c r="AM20" i="30"/>
  <c r="AL505"/>
  <c r="AL494"/>
  <c r="AM9"/>
  <c r="AL499" i="44"/>
  <c r="AM14"/>
  <c r="AL503" i="30"/>
  <c r="AM18"/>
  <c r="AL22"/>
  <c r="AK507"/>
  <c r="AL22" i="44"/>
  <c r="AK507"/>
  <c r="AM494"/>
  <c r="AN9"/>
  <c r="AN13" i="30"/>
  <c r="AM498"/>
  <c r="L570"/>
  <c r="J119" i="42" s="1"/>
  <c r="N593" i="30"/>
  <c r="AJ500"/>
  <c r="AK15"/>
  <c r="AL8"/>
  <c r="AK493"/>
  <c r="AK512"/>
  <c r="AL27"/>
  <c r="AK19"/>
  <c r="AJ504"/>
  <c r="AK512" i="44"/>
  <c r="AL27"/>
  <c r="AJ504"/>
  <c r="AK19"/>
  <c r="AK11" i="30"/>
  <c r="AJ28"/>
  <c r="AJ496"/>
  <c r="AK11" i="44"/>
  <c r="AJ28"/>
  <c r="AJ496"/>
  <c r="AJ506" i="30"/>
  <c r="AK21"/>
  <c r="AN13" i="44"/>
  <c r="AM498"/>
  <c r="AN14" i="30"/>
  <c r="AM499"/>
  <c r="AN21" i="44"/>
  <c r="AM506"/>
  <c r="AN10"/>
  <c r="AM495"/>
  <c r="AM508"/>
  <c r="AN23"/>
  <c r="AO18"/>
  <c r="AN503"/>
  <c r="AN16"/>
  <c r="AM501"/>
  <c r="AM502"/>
  <c r="AN17"/>
  <c r="AM500"/>
  <c r="AN15"/>
  <c r="AM502" i="30"/>
  <c r="AN17"/>
  <c r="G345"/>
  <c r="G324" s="1"/>
  <c r="D345" i="44"/>
  <c r="D324" s="1"/>
  <c r="D376" s="1"/>
  <c r="E348" i="30"/>
  <c r="G345" i="44"/>
  <c r="F345" i="30"/>
  <c r="H345" i="44"/>
  <c r="H324" s="1"/>
  <c r="H376" s="1"/>
  <c r="AR114" i="42"/>
  <c r="F589" i="44"/>
  <c r="D959" i="30"/>
  <c r="D769"/>
  <c r="B233" i="42" s="1"/>
  <c r="E327" i="30"/>
  <c r="E379" s="1"/>
  <c r="F594" i="44"/>
  <c r="F792"/>
  <c r="F548"/>
  <c r="F746"/>
  <c r="F723"/>
  <c r="F525"/>
  <c r="F815"/>
  <c r="F700"/>
  <c r="AR47" i="42"/>
  <c r="F838" i="44"/>
  <c r="F861"/>
  <c r="H524" i="30"/>
  <c r="H860"/>
  <c r="F46" i="42"/>
  <c r="H593" i="30"/>
  <c r="H699"/>
  <c r="H547"/>
  <c r="H814"/>
  <c r="H791"/>
  <c r="H837"/>
  <c r="H745"/>
  <c r="H722"/>
  <c r="G324" i="44"/>
  <c r="G376" s="1"/>
  <c r="E114" i="42"/>
  <c r="G589" i="30"/>
  <c r="E960"/>
  <c r="E770"/>
  <c r="C234" i="42" s="1"/>
  <c r="B232"/>
  <c r="F569" i="44"/>
  <c r="AR118" i="42" s="1"/>
  <c r="F662" i="44"/>
  <c r="AR178" i="42" s="1"/>
  <c r="E748" i="44"/>
  <c r="E550"/>
  <c r="E863"/>
  <c r="E817"/>
  <c r="AQ49" i="42"/>
  <c r="E527" i="44"/>
  <c r="E572" s="1"/>
  <c r="AQ121" i="42" s="1"/>
  <c r="E702" i="44"/>
  <c r="E725"/>
  <c r="E596"/>
  <c r="E794"/>
  <c r="E840"/>
  <c r="F722" i="30"/>
  <c r="F593"/>
  <c r="F547"/>
  <c r="F791"/>
  <c r="F814"/>
  <c r="F837"/>
  <c r="F524"/>
  <c r="F569" s="1"/>
  <c r="D118" i="42" s="1"/>
  <c r="F745" i="30"/>
  <c r="F860"/>
  <c r="D46" i="42"/>
  <c r="F699" i="30"/>
  <c r="H791" i="44"/>
  <c r="H931" s="1"/>
  <c r="AT299" i="42" s="1"/>
  <c r="H745" i="44"/>
  <c r="H860"/>
  <c r="H934" s="1"/>
  <c r="AT302" i="42" s="1"/>
  <c r="AT46"/>
  <c r="H837" i="44"/>
  <c r="H933" s="1"/>
  <c r="AT301" i="42" s="1"/>
  <c r="H593" i="44"/>
  <c r="H524"/>
  <c r="H547"/>
  <c r="H663" s="1"/>
  <c r="AT179" i="42" s="1"/>
  <c r="H814" i="44"/>
  <c r="H932" s="1"/>
  <c r="AT300" i="42" s="1"/>
  <c r="H699" i="44"/>
  <c r="H722"/>
  <c r="F114" i="42"/>
  <c r="H589" i="30"/>
  <c r="E863"/>
  <c r="E550"/>
  <c r="E702"/>
  <c r="E794"/>
  <c r="E596"/>
  <c r="C49" i="42"/>
  <c r="E748" i="30"/>
  <c r="E725"/>
  <c r="E527"/>
  <c r="E817"/>
  <c r="E840"/>
  <c r="G593"/>
  <c r="G814"/>
  <c r="G699"/>
  <c r="G524"/>
  <c r="G745"/>
  <c r="E46" i="42"/>
  <c r="G722" i="30"/>
  <c r="G547"/>
  <c r="G860"/>
  <c r="G791"/>
  <c r="G837"/>
  <c r="G791" i="44"/>
  <c r="G931" s="1"/>
  <c r="AS299" i="42" s="1"/>
  <c r="G593" i="44"/>
  <c r="G547"/>
  <c r="G663" s="1"/>
  <c r="AS179" i="42" s="1"/>
  <c r="G814" i="44"/>
  <c r="G932" s="1"/>
  <c r="AS300" i="42" s="1"/>
  <c r="G722" i="44"/>
  <c r="G837"/>
  <c r="G933" s="1"/>
  <c r="AS301" i="42" s="1"/>
  <c r="G524" i="44"/>
  <c r="G745"/>
  <c r="G860"/>
  <c r="G934" s="1"/>
  <c r="AS302" i="42" s="1"/>
  <c r="AS46"/>
  <c r="G699" i="44"/>
  <c r="F589" i="30"/>
  <c r="D114" i="42"/>
  <c r="D325" i="30"/>
  <c r="D377" s="1"/>
  <c r="AS114" i="42"/>
  <c r="G589" i="44"/>
  <c r="F958"/>
  <c r="F664" s="1"/>
  <c r="AR180" i="42" s="1"/>
  <c r="F768" i="44"/>
  <c r="F324" i="30"/>
  <c r="F376" s="1"/>
  <c r="D745" i="44"/>
  <c r="D860"/>
  <c r="D934" s="1"/>
  <c r="AP302" i="42" s="1"/>
  <c r="D524" i="44"/>
  <c r="D593"/>
  <c r="D837"/>
  <c r="D933" s="1"/>
  <c r="AP301" i="42" s="1"/>
  <c r="D547" i="44"/>
  <c r="D663" s="1"/>
  <c r="AP179" i="42" s="1"/>
  <c r="D791" i="44"/>
  <c r="D931" s="1"/>
  <c r="AP299" i="42" s="1"/>
  <c r="AP46"/>
  <c r="D699" i="44"/>
  <c r="D722"/>
  <c r="D814"/>
  <c r="D932" s="1"/>
  <c r="AP300" i="42" s="1"/>
  <c r="D570" i="30"/>
  <c r="B119" i="42" s="1"/>
  <c r="F346" i="44"/>
  <c r="H345" i="30"/>
  <c r="E571"/>
  <c r="C120" i="42" s="1"/>
  <c r="E348" i="44"/>
  <c r="AN495" i="30"/>
  <c r="AO10"/>
  <c r="I772" i="44"/>
  <c r="AU236" i="42" s="1"/>
  <c r="R344" i="44"/>
  <c r="R323" s="1"/>
  <c r="R375" s="1"/>
  <c r="AN24"/>
  <c r="AM509"/>
  <c r="AO501" i="30"/>
  <c r="AP16"/>
  <c r="P346" i="44"/>
  <c r="P325" s="1"/>
  <c r="P377" s="1"/>
  <c r="P400" s="1"/>
  <c r="R604"/>
  <c r="N570"/>
  <c r="AZ119" i="42" s="1"/>
  <c r="K347" i="30"/>
  <c r="K326" s="1"/>
  <c r="K378" s="1"/>
  <c r="L347"/>
  <c r="L326" s="1"/>
  <c r="L378" s="1"/>
  <c r="O345"/>
  <c r="O324" s="1"/>
  <c r="O376" s="1"/>
  <c r="J348"/>
  <c r="J327" s="1"/>
  <c r="J379" s="1"/>
  <c r="M326"/>
  <c r="K327" i="44"/>
  <c r="K379" s="1"/>
  <c r="Q323"/>
  <c r="Q375" s="1"/>
  <c r="N325" i="30"/>
  <c r="AX119" i="42"/>
  <c r="S322" i="44"/>
  <c r="S371" s="1"/>
  <c r="N325"/>
  <c r="N377" s="1"/>
  <c r="N400" s="1"/>
  <c r="K595" i="30"/>
  <c r="L959"/>
  <c r="L769"/>
  <c r="J233" i="42" s="1"/>
  <c r="R718" i="44"/>
  <c r="R695"/>
  <c r="R543"/>
  <c r="R741"/>
  <c r="R520"/>
  <c r="R787"/>
  <c r="BD42" i="42"/>
  <c r="R810" i="44"/>
  <c r="R833"/>
  <c r="R856"/>
  <c r="R394"/>
  <c r="BA118" i="42"/>
  <c r="O593" i="44"/>
  <c r="AB309" i="30"/>
  <c r="AB288" s="1"/>
  <c r="S321"/>
  <c r="S386" s="1"/>
  <c r="V317" i="44"/>
  <c r="V315" i="30"/>
  <c r="V294" s="1"/>
  <c r="Z313" i="44"/>
  <c r="Z292" s="1"/>
  <c r="Y314"/>
  <c r="Y293" s="1"/>
  <c r="X315"/>
  <c r="X294" s="1"/>
  <c r="AA312"/>
  <c r="AA291" s="1"/>
  <c r="AA310" i="30"/>
  <c r="AA289" s="1"/>
  <c r="X313"/>
  <c r="X292" s="1"/>
  <c r="T317"/>
  <c r="W316" i="44"/>
  <c r="W295" s="1"/>
  <c r="Y312" i="30"/>
  <c r="Y291" s="1"/>
  <c r="Z311"/>
  <c r="Z290" s="1"/>
  <c r="T710" i="44"/>
  <c r="T535"/>
  <c r="T756"/>
  <c r="T825"/>
  <c r="T802"/>
  <c r="T409"/>
  <c r="T558"/>
  <c r="T871"/>
  <c r="T848"/>
  <c r="T733"/>
  <c r="BF57" i="42"/>
  <c r="U321" i="44"/>
  <c r="U386" s="1"/>
  <c r="R558" i="30"/>
  <c r="R710"/>
  <c r="R756"/>
  <c r="R825"/>
  <c r="R802"/>
  <c r="P57" i="42"/>
  <c r="R535" i="30"/>
  <c r="R580" s="1"/>
  <c r="P129" i="42" s="1"/>
  <c r="R733" i="30"/>
  <c r="R848"/>
  <c r="R871"/>
  <c r="R409"/>
  <c r="U316"/>
  <c r="U295" s="1"/>
  <c r="W314"/>
  <c r="W293" s="1"/>
  <c r="AB311" i="44"/>
  <c r="AB290" s="1"/>
  <c r="P569"/>
  <c r="P662"/>
  <c r="BB178" i="42" s="1"/>
  <c r="P958" i="44"/>
  <c r="P768"/>
  <c r="O815"/>
  <c r="O723"/>
  <c r="BA47" i="42"/>
  <c r="O861" i="44"/>
  <c r="O548"/>
  <c r="O746"/>
  <c r="O525"/>
  <c r="O570" s="1"/>
  <c r="BA119" i="42" s="1"/>
  <c r="O700" i="44"/>
  <c r="O594"/>
  <c r="O792"/>
  <c r="O838"/>
  <c r="P741" i="30"/>
  <c r="P787"/>
  <c r="P810"/>
  <c r="P856"/>
  <c r="N42" i="42"/>
  <c r="P718" i="30"/>
  <c r="P833"/>
  <c r="P520"/>
  <c r="P543"/>
  <c r="P695"/>
  <c r="P394"/>
  <c r="L724" i="44"/>
  <c r="L701"/>
  <c r="L862"/>
  <c r="L816"/>
  <c r="L839"/>
  <c r="L747"/>
  <c r="L595"/>
  <c r="L526"/>
  <c r="L549"/>
  <c r="AX48" i="42"/>
  <c r="L793" i="44"/>
  <c r="M839"/>
  <c r="M816"/>
  <c r="M595"/>
  <c r="M724"/>
  <c r="M526"/>
  <c r="M793"/>
  <c r="M549"/>
  <c r="AY48" i="42"/>
  <c r="M862" i="44"/>
  <c r="M701"/>
  <c r="M747"/>
  <c r="K959" i="30"/>
  <c r="K769"/>
  <c r="I233" i="42" s="1"/>
  <c r="Q954" i="44"/>
  <c r="Q764"/>
  <c r="BC228" i="42" s="1"/>
  <c r="N959" i="30"/>
  <c r="N769"/>
  <c r="L233" i="42" s="1"/>
  <c r="K771" i="44"/>
  <c r="AW235" i="42" s="1"/>
  <c r="K961" i="44"/>
  <c r="I966"/>
  <c r="I776"/>
  <c r="AU240" i="42" s="1"/>
  <c r="BB114"/>
  <c r="P589" i="44"/>
  <c r="M114" i="42"/>
  <c r="O589" i="30"/>
  <c r="J730" i="44"/>
  <c r="AV54" i="42"/>
  <c r="J601" i="44"/>
  <c r="J799"/>
  <c r="J707"/>
  <c r="J532"/>
  <c r="J868"/>
  <c r="J555"/>
  <c r="J845"/>
  <c r="J753"/>
  <c r="J822"/>
  <c r="AN24" i="30"/>
  <c r="AM509"/>
  <c r="Q520"/>
  <c r="Q718"/>
  <c r="Q787"/>
  <c r="Q833"/>
  <c r="Q741"/>
  <c r="Q856"/>
  <c r="Q543"/>
  <c r="O42" i="42"/>
  <c r="Q810" i="30"/>
  <c r="Q695"/>
  <c r="Q394"/>
  <c r="N959" i="44"/>
  <c r="N769"/>
  <c r="AZ233" i="42" s="1"/>
  <c r="P861" i="44"/>
  <c r="P723"/>
  <c r="P594"/>
  <c r="P838"/>
  <c r="BB47" i="42"/>
  <c r="P700" i="44"/>
  <c r="P746"/>
  <c r="P548"/>
  <c r="P815"/>
  <c r="P525"/>
  <c r="P792"/>
  <c r="J573"/>
  <c r="Q580" i="30"/>
  <c r="I577" i="44"/>
  <c r="I329"/>
  <c r="I384" s="1"/>
  <c r="O930"/>
  <c r="BA298" i="42" s="1"/>
  <c r="BA232"/>
  <c r="J962" i="44"/>
  <c r="J772"/>
  <c r="AV236" i="42" s="1"/>
  <c r="Q779" i="30"/>
  <c r="O243" i="42" s="1"/>
  <c r="Q969" i="30"/>
  <c r="J232" i="42"/>
  <c r="J118"/>
  <c r="L593" i="30"/>
  <c r="Q565" i="44"/>
  <c r="L595" i="30"/>
  <c r="AC310" i="44"/>
  <c r="AC289" s="1"/>
  <c r="AC308" i="30"/>
  <c r="AC287" s="1"/>
  <c r="L232" i="42"/>
  <c r="S779" i="44"/>
  <c r="BE243" i="42" s="1"/>
  <c r="S969" i="44"/>
  <c r="O524" i="30"/>
  <c r="O722"/>
  <c r="M46" i="42"/>
  <c r="O860" i="30"/>
  <c r="O745"/>
  <c r="O837"/>
  <c r="O547"/>
  <c r="O791"/>
  <c r="O814"/>
  <c r="O699"/>
  <c r="O398"/>
  <c r="T343" i="44"/>
  <c r="R343" i="30"/>
  <c r="O346" i="44"/>
  <c r="P344" i="30"/>
  <c r="L347" i="44"/>
  <c r="M347"/>
  <c r="K570" i="30"/>
  <c r="N570"/>
  <c r="L119" i="42" s="1"/>
  <c r="K572" i="44"/>
  <c r="J350"/>
  <c r="Q344" i="30"/>
  <c r="S580" i="44"/>
  <c r="J840" i="30" l="1"/>
  <c r="L724"/>
  <c r="AK510"/>
  <c r="AL25"/>
  <c r="AL23"/>
  <c r="AK508"/>
  <c r="AK510" i="44"/>
  <c r="AL25"/>
  <c r="AK511"/>
  <c r="AL26"/>
  <c r="AL26" i="30"/>
  <c r="AK511"/>
  <c r="J748"/>
  <c r="J863"/>
  <c r="L526"/>
  <c r="M770"/>
  <c r="K234" i="42" s="1"/>
  <c r="J702" i="30"/>
  <c r="J961" s="1"/>
  <c r="J725"/>
  <c r="J550"/>
  <c r="L549"/>
  <c r="L816"/>
  <c r="I48" i="42"/>
  <c r="K549" i="30"/>
  <c r="AK497"/>
  <c r="AL12"/>
  <c r="AK497" i="44"/>
  <c r="AL12"/>
  <c r="J527" i="30"/>
  <c r="J817"/>
  <c r="J596"/>
  <c r="H49" i="42"/>
  <c r="L747" i="30"/>
  <c r="L793"/>
  <c r="L701"/>
  <c r="L960" s="1"/>
  <c r="L839"/>
  <c r="J48" i="42"/>
  <c r="M571" i="30"/>
  <c r="K120" i="42" s="1"/>
  <c r="K862" i="30"/>
  <c r="K816"/>
  <c r="K839"/>
  <c r="K701"/>
  <c r="K960" s="1"/>
  <c r="K724"/>
  <c r="K526"/>
  <c r="K571" s="1"/>
  <c r="K747"/>
  <c r="N377"/>
  <c r="N595" s="1"/>
  <c r="M378"/>
  <c r="M702" s="1"/>
  <c r="P570" i="44"/>
  <c r="BB119" i="42" s="1"/>
  <c r="AM505" i="44"/>
  <c r="AN20"/>
  <c r="I809" i="30"/>
  <c r="I519"/>
  <c r="G41" i="42"/>
  <c r="I786" i="30"/>
  <c r="I740"/>
  <c r="I393"/>
  <c r="I442" s="1"/>
  <c r="CC73" i="42" s="1"/>
  <c r="I694" i="30"/>
  <c r="I855"/>
  <c r="I542"/>
  <c r="I717"/>
  <c r="I832"/>
  <c r="I356"/>
  <c r="G116" i="42"/>
  <c r="I591" i="30"/>
  <c r="AM8" i="44"/>
  <c r="AL493"/>
  <c r="AM505" i="30"/>
  <c r="AN20"/>
  <c r="AM494"/>
  <c r="AN9"/>
  <c r="AM503"/>
  <c r="AN18"/>
  <c r="AM499" i="44"/>
  <c r="AN14"/>
  <c r="AL507"/>
  <c r="AM22"/>
  <c r="AM22" i="30"/>
  <c r="AL507"/>
  <c r="AO9" i="44"/>
  <c r="AN494"/>
  <c r="AO13" i="30"/>
  <c r="AN498"/>
  <c r="AK504"/>
  <c r="AL19"/>
  <c r="AL493"/>
  <c r="AM8"/>
  <c r="AL19" i="44"/>
  <c r="AK504"/>
  <c r="AL512"/>
  <c r="AM27"/>
  <c r="AL512" i="30"/>
  <c r="AM27"/>
  <c r="AK500"/>
  <c r="AL15"/>
  <c r="AL11"/>
  <c r="AK28"/>
  <c r="AK496"/>
  <c r="AL21"/>
  <c r="AK506"/>
  <c r="AL11" i="44"/>
  <c r="AK28"/>
  <c r="AK496"/>
  <c r="AO14" i="30"/>
  <c r="AN499"/>
  <c r="AO13" i="44"/>
  <c r="AN498"/>
  <c r="AO21"/>
  <c r="AN506"/>
  <c r="AN501"/>
  <c r="AO16"/>
  <c r="AP18"/>
  <c r="AO503"/>
  <c r="AN495"/>
  <c r="AO10"/>
  <c r="AN502" i="30"/>
  <c r="AO17"/>
  <c r="AN500" i="44"/>
  <c r="AO15"/>
  <c r="AO17"/>
  <c r="AN502"/>
  <c r="AN508"/>
  <c r="AO23"/>
  <c r="E349" i="30"/>
  <c r="E328" s="1"/>
  <c r="E383" s="1"/>
  <c r="G376"/>
  <c r="G700" s="1"/>
  <c r="G346"/>
  <c r="G325" s="1"/>
  <c r="G377" s="1"/>
  <c r="D346" i="44"/>
  <c r="D325" s="1"/>
  <c r="D377" s="1"/>
  <c r="G346"/>
  <c r="G325" s="1"/>
  <c r="G377" s="1"/>
  <c r="F325"/>
  <c r="F377" s="1"/>
  <c r="H594"/>
  <c r="H700"/>
  <c r="H815"/>
  <c r="H548"/>
  <c r="H792"/>
  <c r="H861"/>
  <c r="H525"/>
  <c r="H746"/>
  <c r="H838"/>
  <c r="AT47" i="42"/>
  <c r="H723" i="44"/>
  <c r="D958"/>
  <c r="D664" s="1"/>
  <c r="AP180" i="42" s="1"/>
  <c r="D768" i="44"/>
  <c r="D569"/>
  <c r="AP118" i="42" s="1"/>
  <c r="D662" i="44"/>
  <c r="AP178" i="42" s="1"/>
  <c r="F594" i="30"/>
  <c r="F746"/>
  <c r="F525"/>
  <c r="F723"/>
  <c r="F815"/>
  <c r="D47" i="42"/>
  <c r="F700" i="30"/>
  <c r="F838"/>
  <c r="F548"/>
  <c r="F861"/>
  <c r="F792"/>
  <c r="D526"/>
  <c r="D816"/>
  <c r="D839"/>
  <c r="D549"/>
  <c r="B48" i="42"/>
  <c r="D724" i="30"/>
  <c r="D701"/>
  <c r="D595"/>
  <c r="D793"/>
  <c r="D747"/>
  <c r="D862"/>
  <c r="G958"/>
  <c r="G768"/>
  <c r="H569" i="44"/>
  <c r="AT118" i="42" s="1"/>
  <c r="H662" i="44"/>
  <c r="AT178" i="42" s="1"/>
  <c r="D525" i="44"/>
  <c r="D746"/>
  <c r="D700"/>
  <c r="AP47" i="42"/>
  <c r="D723" i="44"/>
  <c r="D861"/>
  <c r="D594"/>
  <c r="D815"/>
  <c r="D792"/>
  <c r="D548"/>
  <c r="D838"/>
  <c r="E961"/>
  <c r="E771"/>
  <c r="AQ235" i="42" s="1"/>
  <c r="AS47"/>
  <c r="G700" i="44"/>
  <c r="G838"/>
  <c r="G548"/>
  <c r="G815"/>
  <c r="G525"/>
  <c r="G570" s="1"/>
  <c r="AS119" i="42" s="1"/>
  <c r="G746" i="44"/>
  <c r="G792"/>
  <c r="G594"/>
  <c r="G723"/>
  <c r="G861"/>
  <c r="E841" i="30"/>
  <c r="E528"/>
  <c r="E795"/>
  <c r="E749"/>
  <c r="C50" i="42"/>
  <c r="E551" i="30"/>
  <c r="E818"/>
  <c r="E726"/>
  <c r="E597"/>
  <c r="E864"/>
  <c r="E703"/>
  <c r="E327" i="44"/>
  <c r="E379" s="1"/>
  <c r="H324" i="30"/>
  <c r="H376" s="1"/>
  <c r="F930" i="44"/>
  <c r="AR298" i="42" s="1"/>
  <c r="AR232"/>
  <c r="G958" i="44"/>
  <c r="G664" s="1"/>
  <c r="AS180" i="42" s="1"/>
  <c r="G768" i="44"/>
  <c r="G569"/>
  <c r="AS118" i="42" s="1"/>
  <c r="G662" i="44"/>
  <c r="AS178" i="42" s="1"/>
  <c r="E961" i="30"/>
  <c r="E771"/>
  <c r="C235" i="42" s="1"/>
  <c r="H958" i="44"/>
  <c r="H664" s="1"/>
  <c r="AT180" i="42" s="1"/>
  <c r="H768" i="44"/>
  <c r="F958" i="30"/>
  <c r="F768"/>
  <c r="H958"/>
  <c r="H768"/>
  <c r="F959" i="44"/>
  <c r="F769"/>
  <c r="AR233" i="42" s="1"/>
  <c r="H346" i="44"/>
  <c r="F346" i="30"/>
  <c r="D347"/>
  <c r="G569"/>
  <c r="E118" i="42" s="1"/>
  <c r="E572" i="30"/>
  <c r="C121" i="42" s="1"/>
  <c r="H569" i="30"/>
  <c r="F118" i="42" s="1"/>
  <c r="F570" i="44"/>
  <c r="AR119" i="42" s="1"/>
  <c r="AO495" i="30"/>
  <c r="AP10"/>
  <c r="AN509" i="44"/>
  <c r="AO24"/>
  <c r="I351"/>
  <c r="I330" s="1"/>
  <c r="I385" s="1"/>
  <c r="U343"/>
  <c r="U322" s="1"/>
  <c r="U371" s="1"/>
  <c r="T580"/>
  <c r="N347"/>
  <c r="N326" s="1"/>
  <c r="N378" s="1"/>
  <c r="S344"/>
  <c r="S323" s="1"/>
  <c r="S375" s="1"/>
  <c r="AQ16" i="30"/>
  <c r="AP501"/>
  <c r="M348"/>
  <c r="M327" s="1"/>
  <c r="M379" s="1"/>
  <c r="R345" i="44"/>
  <c r="R324" s="1"/>
  <c r="R376" s="1"/>
  <c r="R399" s="1"/>
  <c r="K348" i="30"/>
  <c r="K327" s="1"/>
  <c r="K379" s="1"/>
  <c r="AW121" i="42"/>
  <c r="I119"/>
  <c r="P323" i="30"/>
  <c r="P375" s="1"/>
  <c r="P701" i="44"/>
  <c r="P549"/>
  <c r="P816"/>
  <c r="P793"/>
  <c r="P724"/>
  <c r="BB48" i="42"/>
  <c r="P862" i="44"/>
  <c r="P839"/>
  <c r="P526"/>
  <c r="P747"/>
  <c r="AC309" i="30"/>
  <c r="AC288" s="1"/>
  <c r="AC311" i="44"/>
  <c r="AC290" s="1"/>
  <c r="BC114" i="42"/>
  <c r="Q589" i="44"/>
  <c r="O129" i="42"/>
  <c r="Q604" i="30"/>
  <c r="J818"/>
  <c r="J703"/>
  <c r="J551"/>
  <c r="J795"/>
  <c r="H50" i="42"/>
  <c r="J841" i="30"/>
  <c r="J528"/>
  <c r="J573" s="1"/>
  <c r="J597"/>
  <c r="J726"/>
  <c r="J864"/>
  <c r="J749"/>
  <c r="J966" i="44"/>
  <c r="J776"/>
  <c r="AV240" i="42" s="1"/>
  <c r="L725" i="30"/>
  <c r="L863"/>
  <c r="L550"/>
  <c r="L748"/>
  <c r="L794"/>
  <c r="L840"/>
  <c r="L817"/>
  <c r="L527"/>
  <c r="L702"/>
  <c r="J49" i="42"/>
  <c r="L596" i="30"/>
  <c r="M960" i="44"/>
  <c r="M770"/>
  <c r="AY234" i="42" s="1"/>
  <c r="P954" i="30"/>
  <c r="P764"/>
  <c r="N228" i="42" s="1"/>
  <c r="P565" i="30"/>
  <c r="O959" i="44"/>
  <c r="O769"/>
  <c r="BA233" i="42" s="1"/>
  <c r="P930" i="44"/>
  <c r="BB298" i="42" s="1"/>
  <c r="BB232"/>
  <c r="R969" i="30"/>
  <c r="R779"/>
  <c r="P243" i="42" s="1"/>
  <c r="S733" i="30"/>
  <c r="S756"/>
  <c r="S848"/>
  <c r="S535"/>
  <c r="S710"/>
  <c r="S825"/>
  <c r="S871"/>
  <c r="Q57" i="42"/>
  <c r="S802" i="30"/>
  <c r="S558"/>
  <c r="S409"/>
  <c r="R565" i="44"/>
  <c r="Q860"/>
  <c r="Q934" s="1"/>
  <c r="BC302" i="42" s="1"/>
  <c r="Q791" i="44"/>
  <c r="Q931" s="1"/>
  <c r="BC299" i="42" s="1"/>
  <c r="Q837" i="44"/>
  <c r="Q933" s="1"/>
  <c r="BC301" i="42" s="1"/>
  <c r="Q547" i="44"/>
  <c r="Q663" s="1"/>
  <c r="BC179" i="42" s="1"/>
  <c r="Q745" i="44"/>
  <c r="Q814"/>
  <c r="Q932" s="1"/>
  <c r="BC300" i="42" s="1"/>
  <c r="Q699" i="44"/>
  <c r="Q524"/>
  <c r="Q722"/>
  <c r="BC46" i="42"/>
  <c r="Q398" i="44"/>
  <c r="K749"/>
  <c r="K841"/>
  <c r="K703"/>
  <c r="K551"/>
  <c r="K528"/>
  <c r="AW50" i="42"/>
  <c r="K597" i="44"/>
  <c r="K818"/>
  <c r="K795"/>
  <c r="K864"/>
  <c r="K726"/>
  <c r="R604" i="30"/>
  <c r="BE129" i="42"/>
  <c r="S604" i="44"/>
  <c r="M326"/>
  <c r="M378" s="1"/>
  <c r="R322" i="30"/>
  <c r="R371" s="1"/>
  <c r="M47" i="42"/>
  <c r="O723" i="30"/>
  <c r="O525"/>
  <c r="O548"/>
  <c r="O861"/>
  <c r="O792"/>
  <c r="O700"/>
  <c r="O815"/>
  <c r="O746"/>
  <c r="O594"/>
  <c r="O838"/>
  <c r="P959" i="44"/>
  <c r="P769"/>
  <c r="BB233" i="42" s="1"/>
  <c r="Q323" i="30"/>
  <c r="Q375" s="1"/>
  <c r="J329" i="44"/>
  <c r="J384" s="1"/>
  <c r="L326"/>
  <c r="L378" s="1"/>
  <c r="O325"/>
  <c r="O377" s="1"/>
  <c r="O400" s="1"/>
  <c r="T322"/>
  <c r="T371" s="1"/>
  <c r="O958" i="30"/>
  <c r="O768"/>
  <c r="BD46" i="42"/>
  <c r="R547" i="44"/>
  <c r="R663" s="1"/>
  <c r="BD179" i="42" s="1"/>
  <c r="R860" i="44"/>
  <c r="R934" s="1"/>
  <c r="BD302" i="42" s="1"/>
  <c r="R791" i="44"/>
  <c r="R931" s="1"/>
  <c r="BD299" i="42" s="1"/>
  <c r="R398" i="44"/>
  <c r="R524"/>
  <c r="R745"/>
  <c r="R814"/>
  <c r="R932" s="1"/>
  <c r="BD300" i="42" s="1"/>
  <c r="R837" i="44"/>
  <c r="R933" s="1"/>
  <c r="BD301" i="42" s="1"/>
  <c r="R699" i="44"/>
  <c r="R722"/>
  <c r="K794" i="30"/>
  <c r="K840"/>
  <c r="K817"/>
  <c r="K702"/>
  <c r="K863"/>
  <c r="K725"/>
  <c r="K550"/>
  <c r="K748"/>
  <c r="I49" i="42"/>
  <c r="K527" i="30"/>
  <c r="K596"/>
  <c r="I556" i="44"/>
  <c r="I708"/>
  <c r="I602"/>
  <c r="I800"/>
  <c r="I731"/>
  <c r="I754"/>
  <c r="AU55" i="42"/>
  <c r="I846" i="44"/>
  <c r="I823"/>
  <c r="I869"/>
  <c r="I533"/>
  <c r="I578" s="1"/>
  <c r="AU126" i="42"/>
  <c r="AV122"/>
  <c r="Q954" i="30"/>
  <c r="Q764"/>
  <c r="O228" i="42" s="1"/>
  <c r="Q565" i="30"/>
  <c r="AO24"/>
  <c r="AN509"/>
  <c r="L960" i="44"/>
  <c r="L770"/>
  <c r="AX234" i="42" s="1"/>
  <c r="P664" i="44"/>
  <c r="BB180" i="42" s="1"/>
  <c r="BB118"/>
  <c r="P593" i="44"/>
  <c r="AB312"/>
  <c r="AB291" s="1"/>
  <c r="W315" i="30"/>
  <c r="W294" s="1"/>
  <c r="U317"/>
  <c r="BG57" i="42"/>
  <c r="U802" i="44"/>
  <c r="U535"/>
  <c r="U848"/>
  <c r="U756"/>
  <c r="U558"/>
  <c r="U871"/>
  <c r="U825"/>
  <c r="U733"/>
  <c r="U710"/>
  <c r="U409"/>
  <c r="T969"/>
  <c r="T779"/>
  <c r="BF243" i="42" s="1"/>
  <c r="Z312" i="30"/>
  <c r="Z291" s="1"/>
  <c r="Y313"/>
  <c r="Y292" s="1"/>
  <c r="W317" i="44"/>
  <c r="T321" i="30"/>
  <c r="T386" s="1"/>
  <c r="X314"/>
  <c r="X293" s="1"/>
  <c r="AA311"/>
  <c r="AA290" s="1"/>
  <c r="AA313" i="44"/>
  <c r="AA292" s="1"/>
  <c r="X316"/>
  <c r="X295" s="1"/>
  <c r="Y315"/>
  <c r="Y294" s="1"/>
  <c r="Z314"/>
  <c r="Z293" s="1"/>
  <c r="V316" i="30"/>
  <c r="V295" s="1"/>
  <c r="V321" i="44"/>
  <c r="V386" s="1"/>
  <c r="AB310" i="30"/>
  <c r="AB289" s="1"/>
  <c r="R764" i="44"/>
  <c r="BD228" i="42" s="1"/>
  <c r="R954" i="44"/>
  <c r="N701"/>
  <c r="N816"/>
  <c r="N724"/>
  <c r="N839"/>
  <c r="N793"/>
  <c r="N747"/>
  <c r="AZ48" i="42"/>
  <c r="N549" i="44"/>
  <c r="N526"/>
  <c r="N862"/>
  <c r="BE42" i="42"/>
  <c r="S787" i="44"/>
  <c r="S833"/>
  <c r="S543"/>
  <c r="S520"/>
  <c r="S810"/>
  <c r="S856"/>
  <c r="S741"/>
  <c r="S718"/>
  <c r="S695"/>
  <c r="S394"/>
  <c r="O569" i="30"/>
  <c r="P347" i="44"/>
  <c r="J349" i="30"/>
  <c r="O346"/>
  <c r="J577" i="44"/>
  <c r="AV126" i="42" s="1"/>
  <c r="L348" i="30"/>
  <c r="M571" i="44"/>
  <c r="AY120" i="42" s="1"/>
  <c r="L571" i="44"/>
  <c r="S343" i="30"/>
  <c r="N347"/>
  <c r="Q345" i="44"/>
  <c r="K349"/>
  <c r="N747" i="30" l="1"/>
  <c r="AM26"/>
  <c r="AL511"/>
  <c r="AM23"/>
  <c r="AL508"/>
  <c r="AM26" i="44"/>
  <c r="AL511"/>
  <c r="AL510"/>
  <c r="AM25"/>
  <c r="AL510" i="30"/>
  <c r="AM25"/>
  <c r="L48" i="42"/>
  <c r="J771" i="30"/>
  <c r="H235" i="42" s="1"/>
  <c r="N549" i="30"/>
  <c r="N724"/>
  <c r="N839"/>
  <c r="L571"/>
  <c r="J120" i="42" s="1"/>
  <c r="N793" i="30"/>
  <c r="N526"/>
  <c r="N862"/>
  <c r="N701"/>
  <c r="N960" s="1"/>
  <c r="N816"/>
  <c r="J572"/>
  <c r="H121" i="42" s="1"/>
  <c r="K770" i="30"/>
  <c r="I234" i="42" s="1"/>
  <c r="M748" i="30"/>
  <c r="AL497" i="44"/>
  <c r="AM12"/>
  <c r="AL497" i="30"/>
  <c r="AM12"/>
  <c r="M596"/>
  <c r="L770"/>
  <c r="J234" i="42" s="1"/>
  <c r="K49"/>
  <c r="M863" i="30"/>
  <c r="M794"/>
  <c r="M840"/>
  <c r="M817"/>
  <c r="M550"/>
  <c r="M527"/>
  <c r="M725"/>
  <c r="M771" s="1"/>
  <c r="K235" i="42" s="1"/>
  <c r="P571" i="44"/>
  <c r="BB120" i="42" s="1"/>
  <c r="G861" i="30"/>
  <c r="AN505" i="44"/>
  <c r="AO20"/>
  <c r="I335" i="30"/>
  <c r="I367" s="1"/>
  <c r="I953"/>
  <c r="I763"/>
  <c r="G227" i="42" s="1"/>
  <c r="I564" i="30"/>
  <c r="AM493" i="44"/>
  <c r="AN8"/>
  <c r="G792" i="30"/>
  <c r="E47" i="42"/>
  <c r="AN505" i="30"/>
  <c r="AO20"/>
  <c r="AN494"/>
  <c r="AO9"/>
  <c r="AN499" i="44"/>
  <c r="AO14"/>
  <c r="AO18" i="30"/>
  <c r="AN503"/>
  <c r="G548"/>
  <c r="G815"/>
  <c r="G594"/>
  <c r="G746"/>
  <c r="G838"/>
  <c r="G525"/>
  <c r="G723"/>
  <c r="AM507"/>
  <c r="AN22"/>
  <c r="AN22" i="44"/>
  <c r="AM507"/>
  <c r="AP9"/>
  <c r="AO494"/>
  <c r="AP13" i="30"/>
  <c r="AO498"/>
  <c r="AM19" i="44"/>
  <c r="AL504"/>
  <c r="AM15" i="30"/>
  <c r="AL500"/>
  <c r="AN27"/>
  <c r="AM512"/>
  <c r="AM512" i="44"/>
  <c r="AN27"/>
  <c r="AM493" i="30"/>
  <c r="AN8"/>
  <c r="AL504"/>
  <c r="AM19"/>
  <c r="AM11"/>
  <c r="AL496"/>
  <c r="AL28"/>
  <c r="AM11" i="44"/>
  <c r="AL496"/>
  <c r="AL28"/>
  <c r="AL506" i="30"/>
  <c r="AM21"/>
  <c r="AP13" i="44"/>
  <c r="AO498"/>
  <c r="AP14" i="30"/>
  <c r="AO499"/>
  <c r="AO506" i="44"/>
  <c r="AP21"/>
  <c r="AO502"/>
  <c r="AP17"/>
  <c r="AP503"/>
  <c r="AQ18"/>
  <c r="AO508"/>
  <c r="AP23"/>
  <c r="AP15"/>
  <c r="AO500"/>
  <c r="AO502" i="30"/>
  <c r="AP17"/>
  <c r="AP10" i="44"/>
  <c r="AO495"/>
  <c r="AP16"/>
  <c r="AO501"/>
  <c r="G347" i="30"/>
  <c r="G326" s="1"/>
  <c r="G378" s="1"/>
  <c r="D571"/>
  <c r="B120" i="42" s="1"/>
  <c r="H570" i="44"/>
  <c r="AT119" i="42" s="1"/>
  <c r="F347" i="44"/>
  <c r="E350" i="30"/>
  <c r="E329" s="1"/>
  <c r="E384" s="1"/>
  <c r="G347" i="44"/>
  <c r="F325" i="30"/>
  <c r="F377" s="1"/>
  <c r="G326" i="44"/>
  <c r="G378" s="1"/>
  <c r="D526"/>
  <c r="D816"/>
  <c r="D839"/>
  <c r="AP48" i="42"/>
  <c r="D549" i="44"/>
  <c r="D701"/>
  <c r="D862"/>
  <c r="D595"/>
  <c r="D793"/>
  <c r="D724"/>
  <c r="D747"/>
  <c r="F47" i="42"/>
  <c r="H838" i="30"/>
  <c r="H815"/>
  <c r="H525"/>
  <c r="H792"/>
  <c r="H594"/>
  <c r="H700"/>
  <c r="H746"/>
  <c r="H548"/>
  <c r="H861"/>
  <c r="H723"/>
  <c r="AQ50" i="42"/>
  <c r="E703" i="44"/>
  <c r="E749"/>
  <c r="E726"/>
  <c r="E551"/>
  <c r="E818"/>
  <c r="E795"/>
  <c r="E597"/>
  <c r="E528"/>
  <c r="E573" s="1"/>
  <c r="AQ122" i="42" s="1"/>
  <c r="E841" i="44"/>
  <c r="E864"/>
  <c r="E232" i="42"/>
  <c r="D960" i="30"/>
  <c r="D770"/>
  <c r="B234" i="42" s="1"/>
  <c r="D930" i="44"/>
  <c r="AP298" i="42" s="1"/>
  <c r="AP232"/>
  <c r="AR48"/>
  <c r="F793" i="44"/>
  <c r="F816"/>
  <c r="F747"/>
  <c r="F595"/>
  <c r="F724"/>
  <c r="F862"/>
  <c r="F526"/>
  <c r="F839"/>
  <c r="F701"/>
  <c r="F549"/>
  <c r="E573" i="30"/>
  <c r="C122" i="42" s="1"/>
  <c r="D326" i="30"/>
  <c r="D378" s="1"/>
  <c r="H325" i="44"/>
  <c r="H377" s="1"/>
  <c r="E601" i="30"/>
  <c r="C54" i="42"/>
  <c r="E707" i="30"/>
  <c r="E730"/>
  <c r="E845"/>
  <c r="E555"/>
  <c r="E532"/>
  <c r="E822"/>
  <c r="E868"/>
  <c r="E753"/>
  <c r="E799"/>
  <c r="G959"/>
  <c r="G769"/>
  <c r="E233" i="42" s="1"/>
  <c r="F232"/>
  <c r="G724" i="44"/>
  <c r="G549"/>
  <c r="G816"/>
  <c r="G747"/>
  <c r="G862"/>
  <c r="G595"/>
  <c r="G839"/>
  <c r="G793"/>
  <c r="AS48" i="42"/>
  <c r="G526" i="44"/>
  <c r="G571" s="1"/>
  <c r="AS120" i="42" s="1"/>
  <c r="G701" i="44"/>
  <c r="D232" i="42"/>
  <c r="H930" i="44"/>
  <c r="AT298" i="42" s="1"/>
  <c r="AT232"/>
  <c r="G930" i="44"/>
  <c r="AS298" i="42" s="1"/>
  <c r="AS232"/>
  <c r="E962" i="30"/>
  <c r="E772"/>
  <c r="C236" i="42" s="1"/>
  <c r="G526" i="30"/>
  <c r="G595"/>
  <c r="G839"/>
  <c r="G862"/>
  <c r="G549"/>
  <c r="G793"/>
  <c r="G701"/>
  <c r="G747"/>
  <c r="E48" i="42"/>
  <c r="G816" i="30"/>
  <c r="G724"/>
  <c r="G959" i="44"/>
  <c r="G769"/>
  <c r="AS233" i="42" s="1"/>
  <c r="D959" i="44"/>
  <c r="D769"/>
  <c r="AP233" i="42" s="1"/>
  <c r="F959" i="30"/>
  <c r="F769"/>
  <c r="D233" i="42" s="1"/>
  <c r="H959" i="44"/>
  <c r="H769"/>
  <c r="AT233" i="42" s="1"/>
  <c r="F326" i="44"/>
  <c r="F378" s="1"/>
  <c r="G570" i="30"/>
  <c r="E119" i="42" s="1"/>
  <c r="D347" i="44"/>
  <c r="H346" i="30"/>
  <c r="E349" i="44"/>
  <c r="D570"/>
  <c r="AP119" i="42" s="1"/>
  <c r="F570" i="30"/>
  <c r="D119" i="42" s="1"/>
  <c r="N571" i="44"/>
  <c r="AQ10" i="30"/>
  <c r="AP495"/>
  <c r="N348" i="44"/>
  <c r="N327" s="1"/>
  <c r="N379" s="1"/>
  <c r="AO509"/>
  <c r="AP24"/>
  <c r="BF129" i="42"/>
  <c r="T604" i="44"/>
  <c r="AQ501" i="30"/>
  <c r="AR16"/>
  <c r="K572"/>
  <c r="I121" i="42" s="1"/>
  <c r="K573" i="44"/>
  <c r="AW122" i="42" s="1"/>
  <c r="S580" i="30"/>
  <c r="T343"/>
  <c r="T322" s="1"/>
  <c r="T371" s="1"/>
  <c r="T344" i="44"/>
  <c r="T323" s="1"/>
  <c r="T375" s="1"/>
  <c r="O347"/>
  <c r="O326" s="1"/>
  <c r="O378" s="1"/>
  <c r="L348"/>
  <c r="L327" s="1"/>
  <c r="L379" s="1"/>
  <c r="O570" i="30"/>
  <c r="M119" i="42" s="1"/>
  <c r="I352" i="44"/>
  <c r="I331" s="1"/>
  <c r="I372" s="1"/>
  <c r="K349" i="30"/>
  <c r="K328" s="1"/>
  <c r="K383" s="1"/>
  <c r="R344"/>
  <c r="R323" s="1"/>
  <c r="R375" s="1"/>
  <c r="S345" i="44"/>
  <c r="S324" s="1"/>
  <c r="S376" s="1"/>
  <c r="S399" s="1"/>
  <c r="K328"/>
  <c r="K383" s="1"/>
  <c r="I120" i="42"/>
  <c r="S322" i="30"/>
  <c r="S371" s="1"/>
  <c r="AX120" i="42"/>
  <c r="J328" i="30"/>
  <c r="P326" i="44"/>
  <c r="P378" s="1"/>
  <c r="Q324"/>
  <c r="Q376" s="1"/>
  <c r="L327" i="30"/>
  <c r="O325"/>
  <c r="M118" i="42"/>
  <c r="O593" i="30"/>
  <c r="S565" i="44"/>
  <c r="AB311" i="30"/>
  <c r="AB290" s="1"/>
  <c r="V317"/>
  <c r="Z315" i="44"/>
  <c r="Z294" s="1"/>
  <c r="Y316"/>
  <c r="Y295" s="1"/>
  <c r="X317"/>
  <c r="AA314"/>
  <c r="AA293" s="1"/>
  <c r="AA312" i="30"/>
  <c r="AA291" s="1"/>
  <c r="X315"/>
  <c r="X294" s="1"/>
  <c r="T558"/>
  <c r="T848"/>
  <c r="T871"/>
  <c r="T802"/>
  <c r="T710"/>
  <c r="R57" i="42"/>
  <c r="T733" i="30"/>
  <c r="T535"/>
  <c r="T825"/>
  <c r="T756"/>
  <c r="T409"/>
  <c r="W321" i="44"/>
  <c r="W386" s="1"/>
  <c r="Y314" i="30"/>
  <c r="Y293" s="1"/>
  <c r="Z313"/>
  <c r="Z292" s="1"/>
  <c r="U969" i="44"/>
  <c r="U779"/>
  <c r="BG243" i="42" s="1"/>
  <c r="U321" i="30"/>
  <c r="U386" s="1"/>
  <c r="W316"/>
  <c r="W295" s="1"/>
  <c r="AB313" i="44"/>
  <c r="AB292" s="1"/>
  <c r="AO509" i="30"/>
  <c r="AP24"/>
  <c r="I777" i="44"/>
  <c r="AU241" i="42" s="1"/>
  <c r="I967" i="44"/>
  <c r="T833"/>
  <c r="T695"/>
  <c r="T810"/>
  <c r="T787"/>
  <c r="T718"/>
  <c r="T394"/>
  <c r="T856"/>
  <c r="T741"/>
  <c r="T543"/>
  <c r="BF42" i="42"/>
  <c r="T520" i="44"/>
  <c r="O793"/>
  <c r="O701"/>
  <c r="O549"/>
  <c r="O724"/>
  <c r="O862"/>
  <c r="O747"/>
  <c r="BA48" i="42"/>
  <c r="O839" i="44"/>
  <c r="O526"/>
  <c r="O816"/>
  <c r="L527"/>
  <c r="L863"/>
  <c r="L794"/>
  <c r="L596"/>
  <c r="L748"/>
  <c r="L702"/>
  <c r="L817"/>
  <c r="L550"/>
  <c r="AX49" i="42"/>
  <c r="L725" i="44"/>
  <c r="L840"/>
  <c r="M596"/>
  <c r="M748"/>
  <c r="M725"/>
  <c r="M863"/>
  <c r="M527"/>
  <c r="M702"/>
  <c r="M550"/>
  <c r="M794"/>
  <c r="AY49" i="42"/>
  <c r="M840" i="44"/>
  <c r="M817"/>
  <c r="K962"/>
  <c r="K772"/>
  <c r="AW236" i="42" s="1"/>
  <c r="Q958" i="44"/>
  <c r="Q664" s="1"/>
  <c r="BC180" i="42" s="1"/>
  <c r="Q768" i="44"/>
  <c r="U718"/>
  <c r="U810"/>
  <c r="U856"/>
  <c r="U787"/>
  <c r="BG42" i="42"/>
  <c r="U543" i="44"/>
  <c r="U833"/>
  <c r="U520"/>
  <c r="U695"/>
  <c r="U741"/>
  <c r="U394"/>
  <c r="N114" i="42"/>
  <c r="P589" i="30"/>
  <c r="L961"/>
  <c r="L771"/>
  <c r="J235" i="42" s="1"/>
  <c r="J962" i="30"/>
  <c r="J772"/>
  <c r="H236" i="42" s="1"/>
  <c r="BD47"/>
  <c r="R838" i="44"/>
  <c r="R815"/>
  <c r="R548"/>
  <c r="R700"/>
  <c r="R746"/>
  <c r="R723"/>
  <c r="R861"/>
  <c r="R792"/>
  <c r="R525"/>
  <c r="P960"/>
  <c r="P770"/>
  <c r="BB234" i="42" s="1"/>
  <c r="P745" i="30"/>
  <c r="P791"/>
  <c r="P722"/>
  <c r="P837"/>
  <c r="N46" i="42"/>
  <c r="P699" i="30"/>
  <c r="P814"/>
  <c r="P860"/>
  <c r="P547"/>
  <c r="P524"/>
  <c r="P398"/>
  <c r="M349"/>
  <c r="V343" i="44"/>
  <c r="U580"/>
  <c r="J351"/>
  <c r="Q345" i="30"/>
  <c r="N326"/>
  <c r="M703"/>
  <c r="M597"/>
  <c r="M795"/>
  <c r="M841"/>
  <c r="M818"/>
  <c r="M528"/>
  <c r="M749"/>
  <c r="M726"/>
  <c r="K50" i="42"/>
  <c r="M864" i="30"/>
  <c r="M551"/>
  <c r="S764" i="44"/>
  <c r="BE228" i="42" s="1"/>
  <c r="S954" i="44"/>
  <c r="N960"/>
  <c r="N770"/>
  <c r="AZ234" i="42" s="1"/>
  <c r="V825" i="44"/>
  <c r="V558"/>
  <c r="V733"/>
  <c r="V710"/>
  <c r="V871"/>
  <c r="V409"/>
  <c r="V848"/>
  <c r="V535"/>
  <c r="V580" s="1"/>
  <c r="BH129" i="42" s="1"/>
  <c r="V802" i="44"/>
  <c r="V756"/>
  <c r="BH57" i="42"/>
  <c r="O114"/>
  <c r="Q589" i="30"/>
  <c r="AU127" i="42"/>
  <c r="K961" i="30"/>
  <c r="K771"/>
  <c r="I235" i="42" s="1"/>
  <c r="R958" i="44"/>
  <c r="R664" s="1"/>
  <c r="BD180" i="42" s="1"/>
  <c r="R768" i="44"/>
  <c r="R569"/>
  <c r="R662"/>
  <c r="BD178" i="42" s="1"/>
  <c r="M232"/>
  <c r="J846" i="44"/>
  <c r="J533"/>
  <c r="J602"/>
  <c r="AV55" i="42"/>
  <c r="J754" i="44"/>
  <c r="J556"/>
  <c r="J869"/>
  <c r="J823"/>
  <c r="J731"/>
  <c r="J708"/>
  <c r="J800"/>
  <c r="Q547" i="30"/>
  <c r="Q745"/>
  <c r="Q791"/>
  <c r="Q837"/>
  <c r="Q814"/>
  <c r="O46" i="42"/>
  <c r="Q722" i="30"/>
  <c r="Q398"/>
  <c r="Q860"/>
  <c r="Q699"/>
  <c r="Q524"/>
  <c r="O959"/>
  <c r="O769"/>
  <c r="M233" i="42" s="1"/>
  <c r="I801" i="44"/>
  <c r="I557"/>
  <c r="I847"/>
  <c r="I824"/>
  <c r="AU56" i="42"/>
  <c r="I732" i="44"/>
  <c r="I709"/>
  <c r="I603"/>
  <c r="I534"/>
  <c r="I870"/>
  <c r="I755"/>
  <c r="K528" i="30"/>
  <c r="K864"/>
  <c r="K597"/>
  <c r="K551"/>
  <c r="K749"/>
  <c r="K841"/>
  <c r="I50" i="42"/>
  <c r="K726" i="30"/>
  <c r="K703"/>
  <c r="K818"/>
  <c r="K795"/>
  <c r="R520"/>
  <c r="R695"/>
  <c r="R741"/>
  <c r="R787"/>
  <c r="R833"/>
  <c r="R810"/>
  <c r="R543"/>
  <c r="R856"/>
  <c r="R718"/>
  <c r="P42" i="42"/>
  <c r="R394" i="30"/>
  <c r="M961"/>
  <c r="Q569" i="44"/>
  <c r="Q662"/>
  <c r="BC178" i="42" s="1"/>
  <c r="N770" i="30"/>
  <c r="L234" i="42" s="1"/>
  <c r="S745" i="44"/>
  <c r="S791"/>
  <c r="S931" s="1"/>
  <c r="BE299" i="42" s="1"/>
  <c r="S860" i="44"/>
  <c r="S934" s="1"/>
  <c r="BE302" i="42" s="1"/>
  <c r="BE46"/>
  <c r="S398" i="44"/>
  <c r="S814"/>
  <c r="S932" s="1"/>
  <c r="BE300" i="42" s="1"/>
  <c r="S837" i="44"/>
  <c r="S933" s="1"/>
  <c r="BE301" i="42" s="1"/>
  <c r="S722" i="44"/>
  <c r="S524"/>
  <c r="S699"/>
  <c r="S547"/>
  <c r="S663" s="1"/>
  <c r="BE179" i="42" s="1"/>
  <c r="N794" i="44"/>
  <c r="N863"/>
  <c r="N748"/>
  <c r="AZ49" i="42"/>
  <c r="N550" i="44"/>
  <c r="N527"/>
  <c r="N702"/>
  <c r="N817"/>
  <c r="N840"/>
  <c r="N596"/>
  <c r="N725"/>
  <c r="BD114" i="42"/>
  <c r="R589" i="44"/>
  <c r="S779" i="30"/>
  <c r="Q243" i="42" s="1"/>
  <c r="S969" i="30"/>
  <c r="H122" i="42"/>
  <c r="AC312" i="44"/>
  <c r="AC291" s="1"/>
  <c r="AC310" i="30"/>
  <c r="AC289" s="1"/>
  <c r="M348" i="44"/>
  <c r="U344"/>
  <c r="L572" i="30"/>
  <c r="J121" i="42" s="1"/>
  <c r="R346" i="44"/>
  <c r="P345" i="30"/>
  <c r="Q569" l="1"/>
  <c r="O118" i="42" s="1"/>
  <c r="AN26" i="44"/>
  <c r="AM511"/>
  <c r="AN23" i="30"/>
  <c r="AM508"/>
  <c r="AM511"/>
  <c r="AN26"/>
  <c r="AM510"/>
  <c r="AN25"/>
  <c r="AN25" i="44"/>
  <c r="AM510"/>
  <c r="N571" i="30"/>
  <c r="L120" i="42" s="1"/>
  <c r="M572" i="30"/>
  <c r="K121" i="42" s="1"/>
  <c r="AM497" i="30"/>
  <c r="AN12"/>
  <c r="AN12" i="44"/>
  <c r="AM497"/>
  <c r="L379" i="30"/>
  <c r="L597" s="1"/>
  <c r="N378"/>
  <c r="N596" s="1"/>
  <c r="O377"/>
  <c r="M48" i="42" s="1"/>
  <c r="J383" i="30"/>
  <c r="J730" s="1"/>
  <c r="P595" i="44"/>
  <c r="AZ120" i="42"/>
  <c r="N595" i="44"/>
  <c r="AP20"/>
  <c r="AO505"/>
  <c r="I588" i="30"/>
  <c r="G113" i="42"/>
  <c r="I691" i="30"/>
  <c r="I539"/>
  <c r="I852"/>
  <c r="I714"/>
  <c r="I516"/>
  <c r="G38" i="42"/>
  <c r="I783" i="30"/>
  <c r="I390"/>
  <c r="I806"/>
  <c r="I737"/>
  <c r="I829"/>
  <c r="I357"/>
  <c r="AO8" i="44"/>
  <c r="AN493"/>
  <c r="AO505" i="30"/>
  <c r="AP20"/>
  <c r="AO494"/>
  <c r="AP9"/>
  <c r="AP18"/>
  <c r="AO503"/>
  <c r="AP14" i="44"/>
  <c r="AO499"/>
  <c r="AO22"/>
  <c r="AN507"/>
  <c r="AN507" i="30"/>
  <c r="AO22"/>
  <c r="AQ9" i="44"/>
  <c r="AP494"/>
  <c r="AQ13" i="30"/>
  <c r="AP498"/>
  <c r="AO27"/>
  <c r="AN512"/>
  <c r="AM500"/>
  <c r="AN15"/>
  <c r="AM504" i="44"/>
  <c r="AN19"/>
  <c r="AM504" i="30"/>
  <c r="AN19"/>
  <c r="AO8"/>
  <c r="AN493"/>
  <c r="AO27" i="44"/>
  <c r="AN512"/>
  <c r="AM496" i="30"/>
  <c r="AM28"/>
  <c r="AN11"/>
  <c r="AN21"/>
  <c r="AM506"/>
  <c r="AM496" i="44"/>
  <c r="AM28"/>
  <c r="AN11"/>
  <c r="AP499" i="30"/>
  <c r="AQ14"/>
  <c r="AQ13" i="44"/>
  <c r="AP498"/>
  <c r="AQ21"/>
  <c r="AP506"/>
  <c r="AP501"/>
  <c r="AQ16"/>
  <c r="AP495"/>
  <c r="AQ10"/>
  <c r="AP500"/>
  <c r="AQ15"/>
  <c r="AQ17" i="30"/>
  <c r="AP502"/>
  <c r="AQ23" i="44"/>
  <c r="AP508"/>
  <c r="AR18"/>
  <c r="AQ503"/>
  <c r="AP502"/>
  <c r="AQ17"/>
  <c r="F348"/>
  <c r="F347" i="30"/>
  <c r="F326" s="1"/>
  <c r="F378" s="1"/>
  <c r="F571" i="44"/>
  <c r="AR120" i="42" s="1"/>
  <c r="H347" i="44"/>
  <c r="H570" i="30"/>
  <c r="F119" i="42" s="1"/>
  <c r="G348" i="44"/>
  <c r="G327" s="1"/>
  <c r="G379" s="1"/>
  <c r="E328"/>
  <c r="E383" s="1"/>
  <c r="D326"/>
  <c r="D378" s="1"/>
  <c r="F327"/>
  <c r="F379" s="1"/>
  <c r="G960" i="30"/>
  <c r="G770"/>
  <c r="E234" i="42" s="1"/>
  <c r="G960" i="44"/>
  <c r="G770"/>
  <c r="AS234" i="42" s="1"/>
  <c r="H326" i="44"/>
  <c r="H378" s="1"/>
  <c r="D794" i="30"/>
  <c r="D702"/>
  <c r="D550"/>
  <c r="D748"/>
  <c r="D817"/>
  <c r="B49" i="42"/>
  <c r="D527" i="30"/>
  <c r="D572" s="1"/>
  <c r="B121" i="42" s="1"/>
  <c r="D840" i="30"/>
  <c r="D863"/>
  <c r="D596"/>
  <c r="D725"/>
  <c r="F960" i="44"/>
  <c r="F770"/>
  <c r="AR234" i="42" s="1"/>
  <c r="G748" i="30"/>
  <c r="G840"/>
  <c r="G527"/>
  <c r="G725"/>
  <c r="G794"/>
  <c r="G550"/>
  <c r="E49" i="42"/>
  <c r="G863" i="30"/>
  <c r="G702"/>
  <c r="G596"/>
  <c r="G817"/>
  <c r="E556"/>
  <c r="E754"/>
  <c r="E846"/>
  <c r="E731"/>
  <c r="C55" i="42"/>
  <c r="E708" i="30"/>
  <c r="E800"/>
  <c r="E602"/>
  <c r="E533"/>
  <c r="E578" s="1"/>
  <c r="C127" i="42" s="1"/>
  <c r="E823" i="30"/>
  <c r="E869"/>
  <c r="F526"/>
  <c r="F816"/>
  <c r="F724"/>
  <c r="D48" i="42"/>
  <c r="F862" i="30"/>
  <c r="F839"/>
  <c r="F747"/>
  <c r="F549"/>
  <c r="F793"/>
  <c r="F701"/>
  <c r="F595"/>
  <c r="G571"/>
  <c r="E120" i="42" s="1"/>
  <c r="D571" i="44"/>
  <c r="AP120" i="42" s="1"/>
  <c r="H325" i="30"/>
  <c r="H377" s="1"/>
  <c r="F863" i="44"/>
  <c r="F596"/>
  <c r="AR49" i="42"/>
  <c r="F725" i="44"/>
  <c r="F817"/>
  <c r="F550"/>
  <c r="F794"/>
  <c r="F840"/>
  <c r="F748"/>
  <c r="F527"/>
  <c r="F572" s="1"/>
  <c r="AR121" i="42" s="1"/>
  <c r="F702" i="44"/>
  <c r="E966" i="30"/>
  <c r="E776"/>
  <c r="C240" i="42" s="1"/>
  <c r="H526" i="44"/>
  <c r="AT48" i="42"/>
  <c r="H747" i="44"/>
  <c r="H724"/>
  <c r="H549"/>
  <c r="H793"/>
  <c r="H816"/>
  <c r="H862"/>
  <c r="H595"/>
  <c r="H839"/>
  <c r="H701"/>
  <c r="E962"/>
  <c r="E772"/>
  <c r="AQ236" i="42" s="1"/>
  <c r="H959" i="30"/>
  <c r="H769"/>
  <c r="F233" i="42" s="1"/>
  <c r="D960" i="44"/>
  <c r="D770"/>
  <c r="AP234" i="42" s="1"/>
  <c r="G863" i="44"/>
  <c r="G840"/>
  <c r="G527"/>
  <c r="G817"/>
  <c r="G702"/>
  <c r="G596"/>
  <c r="AS49" i="42"/>
  <c r="G725" i="44"/>
  <c r="G748"/>
  <c r="G550"/>
  <c r="G794"/>
  <c r="E577" i="30"/>
  <c r="C126" i="42" s="1"/>
  <c r="D348" i="30"/>
  <c r="G348"/>
  <c r="E351"/>
  <c r="AQ495"/>
  <c r="AR10"/>
  <c r="O348" i="44"/>
  <c r="O327" s="1"/>
  <c r="O379" s="1"/>
  <c r="T345"/>
  <c r="T324" s="1"/>
  <c r="T376" s="1"/>
  <c r="T399" s="1"/>
  <c r="AP509"/>
  <c r="AQ24"/>
  <c r="AR501" i="30"/>
  <c r="AS16"/>
  <c r="Q129" i="42"/>
  <c r="S604" i="30"/>
  <c r="N572" i="44"/>
  <c r="AZ121" i="42" s="1"/>
  <c r="S346" i="44"/>
  <c r="S325" s="1"/>
  <c r="W343"/>
  <c r="W322" s="1"/>
  <c r="W371" s="1"/>
  <c r="I579"/>
  <c r="AU128" i="42" s="1"/>
  <c r="T580" i="30"/>
  <c r="R129" i="42" s="1"/>
  <c r="J350" i="30"/>
  <c r="J329" s="1"/>
  <c r="J384" s="1"/>
  <c r="S344"/>
  <c r="S323" s="1"/>
  <c r="S375" s="1"/>
  <c r="K350" i="44"/>
  <c r="K329" s="1"/>
  <c r="K384" s="1"/>
  <c r="R325"/>
  <c r="R377" s="1"/>
  <c r="R400" s="1"/>
  <c r="M327"/>
  <c r="M379" s="1"/>
  <c r="S958"/>
  <c r="S664" s="1"/>
  <c r="BE180" i="42" s="1"/>
  <c r="S768" i="44"/>
  <c r="R764" i="30"/>
  <c r="P228" i="42" s="1"/>
  <c r="R954" i="30"/>
  <c r="J967" i="44"/>
  <c r="J777"/>
  <c r="AV241" i="42" s="1"/>
  <c r="N550" i="30"/>
  <c r="Q324"/>
  <c r="Q376" s="1"/>
  <c r="BG129" i="42"/>
  <c r="U604" i="44"/>
  <c r="M328" i="30"/>
  <c r="R959" i="44"/>
  <c r="R769"/>
  <c r="BD233" i="42" s="1"/>
  <c r="U954" i="44"/>
  <c r="U764"/>
  <c r="BG228" i="42" s="1"/>
  <c r="R860" i="30"/>
  <c r="R524"/>
  <c r="R699"/>
  <c r="R722"/>
  <c r="R791"/>
  <c r="R745"/>
  <c r="P46" i="42"/>
  <c r="R837" i="30"/>
  <c r="R547"/>
  <c r="R814"/>
  <c r="R398"/>
  <c r="K532"/>
  <c r="K555"/>
  <c r="K753"/>
  <c r="K845"/>
  <c r="K601"/>
  <c r="K707"/>
  <c r="K868"/>
  <c r="I54" i="42"/>
  <c r="K730" i="30"/>
  <c r="K799"/>
  <c r="K822"/>
  <c r="I395" i="44"/>
  <c r="I544"/>
  <c r="I857"/>
  <c r="I788"/>
  <c r="AU43" i="42"/>
  <c r="I834" i="44"/>
  <c r="I742"/>
  <c r="I811"/>
  <c r="I696"/>
  <c r="I719"/>
  <c r="I521"/>
  <c r="L771"/>
  <c r="AX235" i="42" s="1"/>
  <c r="L961" i="44"/>
  <c r="T565"/>
  <c r="U871" i="30"/>
  <c r="S57" i="42"/>
  <c r="U802" i="30"/>
  <c r="U558"/>
  <c r="U848"/>
  <c r="U756"/>
  <c r="U825"/>
  <c r="U733"/>
  <c r="U710"/>
  <c r="U535"/>
  <c r="U580" s="1"/>
  <c r="S129" i="42" s="1"/>
  <c r="U409" i="30"/>
  <c r="Q792" i="44"/>
  <c r="Q838"/>
  <c r="Q548"/>
  <c r="Q525"/>
  <c r="Q700"/>
  <c r="Q594"/>
  <c r="BC47" i="42"/>
  <c r="Q723" i="44"/>
  <c r="Q815"/>
  <c r="Q861"/>
  <c r="Q746"/>
  <c r="T695" i="30"/>
  <c r="T787"/>
  <c r="T741"/>
  <c r="T718"/>
  <c r="T856"/>
  <c r="R42" i="42"/>
  <c r="T543" i="30"/>
  <c r="T833"/>
  <c r="T520"/>
  <c r="T810"/>
  <c r="T394"/>
  <c r="P817" i="44"/>
  <c r="P863"/>
  <c r="P596"/>
  <c r="P794"/>
  <c r="P702"/>
  <c r="P527"/>
  <c r="P550"/>
  <c r="P748"/>
  <c r="P840"/>
  <c r="BB49" i="42"/>
  <c r="P725" i="44"/>
  <c r="K730"/>
  <c r="K845"/>
  <c r="K707"/>
  <c r="K868"/>
  <c r="K822"/>
  <c r="K601"/>
  <c r="K532"/>
  <c r="K799"/>
  <c r="K753"/>
  <c r="AW54" i="42"/>
  <c r="K555" i="44"/>
  <c r="J578"/>
  <c r="I968"/>
  <c r="I778"/>
  <c r="AU242" i="42" s="1"/>
  <c r="L795" i="44"/>
  <c r="L864"/>
  <c r="L726"/>
  <c r="L818"/>
  <c r="L749"/>
  <c r="L703"/>
  <c r="L597"/>
  <c r="L528"/>
  <c r="L551"/>
  <c r="L841"/>
  <c r="AX50" i="42"/>
  <c r="R930" i="44"/>
  <c r="BD298" i="42" s="1"/>
  <c r="BD232"/>
  <c r="M962" i="30"/>
  <c r="M772"/>
  <c r="K236" i="42" s="1"/>
  <c r="N726" i="44"/>
  <c r="N749"/>
  <c r="N551"/>
  <c r="N818"/>
  <c r="N703"/>
  <c r="N864"/>
  <c r="N841"/>
  <c r="N795"/>
  <c r="N597"/>
  <c r="AZ50" i="42"/>
  <c r="N528" i="44"/>
  <c r="Q930"/>
  <c r="BC298" i="42" s="1"/>
  <c r="BC232"/>
  <c r="P324" i="30"/>
  <c r="P376" s="1"/>
  <c r="U323" i="44"/>
  <c r="U375" s="1"/>
  <c r="AC311" i="30"/>
  <c r="AC290" s="1"/>
  <c r="AC313" i="44"/>
  <c r="AC292" s="1"/>
  <c r="N961"/>
  <c r="N771"/>
  <c r="AZ235" i="42" s="1"/>
  <c r="S569" i="44"/>
  <c r="S662"/>
  <c r="BE178" i="42" s="1"/>
  <c r="BC118"/>
  <c r="Q593" i="44"/>
  <c r="R565" i="30"/>
  <c r="K962"/>
  <c r="K772"/>
  <c r="I236" i="42" s="1"/>
  <c r="Q958" i="30"/>
  <c r="Q768"/>
  <c r="O550" i="44"/>
  <c r="O725"/>
  <c r="O863"/>
  <c r="O840"/>
  <c r="O596"/>
  <c r="O794"/>
  <c r="BA49" i="42"/>
  <c r="O748" i="44"/>
  <c r="O817"/>
  <c r="O702"/>
  <c r="O527"/>
  <c r="O572" s="1"/>
  <c r="BA121" i="42" s="1"/>
  <c r="T524" i="44"/>
  <c r="T791"/>
  <c r="T931" s="1"/>
  <c r="BF299" i="42" s="1"/>
  <c r="T547" i="44"/>
  <c r="T663" s="1"/>
  <c r="BF179" i="42" s="1"/>
  <c r="T860" i="44"/>
  <c r="T934" s="1"/>
  <c r="BF302" i="42" s="1"/>
  <c r="T837" i="44"/>
  <c r="T933" s="1"/>
  <c r="BF301" i="42" s="1"/>
  <c r="T745" i="44"/>
  <c r="T722"/>
  <c r="BF46" i="42"/>
  <c r="T699" i="44"/>
  <c r="T814"/>
  <c r="T932" s="1"/>
  <c r="BF300" i="42" s="1"/>
  <c r="T398" i="44"/>
  <c r="BD118" i="42"/>
  <c r="R593" i="44"/>
  <c r="V779"/>
  <c r="BH243" i="42" s="1"/>
  <c r="V969" i="44"/>
  <c r="J330"/>
  <c r="J385" s="1"/>
  <c r="V322"/>
  <c r="V371" s="1"/>
  <c r="P958" i="30"/>
  <c r="P768"/>
  <c r="U565" i="44"/>
  <c r="S548"/>
  <c r="S815"/>
  <c r="S838"/>
  <c r="S861"/>
  <c r="S792"/>
  <c r="S723"/>
  <c r="S746"/>
  <c r="BE47" i="42"/>
  <c r="S525" i="44"/>
  <c r="S700"/>
  <c r="M961"/>
  <c r="M771"/>
  <c r="AY235" i="42" s="1"/>
  <c r="O960" i="44"/>
  <c r="O770"/>
  <c r="BA234" i="42" s="1"/>
  <c r="T954" i="44"/>
  <c r="T764"/>
  <c r="BF228" i="42" s="1"/>
  <c r="AP509" i="30"/>
  <c r="AQ24"/>
  <c r="AB314" i="44"/>
  <c r="AB293" s="1"/>
  <c r="W317" i="30"/>
  <c r="Z314"/>
  <c r="Z293" s="1"/>
  <c r="Y315"/>
  <c r="Y294" s="1"/>
  <c r="BI57" i="42"/>
  <c r="W558" i="44"/>
  <c r="W825"/>
  <c r="W871"/>
  <c r="W710"/>
  <c r="W409"/>
  <c r="W848"/>
  <c r="W733"/>
  <c r="W535"/>
  <c r="W802"/>
  <c r="W756"/>
  <c r="T779" i="30"/>
  <c r="R243" i="42" s="1"/>
  <c r="T969" i="30"/>
  <c r="X316"/>
  <c r="X295" s="1"/>
  <c r="AA313"/>
  <c r="AA292" s="1"/>
  <c r="AA315" i="44"/>
  <c r="AA294" s="1"/>
  <c r="X321"/>
  <c r="X386" s="1"/>
  <c r="Y317"/>
  <c r="Z316"/>
  <c r="Z295" s="1"/>
  <c r="V321" i="30"/>
  <c r="V386" s="1"/>
  <c r="AB312"/>
  <c r="AB291" s="1"/>
  <c r="BE114" i="42"/>
  <c r="S589" i="44"/>
  <c r="S810" i="30"/>
  <c r="S787"/>
  <c r="S856"/>
  <c r="S741"/>
  <c r="S718"/>
  <c r="Q42" i="42"/>
  <c r="S833" i="30"/>
  <c r="S520"/>
  <c r="S695"/>
  <c r="S543"/>
  <c r="S394"/>
  <c r="V604" i="44"/>
  <c r="M572"/>
  <c r="AY121" i="42" s="1"/>
  <c r="K573" i="30"/>
  <c r="Q593"/>
  <c r="L349" i="44"/>
  <c r="M573" i="30"/>
  <c r="K122" i="42" s="1"/>
  <c r="N348" i="30"/>
  <c r="P569"/>
  <c r="R570" i="44"/>
  <c r="N349"/>
  <c r="R345" i="30"/>
  <c r="K350"/>
  <c r="I353" i="44"/>
  <c r="L572"/>
  <c r="O571"/>
  <c r="O595" s="1"/>
  <c r="U343" i="30"/>
  <c r="O347"/>
  <c r="L349"/>
  <c r="Q346" i="44"/>
  <c r="T344" i="30"/>
  <c r="P348" i="44"/>
  <c r="AN510" l="1"/>
  <c r="AO25"/>
  <c r="AO23" i="30"/>
  <c r="AN508"/>
  <c r="AN511" i="44"/>
  <c r="AO26"/>
  <c r="AO25" i="30"/>
  <c r="AN510"/>
  <c r="AN511"/>
  <c r="AO26"/>
  <c r="J822"/>
  <c r="L726"/>
  <c r="J707"/>
  <c r="J966" s="1"/>
  <c r="N840"/>
  <c r="J753"/>
  <c r="L49" i="42"/>
  <c r="L818" i="30"/>
  <c r="O816"/>
  <c r="AN497" i="44"/>
  <c r="AO12"/>
  <c r="AN497" i="30"/>
  <c r="AO12"/>
  <c r="J601"/>
  <c r="J845"/>
  <c r="H54" i="42"/>
  <c r="N863" i="30"/>
  <c r="N702"/>
  <c r="N961" s="1"/>
  <c r="L795"/>
  <c r="O595"/>
  <c r="O724"/>
  <c r="J50" i="42"/>
  <c r="L864" i="30"/>
  <c r="O747"/>
  <c r="O526"/>
  <c r="O839"/>
  <c r="L528"/>
  <c r="L703"/>
  <c r="L962" s="1"/>
  <c r="L841"/>
  <c r="L551"/>
  <c r="L749"/>
  <c r="O549"/>
  <c r="O862"/>
  <c r="O793"/>
  <c r="O701"/>
  <c r="J799"/>
  <c r="J532"/>
  <c r="J868"/>
  <c r="J555"/>
  <c r="N725"/>
  <c r="N748"/>
  <c r="N794"/>
  <c r="N527"/>
  <c r="N572" s="1"/>
  <c r="N817"/>
  <c r="M383"/>
  <c r="M555" s="1"/>
  <c r="BD119" i="42"/>
  <c r="R594" i="44"/>
  <c r="AP505"/>
  <c r="AQ20"/>
  <c r="I561" i="30"/>
  <c r="G110" i="42" s="1"/>
  <c r="I336" i="30"/>
  <c r="I382" s="1"/>
  <c r="I950"/>
  <c r="I760"/>
  <c r="G224" i="42" s="1"/>
  <c r="AO493" i="44"/>
  <c r="AP8"/>
  <c r="AP505" i="30"/>
  <c r="AQ20"/>
  <c r="N573" i="44"/>
  <c r="AZ122" i="42" s="1"/>
  <c r="AQ9" i="30"/>
  <c r="AP494"/>
  <c r="AQ14" i="44"/>
  <c r="AP499"/>
  <c r="AQ18" i="30"/>
  <c r="AP503"/>
  <c r="AP22" i="44"/>
  <c r="AO507"/>
  <c r="AO507" i="30"/>
  <c r="AP22"/>
  <c r="AR9" i="44"/>
  <c r="AQ494"/>
  <c r="AQ498" i="30"/>
  <c r="AR13"/>
  <c r="AP27" i="44"/>
  <c r="AO512"/>
  <c r="AO493" i="30"/>
  <c r="AP8"/>
  <c r="AO512"/>
  <c r="AP27"/>
  <c r="AO19"/>
  <c r="AN504"/>
  <c r="AO19" i="44"/>
  <c r="AN504"/>
  <c r="AO15" i="30"/>
  <c r="AN500"/>
  <c r="AO11"/>
  <c r="AN496"/>
  <c r="AN28"/>
  <c r="AN496" i="44"/>
  <c r="AN28"/>
  <c r="AO11"/>
  <c r="AO21" i="30"/>
  <c r="AN506"/>
  <c r="AQ498" i="44"/>
  <c r="AR13"/>
  <c r="AQ499" i="30"/>
  <c r="AR14"/>
  <c r="AR21" i="44"/>
  <c r="AQ506"/>
  <c r="AR503"/>
  <c r="AS18"/>
  <c r="AQ508"/>
  <c r="AR23"/>
  <c r="AQ502" i="30"/>
  <c r="AR17"/>
  <c r="AR17" i="44"/>
  <c r="AQ502"/>
  <c r="AR15"/>
  <c r="AQ500"/>
  <c r="AQ495"/>
  <c r="AR10"/>
  <c r="AQ501"/>
  <c r="AR16"/>
  <c r="T604" i="30"/>
  <c r="F348"/>
  <c r="F327" s="1"/>
  <c r="F379" s="1"/>
  <c r="G572" i="44"/>
  <c r="AS121" i="42" s="1"/>
  <c r="E350" i="44"/>
  <c r="E329" s="1"/>
  <c r="E384" s="1"/>
  <c r="E330" i="30"/>
  <c r="E385" s="1"/>
  <c r="D327"/>
  <c r="D379" s="1"/>
  <c r="G961" i="44"/>
  <c r="G771"/>
  <c r="AS235" i="42" s="1"/>
  <c r="F961" i="44"/>
  <c r="F771"/>
  <c r="AR235" i="42" s="1"/>
  <c r="F48"/>
  <c r="H862" i="30"/>
  <c r="H724"/>
  <c r="H595"/>
  <c r="H839"/>
  <c r="H793"/>
  <c r="H747"/>
  <c r="H526"/>
  <c r="H701"/>
  <c r="H816"/>
  <c r="H549"/>
  <c r="F960"/>
  <c r="F770"/>
  <c r="D234" i="42" s="1"/>
  <c r="G818" i="44"/>
  <c r="G864"/>
  <c r="G597"/>
  <c r="G749"/>
  <c r="G841"/>
  <c r="AS50" i="42"/>
  <c r="G528" i="44"/>
  <c r="G703"/>
  <c r="G795"/>
  <c r="G551"/>
  <c r="G726"/>
  <c r="H725"/>
  <c r="H840"/>
  <c r="H527"/>
  <c r="H794"/>
  <c r="H863"/>
  <c r="AT49" i="42"/>
  <c r="H596" i="44"/>
  <c r="H817"/>
  <c r="H748"/>
  <c r="H550"/>
  <c r="H702"/>
  <c r="AR50" i="42"/>
  <c r="F818" i="44"/>
  <c r="F726"/>
  <c r="F749"/>
  <c r="F528"/>
  <c r="F864"/>
  <c r="F703"/>
  <c r="F551"/>
  <c r="F841"/>
  <c r="F795"/>
  <c r="F597"/>
  <c r="D596"/>
  <c r="D748"/>
  <c r="D863"/>
  <c r="D550"/>
  <c r="D794"/>
  <c r="D840"/>
  <c r="D702"/>
  <c r="D527"/>
  <c r="D572" s="1"/>
  <c r="AP121" i="42" s="1"/>
  <c r="D725" i="44"/>
  <c r="D817"/>
  <c r="AP49" i="42"/>
  <c r="AQ54"/>
  <c r="E601" i="44"/>
  <c r="E753"/>
  <c r="E845"/>
  <c r="E707"/>
  <c r="E532"/>
  <c r="E555"/>
  <c r="E730"/>
  <c r="E822"/>
  <c r="E799"/>
  <c r="E868"/>
  <c r="G327" i="30"/>
  <c r="G379" s="1"/>
  <c r="D49" i="42"/>
  <c r="F596" i="30"/>
  <c r="F794"/>
  <c r="F863"/>
  <c r="F702"/>
  <c r="F550"/>
  <c r="F817"/>
  <c r="F725"/>
  <c r="F527"/>
  <c r="F748"/>
  <c r="F840"/>
  <c r="H960" i="44"/>
  <c r="H770"/>
  <c r="AT234" i="42" s="1"/>
  <c r="E967" i="30"/>
  <c r="E777"/>
  <c r="C241" i="42" s="1"/>
  <c r="G961" i="30"/>
  <c r="G771"/>
  <c r="E235" i="42" s="1"/>
  <c r="D961" i="30"/>
  <c r="D771"/>
  <c r="B235" i="42" s="1"/>
  <c r="H571" i="44"/>
  <c r="AT120" i="42" s="1"/>
  <c r="H347" i="30"/>
  <c r="F571"/>
  <c r="D120" i="42" s="1"/>
  <c r="G349" i="44"/>
  <c r="G572" i="30"/>
  <c r="E121" i="42" s="1"/>
  <c r="H348" i="44"/>
  <c r="F349"/>
  <c r="D348"/>
  <c r="AS10" i="30"/>
  <c r="AR495"/>
  <c r="U345" i="44"/>
  <c r="U324" s="1"/>
  <c r="U376" s="1"/>
  <c r="U399" s="1"/>
  <c r="AQ509"/>
  <c r="AR24"/>
  <c r="AT16" i="30"/>
  <c r="AS501"/>
  <c r="J351"/>
  <c r="J330" s="1"/>
  <c r="J385" s="1"/>
  <c r="S377" i="44"/>
  <c r="S347"/>
  <c r="S326" s="1"/>
  <c r="S378" s="1"/>
  <c r="I566"/>
  <c r="AU115" i="42" s="1"/>
  <c r="K351" i="44"/>
  <c r="K330" s="1"/>
  <c r="K385" s="1"/>
  <c r="V343" i="30"/>
  <c r="V322" s="1"/>
  <c r="V371" s="1"/>
  <c r="X343" i="44"/>
  <c r="X322" s="1"/>
  <c r="X371" s="1"/>
  <c r="S570"/>
  <c r="V344"/>
  <c r="V323" s="1"/>
  <c r="V375" s="1"/>
  <c r="J352"/>
  <c r="J331" s="1"/>
  <c r="J372" s="1"/>
  <c r="R569" i="30"/>
  <c r="L573" i="44"/>
  <c r="AX122" i="42" s="1"/>
  <c r="S345" i="30"/>
  <c r="S324" s="1"/>
  <c r="S376" s="1"/>
  <c r="P572" i="44"/>
  <c r="BB121" i="42" s="1"/>
  <c r="U604" i="30"/>
  <c r="O349" i="44"/>
  <c r="O328" s="1"/>
  <c r="O383" s="1"/>
  <c r="M349"/>
  <c r="M328" s="1"/>
  <c r="M383" s="1"/>
  <c r="T323" i="30"/>
  <c r="T375" s="1"/>
  <c r="L328"/>
  <c r="U322"/>
  <c r="U371" s="1"/>
  <c r="BA120" i="42"/>
  <c r="I332" i="44"/>
  <c r="I381" s="1"/>
  <c r="AR24" i="30"/>
  <c r="AQ509"/>
  <c r="S769" i="44"/>
  <c r="BE233" i="42" s="1"/>
  <c r="S959" i="44"/>
  <c r="BG114" i="42"/>
  <c r="U589" i="44"/>
  <c r="V543"/>
  <c r="V695"/>
  <c r="BH42" i="42"/>
  <c r="V856" i="44"/>
  <c r="V833"/>
  <c r="V810"/>
  <c r="V787"/>
  <c r="V741"/>
  <c r="V520"/>
  <c r="V718"/>
  <c r="V394"/>
  <c r="J534"/>
  <c r="J824"/>
  <c r="J709"/>
  <c r="J603"/>
  <c r="J557"/>
  <c r="J847"/>
  <c r="J870"/>
  <c r="J801"/>
  <c r="AV56" i="42"/>
  <c r="J732" i="44"/>
  <c r="J755"/>
  <c r="BE118" i="42"/>
  <c r="S593" i="44"/>
  <c r="AC314"/>
  <c r="AC293" s="1"/>
  <c r="AC312" i="30"/>
  <c r="AC291" s="1"/>
  <c r="U814" i="44"/>
  <c r="U932" s="1"/>
  <c r="BG300" i="42" s="1"/>
  <c r="U860" i="44"/>
  <c r="U934" s="1"/>
  <c r="BG302" i="42" s="1"/>
  <c r="U837" i="44"/>
  <c r="U933" s="1"/>
  <c r="BG301" i="42" s="1"/>
  <c r="BG46"/>
  <c r="U745" i="44"/>
  <c r="U524"/>
  <c r="U699"/>
  <c r="U722"/>
  <c r="U791"/>
  <c r="U931" s="1"/>
  <c r="BG299" i="42" s="1"/>
  <c r="U547" i="44"/>
  <c r="U663" s="1"/>
  <c r="BG179" i="42" s="1"/>
  <c r="U398" i="44"/>
  <c r="K776"/>
  <c r="AW240" i="42" s="1"/>
  <c r="K966" i="44"/>
  <c r="S791" i="30"/>
  <c r="S837"/>
  <c r="S547"/>
  <c r="Q46" i="42"/>
  <c r="S699" i="30"/>
  <c r="S814"/>
  <c r="S860"/>
  <c r="S722"/>
  <c r="S524"/>
  <c r="S569" s="1"/>
  <c r="Q118" i="42" s="1"/>
  <c r="S745" i="30"/>
  <c r="S398"/>
  <c r="P961" i="44"/>
  <c r="P771"/>
  <c r="BB235" i="42" s="1"/>
  <c r="T565" i="30"/>
  <c r="T764"/>
  <c r="R228" i="42" s="1"/>
  <c r="T954" i="30"/>
  <c r="O960"/>
  <c r="I955" i="44"/>
  <c r="I765"/>
  <c r="AU229" i="42" s="1"/>
  <c r="R958" i="30"/>
  <c r="R768"/>
  <c r="O528" i="44"/>
  <c r="O841"/>
  <c r="O818"/>
  <c r="BA50" i="42"/>
  <c r="O726" i="44"/>
  <c r="O597"/>
  <c r="O703"/>
  <c r="O795"/>
  <c r="O749"/>
  <c r="O551"/>
  <c r="O864"/>
  <c r="S930"/>
  <c r="BE298" i="42" s="1"/>
  <c r="BE232"/>
  <c r="AY50"/>
  <c r="M818" i="44"/>
  <c r="M795"/>
  <c r="M864"/>
  <c r="M749"/>
  <c r="M703"/>
  <c r="M726"/>
  <c r="M528"/>
  <c r="M841"/>
  <c r="M551"/>
  <c r="M597"/>
  <c r="P346" i="30"/>
  <c r="T346" i="44"/>
  <c r="K577"/>
  <c r="Q570"/>
  <c r="W344"/>
  <c r="K577" i="30"/>
  <c r="I126" i="42" s="1"/>
  <c r="M350" i="30"/>
  <c r="Q346"/>
  <c r="R347" i="44"/>
  <c r="S565" i="30"/>
  <c r="P327" i="44"/>
  <c r="P379" s="1"/>
  <c r="Q325"/>
  <c r="Q377" s="1"/>
  <c r="Q400" s="1"/>
  <c r="O326" i="30"/>
  <c r="AX121" i="42"/>
  <c r="K329" i="30"/>
  <c r="K384" s="1"/>
  <c r="R324"/>
  <c r="R376" s="1"/>
  <c r="N328" i="44"/>
  <c r="N383" s="1"/>
  <c r="N118" i="42"/>
  <c r="P593" i="30"/>
  <c r="N327"/>
  <c r="L328" i="44"/>
  <c r="L383" s="1"/>
  <c r="I122" i="42"/>
  <c r="AW55"/>
  <c r="K754" i="44"/>
  <c r="K823"/>
  <c r="K869"/>
  <c r="K556"/>
  <c r="K731"/>
  <c r="K800"/>
  <c r="K846"/>
  <c r="K533"/>
  <c r="K708"/>
  <c r="K602"/>
  <c r="S954" i="30"/>
  <c r="S764"/>
  <c r="Q228" i="42" s="1"/>
  <c r="J602" i="30"/>
  <c r="J846"/>
  <c r="J533"/>
  <c r="J731"/>
  <c r="J869"/>
  <c r="J800"/>
  <c r="J823"/>
  <c r="J708"/>
  <c r="J754"/>
  <c r="H55" i="42"/>
  <c r="J556" i="30"/>
  <c r="AB313"/>
  <c r="AB292" s="1"/>
  <c r="V535"/>
  <c r="V756"/>
  <c r="V871"/>
  <c r="V710"/>
  <c r="V848"/>
  <c r="V733"/>
  <c r="V558"/>
  <c r="V802"/>
  <c r="T57" i="42"/>
  <c r="V825" i="30"/>
  <c r="V409"/>
  <c r="Z317" i="44"/>
  <c r="Y321"/>
  <c r="Y386" s="1"/>
  <c r="X558"/>
  <c r="X848"/>
  <c r="X710"/>
  <c r="X756"/>
  <c r="BJ57" i="42"/>
  <c r="X733" i="44"/>
  <c r="X535"/>
  <c r="X802"/>
  <c r="X825"/>
  <c r="X871"/>
  <c r="X409"/>
  <c r="AA316"/>
  <c r="AA295" s="1"/>
  <c r="AA314" i="30"/>
  <c r="AA293" s="1"/>
  <c r="X317"/>
  <c r="W779" i="44"/>
  <c r="BI243" i="42" s="1"/>
  <c r="W969" i="44"/>
  <c r="Y316" i="30"/>
  <c r="Y295" s="1"/>
  <c r="Z315"/>
  <c r="Z294" s="1"/>
  <c r="W321"/>
  <c r="W386" s="1"/>
  <c r="AB315" i="44"/>
  <c r="AB294" s="1"/>
  <c r="N232" i="42"/>
  <c r="T958" i="44"/>
  <c r="T664" s="1"/>
  <c r="BF180" i="42" s="1"/>
  <c r="T768" i="44"/>
  <c r="T569"/>
  <c r="T662"/>
  <c r="BF178" i="42" s="1"/>
  <c r="O961" i="44"/>
  <c r="O771"/>
  <c r="BA235" i="42" s="1"/>
  <c r="O232"/>
  <c r="P114"/>
  <c r="R589" i="30"/>
  <c r="P792"/>
  <c r="P525"/>
  <c r="P815"/>
  <c r="P861"/>
  <c r="P700"/>
  <c r="P594"/>
  <c r="P723"/>
  <c r="N47" i="42"/>
  <c r="P838" i="30"/>
  <c r="P746"/>
  <c r="P548"/>
  <c r="N772" i="44"/>
  <c r="AZ236" i="42" s="1"/>
  <c r="N962" i="44"/>
  <c r="T548"/>
  <c r="T723"/>
  <c r="T746"/>
  <c r="T838"/>
  <c r="T525"/>
  <c r="T700"/>
  <c r="BF47" i="42"/>
  <c r="T815" i="44"/>
  <c r="T861"/>
  <c r="T792"/>
  <c r="L772"/>
  <c r="AX236" i="42" s="1"/>
  <c r="L962" i="44"/>
  <c r="AV127" i="42"/>
  <c r="J776" i="30"/>
  <c r="H240" i="42" s="1"/>
  <c r="Q959" i="44"/>
  <c r="Q769"/>
  <c r="BC233" i="42" s="1"/>
  <c r="W787" i="44"/>
  <c r="W741"/>
  <c r="W856"/>
  <c r="W543"/>
  <c r="W833"/>
  <c r="W718"/>
  <c r="W520"/>
  <c r="W695"/>
  <c r="W810"/>
  <c r="BI42" i="42"/>
  <c r="W394" i="44"/>
  <c r="U969" i="30"/>
  <c r="U779"/>
  <c r="S243" i="42" s="1"/>
  <c r="BF114"/>
  <c r="T589" i="44"/>
  <c r="K966" i="30"/>
  <c r="K776"/>
  <c r="I240" i="42" s="1"/>
  <c r="Q792" i="30"/>
  <c r="Q861"/>
  <c r="Q746"/>
  <c r="O47" i="42"/>
  <c r="Q815" i="30"/>
  <c r="Q594"/>
  <c r="Q838"/>
  <c r="Q525"/>
  <c r="Q700"/>
  <c r="Q548"/>
  <c r="Q723"/>
  <c r="R793" i="44"/>
  <c r="R747"/>
  <c r="R701"/>
  <c r="R839"/>
  <c r="R862"/>
  <c r="R526"/>
  <c r="R724"/>
  <c r="BD48" i="42"/>
  <c r="R816" i="44"/>
  <c r="R549"/>
  <c r="W580"/>
  <c r="M753" i="30" l="1"/>
  <c r="M868"/>
  <c r="M822"/>
  <c r="K54" i="42"/>
  <c r="M845" i="30"/>
  <c r="AO510"/>
  <c r="AP25"/>
  <c r="AP23"/>
  <c r="AO508"/>
  <c r="AO511"/>
  <c r="AP26"/>
  <c r="AO511" i="44"/>
  <c r="AP26"/>
  <c r="AP25"/>
  <c r="AO510"/>
  <c r="AO497" i="30"/>
  <c r="AP12"/>
  <c r="AP12" i="44"/>
  <c r="AO497"/>
  <c r="N771" i="30"/>
  <c r="L235" i="42" s="1"/>
  <c r="O571" i="30"/>
  <c r="M120" i="42" s="1"/>
  <c r="L772" i="30"/>
  <c r="J236" i="42" s="1"/>
  <c r="O770" i="30"/>
  <c r="M234" i="42" s="1"/>
  <c r="L573" i="30"/>
  <c r="J122" i="42" s="1"/>
  <c r="M532" i="30"/>
  <c r="M577" s="1"/>
  <c r="K126" i="42" s="1"/>
  <c r="M799" i="30"/>
  <c r="M730"/>
  <c r="M707"/>
  <c r="M966" s="1"/>
  <c r="M601"/>
  <c r="J577"/>
  <c r="H126" i="42" s="1"/>
  <c r="O378" i="30"/>
  <c r="O840" s="1"/>
  <c r="N379"/>
  <c r="L50" i="42" s="1"/>
  <c r="L383" i="30"/>
  <c r="L753" s="1"/>
  <c r="BE119" i="42"/>
  <c r="S594" i="44"/>
  <c r="S839"/>
  <c r="S400"/>
  <c r="AR20"/>
  <c r="AQ505"/>
  <c r="I585" i="30"/>
  <c r="I821"/>
  <c r="I752"/>
  <c r="I554"/>
  <c r="I867"/>
  <c r="I706"/>
  <c r="I729"/>
  <c r="I531"/>
  <c r="I576" s="1"/>
  <c r="G125" i="42" s="1"/>
  <c r="I844" i="30"/>
  <c r="G53" i="42"/>
  <c r="I798" i="30"/>
  <c r="I600"/>
  <c r="I358"/>
  <c r="AQ8" i="44"/>
  <c r="AP493"/>
  <c r="K578"/>
  <c r="AW127" i="42" s="1"/>
  <c r="AQ505" i="30"/>
  <c r="AR20"/>
  <c r="AR9"/>
  <c r="AQ494"/>
  <c r="AR18"/>
  <c r="AQ503"/>
  <c r="AR14" i="44"/>
  <c r="AQ499"/>
  <c r="I681" i="30"/>
  <c r="CB179" i="42" s="1"/>
  <c r="AP507" i="44"/>
  <c r="AQ22"/>
  <c r="AQ22" i="30"/>
  <c r="AP507"/>
  <c r="AR494" i="44"/>
  <c r="AS9"/>
  <c r="AS13" i="30"/>
  <c r="AR498"/>
  <c r="AO500"/>
  <c r="AP15"/>
  <c r="AP19" i="44"/>
  <c r="AO504"/>
  <c r="AP19" i="30"/>
  <c r="AO504"/>
  <c r="AP512" i="44"/>
  <c r="AQ27"/>
  <c r="AQ27" i="30"/>
  <c r="AP512"/>
  <c r="AQ8"/>
  <c r="AP493"/>
  <c r="AP21"/>
  <c r="AO506"/>
  <c r="AP11"/>
  <c r="AO496"/>
  <c r="AO28"/>
  <c r="AO496" i="44"/>
  <c r="AP11"/>
  <c r="AO28"/>
  <c r="T570"/>
  <c r="S724"/>
  <c r="I680" i="30"/>
  <c r="CB178" i="42" s="1"/>
  <c r="AS14" i="30"/>
  <c r="AR499"/>
  <c r="AR498" i="44"/>
  <c r="AS13"/>
  <c r="AS21"/>
  <c r="AR506"/>
  <c r="AS15"/>
  <c r="AR500"/>
  <c r="AR502"/>
  <c r="AS17"/>
  <c r="AS16"/>
  <c r="AR501"/>
  <c r="AS10"/>
  <c r="AR495"/>
  <c r="AR502" i="30"/>
  <c r="AS17"/>
  <c r="AS23" i="44"/>
  <c r="AR508"/>
  <c r="AS503"/>
  <c r="AT18"/>
  <c r="S816"/>
  <c r="S701"/>
  <c r="S960" s="1"/>
  <c r="E577"/>
  <c r="AQ126" i="42" s="1"/>
  <c r="H572" i="44"/>
  <c r="AT121" i="42" s="1"/>
  <c r="E351" i="44"/>
  <c r="F572" i="30"/>
  <c r="D121" i="42" s="1"/>
  <c r="E352" i="30"/>
  <c r="E331" s="1"/>
  <c r="E372" s="1"/>
  <c r="S747" i="44"/>
  <c r="S793"/>
  <c r="S862"/>
  <c r="D327"/>
  <c r="D379" s="1"/>
  <c r="H327"/>
  <c r="H379" s="1"/>
  <c r="G328"/>
  <c r="G383" s="1"/>
  <c r="H326" i="30"/>
  <c r="H378" s="1"/>
  <c r="E330" i="44"/>
  <c r="E385" s="1"/>
  <c r="F961" i="30"/>
  <c r="F771"/>
  <c r="D235" i="42" s="1"/>
  <c r="G864" i="30"/>
  <c r="G597"/>
  <c r="G703"/>
  <c r="G818"/>
  <c r="G528"/>
  <c r="G726"/>
  <c r="G749"/>
  <c r="G551"/>
  <c r="E50" i="42"/>
  <c r="G795" i="30"/>
  <c r="G841"/>
  <c r="D961" i="44"/>
  <c r="D771"/>
  <c r="AP235" i="42" s="1"/>
  <c r="H961" i="44"/>
  <c r="H771"/>
  <c r="AT235" i="42" s="1"/>
  <c r="G962" i="44"/>
  <c r="G772"/>
  <c r="AS236" i="42" s="1"/>
  <c r="H960" i="30"/>
  <c r="H770"/>
  <c r="F234" i="42" s="1"/>
  <c r="F726" i="30"/>
  <c r="F597"/>
  <c r="F703"/>
  <c r="F795"/>
  <c r="F749"/>
  <c r="D50" i="42"/>
  <c r="F818" i="30"/>
  <c r="F864"/>
  <c r="F528"/>
  <c r="F551"/>
  <c r="F841"/>
  <c r="B50" i="42"/>
  <c r="D818" i="30"/>
  <c r="D795"/>
  <c r="D528"/>
  <c r="D551"/>
  <c r="D841"/>
  <c r="D726"/>
  <c r="D597"/>
  <c r="D703"/>
  <c r="D864"/>
  <c r="D749"/>
  <c r="C56" i="42"/>
  <c r="E557" i="30"/>
  <c r="E709"/>
  <c r="E824"/>
  <c r="E534"/>
  <c r="E755"/>
  <c r="E847"/>
  <c r="E870"/>
  <c r="E603"/>
  <c r="E801"/>
  <c r="E732"/>
  <c r="F328" i="44"/>
  <c r="F383" s="1"/>
  <c r="E533"/>
  <c r="E556"/>
  <c r="E823"/>
  <c r="E869"/>
  <c r="AQ55" i="42"/>
  <c r="E731" i="44"/>
  <c r="E846"/>
  <c r="E800"/>
  <c r="E602"/>
  <c r="E708"/>
  <c r="E754"/>
  <c r="E966"/>
  <c r="E776"/>
  <c r="AQ240" i="42" s="1"/>
  <c r="F962" i="44"/>
  <c r="F772"/>
  <c r="AR236" i="42" s="1"/>
  <c r="G349" i="30"/>
  <c r="F573" i="44"/>
  <c r="AR122" i="42" s="1"/>
  <c r="G573" i="44"/>
  <c r="AS122" i="42" s="1"/>
  <c r="H571" i="30"/>
  <c r="F120" i="42" s="1"/>
  <c r="F349" i="30"/>
  <c r="D349"/>
  <c r="I590" i="44"/>
  <c r="BE48" i="42"/>
  <c r="S549" i="44"/>
  <c r="S526"/>
  <c r="O350"/>
  <c r="O329" s="1"/>
  <c r="O384" s="1"/>
  <c r="AT10" i="30"/>
  <c r="AS495"/>
  <c r="Y343" i="44"/>
  <c r="Y322" s="1"/>
  <c r="Y371" s="1"/>
  <c r="K351" i="30"/>
  <c r="K330" s="1"/>
  <c r="K385" s="1"/>
  <c r="AS24" i="44"/>
  <c r="AR509"/>
  <c r="AT501" i="30"/>
  <c r="AU16"/>
  <c r="W343"/>
  <c r="W322" s="1"/>
  <c r="W371" s="1"/>
  <c r="P118" i="42"/>
  <c r="R593" i="30"/>
  <c r="S348" i="44"/>
  <c r="P570" i="30"/>
  <c r="N119" i="42" s="1"/>
  <c r="U346" i="44"/>
  <c r="J353"/>
  <c r="J332" s="1"/>
  <c r="J381" s="1"/>
  <c r="X580"/>
  <c r="N349" i="30"/>
  <c r="N328" s="1"/>
  <c r="N383" s="1"/>
  <c r="R346"/>
  <c r="R325" s="1"/>
  <c r="Q347" i="44"/>
  <c r="Q326" s="1"/>
  <c r="Q378" s="1"/>
  <c r="P349"/>
  <c r="P328" s="1"/>
  <c r="P383" s="1"/>
  <c r="V344" i="30"/>
  <c r="V323" s="1"/>
  <c r="V375" s="1"/>
  <c r="J352"/>
  <c r="J331" s="1"/>
  <c r="J372" s="1"/>
  <c r="T345"/>
  <c r="T324" s="1"/>
  <c r="T376" s="1"/>
  <c r="S593"/>
  <c r="X344" i="44"/>
  <c r="X323" s="1"/>
  <c r="X375" s="1"/>
  <c r="BI129" i="42"/>
  <c r="W604" i="44"/>
  <c r="R960"/>
  <c r="R770"/>
  <c r="BD234" i="42" s="1"/>
  <c r="S327" i="44"/>
  <c r="S379" s="1"/>
  <c r="W954"/>
  <c r="W764"/>
  <c r="BI228" i="42" s="1"/>
  <c r="S594" i="30"/>
  <c r="S548"/>
  <c r="S815"/>
  <c r="S700"/>
  <c r="S525"/>
  <c r="S723"/>
  <c r="S838"/>
  <c r="S792"/>
  <c r="S861"/>
  <c r="S746"/>
  <c r="Q47" i="42"/>
  <c r="U325" i="44"/>
  <c r="U377" s="1"/>
  <c r="U400" s="1"/>
  <c r="BF232" i="42"/>
  <c r="T930" i="44"/>
  <c r="BF298" i="42" s="1"/>
  <c r="V837" i="44"/>
  <c r="V933" s="1"/>
  <c r="BH301" i="42" s="1"/>
  <c r="V524" i="44"/>
  <c r="V699"/>
  <c r="V722"/>
  <c r="V791"/>
  <c r="V931" s="1"/>
  <c r="BH299" i="42" s="1"/>
  <c r="V814" i="44"/>
  <c r="V932" s="1"/>
  <c r="BH300" i="42" s="1"/>
  <c r="V547" i="44"/>
  <c r="V663" s="1"/>
  <c r="BH179" i="42" s="1"/>
  <c r="V745" i="44"/>
  <c r="BH46" i="42"/>
  <c r="V860" i="44"/>
  <c r="V934" s="1"/>
  <c r="BH302" i="42" s="1"/>
  <c r="V398" i="44"/>
  <c r="Y871"/>
  <c r="Y733"/>
  <c r="BK57" i="42"/>
  <c r="Y710" i="44"/>
  <c r="Y756"/>
  <c r="Y558"/>
  <c r="Y825"/>
  <c r="Y802"/>
  <c r="Y535"/>
  <c r="Y848"/>
  <c r="Y409"/>
  <c r="V969" i="30"/>
  <c r="V779"/>
  <c r="T243" i="42" s="1"/>
  <c r="K967" i="44"/>
  <c r="K777"/>
  <c r="AW241" i="42" s="1"/>
  <c r="N749" i="30"/>
  <c r="K869"/>
  <c r="K533"/>
  <c r="K602"/>
  <c r="K823"/>
  <c r="I55" i="42"/>
  <c r="K800" i="30"/>
  <c r="K754"/>
  <c r="K731"/>
  <c r="K556"/>
  <c r="K708"/>
  <c r="K846"/>
  <c r="Q114" i="42"/>
  <c r="S589" i="30"/>
  <c r="Q325"/>
  <c r="W323" i="44"/>
  <c r="W375" s="1"/>
  <c r="AW126" i="42"/>
  <c r="T325" i="44"/>
  <c r="T377" s="1"/>
  <c r="T400" s="1"/>
  <c r="M962"/>
  <c r="M772"/>
  <c r="AY236" i="42" s="1"/>
  <c r="P232"/>
  <c r="R114"/>
  <c r="T589" i="30"/>
  <c r="U958" i="44"/>
  <c r="U664" s="1"/>
  <c r="BG180" i="42" s="1"/>
  <c r="U768" i="44"/>
  <c r="J968"/>
  <c r="J778"/>
  <c r="AV242" i="42" s="1"/>
  <c r="AS24" i="30"/>
  <c r="AR509"/>
  <c r="K732" i="44"/>
  <c r="K824"/>
  <c r="K847"/>
  <c r="K870"/>
  <c r="AW56" i="42"/>
  <c r="K755" i="44"/>
  <c r="K557"/>
  <c r="K534"/>
  <c r="K801"/>
  <c r="K709"/>
  <c r="K603"/>
  <c r="I530"/>
  <c r="AU52" i="42"/>
  <c r="I751" i="44"/>
  <c r="I705"/>
  <c r="I599"/>
  <c r="I866"/>
  <c r="I820"/>
  <c r="I797"/>
  <c r="I728"/>
  <c r="I843"/>
  <c r="I553"/>
  <c r="U856" i="30"/>
  <c r="U718"/>
  <c r="S42" i="42"/>
  <c r="U741" i="30"/>
  <c r="U695"/>
  <c r="U520"/>
  <c r="U543"/>
  <c r="U810"/>
  <c r="U787"/>
  <c r="U833"/>
  <c r="U394"/>
  <c r="T547"/>
  <c r="T837"/>
  <c r="R46" i="42"/>
  <c r="T860" i="30"/>
  <c r="T745"/>
  <c r="T699"/>
  <c r="T814"/>
  <c r="T398"/>
  <c r="T524"/>
  <c r="T569" s="1"/>
  <c r="R118" i="42" s="1"/>
  <c r="T722" i="30"/>
  <c r="T791"/>
  <c r="Q570"/>
  <c r="O119" i="42" s="1"/>
  <c r="J578" i="30"/>
  <c r="L350" i="44"/>
  <c r="N350"/>
  <c r="O348" i="30"/>
  <c r="M573" i="44"/>
  <c r="J579"/>
  <c r="M555"/>
  <c r="M799"/>
  <c r="M845"/>
  <c r="M868"/>
  <c r="AY54" i="42"/>
  <c r="M753" i="44"/>
  <c r="M601"/>
  <c r="M532"/>
  <c r="M707"/>
  <c r="M822"/>
  <c r="M730"/>
  <c r="O532"/>
  <c r="O845"/>
  <c r="O601"/>
  <c r="O822"/>
  <c r="O868"/>
  <c r="O799"/>
  <c r="O707"/>
  <c r="O555"/>
  <c r="BA54" i="42"/>
  <c r="O730" i="44"/>
  <c r="O753"/>
  <c r="Q959" i="30"/>
  <c r="Q769"/>
  <c r="O233" i="42" s="1"/>
  <c r="S725" i="44"/>
  <c r="S596"/>
  <c r="S527"/>
  <c r="S840"/>
  <c r="S550"/>
  <c r="S702"/>
  <c r="S817"/>
  <c r="BE49" i="42"/>
  <c r="S794" i="44"/>
  <c r="S748"/>
  <c r="S863"/>
  <c r="W565"/>
  <c r="T959"/>
  <c r="T769"/>
  <c r="BF233" i="42" s="1"/>
  <c r="P769" i="30"/>
  <c r="N233" i="42" s="1"/>
  <c r="P959" i="30"/>
  <c r="U525" i="44"/>
  <c r="U815"/>
  <c r="BG47" i="42"/>
  <c r="U746" i="44"/>
  <c r="U548"/>
  <c r="U861"/>
  <c r="U792"/>
  <c r="U838"/>
  <c r="U723"/>
  <c r="U700"/>
  <c r="BF118" i="42"/>
  <c r="T593" i="44"/>
  <c r="J719"/>
  <c r="J742"/>
  <c r="J788"/>
  <c r="J544"/>
  <c r="J857"/>
  <c r="J395"/>
  <c r="J521"/>
  <c r="J696"/>
  <c r="AV43" i="42"/>
  <c r="J834" i="44"/>
  <c r="J811"/>
  <c r="AB316"/>
  <c r="AB295" s="1"/>
  <c r="W802" i="30"/>
  <c r="W535"/>
  <c r="W825"/>
  <c r="W756"/>
  <c r="U57" i="42"/>
  <c r="W733" i="30"/>
  <c r="W710"/>
  <c r="W848"/>
  <c r="W558"/>
  <c r="W871"/>
  <c r="W409"/>
  <c r="Z316"/>
  <c r="Z295" s="1"/>
  <c r="Y317"/>
  <c r="X321"/>
  <c r="X386" s="1"/>
  <c r="AA315"/>
  <c r="AA294" s="1"/>
  <c r="AA317" i="44"/>
  <c r="X969"/>
  <c r="X779"/>
  <c r="BJ243" i="42" s="1"/>
  <c r="Z321" i="44"/>
  <c r="Z386" s="1"/>
  <c r="AB314" i="30"/>
  <c r="AB293" s="1"/>
  <c r="J967"/>
  <c r="J777"/>
  <c r="H241" i="42" s="1"/>
  <c r="L730" i="44"/>
  <c r="L822"/>
  <c r="L601"/>
  <c r="L845"/>
  <c r="AX54" i="42"/>
  <c r="L868" i="44"/>
  <c r="L799"/>
  <c r="L753"/>
  <c r="L532"/>
  <c r="L707"/>
  <c r="L555"/>
  <c r="N845"/>
  <c r="N601"/>
  <c r="N822"/>
  <c r="N799"/>
  <c r="N532"/>
  <c r="N868"/>
  <c r="AZ54" i="42"/>
  <c r="N730" i="44"/>
  <c r="N555"/>
  <c r="N707"/>
  <c r="N753"/>
  <c r="R594" i="30"/>
  <c r="R792"/>
  <c r="P47" i="42"/>
  <c r="R548" i="30"/>
  <c r="R815"/>
  <c r="R525"/>
  <c r="R723"/>
  <c r="R700"/>
  <c r="R746"/>
  <c r="R838"/>
  <c r="R861"/>
  <c r="BC48" i="42"/>
  <c r="Q862" i="44"/>
  <c r="Q793"/>
  <c r="Q526"/>
  <c r="Q701"/>
  <c r="Q549"/>
  <c r="Q816"/>
  <c r="Q747"/>
  <c r="Q839"/>
  <c r="Q724"/>
  <c r="P551"/>
  <c r="P795"/>
  <c r="P864"/>
  <c r="P597"/>
  <c r="P749"/>
  <c r="P841"/>
  <c r="P726"/>
  <c r="BB50" i="42"/>
  <c r="P818" i="44"/>
  <c r="P703"/>
  <c r="P528"/>
  <c r="P573" s="1"/>
  <c r="BB122" i="42" s="1"/>
  <c r="V787" i="30"/>
  <c r="V856"/>
  <c r="V741"/>
  <c r="V718"/>
  <c r="T42" i="42"/>
  <c r="V810" i="30"/>
  <c r="V520"/>
  <c r="V543"/>
  <c r="V695"/>
  <c r="V833"/>
  <c r="V394"/>
  <c r="J755"/>
  <c r="J603"/>
  <c r="J801"/>
  <c r="J557"/>
  <c r="J709"/>
  <c r="H56" i="42"/>
  <c r="J847" i="30"/>
  <c r="J824"/>
  <c r="J870"/>
  <c r="J732"/>
  <c r="J534"/>
  <c r="R326" i="44"/>
  <c r="R378" s="1"/>
  <c r="L121" i="42"/>
  <c r="M329" i="30"/>
  <c r="M384" s="1"/>
  <c r="BC119" i="42"/>
  <c r="P325" i="30"/>
  <c r="O962" i="44"/>
  <c r="O772"/>
  <c r="BA236" i="42" s="1"/>
  <c r="S958" i="30"/>
  <c r="S768"/>
  <c r="U569" i="44"/>
  <c r="U662"/>
  <c r="BG178" i="42" s="1"/>
  <c r="AC313" i="30"/>
  <c r="AC292" s="1"/>
  <c r="AC315" i="44"/>
  <c r="AC294" s="1"/>
  <c r="V565"/>
  <c r="V954"/>
  <c r="V764"/>
  <c r="BH228" i="42" s="1"/>
  <c r="X856" i="44"/>
  <c r="X833"/>
  <c r="BJ42" i="42"/>
  <c r="X543" i="44"/>
  <c r="X695"/>
  <c r="X718"/>
  <c r="X787"/>
  <c r="X810"/>
  <c r="X741"/>
  <c r="X520"/>
  <c r="X394"/>
  <c r="R571"/>
  <c r="M350"/>
  <c r="S346" i="30"/>
  <c r="V345" i="44"/>
  <c r="V580" i="30"/>
  <c r="O573" i="44"/>
  <c r="BA122" i="42" s="1"/>
  <c r="K352" i="44"/>
  <c r="I354"/>
  <c r="U344" i="30"/>
  <c r="L350"/>
  <c r="O702" l="1"/>
  <c r="O961" s="1"/>
  <c r="L799"/>
  <c r="O863"/>
  <c r="L532"/>
  <c r="AQ25" i="44"/>
  <c r="AP510"/>
  <c r="AQ23" i="30"/>
  <c r="AP508"/>
  <c r="AQ26" i="44"/>
  <c r="AP511"/>
  <c r="AQ26" i="30"/>
  <c r="AP511"/>
  <c r="AQ25"/>
  <c r="AP510"/>
  <c r="O725"/>
  <c r="O794"/>
  <c r="O596"/>
  <c r="L845"/>
  <c r="J54" i="42"/>
  <c r="L730" i="30"/>
  <c r="O748"/>
  <c r="O771" s="1"/>
  <c r="M235" i="42" s="1"/>
  <c r="M49"/>
  <c r="O550" i="30"/>
  <c r="O527"/>
  <c r="O817"/>
  <c r="L822"/>
  <c r="L707"/>
  <c r="L966" s="1"/>
  <c r="L601"/>
  <c r="L555"/>
  <c r="L868"/>
  <c r="N841"/>
  <c r="N864"/>
  <c r="AP497" i="44"/>
  <c r="AQ12"/>
  <c r="AP497" i="30"/>
  <c r="AQ12"/>
  <c r="N818"/>
  <c r="N528"/>
  <c r="N551"/>
  <c r="N597"/>
  <c r="N795"/>
  <c r="N703"/>
  <c r="N962" s="1"/>
  <c r="N726"/>
  <c r="M776"/>
  <c r="K240" i="42" s="1"/>
  <c r="P377" i="30"/>
  <c r="P816" s="1"/>
  <c r="Q377"/>
  <c r="Q549" s="1"/>
  <c r="R377"/>
  <c r="R816" s="1"/>
  <c r="R570"/>
  <c r="P119" i="42" s="1"/>
  <c r="BF119"/>
  <c r="T594" i="44"/>
  <c r="S571"/>
  <c r="BE120" i="42" s="1"/>
  <c r="BD120"/>
  <c r="R595" i="44"/>
  <c r="AR505"/>
  <c r="AS20"/>
  <c r="I965" i="30"/>
  <c r="I775"/>
  <c r="G239" i="42" s="1"/>
  <c r="I337" i="30"/>
  <c r="AQ493" i="44"/>
  <c r="AR8"/>
  <c r="AS20" i="30"/>
  <c r="AR505"/>
  <c r="AR494"/>
  <c r="AS9"/>
  <c r="AR499" i="44"/>
  <c r="AS14"/>
  <c r="AR503" i="30"/>
  <c r="AS18"/>
  <c r="I682"/>
  <c r="CB180" i="42" s="1"/>
  <c r="AR22" i="30"/>
  <c r="AQ507"/>
  <c r="AQ507" i="44"/>
  <c r="AR22"/>
  <c r="AS494"/>
  <c r="AT9"/>
  <c r="AT13" i="30"/>
  <c r="AS498"/>
  <c r="AR8"/>
  <c r="AQ493"/>
  <c r="AQ512"/>
  <c r="AR27"/>
  <c r="AQ19"/>
  <c r="AP504"/>
  <c r="AP504" i="44"/>
  <c r="AQ19"/>
  <c r="AQ512"/>
  <c r="AR27"/>
  <c r="AQ15" i="30"/>
  <c r="AP500"/>
  <c r="AP496" i="44"/>
  <c r="AP28"/>
  <c r="AQ11"/>
  <c r="AP496" i="30"/>
  <c r="AQ11"/>
  <c r="AP28"/>
  <c r="AP506"/>
  <c r="AQ21"/>
  <c r="AT14"/>
  <c r="AS499"/>
  <c r="AS498" i="44"/>
  <c r="AT13"/>
  <c r="AS506"/>
  <c r="AT21"/>
  <c r="AS508"/>
  <c r="AT23"/>
  <c r="AS495"/>
  <c r="AT10"/>
  <c r="AT16"/>
  <c r="AS501"/>
  <c r="AT15"/>
  <c r="AS500"/>
  <c r="AT503"/>
  <c r="AU18"/>
  <c r="AS502" i="30"/>
  <c r="AT17"/>
  <c r="AS502" i="44"/>
  <c r="AT17"/>
  <c r="E353" i="30"/>
  <c r="E332" s="1"/>
  <c r="E381" s="1"/>
  <c r="E578" i="44"/>
  <c r="AQ127" i="42" s="1"/>
  <c r="S770" i="44"/>
  <c r="BE234" i="42" s="1"/>
  <c r="G573" i="30"/>
  <c r="E122" i="42" s="1"/>
  <c r="E352" i="44"/>
  <c r="D349"/>
  <c r="D328" i="30"/>
  <c r="D383" s="1"/>
  <c r="F601" i="44"/>
  <c r="F555"/>
  <c r="F730"/>
  <c r="F707"/>
  <c r="F822"/>
  <c r="F868"/>
  <c r="F532"/>
  <c r="AR54" i="42"/>
  <c r="F753" i="44"/>
  <c r="F799"/>
  <c r="F845"/>
  <c r="D962" i="30"/>
  <c r="D772"/>
  <c r="B236" i="42" s="1"/>
  <c r="G962" i="30"/>
  <c r="G772"/>
  <c r="E236" i="42" s="1"/>
  <c r="E331" i="44"/>
  <c r="E372" s="1"/>
  <c r="H725" i="30"/>
  <c r="H527"/>
  <c r="H863"/>
  <c r="H748"/>
  <c r="H550"/>
  <c r="F49" i="42"/>
  <c r="H817" i="30"/>
  <c r="H702"/>
  <c r="H840"/>
  <c r="H596"/>
  <c r="H794"/>
  <c r="G532" i="44"/>
  <c r="AS54" i="42"/>
  <c r="G845" i="44"/>
  <c r="G753"/>
  <c r="G707"/>
  <c r="G601"/>
  <c r="G555"/>
  <c r="G730"/>
  <c r="G799"/>
  <c r="G822"/>
  <c r="G868"/>
  <c r="H551"/>
  <c r="H703"/>
  <c r="H962" s="1"/>
  <c r="H818"/>
  <c r="H864"/>
  <c r="H597"/>
  <c r="H726"/>
  <c r="H841"/>
  <c r="H528"/>
  <c r="AT50" i="42"/>
  <c r="H749" i="44"/>
  <c r="H772" s="1"/>
  <c r="AT236" i="42" s="1"/>
  <c r="H795" i="44"/>
  <c r="D726"/>
  <c r="D818"/>
  <c r="D597"/>
  <c r="D795"/>
  <c r="D841"/>
  <c r="AP50" i="42"/>
  <c r="D551" i="44"/>
  <c r="D864"/>
  <c r="D703"/>
  <c r="D528"/>
  <c r="D749"/>
  <c r="F328" i="30"/>
  <c r="F383" s="1"/>
  <c r="G328"/>
  <c r="G383" s="1"/>
  <c r="E395"/>
  <c r="C43" i="42"/>
  <c r="E834" i="30"/>
  <c r="E696"/>
  <c r="E544"/>
  <c r="E788"/>
  <c r="E742"/>
  <c r="E719"/>
  <c r="E521"/>
  <c r="E566" s="1"/>
  <c r="C115" i="42" s="1"/>
  <c r="E857" i="30"/>
  <c r="E811"/>
  <c r="E967" i="44"/>
  <c r="E777"/>
  <c r="AQ241" i="42" s="1"/>
  <c r="E968" i="30"/>
  <c r="E778"/>
  <c r="C242" i="42" s="1"/>
  <c r="F962" i="30"/>
  <c r="F772"/>
  <c r="D236" i="42" s="1"/>
  <c r="E603" i="44"/>
  <c r="E847"/>
  <c r="E732"/>
  <c r="E534"/>
  <c r="E801"/>
  <c r="E709"/>
  <c r="E557"/>
  <c r="AQ56" i="42"/>
  <c r="E755" i="44"/>
  <c r="E824"/>
  <c r="E870"/>
  <c r="D328"/>
  <c r="D383" s="1"/>
  <c r="F350"/>
  <c r="E579" i="30"/>
  <c r="C128" i="42" s="1"/>
  <c r="D573" i="30"/>
  <c r="B122" i="42" s="1"/>
  <c r="F573" i="30"/>
  <c r="D122" i="42" s="1"/>
  <c r="H348" i="30"/>
  <c r="G350" i="44"/>
  <c r="H349"/>
  <c r="S349"/>
  <c r="S328" s="1"/>
  <c r="S383" s="1"/>
  <c r="K578" i="30"/>
  <c r="I127" i="42" s="1"/>
  <c r="W344" i="30"/>
  <c r="W323" s="1"/>
  <c r="W375" s="1"/>
  <c r="AU10"/>
  <c r="AT495"/>
  <c r="AT24" i="44"/>
  <c r="AS509"/>
  <c r="Y580"/>
  <c r="BK129" i="42" s="1"/>
  <c r="R348" i="44"/>
  <c r="J579" i="30"/>
  <c r="H128" i="42" s="1"/>
  <c r="N350" i="30"/>
  <c r="N329" s="1"/>
  <c r="N384" s="1"/>
  <c r="Y604" i="44"/>
  <c r="AV16" i="30"/>
  <c r="AU501"/>
  <c r="P347"/>
  <c r="P326" s="1"/>
  <c r="P378" s="1"/>
  <c r="J353"/>
  <c r="J332" s="1"/>
  <c r="J381" s="1"/>
  <c r="S570"/>
  <c r="Q119" i="42" s="1"/>
  <c r="M577" i="44"/>
  <c r="AY126" i="42" s="1"/>
  <c r="J354" i="44"/>
  <c r="J333" s="1"/>
  <c r="J373" s="1"/>
  <c r="BJ129" i="42"/>
  <c r="X604" i="44"/>
  <c r="M351" i="30"/>
  <c r="K352"/>
  <c r="K331" s="1"/>
  <c r="K372" s="1"/>
  <c r="O577" i="44"/>
  <c r="BA126" i="42" s="1"/>
  <c r="P350" i="44"/>
  <c r="P329" s="1"/>
  <c r="P384" s="1"/>
  <c r="T746" i="30"/>
  <c r="T525"/>
  <c r="T700"/>
  <c r="T594"/>
  <c r="T792"/>
  <c r="T548"/>
  <c r="T861"/>
  <c r="T815"/>
  <c r="T838"/>
  <c r="T723"/>
  <c r="R47" i="42"/>
  <c r="BH114"/>
  <c r="V589" i="44"/>
  <c r="AC314" i="30"/>
  <c r="AC293" s="1"/>
  <c r="M330"/>
  <c r="M385" s="1"/>
  <c r="R327" i="44"/>
  <c r="R379" s="1"/>
  <c r="P962"/>
  <c r="P772"/>
  <c r="BB236" i="42" s="1"/>
  <c r="AB315" i="30"/>
  <c r="AB294" s="1"/>
  <c r="Y695" i="44"/>
  <c r="Y543"/>
  <c r="Y520"/>
  <c r="Y718"/>
  <c r="BK42" i="42"/>
  <c r="Y810" i="44"/>
  <c r="Y787"/>
  <c r="Y741"/>
  <c r="Y833"/>
  <c r="Y856"/>
  <c r="Y394"/>
  <c r="AA321"/>
  <c r="AA386" s="1"/>
  <c r="AA316" i="30"/>
  <c r="AA295" s="1"/>
  <c r="Y321"/>
  <c r="Y386" s="1"/>
  <c r="AB317" i="44"/>
  <c r="J955"/>
  <c r="J765"/>
  <c r="AV229" i="42" s="1"/>
  <c r="U959" i="44"/>
  <c r="U769"/>
  <c r="BG233" i="42" s="1"/>
  <c r="BI114"/>
  <c r="W589" i="44"/>
  <c r="S961"/>
  <c r="S771"/>
  <c r="BE235" i="42" s="1"/>
  <c r="O966" i="44"/>
  <c r="O776"/>
  <c r="BA240" i="42" s="1"/>
  <c r="O708" i="44"/>
  <c r="O846"/>
  <c r="O602"/>
  <c r="O823"/>
  <c r="O800"/>
  <c r="O754"/>
  <c r="O533"/>
  <c r="O731"/>
  <c r="O869"/>
  <c r="BA55" i="42"/>
  <c r="O556" i="44"/>
  <c r="AY122" i="42"/>
  <c r="N329" i="44"/>
  <c r="N384" s="1"/>
  <c r="H127" i="42"/>
  <c r="T958" i="30"/>
  <c r="T768"/>
  <c r="U954"/>
  <c r="U764"/>
  <c r="S228" i="42" s="1"/>
  <c r="I964" i="44"/>
  <c r="I774"/>
  <c r="AU238" i="42" s="1"/>
  <c r="X699" i="44"/>
  <c r="BJ46" i="42"/>
  <c r="X524" i="44"/>
  <c r="X814"/>
  <c r="X932" s="1"/>
  <c r="BJ300" i="42" s="1"/>
  <c r="X791" i="44"/>
  <c r="X931" s="1"/>
  <c r="BJ299" i="42" s="1"/>
  <c r="X547" i="44"/>
  <c r="X663" s="1"/>
  <c r="BJ179" i="42" s="1"/>
  <c r="X837" i="44"/>
  <c r="X933" s="1"/>
  <c r="BJ301" i="42" s="1"/>
  <c r="X745" i="44"/>
  <c r="X860"/>
  <c r="X934" s="1"/>
  <c r="BJ302" i="42" s="1"/>
  <c r="X722" i="44"/>
  <c r="X398"/>
  <c r="AS509" i="30"/>
  <c r="AT24"/>
  <c r="T839" i="44"/>
  <c r="T793"/>
  <c r="T747"/>
  <c r="BF48" i="42"/>
  <c r="T526" i="44"/>
  <c r="T701"/>
  <c r="T724"/>
  <c r="T549"/>
  <c r="T816"/>
  <c r="T862"/>
  <c r="BI46" i="42"/>
  <c r="W547" i="44"/>
  <c r="W663" s="1"/>
  <c r="BI179" i="42" s="1"/>
  <c r="W699" i="44"/>
  <c r="W524"/>
  <c r="W791"/>
  <c r="W931" s="1"/>
  <c r="BI299" i="42" s="1"/>
  <c r="W814" i="44"/>
  <c r="W932" s="1"/>
  <c r="BI300" i="42" s="1"/>
  <c r="W722" i="44"/>
  <c r="W837"/>
  <c r="W933" s="1"/>
  <c r="BI301" i="42" s="1"/>
  <c r="W860" i="44"/>
  <c r="W934" s="1"/>
  <c r="BI302" i="42" s="1"/>
  <c r="W745" i="44"/>
  <c r="W398"/>
  <c r="Q793" i="30"/>
  <c r="V745"/>
  <c r="V699"/>
  <c r="V524"/>
  <c r="V791"/>
  <c r="V547"/>
  <c r="V398"/>
  <c r="V814"/>
  <c r="V860"/>
  <c r="V837"/>
  <c r="V722"/>
  <c r="T46" i="42"/>
  <c r="Q596" i="44"/>
  <c r="Q817"/>
  <c r="Q550"/>
  <c r="Q527"/>
  <c r="Q725"/>
  <c r="Q863"/>
  <c r="BC49" i="42"/>
  <c r="Q748" i="44"/>
  <c r="Q702"/>
  <c r="Q794"/>
  <c r="Q840"/>
  <c r="K777" i="30"/>
  <c r="I241" i="42" s="1"/>
  <c r="K967" i="30"/>
  <c r="V958" i="44"/>
  <c r="V664" s="1"/>
  <c r="BH180" i="42" s="1"/>
  <c r="V768" i="44"/>
  <c r="U793"/>
  <c r="U724"/>
  <c r="U862"/>
  <c r="U747"/>
  <c r="U549"/>
  <c r="U701"/>
  <c r="U839"/>
  <c r="U526"/>
  <c r="U816"/>
  <c r="BG48" i="42"/>
  <c r="S528" i="44"/>
  <c r="S818"/>
  <c r="S597"/>
  <c r="BE50" i="42"/>
  <c r="S703" i="44"/>
  <c r="S841"/>
  <c r="S864"/>
  <c r="S749"/>
  <c r="S551"/>
  <c r="S795"/>
  <c r="S726"/>
  <c r="L577"/>
  <c r="U570"/>
  <c r="L329" i="30"/>
  <c r="L384" s="1"/>
  <c r="I333" i="44"/>
  <c r="I373" s="1"/>
  <c r="M329"/>
  <c r="M384" s="1"/>
  <c r="X764"/>
  <c r="BJ228" i="42" s="1"/>
  <c r="X954" i="44"/>
  <c r="AC316"/>
  <c r="AC295" s="1"/>
  <c r="BG118" i="42"/>
  <c r="U593" i="44"/>
  <c r="J968" i="30"/>
  <c r="J778"/>
  <c r="H242" i="42" s="1"/>
  <c r="V954" i="30"/>
  <c r="V764"/>
  <c r="T228" i="42" s="1"/>
  <c r="V565" i="30"/>
  <c r="Q770" i="44"/>
  <c r="BC234" i="42" s="1"/>
  <c r="Q960" i="44"/>
  <c r="N966"/>
  <c r="N776"/>
  <c r="AZ240" i="42" s="1"/>
  <c r="Z871" i="44"/>
  <c r="Z848"/>
  <c r="Z535"/>
  <c r="Z802"/>
  <c r="Z756"/>
  <c r="Z558"/>
  <c r="BL57" i="42"/>
  <c r="Z733" i="44"/>
  <c r="Z825"/>
  <c r="Z710"/>
  <c r="Z409"/>
  <c r="X848" i="30"/>
  <c r="X710"/>
  <c r="X802"/>
  <c r="X756"/>
  <c r="V57" i="42"/>
  <c r="X535" i="30"/>
  <c r="X558"/>
  <c r="X733"/>
  <c r="X825"/>
  <c r="X871"/>
  <c r="X409"/>
  <c r="Z317"/>
  <c r="W969"/>
  <c r="W779"/>
  <c r="U243" i="42" s="1"/>
  <c r="U323" i="30"/>
  <c r="U375" s="1"/>
  <c r="K331" i="44"/>
  <c r="K372" s="1"/>
  <c r="T129" i="42"/>
  <c r="V604" i="30"/>
  <c r="V324" i="44"/>
  <c r="V376" s="1"/>
  <c r="V399" s="1"/>
  <c r="S325" i="30"/>
  <c r="X565" i="44"/>
  <c r="Q232" i="42"/>
  <c r="M602" i="30"/>
  <c r="M708"/>
  <c r="K55" i="42"/>
  <c r="M731" i="30"/>
  <c r="M754"/>
  <c r="M800"/>
  <c r="M823"/>
  <c r="M556"/>
  <c r="M869"/>
  <c r="M533"/>
  <c r="M846"/>
  <c r="R817" i="44"/>
  <c r="BD49" i="42"/>
  <c r="R840" i="44"/>
  <c r="R702"/>
  <c r="R596"/>
  <c r="R527"/>
  <c r="R748"/>
  <c r="R550"/>
  <c r="R863"/>
  <c r="R725"/>
  <c r="R794"/>
  <c r="K732" i="30"/>
  <c r="K534"/>
  <c r="K603"/>
  <c r="K847"/>
  <c r="K824"/>
  <c r="K557"/>
  <c r="I56" i="42"/>
  <c r="K755" i="30"/>
  <c r="K801"/>
  <c r="K709"/>
  <c r="K870"/>
  <c r="R959"/>
  <c r="R769"/>
  <c r="P233" i="42" s="1"/>
  <c r="N822" i="30"/>
  <c r="N555"/>
  <c r="N868"/>
  <c r="L54" i="42"/>
  <c r="N601" i="30"/>
  <c r="N707"/>
  <c r="N753"/>
  <c r="N799"/>
  <c r="N845"/>
  <c r="N532"/>
  <c r="N730"/>
  <c r="L966" i="44"/>
  <c r="L776"/>
  <c r="AX240" i="42" s="1"/>
  <c r="M966" i="44"/>
  <c r="M776"/>
  <c r="AY240" i="42" s="1"/>
  <c r="AV128"/>
  <c r="O327" i="30"/>
  <c r="L329" i="44"/>
  <c r="L384" s="1"/>
  <c r="U565" i="30"/>
  <c r="K968" i="44"/>
  <c r="K778"/>
  <c r="AW242" i="42" s="1"/>
  <c r="U930" i="44"/>
  <c r="BG298" i="42" s="1"/>
  <c r="BG232"/>
  <c r="J788" i="30"/>
  <c r="J857"/>
  <c r="J834"/>
  <c r="J395"/>
  <c r="J696"/>
  <c r="J811"/>
  <c r="H43" i="42"/>
  <c r="J719" i="30"/>
  <c r="J742"/>
  <c r="J544"/>
  <c r="J521"/>
  <c r="P822" i="44"/>
  <c r="P532"/>
  <c r="P845"/>
  <c r="P799"/>
  <c r="P601"/>
  <c r="P753"/>
  <c r="P555"/>
  <c r="BB54" i="42"/>
  <c r="P707" i="44"/>
  <c r="P730"/>
  <c r="P868"/>
  <c r="Y969"/>
  <c r="Y779"/>
  <c r="BK243" i="42" s="1"/>
  <c r="W810" i="30"/>
  <c r="W833"/>
  <c r="W718"/>
  <c r="W856"/>
  <c r="W543"/>
  <c r="W787"/>
  <c r="W520"/>
  <c r="U42" i="42"/>
  <c r="W741" i="30"/>
  <c r="W695"/>
  <c r="W394"/>
  <c r="V569" i="44"/>
  <c r="V662"/>
  <c r="BH178" i="42" s="1"/>
  <c r="J599" i="44"/>
  <c r="J866"/>
  <c r="J530"/>
  <c r="J820"/>
  <c r="J728"/>
  <c r="J705"/>
  <c r="J553"/>
  <c r="AV52" i="42"/>
  <c r="J751" i="44"/>
  <c r="J797"/>
  <c r="J843"/>
  <c r="S959" i="30"/>
  <c r="S769"/>
  <c r="Q233" i="42" s="1"/>
  <c r="T346" i="30"/>
  <c r="Q571" i="44"/>
  <c r="Q595" s="1"/>
  <c r="N577"/>
  <c r="AZ126" i="42" s="1"/>
  <c r="Z343" i="44"/>
  <c r="Y344"/>
  <c r="X343" i="30"/>
  <c r="W580"/>
  <c r="J566" i="44"/>
  <c r="S572"/>
  <c r="BE121" i="42" s="1"/>
  <c r="O351" i="44"/>
  <c r="T593" i="30"/>
  <c r="I575" i="44"/>
  <c r="K579"/>
  <c r="AW128" i="42" s="1"/>
  <c r="X345" i="44"/>
  <c r="T347"/>
  <c r="W345"/>
  <c r="Q347" i="30"/>
  <c r="V345"/>
  <c r="Q348" i="44"/>
  <c r="R347" i="30"/>
  <c r="U347" i="44"/>
  <c r="O48" i="42" l="1"/>
  <c r="Q747" i="30"/>
  <c r="L577"/>
  <c r="J126" i="42" s="1"/>
  <c r="AQ510" i="30"/>
  <c r="AR25"/>
  <c r="AQ511"/>
  <c r="AR26"/>
  <c r="AR26" i="44"/>
  <c r="AQ511"/>
  <c r="AR23" i="30"/>
  <c r="AQ508"/>
  <c r="AQ510" i="44"/>
  <c r="AR25"/>
  <c r="Q526" i="30"/>
  <c r="Q571" s="1"/>
  <c r="O120" i="42" s="1"/>
  <c r="Q839" i="30"/>
  <c r="Q701"/>
  <c r="Q960" s="1"/>
  <c r="L776"/>
  <c r="J240" i="42" s="1"/>
  <c r="O572" i="30"/>
  <c r="M121" i="42" s="1"/>
  <c r="P701" i="30"/>
  <c r="P48" i="42"/>
  <c r="P747" i="30"/>
  <c r="R549"/>
  <c r="N772"/>
  <c r="L236" i="42" s="1"/>
  <c r="Q862" i="30"/>
  <c r="Q724"/>
  <c r="Q595"/>
  <c r="Q816"/>
  <c r="P793"/>
  <c r="R526"/>
  <c r="P526"/>
  <c r="P724"/>
  <c r="P595"/>
  <c r="R839"/>
  <c r="R724"/>
  <c r="R701"/>
  <c r="R960" s="1"/>
  <c r="AR12"/>
  <c r="AQ497"/>
  <c r="AR12" i="44"/>
  <c r="AQ497"/>
  <c r="P549" i="30"/>
  <c r="P862"/>
  <c r="N48" i="42"/>
  <c r="P839" i="30"/>
  <c r="R747"/>
  <c r="R595"/>
  <c r="R793"/>
  <c r="R862"/>
  <c r="N573"/>
  <c r="L122" i="42" s="1"/>
  <c r="S377" i="30"/>
  <c r="S747" s="1"/>
  <c r="O379"/>
  <c r="O597" s="1"/>
  <c r="BG119" i="42"/>
  <c r="U594" i="44"/>
  <c r="S595"/>
  <c r="AS505"/>
  <c r="AT20"/>
  <c r="I359" i="30"/>
  <c r="AS8" i="44"/>
  <c r="AR493"/>
  <c r="AT20" i="30"/>
  <c r="AS505"/>
  <c r="AS494"/>
  <c r="AT9"/>
  <c r="AT18"/>
  <c r="AS503"/>
  <c r="AS499" i="44"/>
  <c r="AT14"/>
  <c r="AR507" i="30"/>
  <c r="AS22"/>
  <c r="AR507" i="44"/>
  <c r="AS22"/>
  <c r="AT494"/>
  <c r="AU9"/>
  <c r="AT498" i="30"/>
  <c r="AU13"/>
  <c r="M578"/>
  <c r="K127" i="42" s="1"/>
  <c r="AQ500" i="30"/>
  <c r="AR15"/>
  <c r="AQ504"/>
  <c r="AR19"/>
  <c r="AS8"/>
  <c r="AR493"/>
  <c r="AS27" i="44"/>
  <c r="AR512"/>
  <c r="AR19"/>
  <c r="AQ504"/>
  <c r="AR512" i="30"/>
  <c r="AS27"/>
  <c r="N577"/>
  <c r="L126" i="42" s="1"/>
  <c r="AR11" i="30"/>
  <c r="AQ28"/>
  <c r="AQ496"/>
  <c r="AR11" i="44"/>
  <c r="AQ496"/>
  <c r="AQ28"/>
  <c r="AR21" i="30"/>
  <c r="AQ506"/>
  <c r="H573" i="44"/>
  <c r="AT122" i="42" s="1"/>
  <c r="H572" i="30"/>
  <c r="F121" i="42" s="1"/>
  <c r="D350" i="30"/>
  <c r="D329" s="1"/>
  <c r="D384" s="1"/>
  <c r="AU14"/>
  <c r="AT499"/>
  <c r="AT498" i="44"/>
  <c r="AU13"/>
  <c r="AU21"/>
  <c r="AT506"/>
  <c r="AU15"/>
  <c r="AT500"/>
  <c r="AU16"/>
  <c r="AT501"/>
  <c r="AT502"/>
  <c r="AU17"/>
  <c r="AT502" i="30"/>
  <c r="AU17"/>
  <c r="AV18" i="44"/>
  <c r="AU503"/>
  <c r="AT495"/>
  <c r="AU10"/>
  <c r="AU23"/>
  <c r="AT508"/>
  <c r="E579"/>
  <c r="AQ128" i="42" s="1"/>
  <c r="E590" i="30"/>
  <c r="G350"/>
  <c r="F577" i="44"/>
  <c r="AR126" i="42" s="1"/>
  <c r="H328" i="44"/>
  <c r="H383" s="1"/>
  <c r="H327" i="30"/>
  <c r="H379" s="1"/>
  <c r="F329" i="44"/>
  <c r="F384" s="1"/>
  <c r="AP54" i="42"/>
  <c r="D601" i="44"/>
  <c r="D799"/>
  <c r="D753"/>
  <c r="D707"/>
  <c r="D868"/>
  <c r="D532"/>
  <c r="D555"/>
  <c r="D730"/>
  <c r="D822"/>
  <c r="D845"/>
  <c r="E968"/>
  <c r="E778"/>
  <c r="AQ242" i="42" s="1"/>
  <c r="E955" i="30"/>
  <c r="E765"/>
  <c r="C229" i="42" s="1"/>
  <c r="G329" i="30"/>
  <c r="G384" s="1"/>
  <c r="F601"/>
  <c r="F730"/>
  <c r="F822"/>
  <c r="F845"/>
  <c r="F799"/>
  <c r="F555"/>
  <c r="F532"/>
  <c r="D54" i="42"/>
  <c r="F753" i="30"/>
  <c r="F707"/>
  <c r="F868"/>
  <c r="D962" i="44"/>
  <c r="D772"/>
  <c r="AP236" i="42" s="1"/>
  <c r="G776" i="44"/>
  <c r="AS240" i="42" s="1"/>
  <c r="G966" i="44"/>
  <c r="H961" i="30"/>
  <c r="H771"/>
  <c r="F235" i="42" s="1"/>
  <c r="E544" i="44"/>
  <c r="E395"/>
  <c r="E788"/>
  <c r="E696"/>
  <c r="E742"/>
  <c r="AQ43" i="42"/>
  <c r="E811" i="44"/>
  <c r="E719"/>
  <c r="E521"/>
  <c r="E566" s="1"/>
  <c r="AQ115" i="42" s="1"/>
  <c r="E834" i="44"/>
  <c r="E857"/>
  <c r="C52" i="42"/>
  <c r="E843" i="30"/>
  <c r="E866"/>
  <c r="E530"/>
  <c r="E705"/>
  <c r="E964" s="1"/>
  <c r="E797"/>
  <c r="E599"/>
  <c r="E820"/>
  <c r="E751"/>
  <c r="E553"/>
  <c r="E728"/>
  <c r="E774" s="1"/>
  <c r="C238" i="42" s="1"/>
  <c r="D601" i="30"/>
  <c r="B54" i="42"/>
  <c r="D868" i="30"/>
  <c r="D753"/>
  <c r="D707"/>
  <c r="D532"/>
  <c r="D555"/>
  <c r="D845"/>
  <c r="D730"/>
  <c r="D822"/>
  <c r="D799"/>
  <c r="G577" i="44"/>
  <c r="AS126" i="42" s="1"/>
  <c r="G329" i="44"/>
  <c r="G384" s="1"/>
  <c r="G555" i="30"/>
  <c r="G601"/>
  <c r="G730"/>
  <c r="G822"/>
  <c r="G707"/>
  <c r="G799"/>
  <c r="E54" i="42"/>
  <c r="G532" i="30"/>
  <c r="G753"/>
  <c r="G845"/>
  <c r="G868"/>
  <c r="F966" i="44"/>
  <c r="F776"/>
  <c r="AR240" i="42" s="1"/>
  <c r="D350" i="44"/>
  <c r="F350" i="30"/>
  <c r="D573" i="44"/>
  <c r="AP122" i="42" s="1"/>
  <c r="E353" i="44"/>
  <c r="E354" i="30"/>
  <c r="W345"/>
  <c r="W324" s="1"/>
  <c r="W376" s="1"/>
  <c r="AV10"/>
  <c r="AU495"/>
  <c r="AT509" i="44"/>
  <c r="AU24"/>
  <c r="AW16" i="30"/>
  <c r="AW501" s="1"/>
  <c r="AV501"/>
  <c r="P571"/>
  <c r="N120" i="42" s="1"/>
  <c r="T571" i="44"/>
  <c r="N351"/>
  <c r="N330" s="1"/>
  <c r="N385" s="1"/>
  <c r="AA343"/>
  <c r="AA322" s="1"/>
  <c r="AA371" s="1"/>
  <c r="M352" i="30"/>
  <c r="M331" s="1"/>
  <c r="M372" s="1"/>
  <c r="V346" i="44"/>
  <c r="V325" s="1"/>
  <c r="V377" s="1"/>
  <c r="V400" s="1"/>
  <c r="N351" i="30"/>
  <c r="N330" s="1"/>
  <c r="N385" s="1"/>
  <c r="P348"/>
  <c r="P327" s="1"/>
  <c r="P379" s="1"/>
  <c r="M351" i="44"/>
  <c r="M330" s="1"/>
  <c r="M385" s="1"/>
  <c r="I355"/>
  <c r="I334" s="1"/>
  <c r="I370" s="1"/>
  <c r="U571"/>
  <c r="J354" i="30"/>
  <c r="J333" s="1"/>
  <c r="J373" s="1"/>
  <c r="K353"/>
  <c r="K332" s="1"/>
  <c r="K381" s="1"/>
  <c r="U326" i="44"/>
  <c r="U378" s="1"/>
  <c r="W324"/>
  <c r="W376" s="1"/>
  <c r="W399" s="1"/>
  <c r="S868"/>
  <c r="BE54" i="42"/>
  <c r="S799" i="44"/>
  <c r="S822"/>
  <c r="S707"/>
  <c r="S555"/>
  <c r="S753"/>
  <c r="S730"/>
  <c r="S532"/>
  <c r="S601"/>
  <c r="S845"/>
  <c r="J964"/>
  <c r="J774"/>
  <c r="AV238" i="42" s="1"/>
  <c r="L800" i="44"/>
  <c r="L823"/>
  <c r="L754"/>
  <c r="AX55" i="42"/>
  <c r="L602" i="44"/>
  <c r="L869"/>
  <c r="L731"/>
  <c r="L708"/>
  <c r="L556"/>
  <c r="L533"/>
  <c r="L846"/>
  <c r="K968" i="30"/>
  <c r="K778"/>
  <c r="I242" i="42" s="1"/>
  <c r="M967" i="30"/>
  <c r="M777"/>
  <c r="K241" i="42" s="1"/>
  <c r="P960" i="30"/>
  <c r="K811" i="44"/>
  <c r="K834"/>
  <c r="K788"/>
  <c r="K395"/>
  <c r="K696"/>
  <c r="K521"/>
  <c r="K544"/>
  <c r="K719"/>
  <c r="K857"/>
  <c r="K742"/>
  <c r="AW43" i="42"/>
  <c r="U699" i="30"/>
  <c r="S46" i="42"/>
  <c r="U791" i="30"/>
  <c r="U860"/>
  <c r="U547"/>
  <c r="U745"/>
  <c r="U524"/>
  <c r="U814"/>
  <c r="U722"/>
  <c r="U837"/>
  <c r="U398"/>
  <c r="X779"/>
  <c r="V243" i="42" s="1"/>
  <c r="X969" i="30"/>
  <c r="N823"/>
  <c r="N800"/>
  <c r="N754"/>
  <c r="N708"/>
  <c r="N846"/>
  <c r="L55" i="42"/>
  <c r="N602" i="30"/>
  <c r="N556"/>
  <c r="N533"/>
  <c r="N731"/>
  <c r="N869"/>
  <c r="T114" i="42"/>
  <c r="V589" i="30"/>
  <c r="AC317" i="44"/>
  <c r="L556" i="30"/>
  <c r="J55" i="42"/>
  <c r="L708" i="30"/>
  <c r="L602"/>
  <c r="L731"/>
  <c r="L754"/>
  <c r="L533"/>
  <c r="L578" s="1"/>
  <c r="L846"/>
  <c r="L823"/>
  <c r="L800"/>
  <c r="L869"/>
  <c r="AX126" i="42"/>
  <c r="S962" i="44"/>
  <c r="S772"/>
  <c r="BE236" i="42" s="1"/>
  <c r="U770" i="44"/>
  <c r="BG234" i="42" s="1"/>
  <c r="U960" i="44"/>
  <c r="J697"/>
  <c r="J743"/>
  <c r="J522"/>
  <c r="J789"/>
  <c r="J858"/>
  <c r="J835"/>
  <c r="J545"/>
  <c r="AV44" i="42"/>
  <c r="J812" i="44"/>
  <c r="J720"/>
  <c r="J396"/>
  <c r="Q961"/>
  <c r="Q771"/>
  <c r="BC235" i="42" s="1"/>
  <c r="P533" i="44"/>
  <c r="P869"/>
  <c r="P800"/>
  <c r="BB55" i="42"/>
  <c r="P846" i="44"/>
  <c r="P823"/>
  <c r="P556"/>
  <c r="P708"/>
  <c r="P602"/>
  <c r="P754"/>
  <c r="P731"/>
  <c r="W569"/>
  <c r="W662"/>
  <c r="BI178" i="42" s="1"/>
  <c r="X569" i="44"/>
  <c r="X662"/>
  <c r="BJ178" i="42" s="1"/>
  <c r="X958" i="44"/>
  <c r="X664" s="1"/>
  <c r="BJ180" i="42" s="1"/>
  <c r="X768" i="44"/>
  <c r="Y848" i="30"/>
  <c r="Y733"/>
  <c r="Y535"/>
  <c r="Y825"/>
  <c r="Y871"/>
  <c r="W57" i="42"/>
  <c r="Y802" i="30"/>
  <c r="Y558"/>
  <c r="Y756"/>
  <c r="Y710"/>
  <c r="Y409"/>
  <c r="K395"/>
  <c r="K719"/>
  <c r="K857"/>
  <c r="K521"/>
  <c r="K544"/>
  <c r="K811"/>
  <c r="I43" i="42"/>
  <c r="K788" i="30"/>
  <c r="K742"/>
  <c r="K834"/>
  <c r="K696"/>
  <c r="T769"/>
  <c r="R233" i="42" s="1"/>
  <c r="T959" i="30"/>
  <c r="K579"/>
  <c r="X580"/>
  <c r="S573" i="44"/>
  <c r="BE122" i="42" s="1"/>
  <c r="V569" i="30"/>
  <c r="R349" i="44"/>
  <c r="R326" i="30"/>
  <c r="V324"/>
  <c r="V376" s="1"/>
  <c r="X324" i="44"/>
  <c r="X376" s="1"/>
  <c r="X399" s="1"/>
  <c r="AU124" i="42"/>
  <c r="AV115"/>
  <c r="J590" i="44"/>
  <c r="U129" i="42"/>
  <c r="W604" i="30"/>
  <c r="Y323" i="44"/>
  <c r="Y375" s="1"/>
  <c r="BC120" i="42"/>
  <c r="W954" i="30"/>
  <c r="W764"/>
  <c r="U228" i="42" s="1"/>
  <c r="P966" i="44"/>
  <c r="P776"/>
  <c r="BB240" i="42" s="1"/>
  <c r="J955" i="30"/>
  <c r="J765"/>
  <c r="H229" i="42" s="1"/>
  <c r="Q327" i="44"/>
  <c r="Q379" s="1"/>
  <c r="Q326" i="30"/>
  <c r="T326" i="44"/>
  <c r="T378" s="1"/>
  <c r="O330"/>
  <c r="O385" s="1"/>
  <c r="X322" i="30"/>
  <c r="X371" s="1"/>
  <c r="Z322" i="44"/>
  <c r="Z371" s="1"/>
  <c r="T325" i="30"/>
  <c r="BH118" i="42"/>
  <c r="V593" i="44"/>
  <c r="W565" i="30"/>
  <c r="S114" i="42"/>
  <c r="U589" i="30"/>
  <c r="N966"/>
  <c r="N776"/>
  <c r="L240" i="42" s="1"/>
  <c r="R961" i="44"/>
  <c r="R771"/>
  <c r="BD235" i="42" s="1"/>
  <c r="BJ114"/>
  <c r="X589" i="44"/>
  <c r="V723"/>
  <c r="V792"/>
  <c r="V815"/>
  <c r="BH47" i="42"/>
  <c r="V700" i="44"/>
  <c r="V861"/>
  <c r="V746"/>
  <c r="V525"/>
  <c r="V548"/>
  <c r="V838"/>
  <c r="Z321" i="30"/>
  <c r="Z386" s="1"/>
  <c r="Z969" i="44"/>
  <c r="Z779"/>
  <c r="BL243" i="42" s="1"/>
  <c r="P748" i="30"/>
  <c r="P794"/>
  <c r="P550"/>
  <c r="P527"/>
  <c r="P863"/>
  <c r="P702"/>
  <c r="P817"/>
  <c r="P725"/>
  <c r="P840"/>
  <c r="N49" i="42"/>
  <c r="P596" i="30"/>
  <c r="M708" i="44"/>
  <c r="M846"/>
  <c r="M602"/>
  <c r="M869"/>
  <c r="M800"/>
  <c r="M754"/>
  <c r="AY55" i="42"/>
  <c r="M823" i="44"/>
  <c r="M533"/>
  <c r="M731"/>
  <c r="M556"/>
  <c r="I720"/>
  <c r="I789"/>
  <c r="I835"/>
  <c r="AU44" i="42"/>
  <c r="I743" i="44"/>
  <c r="I812"/>
  <c r="I858"/>
  <c r="I697"/>
  <c r="I522"/>
  <c r="I545"/>
  <c r="I396"/>
  <c r="BH232" i="42"/>
  <c r="V930" i="44"/>
  <c r="BH298" i="42" s="1"/>
  <c r="W837" i="30"/>
  <c r="U46" i="42"/>
  <c r="W791" i="30"/>
  <c r="W814"/>
  <c r="W699"/>
  <c r="W524"/>
  <c r="W722"/>
  <c r="W547"/>
  <c r="W860"/>
  <c r="W745"/>
  <c r="W398"/>
  <c r="V768"/>
  <c r="V958"/>
  <c r="J728"/>
  <c r="H52" i="42"/>
  <c r="J751" i="30"/>
  <c r="J705"/>
  <c r="J866"/>
  <c r="J820"/>
  <c r="J797"/>
  <c r="J553"/>
  <c r="J599"/>
  <c r="J530"/>
  <c r="J843"/>
  <c r="W768" i="44"/>
  <c r="W958"/>
  <c r="W664" s="1"/>
  <c r="BI180" i="42" s="1"/>
  <c r="T770" i="44"/>
  <c r="BF234" i="42" s="1"/>
  <c r="T960" i="44"/>
  <c r="AT509" i="30"/>
  <c r="AU24"/>
  <c r="R232" i="42"/>
  <c r="N846" i="44"/>
  <c r="N708"/>
  <c r="N823"/>
  <c r="AZ55" i="42"/>
  <c r="N800" i="44"/>
  <c r="N754"/>
  <c r="N533"/>
  <c r="N602"/>
  <c r="N731"/>
  <c r="N869"/>
  <c r="N556"/>
  <c r="O967"/>
  <c r="O777"/>
  <c r="BA241" i="42" s="1"/>
  <c r="AB321" i="44"/>
  <c r="AB386" s="1"/>
  <c r="AA317" i="30"/>
  <c r="AA733" i="44"/>
  <c r="BM57" i="42"/>
  <c r="AA848" i="44"/>
  <c r="AA535"/>
  <c r="AA710"/>
  <c r="AA558"/>
  <c r="AA825"/>
  <c r="AA802"/>
  <c r="AA871"/>
  <c r="AA756"/>
  <c r="AA409"/>
  <c r="Y565"/>
  <c r="Y954"/>
  <c r="Y764"/>
  <c r="BK228" i="42" s="1"/>
  <c r="AB316" i="30"/>
  <c r="AB295" s="1"/>
  <c r="R841" i="44"/>
  <c r="R864"/>
  <c r="R749"/>
  <c r="R528"/>
  <c r="R818"/>
  <c r="R703"/>
  <c r="R597"/>
  <c r="R726"/>
  <c r="R551"/>
  <c r="BD50" i="42"/>
  <c r="R795" i="44"/>
  <c r="M801" i="30"/>
  <c r="M755"/>
  <c r="M847"/>
  <c r="M557"/>
  <c r="M709"/>
  <c r="M732"/>
  <c r="K56" i="42"/>
  <c r="M870" i="30"/>
  <c r="M534"/>
  <c r="M603"/>
  <c r="M824"/>
  <c r="AC315"/>
  <c r="AC294" s="1"/>
  <c r="S350" i="44"/>
  <c r="J575"/>
  <c r="AV124" i="42" s="1"/>
  <c r="P577" i="44"/>
  <c r="BB126" i="42" s="1"/>
  <c r="J566" i="30"/>
  <c r="L351" i="44"/>
  <c r="O349" i="30"/>
  <c r="R572" i="44"/>
  <c r="BD121" i="42" s="1"/>
  <c r="S347" i="30"/>
  <c r="K353" i="44"/>
  <c r="U345" i="30"/>
  <c r="Z580" i="44"/>
  <c r="L351" i="30"/>
  <c r="J355" i="44"/>
  <c r="Q572"/>
  <c r="P351"/>
  <c r="O578"/>
  <c r="BA127" i="42" s="1"/>
  <c r="Y343" i="30"/>
  <c r="T570"/>
  <c r="R119" i="42" s="1"/>
  <c r="M50" l="1"/>
  <c r="S549" i="30"/>
  <c r="O795"/>
  <c r="AS23"/>
  <c r="AR508"/>
  <c r="AS26" i="44"/>
  <c r="AR511"/>
  <c r="AR510"/>
  <c r="AS25"/>
  <c r="AS26" i="30"/>
  <c r="AR511"/>
  <c r="AS25"/>
  <c r="AR510"/>
  <c r="O703"/>
  <c r="Q770"/>
  <c r="O234" i="42" s="1"/>
  <c r="O749" i="30"/>
  <c r="O841"/>
  <c r="O551"/>
  <c r="R571"/>
  <c r="P120" i="42" s="1"/>
  <c r="O864" i="30"/>
  <c r="O726"/>
  <c r="O528"/>
  <c r="O818"/>
  <c r="P770"/>
  <c r="N234" i="42" s="1"/>
  <c r="S862" i="30"/>
  <c r="R770"/>
  <c r="P234" i="42" s="1"/>
  <c r="S724" i="30"/>
  <c r="Q48" i="42"/>
  <c r="S701" i="30"/>
  <c r="S960" s="1"/>
  <c r="S595"/>
  <c r="S839"/>
  <c r="S526"/>
  <c r="S571" s="1"/>
  <c r="Q120" i="42" s="1"/>
  <c r="S816" i="30"/>
  <c r="S793"/>
  <c r="AR497" i="44"/>
  <c r="AS12"/>
  <c r="AS12" i="30"/>
  <c r="AR497"/>
  <c r="T377"/>
  <c r="T595" s="1"/>
  <c r="Q378"/>
  <c r="Q596" s="1"/>
  <c r="R378"/>
  <c r="R550" s="1"/>
  <c r="J575"/>
  <c r="H124" i="42" s="1"/>
  <c r="BG120"/>
  <c r="U595" i="44"/>
  <c r="BF120" i="42"/>
  <c r="T595" i="44"/>
  <c r="AU20"/>
  <c r="AT505"/>
  <c r="I338" i="30"/>
  <c r="AT8" i="44"/>
  <c r="AS493"/>
  <c r="AU20" i="30"/>
  <c r="AT505"/>
  <c r="AT494"/>
  <c r="AU9"/>
  <c r="U569"/>
  <c r="S118" i="42" s="1"/>
  <c r="AT503" i="30"/>
  <c r="AU18"/>
  <c r="AT499" i="44"/>
  <c r="AU14"/>
  <c r="AT22"/>
  <c r="AS507"/>
  <c r="AT22" i="30"/>
  <c r="AS507"/>
  <c r="AU494" i="44"/>
  <c r="AV9"/>
  <c r="AV13" i="30"/>
  <c r="AU498"/>
  <c r="AS19" i="44"/>
  <c r="AR504"/>
  <c r="AS512"/>
  <c r="AT27"/>
  <c r="AT8" i="30"/>
  <c r="AS493"/>
  <c r="AS512"/>
  <c r="AT27"/>
  <c r="AS19"/>
  <c r="AR504"/>
  <c r="AS15"/>
  <c r="AR500"/>
  <c r="AS21"/>
  <c r="AR506"/>
  <c r="AR496"/>
  <c r="AS11"/>
  <c r="AR28"/>
  <c r="AR496" i="44"/>
  <c r="AR28"/>
  <c r="AS11"/>
  <c r="AV14" i="30"/>
  <c r="AU499"/>
  <c r="AV13" i="44"/>
  <c r="AU498"/>
  <c r="AU506"/>
  <c r="AV21"/>
  <c r="AV23"/>
  <c r="AU508"/>
  <c r="AV503"/>
  <c r="AW18"/>
  <c r="AW503" s="1"/>
  <c r="AV16"/>
  <c r="AU501"/>
  <c r="AV15"/>
  <c r="AU500"/>
  <c r="AV10"/>
  <c r="AU495"/>
  <c r="AU502" i="30"/>
  <c r="AV17"/>
  <c r="AV17" i="44"/>
  <c r="AU502"/>
  <c r="D351" i="30"/>
  <c r="F577"/>
  <c r="D126" i="42" s="1"/>
  <c r="E590" i="44"/>
  <c r="E333" i="30"/>
  <c r="E370" s="1"/>
  <c r="D329" i="44"/>
  <c r="D384" s="1"/>
  <c r="D731" i="30"/>
  <c r="D556"/>
  <c r="D823"/>
  <c r="D754"/>
  <c r="D602"/>
  <c r="D533"/>
  <c r="D578" s="1"/>
  <c r="B127" i="42" s="1"/>
  <c r="D846" i="30"/>
  <c r="D869"/>
  <c r="B55" i="42"/>
  <c r="D708" i="30"/>
  <c r="D800"/>
  <c r="F966"/>
  <c r="F776"/>
  <c r="D240" i="42" s="1"/>
  <c r="D966" i="44"/>
  <c r="D776"/>
  <c r="AP240" i="42" s="1"/>
  <c r="G577" i="30"/>
  <c r="E126" i="42" s="1"/>
  <c r="G351" i="44"/>
  <c r="D577" i="30"/>
  <c r="B126" i="42" s="1"/>
  <c r="G351" i="30"/>
  <c r="D577" i="44"/>
  <c r="AP126" i="42" s="1"/>
  <c r="F351" i="44"/>
  <c r="H349" i="30"/>
  <c r="H350" i="44"/>
  <c r="E332"/>
  <c r="E381" s="1"/>
  <c r="F329" i="30"/>
  <c r="F384" s="1"/>
  <c r="D330"/>
  <c r="D385" s="1"/>
  <c r="G966"/>
  <c r="G776"/>
  <c r="E240" i="42" s="1"/>
  <c r="G823" i="44"/>
  <c r="G708"/>
  <c r="G533"/>
  <c r="G869"/>
  <c r="G846"/>
  <c r="G602"/>
  <c r="AS55" i="42"/>
  <c r="G731" i="44"/>
  <c r="G800"/>
  <c r="G556"/>
  <c r="G754"/>
  <c r="D966" i="30"/>
  <c r="D776"/>
  <c r="B240" i="42" s="1"/>
  <c r="E955" i="44"/>
  <c r="E765"/>
  <c r="AQ229" i="42" s="1"/>
  <c r="G533" i="30"/>
  <c r="G731"/>
  <c r="G823"/>
  <c r="G556"/>
  <c r="E55" i="42"/>
  <c r="G708" i="30"/>
  <c r="G846"/>
  <c r="G602"/>
  <c r="G754"/>
  <c r="G869"/>
  <c r="G800"/>
  <c r="F823" i="44"/>
  <c r="F556"/>
  <c r="F754"/>
  <c r="F731"/>
  <c r="F800"/>
  <c r="AR55" i="42"/>
  <c r="F869" i="44"/>
  <c r="F708"/>
  <c r="F602"/>
  <c r="F533"/>
  <c r="F578" s="1"/>
  <c r="AR127" i="42" s="1"/>
  <c r="F846" i="44"/>
  <c r="H528" i="30"/>
  <c r="H818"/>
  <c r="H864"/>
  <c r="H551"/>
  <c r="H703"/>
  <c r="H841"/>
  <c r="H749"/>
  <c r="F50" i="42"/>
  <c r="H726" i="30"/>
  <c r="H795"/>
  <c r="H597"/>
  <c r="H532" i="44"/>
  <c r="AT54" i="42"/>
  <c r="H868" i="44"/>
  <c r="H730"/>
  <c r="H822"/>
  <c r="H601"/>
  <c r="H555"/>
  <c r="H707"/>
  <c r="H799"/>
  <c r="H753"/>
  <c r="H845"/>
  <c r="E575" i="30"/>
  <c r="C124" i="42" s="1"/>
  <c r="U348" i="44"/>
  <c r="U327" s="1"/>
  <c r="U379" s="1"/>
  <c r="AV495" i="30"/>
  <c r="AW10"/>
  <c r="AW495" s="1"/>
  <c r="AV24" i="44"/>
  <c r="AU509"/>
  <c r="V346" i="30"/>
  <c r="V325" s="1"/>
  <c r="R348"/>
  <c r="R327" s="1"/>
  <c r="R379" s="1"/>
  <c r="Y580"/>
  <c r="K354"/>
  <c r="K333" s="1"/>
  <c r="K373" s="1"/>
  <c r="I567" i="44"/>
  <c r="I591" s="1"/>
  <c r="Z343" i="30"/>
  <c r="Z322" s="1"/>
  <c r="Z371" s="1"/>
  <c r="V570" i="44"/>
  <c r="P572" i="30"/>
  <c r="N121" i="42" s="1"/>
  <c r="T348" i="44"/>
  <c r="T327" s="1"/>
  <c r="T379" s="1"/>
  <c r="O573" i="30"/>
  <c r="M122" i="42" s="1"/>
  <c r="N352" i="44"/>
  <c r="N331" s="1"/>
  <c r="N372" s="1"/>
  <c r="J355" i="30"/>
  <c r="J334" s="1"/>
  <c r="J370" s="1"/>
  <c r="I356" i="44"/>
  <c r="I335" s="1"/>
  <c r="I367" s="1"/>
  <c r="P349" i="30"/>
  <c r="P328" s="1"/>
  <c r="P383" s="1"/>
  <c r="N578"/>
  <c r="L127" i="42" s="1"/>
  <c r="K566" i="44"/>
  <c r="V347"/>
  <c r="V326" s="1"/>
  <c r="V378" s="1"/>
  <c r="L578"/>
  <c r="AX127" i="42" s="1"/>
  <c r="S577" i="44"/>
  <c r="BE126" i="42" s="1"/>
  <c r="Y322" i="30"/>
  <c r="Y371" s="1"/>
  <c r="P330" i="44"/>
  <c r="P385" s="1"/>
  <c r="J334"/>
  <c r="J370" s="1"/>
  <c r="U324" i="30"/>
  <c r="U376" s="1"/>
  <c r="S326"/>
  <c r="L330" i="44"/>
  <c r="L385" s="1"/>
  <c r="AC316" i="30"/>
  <c r="AC295" s="1"/>
  <c r="AB733" i="44"/>
  <c r="AB802"/>
  <c r="AB871"/>
  <c r="AB848"/>
  <c r="AB756"/>
  <c r="BN57" i="42"/>
  <c r="AB558" i="44"/>
  <c r="AB710"/>
  <c r="AB535"/>
  <c r="AB580" s="1"/>
  <c r="BN129" i="42" s="1"/>
  <c r="AB825" i="44"/>
  <c r="AB409"/>
  <c r="N967"/>
  <c r="N777"/>
  <c r="AZ241" i="42" s="1"/>
  <c r="BC121"/>
  <c r="L330" i="30"/>
  <c r="L385" s="1"/>
  <c r="BL129" i="42"/>
  <c r="Z604" i="44"/>
  <c r="K332"/>
  <c r="K381" s="1"/>
  <c r="O328" i="30"/>
  <c r="H115" i="42"/>
  <c r="J590" i="30"/>
  <c r="M778"/>
  <c r="K242" i="42" s="1"/>
  <c r="M968" i="30"/>
  <c r="R962" i="44"/>
  <c r="R772"/>
  <c r="BD236" i="42" s="1"/>
  <c r="K553" i="30"/>
  <c r="I52" i="42"/>
  <c r="K843" i="30"/>
  <c r="K797"/>
  <c r="K866"/>
  <c r="K728"/>
  <c r="K530"/>
  <c r="K575" s="1"/>
  <c r="I124" i="42" s="1"/>
  <c r="K599" i="30"/>
  <c r="K705"/>
  <c r="K751"/>
  <c r="K820"/>
  <c r="AV24"/>
  <c r="AU509"/>
  <c r="T232" i="42"/>
  <c r="W958" i="30"/>
  <c r="W768"/>
  <c r="I956" i="44"/>
  <c r="I766"/>
  <c r="AU230" i="42" s="1"/>
  <c r="M967" i="44"/>
  <c r="M777"/>
  <c r="AY241" i="42" s="1"/>
  <c r="Z535" i="30"/>
  <c r="Z756"/>
  <c r="Z710"/>
  <c r="Z848"/>
  <c r="Z558"/>
  <c r="Z825"/>
  <c r="X57" i="42"/>
  <c r="Z802" i="30"/>
  <c r="Z871"/>
  <c r="Z733"/>
  <c r="Z409"/>
  <c r="V769" i="44"/>
  <c r="BH233" i="42" s="1"/>
  <c r="V959" i="44"/>
  <c r="U114" i="42"/>
  <c r="W589" i="30"/>
  <c r="T817" i="44"/>
  <c r="BF49" i="42"/>
  <c r="T748" i="44"/>
  <c r="T840"/>
  <c r="T725"/>
  <c r="T702"/>
  <c r="T527"/>
  <c r="T596"/>
  <c r="T863"/>
  <c r="T550"/>
  <c r="T794"/>
  <c r="O962" i="30"/>
  <c r="V594"/>
  <c r="V792"/>
  <c r="V548"/>
  <c r="V746"/>
  <c r="V525"/>
  <c r="V570" s="1"/>
  <c r="T119" i="42" s="1"/>
  <c r="V700" i="30"/>
  <c r="V838"/>
  <c r="V723"/>
  <c r="T47" i="42"/>
  <c r="V861" i="30"/>
  <c r="V815"/>
  <c r="R328" i="44"/>
  <c r="R383" s="1"/>
  <c r="T118" i="42"/>
  <c r="V593" i="30"/>
  <c r="I128" i="42"/>
  <c r="K955" i="30"/>
  <c r="K765"/>
  <c r="I229" i="42" s="1"/>
  <c r="Y969" i="30"/>
  <c r="Y779"/>
  <c r="W243" i="42" s="1"/>
  <c r="X930" i="44"/>
  <c r="BJ298" i="42" s="1"/>
  <c r="BJ232"/>
  <c r="W700" i="30"/>
  <c r="W723"/>
  <c r="W525"/>
  <c r="W815"/>
  <c r="W594"/>
  <c r="W792"/>
  <c r="W548"/>
  <c r="U47" i="42"/>
  <c r="W861" i="30"/>
  <c r="W838"/>
  <c r="W746"/>
  <c r="J956" i="44"/>
  <c r="J766"/>
  <c r="AV230" i="42" s="1"/>
  <c r="M801" i="44"/>
  <c r="M557"/>
  <c r="M824"/>
  <c r="M534"/>
  <c r="M732"/>
  <c r="AY56" i="42"/>
  <c r="M709" i="44"/>
  <c r="M847"/>
  <c r="M603"/>
  <c r="M755"/>
  <c r="M870"/>
  <c r="U958" i="30"/>
  <c r="U768"/>
  <c r="K765" i="44"/>
  <c r="AW229" i="42" s="1"/>
  <c r="K955" i="44"/>
  <c r="V816"/>
  <c r="V862"/>
  <c r="V526"/>
  <c r="V793"/>
  <c r="V549"/>
  <c r="V701"/>
  <c r="BH48" i="42"/>
  <c r="V747" i="44"/>
  <c r="V839"/>
  <c r="V724"/>
  <c r="M579" i="30"/>
  <c r="K128" i="42" s="1"/>
  <c r="R573" i="44"/>
  <c r="BD122" i="42" s="1"/>
  <c r="AA580" i="44"/>
  <c r="AB343"/>
  <c r="N578"/>
  <c r="AZ127" i="42" s="1"/>
  <c r="M578" i="44"/>
  <c r="AY127" i="42" s="1"/>
  <c r="N352" i="30"/>
  <c r="T347"/>
  <c r="Z344" i="44"/>
  <c r="X344" i="30"/>
  <c r="O352" i="44"/>
  <c r="Q348" i="30"/>
  <c r="Q349" i="44"/>
  <c r="Y345"/>
  <c r="X346"/>
  <c r="M353" i="30"/>
  <c r="K566"/>
  <c r="AA344" i="44"/>
  <c r="P578"/>
  <c r="BB127" i="42" s="1"/>
  <c r="J567" i="44"/>
  <c r="W346"/>
  <c r="S329"/>
  <c r="S384" s="1"/>
  <c r="AB317" i="30"/>
  <c r="BK114" i="42"/>
  <c r="Y589" i="44"/>
  <c r="AA779"/>
  <c r="BM243" i="42" s="1"/>
  <c r="AA969" i="44"/>
  <c r="AA321" i="30"/>
  <c r="AA386" s="1"/>
  <c r="W930" i="44"/>
  <c r="BI298" i="42" s="1"/>
  <c r="BI232"/>
  <c r="J774" i="30"/>
  <c r="H238" i="42" s="1"/>
  <c r="J964" i="30"/>
  <c r="P961"/>
  <c r="P771"/>
  <c r="N235" i="42" s="1"/>
  <c r="N534" i="30"/>
  <c r="N557"/>
  <c r="L56" i="42"/>
  <c r="N847" i="30"/>
  <c r="N603"/>
  <c r="N709"/>
  <c r="N870"/>
  <c r="N801"/>
  <c r="N824"/>
  <c r="N755"/>
  <c r="N732"/>
  <c r="T839"/>
  <c r="Z718" i="44"/>
  <c r="Z810"/>
  <c r="Z695"/>
  <c r="Z741"/>
  <c r="Z520"/>
  <c r="Z787"/>
  <c r="Z856"/>
  <c r="Z543"/>
  <c r="Z833"/>
  <c r="BL42" i="42"/>
  <c r="Z394" i="44"/>
  <c r="X543" i="30"/>
  <c r="X741"/>
  <c r="X695"/>
  <c r="X856"/>
  <c r="X520"/>
  <c r="X787"/>
  <c r="V42" i="42"/>
  <c r="X810" i="30"/>
  <c r="X718"/>
  <c r="X833"/>
  <c r="X394"/>
  <c r="O847" i="44"/>
  <c r="O534"/>
  <c r="O870"/>
  <c r="O801"/>
  <c r="BA56" i="42"/>
  <c r="O755" i="44"/>
  <c r="O732"/>
  <c r="O603"/>
  <c r="O557"/>
  <c r="O709"/>
  <c r="O824"/>
  <c r="Q749"/>
  <c r="Q864"/>
  <c r="Q551"/>
  <c r="Q726"/>
  <c r="BC50" i="42"/>
  <c r="Q795" i="44"/>
  <c r="Q528"/>
  <c r="Q573" s="1"/>
  <c r="Q818"/>
  <c r="Q597"/>
  <c r="Q703"/>
  <c r="Q841"/>
  <c r="Y860"/>
  <c r="Y934" s="1"/>
  <c r="BK302" i="42" s="1"/>
  <c r="Y814" i="44"/>
  <c r="Y932" s="1"/>
  <c r="BK300" i="42" s="1"/>
  <c r="Y524" i="44"/>
  <c r="BK46" i="42"/>
  <c r="Y791" i="44"/>
  <c r="Y931" s="1"/>
  <c r="BK299" i="42" s="1"/>
  <c r="Y699" i="44"/>
  <c r="Y722"/>
  <c r="Y745"/>
  <c r="Y547"/>
  <c r="Y663" s="1"/>
  <c r="BK179" i="42" s="1"/>
  <c r="Y837" i="44"/>
  <c r="Y933" s="1"/>
  <c r="BK301" i="42" s="1"/>
  <c r="Y398" i="44"/>
  <c r="BJ47" i="42"/>
  <c r="X792" i="44"/>
  <c r="X700"/>
  <c r="X525"/>
  <c r="X746"/>
  <c r="X815"/>
  <c r="X838"/>
  <c r="X723"/>
  <c r="X861"/>
  <c r="X548"/>
  <c r="V129" i="42"/>
  <c r="X604" i="30"/>
  <c r="M742"/>
  <c r="M521"/>
  <c r="M811"/>
  <c r="M544"/>
  <c r="M395"/>
  <c r="M788"/>
  <c r="M857"/>
  <c r="M696"/>
  <c r="M719"/>
  <c r="K43" i="42"/>
  <c r="M834" i="30"/>
  <c r="AA543" i="44"/>
  <c r="AA856"/>
  <c r="AA718"/>
  <c r="AA520"/>
  <c r="AA695"/>
  <c r="AA833"/>
  <c r="BM42" i="42"/>
  <c r="AA787" i="44"/>
  <c r="AA741"/>
  <c r="AA810"/>
  <c r="AA394"/>
  <c r="N870"/>
  <c r="N534"/>
  <c r="N847"/>
  <c r="N824"/>
  <c r="N557"/>
  <c r="N755"/>
  <c r="N801"/>
  <c r="N603"/>
  <c r="N709"/>
  <c r="AZ56" i="42"/>
  <c r="N732" i="44"/>
  <c r="BJ118" i="42"/>
  <c r="X593" i="44"/>
  <c r="BI118" i="42"/>
  <c r="W593" i="44"/>
  <c r="J697" i="30"/>
  <c r="J545"/>
  <c r="J522"/>
  <c r="H44" i="42"/>
  <c r="J858" i="30"/>
  <c r="J835"/>
  <c r="J720"/>
  <c r="J396"/>
  <c r="J789"/>
  <c r="J743"/>
  <c r="J812"/>
  <c r="P967" i="44"/>
  <c r="P777"/>
  <c r="BB241" i="42" s="1"/>
  <c r="J127"/>
  <c r="L777" i="30"/>
  <c r="J241" i="42" s="1"/>
  <c r="L967" i="30"/>
  <c r="I786" i="44"/>
  <c r="I393"/>
  <c r="I694"/>
  <c r="AU41" i="42"/>
  <c r="I717" i="44"/>
  <c r="I740"/>
  <c r="I519"/>
  <c r="I832"/>
  <c r="I809"/>
  <c r="I542"/>
  <c r="I855"/>
  <c r="AC321"/>
  <c r="AC386" s="1"/>
  <c r="P551" i="30"/>
  <c r="P818"/>
  <c r="P703"/>
  <c r="P864"/>
  <c r="P528"/>
  <c r="P573" s="1"/>
  <c r="N122" i="42" s="1"/>
  <c r="P795" i="30"/>
  <c r="P726"/>
  <c r="P597"/>
  <c r="N50" i="42"/>
  <c r="P749" i="30"/>
  <c r="P841"/>
  <c r="N777"/>
  <c r="L241" i="42" s="1"/>
  <c r="N967" i="30"/>
  <c r="L967" i="44"/>
  <c r="L777"/>
  <c r="AX241" i="42" s="1"/>
  <c r="S966" i="44"/>
  <c r="S776"/>
  <c r="BE240" i="42" s="1"/>
  <c r="W792" i="44"/>
  <c r="W861"/>
  <c r="W746"/>
  <c r="BI47" i="42"/>
  <c r="W548" i="44"/>
  <c r="W815"/>
  <c r="W700"/>
  <c r="W525"/>
  <c r="W838"/>
  <c r="W723"/>
  <c r="U863"/>
  <c r="U748"/>
  <c r="BG49" i="42"/>
  <c r="U725" i="44"/>
  <c r="U794"/>
  <c r="U550"/>
  <c r="U817"/>
  <c r="U702"/>
  <c r="U527"/>
  <c r="U840"/>
  <c r="U596"/>
  <c r="W569" i="30"/>
  <c r="W346"/>
  <c r="M352" i="44"/>
  <c r="AS510" i="30" l="1"/>
  <c r="AT25"/>
  <c r="AT26"/>
  <c r="AS511"/>
  <c r="AT26" i="44"/>
  <c r="AS511"/>
  <c r="AS508" i="30"/>
  <c r="AT23"/>
  <c r="AT25" i="44"/>
  <c r="AS510"/>
  <c r="Q840" i="30"/>
  <c r="O772"/>
  <c r="M236" i="42" s="1"/>
  <c r="S770" i="30"/>
  <c r="Q234" i="42" s="1"/>
  <c r="T701" i="30"/>
  <c r="T960" s="1"/>
  <c r="T724"/>
  <c r="Q550"/>
  <c r="Q702"/>
  <c r="Q961" s="1"/>
  <c r="Q748"/>
  <c r="Q863"/>
  <c r="T793"/>
  <c r="T862"/>
  <c r="T526"/>
  <c r="AT12"/>
  <c r="AS497"/>
  <c r="AS497" i="44"/>
  <c r="AT12"/>
  <c r="R48" i="42"/>
  <c r="T747" i="30"/>
  <c r="T549"/>
  <c r="T816"/>
  <c r="Q794"/>
  <c r="Q527"/>
  <c r="O49" i="42"/>
  <c r="Q725" i="30"/>
  <c r="Q817"/>
  <c r="R840"/>
  <c r="R863"/>
  <c r="R725"/>
  <c r="R702"/>
  <c r="R961" s="1"/>
  <c r="R748"/>
  <c r="R794"/>
  <c r="R817"/>
  <c r="P49" i="42"/>
  <c r="R596" i="30"/>
  <c r="R527"/>
  <c r="R572" s="1"/>
  <c r="P121" i="42" s="1"/>
  <c r="O383" i="30"/>
  <c r="O601" s="1"/>
  <c r="V377"/>
  <c r="V793" s="1"/>
  <c r="S378"/>
  <c r="S702" s="1"/>
  <c r="BH119" i="42"/>
  <c r="V594" i="44"/>
  <c r="I374" i="30"/>
  <c r="I368"/>
  <c r="AU505" i="44"/>
  <c r="AV20"/>
  <c r="I432" i="30"/>
  <c r="G68" i="42" s="1"/>
  <c r="I360" i="30"/>
  <c r="AU8" i="44"/>
  <c r="AT493"/>
  <c r="AU505" i="30"/>
  <c r="AV20"/>
  <c r="U593"/>
  <c r="AV9"/>
  <c r="AU494"/>
  <c r="AU499" i="44"/>
  <c r="AV14"/>
  <c r="AV18" i="30"/>
  <c r="AU503"/>
  <c r="AT507"/>
  <c r="AU22"/>
  <c r="AU22" i="44"/>
  <c r="AT507"/>
  <c r="AV494"/>
  <c r="AW9"/>
  <c r="AW494" s="1"/>
  <c r="AV498" i="30"/>
  <c r="AW13"/>
  <c r="AW498" s="1"/>
  <c r="M579" i="44"/>
  <c r="AY128" i="42" s="1"/>
  <c r="AS500" i="30"/>
  <c r="AT15"/>
  <c r="AS504"/>
  <c r="AT19"/>
  <c r="AT493"/>
  <c r="AU8"/>
  <c r="AT19" i="44"/>
  <c r="AS504"/>
  <c r="AU27" i="30"/>
  <c r="AT512"/>
  <c r="AT512" i="44"/>
  <c r="AU27"/>
  <c r="AS506" i="30"/>
  <c r="AT21"/>
  <c r="AT11" i="44"/>
  <c r="AS496"/>
  <c r="AS28"/>
  <c r="AS496" i="30"/>
  <c r="AT11"/>
  <c r="AS28"/>
  <c r="AV498" i="44"/>
  <c r="AW13"/>
  <c r="AW498" s="1"/>
  <c r="AW14" i="30"/>
  <c r="AW499" s="1"/>
  <c r="AV499"/>
  <c r="AV506" i="44"/>
  <c r="AW21"/>
  <c r="AW506" s="1"/>
  <c r="AV502"/>
  <c r="AW17"/>
  <c r="AW502" s="1"/>
  <c r="AV495"/>
  <c r="AW10"/>
  <c r="AW495" s="1"/>
  <c r="AV500"/>
  <c r="AW15"/>
  <c r="AW500" s="1"/>
  <c r="AW16"/>
  <c r="AW501" s="1"/>
  <c r="AV501"/>
  <c r="AV508"/>
  <c r="AW23"/>
  <c r="AW508" s="1"/>
  <c r="AV502" i="30"/>
  <c r="AW17"/>
  <c r="AW502" s="1"/>
  <c r="AU116" i="42"/>
  <c r="G578" i="44"/>
  <c r="AS127" i="42" s="1"/>
  <c r="E354" i="44"/>
  <c r="H966"/>
  <c r="H776"/>
  <c r="AT240" i="42" s="1"/>
  <c r="H962" i="30"/>
  <c r="H772"/>
  <c r="F236" i="42" s="1"/>
  <c r="F967" i="44"/>
  <c r="F777"/>
  <c r="AR241" i="42" s="1"/>
  <c r="G967" i="44"/>
  <c r="G777"/>
  <c r="AS241" i="42" s="1"/>
  <c r="AQ52"/>
  <c r="E751" i="44"/>
  <c r="E553"/>
  <c r="E843"/>
  <c r="E797"/>
  <c r="E599"/>
  <c r="E866"/>
  <c r="E820"/>
  <c r="E530"/>
  <c r="E575" s="1"/>
  <c r="AQ124" i="42" s="1"/>
  <c r="E705" i="44"/>
  <c r="E728"/>
  <c r="H329"/>
  <c r="H384" s="1"/>
  <c r="F330"/>
  <c r="F385" s="1"/>
  <c r="G330" i="30"/>
  <c r="G385" s="1"/>
  <c r="G330" i="44"/>
  <c r="G385" s="1"/>
  <c r="H573" i="30"/>
  <c r="F122" i="42" s="1"/>
  <c r="G578" i="30"/>
  <c r="E127" i="42" s="1"/>
  <c r="D352" i="30"/>
  <c r="F351"/>
  <c r="D351" i="44"/>
  <c r="E355" i="30"/>
  <c r="G967"/>
  <c r="G777"/>
  <c r="E241" i="42" s="1"/>
  <c r="D534" i="30"/>
  <c r="D732"/>
  <c r="D824"/>
  <c r="D603"/>
  <c r="B56" i="42"/>
  <c r="D801" i="30"/>
  <c r="D847"/>
  <c r="D557"/>
  <c r="D755"/>
  <c r="D709"/>
  <c r="D870"/>
  <c r="F708"/>
  <c r="F846"/>
  <c r="F556"/>
  <c r="F754"/>
  <c r="F731"/>
  <c r="F533"/>
  <c r="F823"/>
  <c r="F800"/>
  <c r="D55" i="42"/>
  <c r="F602" i="30"/>
  <c r="F869"/>
  <c r="E333" i="44"/>
  <c r="E370" s="1"/>
  <c r="H328" i="30"/>
  <c r="H383" s="1"/>
  <c r="D967"/>
  <c r="D777"/>
  <c r="B241" i="42" s="1"/>
  <c r="D533" i="44"/>
  <c r="D800"/>
  <c r="D754"/>
  <c r="D602"/>
  <c r="D556"/>
  <c r="D708"/>
  <c r="D823"/>
  <c r="D846"/>
  <c r="AP55" i="42"/>
  <c r="D869" i="44"/>
  <c r="D731"/>
  <c r="E694" i="30"/>
  <c r="C41" i="42"/>
  <c r="E855" i="30"/>
  <c r="E717"/>
  <c r="E809"/>
  <c r="E393"/>
  <c r="E786"/>
  <c r="E740"/>
  <c r="E519"/>
  <c r="E542"/>
  <c r="E832"/>
  <c r="H577" i="44"/>
  <c r="AT126" i="42" s="1"/>
  <c r="P352" i="44"/>
  <c r="P331" s="1"/>
  <c r="P372" s="1"/>
  <c r="K354"/>
  <c r="K333" s="1"/>
  <c r="K373" s="1"/>
  <c r="AV509"/>
  <c r="AW24"/>
  <c r="AW509" s="1"/>
  <c r="W129" i="42"/>
  <c r="Y604" i="30"/>
  <c r="I357" i="44"/>
  <c r="I336" s="1"/>
  <c r="U572"/>
  <c r="BG121" i="42" s="1"/>
  <c r="O579" i="44"/>
  <c r="BA128" i="42" s="1"/>
  <c r="J356" i="44"/>
  <c r="J335" s="1"/>
  <c r="J367" s="1"/>
  <c r="AW115" i="42"/>
  <c r="K590" i="44"/>
  <c r="V348"/>
  <c r="V327" s="1"/>
  <c r="V379" s="1"/>
  <c r="J567" i="30"/>
  <c r="J591" s="1"/>
  <c r="N579" i="44"/>
  <c r="AZ128" i="42" s="1"/>
  <c r="R349" i="30"/>
  <c r="R328" s="1"/>
  <c r="R383" s="1"/>
  <c r="V347"/>
  <c r="V326" s="1"/>
  <c r="V378" s="1"/>
  <c r="Q572"/>
  <c r="O121" i="42" s="1"/>
  <c r="N579" i="30"/>
  <c r="L128" i="42" s="1"/>
  <c r="K355" i="30"/>
  <c r="K334" s="1"/>
  <c r="K370" s="1"/>
  <c r="L352"/>
  <c r="L331" s="1"/>
  <c r="L372" s="1"/>
  <c r="S348"/>
  <c r="S327" s="1"/>
  <c r="S379" s="1"/>
  <c r="W959" i="44"/>
  <c r="W769"/>
  <c r="BI233" i="42" s="1"/>
  <c r="AA565" i="44"/>
  <c r="Q962"/>
  <c r="Q772"/>
  <c r="BC236" i="42" s="1"/>
  <c r="T795" i="44"/>
  <c r="T551"/>
  <c r="T864"/>
  <c r="T528"/>
  <c r="T573" s="1"/>
  <c r="BF122" i="42" s="1"/>
  <c r="T703" i="44"/>
  <c r="BF50" i="42"/>
  <c r="T726" i="44"/>
  <c r="T597"/>
  <c r="T749"/>
  <c r="T818"/>
  <c r="T841"/>
  <c r="O968"/>
  <c r="O778"/>
  <c r="BA242" i="42" s="1"/>
  <c r="Z741" i="30"/>
  <c r="X42" i="42"/>
  <c r="Z810" i="30"/>
  <c r="Z718"/>
  <c r="Z695"/>
  <c r="Z833"/>
  <c r="Z520"/>
  <c r="Z787"/>
  <c r="Z856"/>
  <c r="Z543"/>
  <c r="Z394"/>
  <c r="AA710"/>
  <c r="AA535"/>
  <c r="AA825"/>
  <c r="AA733"/>
  <c r="AA558"/>
  <c r="Y57" i="42"/>
  <c r="AA871" i="30"/>
  <c r="AA756"/>
  <c r="AA802"/>
  <c r="AA848"/>
  <c r="AA409"/>
  <c r="AB321"/>
  <c r="AB386" s="1"/>
  <c r="S533" i="44"/>
  <c r="S556"/>
  <c r="BE55" i="42"/>
  <c r="S846" i="44"/>
  <c r="S602"/>
  <c r="S708"/>
  <c r="S869"/>
  <c r="S800"/>
  <c r="S823"/>
  <c r="S754"/>
  <c r="S731"/>
  <c r="I115" i="42"/>
  <c r="K590" i="30"/>
  <c r="X325" i="44"/>
  <c r="X377" s="1"/>
  <c r="X400" s="1"/>
  <c r="Y324"/>
  <c r="Y376" s="1"/>
  <c r="Y399" s="1"/>
  <c r="Q328"/>
  <c r="Q383" s="1"/>
  <c r="O331"/>
  <c r="O372" s="1"/>
  <c r="Z323"/>
  <c r="Z375" s="1"/>
  <c r="N331" i="30"/>
  <c r="N372" s="1"/>
  <c r="BM129" i="42"/>
  <c r="AA604" i="44"/>
  <c r="U864"/>
  <c r="U749"/>
  <c r="U551"/>
  <c r="U795"/>
  <c r="U726"/>
  <c r="U818"/>
  <c r="U597"/>
  <c r="BG50" i="42"/>
  <c r="U703" i="44"/>
  <c r="U841"/>
  <c r="U528"/>
  <c r="U573" s="1"/>
  <c r="BG122" i="42" s="1"/>
  <c r="N54"/>
  <c r="P845" i="30"/>
  <c r="P532"/>
  <c r="P822"/>
  <c r="P555"/>
  <c r="P753"/>
  <c r="P601"/>
  <c r="P730"/>
  <c r="P868"/>
  <c r="P707"/>
  <c r="P799"/>
  <c r="W769"/>
  <c r="U233" i="42" s="1"/>
  <c r="W959" i="30"/>
  <c r="J809"/>
  <c r="J519"/>
  <c r="J694"/>
  <c r="J542"/>
  <c r="J786"/>
  <c r="J393"/>
  <c r="J740"/>
  <c r="J855"/>
  <c r="J832"/>
  <c r="H41" i="42"/>
  <c r="J717" i="30"/>
  <c r="N811" i="44"/>
  <c r="AZ43" i="42"/>
  <c r="N395" i="44"/>
  <c r="N544"/>
  <c r="N521"/>
  <c r="N857"/>
  <c r="N742"/>
  <c r="N719"/>
  <c r="N834"/>
  <c r="N788"/>
  <c r="N696"/>
  <c r="R753"/>
  <c r="R707"/>
  <c r="BD54" i="42"/>
  <c r="R822" i="44"/>
  <c r="R799"/>
  <c r="R601"/>
  <c r="R845"/>
  <c r="R555"/>
  <c r="R730"/>
  <c r="R868"/>
  <c r="R532"/>
  <c r="T961"/>
  <c r="T771"/>
  <c r="BF235" i="42" s="1"/>
  <c r="AW24" i="30"/>
  <c r="AW509" s="1"/>
  <c r="AV509"/>
  <c r="AW52" i="42"/>
  <c r="K797" i="44"/>
  <c r="K599"/>
  <c r="K843"/>
  <c r="K530"/>
  <c r="K751"/>
  <c r="K866"/>
  <c r="K728"/>
  <c r="K705"/>
  <c r="K553"/>
  <c r="K820"/>
  <c r="AC317" i="30"/>
  <c r="L824" i="44"/>
  <c r="L732"/>
  <c r="L603"/>
  <c r="L755"/>
  <c r="L534"/>
  <c r="AX56" i="42"/>
  <c r="L709" i="44"/>
  <c r="L801"/>
  <c r="L847"/>
  <c r="L870"/>
  <c r="L557"/>
  <c r="U548" i="30"/>
  <c r="S47" i="42"/>
  <c r="U746" i="30"/>
  <c r="U525"/>
  <c r="U792"/>
  <c r="U594"/>
  <c r="U815"/>
  <c r="U700"/>
  <c r="U861"/>
  <c r="U838"/>
  <c r="U723"/>
  <c r="J717" i="44"/>
  <c r="AV41" i="42"/>
  <c r="J855" i="44"/>
  <c r="J740"/>
  <c r="J393"/>
  <c r="J809"/>
  <c r="J786"/>
  <c r="J694"/>
  <c r="J542"/>
  <c r="J519"/>
  <c r="J832"/>
  <c r="BB56" i="42"/>
  <c r="P732" i="44"/>
  <c r="P755"/>
  <c r="P801"/>
  <c r="P603"/>
  <c r="P709"/>
  <c r="P557"/>
  <c r="P870"/>
  <c r="P534"/>
  <c r="P847"/>
  <c r="P824"/>
  <c r="V571"/>
  <c r="W570" i="30"/>
  <c r="U119" i="42" s="1"/>
  <c r="Y344" i="30"/>
  <c r="P962"/>
  <c r="P772"/>
  <c r="N236" i="42" s="1"/>
  <c r="AC710" i="44"/>
  <c r="AC733"/>
  <c r="AC825"/>
  <c r="AC558"/>
  <c r="AC802"/>
  <c r="BO57" i="42"/>
  <c r="AD386" i="44"/>
  <c r="AC535"/>
  <c r="AC580" s="1"/>
  <c r="AC604" s="1"/>
  <c r="AC871"/>
  <c r="AC848"/>
  <c r="AC756"/>
  <c r="AC409"/>
  <c r="I763"/>
  <c r="AU227" i="42" s="1"/>
  <c r="I953" i="44"/>
  <c r="J766" i="30"/>
  <c r="H230" i="42" s="1"/>
  <c r="J956" i="30"/>
  <c r="X769" i="44"/>
  <c r="BJ233" i="42" s="1"/>
  <c r="X959" i="44"/>
  <c r="Y569"/>
  <c r="Y662"/>
  <c r="BK178" i="42" s="1"/>
  <c r="M331" i="44"/>
  <c r="M372" s="1"/>
  <c r="W325" i="30"/>
  <c r="U118" i="42"/>
  <c r="W593" i="30"/>
  <c r="U961" i="44"/>
  <c r="U771"/>
  <c r="BG235" i="42" s="1"/>
  <c r="V840" i="44"/>
  <c r="V527"/>
  <c r="V702"/>
  <c r="V863"/>
  <c r="V748"/>
  <c r="V550"/>
  <c r="BH49" i="42"/>
  <c r="V725" i="44"/>
  <c r="V794"/>
  <c r="V817"/>
  <c r="V596"/>
  <c r="I442"/>
  <c r="CC74" i="42" s="1"/>
  <c r="N968" i="44"/>
  <c r="N778"/>
  <c r="AZ242" i="42" s="1"/>
  <c r="AA764" i="44"/>
  <c r="BM228" i="42" s="1"/>
  <c r="AA954" i="44"/>
  <c r="M955" i="30"/>
  <c r="M765"/>
  <c r="K229" i="42" s="1"/>
  <c r="R528" i="30"/>
  <c r="R841"/>
  <c r="R864"/>
  <c r="R703"/>
  <c r="P50" i="42"/>
  <c r="R795" i="30"/>
  <c r="R818"/>
  <c r="R726"/>
  <c r="R551"/>
  <c r="R749"/>
  <c r="R597"/>
  <c r="Y958" i="44"/>
  <c r="Y664" s="1"/>
  <c r="BK180" i="42" s="1"/>
  <c r="Y768" i="44"/>
  <c r="BC122" i="42"/>
  <c r="X565" i="30"/>
  <c r="X954"/>
  <c r="X764"/>
  <c r="V228" i="42" s="1"/>
  <c r="Z565" i="44"/>
  <c r="Z954"/>
  <c r="Z764"/>
  <c r="BL228" i="42" s="1"/>
  <c r="N968" i="30"/>
  <c r="N778"/>
  <c r="L242" i="42" s="1"/>
  <c r="K789" i="30"/>
  <c r="K522"/>
  <c r="K743"/>
  <c r="K858"/>
  <c r="K720"/>
  <c r="K697"/>
  <c r="I44" i="42"/>
  <c r="K396" i="30"/>
  <c r="K812"/>
  <c r="K545"/>
  <c r="K835"/>
  <c r="W325" i="44"/>
  <c r="W377" s="1"/>
  <c r="W400" s="1"/>
  <c r="AV116" i="42"/>
  <c r="J591" i="44"/>
  <c r="AA323"/>
  <c r="AA375" s="1"/>
  <c r="M332" i="30"/>
  <c r="M381" s="1"/>
  <c r="Q327"/>
  <c r="X323"/>
  <c r="X375" s="1"/>
  <c r="T326"/>
  <c r="AB322" i="44"/>
  <c r="AB371" s="1"/>
  <c r="V960"/>
  <c r="V770"/>
  <c r="BH234" i="42" s="1"/>
  <c r="S232"/>
  <c r="M968" i="44"/>
  <c r="M778"/>
  <c r="AY242" i="42" s="1"/>
  <c r="I539" i="44"/>
  <c r="I691"/>
  <c r="I783"/>
  <c r="I516"/>
  <c r="I806"/>
  <c r="I714"/>
  <c r="I390"/>
  <c r="I852"/>
  <c r="I829"/>
  <c r="AU38" i="42"/>
  <c r="I737" i="44"/>
  <c r="V769" i="30"/>
  <c r="T233" i="42" s="1"/>
  <c r="V959" i="30"/>
  <c r="Z779"/>
  <c r="X243" i="42" s="1"/>
  <c r="Z969" i="30"/>
  <c r="U232" i="42"/>
  <c r="K964" i="30"/>
  <c r="K774"/>
  <c r="I238" i="42" s="1"/>
  <c r="L824" i="30"/>
  <c r="L755"/>
  <c r="L847"/>
  <c r="J56" i="42"/>
  <c r="L870" i="30"/>
  <c r="L534"/>
  <c r="L732"/>
  <c r="L557"/>
  <c r="L801"/>
  <c r="L709"/>
  <c r="L603"/>
  <c r="AB969" i="44"/>
  <c r="AB779"/>
  <c r="BN243" i="42" s="1"/>
  <c r="W42"/>
  <c r="Y810" i="30"/>
  <c r="Y833"/>
  <c r="Y787"/>
  <c r="Y856"/>
  <c r="Y741"/>
  <c r="Y520"/>
  <c r="Y695"/>
  <c r="Y543"/>
  <c r="Y718"/>
  <c r="Y394"/>
  <c r="M566"/>
  <c r="W570" i="44"/>
  <c r="AC343"/>
  <c r="I564"/>
  <c r="X570"/>
  <c r="T349"/>
  <c r="Z344" i="30"/>
  <c r="AA343"/>
  <c r="S351" i="44"/>
  <c r="U349"/>
  <c r="P350" i="30"/>
  <c r="J356"/>
  <c r="N353" i="44"/>
  <c r="R350"/>
  <c r="T572"/>
  <c r="Z580" i="30"/>
  <c r="O350"/>
  <c r="AB604" i="44"/>
  <c r="L352"/>
  <c r="U346" i="30"/>
  <c r="P579" i="44" l="1"/>
  <c r="BB128" i="42" s="1"/>
  <c r="I698" i="30"/>
  <c r="I957" s="1"/>
  <c r="I669" s="1"/>
  <c r="G189" i="42" s="1"/>
  <c r="I441" i="30"/>
  <c r="CC68" i="42" s="1"/>
  <c r="V747" i="30"/>
  <c r="V549"/>
  <c r="S794"/>
  <c r="T770"/>
  <c r="R234" i="42" s="1"/>
  <c r="AU25" i="44"/>
  <c r="AT510"/>
  <c r="AT511"/>
  <c r="AU26"/>
  <c r="AT511" i="30"/>
  <c r="AU26"/>
  <c r="AU23"/>
  <c r="AT508"/>
  <c r="AT510"/>
  <c r="AU25"/>
  <c r="S748"/>
  <c r="S817"/>
  <c r="O868"/>
  <c r="S725"/>
  <c r="S596"/>
  <c r="S863"/>
  <c r="O555"/>
  <c r="O845"/>
  <c r="O707"/>
  <c r="O966" s="1"/>
  <c r="O730"/>
  <c r="Q771"/>
  <c r="O235" i="42" s="1"/>
  <c r="V526" i="30"/>
  <c r="V571" s="1"/>
  <c r="T120" i="42" s="1"/>
  <c r="R771" i="30"/>
  <c r="P235" i="42" s="1"/>
  <c r="S840" i="30"/>
  <c r="Q49" i="42"/>
  <c r="S550" i="30"/>
  <c r="S527"/>
  <c r="O822"/>
  <c r="O532"/>
  <c r="O577" s="1"/>
  <c r="M126" i="42" s="1"/>
  <c r="O799" i="30"/>
  <c r="M54" i="42"/>
  <c r="O753" i="30"/>
  <c r="T571"/>
  <c r="R120" i="42" s="1"/>
  <c r="V595" i="30"/>
  <c r="V701"/>
  <c r="V960" s="1"/>
  <c r="V839"/>
  <c r="T48" i="42"/>
  <c r="V724" i="30"/>
  <c r="V862"/>
  <c r="V816"/>
  <c r="AU12"/>
  <c r="AT497"/>
  <c r="AU12" i="44"/>
  <c r="AT497"/>
  <c r="T378" i="30"/>
  <c r="T527" s="1"/>
  <c r="Q379"/>
  <c r="Q749" s="1"/>
  <c r="W377"/>
  <c r="W747" s="1"/>
  <c r="BJ119" i="42"/>
  <c r="X594" i="44"/>
  <c r="BI119" i="42"/>
  <c r="W594" i="44"/>
  <c r="BH120" i="42"/>
  <c r="V595" i="44"/>
  <c r="G45" i="42"/>
  <c r="I836" i="30"/>
  <c r="I941" s="1"/>
  <c r="CB294" i="42" s="1"/>
  <c r="I592" i="30"/>
  <c r="I721"/>
  <c r="I813"/>
  <c r="I940" s="1"/>
  <c r="CB293" i="42" s="1"/>
  <c r="I517" i="30"/>
  <c r="I692"/>
  <c r="I784"/>
  <c r="I715"/>
  <c r="I830"/>
  <c r="I807"/>
  <c r="I738"/>
  <c r="G39" i="42"/>
  <c r="I391" i="30"/>
  <c r="I435" s="1"/>
  <c r="G74" i="42" s="1"/>
  <c r="I853" i="30"/>
  <c r="I433"/>
  <c r="G69" i="42" s="1"/>
  <c r="I540" i="30"/>
  <c r="I663" s="1"/>
  <c r="G179" i="42" s="1"/>
  <c r="I859" i="30"/>
  <c r="I934" s="1"/>
  <c r="G302" i="42" s="1"/>
  <c r="I744" i="30"/>
  <c r="I790"/>
  <c r="I939" s="1"/>
  <c r="CB292" i="42" s="1"/>
  <c r="I546" i="30"/>
  <c r="I668" s="1"/>
  <c r="G188" i="42" s="1"/>
  <c r="I523" i="30"/>
  <c r="I667" s="1"/>
  <c r="G187" i="42" s="1"/>
  <c r="AV505" i="44"/>
  <c r="AW20"/>
  <c r="AW505" s="1"/>
  <c r="I339" i="30"/>
  <c r="I380" s="1"/>
  <c r="I933"/>
  <c r="G301" i="42" s="1"/>
  <c r="AV8" i="44"/>
  <c r="AU493"/>
  <c r="AV505" i="30"/>
  <c r="AW20"/>
  <c r="AW505" s="1"/>
  <c r="AV494"/>
  <c r="AW9"/>
  <c r="AW494" s="1"/>
  <c r="AV503"/>
  <c r="AW18"/>
  <c r="AW503" s="1"/>
  <c r="AW14" i="44"/>
  <c r="AW499" s="1"/>
  <c r="AV499"/>
  <c r="H116" i="42"/>
  <c r="AV22" i="44"/>
  <c r="AU507"/>
  <c r="AV22" i="30"/>
  <c r="AU507"/>
  <c r="AU512"/>
  <c r="AV27"/>
  <c r="AU19" i="44"/>
  <c r="AT504"/>
  <c r="AU512"/>
  <c r="AV27"/>
  <c r="AU493" i="30"/>
  <c r="AV8"/>
  <c r="AU19"/>
  <c r="AT504"/>
  <c r="AU15"/>
  <c r="AT500"/>
  <c r="AT496"/>
  <c r="AU11"/>
  <c r="AT28"/>
  <c r="AT496" i="44"/>
  <c r="AU11"/>
  <c r="AT28"/>
  <c r="AT506" i="30"/>
  <c r="AU21"/>
  <c r="E564"/>
  <c r="F578"/>
  <c r="D127" i="42" s="1"/>
  <c r="D579" i="30"/>
  <c r="B128" i="42" s="1"/>
  <c r="G352" i="44"/>
  <c r="G331" s="1"/>
  <c r="G372" s="1"/>
  <c r="E442" i="30"/>
  <c r="BY73" i="42" s="1"/>
  <c r="E434" i="30"/>
  <c r="C73" i="42" s="1"/>
  <c r="D967" i="44"/>
  <c r="D777"/>
  <c r="AP241" i="42" s="1"/>
  <c r="F967" i="30"/>
  <c r="F777"/>
  <c r="D241" i="42" s="1"/>
  <c r="D968" i="30"/>
  <c r="D778"/>
  <c r="B242" i="42" s="1"/>
  <c r="E334" i="30"/>
  <c r="E373" s="1"/>
  <c r="F330"/>
  <c r="F385" s="1"/>
  <c r="G847" i="44"/>
  <c r="G557"/>
  <c r="AS56" i="42"/>
  <c r="G801" i="44"/>
  <c r="G870"/>
  <c r="G603"/>
  <c r="G755"/>
  <c r="G824"/>
  <c r="G709"/>
  <c r="G534"/>
  <c r="G579" s="1"/>
  <c r="AS128" i="42" s="1"/>
  <c r="G732" i="44"/>
  <c r="H350" i="30"/>
  <c r="E355" i="44"/>
  <c r="G352" i="30"/>
  <c r="F352" i="44"/>
  <c r="H351"/>
  <c r="E953" i="30"/>
  <c r="E763"/>
  <c r="C227" i="42" s="1"/>
  <c r="F54"/>
  <c r="H532" i="30"/>
  <c r="H822"/>
  <c r="H868"/>
  <c r="H845"/>
  <c r="H555"/>
  <c r="H601"/>
  <c r="H753"/>
  <c r="H707"/>
  <c r="H730"/>
  <c r="H799"/>
  <c r="E717" i="44"/>
  <c r="E855"/>
  <c r="E542"/>
  <c r="E786"/>
  <c r="E740"/>
  <c r="E809"/>
  <c r="E519"/>
  <c r="E564" s="1"/>
  <c r="E832"/>
  <c r="E694"/>
  <c r="AQ41" i="42"/>
  <c r="E393" i="44"/>
  <c r="D330"/>
  <c r="D385" s="1"/>
  <c r="D331" i="30"/>
  <c r="D372" s="1"/>
  <c r="G847"/>
  <c r="G534"/>
  <c r="G801"/>
  <c r="G709"/>
  <c r="G824"/>
  <c r="G557"/>
  <c r="G732"/>
  <c r="G870"/>
  <c r="E56" i="42"/>
  <c r="G603" i="30"/>
  <c r="G755"/>
  <c r="F709" i="44"/>
  <c r="F534"/>
  <c r="F557"/>
  <c r="F732"/>
  <c r="F847"/>
  <c r="AR56" i="42"/>
  <c r="F755" i="44"/>
  <c r="F801"/>
  <c r="F870"/>
  <c r="F603"/>
  <c r="F824"/>
  <c r="H533"/>
  <c r="H869"/>
  <c r="H708"/>
  <c r="H800"/>
  <c r="H556"/>
  <c r="H731"/>
  <c r="H823"/>
  <c r="AT55" i="42"/>
  <c r="H602" i="44"/>
  <c r="H754"/>
  <c r="H846"/>
  <c r="E964"/>
  <c r="E774"/>
  <c r="AQ238" i="42" s="1"/>
  <c r="D578" i="44"/>
  <c r="AP127" i="42" s="1"/>
  <c r="V348" i="30"/>
  <c r="V327" s="1"/>
  <c r="V379" s="1"/>
  <c r="P353" i="44"/>
  <c r="P332" s="1"/>
  <c r="P381" s="1"/>
  <c r="J357"/>
  <c r="J336" s="1"/>
  <c r="X345" i="30"/>
  <c r="X324" s="1"/>
  <c r="W347"/>
  <c r="W326" s="1"/>
  <c r="W378" s="1"/>
  <c r="M353" i="44"/>
  <c r="M332" s="1"/>
  <c r="M381" s="1"/>
  <c r="R350" i="30"/>
  <c r="R329" s="1"/>
  <c r="R384" s="1"/>
  <c r="U570"/>
  <c r="S119" i="42" s="1"/>
  <c r="S349" i="30"/>
  <c r="S328" s="1"/>
  <c r="S383" s="1"/>
  <c r="R577" i="44"/>
  <c r="BD126" i="42" s="1"/>
  <c r="N566" i="44"/>
  <c r="X347"/>
  <c r="X326" s="1"/>
  <c r="X378" s="1"/>
  <c r="S578"/>
  <c r="BE127" i="42" s="1"/>
  <c r="K356" i="30"/>
  <c r="K335" s="1"/>
  <c r="K367" s="1"/>
  <c r="L331" i="44"/>
  <c r="L372" s="1"/>
  <c r="BF121" i="42"/>
  <c r="AA322" i="30"/>
  <c r="AA371" s="1"/>
  <c r="K115" i="42"/>
  <c r="M590" i="30"/>
  <c r="Y954"/>
  <c r="Y764"/>
  <c r="W228" i="42" s="1"/>
  <c r="S961" i="30"/>
  <c r="K52" i="42"/>
  <c r="M599" i="30"/>
  <c r="M553"/>
  <c r="M728"/>
  <c r="M530"/>
  <c r="M575" s="1"/>
  <c r="K124" i="42" s="1"/>
  <c r="M705" i="30"/>
  <c r="M751"/>
  <c r="M797"/>
  <c r="M820"/>
  <c r="M866"/>
  <c r="M843"/>
  <c r="AA722" i="44"/>
  <c r="AA524"/>
  <c r="BM46" i="42"/>
  <c r="AA745" i="44"/>
  <c r="AA791"/>
  <c r="AA931" s="1"/>
  <c r="BM299" i="42" s="1"/>
  <c r="AA860" i="44"/>
  <c r="AA934" s="1"/>
  <c r="BM302" i="42" s="1"/>
  <c r="AA547" i="44"/>
  <c r="AA663" s="1"/>
  <c r="BM179" i="42" s="1"/>
  <c r="AA814" i="44"/>
  <c r="AA932" s="1"/>
  <c r="BM300" i="42" s="1"/>
  <c r="AA837" i="44"/>
  <c r="AA933" s="1"/>
  <c r="BM301" i="42" s="1"/>
  <c r="AA699" i="44"/>
  <c r="AA398"/>
  <c r="W793"/>
  <c r="W701"/>
  <c r="W526"/>
  <c r="W862"/>
  <c r="W549"/>
  <c r="W839"/>
  <c r="W724"/>
  <c r="W816"/>
  <c r="BI48" i="42"/>
  <c r="W747" i="44"/>
  <c r="BL114" i="42"/>
  <c r="Z589" i="44"/>
  <c r="AD558"/>
  <c r="AD535"/>
  <c r="AE386"/>
  <c r="AC779"/>
  <c r="BO243" i="42" s="1"/>
  <c r="AC969" i="44"/>
  <c r="BH50" i="42"/>
  <c r="V726" i="44"/>
  <c r="V795"/>
  <c r="V864"/>
  <c r="V749"/>
  <c r="V528"/>
  <c r="V841"/>
  <c r="V597"/>
  <c r="V551"/>
  <c r="V818"/>
  <c r="V703"/>
  <c r="J442"/>
  <c r="CD74" i="42" s="1"/>
  <c r="U959" i="30"/>
  <c r="U769"/>
  <c r="S233" i="42" s="1"/>
  <c r="L968" i="44"/>
  <c r="L778"/>
  <c r="AX242" i="42" s="1"/>
  <c r="AC321" i="30"/>
  <c r="AC386" s="1"/>
  <c r="L521"/>
  <c r="L811"/>
  <c r="L395"/>
  <c r="L719"/>
  <c r="L788"/>
  <c r="L742"/>
  <c r="J43" i="42"/>
  <c r="L857" i="30"/>
  <c r="L544"/>
  <c r="L834"/>
  <c r="L696"/>
  <c r="J434"/>
  <c r="H73" i="42" s="1"/>
  <c r="J442" i="30"/>
  <c r="CD73" i="42" s="1"/>
  <c r="P966" i="30"/>
  <c r="P776"/>
  <c r="N240" i="42" s="1"/>
  <c r="U962" i="44"/>
  <c r="U772"/>
  <c r="BG236" i="42" s="1"/>
  <c r="N834" i="30"/>
  <c r="L43" i="42"/>
  <c r="N696" i="30"/>
  <c r="N395"/>
  <c r="N544"/>
  <c r="N811"/>
  <c r="N857"/>
  <c r="N521"/>
  <c r="N788"/>
  <c r="N742"/>
  <c r="N719"/>
  <c r="Z547" i="44"/>
  <c r="Z663" s="1"/>
  <c r="BL179" i="42" s="1"/>
  <c r="Z814" i="44"/>
  <c r="Z932" s="1"/>
  <c r="BL300" i="42" s="1"/>
  <c r="Z837" i="44"/>
  <c r="Z933" s="1"/>
  <c r="BL301" i="42" s="1"/>
  <c r="Z722" i="44"/>
  <c r="Z745"/>
  <c r="Z699"/>
  <c r="Z860"/>
  <c r="Z934" s="1"/>
  <c r="BL302" i="42" s="1"/>
  <c r="Z524" i="44"/>
  <c r="BL46" i="42"/>
  <c r="Z791" i="44"/>
  <c r="Z931" s="1"/>
  <c r="BL299" i="42" s="1"/>
  <c r="Z398" i="44"/>
  <c r="O719"/>
  <c r="O857"/>
  <c r="O395"/>
  <c r="O544"/>
  <c r="O811"/>
  <c r="O696"/>
  <c r="O521"/>
  <c r="O788"/>
  <c r="BA43" i="42"/>
  <c r="O834" i="44"/>
  <c r="O742"/>
  <c r="Q822"/>
  <c r="Q601"/>
  <c r="Q555"/>
  <c r="Q730"/>
  <c r="Q868"/>
  <c r="Q799"/>
  <c r="Q532"/>
  <c r="Q577" s="1"/>
  <c r="BC126" i="42" s="1"/>
  <c r="Q845" i="44"/>
  <c r="BC54" i="42"/>
  <c r="Q707" i="44"/>
  <c r="Q753"/>
  <c r="Y792"/>
  <c r="Y861"/>
  <c r="Y746"/>
  <c r="BK47" i="42"/>
  <c r="Y723" i="44"/>
  <c r="Y548"/>
  <c r="Y815"/>
  <c r="Y700"/>
  <c r="Y525"/>
  <c r="Y838"/>
  <c r="X793"/>
  <c r="X549"/>
  <c r="X816"/>
  <c r="X862"/>
  <c r="X526"/>
  <c r="X839"/>
  <c r="X724"/>
  <c r="X701"/>
  <c r="BJ48" i="42"/>
  <c r="X747" i="44"/>
  <c r="S967"/>
  <c r="S777"/>
  <c r="BE241" i="42" s="1"/>
  <c r="K694" i="30"/>
  <c r="K542"/>
  <c r="K809"/>
  <c r="K832"/>
  <c r="K740"/>
  <c r="K393"/>
  <c r="K855"/>
  <c r="K786"/>
  <c r="K519"/>
  <c r="I41" i="42"/>
  <c r="K717" i="30"/>
  <c r="Z565"/>
  <c r="R573"/>
  <c r="P122" i="42" s="1"/>
  <c r="V572" i="44"/>
  <c r="BH121" i="42" s="1"/>
  <c r="L579" i="44"/>
  <c r="AB343" i="30"/>
  <c r="AA580"/>
  <c r="O329"/>
  <c r="O384" s="1"/>
  <c r="N332" i="44"/>
  <c r="N381" s="1"/>
  <c r="P329" i="30"/>
  <c r="P384" s="1"/>
  <c r="U328" i="44"/>
  <c r="U383" s="1"/>
  <c r="Z323" i="30"/>
  <c r="Z375" s="1"/>
  <c r="T328" i="44"/>
  <c r="T383" s="1"/>
  <c r="AU113" i="42"/>
  <c r="I588" i="44"/>
  <c r="K789"/>
  <c r="AW44" i="42"/>
  <c r="K743" i="44"/>
  <c r="K858"/>
  <c r="K812"/>
  <c r="K697"/>
  <c r="K720"/>
  <c r="K545"/>
  <c r="K396"/>
  <c r="K522"/>
  <c r="K567" s="1"/>
  <c r="K835"/>
  <c r="AB741"/>
  <c r="AB787"/>
  <c r="AB718"/>
  <c r="BN42" i="42"/>
  <c r="AB810" i="44"/>
  <c r="AB833"/>
  <c r="AB695"/>
  <c r="AB543"/>
  <c r="AB856"/>
  <c r="AB520"/>
  <c r="AB394"/>
  <c r="U325" i="30"/>
  <c r="X129" i="42"/>
  <c r="Z604" i="30"/>
  <c r="R329" i="44"/>
  <c r="R384" s="1"/>
  <c r="J335" i="30"/>
  <c r="J367" s="1"/>
  <c r="S330" i="44"/>
  <c r="S385" s="1"/>
  <c r="AC322"/>
  <c r="AC371" s="1"/>
  <c r="Y565" i="30"/>
  <c r="BB43" i="42"/>
  <c r="P696" i="44"/>
  <c r="P834"/>
  <c r="P788"/>
  <c r="P857"/>
  <c r="P544"/>
  <c r="P521"/>
  <c r="P719"/>
  <c r="P811"/>
  <c r="P742"/>
  <c r="P395"/>
  <c r="J829"/>
  <c r="J852"/>
  <c r="J390"/>
  <c r="J806"/>
  <c r="J691"/>
  <c r="J516"/>
  <c r="J737"/>
  <c r="J783"/>
  <c r="J714"/>
  <c r="AV38" i="42"/>
  <c r="J539" i="44"/>
  <c r="L968" i="30"/>
  <c r="L778"/>
  <c r="J242" i="42" s="1"/>
  <c r="I950" i="44"/>
  <c r="I760"/>
  <c r="X745" i="30"/>
  <c r="V46" i="42"/>
  <c r="X791" i="30"/>
  <c r="X524"/>
  <c r="X699"/>
  <c r="X837"/>
  <c r="X722"/>
  <c r="X547"/>
  <c r="X860"/>
  <c r="X814"/>
  <c r="X398"/>
  <c r="K956"/>
  <c r="K766"/>
  <c r="I230" i="42" s="1"/>
  <c r="V114"/>
  <c r="X589" i="30"/>
  <c r="Y930" i="44"/>
  <c r="BK298" i="42" s="1"/>
  <c r="BK232"/>
  <c r="R772" i="30"/>
  <c r="P236" i="42" s="1"/>
  <c r="R962" i="30"/>
  <c r="V961" i="44"/>
  <c r="V771"/>
  <c r="BH235" i="42" s="1"/>
  <c r="M788" i="44"/>
  <c r="M857"/>
  <c r="M395"/>
  <c r="M834"/>
  <c r="M719"/>
  <c r="M696"/>
  <c r="M811"/>
  <c r="AY43" i="42"/>
  <c r="M544" i="44"/>
  <c r="M521"/>
  <c r="M742"/>
  <c r="BK118" i="42"/>
  <c r="Y593" i="44"/>
  <c r="R845" i="30"/>
  <c r="R707"/>
  <c r="R555"/>
  <c r="P54" i="42"/>
  <c r="R601" i="30"/>
  <c r="R532"/>
  <c r="R868"/>
  <c r="R730"/>
  <c r="R753"/>
  <c r="R799"/>
  <c r="R822"/>
  <c r="BO129" i="42"/>
  <c r="BE580" i="44"/>
  <c r="Y323" i="30"/>
  <c r="Y375" s="1"/>
  <c r="P778" i="44"/>
  <c r="BB242" i="42" s="1"/>
  <c r="P968" i="44"/>
  <c r="J953"/>
  <c r="J763"/>
  <c r="AV227" i="42" s="1"/>
  <c r="S703" i="30"/>
  <c r="S597"/>
  <c r="S795"/>
  <c r="S551"/>
  <c r="S864"/>
  <c r="S528"/>
  <c r="S573" s="1"/>
  <c r="Q122" i="42" s="1"/>
  <c r="S841" i="30"/>
  <c r="S726"/>
  <c r="Q50" i="42"/>
  <c r="S749" i="30"/>
  <c r="S818"/>
  <c r="K964" i="44"/>
  <c r="K774"/>
  <c r="AW238" i="42" s="1"/>
  <c r="R966" i="44"/>
  <c r="R776"/>
  <c r="BD240" i="42" s="1"/>
  <c r="N765" i="44"/>
  <c r="AZ229" i="42" s="1"/>
  <c r="N955" i="44"/>
  <c r="J953" i="30"/>
  <c r="J763"/>
  <c r="H227" i="42" s="1"/>
  <c r="AB733" i="30"/>
  <c r="AB710"/>
  <c r="AB848"/>
  <c r="AB825"/>
  <c r="AB558"/>
  <c r="AB871"/>
  <c r="AB802"/>
  <c r="Z57" i="42"/>
  <c r="AB535" i="30"/>
  <c r="AB756"/>
  <c r="AB409"/>
  <c r="AA779"/>
  <c r="Y243" i="42" s="1"/>
  <c r="AA969" i="30"/>
  <c r="Z764"/>
  <c r="X228" i="42" s="1"/>
  <c r="Z954" i="30"/>
  <c r="T962" i="44"/>
  <c r="T772"/>
  <c r="BF236" i="42" s="1"/>
  <c r="V840" i="30"/>
  <c r="V725"/>
  <c r="V702"/>
  <c r="V863"/>
  <c r="V527"/>
  <c r="V817"/>
  <c r="V596"/>
  <c r="V794"/>
  <c r="T49" i="42"/>
  <c r="V748" i="30"/>
  <c r="V550"/>
  <c r="BM114" i="42"/>
  <c r="AA589" i="44"/>
  <c r="L579" i="30"/>
  <c r="K355" i="44"/>
  <c r="I561"/>
  <c r="AB344"/>
  <c r="T348" i="30"/>
  <c r="Q349"/>
  <c r="M354"/>
  <c r="AA345" i="44"/>
  <c r="W347"/>
  <c r="K567" i="30"/>
  <c r="V349" i="44"/>
  <c r="J564"/>
  <c r="L353" i="30"/>
  <c r="K575" i="44"/>
  <c r="J564" i="30"/>
  <c r="I358" i="44"/>
  <c r="P577" i="30"/>
  <c r="N126" i="42" s="1"/>
  <c r="N353" i="30"/>
  <c r="Z345" i="44"/>
  <c r="O353"/>
  <c r="Q350"/>
  <c r="Y346"/>
  <c r="Q551" i="30" l="1"/>
  <c r="AU508"/>
  <c r="AV23"/>
  <c r="AV25" i="44"/>
  <c r="AU510"/>
  <c r="AU510" i="30"/>
  <c r="AV25"/>
  <c r="AU511"/>
  <c r="AV26"/>
  <c r="AU511" i="44"/>
  <c r="AV26"/>
  <c r="O776" i="30"/>
  <c r="M240" i="42" s="1"/>
  <c r="Q528" i="30"/>
  <c r="Q573" s="1"/>
  <c r="O122" i="42" s="1"/>
  <c r="Q818" i="30"/>
  <c r="W701"/>
  <c r="W960" s="1"/>
  <c r="V770"/>
  <c r="T234" i="42" s="1"/>
  <c r="S572" i="30"/>
  <c r="Q121" i="42" s="1"/>
  <c r="S771" i="30"/>
  <c r="Q235" i="42" s="1"/>
  <c r="W793" i="30"/>
  <c r="Q726"/>
  <c r="Q703"/>
  <c r="Q962" s="1"/>
  <c r="Q597"/>
  <c r="AU497" i="44"/>
  <c r="AV12"/>
  <c r="AV12" i="30"/>
  <c r="AU497"/>
  <c r="U48" i="42"/>
  <c r="W816" i="30"/>
  <c r="W724"/>
  <c r="Q841"/>
  <c r="Q864"/>
  <c r="O50" i="42"/>
  <c r="Q795" i="30"/>
  <c r="T550"/>
  <c r="R49" i="42"/>
  <c r="W862" i="30"/>
  <c r="W595"/>
  <c r="W526"/>
  <c r="W839"/>
  <c r="W549"/>
  <c r="T817"/>
  <c r="T596"/>
  <c r="T840"/>
  <c r="T748"/>
  <c r="T702"/>
  <c r="T961" s="1"/>
  <c r="T794"/>
  <c r="T863"/>
  <c r="T725"/>
  <c r="U377"/>
  <c r="U701" s="1"/>
  <c r="I942"/>
  <c r="CB295" i="42" s="1"/>
  <c r="I931" i="30"/>
  <c r="G299" i="42" s="1"/>
  <c r="I767" i="30"/>
  <c r="I938" s="1"/>
  <c r="CB291" i="42" s="1"/>
  <c r="I932" i="30"/>
  <c r="G300" i="42" s="1"/>
  <c r="I568" i="30"/>
  <c r="G117" i="42" s="1"/>
  <c r="I562" i="30"/>
  <c r="I662"/>
  <c r="G178" i="42" s="1"/>
  <c r="I761" i="30"/>
  <c r="G225" i="42" s="1"/>
  <c r="I951" i="30"/>
  <c r="I664" s="1"/>
  <c r="G180" i="42" s="1"/>
  <c r="I750" i="30"/>
  <c r="I819"/>
  <c r="I796"/>
  <c r="I552"/>
  <c r="G51" i="42"/>
  <c r="I704" i="30"/>
  <c r="I727"/>
  <c r="I865"/>
  <c r="I529"/>
  <c r="I842"/>
  <c r="I598"/>
  <c r="I361"/>
  <c r="AW8" i="44"/>
  <c r="AW493" s="1"/>
  <c r="AV493"/>
  <c r="K564" i="30"/>
  <c r="I113" i="42" s="1"/>
  <c r="AW22" i="30"/>
  <c r="AW507" s="1"/>
  <c r="AV507"/>
  <c r="AW22" i="44"/>
  <c r="AW507" s="1"/>
  <c r="AV507"/>
  <c r="AB580" i="30"/>
  <c r="Z129" i="42" s="1"/>
  <c r="F579" i="44"/>
  <c r="AR128" i="42" s="1"/>
  <c r="AU500" i="30"/>
  <c r="AV15"/>
  <c r="AU504"/>
  <c r="AV19"/>
  <c r="AV19" i="44"/>
  <c r="AU504"/>
  <c r="AW8" i="30"/>
  <c r="AW493" s="1"/>
  <c r="AV493"/>
  <c r="AV512" i="44"/>
  <c r="AW27"/>
  <c r="AW512" s="1"/>
  <c r="AW27" i="30"/>
  <c r="AW512" s="1"/>
  <c r="AV512"/>
  <c r="AV11" i="44"/>
  <c r="AU28"/>
  <c r="AU496"/>
  <c r="AV21" i="30"/>
  <c r="AU506"/>
  <c r="AU496"/>
  <c r="AU28"/>
  <c r="AV11"/>
  <c r="E356"/>
  <c r="C113" i="42"/>
  <c r="E588" i="30"/>
  <c r="D352" i="44"/>
  <c r="F352" i="30"/>
  <c r="F331" s="1"/>
  <c r="F372" s="1"/>
  <c r="H967" i="44"/>
  <c r="H777"/>
  <c r="AT241" i="42" s="1"/>
  <c r="AS43"/>
  <c r="G834" i="44"/>
  <c r="G719"/>
  <c r="G742"/>
  <c r="G521"/>
  <c r="G811"/>
  <c r="G696"/>
  <c r="G544"/>
  <c r="G788"/>
  <c r="G857"/>
  <c r="G395"/>
  <c r="D719" i="30"/>
  <c r="D395"/>
  <c r="D834"/>
  <c r="D742"/>
  <c r="D521"/>
  <c r="B43" i="42"/>
  <c r="D857" i="30"/>
  <c r="D811"/>
  <c r="D544"/>
  <c r="D788"/>
  <c r="D696"/>
  <c r="D534" i="44"/>
  <c r="D801"/>
  <c r="D847"/>
  <c r="D557"/>
  <c r="D755"/>
  <c r="D709"/>
  <c r="D870"/>
  <c r="AP56" i="42"/>
  <c r="D732" i="44"/>
  <c r="D824"/>
  <c r="D603"/>
  <c r="E442"/>
  <c r="BY74" i="42" s="1"/>
  <c r="E953" i="44"/>
  <c r="E763"/>
  <c r="AQ227" i="42" s="1"/>
  <c r="E588" i="44"/>
  <c r="AQ113" i="42"/>
  <c r="H966" i="30"/>
  <c r="H776"/>
  <c r="F240" i="42" s="1"/>
  <c r="F331" i="44"/>
  <c r="F372" s="1"/>
  <c r="E334"/>
  <c r="E373" s="1"/>
  <c r="G968"/>
  <c r="G778"/>
  <c r="AS242" i="42" s="1"/>
  <c r="F801" i="30"/>
  <c r="F534"/>
  <c r="F870"/>
  <c r="F755"/>
  <c r="D56" i="42"/>
  <c r="F603" i="30"/>
  <c r="F824"/>
  <c r="F709"/>
  <c r="F847"/>
  <c r="F557"/>
  <c r="F732"/>
  <c r="C44" i="42"/>
  <c r="E396" i="30"/>
  <c r="E812"/>
  <c r="E858"/>
  <c r="E697"/>
  <c r="E522"/>
  <c r="E720"/>
  <c r="E743"/>
  <c r="E545"/>
  <c r="E789"/>
  <c r="E835"/>
  <c r="H578" i="44"/>
  <c r="AT127" i="42" s="1"/>
  <c r="F968" i="44"/>
  <c r="F778"/>
  <c r="AR242" i="42" s="1"/>
  <c r="G968" i="30"/>
  <c r="G778"/>
  <c r="E242" i="42" s="1"/>
  <c r="D331" i="44"/>
  <c r="D372" s="1"/>
  <c r="H330"/>
  <c r="H385" s="1"/>
  <c r="G331" i="30"/>
  <c r="G372" s="1"/>
  <c r="H329"/>
  <c r="H384" s="1"/>
  <c r="E335"/>
  <c r="E367" s="1"/>
  <c r="AA344"/>
  <c r="AA323" s="1"/>
  <c r="AA375" s="1"/>
  <c r="G579"/>
  <c r="E128" i="42" s="1"/>
  <c r="G353" i="44"/>
  <c r="D353" i="30"/>
  <c r="H577"/>
  <c r="F126" i="42" s="1"/>
  <c r="T572" i="30"/>
  <c r="R121" i="42" s="1"/>
  <c r="X376" i="30"/>
  <c r="X746" s="1"/>
  <c r="X346"/>
  <c r="X325" s="1"/>
  <c r="M566" i="44"/>
  <c r="AY115" i="42" s="1"/>
  <c r="U347" i="30"/>
  <c r="U326" s="1"/>
  <c r="U378" s="1"/>
  <c r="U350" i="44"/>
  <c r="U329" s="1"/>
  <c r="U384" s="1"/>
  <c r="P351" i="30"/>
  <c r="P330" s="1"/>
  <c r="P385" s="1"/>
  <c r="N354" i="44"/>
  <c r="N333" s="1"/>
  <c r="N373" s="1"/>
  <c r="O351" i="30"/>
  <c r="O330" s="1"/>
  <c r="O385" s="1"/>
  <c r="V349"/>
  <c r="V328" s="1"/>
  <c r="V383" s="1"/>
  <c r="O566" i="44"/>
  <c r="BA115" i="42" s="1"/>
  <c r="AZ115"/>
  <c r="N590" i="44"/>
  <c r="X348"/>
  <c r="X327" s="1"/>
  <c r="X379" s="1"/>
  <c r="Y345" i="30"/>
  <c r="Y324" s="1"/>
  <c r="Y376" s="1"/>
  <c r="P566" i="44"/>
  <c r="BB115" i="42" s="1"/>
  <c r="S352" i="44"/>
  <c r="J357" i="30"/>
  <c r="X571" i="44"/>
  <c r="Y570"/>
  <c r="N566" i="30"/>
  <c r="L115" i="42" s="1"/>
  <c r="L566" i="30"/>
  <c r="L590" s="1"/>
  <c r="V573" i="44"/>
  <c r="BH122" i="42" s="1"/>
  <c r="R351" i="30"/>
  <c r="R330" s="1"/>
  <c r="R385" s="1"/>
  <c r="Y325" i="44"/>
  <c r="Y377" s="1"/>
  <c r="Y400" s="1"/>
  <c r="O332"/>
  <c r="O381" s="1"/>
  <c r="N332" i="30"/>
  <c r="N381" s="1"/>
  <c r="I337" i="44"/>
  <c r="L332" i="30"/>
  <c r="L381" s="1"/>
  <c r="V328" i="44"/>
  <c r="V383" s="1"/>
  <c r="W326"/>
  <c r="W378" s="1"/>
  <c r="T327" i="30"/>
  <c r="AU110" i="42"/>
  <c r="I585" i="44"/>
  <c r="Q329"/>
  <c r="Q384" s="1"/>
  <c r="Z324"/>
  <c r="Z376" s="1"/>
  <c r="Z399" s="1"/>
  <c r="H113" i="42"/>
  <c r="J588" i="30"/>
  <c r="AW124" i="42"/>
  <c r="AV113"/>
  <c r="J588" i="44"/>
  <c r="I116" i="42"/>
  <c r="K591" i="30"/>
  <c r="AA324" i="44"/>
  <c r="AA376" s="1"/>
  <c r="AA399" s="1"/>
  <c r="Q328" i="30"/>
  <c r="AB323" i="44"/>
  <c r="AB375" s="1"/>
  <c r="K334"/>
  <c r="K370" s="1"/>
  <c r="V771" i="30"/>
  <c r="T235" i="42" s="1"/>
  <c r="V961" i="30"/>
  <c r="X550" i="44"/>
  <c r="X794"/>
  <c r="X702"/>
  <c r="X527"/>
  <c r="X596"/>
  <c r="X863"/>
  <c r="X840"/>
  <c r="X725"/>
  <c r="X817"/>
  <c r="BJ49" i="42"/>
  <c r="X748" i="44"/>
  <c r="W46" i="42"/>
  <c r="Y791" i="30"/>
  <c r="Y699"/>
  <c r="Y722"/>
  <c r="Y524"/>
  <c r="Y745"/>
  <c r="Y547"/>
  <c r="Y837"/>
  <c r="Y814"/>
  <c r="Y860"/>
  <c r="Y398"/>
  <c r="R776"/>
  <c r="P240" i="42" s="1"/>
  <c r="R966" i="30"/>
  <c r="X768"/>
  <c r="X958"/>
  <c r="AU224" i="42"/>
  <c r="P955" i="44"/>
  <c r="P765"/>
  <c r="BB229" i="42" s="1"/>
  <c r="W114"/>
  <c r="Y589" i="30"/>
  <c r="S331" i="44"/>
  <c r="S372" s="1"/>
  <c r="J336" i="30"/>
  <c r="R869" i="44"/>
  <c r="R556"/>
  <c r="R731"/>
  <c r="R602"/>
  <c r="R533"/>
  <c r="R708"/>
  <c r="R800"/>
  <c r="R754"/>
  <c r="R846"/>
  <c r="R823"/>
  <c r="BD55" i="42"/>
  <c r="AB954" i="44"/>
  <c r="AB764"/>
  <c r="BN228" i="42" s="1"/>
  <c r="K766" i="44"/>
  <c r="AW230" i="42" s="1"/>
  <c r="K956" i="44"/>
  <c r="T601"/>
  <c r="T822"/>
  <c r="T799"/>
  <c r="T868"/>
  <c r="T707"/>
  <c r="T845"/>
  <c r="T730"/>
  <c r="T753"/>
  <c r="BF54" i="42"/>
  <c r="T555" i="44"/>
  <c r="T532"/>
  <c r="Z791" i="30"/>
  <c r="Z860"/>
  <c r="Z814"/>
  <c r="Z722"/>
  <c r="X46" i="42"/>
  <c r="Z837" i="30"/>
  <c r="Z699"/>
  <c r="Z524"/>
  <c r="Z745"/>
  <c r="Z547"/>
  <c r="Z398"/>
  <c r="U601" i="44"/>
  <c r="U730"/>
  <c r="U753"/>
  <c r="BG54" i="42"/>
  <c r="U707" i="44"/>
  <c r="U868"/>
  <c r="U845"/>
  <c r="U532"/>
  <c r="U822"/>
  <c r="U799"/>
  <c r="U555"/>
  <c r="P869" i="30"/>
  <c r="P754"/>
  <c r="P602"/>
  <c r="P823"/>
  <c r="P556"/>
  <c r="P846"/>
  <c r="N55" i="42"/>
  <c r="P708" i="30"/>
  <c r="P731"/>
  <c r="P533"/>
  <c r="P800"/>
  <c r="N599" i="44"/>
  <c r="N705"/>
  <c r="N866"/>
  <c r="N797"/>
  <c r="N820"/>
  <c r="N751"/>
  <c r="N843"/>
  <c r="N728"/>
  <c r="N530"/>
  <c r="N553"/>
  <c r="AZ52" i="42"/>
  <c r="O800" i="30"/>
  <c r="O869"/>
  <c r="O708"/>
  <c r="O846"/>
  <c r="O602"/>
  <c r="O823"/>
  <c r="M55" i="42"/>
  <c r="O556" i="30"/>
  <c r="O533"/>
  <c r="O731"/>
  <c r="O754"/>
  <c r="AB322"/>
  <c r="AB371" s="1"/>
  <c r="T50" i="42"/>
  <c r="V841" i="30"/>
  <c r="V795"/>
  <c r="V864"/>
  <c r="V726"/>
  <c r="V703"/>
  <c r="V528"/>
  <c r="V818"/>
  <c r="V597"/>
  <c r="V551"/>
  <c r="V749"/>
  <c r="K953"/>
  <c r="K763"/>
  <c r="I227" i="42" s="1"/>
  <c r="Y959" i="44"/>
  <c r="Y769"/>
  <c r="BK233" i="42" s="1"/>
  <c r="Q966" i="44"/>
  <c r="Q776"/>
  <c r="BC240" i="42" s="1"/>
  <c r="Z569" i="44"/>
  <c r="Z662"/>
  <c r="BL178" i="42" s="1"/>
  <c r="Z958" i="44"/>
  <c r="Z664" s="1"/>
  <c r="BL180" i="42" s="1"/>
  <c r="Z768" i="44"/>
  <c r="L955" i="30"/>
  <c r="L765"/>
  <c r="J229" i="42" s="1"/>
  <c r="V962" i="44"/>
  <c r="V772"/>
  <c r="BH236" i="42" s="1"/>
  <c r="R602" i="30"/>
  <c r="R556"/>
  <c r="R869"/>
  <c r="R846"/>
  <c r="P55" i="42"/>
  <c r="R708" i="30"/>
  <c r="R754"/>
  <c r="R800"/>
  <c r="R823"/>
  <c r="R533"/>
  <c r="R731"/>
  <c r="AA958" i="44"/>
  <c r="AA664" s="1"/>
  <c r="BM180" i="42" s="1"/>
  <c r="AA768" i="44"/>
  <c r="M964" i="30"/>
  <c r="M774"/>
  <c r="K238" i="42" s="1"/>
  <c r="AA543" i="30"/>
  <c r="Y42" i="42"/>
  <c r="AA787" i="30"/>
  <c r="AA833"/>
  <c r="AA695"/>
  <c r="AA856"/>
  <c r="AA718"/>
  <c r="AA520"/>
  <c r="AA810"/>
  <c r="AA741"/>
  <c r="AA394"/>
  <c r="V572"/>
  <c r="T121" i="42" s="1"/>
  <c r="K357" i="30"/>
  <c r="R577"/>
  <c r="P126" i="42" s="1"/>
  <c r="J561" i="44"/>
  <c r="AC344"/>
  <c r="AC343" i="30"/>
  <c r="S350"/>
  <c r="AD580" i="44"/>
  <c r="M354"/>
  <c r="W348" i="30"/>
  <c r="W571" i="44"/>
  <c r="J358"/>
  <c r="P354"/>
  <c r="L353"/>
  <c r="M333" i="30"/>
  <c r="M373" s="1"/>
  <c r="J128" i="42"/>
  <c r="AB779" i="30"/>
  <c r="Z243" i="42" s="1"/>
  <c r="AB969" i="30"/>
  <c r="K806"/>
  <c r="K539"/>
  <c r="K783"/>
  <c r="K852"/>
  <c r="K737"/>
  <c r="K829"/>
  <c r="K390"/>
  <c r="K516"/>
  <c r="I38" i="42"/>
  <c r="K691" i="30"/>
  <c r="K714"/>
  <c r="S962"/>
  <c r="S772"/>
  <c r="Q236" i="42" s="1"/>
  <c r="M955" i="44"/>
  <c r="M765"/>
  <c r="AY229" i="42" s="1"/>
  <c r="J950" i="44"/>
  <c r="J760"/>
  <c r="AC741"/>
  <c r="AC810"/>
  <c r="BO42" i="42"/>
  <c r="AC787" i="44"/>
  <c r="AC695"/>
  <c r="AC718"/>
  <c r="AC394"/>
  <c r="AC856"/>
  <c r="AC833"/>
  <c r="AD371"/>
  <c r="AC520"/>
  <c r="AC543"/>
  <c r="S824"/>
  <c r="S847"/>
  <c r="S534"/>
  <c r="S870"/>
  <c r="S709"/>
  <c r="S755"/>
  <c r="S801"/>
  <c r="BE56" i="42"/>
  <c r="S732" i="44"/>
  <c r="S603"/>
  <c r="S557"/>
  <c r="J737" i="30"/>
  <c r="J691"/>
  <c r="J539"/>
  <c r="J806"/>
  <c r="J783"/>
  <c r="J852"/>
  <c r="H38" i="42"/>
  <c r="J516" i="30"/>
  <c r="J714"/>
  <c r="J829"/>
  <c r="J390"/>
  <c r="AB565" i="44"/>
  <c r="AW116" i="42"/>
  <c r="Y129"/>
  <c r="AA604" i="30"/>
  <c r="AX128" i="42"/>
  <c r="X114"/>
  <c r="Z589" i="30"/>
  <c r="X960" i="44"/>
  <c r="X770"/>
  <c r="BJ234" i="42" s="1"/>
  <c r="O955" i="44"/>
  <c r="O765"/>
  <c r="BA229" i="42" s="1"/>
  <c r="N765" i="30"/>
  <c r="L229" i="42" s="1"/>
  <c r="N955" i="30"/>
  <c r="AC802"/>
  <c r="AC558"/>
  <c r="AC825"/>
  <c r="AC871"/>
  <c r="AC535"/>
  <c r="AC733"/>
  <c r="AD386"/>
  <c r="AC710"/>
  <c r="AA57" i="42"/>
  <c r="AC756" i="30"/>
  <c r="AC848"/>
  <c r="AC409"/>
  <c r="S532"/>
  <c r="Q54" i="42"/>
  <c r="S845" i="30"/>
  <c r="S601"/>
  <c r="S730"/>
  <c r="S799"/>
  <c r="S822"/>
  <c r="S555"/>
  <c r="S753"/>
  <c r="S707"/>
  <c r="S868"/>
  <c r="AD969" i="44"/>
  <c r="BE969"/>
  <c r="AE558"/>
  <c r="AE535"/>
  <c r="AF386"/>
  <c r="M599"/>
  <c r="M728"/>
  <c r="M866"/>
  <c r="M751"/>
  <c r="M797"/>
  <c r="AY52" i="42"/>
  <c r="M843" i="44"/>
  <c r="M705"/>
  <c r="M820"/>
  <c r="M530"/>
  <c r="M553"/>
  <c r="W840" i="30"/>
  <c r="W863"/>
  <c r="W550"/>
  <c r="W702"/>
  <c r="U49" i="42"/>
  <c r="W725" i="30"/>
  <c r="W794"/>
  <c r="W527"/>
  <c r="W817"/>
  <c r="W748"/>
  <c r="W596"/>
  <c r="W770" i="44"/>
  <c r="BI234" i="42" s="1"/>
  <c r="W960" i="44"/>
  <c r="AA569"/>
  <c r="AA662"/>
  <c r="BM178" i="42" s="1"/>
  <c r="P751" i="44"/>
  <c r="BB52" i="42"/>
  <c r="P705" i="44"/>
  <c r="P820"/>
  <c r="P530"/>
  <c r="P599"/>
  <c r="P728"/>
  <c r="P843"/>
  <c r="P866"/>
  <c r="P797"/>
  <c r="P553"/>
  <c r="L544"/>
  <c r="AX43" i="42"/>
  <c r="L834" i="44"/>
  <c r="L521"/>
  <c r="L857"/>
  <c r="L811"/>
  <c r="L696"/>
  <c r="L742"/>
  <c r="L395"/>
  <c r="L719"/>
  <c r="L788"/>
  <c r="X569" i="30"/>
  <c r="R351" i="44"/>
  <c r="K591"/>
  <c r="T350"/>
  <c r="Z345" i="30"/>
  <c r="U549" l="1"/>
  <c r="X838"/>
  <c r="Q772"/>
  <c r="O236" i="42" s="1"/>
  <c r="U816" i="30"/>
  <c r="AV510" i="44"/>
  <c r="AW25"/>
  <c r="AW510" s="1"/>
  <c r="AV511"/>
  <c r="AW26"/>
  <c r="AW511" s="1"/>
  <c r="AW26" i="30"/>
  <c r="AW511" s="1"/>
  <c r="AV511"/>
  <c r="AW25"/>
  <c r="AW510" s="1"/>
  <c r="AV510"/>
  <c r="AV508"/>
  <c r="AW23"/>
  <c r="AW508" s="1"/>
  <c r="T771"/>
  <c r="R235" i="42" s="1"/>
  <c r="W770" i="30"/>
  <c r="U234" i="42" s="1"/>
  <c r="AV497" i="30"/>
  <c r="AW12"/>
  <c r="AW497" s="1"/>
  <c r="AW12" i="44"/>
  <c r="AW497" s="1"/>
  <c r="AV497"/>
  <c r="U862" i="30"/>
  <c r="U526"/>
  <c r="U595"/>
  <c r="W571"/>
  <c r="U120" i="42" s="1"/>
  <c r="U724" i="30"/>
  <c r="S48" i="42"/>
  <c r="U839" i="30"/>
  <c r="U747"/>
  <c r="U793"/>
  <c r="T379"/>
  <c r="T795" s="1"/>
  <c r="Q383"/>
  <c r="Q868" s="1"/>
  <c r="X377"/>
  <c r="V48" i="42" s="1"/>
  <c r="BK119"/>
  <c r="Y594" i="44"/>
  <c r="BJ120" i="42"/>
  <c r="X595" i="44"/>
  <c r="BI120" i="42"/>
  <c r="W595" i="44"/>
  <c r="G231" i="42"/>
  <c r="I930" i="30"/>
  <c r="G298" i="42" s="1"/>
  <c r="I586" i="30"/>
  <c r="G111" i="42"/>
  <c r="I340" i="30"/>
  <c r="I369" s="1"/>
  <c r="I963"/>
  <c r="I773"/>
  <c r="G237" i="42" s="1"/>
  <c r="I574" i="30"/>
  <c r="G123" i="42" s="1"/>
  <c r="AB604" i="30"/>
  <c r="K588"/>
  <c r="I382" i="44"/>
  <c r="I798" s="1"/>
  <c r="J115" i="42"/>
  <c r="X548" i="30"/>
  <c r="V47" i="42"/>
  <c r="X861" i="30"/>
  <c r="X594"/>
  <c r="P590" i="44"/>
  <c r="M590"/>
  <c r="X700" i="30"/>
  <c r="X959" s="1"/>
  <c r="X723"/>
  <c r="X525"/>
  <c r="X570" s="1"/>
  <c r="V119" i="42" s="1"/>
  <c r="X815" i="30"/>
  <c r="X792"/>
  <c r="AV504" i="44"/>
  <c r="AW19"/>
  <c r="AW504" s="1"/>
  <c r="AW19" i="30"/>
  <c r="AW504" s="1"/>
  <c r="AV504"/>
  <c r="AW15"/>
  <c r="AW500" s="1"/>
  <c r="AV500"/>
  <c r="AV496" i="44"/>
  <c r="AV28"/>
  <c r="AW11"/>
  <c r="AW11" i="30"/>
  <c r="AV496"/>
  <c r="AV28"/>
  <c r="AV506"/>
  <c r="AW21"/>
  <c r="AW506" s="1"/>
  <c r="N590"/>
  <c r="O590" i="44"/>
  <c r="G353" i="30"/>
  <c r="E567"/>
  <c r="F353" i="44"/>
  <c r="D579"/>
  <c r="AP128" i="42" s="1"/>
  <c r="G332" i="44"/>
  <c r="G381" s="1"/>
  <c r="C38" i="42"/>
  <c r="E516" i="30"/>
  <c r="E539"/>
  <c r="E390"/>
  <c r="E783"/>
  <c r="E852"/>
  <c r="E829"/>
  <c r="E737"/>
  <c r="E714"/>
  <c r="E691"/>
  <c r="E806"/>
  <c r="F544"/>
  <c r="F857"/>
  <c r="F696"/>
  <c r="F521"/>
  <c r="F788"/>
  <c r="F834"/>
  <c r="F742"/>
  <c r="D43" i="42"/>
  <c r="F719" i="30"/>
  <c r="F395"/>
  <c r="F811"/>
  <c r="H823"/>
  <c r="H602"/>
  <c r="H533"/>
  <c r="H731"/>
  <c r="H846"/>
  <c r="F55" i="42"/>
  <c r="H754" i="30"/>
  <c r="H708"/>
  <c r="H800"/>
  <c r="H556"/>
  <c r="H869"/>
  <c r="G332"/>
  <c r="G381" s="1"/>
  <c r="H557" i="44"/>
  <c r="H709"/>
  <c r="AT56" i="42"/>
  <c r="H603" i="44"/>
  <c r="H732"/>
  <c r="H801"/>
  <c r="H847"/>
  <c r="H534"/>
  <c r="H824"/>
  <c r="H870"/>
  <c r="H755"/>
  <c r="D521"/>
  <c r="D811"/>
  <c r="D696"/>
  <c r="D544"/>
  <c r="D834"/>
  <c r="D857"/>
  <c r="D395"/>
  <c r="AP43" i="42"/>
  <c r="D788" i="44"/>
  <c r="D742"/>
  <c r="D719"/>
  <c r="E858"/>
  <c r="E697"/>
  <c r="AQ44" i="42"/>
  <c r="E835" i="44"/>
  <c r="E720"/>
  <c r="E545"/>
  <c r="E522"/>
  <c r="E396"/>
  <c r="E812"/>
  <c r="E743"/>
  <c r="E789"/>
  <c r="F742"/>
  <c r="AR43" i="42"/>
  <c r="F395" i="44"/>
  <c r="F857"/>
  <c r="F834"/>
  <c r="F544"/>
  <c r="F788"/>
  <c r="F719"/>
  <c r="F696"/>
  <c r="F521"/>
  <c r="F566" s="1"/>
  <c r="AR115" i="42" s="1"/>
  <c r="F811" i="44"/>
  <c r="D968"/>
  <c r="D778"/>
  <c r="AP242" i="42" s="1"/>
  <c r="D955" i="30"/>
  <c r="D765"/>
  <c r="B229" i="42" s="1"/>
  <c r="G955" i="44"/>
  <c r="G765"/>
  <c r="AS229" i="42" s="1"/>
  <c r="D566" i="30"/>
  <c r="G566" i="44"/>
  <c r="D332" i="30"/>
  <c r="D381" s="1"/>
  <c r="G719"/>
  <c r="G521"/>
  <c r="G788"/>
  <c r="G811"/>
  <c r="G742"/>
  <c r="E43" i="42"/>
  <c r="G834" i="30"/>
  <c r="G696"/>
  <c r="G544"/>
  <c r="G395"/>
  <c r="G857"/>
  <c r="E956"/>
  <c r="E766"/>
  <c r="C230" i="42" s="1"/>
  <c r="F968" i="30"/>
  <c r="F778"/>
  <c r="D242" i="42" s="1"/>
  <c r="F332" i="44"/>
  <c r="F381" s="1"/>
  <c r="E357" i="30"/>
  <c r="F353"/>
  <c r="H351"/>
  <c r="H352" i="44"/>
  <c r="D353"/>
  <c r="F579" i="30"/>
  <c r="D128" i="42" s="1"/>
  <c r="E356" i="44"/>
  <c r="R578" i="30"/>
  <c r="P127" i="42" s="1"/>
  <c r="L566" i="44"/>
  <c r="L590" s="1"/>
  <c r="AE580"/>
  <c r="AC580" i="30"/>
  <c r="BE580" s="1"/>
  <c r="AB344"/>
  <c r="AB323" s="1"/>
  <c r="AB375" s="1"/>
  <c r="O578"/>
  <c r="M127" i="42" s="1"/>
  <c r="U577" i="44"/>
  <c r="BG126" i="42" s="1"/>
  <c r="J358" i="30"/>
  <c r="J337" s="1"/>
  <c r="J382" s="1"/>
  <c r="W572"/>
  <c r="U121" i="42" s="1"/>
  <c r="T577" i="44"/>
  <c r="BF126" i="42" s="1"/>
  <c r="Q350" i="30"/>
  <c r="Q329" s="1"/>
  <c r="Q384" s="1"/>
  <c r="Y347" i="44"/>
  <c r="Y326" s="1"/>
  <c r="Y378" s="1"/>
  <c r="T329"/>
  <c r="T384" s="1"/>
  <c r="L955"/>
  <c r="L765"/>
  <c r="AX229" i="42" s="1"/>
  <c r="AX115"/>
  <c r="X747" i="30"/>
  <c r="BM118" i="42"/>
  <c r="AA593" i="44"/>
  <c r="W961" i="30"/>
  <c r="W771"/>
  <c r="U235" i="42" s="1"/>
  <c r="V799" i="30"/>
  <c r="V730"/>
  <c r="V532"/>
  <c r="V601"/>
  <c r="V707"/>
  <c r="V555"/>
  <c r="V753"/>
  <c r="V822"/>
  <c r="T54" i="42"/>
  <c r="V868" i="30"/>
  <c r="V845"/>
  <c r="N522" i="44"/>
  <c r="N789"/>
  <c r="N812"/>
  <c r="N743"/>
  <c r="AZ44" i="42"/>
  <c r="N720" i="44"/>
  <c r="N858"/>
  <c r="N835"/>
  <c r="N545"/>
  <c r="N396"/>
  <c r="N697"/>
  <c r="U533"/>
  <c r="U556"/>
  <c r="U754"/>
  <c r="U800"/>
  <c r="U846"/>
  <c r="U823"/>
  <c r="BG55" i="42"/>
  <c r="U869" i="44"/>
  <c r="U731"/>
  <c r="U708"/>
  <c r="U602"/>
  <c r="AD520"/>
  <c r="AE371"/>
  <c r="AD543"/>
  <c r="X841"/>
  <c r="X726"/>
  <c r="BJ50" i="42"/>
  <c r="X528" i="44"/>
  <c r="X597"/>
  <c r="X795"/>
  <c r="X703"/>
  <c r="X864"/>
  <c r="X749"/>
  <c r="X818"/>
  <c r="X551"/>
  <c r="K950" i="30"/>
  <c r="K760"/>
  <c r="K561"/>
  <c r="M545"/>
  <c r="M697"/>
  <c r="M743"/>
  <c r="M720"/>
  <c r="M522"/>
  <c r="M567" s="1"/>
  <c r="K116" i="42" s="1"/>
  <c r="M835" i="30"/>
  <c r="M812"/>
  <c r="K44" i="42"/>
  <c r="M789" i="30"/>
  <c r="M858"/>
  <c r="M396"/>
  <c r="P333" i="44"/>
  <c r="P373" s="1"/>
  <c r="M333"/>
  <c r="M373" s="1"/>
  <c r="S329" i="30"/>
  <c r="S384" s="1"/>
  <c r="K336"/>
  <c r="AA565"/>
  <c r="AA954"/>
  <c r="AA764"/>
  <c r="Y228" i="42" s="1"/>
  <c r="BM232"/>
  <c r="AA930" i="44"/>
  <c r="BM298" i="42" s="1"/>
  <c r="BL118"/>
  <c r="Z593" i="44"/>
  <c r="V962" i="30"/>
  <c r="V772"/>
  <c r="T236" i="42" s="1"/>
  <c r="O777" i="30"/>
  <c r="M241" i="42" s="1"/>
  <c r="O967" i="30"/>
  <c r="N964" i="44"/>
  <c r="N774"/>
  <c r="AZ238" i="42" s="1"/>
  <c r="Z958" i="30"/>
  <c r="Z768"/>
  <c r="T966" i="44"/>
  <c r="T776"/>
  <c r="BF240" i="42" s="1"/>
  <c r="S49"/>
  <c r="U794" i="30"/>
  <c r="U550"/>
  <c r="U863"/>
  <c r="U527"/>
  <c r="U702"/>
  <c r="U840"/>
  <c r="U725"/>
  <c r="U596"/>
  <c r="U748"/>
  <c r="U817"/>
  <c r="R967" i="44"/>
  <c r="R777"/>
  <c r="BD241" i="42" s="1"/>
  <c r="S857" i="44"/>
  <c r="S811"/>
  <c r="S696"/>
  <c r="S544"/>
  <c r="S834"/>
  <c r="S719"/>
  <c r="BE43" i="42"/>
  <c r="S788" i="44"/>
  <c r="S521"/>
  <c r="S742"/>
  <c r="S395"/>
  <c r="X961"/>
  <c r="X771"/>
  <c r="BJ235" i="42" s="1"/>
  <c r="K542" i="44"/>
  <c r="K393"/>
  <c r="AW41" i="42"/>
  <c r="K809" i="44"/>
  <c r="K786"/>
  <c r="K855"/>
  <c r="K717"/>
  <c r="K832"/>
  <c r="K519"/>
  <c r="K694"/>
  <c r="K740"/>
  <c r="AB791"/>
  <c r="AB931" s="1"/>
  <c r="BN299" i="42" s="1"/>
  <c r="AB547" i="44"/>
  <c r="AB663" s="1"/>
  <c r="BN179" i="42" s="1"/>
  <c r="AB722" i="44"/>
  <c r="AB699"/>
  <c r="AB524"/>
  <c r="AB398"/>
  <c r="AB837"/>
  <c r="AB933" s="1"/>
  <c r="BN301" i="42" s="1"/>
  <c r="AB745" i="44"/>
  <c r="BN46" i="42"/>
  <c r="AB860" i="44"/>
  <c r="AB934" s="1"/>
  <c r="BN302" i="42" s="1"/>
  <c r="AB814" i="44"/>
  <c r="AB932" s="1"/>
  <c r="BN300" i="42" s="1"/>
  <c r="AA792" i="44"/>
  <c r="AA861"/>
  <c r="AA815"/>
  <c r="BM47" i="42"/>
  <c r="AA548" i="44"/>
  <c r="AA723"/>
  <c r="AA700"/>
  <c r="AA525"/>
  <c r="AA838"/>
  <c r="AA746"/>
  <c r="Z792"/>
  <c r="Z700"/>
  <c r="Z525"/>
  <c r="Z746"/>
  <c r="Z815"/>
  <c r="BL47" i="42"/>
  <c r="Z838" i="44"/>
  <c r="Z723"/>
  <c r="Z861"/>
  <c r="Z548"/>
  <c r="Q869"/>
  <c r="Q708"/>
  <c r="Q846"/>
  <c r="Q602"/>
  <c r="Q823"/>
  <c r="Q800"/>
  <c r="Q556"/>
  <c r="Q533"/>
  <c r="Q731"/>
  <c r="Q754"/>
  <c r="BC55" i="42"/>
  <c r="W596" i="44"/>
  <c r="W702"/>
  <c r="BI49" i="42"/>
  <c r="W748" i="44"/>
  <c r="W840"/>
  <c r="W725"/>
  <c r="W550"/>
  <c r="W817"/>
  <c r="W863"/>
  <c r="W527"/>
  <c r="W794"/>
  <c r="V868"/>
  <c r="V532"/>
  <c r="V601"/>
  <c r="V822"/>
  <c r="V730"/>
  <c r="V753"/>
  <c r="V845"/>
  <c r="V555"/>
  <c r="V707"/>
  <c r="BH54" i="42"/>
  <c r="V799" i="44"/>
  <c r="L553" i="30"/>
  <c r="L530"/>
  <c r="L728"/>
  <c r="L751"/>
  <c r="J52" i="42"/>
  <c r="L866" i="30"/>
  <c r="L705"/>
  <c r="L843"/>
  <c r="L599"/>
  <c r="L820"/>
  <c r="L797"/>
  <c r="N599"/>
  <c r="N820"/>
  <c r="L52" i="42"/>
  <c r="N866" i="30"/>
  <c r="N705"/>
  <c r="N728"/>
  <c r="N751"/>
  <c r="N843"/>
  <c r="N553"/>
  <c r="N530"/>
  <c r="N797"/>
  <c r="O530" i="44"/>
  <c r="O820"/>
  <c r="O797"/>
  <c r="O553"/>
  <c r="O843"/>
  <c r="O751"/>
  <c r="BA52" i="42"/>
  <c r="O705" i="44"/>
  <c r="O866"/>
  <c r="O599"/>
  <c r="O728"/>
  <c r="Y549"/>
  <c r="Y793"/>
  <c r="Y724"/>
  <c r="Y862"/>
  <c r="Y747"/>
  <c r="BK48" i="42"/>
  <c r="Y701" i="44"/>
  <c r="Y839"/>
  <c r="Y526"/>
  <c r="Y816"/>
  <c r="AA814" i="30"/>
  <c r="AA547"/>
  <c r="AA837"/>
  <c r="AA722"/>
  <c r="Y46" i="42"/>
  <c r="AA745" i="30"/>
  <c r="AA699"/>
  <c r="AA524"/>
  <c r="AA569" s="1"/>
  <c r="Y118" i="42" s="1"/>
  <c r="AA791" i="30"/>
  <c r="AA860"/>
  <c r="AA398"/>
  <c r="P774" i="44"/>
  <c r="BB238" i="42" s="1"/>
  <c r="P964" i="44"/>
  <c r="R534" i="30"/>
  <c r="R603"/>
  <c r="R755"/>
  <c r="R801"/>
  <c r="R824"/>
  <c r="R870"/>
  <c r="R732"/>
  <c r="R709"/>
  <c r="P56" i="42"/>
  <c r="R557" i="30"/>
  <c r="R847"/>
  <c r="S966"/>
  <c r="S776"/>
  <c r="Q240" i="42" s="1"/>
  <c r="AC969" i="30"/>
  <c r="AC779"/>
  <c r="AA243" i="42" s="1"/>
  <c r="O755" i="30"/>
  <c r="O801"/>
  <c r="M56" i="42"/>
  <c r="O870" i="30"/>
  <c r="O709"/>
  <c r="O603"/>
  <c r="O534"/>
  <c r="O847"/>
  <c r="O557"/>
  <c r="O824"/>
  <c r="O732"/>
  <c r="P534"/>
  <c r="P557"/>
  <c r="N56" i="42"/>
  <c r="P847" i="30"/>
  <c r="P603"/>
  <c r="P870"/>
  <c r="P801"/>
  <c r="P824"/>
  <c r="P755"/>
  <c r="P732"/>
  <c r="P709"/>
  <c r="BN114" i="42"/>
  <c r="AB589" i="44"/>
  <c r="J561" i="30"/>
  <c r="J950"/>
  <c r="J760"/>
  <c r="S778" i="44"/>
  <c r="BE242" i="42" s="1"/>
  <c r="S968" i="44"/>
  <c r="Y723" i="30"/>
  <c r="Y792"/>
  <c r="Y861"/>
  <c r="Y746"/>
  <c r="W47" i="42"/>
  <c r="Y838" i="30"/>
  <c r="Y594"/>
  <c r="Y548"/>
  <c r="Y815"/>
  <c r="Y700"/>
  <c r="Y525"/>
  <c r="Z324"/>
  <c r="Z376" s="1"/>
  <c r="R330" i="44"/>
  <c r="R385" s="1"/>
  <c r="V118" i="42"/>
  <c r="X593" i="30"/>
  <c r="M964" i="44"/>
  <c r="M774"/>
  <c r="AY238" i="42" s="1"/>
  <c r="AF535" i="44"/>
  <c r="AG386"/>
  <c r="AF558"/>
  <c r="AE969"/>
  <c r="AF969" s="1"/>
  <c r="AG969" s="1"/>
  <c r="AH969" s="1"/>
  <c r="AI969" s="1"/>
  <c r="AJ969" s="1"/>
  <c r="AK969" s="1"/>
  <c r="AL969" s="1"/>
  <c r="AM969" s="1"/>
  <c r="AN969" s="1"/>
  <c r="AO969" s="1"/>
  <c r="AP969" s="1"/>
  <c r="AQ969" s="1"/>
  <c r="AR969" s="1"/>
  <c r="AS969" s="1"/>
  <c r="AT969" s="1"/>
  <c r="AU969" s="1"/>
  <c r="AV969" s="1"/>
  <c r="AW969" s="1"/>
  <c r="AE386" i="30"/>
  <c r="AD535"/>
  <c r="AD558"/>
  <c r="U960"/>
  <c r="AC565" i="44"/>
  <c r="AC954"/>
  <c r="AC764"/>
  <c r="BO228" i="42" s="1"/>
  <c r="AV224"/>
  <c r="L332" i="44"/>
  <c r="L381" s="1"/>
  <c r="J337"/>
  <c r="W327" i="30"/>
  <c r="AC322"/>
  <c r="AC371" s="1"/>
  <c r="AC323" i="44"/>
  <c r="AC375" s="1"/>
  <c r="AC398" s="1"/>
  <c r="AV110" i="42"/>
  <c r="J585" i="44"/>
  <c r="R967" i="30"/>
  <c r="R777"/>
  <c r="P241" i="42" s="1"/>
  <c r="Z930" i="44"/>
  <c r="BL298" i="42" s="1"/>
  <c r="BL232"/>
  <c r="Z42"/>
  <c r="AB741" i="30"/>
  <c r="AB520"/>
  <c r="AB810"/>
  <c r="AB787"/>
  <c r="AB856"/>
  <c r="AB718"/>
  <c r="AB695"/>
  <c r="AB543"/>
  <c r="AB833"/>
  <c r="AB394"/>
  <c r="P967"/>
  <c r="P777"/>
  <c r="N241" i="42" s="1"/>
  <c r="U966" i="44"/>
  <c r="U776"/>
  <c r="BG240" i="42" s="1"/>
  <c r="V232"/>
  <c r="Y768" i="30"/>
  <c r="Y958"/>
  <c r="P575" i="44"/>
  <c r="BB124" i="42" s="1"/>
  <c r="S579" i="44"/>
  <c r="BE128" i="42" s="1"/>
  <c r="AA345" i="30"/>
  <c r="X347"/>
  <c r="M575" i="44"/>
  <c r="AY124" i="42" s="1"/>
  <c r="R352" i="30"/>
  <c r="S577"/>
  <c r="Q126" i="42" s="1"/>
  <c r="V350" i="30"/>
  <c r="O352"/>
  <c r="N355" i="44"/>
  <c r="P352" i="30"/>
  <c r="U351" i="44"/>
  <c r="Y346" i="30"/>
  <c r="X349" i="44"/>
  <c r="M355" i="30"/>
  <c r="V573"/>
  <c r="T122" i="42" s="1"/>
  <c r="N575" i="44"/>
  <c r="AZ124" i="42" s="1"/>
  <c r="P578" i="30"/>
  <c r="N127" i="42" s="1"/>
  <c r="Z569" i="30"/>
  <c r="U348"/>
  <c r="R578" i="44"/>
  <c r="BD127" i="42" s="1"/>
  <c r="S353" i="44"/>
  <c r="Y569" i="30"/>
  <c r="X572" i="44"/>
  <c r="BJ121" i="42" s="1"/>
  <c r="K356" i="44"/>
  <c r="AB345"/>
  <c r="AA346"/>
  <c r="Z346"/>
  <c r="Q351"/>
  <c r="T349" i="30"/>
  <c r="W348" i="44"/>
  <c r="V350"/>
  <c r="L354" i="30"/>
  <c r="I359" i="44"/>
  <c r="N354" i="30"/>
  <c r="O354" i="44"/>
  <c r="U571" i="30" l="1"/>
  <c r="S120" i="42" s="1"/>
  <c r="T551" i="30"/>
  <c r="X839"/>
  <c r="O54" i="42"/>
  <c r="R50"/>
  <c r="T703" i="30"/>
  <c r="T962" s="1"/>
  <c r="X793"/>
  <c r="Y571" i="44"/>
  <c r="Q707" i="30"/>
  <c r="Q966" s="1"/>
  <c r="T597"/>
  <c r="T749"/>
  <c r="X862"/>
  <c r="X526"/>
  <c r="X816"/>
  <c r="Q532"/>
  <c r="Q753"/>
  <c r="Q799"/>
  <c r="T864"/>
  <c r="T528"/>
  <c r="T726"/>
  <c r="T818"/>
  <c r="T841"/>
  <c r="X595"/>
  <c r="X549"/>
  <c r="X701"/>
  <c r="X960" s="1"/>
  <c r="X724"/>
  <c r="U770"/>
  <c r="S234" i="42" s="1"/>
  <c r="Q601" i="30"/>
  <c r="Q555"/>
  <c r="Q577" s="1"/>
  <c r="O126" i="42" s="1"/>
  <c r="Q845" i="30"/>
  <c r="Q730"/>
  <c r="Q822"/>
  <c r="W379"/>
  <c r="U50" i="42" s="1"/>
  <c r="AA593" i="30"/>
  <c r="I739"/>
  <c r="I757" s="1"/>
  <c r="I785"/>
  <c r="I414" a="1"/>
  <c r="I414" s="1"/>
  <c r="I387"/>
  <c r="I410" s="1"/>
  <c r="I716"/>
  <c r="I734" s="1"/>
  <c r="I541"/>
  <c r="I831"/>
  <c r="I415" a="1"/>
  <c r="I415" s="1"/>
  <c r="G40" i="42"/>
  <c r="I693" i="30"/>
  <c r="I518"/>
  <c r="I416" a="1"/>
  <c r="I416" s="1"/>
  <c r="I392"/>
  <c r="I854"/>
  <c r="I808"/>
  <c r="I417" a="1"/>
  <c r="I417" s="1"/>
  <c r="I413" a="1"/>
  <c r="I413" s="1"/>
  <c r="I362"/>
  <c r="I364" s="1"/>
  <c r="C33" i="33" s="1"/>
  <c r="I867" i="44"/>
  <c r="F590"/>
  <c r="AU53" i="42"/>
  <c r="M591" i="30"/>
  <c r="I752" i="44"/>
  <c r="I844"/>
  <c r="I600"/>
  <c r="I706"/>
  <c r="I965" s="1"/>
  <c r="I554"/>
  <c r="I729"/>
  <c r="I821"/>
  <c r="I531"/>
  <c r="J382"/>
  <c r="J752" s="1"/>
  <c r="AA129" i="42"/>
  <c r="X769" i="30"/>
  <c r="V233" i="42" s="1"/>
  <c r="AC604" i="30"/>
  <c r="AW496"/>
  <c r="AW28"/>
  <c r="AW496" i="44"/>
  <c r="AW28"/>
  <c r="U572" i="30"/>
  <c r="S121" i="42" s="1"/>
  <c r="D354" i="30"/>
  <c r="D333" s="1"/>
  <c r="D370" s="1"/>
  <c r="E567" i="44"/>
  <c r="E591" s="1"/>
  <c r="F566" i="30"/>
  <c r="G354" i="44"/>
  <c r="C116" i="42"/>
  <c r="E591" i="30"/>
  <c r="G566"/>
  <c r="E115" i="42" s="1"/>
  <c r="H331" i="44"/>
  <c r="H372" s="1"/>
  <c r="F332" i="30"/>
  <c r="F381" s="1"/>
  <c r="D599"/>
  <c r="D866"/>
  <c r="D797"/>
  <c r="D553"/>
  <c r="D530"/>
  <c r="D751"/>
  <c r="B52" i="42"/>
  <c r="D728" i="30"/>
  <c r="D820"/>
  <c r="D843"/>
  <c r="D705"/>
  <c r="D590"/>
  <c r="B115" i="42"/>
  <c r="F955" i="44"/>
  <c r="F765"/>
  <c r="AR229" i="42" s="1"/>
  <c r="E956" i="44"/>
  <c r="E766"/>
  <c r="AQ230" i="42" s="1"/>
  <c r="D955" i="44"/>
  <c r="D765"/>
  <c r="AP229" i="42" s="1"/>
  <c r="H968" i="44"/>
  <c r="H778"/>
  <c r="AT242" i="42" s="1"/>
  <c r="F955" i="30"/>
  <c r="F765"/>
  <c r="D229" i="42" s="1"/>
  <c r="E950" i="30"/>
  <c r="E760"/>
  <c r="E681"/>
  <c r="BX179" i="42" s="1"/>
  <c r="G333" i="44"/>
  <c r="G370" s="1"/>
  <c r="F354"/>
  <c r="D566"/>
  <c r="H579"/>
  <c r="AT128" i="42" s="1"/>
  <c r="G354" i="30"/>
  <c r="H578"/>
  <c r="F127" i="42" s="1"/>
  <c r="E335" i="44"/>
  <c r="E367" s="1"/>
  <c r="D332"/>
  <c r="D381" s="1"/>
  <c r="H330" i="30"/>
  <c r="H385" s="1"/>
  <c r="E336"/>
  <c r="F530" i="44"/>
  <c r="F797"/>
  <c r="F820"/>
  <c r="AR52" i="42"/>
  <c r="F751" i="44"/>
  <c r="F728"/>
  <c r="F553"/>
  <c r="F866"/>
  <c r="F599"/>
  <c r="F843"/>
  <c r="F705"/>
  <c r="G955" i="30"/>
  <c r="G765"/>
  <c r="E229" i="42" s="1"/>
  <c r="AS115"/>
  <c r="G590" i="44"/>
  <c r="G530" i="30"/>
  <c r="G705"/>
  <c r="G751"/>
  <c r="G553"/>
  <c r="G820"/>
  <c r="G599"/>
  <c r="G866"/>
  <c r="G728"/>
  <c r="E52" i="42"/>
  <c r="G797" i="30"/>
  <c r="G843"/>
  <c r="H967"/>
  <c r="H777"/>
  <c r="F241" i="42" s="1"/>
  <c r="E680" i="30"/>
  <c r="BX178" i="42" s="1"/>
  <c r="E561" i="30"/>
  <c r="G599" i="44"/>
  <c r="G843"/>
  <c r="G820"/>
  <c r="G530"/>
  <c r="G866"/>
  <c r="G751"/>
  <c r="AS52" i="42"/>
  <c r="G797" i="44"/>
  <c r="G728"/>
  <c r="G553"/>
  <c r="G705"/>
  <c r="R579" i="30"/>
  <c r="P128" i="42" s="1"/>
  <c r="Y348" i="44"/>
  <c r="Y327" s="1"/>
  <c r="Y379" s="1"/>
  <c r="AD580" i="30"/>
  <c r="BA969" i="44"/>
  <c r="BC969" s="1"/>
  <c r="AA570"/>
  <c r="S566"/>
  <c r="BE115" i="42" s="1"/>
  <c r="K358" i="30"/>
  <c r="K337" s="1"/>
  <c r="K382" s="1"/>
  <c r="U578" i="44"/>
  <c r="BG127" i="42" s="1"/>
  <c r="N333" i="30"/>
  <c r="N373" s="1"/>
  <c r="L333"/>
  <c r="L373" s="1"/>
  <c r="W327" i="44"/>
  <c r="W379" s="1"/>
  <c r="Z325"/>
  <c r="Z377" s="1"/>
  <c r="Z400" s="1"/>
  <c r="AB324"/>
  <c r="AB376" s="1"/>
  <c r="AB399" s="1"/>
  <c r="S332"/>
  <c r="S381" s="1"/>
  <c r="Y325" i="30"/>
  <c r="U330" i="44"/>
  <c r="U385" s="1"/>
  <c r="N334"/>
  <c r="N370" s="1"/>
  <c r="AA324" i="30"/>
  <c r="AA376" s="1"/>
  <c r="W232" i="42"/>
  <c r="AC837" i="44"/>
  <c r="AC933" s="1"/>
  <c r="BO301" i="42" s="1"/>
  <c r="AC860" i="44"/>
  <c r="AC934" s="1"/>
  <c r="BO302" i="42" s="1"/>
  <c r="BO46"/>
  <c r="AC547" i="44"/>
  <c r="AC663" s="1"/>
  <c r="BO179" i="42" s="1"/>
  <c r="AD375" i="44"/>
  <c r="AC745"/>
  <c r="AC814"/>
  <c r="AC932" s="1"/>
  <c r="BO300" i="42" s="1"/>
  <c r="AC699" i="44"/>
  <c r="AC722"/>
  <c r="AC791"/>
  <c r="AC931" s="1"/>
  <c r="BO299" i="42" s="1"/>
  <c r="AC524" i="44"/>
  <c r="L866"/>
  <c r="L705"/>
  <c r="L843"/>
  <c r="AX52" i="42"/>
  <c r="L530" i="44"/>
  <c r="L599"/>
  <c r="L728"/>
  <c r="L751"/>
  <c r="L553"/>
  <c r="L797"/>
  <c r="L820"/>
  <c r="AD954"/>
  <c r="BE954"/>
  <c r="BO114" i="42"/>
  <c r="BE565" i="44"/>
  <c r="AC589"/>
  <c r="R557"/>
  <c r="R534"/>
  <c r="R732"/>
  <c r="R755"/>
  <c r="BD56" i="42"/>
  <c r="R870" i="44"/>
  <c r="R709"/>
  <c r="R847"/>
  <c r="R603"/>
  <c r="R824"/>
  <c r="R801"/>
  <c r="O333"/>
  <c r="O373" s="1"/>
  <c r="I338"/>
  <c r="V329"/>
  <c r="V384" s="1"/>
  <c r="T328" i="30"/>
  <c r="Q330" i="44"/>
  <c r="Q385" s="1"/>
  <c r="AA325"/>
  <c r="AA377" s="1"/>
  <c r="AA400" s="1"/>
  <c r="K335"/>
  <c r="K367" s="1"/>
  <c r="W118" i="42"/>
  <c r="Y593" i="30"/>
  <c r="M334"/>
  <c r="M370" s="1"/>
  <c r="X328" i="44"/>
  <c r="X383" s="1"/>
  <c r="P331" i="30"/>
  <c r="P372" s="1"/>
  <c r="O331"/>
  <c r="O372" s="1"/>
  <c r="R331"/>
  <c r="R372" s="1"/>
  <c r="X326"/>
  <c r="BK49" i="42"/>
  <c r="Y550" i="44"/>
  <c r="Y725"/>
  <c r="Y863"/>
  <c r="Y748"/>
  <c r="Y794"/>
  <c r="Y840"/>
  <c r="Y596"/>
  <c r="Y817"/>
  <c r="Y702"/>
  <c r="Y527"/>
  <c r="AB565" i="30"/>
  <c r="AE535"/>
  <c r="AF386"/>
  <c r="AE558"/>
  <c r="AG558" i="44"/>
  <c r="AG535"/>
  <c r="AH386"/>
  <c r="H224" i="42"/>
  <c r="P778" i="30"/>
  <c r="N242" i="42" s="1"/>
  <c r="P968" i="30"/>
  <c r="AD969"/>
  <c r="BE969"/>
  <c r="R968"/>
  <c r="R778"/>
  <c r="P242" i="42" s="1"/>
  <c r="V966" i="44"/>
  <c r="V776"/>
  <c r="BH240" i="42" s="1"/>
  <c r="W771" i="44"/>
  <c r="BI235" i="42" s="1"/>
  <c r="W961" i="44"/>
  <c r="Q967"/>
  <c r="Q777"/>
  <c r="BC241" i="42" s="1"/>
  <c r="AA959" i="44"/>
  <c r="AA769"/>
  <c r="BM233" i="42" s="1"/>
  <c r="AB768" i="44"/>
  <c r="AB958"/>
  <c r="AB664" s="1"/>
  <c r="BN180" i="42" s="1"/>
  <c r="Y114"/>
  <c r="AA589" i="30"/>
  <c r="M766"/>
  <c r="K230" i="42" s="1"/>
  <c r="M956" i="30"/>
  <c r="U967" i="44"/>
  <c r="U777"/>
  <c r="BG241" i="42" s="1"/>
  <c r="V776" i="30"/>
  <c r="T240" i="42" s="1"/>
  <c r="V966" i="30"/>
  <c r="AC345" i="44"/>
  <c r="AC344" i="30"/>
  <c r="W349"/>
  <c r="J359" i="44"/>
  <c r="L354"/>
  <c r="R352"/>
  <c r="Z346" i="30"/>
  <c r="Y570"/>
  <c r="W119" i="42" s="1"/>
  <c r="P579" i="30"/>
  <c r="N128" i="42" s="1"/>
  <c r="O575" i="44"/>
  <c r="BA124" i="42" s="1"/>
  <c r="N575" i="30"/>
  <c r="L124" i="42" s="1"/>
  <c r="L575" i="30"/>
  <c r="W572" i="44"/>
  <c r="BI121" i="42" s="1"/>
  <c r="Q578" i="44"/>
  <c r="Z570"/>
  <c r="Q351" i="30"/>
  <c r="K564" i="44"/>
  <c r="J359" i="30"/>
  <c r="AB345"/>
  <c r="S351"/>
  <c r="M355" i="44"/>
  <c r="P355"/>
  <c r="X573"/>
  <c r="BJ122" i="42" s="1"/>
  <c r="AD565" i="44"/>
  <c r="V577" i="30"/>
  <c r="T126" i="42" s="1"/>
  <c r="T351" i="44"/>
  <c r="U327" i="30"/>
  <c r="X118" i="42"/>
  <c r="Z593" i="30"/>
  <c r="V329"/>
  <c r="V384" s="1"/>
  <c r="AB954"/>
  <c r="AB764"/>
  <c r="Z228" i="42" s="1"/>
  <c r="AA42"/>
  <c r="AC856" i="30"/>
  <c r="AC520"/>
  <c r="AD371"/>
  <c r="AC741"/>
  <c r="AC543"/>
  <c r="AC810"/>
  <c r="AC695"/>
  <c r="AC718"/>
  <c r="AC833"/>
  <c r="AC787"/>
  <c r="AC394"/>
  <c r="Z746"/>
  <c r="Z594"/>
  <c r="Z792"/>
  <c r="Z548"/>
  <c r="Z815"/>
  <c r="Z861"/>
  <c r="Z525"/>
  <c r="Z838"/>
  <c r="Z723"/>
  <c r="X47" i="42"/>
  <c r="Z700" i="30"/>
  <c r="Y959"/>
  <c r="Y769"/>
  <c r="W233" i="42" s="1"/>
  <c r="H110"/>
  <c r="J585" i="30"/>
  <c r="O778"/>
  <c r="M242" i="42" s="1"/>
  <c r="O968" i="30"/>
  <c r="AA958"/>
  <c r="AA768"/>
  <c r="Y960" i="44"/>
  <c r="Y770"/>
  <c r="BK234" i="42" s="1"/>
  <c r="O964" i="44"/>
  <c r="O774"/>
  <c r="BA238" i="42" s="1"/>
  <c r="N964" i="30"/>
  <c r="N774"/>
  <c r="L238" i="42" s="1"/>
  <c r="L964" i="30"/>
  <c r="L774"/>
  <c r="J238" i="42" s="1"/>
  <c r="Z769" i="44"/>
  <c r="BL233" i="42" s="1"/>
  <c r="Z959" i="44"/>
  <c r="Q731" i="30"/>
  <c r="Q754"/>
  <c r="O55" i="42"/>
  <c r="Q556" i="30"/>
  <c r="Q533"/>
  <c r="Q602"/>
  <c r="Q823"/>
  <c r="Q800"/>
  <c r="Q869"/>
  <c r="Q708"/>
  <c r="Q846"/>
  <c r="AB569" i="44"/>
  <c r="AB662"/>
  <c r="BN178" i="42" s="1"/>
  <c r="K953" i="44"/>
  <c r="K763"/>
  <c r="AW227" i="42" s="1"/>
  <c r="S955" i="44"/>
  <c r="S765"/>
  <c r="BE229" i="42" s="1"/>
  <c r="J729" i="30"/>
  <c r="J844"/>
  <c r="J706"/>
  <c r="J821"/>
  <c r="J531"/>
  <c r="J798"/>
  <c r="J867"/>
  <c r="J752"/>
  <c r="J600"/>
  <c r="H53" i="42"/>
  <c r="J554" i="30"/>
  <c r="U771"/>
  <c r="S235" i="42" s="1"/>
  <c r="U961" i="30"/>
  <c r="X232" i="42"/>
  <c r="AB814" i="30"/>
  <c r="AB837"/>
  <c r="AB547"/>
  <c r="AB745"/>
  <c r="Z46" i="42"/>
  <c r="AB722" i="30"/>
  <c r="AB524"/>
  <c r="AB569" s="1"/>
  <c r="Z118" i="42" s="1"/>
  <c r="AB791" i="30"/>
  <c r="AB860"/>
  <c r="AB699"/>
  <c r="AB398"/>
  <c r="S533"/>
  <c r="S846"/>
  <c r="S754"/>
  <c r="S800"/>
  <c r="S869"/>
  <c r="S823"/>
  <c r="S602"/>
  <c r="S708"/>
  <c r="Q55" i="42"/>
  <c r="S731" i="30"/>
  <c r="S556"/>
  <c r="M835" i="44"/>
  <c r="M858"/>
  <c r="M789"/>
  <c r="M545"/>
  <c r="M812"/>
  <c r="M743"/>
  <c r="M396"/>
  <c r="AY44" i="42"/>
  <c r="M697" i="44"/>
  <c r="M522"/>
  <c r="M720"/>
  <c r="P545"/>
  <c r="P743"/>
  <c r="P789"/>
  <c r="P522"/>
  <c r="P396"/>
  <c r="BB44" i="42"/>
  <c r="P697" i="44"/>
  <c r="P835"/>
  <c r="P858"/>
  <c r="P720"/>
  <c r="P812"/>
  <c r="I110" i="42"/>
  <c r="K585" i="30"/>
  <c r="I224" i="42"/>
  <c r="X962" i="44"/>
  <c r="X772"/>
  <c r="BJ236" i="42" s="1"/>
  <c r="AF371" i="44"/>
  <c r="AE543"/>
  <c r="AE520"/>
  <c r="N956"/>
  <c r="N766"/>
  <c r="AZ230" i="42" s="1"/>
  <c r="T533" i="44"/>
  <c r="T823"/>
  <c r="T800"/>
  <c r="T869"/>
  <c r="T602"/>
  <c r="T731"/>
  <c r="T754"/>
  <c r="BF55" i="42"/>
  <c r="T708" i="44"/>
  <c r="T556"/>
  <c r="T846"/>
  <c r="AF580"/>
  <c r="O579" i="30"/>
  <c r="V577" i="44"/>
  <c r="BH126" i="42" s="1"/>
  <c r="N567" i="44"/>
  <c r="T573" i="30" l="1"/>
  <c r="R122" i="42" s="1"/>
  <c r="BK120"/>
  <c r="Y595" i="44"/>
  <c r="W749" i="30"/>
  <c r="W726"/>
  <c r="T772"/>
  <c r="R236" i="42" s="1"/>
  <c r="X571" i="30"/>
  <c r="V120" i="42" s="1"/>
  <c r="W795" i="30"/>
  <c r="Q776"/>
  <c r="O240" i="42" s="1"/>
  <c r="X770" i="30"/>
  <c r="V234" i="42" s="1"/>
  <c r="W841" i="30"/>
  <c r="W703"/>
  <c r="W962" s="1"/>
  <c r="W864"/>
  <c r="W818"/>
  <c r="W597"/>
  <c r="W551"/>
  <c r="W528"/>
  <c r="U379"/>
  <c r="U818" s="1"/>
  <c r="T383"/>
  <c r="T799" s="1"/>
  <c r="X378"/>
  <c r="X527" s="1"/>
  <c r="Y377"/>
  <c r="Y701" s="1"/>
  <c r="BL119" i="42"/>
  <c r="Z594" i="44"/>
  <c r="BM119" i="42"/>
  <c r="AA594" i="44"/>
  <c r="I374"/>
  <c r="I368"/>
  <c r="I563" i="30"/>
  <c r="I587" s="1"/>
  <c r="J821" i="44"/>
  <c r="I418" i="30"/>
  <c r="I424" s="1"/>
  <c r="C48" i="33" s="1"/>
  <c r="I826" i="30"/>
  <c r="G260" i="42" s="1"/>
  <c r="I926" i="30"/>
  <c r="G293" i="42" s="1"/>
  <c r="I927" i="30"/>
  <c r="G294" i="42" s="1"/>
  <c r="I849" i="30"/>
  <c r="G261" i="42" s="1"/>
  <c r="I872" i="30"/>
  <c r="G262" i="42" s="1"/>
  <c r="I928" i="30"/>
  <c r="G295" i="42" s="1"/>
  <c r="I762" i="30"/>
  <c r="I952"/>
  <c r="I711"/>
  <c r="I970" s="1"/>
  <c r="G130" i="42" s="1"/>
  <c r="I925" i="30"/>
  <c r="G292" i="42" s="1"/>
  <c r="I803" i="30"/>
  <c r="G259" i="42" s="1"/>
  <c r="J531" i="44"/>
  <c r="J844"/>
  <c r="J867"/>
  <c r="J706"/>
  <c r="J965" s="1"/>
  <c r="I576"/>
  <c r="AU125" i="42" s="1"/>
  <c r="I775" i="44"/>
  <c r="AU239" i="42" s="1"/>
  <c r="J600" i="44"/>
  <c r="J798"/>
  <c r="J729"/>
  <c r="AV53" i="42"/>
  <c r="J554" i="44"/>
  <c r="J576" s="1"/>
  <c r="AV125" i="42" s="1"/>
  <c r="G590" i="30"/>
  <c r="AQ116" i="42"/>
  <c r="S590" i="44"/>
  <c r="M567"/>
  <c r="AY116" i="42" s="1"/>
  <c r="D115"/>
  <c r="F590" i="30"/>
  <c r="E358"/>
  <c r="E357" i="44"/>
  <c r="E336" s="1"/>
  <c r="D575" i="30"/>
  <c r="B124" i="42" s="1"/>
  <c r="H353" i="44"/>
  <c r="H332" s="1"/>
  <c r="H381" s="1"/>
  <c r="G964" i="30"/>
  <c r="G774"/>
  <c r="E238" i="42" s="1"/>
  <c r="D809" i="30"/>
  <c r="D855"/>
  <c r="D694"/>
  <c r="D393"/>
  <c r="D786"/>
  <c r="D740"/>
  <c r="D519"/>
  <c r="D832"/>
  <c r="B41" i="42"/>
  <c r="D542" i="30"/>
  <c r="D717"/>
  <c r="F964" i="44"/>
  <c r="F774"/>
  <c r="AR238" i="42" s="1"/>
  <c r="E337" i="30"/>
  <c r="E382" s="1"/>
  <c r="H847"/>
  <c r="F56" i="42"/>
  <c r="H603" i="30"/>
  <c r="H732"/>
  <c r="H709"/>
  <c r="H824"/>
  <c r="H557"/>
  <c r="H870"/>
  <c r="H755"/>
  <c r="H534"/>
  <c r="H801"/>
  <c r="AP52" i="42"/>
  <c r="D843" i="44"/>
  <c r="D728"/>
  <c r="D599"/>
  <c r="D866"/>
  <c r="D530"/>
  <c r="D797"/>
  <c r="D705"/>
  <c r="D553"/>
  <c r="D820"/>
  <c r="D751"/>
  <c r="G333" i="30"/>
  <c r="G370" s="1"/>
  <c r="D590" i="44"/>
  <c r="AP115" i="42"/>
  <c r="G740" i="44"/>
  <c r="AS41" i="42"/>
  <c r="G809" i="44"/>
  <c r="G694"/>
  <c r="G519"/>
  <c r="G542"/>
  <c r="G786"/>
  <c r="G717"/>
  <c r="G393"/>
  <c r="G855"/>
  <c r="G832"/>
  <c r="D964" i="30"/>
  <c r="D774"/>
  <c r="B238" i="42" s="1"/>
  <c r="F599" i="30"/>
  <c r="F843"/>
  <c r="F751"/>
  <c r="F797"/>
  <c r="F553"/>
  <c r="F728"/>
  <c r="D52" i="42"/>
  <c r="F705" i="30"/>
  <c r="F530"/>
  <c r="F575" s="1"/>
  <c r="D124" i="42" s="1"/>
  <c r="F820" i="30"/>
  <c r="F866"/>
  <c r="H521" i="44"/>
  <c r="H857"/>
  <c r="H811"/>
  <c r="H742"/>
  <c r="H544"/>
  <c r="H788"/>
  <c r="H696"/>
  <c r="H395"/>
  <c r="AT43" i="42"/>
  <c r="H834" i="44"/>
  <c r="H719"/>
  <c r="G575"/>
  <c r="AS124" i="42" s="1"/>
  <c r="F575" i="44"/>
  <c r="AR124" i="42" s="1"/>
  <c r="G964" i="44"/>
  <c r="G774"/>
  <c r="AS238" i="42" s="1"/>
  <c r="C110"/>
  <c r="E585" i="30"/>
  <c r="E516" i="44"/>
  <c r="E390"/>
  <c r="E539"/>
  <c r="E681" s="1"/>
  <c r="BX188" i="42" s="1"/>
  <c r="AQ38"/>
  <c r="E852" i="44"/>
  <c r="E829"/>
  <c r="E737"/>
  <c r="E714"/>
  <c r="E783"/>
  <c r="E691"/>
  <c r="E806"/>
  <c r="F333"/>
  <c r="F370" s="1"/>
  <c r="C224" i="42"/>
  <c r="E682" i="30"/>
  <c r="BX180" i="42" s="1"/>
  <c r="G575" i="30"/>
  <c r="E124" i="42" s="1"/>
  <c r="D355" i="30"/>
  <c r="D334" s="1"/>
  <c r="D367" s="1"/>
  <c r="H352"/>
  <c r="D354" i="44"/>
  <c r="G355"/>
  <c r="F354" i="30"/>
  <c r="T578" i="44"/>
  <c r="BF127" i="42" s="1"/>
  <c r="Z570" i="30"/>
  <c r="X119" i="42" s="1"/>
  <c r="U349" i="30"/>
  <c r="U328" s="1"/>
  <c r="U383" s="1"/>
  <c r="Y572" i="44"/>
  <c r="BK121" i="42" s="1"/>
  <c r="Y349" i="44"/>
  <c r="Y328" s="1"/>
  <c r="Y383" s="1"/>
  <c r="K359" i="30"/>
  <c r="AB593"/>
  <c r="J576"/>
  <c r="H125" i="42" s="1"/>
  <c r="R353" i="30"/>
  <c r="R332" s="1"/>
  <c r="R381" s="1"/>
  <c r="O353"/>
  <c r="O332" s="1"/>
  <c r="O381" s="1"/>
  <c r="AA347" i="44"/>
  <c r="AA326" s="1"/>
  <c r="AA378" s="1"/>
  <c r="AB346"/>
  <c r="AB325" s="1"/>
  <c r="AB377" s="1"/>
  <c r="AB400" s="1"/>
  <c r="R579"/>
  <c r="BD128" i="42" s="1"/>
  <c r="T777" i="44"/>
  <c r="BF241" i="42" s="1"/>
  <c r="T967" i="44"/>
  <c r="M956"/>
  <c r="M766"/>
  <c r="AY230" i="42" s="1"/>
  <c r="S967" i="30"/>
  <c r="S777"/>
  <c r="Q241" i="42" s="1"/>
  <c r="K338" i="30"/>
  <c r="K374" s="1"/>
  <c r="AB958"/>
  <c r="AB768"/>
  <c r="J775"/>
  <c r="H239" i="42" s="1"/>
  <c r="J965" i="30"/>
  <c r="BN118" i="42"/>
  <c r="AB593" i="44"/>
  <c r="Q967" i="30"/>
  <c r="Q777"/>
  <c r="O241" i="42" s="1"/>
  <c r="Y232"/>
  <c r="Z959" i="30"/>
  <c r="Z769"/>
  <c r="X233" i="42" s="1"/>
  <c r="AC954" i="30"/>
  <c r="AC764"/>
  <c r="AA228" i="42" s="1"/>
  <c r="AC565" i="30"/>
  <c r="AB324"/>
  <c r="AB376" s="1"/>
  <c r="Q330"/>
  <c r="Q385" s="1"/>
  <c r="AC324" i="44"/>
  <c r="AC376" s="1"/>
  <c r="AC399" s="1"/>
  <c r="AZ116" i="42"/>
  <c r="N591" i="44"/>
  <c r="AG371"/>
  <c r="AF543"/>
  <c r="AF520"/>
  <c r="P956"/>
  <c r="P766"/>
  <c r="BB230" i="42" s="1"/>
  <c r="K706" i="30"/>
  <c r="K600"/>
  <c r="K729"/>
  <c r="K752"/>
  <c r="K821"/>
  <c r="K798"/>
  <c r="K531"/>
  <c r="K844"/>
  <c r="I53" i="42"/>
  <c r="K867" i="30"/>
  <c r="K554"/>
  <c r="AD543"/>
  <c r="AD520"/>
  <c r="AE371"/>
  <c r="T330" i="44"/>
  <c r="T385" s="1"/>
  <c r="P334"/>
  <c r="P370" s="1"/>
  <c r="S330" i="30"/>
  <c r="S385" s="1"/>
  <c r="J338"/>
  <c r="AW113" i="42"/>
  <c r="K588" i="44"/>
  <c r="J124" i="42"/>
  <c r="R331" i="44"/>
  <c r="R372" s="1"/>
  <c r="J338"/>
  <c r="AC323" i="30"/>
  <c r="AC375" s="1"/>
  <c r="AC398" s="1"/>
  <c r="AE969"/>
  <c r="AF969" s="1"/>
  <c r="AG969" s="1"/>
  <c r="AH969" s="1"/>
  <c r="AI969" s="1"/>
  <c r="AJ969" s="1"/>
  <c r="AK969" s="1"/>
  <c r="AL969" s="1"/>
  <c r="AM969" s="1"/>
  <c r="AN969" s="1"/>
  <c r="AO969" s="1"/>
  <c r="AP969" s="1"/>
  <c r="AQ969" s="1"/>
  <c r="AR969" s="1"/>
  <c r="AS969" s="1"/>
  <c r="AT969" s="1"/>
  <c r="AU969" s="1"/>
  <c r="AV969" s="1"/>
  <c r="AW969" s="1"/>
  <c r="Y961" i="44"/>
  <c r="Y771"/>
  <c r="BK235" i="42" s="1"/>
  <c r="R834" i="30"/>
  <c r="R788"/>
  <c r="R544"/>
  <c r="R742"/>
  <c r="R395"/>
  <c r="P43" i="42"/>
  <c r="R521" i="30"/>
  <c r="R566" s="1"/>
  <c r="P115" i="42" s="1"/>
  <c r="R696" i="30"/>
  <c r="R719"/>
  <c r="R811"/>
  <c r="R857"/>
  <c r="O544"/>
  <c r="O696"/>
  <c r="O811"/>
  <c r="O719"/>
  <c r="O834"/>
  <c r="O742"/>
  <c r="O521"/>
  <c r="O566" s="1"/>
  <c r="O590" s="1"/>
  <c r="O788"/>
  <c r="O857"/>
  <c r="M43" i="42"/>
  <c r="O395" i="30"/>
  <c r="AA526" i="44"/>
  <c r="BM48" i="42"/>
  <c r="AA747" i="44"/>
  <c r="AA549"/>
  <c r="AA862"/>
  <c r="AA724"/>
  <c r="AA793"/>
  <c r="AA701"/>
  <c r="AA816"/>
  <c r="AA839"/>
  <c r="R968"/>
  <c r="R778"/>
  <c r="BD242" i="42" s="1"/>
  <c r="AC569" i="44"/>
  <c r="AC593" s="1"/>
  <c r="AC662"/>
  <c r="BO178" i="42" s="1"/>
  <c r="Y795" i="44"/>
  <c r="Y703"/>
  <c r="Y818"/>
  <c r="Y597"/>
  <c r="Y864"/>
  <c r="Y749"/>
  <c r="Y726"/>
  <c r="Y551"/>
  <c r="BK50" i="42"/>
  <c r="Y528" i="44"/>
  <c r="Y573" s="1"/>
  <c r="BK122" i="42" s="1"/>
  <c r="Y841" i="44"/>
  <c r="AB815"/>
  <c r="AB548"/>
  <c r="BN47" i="42"/>
  <c r="AB700" i="44"/>
  <c r="AB525"/>
  <c r="AB861"/>
  <c r="AB746"/>
  <c r="AB723"/>
  <c r="AB792"/>
  <c r="AB838"/>
  <c r="AE565"/>
  <c r="P567"/>
  <c r="S578" i="30"/>
  <c r="Q127" i="42" s="1"/>
  <c r="Q578" i="30"/>
  <c r="O127" i="42" s="1"/>
  <c r="V351" i="30"/>
  <c r="AG580" i="44"/>
  <c r="AE580" i="30"/>
  <c r="X348"/>
  <c r="P353"/>
  <c r="X350" i="44"/>
  <c r="M356" i="30"/>
  <c r="K357" i="44"/>
  <c r="Q352"/>
  <c r="T350" i="30"/>
  <c r="V351" i="44"/>
  <c r="I360"/>
  <c r="O355"/>
  <c r="L575"/>
  <c r="AA346" i="30"/>
  <c r="N356" i="44"/>
  <c r="U352"/>
  <c r="Y347" i="30"/>
  <c r="S354" i="44"/>
  <c r="Z347"/>
  <c r="W349"/>
  <c r="L355" i="30"/>
  <c r="N355"/>
  <c r="M128" i="42"/>
  <c r="V823" i="30"/>
  <c r="T55" i="42"/>
  <c r="V869" i="30"/>
  <c r="V533"/>
  <c r="V602"/>
  <c r="V708"/>
  <c r="V846"/>
  <c r="V800"/>
  <c r="V754"/>
  <c r="V731"/>
  <c r="V556"/>
  <c r="M334" i="44"/>
  <c r="M370" s="1"/>
  <c r="BC127" i="42"/>
  <c r="Z325" i="30"/>
  <c r="L333" i="44"/>
  <c r="L373" s="1"/>
  <c r="W328" i="30"/>
  <c r="BN232" i="42"/>
  <c r="AB930" i="44"/>
  <c r="BN298" i="42" s="1"/>
  <c r="AH558" i="44"/>
  <c r="AH535"/>
  <c r="AI386"/>
  <c r="AF535" i="30"/>
  <c r="AG386"/>
  <c r="AF558"/>
  <c r="Z114" i="42"/>
  <c r="AB589" i="30"/>
  <c r="P788"/>
  <c r="P544"/>
  <c r="P834"/>
  <c r="P857"/>
  <c r="P811"/>
  <c r="P719"/>
  <c r="P742"/>
  <c r="P696"/>
  <c r="N43" i="42"/>
  <c r="P521" i="30"/>
  <c r="P395"/>
  <c r="X845" i="44"/>
  <c r="X555"/>
  <c r="X707"/>
  <c r="BJ54" i="42"/>
  <c r="X799" i="44"/>
  <c r="X753"/>
  <c r="X601"/>
  <c r="X822"/>
  <c r="X730"/>
  <c r="X868"/>
  <c r="X532"/>
  <c r="M832" i="30"/>
  <c r="M542"/>
  <c r="K41" i="42"/>
  <c r="M855" i="30"/>
  <c r="M786"/>
  <c r="M519"/>
  <c r="M809"/>
  <c r="M694"/>
  <c r="M740"/>
  <c r="M717"/>
  <c r="M393"/>
  <c r="K691" i="44"/>
  <c r="K539"/>
  <c r="K714"/>
  <c r="K390"/>
  <c r="AW38" i="42"/>
  <c r="K783" i="44"/>
  <c r="K829"/>
  <c r="K806"/>
  <c r="K852"/>
  <c r="K737"/>
  <c r="K516"/>
  <c r="Q709"/>
  <c r="Q824"/>
  <c r="BC56" i="42"/>
  <c r="Q801" i="44"/>
  <c r="Q557"/>
  <c r="Q534"/>
  <c r="Q755"/>
  <c r="Q603"/>
  <c r="Q732"/>
  <c r="Q870"/>
  <c r="Q847"/>
  <c r="V754"/>
  <c r="V800"/>
  <c r="BH55" i="42"/>
  <c r="V869" i="44"/>
  <c r="V731"/>
  <c r="V708"/>
  <c r="V602"/>
  <c r="V533"/>
  <c r="V556"/>
  <c r="V846"/>
  <c r="V823"/>
  <c r="O720"/>
  <c r="O858"/>
  <c r="BA44" i="42"/>
  <c r="O545" i="44"/>
  <c r="O812"/>
  <c r="O835"/>
  <c r="O396"/>
  <c r="O522"/>
  <c r="O789"/>
  <c r="O697"/>
  <c r="O743"/>
  <c r="AE954"/>
  <c r="AF954" s="1"/>
  <c r="AG954" s="1"/>
  <c r="AH954" s="1"/>
  <c r="AI954" s="1"/>
  <c r="AJ954" s="1"/>
  <c r="AK954" s="1"/>
  <c r="AL954" s="1"/>
  <c r="AM954" s="1"/>
  <c r="AN954" s="1"/>
  <c r="AO954" s="1"/>
  <c r="AP954" s="1"/>
  <c r="AQ954" s="1"/>
  <c r="AR954" s="1"/>
  <c r="AS954" s="1"/>
  <c r="AT954" s="1"/>
  <c r="AU954" s="1"/>
  <c r="AV954" s="1"/>
  <c r="AW954" s="1"/>
  <c r="L774"/>
  <c r="AX238" i="42" s="1"/>
  <c r="L964" i="44"/>
  <c r="AC958"/>
  <c r="AC768"/>
  <c r="AE375"/>
  <c r="AD547"/>
  <c r="AD524"/>
  <c r="AA792" i="30"/>
  <c r="AA548"/>
  <c r="AA815"/>
  <c r="AA861"/>
  <c r="AA525"/>
  <c r="AA838"/>
  <c r="AA723"/>
  <c r="AA594"/>
  <c r="AA700"/>
  <c r="Y47" i="42"/>
  <c r="AA746" i="30"/>
  <c r="N519" i="44"/>
  <c r="N786"/>
  <c r="N832"/>
  <c r="AZ41" i="42"/>
  <c r="N809" i="44"/>
  <c r="N694"/>
  <c r="N393"/>
  <c r="N542"/>
  <c r="N717"/>
  <c r="N855"/>
  <c r="N740"/>
  <c r="U801"/>
  <c r="U755"/>
  <c r="U732"/>
  <c r="U709"/>
  <c r="U870"/>
  <c r="BG56" i="42"/>
  <c r="U847" i="44"/>
  <c r="U557"/>
  <c r="U534"/>
  <c r="U603"/>
  <c r="U824"/>
  <c r="S599"/>
  <c r="S705"/>
  <c r="S728"/>
  <c r="S751"/>
  <c r="S530"/>
  <c r="S797"/>
  <c r="S820"/>
  <c r="S843"/>
  <c r="S866"/>
  <c r="S553"/>
  <c r="BE52" i="42"/>
  <c r="Z793" i="44"/>
  <c r="Z549"/>
  <c r="Z526"/>
  <c r="Z701"/>
  <c r="Z839"/>
  <c r="Z724"/>
  <c r="BL48" i="42"/>
  <c r="Z747" i="44"/>
  <c r="Z816"/>
  <c r="Z862"/>
  <c r="W841"/>
  <c r="W528"/>
  <c r="W703"/>
  <c r="W864"/>
  <c r="W749"/>
  <c r="W551"/>
  <c r="W726"/>
  <c r="W795"/>
  <c r="W818"/>
  <c r="W597"/>
  <c r="BI50" i="42"/>
  <c r="L697" i="30"/>
  <c r="L720"/>
  <c r="L858"/>
  <c r="L812"/>
  <c r="L835"/>
  <c r="L789"/>
  <c r="L743"/>
  <c r="L522"/>
  <c r="J44" i="42"/>
  <c r="L545" i="30"/>
  <c r="L396"/>
  <c r="N835"/>
  <c r="N545"/>
  <c r="N697"/>
  <c r="N522"/>
  <c r="L44" i="42"/>
  <c r="N858" i="30"/>
  <c r="N789"/>
  <c r="N743"/>
  <c r="N720"/>
  <c r="N812"/>
  <c r="N396"/>
  <c r="M564" l="1"/>
  <c r="K113" i="42" s="1"/>
  <c r="K432" i="30"/>
  <c r="I68" i="42" s="1"/>
  <c r="K441" i="30"/>
  <c r="CE68" i="42" s="1"/>
  <c r="I592" i="44"/>
  <c r="I441"/>
  <c r="CC69" i="42" s="1"/>
  <c r="X702" i="30"/>
  <c r="X961" s="1"/>
  <c r="X550"/>
  <c r="X572" s="1"/>
  <c r="V121" i="42" s="1"/>
  <c r="U726" i="30"/>
  <c r="W772"/>
  <c r="U236" i="42" s="1"/>
  <c r="Y839" i="30"/>
  <c r="T822"/>
  <c r="Y549"/>
  <c r="R54" i="42"/>
  <c r="Y793" i="30"/>
  <c r="W48" i="42"/>
  <c r="Y862" i="30"/>
  <c r="T868"/>
  <c r="T753"/>
  <c r="T601"/>
  <c r="Y747"/>
  <c r="Y595"/>
  <c r="Y816"/>
  <c r="Y724"/>
  <c r="Y526"/>
  <c r="Y571" s="1"/>
  <c r="W120" i="42" s="1"/>
  <c r="T532" i="30"/>
  <c r="T555"/>
  <c r="T845"/>
  <c r="T730"/>
  <c r="T707"/>
  <c r="T966" s="1"/>
  <c r="V49" i="42"/>
  <c r="U551" i="30"/>
  <c r="U703"/>
  <c r="U962" s="1"/>
  <c r="W573"/>
  <c r="U122" i="42" s="1"/>
  <c r="X863" i="30"/>
  <c r="X748"/>
  <c r="X794"/>
  <c r="U749"/>
  <c r="U795"/>
  <c r="S50" i="42"/>
  <c r="X725" i="30"/>
  <c r="X596"/>
  <c r="X817"/>
  <c r="X840"/>
  <c r="U597"/>
  <c r="U864"/>
  <c r="U841"/>
  <c r="U528"/>
  <c r="U573" s="1"/>
  <c r="S122" i="42" s="1"/>
  <c r="W383" i="30"/>
  <c r="W799" s="1"/>
  <c r="Z377"/>
  <c r="Z701" s="1"/>
  <c r="Z571" i="44"/>
  <c r="BL120" i="42" s="1"/>
  <c r="AU45"/>
  <c r="I546" i="44"/>
  <c r="I681" s="1"/>
  <c r="CB188" i="42" s="1"/>
  <c r="I790" i="44"/>
  <c r="I939" s="1"/>
  <c r="CB299" i="42" s="1"/>
  <c r="I698" i="44"/>
  <c r="I957" s="1"/>
  <c r="I682" s="1"/>
  <c r="CB189" i="42" s="1"/>
  <c r="I523" i="44"/>
  <c r="I680" s="1"/>
  <c r="CB187" i="42" s="1"/>
  <c r="I836" i="44"/>
  <c r="I941" s="1"/>
  <c r="CB301" i="42" s="1"/>
  <c r="J374" i="44"/>
  <c r="J368"/>
  <c r="J374" i="30"/>
  <c r="J368"/>
  <c r="I715" i="44"/>
  <c r="AU39" i="42"/>
  <c r="I853" i="44"/>
  <c r="I928" s="1"/>
  <c r="AU295" i="42" s="1"/>
  <c r="I784" i="44"/>
  <c r="I925" s="1"/>
  <c r="AU292" i="42" s="1"/>
  <c r="I807" i="44"/>
  <c r="I926" s="1"/>
  <c r="AU293" i="42" s="1"/>
  <c r="I830" i="44"/>
  <c r="I927" s="1"/>
  <c r="AU294" i="42" s="1"/>
  <c r="I433" i="44"/>
  <c r="AU69" i="42" s="1"/>
  <c r="I391" i="44"/>
  <c r="I435" s="1"/>
  <c r="AU74" i="42" s="1"/>
  <c r="I517" i="44"/>
  <c r="I738"/>
  <c r="I540"/>
  <c r="I668" s="1"/>
  <c r="AU188" i="42" s="1"/>
  <c r="I692" i="44"/>
  <c r="K368" i="30"/>
  <c r="K692" s="1"/>
  <c r="I744" i="44"/>
  <c r="I859"/>
  <c r="I942" s="1"/>
  <c r="CB302" i="42" s="1"/>
  <c r="I721" i="44"/>
  <c r="I813"/>
  <c r="I940" s="1"/>
  <c r="CB300" i="42" s="1"/>
  <c r="I423" i="30"/>
  <c r="C47" i="33" s="1"/>
  <c r="G112" i="42"/>
  <c r="I581" i="30"/>
  <c r="C51" i="33" s="1"/>
  <c r="I425" i="30"/>
  <c r="C49" i="33" s="1"/>
  <c r="I422" i="30"/>
  <c r="C46" i="33" s="1"/>
  <c r="I924" i="30"/>
  <c r="G291" i="42" s="1"/>
  <c r="I780" i="30"/>
  <c r="C50" i="33" s="1"/>
  <c r="C55" s="1"/>
  <c r="C35" s="1"/>
  <c r="G226" i="42"/>
  <c r="I421" i="30"/>
  <c r="C45" i="33" s="1"/>
  <c r="J775" i="44"/>
  <c r="AV239" i="42" s="1"/>
  <c r="M588" i="30"/>
  <c r="E368"/>
  <c r="H579"/>
  <c r="F128" i="42" s="1"/>
  <c r="AB570" i="44"/>
  <c r="E358"/>
  <c r="M591"/>
  <c r="H354"/>
  <c r="H333" s="1"/>
  <c r="H373" s="1"/>
  <c r="O567"/>
  <c r="BA116" i="42" s="1"/>
  <c r="F355" i="44"/>
  <c r="E359" i="30"/>
  <c r="E338" s="1"/>
  <c r="E374" s="1"/>
  <c r="G334" i="44"/>
  <c r="G373" s="1"/>
  <c r="H331" i="30"/>
  <c r="H372" s="1"/>
  <c r="AT52" i="42"/>
  <c r="H728" i="44"/>
  <c r="H751"/>
  <c r="H866"/>
  <c r="H820"/>
  <c r="H599"/>
  <c r="H843"/>
  <c r="H797"/>
  <c r="H553"/>
  <c r="H530"/>
  <c r="H705"/>
  <c r="F519"/>
  <c r="F717"/>
  <c r="F832"/>
  <c r="AR41" i="42"/>
  <c r="F740" i="44"/>
  <c r="F855"/>
  <c r="F809"/>
  <c r="F542"/>
  <c r="F786"/>
  <c r="F393"/>
  <c r="F694"/>
  <c r="E950"/>
  <c r="E682" s="1"/>
  <c r="BX189" i="42" s="1"/>
  <c r="E760" i="44"/>
  <c r="E680"/>
  <c r="BX187" i="42" s="1"/>
  <c r="E561" i="44"/>
  <c r="H955"/>
  <c r="H765"/>
  <c r="AT229" i="42" s="1"/>
  <c r="F964" i="30"/>
  <c r="F774"/>
  <c r="D238" i="42" s="1"/>
  <c r="G442" i="44"/>
  <c r="CA74" i="42" s="1"/>
  <c r="E337" i="44"/>
  <c r="E382" s="1"/>
  <c r="E706" i="30"/>
  <c r="E821"/>
  <c r="E531"/>
  <c r="C53" i="42"/>
  <c r="E798" i="30"/>
  <c r="E752"/>
  <c r="E554"/>
  <c r="E867"/>
  <c r="E729"/>
  <c r="E844"/>
  <c r="D953"/>
  <c r="D763"/>
  <c r="B227" i="42" s="1"/>
  <c r="H566" i="44"/>
  <c r="G564"/>
  <c r="G355" i="30"/>
  <c r="D564"/>
  <c r="F333"/>
  <c r="F370" s="1"/>
  <c r="D333" i="44"/>
  <c r="D370" s="1"/>
  <c r="F334"/>
  <c r="F373" s="1"/>
  <c r="G953"/>
  <c r="G763"/>
  <c r="AS227" i="42" s="1"/>
  <c r="G542" i="30"/>
  <c r="G809"/>
  <c r="G786"/>
  <c r="G855"/>
  <c r="G740"/>
  <c r="G717"/>
  <c r="G832"/>
  <c r="G393"/>
  <c r="E41" i="42"/>
  <c r="G694" i="30"/>
  <c r="G519"/>
  <c r="G564" s="1"/>
  <c r="D964" i="44"/>
  <c r="D774"/>
  <c r="AP238" i="42" s="1"/>
  <c r="H968" i="30"/>
  <c r="H778"/>
  <c r="F242" i="42" s="1"/>
  <c r="D434" i="30"/>
  <c r="B73" i="42" s="1"/>
  <c r="D442" i="30"/>
  <c r="BX73" i="42" s="1"/>
  <c r="D575" i="44"/>
  <c r="AP124" i="42" s="1"/>
  <c r="K561" i="44"/>
  <c r="K585" s="1"/>
  <c r="S352" i="30"/>
  <c r="S331" s="1"/>
  <c r="S372" s="1"/>
  <c r="P356" i="44"/>
  <c r="P335" s="1"/>
  <c r="P367" s="1"/>
  <c r="K360" i="30"/>
  <c r="K339" s="1"/>
  <c r="K380" s="1"/>
  <c r="AA348" i="44"/>
  <c r="AA327" s="1"/>
  <c r="AA379" s="1"/>
  <c r="R354" i="30"/>
  <c r="R333" s="1"/>
  <c r="R373" s="1"/>
  <c r="O354"/>
  <c r="O333" s="1"/>
  <c r="O373" s="1"/>
  <c r="N564" i="44"/>
  <c r="Y350"/>
  <c r="Y329" s="1"/>
  <c r="Y384" s="1"/>
  <c r="AD569"/>
  <c r="BA954"/>
  <c r="BC954" s="1"/>
  <c r="J360"/>
  <c r="J339" s="1"/>
  <c r="J380" s="1"/>
  <c r="R353"/>
  <c r="R332" s="1"/>
  <c r="R381" s="1"/>
  <c r="S575"/>
  <c r="BE124" i="42" s="1"/>
  <c r="U579" i="44"/>
  <c r="BG128" i="42" s="1"/>
  <c r="V578" i="30"/>
  <c r="T127" i="42" s="1"/>
  <c r="AA571" i="44"/>
  <c r="AF565"/>
  <c r="Q352" i="30"/>
  <c r="Q331" s="1"/>
  <c r="Q372" s="1"/>
  <c r="AB346"/>
  <c r="AB325" s="1"/>
  <c r="W962" i="44"/>
  <c r="W772"/>
  <c r="BI236" i="42" s="1"/>
  <c r="N766" i="30"/>
  <c r="L230" i="42" s="1"/>
  <c r="N956" i="30"/>
  <c r="L956"/>
  <c r="L766"/>
  <c r="J230" i="42" s="1"/>
  <c r="Z960" i="44"/>
  <c r="Z770"/>
  <c r="BL234" i="42" s="1"/>
  <c r="S964" i="44"/>
  <c r="S774"/>
  <c r="BE238" i="42" s="1"/>
  <c r="Y960" i="30"/>
  <c r="U778" i="44"/>
  <c r="BG242" i="42" s="1"/>
  <c r="U968" i="44"/>
  <c r="N953"/>
  <c r="N763"/>
  <c r="AZ227" i="42" s="1"/>
  <c r="AA959" i="30"/>
  <c r="AA769"/>
  <c r="Y233" i="42" s="1"/>
  <c r="Y707" i="44"/>
  <c r="Y555"/>
  <c r="Y601"/>
  <c r="Y799"/>
  <c r="Y868"/>
  <c r="Y845"/>
  <c r="Y730"/>
  <c r="Y822"/>
  <c r="Y753"/>
  <c r="Y532"/>
  <c r="Y577" s="1"/>
  <c r="BK126" i="42" s="1"/>
  <c r="BK54"/>
  <c r="AC930" i="44"/>
  <c r="BO298" i="42" s="1"/>
  <c r="BO232"/>
  <c r="O956" i="44"/>
  <c r="O766"/>
  <c r="BA230" i="42" s="1"/>
  <c r="V967" i="44"/>
  <c r="V777"/>
  <c r="BH241" i="42" s="1"/>
  <c r="AA817" i="44"/>
  <c r="AA863"/>
  <c r="AA527"/>
  <c r="AA794"/>
  <c r="AA550"/>
  <c r="AA702"/>
  <c r="BM49" i="42"/>
  <c r="AA748" i="44"/>
  <c r="AA840"/>
  <c r="AA725"/>
  <c r="AA596"/>
  <c r="X776"/>
  <c r="BJ240" i="42" s="1"/>
  <c r="X966" i="44"/>
  <c r="P765" i="30"/>
  <c r="N229" i="42" s="1"/>
  <c r="P955" i="30"/>
  <c r="M52" i="42"/>
  <c r="O866" i="30"/>
  <c r="O728"/>
  <c r="O599"/>
  <c r="O820"/>
  <c r="O705"/>
  <c r="O797"/>
  <c r="O751"/>
  <c r="O843"/>
  <c r="O553"/>
  <c r="O530"/>
  <c r="R599"/>
  <c r="R705"/>
  <c r="P52" i="42"/>
  <c r="R728" i="30"/>
  <c r="R751"/>
  <c r="R797"/>
  <c r="R843"/>
  <c r="R820"/>
  <c r="R553"/>
  <c r="R866"/>
  <c r="R530"/>
  <c r="R575" s="1"/>
  <c r="P124" i="42" s="1"/>
  <c r="L334" i="30"/>
  <c r="L370" s="1"/>
  <c r="Z326" i="44"/>
  <c r="Z378" s="1"/>
  <c r="Y326" i="30"/>
  <c r="N335" i="44"/>
  <c r="N367" s="1"/>
  <c r="O334"/>
  <c r="O370" s="1"/>
  <c r="V330"/>
  <c r="V385" s="1"/>
  <c r="Q331"/>
  <c r="Q372" s="1"/>
  <c r="M335" i="30"/>
  <c r="M367" s="1"/>
  <c r="P332"/>
  <c r="P381" s="1"/>
  <c r="V330"/>
  <c r="V385" s="1"/>
  <c r="AB959" i="44"/>
  <c r="AB769"/>
  <c r="BN233" i="42" s="1"/>
  <c r="BO118"/>
  <c r="BE569" i="44"/>
  <c r="AA960"/>
  <c r="AA770"/>
  <c r="BM234" i="42" s="1"/>
  <c r="M115"/>
  <c r="O955" i="30"/>
  <c r="O765"/>
  <c r="M229" i="42" s="1"/>
  <c r="AC814" i="30"/>
  <c r="AC722"/>
  <c r="AC860"/>
  <c r="AA46" i="42"/>
  <c r="AC524" i="30"/>
  <c r="AC745"/>
  <c r="AD375"/>
  <c r="AC837"/>
  <c r="AC547"/>
  <c r="AC699"/>
  <c r="AC791"/>
  <c r="R811" i="44"/>
  <c r="R857"/>
  <c r="R395"/>
  <c r="R696"/>
  <c r="BD43" i="42"/>
  <c r="R834" i="44"/>
  <c r="R521"/>
  <c r="R742"/>
  <c r="R788"/>
  <c r="R544"/>
  <c r="R719"/>
  <c r="Q56" i="42"/>
  <c r="S709" i="30"/>
  <c r="S603"/>
  <c r="S732"/>
  <c r="S755"/>
  <c r="S801"/>
  <c r="S847"/>
  <c r="S824"/>
  <c r="S557"/>
  <c r="S870"/>
  <c r="S534"/>
  <c r="P519" i="44"/>
  <c r="P855"/>
  <c r="P542"/>
  <c r="P809"/>
  <c r="P786"/>
  <c r="P393"/>
  <c r="P740"/>
  <c r="P717"/>
  <c r="P832"/>
  <c r="P694"/>
  <c r="BB41" i="42"/>
  <c r="K965" i="30"/>
  <c r="K775"/>
  <c r="I239" i="42" s="1"/>
  <c r="AD954" i="30"/>
  <c r="BE954"/>
  <c r="K813"/>
  <c r="K790"/>
  <c r="K397"/>
  <c r="K744"/>
  <c r="K721"/>
  <c r="K523"/>
  <c r="K546"/>
  <c r="K698"/>
  <c r="I45" i="42"/>
  <c r="K836" i="30"/>
  <c r="K859"/>
  <c r="N567"/>
  <c r="L567"/>
  <c r="W573" i="44"/>
  <c r="BI122" i="42" s="1"/>
  <c r="AB347" i="44"/>
  <c r="AA570" i="30"/>
  <c r="Y119" i="42" s="1"/>
  <c r="V578" i="44"/>
  <c r="Q579"/>
  <c r="X577"/>
  <c r="BJ126" i="42" s="1"/>
  <c r="P566" i="30"/>
  <c r="AF580"/>
  <c r="AH580" i="44"/>
  <c r="W350" i="30"/>
  <c r="L355" i="44"/>
  <c r="Z347" i="30"/>
  <c r="M356" i="44"/>
  <c r="U350" i="30"/>
  <c r="R590"/>
  <c r="J360"/>
  <c r="T352" i="44"/>
  <c r="AD565" i="30"/>
  <c r="K576"/>
  <c r="AC346" i="44"/>
  <c r="AB701"/>
  <c r="BN48" i="42"/>
  <c r="AB747" i="44"/>
  <c r="AB839"/>
  <c r="AB724"/>
  <c r="AB549"/>
  <c r="AB816"/>
  <c r="AB862"/>
  <c r="AB526"/>
  <c r="AB793"/>
  <c r="AF375"/>
  <c r="AE547"/>
  <c r="AE524"/>
  <c r="AD958"/>
  <c r="AC664"/>
  <c r="BO180" i="42" s="1"/>
  <c r="BE958" i="44"/>
  <c r="Q968"/>
  <c r="Q778"/>
  <c r="BC242" i="42" s="1"/>
  <c r="K950" i="44"/>
  <c r="K760"/>
  <c r="M953" i="30"/>
  <c r="M763"/>
  <c r="K227" i="42" s="1"/>
  <c r="AG558" i="30"/>
  <c r="AG535"/>
  <c r="AH386"/>
  <c r="AI535" i="44"/>
  <c r="AJ386"/>
  <c r="AI558"/>
  <c r="L545"/>
  <c r="L858"/>
  <c r="L697"/>
  <c r="L789"/>
  <c r="L743"/>
  <c r="L835"/>
  <c r="L720"/>
  <c r="AX44" i="42"/>
  <c r="L522" i="44"/>
  <c r="L567" s="1"/>
  <c r="L591" s="1"/>
  <c r="L396"/>
  <c r="L812"/>
  <c r="M542"/>
  <c r="M740"/>
  <c r="M717"/>
  <c r="M855"/>
  <c r="M809"/>
  <c r="M694"/>
  <c r="M786"/>
  <c r="M832"/>
  <c r="M519"/>
  <c r="M393"/>
  <c r="AY41" i="42"/>
  <c r="U822" i="30"/>
  <c r="S54" i="42"/>
  <c r="U868" i="30"/>
  <c r="U532"/>
  <c r="U601"/>
  <c r="U707"/>
  <c r="U845"/>
  <c r="U799"/>
  <c r="U753"/>
  <c r="U730"/>
  <c r="U555"/>
  <c r="V967"/>
  <c r="V777"/>
  <c r="T241" i="42" s="1"/>
  <c r="N334" i="30"/>
  <c r="N370" s="1"/>
  <c r="W328" i="44"/>
  <c r="W383" s="1"/>
  <c r="S333"/>
  <c r="S373" s="1"/>
  <c r="U331"/>
  <c r="U372" s="1"/>
  <c r="AA325" i="30"/>
  <c r="AX124" i="42"/>
  <c r="I339" i="44"/>
  <c r="I380" s="1"/>
  <c r="T329" i="30"/>
  <c r="T384" s="1"/>
  <c r="K336" i="44"/>
  <c r="X329"/>
  <c r="X384" s="1"/>
  <c r="X327" i="30"/>
  <c r="BB116" i="42"/>
  <c r="P591" i="44"/>
  <c r="Y962"/>
  <c r="Y772"/>
  <c r="BK236" i="42" s="1"/>
  <c r="R955" i="30"/>
  <c r="R765"/>
  <c r="P229" i="42" s="1"/>
  <c r="T870" i="44"/>
  <c r="T534"/>
  <c r="T847"/>
  <c r="T824"/>
  <c r="T557"/>
  <c r="T755"/>
  <c r="T801"/>
  <c r="T603"/>
  <c r="T709"/>
  <c r="BF56" i="42"/>
  <c r="T732" i="44"/>
  <c r="AE543" i="30"/>
  <c r="AF371"/>
  <c r="AE520"/>
  <c r="AG543" i="44"/>
  <c r="AH371"/>
  <c r="AG520"/>
  <c r="AC723"/>
  <c r="AC525"/>
  <c r="AC746"/>
  <c r="AC861"/>
  <c r="AC815"/>
  <c r="AD376"/>
  <c r="AC700"/>
  <c r="AC838"/>
  <c r="AC548"/>
  <c r="BO47" i="42"/>
  <c r="AC792" i="44"/>
  <c r="O56" i="42"/>
  <c r="Q534" i="30"/>
  <c r="Q603"/>
  <c r="Q824"/>
  <c r="Q870"/>
  <c r="Q847"/>
  <c r="Q557"/>
  <c r="Q755"/>
  <c r="Q801"/>
  <c r="Q709"/>
  <c r="Q732"/>
  <c r="AB594"/>
  <c r="AB792"/>
  <c r="AB548"/>
  <c r="AB815"/>
  <c r="AB746"/>
  <c r="AB525"/>
  <c r="AB838"/>
  <c r="AB723"/>
  <c r="Z47" i="42"/>
  <c r="AB700" i="30"/>
  <c r="AB861"/>
  <c r="AA114" i="42"/>
  <c r="BE565" i="30"/>
  <c r="AC589"/>
  <c r="Z232" i="42"/>
  <c r="BA969" i="30"/>
  <c r="BC969" s="1"/>
  <c r="AC345"/>
  <c r="E432" l="1"/>
  <c r="C68" i="42" s="1"/>
  <c r="E441" i="30"/>
  <c r="BY68" i="42" s="1"/>
  <c r="K434" i="30"/>
  <c r="I73" i="42" s="1"/>
  <c r="K442" i="30"/>
  <c r="CE73" i="42" s="1"/>
  <c r="J432" i="30"/>
  <c r="H68" i="42" s="1"/>
  <c r="J441" i="30"/>
  <c r="CD68" i="42" s="1"/>
  <c r="J836" i="44"/>
  <c r="J941" s="1"/>
  <c r="CC301" i="42" s="1"/>
  <c r="J441" i="44"/>
  <c r="CD69" i="42" s="1"/>
  <c r="Z862" i="30"/>
  <c r="Z839"/>
  <c r="Z793"/>
  <c r="Z595"/>
  <c r="X48" i="42"/>
  <c r="W868" i="30"/>
  <c r="T577"/>
  <c r="R126" i="42" s="1"/>
  <c r="Z549" i="30"/>
  <c r="Z526"/>
  <c r="Z816"/>
  <c r="Z724"/>
  <c r="Z747"/>
  <c r="W753"/>
  <c r="T776"/>
  <c r="R240" i="42" s="1"/>
  <c r="Y770" i="30"/>
  <c r="W234" i="42" s="1"/>
  <c r="W601" i="30"/>
  <c r="X771"/>
  <c r="V235" i="42" s="1"/>
  <c r="U772" i="30"/>
  <c r="S236" i="42" s="1"/>
  <c r="W532" i="30"/>
  <c r="W845"/>
  <c r="W822"/>
  <c r="W730"/>
  <c r="W555"/>
  <c r="U54" i="42"/>
  <c r="W707" i="30"/>
  <c r="W966" s="1"/>
  <c r="X379"/>
  <c r="X528" s="1"/>
  <c r="AA377"/>
  <c r="AA839" s="1"/>
  <c r="Y378"/>
  <c r="Y527" s="1"/>
  <c r="AB377"/>
  <c r="AB595" s="1"/>
  <c r="S579"/>
  <c r="Q128" i="42" s="1"/>
  <c r="BN119"/>
  <c r="AB594" i="44"/>
  <c r="Z595"/>
  <c r="BM120" i="42"/>
  <c r="AA595" i="44"/>
  <c r="J698"/>
  <c r="J957" s="1"/>
  <c r="J682" s="1"/>
  <c r="CC189" i="42" s="1"/>
  <c r="H45"/>
  <c r="J813" i="44"/>
  <c r="J940" s="1"/>
  <c r="CC300" i="42" s="1"/>
  <c r="J592" i="30"/>
  <c r="J523"/>
  <c r="J859" i="44"/>
  <c r="J942" s="1"/>
  <c r="CC302" i="42" s="1"/>
  <c r="K433" i="30"/>
  <c r="I69" i="42" s="1"/>
  <c r="K540" i="30"/>
  <c r="K663" s="1"/>
  <c r="I179" i="42" s="1"/>
  <c r="K738" i="30"/>
  <c r="I568" i="44"/>
  <c r="AU117" i="42" s="1"/>
  <c r="I767" i="44"/>
  <c r="AU231" i="42" s="1"/>
  <c r="J813" i="30"/>
  <c r="J940" s="1"/>
  <c r="CC293" i="42" s="1"/>
  <c r="J698" i="30"/>
  <c r="J957" s="1"/>
  <c r="J721"/>
  <c r="AV45" i="42"/>
  <c r="J721" i="44"/>
  <c r="J790"/>
  <c r="J939" s="1"/>
  <c r="CC299" i="42" s="1"/>
  <c r="I39"/>
  <c r="K853" i="30"/>
  <c r="K517"/>
  <c r="K562" s="1"/>
  <c r="I562" i="44"/>
  <c r="I667"/>
  <c r="AU187" i="42" s="1"/>
  <c r="I951" i="44"/>
  <c r="I669" s="1"/>
  <c r="AU189" i="42" s="1"/>
  <c r="I761" i="44"/>
  <c r="J715" i="30"/>
  <c r="J433"/>
  <c r="H69" i="42" s="1"/>
  <c r="J738" i="30"/>
  <c r="J692"/>
  <c r="J853"/>
  <c r="J517"/>
  <c r="J540"/>
  <c r="J663" s="1"/>
  <c r="H179" i="42" s="1"/>
  <c r="J807" i="30"/>
  <c r="J784"/>
  <c r="J830"/>
  <c r="H39" i="42"/>
  <c r="J391" i="30"/>
  <c r="J435" s="1"/>
  <c r="H74" i="42" s="1"/>
  <c r="J853" i="44"/>
  <c r="J928" s="1"/>
  <c r="AV295" i="42" s="1"/>
  <c r="J517" i="44"/>
  <c r="AV39" i="42"/>
  <c r="J738" i="44"/>
  <c r="J391"/>
  <c r="J435" s="1"/>
  <c r="AV74" i="42" s="1"/>
  <c r="J540" i="44"/>
  <c r="J668" s="1"/>
  <c r="AV188" i="42" s="1"/>
  <c r="J433" i="44"/>
  <c r="AV69" i="42" s="1"/>
  <c r="J807" i="44"/>
  <c r="J926" s="1"/>
  <c r="AV293" i="42" s="1"/>
  <c r="J715" i="44"/>
  <c r="J692"/>
  <c r="J784"/>
  <c r="J925" s="1"/>
  <c r="AV292" i="42" s="1"/>
  <c r="J830" i="44"/>
  <c r="J927" s="1"/>
  <c r="AV294" i="42" s="1"/>
  <c r="J744" i="30"/>
  <c r="J790"/>
  <c r="J939" s="1"/>
  <c r="CC292" i="42" s="1"/>
  <c r="J859" i="30"/>
  <c r="J942" s="1"/>
  <c r="CC295" i="42" s="1"/>
  <c r="J836" i="30"/>
  <c r="J941" s="1"/>
  <c r="CC294" i="42" s="1"/>
  <c r="J546" i="30"/>
  <c r="J668" s="1"/>
  <c r="H188" i="42" s="1"/>
  <c r="J546" i="44"/>
  <c r="J681" s="1"/>
  <c r="CC188" i="42" s="1"/>
  <c r="J744" i="44"/>
  <c r="J592"/>
  <c r="J523"/>
  <c r="J680" s="1"/>
  <c r="CC187" i="42" s="1"/>
  <c r="K830" i="30"/>
  <c r="K715"/>
  <c r="K761" s="1"/>
  <c r="I225" i="42" s="1"/>
  <c r="K807" i="30"/>
  <c r="K391"/>
  <c r="K435" s="1"/>
  <c r="I74" i="42" s="1"/>
  <c r="K784" i="30"/>
  <c r="I582"/>
  <c r="I606" s="1"/>
  <c r="G133" i="42" s="1"/>
  <c r="I605" i="30"/>
  <c r="G132" i="42" s="1"/>
  <c r="AE565" i="30"/>
  <c r="E368" i="44"/>
  <c r="E830" s="1"/>
  <c r="E927" s="1"/>
  <c r="AQ294" i="42" s="1"/>
  <c r="J681" i="30"/>
  <c r="CC179" i="42" s="1"/>
  <c r="K681" i="30"/>
  <c r="CD179" i="42" s="1"/>
  <c r="K668" i="30"/>
  <c r="I188" i="42" s="1"/>
  <c r="J680" i="30"/>
  <c r="CC178" i="42" s="1"/>
  <c r="J667" i="30"/>
  <c r="H187" i="42" s="1"/>
  <c r="K680" i="30"/>
  <c r="CD178" i="42" s="1"/>
  <c r="K667" i="30"/>
  <c r="I187" i="42" s="1"/>
  <c r="K662" i="30"/>
  <c r="I178" i="42" s="1"/>
  <c r="E830" i="30"/>
  <c r="E715"/>
  <c r="E433"/>
  <c r="C69" i="42" s="1"/>
  <c r="E540" i="30"/>
  <c r="E663" s="1"/>
  <c r="C179" i="42" s="1"/>
  <c r="E692" i="30"/>
  <c r="E784"/>
  <c r="E853"/>
  <c r="C39" i="42"/>
  <c r="E391" i="30"/>
  <c r="E435" s="1"/>
  <c r="C74" i="42" s="1"/>
  <c r="E807" i="30"/>
  <c r="E738"/>
  <c r="E517"/>
  <c r="K951"/>
  <c r="K664" s="1"/>
  <c r="I180" i="42" s="1"/>
  <c r="E738" i="44"/>
  <c r="G356"/>
  <c r="G335" s="1"/>
  <c r="G367" s="1"/>
  <c r="AG565"/>
  <c r="O591"/>
  <c r="O575" i="30"/>
  <c r="M124" i="42" s="1"/>
  <c r="AW110"/>
  <c r="E360" i="30"/>
  <c r="H355" i="44"/>
  <c r="H334" s="1"/>
  <c r="H370" s="1"/>
  <c r="F355" i="30"/>
  <c r="F334" s="1"/>
  <c r="F373" s="1"/>
  <c r="E359" i="44"/>
  <c r="E338" s="1"/>
  <c r="E374" s="1"/>
  <c r="E441" s="1"/>
  <c r="BY69" i="42" s="1"/>
  <c r="E339" i="30"/>
  <c r="E380" s="1"/>
  <c r="G953"/>
  <c r="G763"/>
  <c r="E227" i="42" s="1"/>
  <c r="G434" i="30"/>
  <c r="E73" i="42" s="1"/>
  <c r="G442" i="30"/>
  <c r="CA73" i="42" s="1"/>
  <c r="F545" i="44"/>
  <c r="F858"/>
  <c r="F812"/>
  <c r="AR44" i="42"/>
  <c r="F522" i="44"/>
  <c r="F567" s="1"/>
  <c r="AR116" i="42" s="1"/>
  <c r="F835" i="44"/>
  <c r="F743"/>
  <c r="F396"/>
  <c r="F697"/>
  <c r="F720"/>
  <c r="F789"/>
  <c r="D516" i="30"/>
  <c r="D390"/>
  <c r="B38" i="42"/>
  <c r="D539" i="30"/>
  <c r="D852"/>
  <c r="D829"/>
  <c r="D737"/>
  <c r="D714"/>
  <c r="D783"/>
  <c r="D691"/>
  <c r="D806"/>
  <c r="D519" i="44"/>
  <c r="D740"/>
  <c r="D809"/>
  <c r="D855"/>
  <c r="AP41" i="42"/>
  <c r="D786" i="44"/>
  <c r="D717"/>
  <c r="D542"/>
  <c r="D393"/>
  <c r="D832"/>
  <c r="D694"/>
  <c r="G334" i="30"/>
  <c r="G373" s="1"/>
  <c r="AT115" i="42"/>
  <c r="H590" i="44"/>
  <c r="E965" i="30"/>
  <c r="E775"/>
  <c r="C239" i="42" s="1"/>
  <c r="F442" i="44"/>
  <c r="BZ74" i="42" s="1"/>
  <c r="H964" i="44"/>
  <c r="H774"/>
  <c r="AT238" i="42" s="1"/>
  <c r="H521" i="30"/>
  <c r="H788"/>
  <c r="H857"/>
  <c r="H395"/>
  <c r="F43" i="42"/>
  <c r="H834" i="30"/>
  <c r="H696"/>
  <c r="H742"/>
  <c r="H544"/>
  <c r="H811"/>
  <c r="H719"/>
  <c r="G789" i="44"/>
  <c r="AS44" i="42"/>
  <c r="G545" i="44"/>
  <c r="G720"/>
  <c r="G396"/>
  <c r="G522"/>
  <c r="G858"/>
  <c r="G743"/>
  <c r="G812"/>
  <c r="G835"/>
  <c r="G697"/>
  <c r="E576" i="30"/>
  <c r="C45" i="42"/>
  <c r="E523" i="30"/>
  <c r="E667" s="1"/>
  <c r="C187" i="42" s="1"/>
  <c r="E592" i="30"/>
  <c r="E546"/>
  <c r="E668" s="1"/>
  <c r="C188" i="42" s="1"/>
  <c r="E744" i="30"/>
  <c r="E859"/>
  <c r="E836"/>
  <c r="E698"/>
  <c r="E790"/>
  <c r="E813"/>
  <c r="E721"/>
  <c r="G588"/>
  <c r="E113" i="42"/>
  <c r="H789" i="44"/>
  <c r="AT44" i="42"/>
  <c r="H812" i="44"/>
  <c r="H545"/>
  <c r="H835"/>
  <c r="H522"/>
  <c r="H567" s="1"/>
  <c r="AT116" i="42" s="1"/>
  <c r="H743" i="44"/>
  <c r="H858"/>
  <c r="H396"/>
  <c r="H697"/>
  <c r="H720"/>
  <c r="F519" i="30"/>
  <c r="F786"/>
  <c r="F717"/>
  <c r="F855"/>
  <c r="F740"/>
  <c r="F832"/>
  <c r="F694"/>
  <c r="F542"/>
  <c r="F393"/>
  <c r="D41" i="42"/>
  <c r="F809" i="30"/>
  <c r="D588"/>
  <c r="B113" i="42"/>
  <c r="AS113"/>
  <c r="G588" i="44"/>
  <c r="E531"/>
  <c r="E798"/>
  <c r="E729"/>
  <c r="E554"/>
  <c r="E867"/>
  <c r="E706"/>
  <c r="E752"/>
  <c r="AQ53" i="42"/>
  <c r="E821" i="44"/>
  <c r="E844"/>
  <c r="AQ110" i="42"/>
  <c r="E585" i="44"/>
  <c r="AQ224" i="42"/>
  <c r="F953" i="44"/>
  <c r="F763"/>
  <c r="AR227" i="42" s="1"/>
  <c r="F356" i="44"/>
  <c r="D356" i="30"/>
  <c r="D355" i="44"/>
  <c r="F564"/>
  <c r="H575"/>
  <c r="AT124" i="42" s="1"/>
  <c r="H353" i="30"/>
  <c r="J361" i="44"/>
  <c r="J340" s="1"/>
  <c r="J369" s="1"/>
  <c r="AZ113" i="42"/>
  <c r="N588" i="44"/>
  <c r="Q579" i="30"/>
  <c r="O128" i="42" s="1"/>
  <c r="X351" i="44"/>
  <c r="X330" s="1"/>
  <c r="X385" s="1"/>
  <c r="K358"/>
  <c r="K337" s="1"/>
  <c r="K382" s="1"/>
  <c r="T351" i="30"/>
  <c r="T330" s="1"/>
  <c r="T385" s="1"/>
  <c r="AA347"/>
  <c r="AA326" s="1"/>
  <c r="AA378" s="1"/>
  <c r="U353" i="44"/>
  <c r="U332" s="1"/>
  <c r="U381" s="1"/>
  <c r="S355"/>
  <c r="S334" s="1"/>
  <c r="S370" s="1"/>
  <c r="AA349"/>
  <c r="AA328" s="1"/>
  <c r="AA383" s="1"/>
  <c r="AB571"/>
  <c r="R566"/>
  <c r="BD115" i="42" s="1"/>
  <c r="N356" i="30"/>
  <c r="N335" s="1"/>
  <c r="N367" s="1"/>
  <c r="O355"/>
  <c r="O334" s="1"/>
  <c r="O370" s="1"/>
  <c r="AE569" i="44"/>
  <c r="V352"/>
  <c r="V331" s="1"/>
  <c r="V372" s="1"/>
  <c r="K865" i="30"/>
  <c r="K750"/>
  <c r="I51" i="42"/>
  <c r="K727" i="30"/>
  <c r="K796"/>
  <c r="K819"/>
  <c r="K704"/>
  <c r="K529"/>
  <c r="K842"/>
  <c r="K598"/>
  <c r="K552"/>
  <c r="Q968"/>
  <c r="Q778"/>
  <c r="O242" i="42" s="1"/>
  <c r="P516" i="44"/>
  <c r="P539"/>
  <c r="P737"/>
  <c r="P829"/>
  <c r="P852"/>
  <c r="P783"/>
  <c r="P714"/>
  <c r="P806"/>
  <c r="P691"/>
  <c r="BB38" i="42"/>
  <c r="P390" i="44"/>
  <c r="R820"/>
  <c r="R553"/>
  <c r="R866"/>
  <c r="R530"/>
  <c r="R575" s="1"/>
  <c r="BD124" i="42" s="1"/>
  <c r="R843" i="44"/>
  <c r="R599"/>
  <c r="R705"/>
  <c r="BD52" i="42"/>
  <c r="R728" i="44"/>
  <c r="R751"/>
  <c r="R797"/>
  <c r="W730"/>
  <c r="W555"/>
  <c r="W868"/>
  <c r="W601"/>
  <c r="W799"/>
  <c r="W822"/>
  <c r="W845"/>
  <c r="W707"/>
  <c r="BI54" i="42"/>
  <c r="W753" i="44"/>
  <c r="W532"/>
  <c r="M953"/>
  <c r="M763"/>
  <c r="AY227" i="42" s="1"/>
  <c r="AJ535" i="44"/>
  <c r="AK386"/>
  <c r="AJ558"/>
  <c r="AH558" i="30"/>
  <c r="AH535"/>
  <c r="AI386"/>
  <c r="R812"/>
  <c r="R835"/>
  <c r="R545"/>
  <c r="R789"/>
  <c r="P44" i="42"/>
  <c r="R522" i="30"/>
  <c r="R720"/>
  <c r="R743"/>
  <c r="R697"/>
  <c r="R858"/>
  <c r="R396"/>
  <c r="AW224" i="42"/>
  <c r="AG375" i="44"/>
  <c r="AF547"/>
  <c r="AF524"/>
  <c r="Y731"/>
  <c r="Y708"/>
  <c r="Y556"/>
  <c r="Y602"/>
  <c r="Y800"/>
  <c r="Y869"/>
  <c r="Y846"/>
  <c r="Y754"/>
  <c r="Y533"/>
  <c r="Y578" s="1"/>
  <c r="BK127" i="42" s="1"/>
  <c r="BK55"/>
  <c r="Y823" i="44"/>
  <c r="AB960"/>
  <c r="AB770"/>
  <c r="BN234" i="42" s="1"/>
  <c r="AC325" i="44"/>
  <c r="AC377" s="1"/>
  <c r="AC400" s="1"/>
  <c r="J339" i="30"/>
  <c r="J380" s="1"/>
  <c r="M335" i="44"/>
  <c r="M367" s="1"/>
  <c r="L334"/>
  <c r="L370" s="1"/>
  <c r="BC128" i="42"/>
  <c r="AB326" i="44"/>
  <c r="AB378" s="1"/>
  <c r="J116" i="42"/>
  <c r="L591" i="30"/>
  <c r="K934"/>
  <c r="I302" i="42" s="1"/>
  <c r="K942" i="30"/>
  <c r="CD295" i="42" s="1"/>
  <c r="K931" i="30"/>
  <c r="I299" i="42" s="1"/>
  <c r="K939" i="30"/>
  <c r="CD292" i="42" s="1"/>
  <c r="AE954" i="30"/>
  <c r="AF954" s="1"/>
  <c r="AG954" s="1"/>
  <c r="AH954" s="1"/>
  <c r="AI954" s="1"/>
  <c r="AJ954" s="1"/>
  <c r="AK954" s="1"/>
  <c r="AL954" s="1"/>
  <c r="AM954" s="1"/>
  <c r="AN954" s="1"/>
  <c r="AO954" s="1"/>
  <c r="AP954" s="1"/>
  <c r="AQ954" s="1"/>
  <c r="AR954" s="1"/>
  <c r="AS954" s="1"/>
  <c r="AT954" s="1"/>
  <c r="AU954" s="1"/>
  <c r="AV954" s="1"/>
  <c r="AW954" s="1"/>
  <c r="Q811"/>
  <c r="O43" i="42"/>
  <c r="Q521" i="30"/>
  <c r="Q742"/>
  <c r="Q395"/>
  <c r="Q696"/>
  <c r="Q857"/>
  <c r="Q544"/>
  <c r="Q788"/>
  <c r="Q834"/>
  <c r="Q719"/>
  <c r="P763" i="44"/>
  <c r="BB227" i="42" s="1"/>
  <c r="P953" i="44"/>
  <c r="S778" i="30"/>
  <c r="Q242" i="42" s="1"/>
  <c r="S968" i="30"/>
  <c r="R765" i="44"/>
  <c r="BD229" i="42" s="1"/>
  <c r="R955" i="44"/>
  <c r="AC958" i="30"/>
  <c r="AC768"/>
  <c r="V847"/>
  <c r="V557"/>
  <c r="V709"/>
  <c r="T56" i="42"/>
  <c r="V801" i="30"/>
  <c r="V755"/>
  <c r="V603"/>
  <c r="V824"/>
  <c r="V732"/>
  <c r="V870"/>
  <c r="V534"/>
  <c r="P866"/>
  <c r="P530"/>
  <c r="P599"/>
  <c r="P820"/>
  <c r="P728"/>
  <c r="P751"/>
  <c r="P843"/>
  <c r="P553"/>
  <c r="P705"/>
  <c r="N52" i="42"/>
  <c r="P797" i="30"/>
  <c r="M691"/>
  <c r="M390"/>
  <c r="M714"/>
  <c r="M737"/>
  <c r="M829"/>
  <c r="M806"/>
  <c r="M539"/>
  <c r="M852"/>
  <c r="M516"/>
  <c r="M783"/>
  <c r="K38" i="42"/>
  <c r="Q544" i="44"/>
  <c r="Q742"/>
  <c r="Q696"/>
  <c r="Q395"/>
  <c r="BC43" i="42"/>
  <c r="Q719" i="44"/>
  <c r="Q788"/>
  <c r="Q521"/>
  <c r="Q834"/>
  <c r="Q811"/>
  <c r="Q857"/>
  <c r="O855"/>
  <c r="O809"/>
  <c r="O393"/>
  <c r="O519"/>
  <c r="O740"/>
  <c r="O832"/>
  <c r="O786"/>
  <c r="BA41" i="42"/>
  <c r="O717" i="44"/>
  <c r="O694"/>
  <c r="O542"/>
  <c r="N783"/>
  <c r="N737"/>
  <c r="N714"/>
  <c r="N806"/>
  <c r="AZ38" i="42"/>
  <c r="N852" i="44"/>
  <c r="N516"/>
  <c r="N539"/>
  <c r="N691"/>
  <c r="N829"/>
  <c r="N390"/>
  <c r="Z550"/>
  <c r="Z817"/>
  <c r="Z748"/>
  <c r="Z527"/>
  <c r="Z840"/>
  <c r="Z596"/>
  <c r="BL49" i="42"/>
  <c r="Z794" i="44"/>
  <c r="Z725"/>
  <c r="Z863"/>
  <c r="Z702"/>
  <c r="L519" i="30"/>
  <c r="L832"/>
  <c r="L542"/>
  <c r="L740"/>
  <c r="L717"/>
  <c r="L809"/>
  <c r="L855"/>
  <c r="L786"/>
  <c r="L694"/>
  <c r="J41" i="42"/>
  <c r="L393" i="30"/>
  <c r="R774"/>
  <c r="P238" i="42" s="1"/>
  <c r="R964" i="30"/>
  <c r="P564" i="44"/>
  <c r="AA572"/>
  <c r="BM121" i="42" s="1"/>
  <c r="AC324" i="30"/>
  <c r="AC376" s="1"/>
  <c r="AC959" i="44"/>
  <c r="AC769"/>
  <c r="BO233" i="42" s="1"/>
  <c r="AG371" i="30"/>
  <c r="AF543"/>
  <c r="AF520"/>
  <c r="T968" i="44"/>
  <c r="T778"/>
  <c r="BF242" i="42" s="1"/>
  <c r="S742" i="30"/>
  <c r="S834"/>
  <c r="Q43" i="42"/>
  <c r="S811" i="30"/>
  <c r="S521"/>
  <c r="S544"/>
  <c r="S857"/>
  <c r="S395"/>
  <c r="S719"/>
  <c r="S696"/>
  <c r="S788"/>
  <c r="I704" i="44"/>
  <c r="I529"/>
  <c r="I552"/>
  <c r="I819"/>
  <c r="I598"/>
  <c r="I750"/>
  <c r="I796"/>
  <c r="AU51" i="42"/>
  <c r="I842" i="44"/>
  <c r="I865"/>
  <c r="I727"/>
  <c r="AB959" i="30"/>
  <c r="AB769"/>
  <c r="Z233" i="42" s="1"/>
  <c r="AE376" i="44"/>
  <c r="AD548"/>
  <c r="AD525"/>
  <c r="AI371"/>
  <c r="AH543"/>
  <c r="AH520"/>
  <c r="J727"/>
  <c r="J865"/>
  <c r="J552"/>
  <c r="J704"/>
  <c r="J598"/>
  <c r="J750"/>
  <c r="J842"/>
  <c r="J529"/>
  <c r="AV51" i="42"/>
  <c r="J796" i="44"/>
  <c r="J819"/>
  <c r="X846"/>
  <c r="X533"/>
  <c r="X602"/>
  <c r="X800"/>
  <c r="X869"/>
  <c r="X708"/>
  <c r="X823"/>
  <c r="X754"/>
  <c r="BJ55" i="42"/>
  <c r="X731" i="44"/>
  <c r="X556"/>
  <c r="T869" i="30"/>
  <c r="T602"/>
  <c r="R55" i="42"/>
  <c r="T754" i="30"/>
  <c r="T800"/>
  <c r="T708"/>
  <c r="T533"/>
  <c r="T731"/>
  <c r="T846"/>
  <c r="T823"/>
  <c r="T556"/>
  <c r="U696" i="44"/>
  <c r="U521"/>
  <c r="BG43" i="42"/>
  <c r="U834" i="44"/>
  <c r="U788"/>
  <c r="U544"/>
  <c r="U811"/>
  <c r="U719"/>
  <c r="U857"/>
  <c r="U742"/>
  <c r="U395"/>
  <c r="S835"/>
  <c r="S789"/>
  <c r="S697"/>
  <c r="S396"/>
  <c r="BE44" i="42"/>
  <c r="S720" i="44"/>
  <c r="S858"/>
  <c r="S743"/>
  <c r="S812"/>
  <c r="S545"/>
  <c r="S522"/>
  <c r="N694" i="30"/>
  <c r="N809"/>
  <c r="N717"/>
  <c r="N855"/>
  <c r="N786"/>
  <c r="L41" i="42"/>
  <c r="N519" i="30"/>
  <c r="N542"/>
  <c r="N832"/>
  <c r="N740"/>
  <c r="N393"/>
  <c r="U966"/>
  <c r="U776"/>
  <c r="S240" i="42" s="1"/>
  <c r="Z960" i="30"/>
  <c r="AX116" i="42"/>
  <c r="L766" i="44"/>
  <c r="AX230" i="42" s="1"/>
  <c r="L956" i="44"/>
  <c r="M44" i="42"/>
  <c r="O858" i="30"/>
  <c r="O522"/>
  <c r="O835"/>
  <c r="O789"/>
  <c r="O812"/>
  <c r="O545"/>
  <c r="O697"/>
  <c r="O720"/>
  <c r="O743"/>
  <c r="O396"/>
  <c r="AA749" i="44"/>
  <c r="AA551"/>
  <c r="AA841"/>
  <c r="AA528"/>
  <c r="AA703"/>
  <c r="AA864"/>
  <c r="AA597"/>
  <c r="BM50" i="42"/>
  <c r="AA726" i="44"/>
  <c r="AA795"/>
  <c r="AA818"/>
  <c r="AE958"/>
  <c r="AF958" s="1"/>
  <c r="AG958" s="1"/>
  <c r="AH958" s="1"/>
  <c r="AI958" s="1"/>
  <c r="AJ958" s="1"/>
  <c r="AK958" s="1"/>
  <c r="AL958" s="1"/>
  <c r="AM958" s="1"/>
  <c r="AN958" s="1"/>
  <c r="AO958" s="1"/>
  <c r="AP958" s="1"/>
  <c r="AQ958" s="1"/>
  <c r="AR958" s="1"/>
  <c r="AS958" s="1"/>
  <c r="AT958" s="1"/>
  <c r="AU958" s="1"/>
  <c r="AV958" s="1"/>
  <c r="AW958" s="1"/>
  <c r="I125" i="42"/>
  <c r="T331" i="44"/>
  <c r="T372" s="1"/>
  <c r="U329" i="30"/>
  <c r="U384" s="1"/>
  <c r="Z326"/>
  <c r="W329"/>
  <c r="W384" s="1"/>
  <c r="N115" i="42"/>
  <c r="P590" i="30"/>
  <c r="BH127" i="42"/>
  <c r="L116"/>
  <c r="N591" i="30"/>
  <c r="K941"/>
  <c r="CD294" i="42" s="1"/>
  <c r="K933" i="30"/>
  <c r="I301" i="42" s="1"/>
  <c r="K957" i="30"/>
  <c r="K767"/>
  <c r="K932"/>
  <c r="I300" i="42" s="1"/>
  <c r="K940" i="30"/>
  <c r="CD293" i="42" s="1"/>
  <c r="AD547" i="30"/>
  <c r="AD524"/>
  <c r="AE375"/>
  <c r="BH56" i="42"/>
  <c r="V557" i="44"/>
  <c r="V534"/>
  <c r="V732"/>
  <c r="V755"/>
  <c r="V824"/>
  <c r="V801"/>
  <c r="V870"/>
  <c r="V709"/>
  <c r="V847"/>
  <c r="V603"/>
  <c r="O964" i="30"/>
  <c r="O774"/>
  <c r="M238" i="42" s="1"/>
  <c r="AA961" i="44"/>
  <c r="AA771"/>
  <c r="BM235" i="42" s="1"/>
  <c r="Y776" i="44"/>
  <c r="BK240" i="42" s="1"/>
  <c r="Y966" i="44"/>
  <c r="K361" i="30"/>
  <c r="AB570"/>
  <c r="Z119" i="42" s="1"/>
  <c r="AC570" i="44"/>
  <c r="AC594" s="1"/>
  <c r="T579"/>
  <c r="BF128" i="42" s="1"/>
  <c r="P357" i="44"/>
  <c r="S353" i="30"/>
  <c r="R354" i="44"/>
  <c r="X349" i="30"/>
  <c r="I361" i="44"/>
  <c r="W350"/>
  <c r="U577" i="30"/>
  <c r="S126" i="42" s="1"/>
  <c r="M564" i="44"/>
  <c r="AI580"/>
  <c r="AG580" i="30"/>
  <c r="R355"/>
  <c r="Y351" i="44"/>
  <c r="K568" i="30"/>
  <c r="AB347"/>
  <c r="Q353"/>
  <c r="AC569"/>
  <c r="AC593" s="1"/>
  <c r="V352"/>
  <c r="P354"/>
  <c r="M357"/>
  <c r="Q353" i="44"/>
  <c r="O356"/>
  <c r="N357"/>
  <c r="Y348" i="30"/>
  <c r="Z348" i="44"/>
  <c r="L356" i="30"/>
  <c r="Z770" l="1"/>
  <c r="X234" i="42" s="1"/>
  <c r="I938" i="44"/>
  <c r="CB298" i="42" s="1"/>
  <c r="W49"/>
  <c r="Z571" i="30"/>
  <c r="X120" i="42" s="1"/>
  <c r="H591" i="44"/>
  <c r="AB701" i="30"/>
  <c r="AB960" s="1"/>
  <c r="X818"/>
  <c r="AA526"/>
  <c r="AB526"/>
  <c r="Y748"/>
  <c r="Y794"/>
  <c r="X597"/>
  <c r="X864"/>
  <c r="AA816"/>
  <c r="Y48" i="42"/>
  <c r="AB724" i="30"/>
  <c r="AA595"/>
  <c r="AA862"/>
  <c r="AA747"/>
  <c r="AB816"/>
  <c r="AB747"/>
  <c r="W577"/>
  <c r="U126" i="42" s="1"/>
  <c r="AA549" i="30"/>
  <c r="AA724"/>
  <c r="AA701"/>
  <c r="AA793"/>
  <c r="AB793"/>
  <c r="AB862"/>
  <c r="AB549"/>
  <c r="AB839"/>
  <c r="Z48" i="42"/>
  <c r="W776" i="30"/>
  <c r="U240" i="42" s="1"/>
  <c r="Y725" i="30"/>
  <c r="Y596"/>
  <c r="Y702"/>
  <c r="V50" i="42"/>
  <c r="X841" i="30"/>
  <c r="X795"/>
  <c r="Y863"/>
  <c r="Y550"/>
  <c r="Y572" s="1"/>
  <c r="W121" i="42" s="1"/>
  <c r="Y817" i="30"/>
  <c r="Y840"/>
  <c r="X703"/>
  <c r="X962" s="1"/>
  <c r="X726"/>
  <c r="X749"/>
  <c r="X551"/>
  <c r="X573" s="1"/>
  <c r="V122" i="42" s="1"/>
  <c r="Z378" i="30"/>
  <c r="Z840" s="1"/>
  <c r="AA573" i="44"/>
  <c r="BM122" i="42" s="1"/>
  <c r="BN120"/>
  <c r="AB595" i="44"/>
  <c r="J934" i="30"/>
  <c r="H302" i="42" s="1"/>
  <c r="J932" i="30"/>
  <c r="H300" i="42" s="1"/>
  <c r="J933" i="30"/>
  <c r="H301" i="42" s="1"/>
  <c r="J931" i="30"/>
  <c r="H299" i="42" s="1"/>
  <c r="J568" i="44"/>
  <c r="AV117" i="42" s="1"/>
  <c r="J767" i="44"/>
  <c r="AV231" i="42" s="1"/>
  <c r="J767" i="30"/>
  <c r="J930" s="1"/>
  <c r="H298" i="42" s="1"/>
  <c r="I586" i="44"/>
  <c r="AU111" i="42"/>
  <c r="J761" i="44"/>
  <c r="J951"/>
  <c r="J669" s="1"/>
  <c r="AV189" i="42" s="1"/>
  <c r="J667" i="44"/>
  <c r="AV187" i="42" s="1"/>
  <c r="J562" i="44"/>
  <c r="J562" i="30"/>
  <c r="J662"/>
  <c r="H178" i="42" s="1"/>
  <c r="J951" i="30"/>
  <c r="J664" s="1"/>
  <c r="H180" i="42" s="1"/>
  <c r="J761" i="30"/>
  <c r="H225" i="42" s="1"/>
  <c r="I924" i="44"/>
  <c r="AU291" i="42" s="1"/>
  <c r="AU225"/>
  <c r="J568" i="30"/>
  <c r="H117" i="42" s="1"/>
  <c r="C52" i="33"/>
  <c r="E540" i="44"/>
  <c r="E668" s="1"/>
  <c r="AQ188" i="42" s="1"/>
  <c r="E391" i="44"/>
  <c r="E435" s="1"/>
  <c r="AQ74" i="42" s="1"/>
  <c r="C125"/>
  <c r="E600" i="30"/>
  <c r="E692" i="44"/>
  <c r="E951" s="1"/>
  <c r="E669" s="1"/>
  <c r="AQ189" i="42" s="1"/>
  <c r="E807" i="44"/>
  <c r="E926" s="1"/>
  <c r="AQ293" i="42" s="1"/>
  <c r="R590" i="44"/>
  <c r="E433"/>
  <c r="AQ69" i="42" s="1"/>
  <c r="E517" i="44"/>
  <c r="AQ39" i="42"/>
  <c r="E853" i="44"/>
  <c r="E928" s="1"/>
  <c r="AQ295" i="42" s="1"/>
  <c r="E715" i="44"/>
  <c r="E784"/>
  <c r="E925" s="1"/>
  <c r="AQ292" i="42" s="1"/>
  <c r="G356" i="30"/>
  <c r="G335" s="1"/>
  <c r="G367" s="1"/>
  <c r="K682"/>
  <c r="CD180" i="42" s="1"/>
  <c r="K669" i="30"/>
  <c r="I189" i="42" s="1"/>
  <c r="J682" i="30"/>
  <c r="CC180" i="42" s="1"/>
  <c r="J669" i="30"/>
  <c r="H189" i="42" s="1"/>
  <c r="E562" i="30"/>
  <c r="E662"/>
  <c r="C178" i="42" s="1"/>
  <c r="K586" i="30"/>
  <c r="I111" i="42"/>
  <c r="E951" i="30"/>
  <c r="E664" s="1"/>
  <c r="C180" i="42" s="1"/>
  <c r="E761" i="30"/>
  <c r="C225" i="42" s="1"/>
  <c r="G567" i="44"/>
  <c r="E576"/>
  <c r="E360"/>
  <c r="E339" s="1"/>
  <c r="E380" s="1"/>
  <c r="F356" i="30"/>
  <c r="F335" s="1"/>
  <c r="F367" s="1"/>
  <c r="H356" i="44"/>
  <c r="H335" s="1"/>
  <c r="H367" s="1"/>
  <c r="F591"/>
  <c r="H332" i="30"/>
  <c r="H381" s="1"/>
  <c r="AR113" i="42"/>
  <c r="F588" i="44"/>
  <c r="D335" i="30"/>
  <c r="D373" s="1"/>
  <c r="G390" i="44"/>
  <c r="G539"/>
  <c r="G681" s="1"/>
  <c r="BZ188" i="42" s="1"/>
  <c r="AS38"/>
  <c r="G516" i="44"/>
  <c r="G737"/>
  <c r="G714"/>
  <c r="G783"/>
  <c r="G691"/>
  <c r="G806"/>
  <c r="G852"/>
  <c r="G829"/>
  <c r="E932" i="30"/>
  <c r="C300" i="42" s="1"/>
  <c r="E940" i="30"/>
  <c r="BX293" i="42" s="1"/>
  <c r="E957" i="30"/>
  <c r="E669" s="1"/>
  <c r="C189" i="42" s="1"/>
  <c r="E767" i="30"/>
  <c r="E942"/>
  <c r="BX295" i="42" s="1"/>
  <c r="E934" i="30"/>
  <c r="C302" i="42" s="1"/>
  <c r="G956" i="44"/>
  <c r="G766"/>
  <c r="AS230" i="42" s="1"/>
  <c r="G396" i="30"/>
  <c r="G545"/>
  <c r="G812"/>
  <c r="G743"/>
  <c r="G858"/>
  <c r="E44" i="42"/>
  <c r="G697" i="30"/>
  <c r="G835"/>
  <c r="G522"/>
  <c r="G789"/>
  <c r="G720"/>
  <c r="D680"/>
  <c r="BW178" i="42" s="1"/>
  <c r="D561" i="30"/>
  <c r="AT41" i="42"/>
  <c r="H740" i="44"/>
  <c r="H694"/>
  <c r="H809"/>
  <c r="H542"/>
  <c r="H832"/>
  <c r="H855"/>
  <c r="H519"/>
  <c r="H717"/>
  <c r="H393"/>
  <c r="H786"/>
  <c r="F956"/>
  <c r="F766"/>
  <c r="AR230" i="42" s="1"/>
  <c r="F564" i="30"/>
  <c r="E568"/>
  <c r="C117" i="42" s="1"/>
  <c r="E361" i="30"/>
  <c r="D334" i="44"/>
  <c r="D367" s="1"/>
  <c r="F335"/>
  <c r="F367" s="1"/>
  <c r="E965"/>
  <c r="E775"/>
  <c r="AQ239" i="42" s="1"/>
  <c r="F434" i="30"/>
  <c r="D73" i="42" s="1"/>
  <c r="F442" i="30"/>
  <c r="BZ73" i="42" s="1"/>
  <c r="F953" i="30"/>
  <c r="F763"/>
  <c r="D227" i="42" s="1"/>
  <c r="H956" i="44"/>
  <c r="H766"/>
  <c r="AT230" i="42" s="1"/>
  <c r="E931" i="30"/>
  <c r="C299" i="42" s="1"/>
  <c r="E939" i="30"/>
  <c r="BX292" i="42" s="1"/>
  <c r="E933" i="30"/>
  <c r="C301" i="42" s="1"/>
  <c r="E941" i="30"/>
  <c r="BX294" i="42" s="1"/>
  <c r="H955" i="30"/>
  <c r="H765"/>
  <c r="F229" i="42" s="1"/>
  <c r="E546" i="44"/>
  <c r="E523"/>
  <c r="E592"/>
  <c r="AQ45" i="42"/>
  <c r="E744" i="44"/>
  <c r="E721"/>
  <c r="E836"/>
  <c r="E941" s="1"/>
  <c r="BX301" i="42" s="1"/>
  <c r="E698" i="44"/>
  <c r="E790"/>
  <c r="E939" s="1"/>
  <c r="BX299" i="42" s="1"/>
  <c r="E813" i="44"/>
  <c r="E940" s="1"/>
  <c r="BX300" i="42" s="1"/>
  <c r="E859" i="44"/>
  <c r="E942" s="1"/>
  <c r="BX302" i="42" s="1"/>
  <c r="F720" i="30"/>
  <c r="F545"/>
  <c r="F522"/>
  <c r="F812"/>
  <c r="D44" i="42"/>
  <c r="F858" i="30"/>
  <c r="F396"/>
  <c r="F743"/>
  <c r="F697"/>
  <c r="F789"/>
  <c r="F835"/>
  <c r="D953" i="44"/>
  <c r="D763"/>
  <c r="AP227" i="42" s="1"/>
  <c r="D442" i="44"/>
  <c r="BX74" i="42" s="1"/>
  <c r="D950" i="30"/>
  <c r="D760"/>
  <c r="D681"/>
  <c r="BW179" i="42" s="1"/>
  <c r="E552" i="30"/>
  <c r="C51" i="42"/>
  <c r="E796" i="30"/>
  <c r="E704"/>
  <c r="E598"/>
  <c r="E750"/>
  <c r="E727"/>
  <c r="E842"/>
  <c r="E529"/>
  <c r="E574" s="1"/>
  <c r="C123" i="42" s="1"/>
  <c r="E819" i="30"/>
  <c r="E865"/>
  <c r="G357" i="44"/>
  <c r="H566" i="30"/>
  <c r="D564" i="44"/>
  <c r="N357" i="30"/>
  <c r="N336" s="1"/>
  <c r="W577" i="44"/>
  <c r="BI126" i="42" s="1"/>
  <c r="T353" i="44"/>
  <c r="T332" s="1"/>
  <c r="T381" s="1"/>
  <c r="AA348" i="30"/>
  <c r="AA327" s="1"/>
  <c r="AA379" s="1"/>
  <c r="I574" i="44"/>
  <c r="AU123" i="42" s="1"/>
  <c r="J362" i="44"/>
  <c r="J364" s="1"/>
  <c r="D92" i="33" s="1"/>
  <c r="Z572" i="44"/>
  <c r="BL121" i="42" s="1"/>
  <c r="Q566" i="30"/>
  <c r="O115" i="42" s="1"/>
  <c r="AB571" i="30"/>
  <c r="Z120" i="42" s="1"/>
  <c r="BA954" i="30"/>
  <c r="BC954" s="1"/>
  <c r="X352" i="44"/>
  <c r="X331" s="1"/>
  <c r="X372" s="1"/>
  <c r="O567" i="30"/>
  <c r="M116" i="42" s="1"/>
  <c r="R567" i="30"/>
  <c r="P116" i="42" s="1"/>
  <c r="BA958" i="44"/>
  <c r="BC958" s="1"/>
  <c r="X578"/>
  <c r="BJ127" i="42" s="1"/>
  <c r="AD570" i="44"/>
  <c r="S356"/>
  <c r="S335" s="1"/>
  <c r="S367" s="1"/>
  <c r="AF565" i="30"/>
  <c r="N561" i="44"/>
  <c r="N585" s="1"/>
  <c r="V579" i="30"/>
  <c r="T128" i="42" s="1"/>
  <c r="J361" i="30"/>
  <c r="J340" s="1"/>
  <c r="J369" s="1"/>
  <c r="AC347" i="44"/>
  <c r="AC326" s="1"/>
  <c r="AC378" s="1"/>
  <c r="AA350"/>
  <c r="AA329" s="1"/>
  <c r="AA384" s="1"/>
  <c r="L335" i="30"/>
  <c r="L367" s="1"/>
  <c r="O335" i="44"/>
  <c r="O367" s="1"/>
  <c r="M336" i="30"/>
  <c r="V331"/>
  <c r="V372" s="1"/>
  <c r="Q332"/>
  <c r="Q381" s="1"/>
  <c r="R333" i="44"/>
  <c r="R373" s="1"/>
  <c r="AE547" i="30"/>
  <c r="AE524"/>
  <c r="AF375"/>
  <c r="Z327" i="44"/>
  <c r="Z379" s="1"/>
  <c r="N336"/>
  <c r="Q332"/>
  <c r="Q381" s="1"/>
  <c r="P333" i="30"/>
  <c r="P373" s="1"/>
  <c r="AA118" i="42"/>
  <c r="BE569" i="30"/>
  <c r="AB326"/>
  <c r="Y330" i="44"/>
  <c r="Y385" s="1"/>
  <c r="R334" i="30"/>
  <c r="R370" s="1"/>
  <c r="AY113" i="42"/>
  <c r="M588" i="44"/>
  <c r="W329"/>
  <c r="W384" s="1"/>
  <c r="X328" i="30"/>
  <c r="P336" i="44"/>
  <c r="BO119" i="42"/>
  <c r="BE570" i="44"/>
  <c r="K340" i="30"/>
  <c r="K369" s="1"/>
  <c r="V968" i="44"/>
  <c r="V778"/>
  <c r="BH242" i="42" s="1"/>
  <c r="K930" i="30"/>
  <c r="I298" i="42" s="1"/>
  <c r="K938" i="30"/>
  <c r="CD291" i="42" s="1"/>
  <c r="I231"/>
  <c r="AA772" i="44"/>
  <c r="BM236" i="42" s="1"/>
  <c r="AA962" i="44"/>
  <c r="O956" i="30"/>
  <c r="O766"/>
  <c r="M230" i="42" s="1"/>
  <c r="N953" i="30"/>
  <c r="N763"/>
  <c r="L227" i="42" s="1"/>
  <c r="S766" i="44"/>
  <c r="BE230" i="42" s="1"/>
  <c r="S956" i="44"/>
  <c r="U765"/>
  <c r="BG229" i="42" s="1"/>
  <c r="U955" i="44"/>
  <c r="AA960" i="30"/>
  <c r="X777" i="44"/>
  <c r="BJ241" i="42" s="1"/>
  <c r="X967" i="44"/>
  <c r="AE548"/>
  <c r="AE525"/>
  <c r="AF376"/>
  <c r="U751"/>
  <c r="BG52" i="42"/>
  <c r="U705" i="44"/>
  <c r="U866"/>
  <c r="U599"/>
  <c r="U728"/>
  <c r="U530"/>
  <c r="U820"/>
  <c r="U797"/>
  <c r="U553"/>
  <c r="U843"/>
  <c r="S955" i="30"/>
  <c r="S765"/>
  <c r="Q229" i="42" s="1"/>
  <c r="AG520" i="30"/>
  <c r="AH371"/>
  <c r="AG543"/>
  <c r="AD959" i="44"/>
  <c r="BE959"/>
  <c r="AC700" i="30"/>
  <c r="AC792"/>
  <c r="AC723"/>
  <c r="AC815"/>
  <c r="AA47" i="42"/>
  <c r="AD376" i="30"/>
  <c r="AC838"/>
  <c r="AC861"/>
  <c r="AC548"/>
  <c r="AC525"/>
  <c r="AC594"/>
  <c r="AC746"/>
  <c r="Y961"/>
  <c r="N950" i="44"/>
  <c r="N760"/>
  <c r="V811"/>
  <c r="V834"/>
  <c r="BH43" i="42"/>
  <c r="V544" i="44"/>
  <c r="V788"/>
  <c r="V521"/>
  <c r="V566" s="1"/>
  <c r="BH115" i="42" s="1"/>
  <c r="V719" i="44"/>
  <c r="V742"/>
  <c r="V857"/>
  <c r="V696"/>
  <c r="V395"/>
  <c r="Q955"/>
  <c r="Q765"/>
  <c r="BC229" i="42" s="1"/>
  <c r="M561" i="30"/>
  <c r="M950"/>
  <c r="M760"/>
  <c r="V778"/>
  <c r="T242" i="42" s="1"/>
  <c r="V968" i="30"/>
  <c r="AD958"/>
  <c r="BE958"/>
  <c r="AB725" i="44"/>
  <c r="AB863"/>
  <c r="AB748"/>
  <c r="AB550"/>
  <c r="AB794"/>
  <c r="AB840"/>
  <c r="AB527"/>
  <c r="AB817"/>
  <c r="BN49" i="42"/>
  <c r="AB702" i="44"/>
  <c r="L542"/>
  <c r="L740"/>
  <c r="L832"/>
  <c r="L786"/>
  <c r="L694"/>
  <c r="L393"/>
  <c r="L809"/>
  <c r="L717"/>
  <c r="L519"/>
  <c r="L855"/>
  <c r="AX41" i="42"/>
  <c r="M516" i="44"/>
  <c r="M829"/>
  <c r="M714"/>
  <c r="M539"/>
  <c r="M691"/>
  <c r="M852"/>
  <c r="M783"/>
  <c r="M806"/>
  <c r="M737"/>
  <c r="AY38" i="42"/>
  <c r="M390" i="44"/>
  <c r="H51" i="42"/>
  <c r="J704" i="30"/>
  <c r="J865"/>
  <c r="J796"/>
  <c r="J529"/>
  <c r="J598"/>
  <c r="J727"/>
  <c r="J819"/>
  <c r="J842"/>
  <c r="J750"/>
  <c r="J552"/>
  <c r="AC747" i="44"/>
  <c r="AC701"/>
  <c r="AC526"/>
  <c r="AC549"/>
  <c r="AC839"/>
  <c r="AC724"/>
  <c r="AC793"/>
  <c r="AC816"/>
  <c r="BO48" i="42"/>
  <c r="AC862" i="44"/>
  <c r="AD377"/>
  <c r="Y777"/>
  <c r="BK241" i="42" s="1"/>
  <c r="Y967" i="44"/>
  <c r="AG547"/>
  <c r="AG524"/>
  <c r="AH375"/>
  <c r="AA532"/>
  <c r="AA601"/>
  <c r="AA730"/>
  <c r="AA868"/>
  <c r="AA555"/>
  <c r="AA845"/>
  <c r="AA707"/>
  <c r="AA822"/>
  <c r="BM54" i="42"/>
  <c r="AA799" i="44"/>
  <c r="AA753"/>
  <c r="R956" i="30"/>
  <c r="R766"/>
  <c r="P230" i="42" s="1"/>
  <c r="N714" i="30"/>
  <c r="N737"/>
  <c r="N783"/>
  <c r="L38" i="42"/>
  <c r="N691" i="30"/>
  <c r="N539"/>
  <c r="N852"/>
  <c r="N516"/>
  <c r="N829"/>
  <c r="N806"/>
  <c r="N390"/>
  <c r="W966" i="44"/>
  <c r="W776"/>
  <c r="BI240" i="42" s="1"/>
  <c r="P950" i="44"/>
  <c r="P760"/>
  <c r="K963" i="30"/>
  <c r="K773"/>
  <c r="I237" i="42" s="1"/>
  <c r="V579" i="44"/>
  <c r="BH128" i="42" s="1"/>
  <c r="AD569" i="30"/>
  <c r="W351"/>
  <c r="Z348"/>
  <c r="U351"/>
  <c r="T578"/>
  <c r="R127" i="42" s="1"/>
  <c r="L564" i="30"/>
  <c r="P575"/>
  <c r="AF569" i="44"/>
  <c r="O356" i="30"/>
  <c r="AH580"/>
  <c r="AJ580" i="44"/>
  <c r="T352" i="30"/>
  <c r="K359" i="44"/>
  <c r="Y327" i="30"/>
  <c r="I117" i="42"/>
  <c r="K592" i="30"/>
  <c r="I340" i="44"/>
  <c r="I369" s="1"/>
  <c r="S332" i="30"/>
  <c r="S381" s="1"/>
  <c r="W846"/>
  <c r="W708"/>
  <c r="U55" i="42"/>
  <c r="W731" i="30"/>
  <c r="W754"/>
  <c r="W602"/>
  <c r="W533"/>
  <c r="W823"/>
  <c r="W556"/>
  <c r="W869"/>
  <c r="W800"/>
  <c r="U823"/>
  <c r="U556"/>
  <c r="U869"/>
  <c r="U533"/>
  <c r="U578" s="1"/>
  <c r="S127" i="42" s="1"/>
  <c r="U846" i="30"/>
  <c r="U602"/>
  <c r="U708"/>
  <c r="S55" i="42"/>
  <c r="U731" i="30"/>
  <c r="U754"/>
  <c r="U800"/>
  <c r="T742" i="44"/>
  <c r="T696"/>
  <c r="T544"/>
  <c r="T788"/>
  <c r="BF43" i="42"/>
  <c r="T719" i="44"/>
  <c r="T811"/>
  <c r="T521"/>
  <c r="T395"/>
  <c r="T857"/>
  <c r="T834"/>
  <c r="T967" i="30"/>
  <c r="T777"/>
  <c r="R241" i="42" s="1"/>
  <c r="J773" i="44"/>
  <c r="AV237" i="42" s="1"/>
  <c r="J963" i="44"/>
  <c r="AJ371"/>
  <c r="AI543"/>
  <c r="AI520"/>
  <c r="BE41" i="42"/>
  <c r="S855" i="44"/>
  <c r="S717"/>
  <c r="S809"/>
  <c r="S740"/>
  <c r="S542"/>
  <c r="S694"/>
  <c r="S832"/>
  <c r="S519"/>
  <c r="S786"/>
  <c r="S393"/>
  <c r="AA794" i="30"/>
  <c r="AA863"/>
  <c r="AA748"/>
  <c r="Y49" i="42"/>
  <c r="AA725" i="30"/>
  <c r="AA596"/>
  <c r="AA550"/>
  <c r="AA817"/>
  <c r="AA702"/>
  <c r="AA527"/>
  <c r="AA840"/>
  <c r="I773" i="44"/>
  <c r="AU237" i="42" s="1"/>
  <c r="I963" i="44"/>
  <c r="J432"/>
  <c r="AV68" i="42" s="1"/>
  <c r="J541" i="44"/>
  <c r="J739"/>
  <c r="J757" s="1"/>
  <c r="J716"/>
  <c r="J734" s="1"/>
  <c r="J854"/>
  <c r="J872" s="1"/>
  <c r="AV262" i="42" s="1"/>
  <c r="J392" i="44"/>
  <c r="J434" s="1"/>
  <c r="AV73" i="42" s="1"/>
  <c r="J831" i="44"/>
  <c r="J849" s="1"/>
  <c r="AV261" i="42" s="1"/>
  <c r="J808" i="44"/>
  <c r="J826" s="1"/>
  <c r="AV260" i="42" s="1"/>
  <c r="J785" i="44"/>
  <c r="J803" s="1"/>
  <c r="AV259" i="42" s="1"/>
  <c r="AV40"/>
  <c r="J518" i="44"/>
  <c r="J693"/>
  <c r="J417" a="1"/>
  <c r="J417" s="1"/>
  <c r="J415" a="1"/>
  <c r="J415" s="1"/>
  <c r="J413" a="1"/>
  <c r="J413" s="1"/>
  <c r="J416" a="1"/>
  <c r="J416" s="1"/>
  <c r="J414" a="1"/>
  <c r="J414" s="1"/>
  <c r="J387"/>
  <c r="J410" s="1"/>
  <c r="BB113" i="42"/>
  <c r="P588" i="44"/>
  <c r="L953" i="30"/>
  <c r="L763"/>
  <c r="J227" i="42" s="1"/>
  <c r="Z961" i="44"/>
  <c r="Z771"/>
  <c r="BL235" i="42" s="1"/>
  <c r="O953" i="44"/>
  <c r="O763"/>
  <c r="BA227" i="42" s="1"/>
  <c r="P964" i="30"/>
  <c r="P774"/>
  <c r="N238" i="42" s="1"/>
  <c r="AA232"/>
  <c r="Q955" i="30"/>
  <c r="Q765"/>
  <c r="O229" i="42" s="1"/>
  <c r="O740" i="30"/>
  <c r="O809"/>
  <c r="O832"/>
  <c r="O855"/>
  <c r="O519"/>
  <c r="O786"/>
  <c r="M41" i="42"/>
  <c r="O717" i="30"/>
  <c r="O694"/>
  <c r="O542"/>
  <c r="O393"/>
  <c r="AJ386"/>
  <c r="AI558"/>
  <c r="AI535"/>
  <c r="AK535" i="44"/>
  <c r="AL386"/>
  <c r="AK558"/>
  <c r="T755" i="30"/>
  <c r="T847"/>
  <c r="T557"/>
  <c r="T709"/>
  <c r="R56" i="42"/>
  <c r="T801" i="30"/>
  <c r="T534"/>
  <c r="T603"/>
  <c r="T824"/>
  <c r="T732"/>
  <c r="T870"/>
  <c r="AW53" i="42"/>
  <c r="K752" i="44"/>
  <c r="K867"/>
  <c r="K706"/>
  <c r="K798"/>
  <c r="K729"/>
  <c r="K531"/>
  <c r="K600"/>
  <c r="K844"/>
  <c r="K554"/>
  <c r="K821"/>
  <c r="BJ56" i="42"/>
  <c r="X847" i="44"/>
  <c r="X603"/>
  <c r="X870"/>
  <c r="X801"/>
  <c r="X755"/>
  <c r="X824"/>
  <c r="X732"/>
  <c r="X709"/>
  <c r="X534"/>
  <c r="X557"/>
  <c r="R964"/>
  <c r="R774"/>
  <c r="BD238" i="42" s="1"/>
  <c r="N564" i="30"/>
  <c r="S567" i="44"/>
  <c r="U566"/>
  <c r="J574"/>
  <c r="AV123" i="42" s="1"/>
  <c r="AH565" i="44"/>
  <c r="U354"/>
  <c r="S566" i="30"/>
  <c r="AC346"/>
  <c r="O564" i="44"/>
  <c r="V353"/>
  <c r="Q566"/>
  <c r="AB348"/>
  <c r="L356"/>
  <c r="M357"/>
  <c r="P561"/>
  <c r="K574" i="30"/>
  <c r="I123" i="42" s="1"/>
  <c r="C36" i="33" l="1"/>
  <c r="BM128"/>
  <c r="Z702" i="30"/>
  <c r="V590" i="44"/>
  <c r="Z725" i="30"/>
  <c r="Z748"/>
  <c r="AA571"/>
  <c r="Y120" i="42" s="1"/>
  <c r="AB770" i="30"/>
  <c r="Z234" i="42" s="1"/>
  <c r="Y771" i="30"/>
  <c r="W235" i="42" s="1"/>
  <c r="AA770" i="30"/>
  <c r="Y234" i="42" s="1"/>
  <c r="Z794" i="30"/>
  <c r="Z527"/>
  <c r="Z817"/>
  <c r="AZ110" i="42"/>
  <c r="X49"/>
  <c r="Z550" i="30"/>
  <c r="Z863"/>
  <c r="Z596"/>
  <c r="X772"/>
  <c r="V236" i="42" s="1"/>
  <c r="Y379" i="30"/>
  <c r="Y726" s="1"/>
  <c r="X383"/>
  <c r="X730" s="1"/>
  <c r="AB378"/>
  <c r="AB748" s="1"/>
  <c r="L564" i="44"/>
  <c r="L588" s="1"/>
  <c r="J938"/>
  <c r="CC298" i="42" s="1"/>
  <c r="J938" i="30"/>
  <c r="CC291" i="42" s="1"/>
  <c r="H231"/>
  <c r="J586" i="30"/>
  <c r="H111" i="42"/>
  <c r="AV225"/>
  <c r="J924" i="44"/>
  <c r="AV291" i="42" s="1"/>
  <c r="AV111"/>
  <c r="J586" i="44"/>
  <c r="E761"/>
  <c r="AQ125" i="42"/>
  <c r="E600" i="44"/>
  <c r="E562"/>
  <c r="E667"/>
  <c r="AQ187" i="42" s="1"/>
  <c r="C111"/>
  <c r="E586" i="30"/>
  <c r="D357"/>
  <c r="Q590"/>
  <c r="O591"/>
  <c r="R591"/>
  <c r="AS116" i="42"/>
  <c r="G591" i="44"/>
  <c r="E568"/>
  <c r="AQ117" i="42" s="1"/>
  <c r="F357" i="44"/>
  <c r="F336" s="1"/>
  <c r="D356"/>
  <c r="G567" i="30"/>
  <c r="E116" i="42" s="1"/>
  <c r="H590" i="30"/>
  <c r="F115" i="42"/>
  <c r="AT38"/>
  <c r="H539" i="44"/>
  <c r="H681" s="1"/>
  <c r="CA188" i="42" s="1"/>
  <c r="H516" i="44"/>
  <c r="H390"/>
  <c r="H829"/>
  <c r="H737"/>
  <c r="H714"/>
  <c r="H691"/>
  <c r="H806"/>
  <c r="H852"/>
  <c r="H783"/>
  <c r="B224" i="42"/>
  <c r="G516" i="30"/>
  <c r="G390"/>
  <c r="G539"/>
  <c r="E38" i="42"/>
  <c r="G852" i="30"/>
  <c r="G737"/>
  <c r="G714"/>
  <c r="G829"/>
  <c r="G783"/>
  <c r="G691"/>
  <c r="G806"/>
  <c r="AR38" i="42"/>
  <c r="F539" i="44"/>
  <c r="F681" s="1"/>
  <c r="BY188" i="42" s="1"/>
  <c r="F390" i="44"/>
  <c r="F516"/>
  <c r="F714"/>
  <c r="F783"/>
  <c r="F691"/>
  <c r="F852"/>
  <c r="F829"/>
  <c r="F737"/>
  <c r="F806"/>
  <c r="D539"/>
  <c r="D681" s="1"/>
  <c r="BW188" i="42" s="1"/>
  <c r="D516" i="44"/>
  <c r="AP38" i="42"/>
  <c r="D390" i="44"/>
  <c r="D852"/>
  <c r="D737"/>
  <c r="D806"/>
  <c r="D829"/>
  <c r="D714"/>
  <c r="D783"/>
  <c r="D691"/>
  <c r="H442"/>
  <c r="CB74" i="42" s="1"/>
  <c r="D585" i="30"/>
  <c r="B110" i="42"/>
  <c r="E930" i="30"/>
  <c r="C298" i="42" s="1"/>
  <c r="C231"/>
  <c r="E938" i="30"/>
  <c r="BX291" i="42" s="1"/>
  <c r="D697" i="30"/>
  <c r="D396"/>
  <c r="D789"/>
  <c r="B44" i="42"/>
  <c r="D812" i="30"/>
  <c r="D545"/>
  <c r="D720"/>
  <c r="D858"/>
  <c r="D522"/>
  <c r="D743"/>
  <c r="D835"/>
  <c r="H564" i="44"/>
  <c r="F357" i="30"/>
  <c r="E361" i="44"/>
  <c r="H354" i="30"/>
  <c r="AP113" i="42"/>
  <c r="D588" i="44"/>
  <c r="G336"/>
  <c r="E963" i="30"/>
  <c r="E773"/>
  <c r="C237" i="42" s="1"/>
  <c r="D682" i="30"/>
  <c r="BW180" i="42" s="1"/>
  <c r="F956" i="30"/>
  <c r="F766"/>
  <c r="D230" i="42" s="1"/>
  <c r="E957" i="44"/>
  <c r="E767"/>
  <c r="D335"/>
  <c r="D373" s="1"/>
  <c r="E340" i="30"/>
  <c r="E369" s="1"/>
  <c r="F588"/>
  <c r="D113" i="42"/>
  <c r="H953" i="44"/>
  <c r="H763"/>
  <c r="AT227" i="42" s="1"/>
  <c r="F516" i="30"/>
  <c r="D38" i="42"/>
  <c r="F390" i="30"/>
  <c r="F539"/>
  <c r="F829"/>
  <c r="F691"/>
  <c r="F806"/>
  <c r="F852"/>
  <c r="F737"/>
  <c r="F714"/>
  <c r="F783"/>
  <c r="G956"/>
  <c r="G766"/>
  <c r="E230" i="42" s="1"/>
  <c r="E865" i="44"/>
  <c r="AQ51" i="42"/>
  <c r="E598" i="44"/>
  <c r="E750"/>
  <c r="E727"/>
  <c r="E704"/>
  <c r="E552"/>
  <c r="E842"/>
  <c r="E796"/>
  <c r="E529"/>
  <c r="E819"/>
  <c r="G950"/>
  <c r="G682" s="1"/>
  <c r="BZ189" i="42" s="1"/>
  <c r="G760" i="44"/>
  <c r="G680"/>
  <c r="BZ187" i="42" s="1"/>
  <c r="G561" i="44"/>
  <c r="D336" i="30"/>
  <c r="H599"/>
  <c r="H866"/>
  <c r="H843"/>
  <c r="H530"/>
  <c r="H820"/>
  <c r="H797"/>
  <c r="F52" i="42"/>
  <c r="H751" i="30"/>
  <c r="H705"/>
  <c r="H553"/>
  <c r="H728"/>
  <c r="H357" i="44"/>
  <c r="F567" i="30"/>
  <c r="G357"/>
  <c r="T579"/>
  <c r="R128" i="42" s="1"/>
  <c r="K362" i="30"/>
  <c r="K364" s="1"/>
  <c r="E33" i="33" s="1"/>
  <c r="AE570" i="44"/>
  <c r="Y352"/>
  <c r="Y331" s="1"/>
  <c r="Y372" s="1"/>
  <c r="L357" i="30"/>
  <c r="L336" s="1"/>
  <c r="N358" i="44"/>
  <c r="N337" s="1"/>
  <c r="N382" s="1"/>
  <c r="O357"/>
  <c r="O336" s="1"/>
  <c r="AI565"/>
  <c r="X579"/>
  <c r="BJ128" i="42" s="1"/>
  <c r="K576" i="44"/>
  <c r="AW125" i="42" s="1"/>
  <c r="N358" i="30"/>
  <c r="N337" s="1"/>
  <c r="N382" s="1"/>
  <c r="AC348" i="44"/>
  <c r="AC327" s="1"/>
  <c r="AC379" s="1"/>
  <c r="P355" i="30"/>
  <c r="P334" s="1"/>
  <c r="P370" s="1"/>
  <c r="Q354" i="44"/>
  <c r="Q333" s="1"/>
  <c r="Q373" s="1"/>
  <c r="J563"/>
  <c r="J587" s="1"/>
  <c r="AA572" i="30"/>
  <c r="Y121" i="42" s="1"/>
  <c r="S564" i="44"/>
  <c r="BE113" i="42" s="1"/>
  <c r="T566" i="44"/>
  <c r="BF115" i="42" s="1"/>
  <c r="AB572" i="44"/>
  <c r="AC570" i="30"/>
  <c r="AA119" i="42" s="1"/>
  <c r="AA349" i="30"/>
  <c r="AA328" s="1"/>
  <c r="AA383" s="1"/>
  <c r="U575" i="44"/>
  <c r="BG124" i="42" s="1"/>
  <c r="V353" i="30"/>
  <c r="V332" s="1"/>
  <c r="V381" s="1"/>
  <c r="BB110" i="42"/>
  <c r="P585" i="44"/>
  <c r="M336"/>
  <c r="BC115" i="42"/>
  <c r="Q590" i="44"/>
  <c r="BE116" i="42"/>
  <c r="S591" i="44"/>
  <c r="T778" i="30"/>
  <c r="R242" i="42" s="1"/>
  <c r="T968" i="30"/>
  <c r="O953"/>
  <c r="O763"/>
  <c r="M227" i="42" s="1"/>
  <c r="J716" i="30"/>
  <c r="J734" s="1"/>
  <c r="J808"/>
  <c r="J541"/>
  <c r="J518"/>
  <c r="J392"/>
  <c r="J854"/>
  <c r="J831"/>
  <c r="J785"/>
  <c r="H40" i="42"/>
  <c r="J739" i="30"/>
  <c r="J757" s="1"/>
  <c r="J693"/>
  <c r="J417" a="1"/>
  <c r="J417" s="1"/>
  <c r="J413" a="1"/>
  <c r="J413" s="1"/>
  <c r="J415" a="1"/>
  <c r="J415" s="1"/>
  <c r="J416" a="1"/>
  <c r="J416" s="1"/>
  <c r="J387"/>
  <c r="J410" s="1"/>
  <c r="J414" a="1"/>
  <c r="J414" s="1"/>
  <c r="L335" i="44"/>
  <c r="L367" s="1"/>
  <c r="AB327"/>
  <c r="AB379" s="1"/>
  <c r="V332"/>
  <c r="V381" s="1"/>
  <c r="AC325" i="30"/>
  <c r="U333" i="44"/>
  <c r="U373" s="1"/>
  <c r="BG115" i="42"/>
  <c r="U590" i="44"/>
  <c r="L113" i="42"/>
  <c r="N588" i="30"/>
  <c r="X778" i="44"/>
  <c r="BJ242" i="42" s="1"/>
  <c r="X968" i="44"/>
  <c r="K965"/>
  <c r="K775"/>
  <c r="AW239" i="42" s="1"/>
  <c r="AM386" i="44"/>
  <c r="AL558"/>
  <c r="AL535"/>
  <c r="AJ535" i="30"/>
  <c r="AJ558"/>
  <c r="AK386"/>
  <c r="AC840" i="44"/>
  <c r="AC794"/>
  <c r="AC748"/>
  <c r="AC817"/>
  <c r="AC863"/>
  <c r="AD378"/>
  <c r="AC550"/>
  <c r="BO49" i="42"/>
  <c r="AC725" i="44"/>
  <c r="AC596"/>
  <c r="AC702"/>
  <c r="AC527"/>
  <c r="J418"/>
  <c r="J421" s="1"/>
  <c r="D104" i="33" s="1"/>
  <c r="J952" i="44"/>
  <c r="J762"/>
  <c r="J711"/>
  <c r="J970" s="1"/>
  <c r="AV130" i="42" s="1"/>
  <c r="AA961" i="30"/>
  <c r="AA771"/>
  <c r="Y235" i="42" s="1"/>
  <c r="Z961" i="30"/>
  <c r="W777"/>
  <c r="U241" i="42" s="1"/>
  <c r="W967" i="30"/>
  <c r="K338" i="44"/>
  <c r="J113" i="42"/>
  <c r="L588" i="30"/>
  <c r="U330"/>
  <c r="U385" s="1"/>
  <c r="W330"/>
  <c r="W385" s="1"/>
  <c r="BB224" i="42"/>
  <c r="N561" i="30"/>
  <c r="AA966" i="44"/>
  <c r="AA776"/>
  <c r="BM240" i="42" s="1"/>
  <c r="AD549" i="44"/>
  <c r="AD526"/>
  <c r="AE377"/>
  <c r="M950"/>
  <c r="M760"/>
  <c r="L953"/>
  <c r="L763"/>
  <c r="AX227" i="42" s="1"/>
  <c r="AE958" i="30"/>
  <c r="AF958" s="1"/>
  <c r="AG958" s="1"/>
  <c r="AH958" s="1"/>
  <c r="AI958" s="1"/>
  <c r="AJ958" s="1"/>
  <c r="AK958" s="1"/>
  <c r="AL958" s="1"/>
  <c r="AM958" s="1"/>
  <c r="AN958" s="1"/>
  <c r="AO958" s="1"/>
  <c r="AP958" s="1"/>
  <c r="AQ958" s="1"/>
  <c r="AR958" s="1"/>
  <c r="AS958" s="1"/>
  <c r="AT958" s="1"/>
  <c r="AU958" s="1"/>
  <c r="AV958" s="1"/>
  <c r="AW958" s="1"/>
  <c r="K224" i="42"/>
  <c r="V765" i="44"/>
  <c r="BH229" i="42" s="1"/>
  <c r="V955" i="44"/>
  <c r="AC959" i="30"/>
  <c r="AC769"/>
  <c r="AA233" i="42" s="1"/>
  <c r="AA703" i="30"/>
  <c r="AA864"/>
  <c r="AA528"/>
  <c r="AA841"/>
  <c r="AA726"/>
  <c r="Y50" i="42"/>
  <c r="AA749" i="30"/>
  <c r="AA597"/>
  <c r="AA795"/>
  <c r="AA551"/>
  <c r="AA818"/>
  <c r="AF548" i="44"/>
  <c r="AG376"/>
  <c r="AF525"/>
  <c r="AF570" s="1"/>
  <c r="K739" i="30"/>
  <c r="K757" s="1"/>
  <c r="K716"/>
  <c r="K734" s="1"/>
  <c r="K808"/>
  <c r="K854"/>
  <c r="K541"/>
  <c r="K693"/>
  <c r="K392"/>
  <c r="K831"/>
  <c r="I40" i="42"/>
  <c r="K785" i="30"/>
  <c r="K518"/>
  <c r="K563" s="1"/>
  <c r="K413" a="1"/>
  <c r="K413" s="1"/>
  <c r="K387"/>
  <c r="K410" s="1"/>
  <c r="K415" a="1"/>
  <c r="K415" s="1"/>
  <c r="K416" a="1"/>
  <c r="K416" s="1"/>
  <c r="K417" a="1"/>
  <c r="K417" s="1"/>
  <c r="K414" a="1"/>
  <c r="K414" s="1"/>
  <c r="P812"/>
  <c r="P835"/>
  <c r="N44" i="42"/>
  <c r="P789" i="30"/>
  <c r="P697"/>
  <c r="P720"/>
  <c r="P858"/>
  <c r="P522"/>
  <c r="P743"/>
  <c r="P545"/>
  <c r="P396"/>
  <c r="BC52" i="42"/>
  <c r="Q530" i="44"/>
  <c r="Q866"/>
  <c r="Q843"/>
  <c r="Q751"/>
  <c r="Q797"/>
  <c r="Q820"/>
  <c r="Q599"/>
  <c r="Q728"/>
  <c r="Q705"/>
  <c r="Q553"/>
  <c r="V788" i="30"/>
  <c r="V696"/>
  <c r="V742"/>
  <c r="V719"/>
  <c r="V811"/>
  <c r="V857"/>
  <c r="V521"/>
  <c r="T43" i="42"/>
  <c r="V395" i="30"/>
  <c r="V834"/>
  <c r="V544"/>
  <c r="L737"/>
  <c r="L714"/>
  <c r="L539"/>
  <c r="L691"/>
  <c r="L829"/>
  <c r="L783"/>
  <c r="L852"/>
  <c r="L516"/>
  <c r="L390"/>
  <c r="L806"/>
  <c r="J38" i="42"/>
  <c r="AK580" i="44"/>
  <c r="AI580" i="30"/>
  <c r="O564"/>
  <c r="AA351" i="44"/>
  <c r="J362" i="30"/>
  <c r="J364" s="1"/>
  <c r="D33" i="33" s="1"/>
  <c r="S354" i="30"/>
  <c r="I362" i="44"/>
  <c r="I364" s="1"/>
  <c r="Y349" i="30"/>
  <c r="X353" i="44"/>
  <c r="AA577"/>
  <c r="BM126" i="42" s="1"/>
  <c r="AG569" i="44"/>
  <c r="AC571"/>
  <c r="AC595" s="1"/>
  <c r="J574" i="30"/>
  <c r="M561" i="44"/>
  <c r="AG565" i="30"/>
  <c r="S357" i="44"/>
  <c r="T354"/>
  <c r="P358"/>
  <c r="X350" i="30"/>
  <c r="W351" i="44"/>
  <c r="R356" i="30"/>
  <c r="Z349" i="44"/>
  <c r="AE569" i="30"/>
  <c r="R355" i="44"/>
  <c r="Q354" i="30"/>
  <c r="M358"/>
  <c r="BA113" i="42"/>
  <c r="O588" i="44"/>
  <c r="Q115" i="42"/>
  <c r="S590" i="30"/>
  <c r="AA823" i="44"/>
  <c r="AA800"/>
  <c r="AA869"/>
  <c r="AA708"/>
  <c r="AA846"/>
  <c r="AA602"/>
  <c r="AA754"/>
  <c r="BM55" i="42"/>
  <c r="AA556" i="44"/>
  <c r="AA533"/>
  <c r="AA731"/>
  <c r="S953"/>
  <c r="S763"/>
  <c r="BE227" i="42" s="1"/>
  <c r="AJ520" i="44"/>
  <c r="AJ543"/>
  <c r="AK371"/>
  <c r="T955"/>
  <c r="T765"/>
  <c r="BF229" i="42" s="1"/>
  <c r="U967" i="30"/>
  <c r="U777"/>
  <c r="S241" i="42" s="1"/>
  <c r="S599" i="30"/>
  <c r="S553"/>
  <c r="S866"/>
  <c r="S843"/>
  <c r="Q52" i="42"/>
  <c r="S705" i="30"/>
  <c r="S751"/>
  <c r="S797"/>
  <c r="S820"/>
  <c r="S530"/>
  <c r="S575" s="1"/>
  <c r="Q124" i="42" s="1"/>
  <c r="S728" i="30"/>
  <c r="I785" i="44"/>
  <c r="I803" s="1"/>
  <c r="AU259" i="42" s="1"/>
  <c r="I541" i="44"/>
  <c r="I831"/>
  <c r="I849" s="1"/>
  <c r="AU261" i="42" s="1"/>
  <c r="I392" i="44"/>
  <c r="I434" s="1"/>
  <c r="AU73" i="42" s="1"/>
  <c r="I432" i="44"/>
  <c r="AU68" i="42" s="1"/>
  <c r="AU40"/>
  <c r="I716" i="44"/>
  <c r="I734" s="1"/>
  <c r="I739"/>
  <c r="I757" s="1"/>
  <c r="I854"/>
  <c r="I872" s="1"/>
  <c r="AU262" i="42" s="1"/>
  <c r="I518" i="44"/>
  <c r="I563" s="1"/>
  <c r="I587" s="1"/>
  <c r="I693"/>
  <c r="I808"/>
  <c r="I826" s="1"/>
  <c r="AU260" i="42" s="1"/>
  <c r="I387" i="44"/>
  <c r="I410" s="1"/>
  <c r="I417" a="1"/>
  <c r="I417" s="1"/>
  <c r="I415" a="1"/>
  <c r="I415" s="1"/>
  <c r="I416" a="1"/>
  <c r="I416" s="1"/>
  <c r="I413" a="1"/>
  <c r="I413" s="1"/>
  <c r="I414" a="1"/>
  <c r="I414" s="1"/>
  <c r="T331" i="30"/>
  <c r="T372" s="1"/>
  <c r="O335"/>
  <c r="O367" s="1"/>
  <c r="N124" i="42"/>
  <c r="Z327" i="30"/>
  <c r="X788" i="44"/>
  <c r="X696"/>
  <c r="X719"/>
  <c r="X544"/>
  <c r="X811"/>
  <c r="X742"/>
  <c r="BJ43" i="42"/>
  <c r="X857" i="44"/>
  <c r="X395"/>
  <c r="X521"/>
  <c r="X566" s="1"/>
  <c r="BJ115" i="42" s="1"/>
  <c r="X834" i="44"/>
  <c r="N950" i="30"/>
  <c r="N760"/>
  <c r="AH547" i="44"/>
  <c r="AI375"/>
  <c r="AH524"/>
  <c r="AC960"/>
  <c r="AC770"/>
  <c r="BO234" i="42" s="1"/>
  <c r="J773" i="30"/>
  <c r="H237" i="42" s="1"/>
  <c r="J963" i="30"/>
  <c r="AB961" i="44"/>
  <c r="AB771"/>
  <c r="BN235" i="42" s="1"/>
  <c r="K110"/>
  <c r="M585" i="30"/>
  <c r="AZ224" i="42"/>
  <c r="AD525" i="30"/>
  <c r="AE376"/>
  <c r="AD548"/>
  <c r="AE959" i="44"/>
  <c r="AF959" s="1"/>
  <c r="AG959" s="1"/>
  <c r="AH959" s="1"/>
  <c r="AI959" s="1"/>
  <c r="AJ959" s="1"/>
  <c r="AK959" s="1"/>
  <c r="AL959" s="1"/>
  <c r="AM959" s="1"/>
  <c r="AN959" s="1"/>
  <c r="AO959" s="1"/>
  <c r="AP959" s="1"/>
  <c r="AQ959" s="1"/>
  <c r="AR959" s="1"/>
  <c r="AS959" s="1"/>
  <c r="AT959" s="1"/>
  <c r="AU959" s="1"/>
  <c r="AV959" s="1"/>
  <c r="AW959" s="1"/>
  <c r="AH520" i="30"/>
  <c r="AI371"/>
  <c r="AH543"/>
  <c r="U774" i="44"/>
  <c r="BG238" i="42" s="1"/>
  <c r="U964" i="44"/>
  <c r="S806"/>
  <c r="BE38" i="42"/>
  <c r="S691" i="44"/>
  <c r="S737"/>
  <c r="S783"/>
  <c r="S390"/>
  <c r="S539"/>
  <c r="S829"/>
  <c r="S714"/>
  <c r="S516"/>
  <c r="S852"/>
  <c r="T728"/>
  <c r="T866"/>
  <c r="T530"/>
  <c r="T599"/>
  <c r="T820"/>
  <c r="T797"/>
  <c r="T751"/>
  <c r="T843"/>
  <c r="T553"/>
  <c r="T705"/>
  <c r="BF52" i="42"/>
  <c r="W754" i="44"/>
  <c r="W533"/>
  <c r="BI55" i="42"/>
  <c r="W731" i="44"/>
  <c r="W556"/>
  <c r="W846"/>
  <c r="W800"/>
  <c r="W869"/>
  <c r="W602"/>
  <c r="W708"/>
  <c r="W823"/>
  <c r="R855" i="30"/>
  <c r="R740"/>
  <c r="R832"/>
  <c r="R542"/>
  <c r="P41" i="42"/>
  <c r="R809" i="30"/>
  <c r="R694"/>
  <c r="R519"/>
  <c r="R717"/>
  <c r="R786"/>
  <c r="R393"/>
  <c r="Y801" i="44"/>
  <c r="BK56" i="42"/>
  <c r="Y847" i="44"/>
  <c r="Y534"/>
  <c r="Y870"/>
  <c r="Y557"/>
  <c r="Y709"/>
  <c r="Y824"/>
  <c r="Y755"/>
  <c r="Y732"/>
  <c r="Y603"/>
  <c r="Z528"/>
  <c r="Z795"/>
  <c r="Z749"/>
  <c r="Z597"/>
  <c r="Z551"/>
  <c r="Z703"/>
  <c r="BL50" i="42"/>
  <c r="Z841" i="44"/>
  <c r="Z726"/>
  <c r="Z864"/>
  <c r="Z818"/>
  <c r="AF547" i="30"/>
  <c r="AF524"/>
  <c r="AG375"/>
  <c r="BD44" i="42"/>
  <c r="R812" i="44"/>
  <c r="R545"/>
  <c r="R789"/>
  <c r="R522"/>
  <c r="R835"/>
  <c r="R743"/>
  <c r="R697"/>
  <c r="R396"/>
  <c r="R858"/>
  <c r="R720"/>
  <c r="Q797" i="30"/>
  <c r="Q820"/>
  <c r="Q530"/>
  <c r="Q728"/>
  <c r="Q705"/>
  <c r="Q751"/>
  <c r="Q553"/>
  <c r="Q866"/>
  <c r="Q843"/>
  <c r="O52" i="42"/>
  <c r="Q599" i="30"/>
  <c r="O852" i="44"/>
  <c r="O783"/>
  <c r="O806"/>
  <c r="O829"/>
  <c r="O390"/>
  <c r="BA38" i="42"/>
  <c r="O516" i="44"/>
  <c r="O539"/>
  <c r="O691"/>
  <c r="O737"/>
  <c r="O714"/>
  <c r="W578" i="30"/>
  <c r="U127" i="42" s="1"/>
  <c r="AB348" i="30"/>
  <c r="AB725" l="1"/>
  <c r="R564"/>
  <c r="P113" i="42" s="1"/>
  <c r="V54"/>
  <c r="AH569" i="44"/>
  <c r="Y864" i="30"/>
  <c r="X707"/>
  <c r="X966" s="1"/>
  <c r="Z771"/>
  <c r="X235" i="42" s="1"/>
  <c r="X822" i="30"/>
  <c r="Y818"/>
  <c r="Y703"/>
  <c r="Y962" s="1"/>
  <c r="Y795"/>
  <c r="W50" i="42"/>
  <c r="AB794" i="30"/>
  <c r="X601"/>
  <c r="X532"/>
  <c r="X753"/>
  <c r="X799"/>
  <c r="X555"/>
  <c r="X845"/>
  <c r="X868"/>
  <c r="Z572"/>
  <c r="X121" i="42" s="1"/>
  <c r="AB550" i="30"/>
  <c r="AB702"/>
  <c r="AB771" s="1"/>
  <c r="Z235" i="42" s="1"/>
  <c r="AB840" i="30"/>
  <c r="BN121" i="42"/>
  <c r="AB596" i="44"/>
  <c r="Y597" i="30"/>
  <c r="Y528"/>
  <c r="Y551"/>
  <c r="Y841"/>
  <c r="Y749"/>
  <c r="AB817"/>
  <c r="AB596"/>
  <c r="AB527"/>
  <c r="AB572" s="1"/>
  <c r="Z121" i="42" s="1"/>
  <c r="AB863" i="30"/>
  <c r="Z49" i="42"/>
  <c r="AC377" i="30"/>
  <c r="AC724" s="1"/>
  <c r="Z379"/>
  <c r="Z703" s="1"/>
  <c r="C92" i="33"/>
  <c r="AX113" i="42"/>
  <c r="E924" i="44"/>
  <c r="AQ291" i="42" s="1"/>
  <c r="AQ225"/>
  <c r="K374" i="44"/>
  <c r="K368"/>
  <c r="BE570" i="30"/>
  <c r="J581" i="44"/>
  <c r="D110" i="33" s="1"/>
  <c r="AQ111" i="42"/>
  <c r="E586" i="44"/>
  <c r="G591" i="30"/>
  <c r="J422" i="44"/>
  <c r="D105" i="33" s="1"/>
  <c r="T590" i="44"/>
  <c r="J423"/>
  <c r="D106" i="33" s="1"/>
  <c r="E413" i="30" a="1"/>
  <c r="E414" a="1"/>
  <c r="E417" a="1"/>
  <c r="E416" a="1"/>
  <c r="E415" a="1"/>
  <c r="X590" i="44"/>
  <c r="K803" i="30"/>
  <c r="I259" i="42" s="1"/>
  <c r="K925" i="30"/>
  <c r="I292" i="42" s="1"/>
  <c r="K849" i="30"/>
  <c r="I261" i="42" s="1"/>
  <c r="K927" i="30"/>
  <c r="I294" i="42" s="1"/>
  <c r="K872" i="30"/>
  <c r="I262" i="42" s="1"/>
  <c r="K928" i="30"/>
  <c r="I295" i="42" s="1"/>
  <c r="J849" i="30"/>
  <c r="H261" i="42" s="1"/>
  <c r="J927" i="30"/>
  <c r="H294" i="42" s="1"/>
  <c r="K826" i="30"/>
  <c r="I260" i="42" s="1"/>
  <c r="K926" i="30"/>
  <c r="I293" i="42" s="1"/>
  <c r="J803" i="30"/>
  <c r="H259" i="42" s="1"/>
  <c r="J925" i="30"/>
  <c r="H292" i="42" s="1"/>
  <c r="J872" i="30"/>
  <c r="H262" i="42" s="1"/>
  <c r="J928" i="30"/>
  <c r="H295" i="42" s="1"/>
  <c r="J826" i="30"/>
  <c r="H260" i="42" s="1"/>
  <c r="J926" i="30"/>
  <c r="H293" i="42" s="1"/>
  <c r="S588" i="44"/>
  <c r="J424"/>
  <c r="D107" i="33" s="1"/>
  <c r="AV112" i="42"/>
  <c r="J425" i="44"/>
  <c r="D108" i="33" s="1"/>
  <c r="E574" i="44"/>
  <c r="AQ123" i="42" s="1"/>
  <c r="D116"/>
  <c r="F591" i="30"/>
  <c r="H964"/>
  <c r="H774"/>
  <c r="F238" i="42" s="1"/>
  <c r="AS224"/>
  <c r="F950" i="30"/>
  <c r="F760"/>
  <c r="F681"/>
  <c r="BY179" i="42" s="1"/>
  <c r="E938" i="44"/>
  <c r="BX298" i="42" s="1"/>
  <c r="AQ231"/>
  <c r="H333" i="30"/>
  <c r="H373" s="1"/>
  <c r="E340" i="44"/>
  <c r="E369" s="1"/>
  <c r="F336" i="30"/>
  <c r="D956"/>
  <c r="D766"/>
  <c r="B230" i="42" s="1"/>
  <c r="G950" i="30"/>
  <c r="G760"/>
  <c r="G681"/>
  <c r="BZ179" i="42" s="1"/>
  <c r="G680" i="30"/>
  <c r="BZ178" i="42" s="1"/>
  <c r="G561" i="30"/>
  <c r="H950" i="44"/>
  <c r="H682" s="1"/>
  <c r="CA189" i="42" s="1"/>
  <c r="H760" i="44"/>
  <c r="H680"/>
  <c r="CA187" i="42" s="1"/>
  <c r="H561" i="44"/>
  <c r="D358" i="30"/>
  <c r="E362"/>
  <c r="E364" s="1"/>
  <c r="D357" i="44"/>
  <c r="F358"/>
  <c r="G358"/>
  <c r="D567" i="30"/>
  <c r="G336"/>
  <c r="H336" i="44"/>
  <c r="G585"/>
  <c r="AS110" i="42"/>
  <c r="E963" i="44"/>
  <c r="E773"/>
  <c r="AQ237" i="42" s="1"/>
  <c r="F680" i="30"/>
  <c r="BY178" i="42" s="1"/>
  <c r="F561" i="30"/>
  <c r="E831"/>
  <c r="E518"/>
  <c r="E392"/>
  <c r="E808"/>
  <c r="E854"/>
  <c r="E785"/>
  <c r="E693"/>
  <c r="E716"/>
  <c r="E734" s="1"/>
  <c r="E541"/>
  <c r="C40" i="42"/>
  <c r="E739" i="30"/>
  <c r="E757" s="1"/>
  <c r="E413"/>
  <c r="E387"/>
  <c r="E410" s="1"/>
  <c r="E416"/>
  <c r="E415"/>
  <c r="E414"/>
  <c r="E417"/>
  <c r="D545" i="44"/>
  <c r="D812"/>
  <c r="D789"/>
  <c r="D396"/>
  <c r="D522"/>
  <c r="D567" s="1"/>
  <c r="AP116" i="42" s="1"/>
  <c r="D835" i="44"/>
  <c r="D697"/>
  <c r="AP44" i="42"/>
  <c r="D720" i="44"/>
  <c r="D858"/>
  <c r="D743"/>
  <c r="H588"/>
  <c r="AT113" i="42"/>
  <c r="D950" i="44"/>
  <c r="D682" s="1"/>
  <c r="BW189" i="42" s="1"/>
  <c r="D760" i="44"/>
  <c r="D680"/>
  <c r="BW187" i="42" s="1"/>
  <c r="D561" i="44"/>
  <c r="F950"/>
  <c r="F682" s="1"/>
  <c r="BY189" i="42" s="1"/>
  <c r="F760" i="44"/>
  <c r="F680"/>
  <c r="BY187" i="42" s="1"/>
  <c r="F561" i="44"/>
  <c r="H575" i="30"/>
  <c r="F124" i="42" s="1"/>
  <c r="R567" i="44"/>
  <c r="BD116" i="42" s="1"/>
  <c r="AF569" i="30"/>
  <c r="BA959" i="44"/>
  <c r="BC959" s="1"/>
  <c r="AA578"/>
  <c r="BM127" i="42" s="1"/>
  <c r="BA958" i="30"/>
  <c r="BC958" s="1"/>
  <c r="W352"/>
  <c r="W331" s="1"/>
  <c r="W372" s="1"/>
  <c r="U352"/>
  <c r="U331" s="1"/>
  <c r="U372" s="1"/>
  <c r="AC572" i="44"/>
  <c r="BO121" i="42" s="1"/>
  <c r="AJ580" i="30"/>
  <c r="L357" i="44"/>
  <c r="L336" s="1"/>
  <c r="V354" i="30"/>
  <c r="AJ565" i="44"/>
  <c r="Q575"/>
  <c r="BC124" i="42" s="1"/>
  <c r="AD571" i="44"/>
  <c r="J563" i="30"/>
  <c r="J587" s="1"/>
  <c r="N359"/>
  <c r="N338" s="1"/>
  <c r="N374" s="1"/>
  <c r="V333"/>
  <c r="V373" s="1"/>
  <c r="Q964"/>
  <c r="Q774"/>
  <c r="O238" i="42" s="1"/>
  <c r="P855" i="30"/>
  <c r="P832"/>
  <c r="P717"/>
  <c r="N41" i="42"/>
  <c r="P694" i="30"/>
  <c r="P519"/>
  <c r="P740"/>
  <c r="P786"/>
  <c r="P542"/>
  <c r="P809"/>
  <c r="P393"/>
  <c r="S760" i="44"/>
  <c r="S950"/>
  <c r="M38" i="42"/>
  <c r="O691" i="30"/>
  <c r="O539"/>
  <c r="O852"/>
  <c r="O516"/>
  <c r="O390"/>
  <c r="O829"/>
  <c r="O806"/>
  <c r="O714"/>
  <c r="O737"/>
  <c r="O783"/>
  <c r="T834"/>
  <c r="R43" i="42"/>
  <c r="T788" i="30"/>
  <c r="T742"/>
  <c r="T719"/>
  <c r="T857"/>
  <c r="T811"/>
  <c r="T521"/>
  <c r="T696"/>
  <c r="T544"/>
  <c r="T395"/>
  <c r="I952" i="44"/>
  <c r="I762"/>
  <c r="I711"/>
  <c r="I970" s="1"/>
  <c r="S964" i="30"/>
  <c r="S774"/>
  <c r="Q238" i="42" s="1"/>
  <c r="AL371" i="44"/>
  <c r="AK543"/>
  <c r="AK520"/>
  <c r="AC597"/>
  <c r="AC749"/>
  <c r="AC703"/>
  <c r="AC528"/>
  <c r="AC551"/>
  <c r="AC841"/>
  <c r="AC726"/>
  <c r="AC795"/>
  <c r="AC818"/>
  <c r="BO50" i="42"/>
  <c r="AC864" i="44"/>
  <c r="AD379"/>
  <c r="AA967"/>
  <c r="AA777"/>
  <c r="BM241" i="42" s="1"/>
  <c r="M337" i="30"/>
  <c r="R334" i="44"/>
  <c r="R370" s="1"/>
  <c r="Z328"/>
  <c r="Z383" s="1"/>
  <c r="W330"/>
  <c r="W385" s="1"/>
  <c r="P337"/>
  <c r="S336"/>
  <c r="AY110" i="42"/>
  <c r="M585" i="44"/>
  <c r="H123" i="42"/>
  <c r="AA330" i="44"/>
  <c r="AA385" s="1"/>
  <c r="L561" i="30"/>
  <c r="Q964" i="44"/>
  <c r="Q774"/>
  <c r="BC238" i="42" s="1"/>
  <c r="Y521" i="44"/>
  <c r="Y742"/>
  <c r="Y696"/>
  <c r="Y811"/>
  <c r="Y719"/>
  <c r="Y395"/>
  <c r="Y857"/>
  <c r="BK43" i="42"/>
  <c r="Y788" i="44"/>
  <c r="Y544"/>
  <c r="Y834"/>
  <c r="K418" i="30"/>
  <c r="K421" s="1"/>
  <c r="E45" i="33" s="1"/>
  <c r="I112" i="42"/>
  <c r="K581" i="30"/>
  <c r="AV226" i="42"/>
  <c r="J780" i="44"/>
  <c r="D109" i="33" s="1"/>
  <c r="AD550" i="44"/>
  <c r="AD527"/>
  <c r="AE378"/>
  <c r="AL386" i="30"/>
  <c r="AK535"/>
  <c r="AK558"/>
  <c r="U697" i="44"/>
  <c r="U858"/>
  <c r="U720"/>
  <c r="U812"/>
  <c r="BG44" i="42"/>
  <c r="U522" i="44"/>
  <c r="U743"/>
  <c r="U835"/>
  <c r="U545"/>
  <c r="U789"/>
  <c r="U396"/>
  <c r="V843"/>
  <c r="V553"/>
  <c r="V599"/>
  <c r="V866"/>
  <c r="V797"/>
  <c r="V728"/>
  <c r="V820"/>
  <c r="V751"/>
  <c r="V530"/>
  <c r="BH52" i="42"/>
  <c r="V705" i="44"/>
  <c r="AB703"/>
  <c r="AB528"/>
  <c r="BN50" i="42"/>
  <c r="AB841" i="44"/>
  <c r="AB864"/>
  <c r="AB597"/>
  <c r="AB818"/>
  <c r="AB749"/>
  <c r="AB795"/>
  <c r="AB551"/>
  <c r="AB726"/>
  <c r="L783"/>
  <c r="L691"/>
  <c r="L852"/>
  <c r="L829"/>
  <c r="L539"/>
  <c r="L714"/>
  <c r="AX38" i="42"/>
  <c r="L737" i="44"/>
  <c r="L806"/>
  <c r="L516"/>
  <c r="L390"/>
  <c r="L53" i="42"/>
  <c r="N706" i="30"/>
  <c r="N554"/>
  <c r="N752"/>
  <c r="N798"/>
  <c r="N531"/>
  <c r="N844"/>
  <c r="N600"/>
  <c r="N821"/>
  <c r="N867"/>
  <c r="N729"/>
  <c r="Q575"/>
  <c r="O124" i="42" s="1"/>
  <c r="Z573" i="44"/>
  <c r="BL122" i="42" s="1"/>
  <c r="T575" i="44"/>
  <c r="BF124" i="42" s="1"/>
  <c r="AD570" i="30"/>
  <c r="V566"/>
  <c r="P567"/>
  <c r="M358" i="44"/>
  <c r="AB327" i="30"/>
  <c r="N600" i="44"/>
  <c r="N531"/>
  <c r="N844"/>
  <c r="N706"/>
  <c r="N798"/>
  <c r="N821"/>
  <c r="N729"/>
  <c r="N867"/>
  <c r="N554"/>
  <c r="AZ53" i="42"/>
  <c r="N752" i="44"/>
  <c r="Q835"/>
  <c r="Q697"/>
  <c r="Q812"/>
  <c r="Q858"/>
  <c r="Q522"/>
  <c r="Q743"/>
  <c r="BC44" i="42"/>
  <c r="Q789" i="44"/>
  <c r="Q720"/>
  <c r="Q396"/>
  <c r="Q545"/>
  <c r="AA822" i="30"/>
  <c r="AA799"/>
  <c r="AA868"/>
  <c r="AA707"/>
  <c r="AA845"/>
  <c r="Y54" i="42"/>
  <c r="AA753" i="30"/>
  <c r="AA601"/>
  <c r="AA555"/>
  <c r="AA532"/>
  <c r="AA730"/>
  <c r="AJ371"/>
  <c r="AI520"/>
  <c r="AI543"/>
  <c r="AD960" i="44"/>
  <c r="BE960"/>
  <c r="AJ375"/>
  <c r="AI547"/>
  <c r="AI524"/>
  <c r="O950"/>
  <c r="O760"/>
  <c r="V705" i="30"/>
  <c r="T52" i="42"/>
  <c r="V728" i="30"/>
  <c r="V751"/>
  <c r="V797"/>
  <c r="V599"/>
  <c r="V553"/>
  <c r="V866"/>
  <c r="V530"/>
  <c r="V843"/>
  <c r="V820"/>
  <c r="R956" i="44"/>
  <c r="R766"/>
  <c r="BD230" i="42" s="1"/>
  <c r="AG524" i="30"/>
  <c r="AH375"/>
  <c r="AG547"/>
  <c r="Z962" i="44"/>
  <c r="Z772"/>
  <c r="BL236" i="42" s="1"/>
  <c r="Y968" i="44"/>
  <c r="Y778"/>
  <c r="BK242" i="42" s="1"/>
  <c r="R953" i="30"/>
  <c r="R763"/>
  <c r="P227" i="42" s="1"/>
  <c r="W967" i="44"/>
  <c r="W777"/>
  <c r="BI241" i="42" s="1"/>
  <c r="T964" i="44"/>
  <c r="T774"/>
  <c r="BF238" i="42" s="1"/>
  <c r="AE525" i="30"/>
  <c r="AF376"/>
  <c r="AE548"/>
  <c r="L224" i="42"/>
  <c r="X955" i="44"/>
  <c r="X765"/>
  <c r="BJ229" i="42" s="1"/>
  <c r="I418" i="44"/>
  <c r="I422" s="1"/>
  <c r="C105" i="33" s="1"/>
  <c r="AU112" i="42"/>
  <c r="I581" i="44"/>
  <c r="Q333" i="30"/>
  <c r="Q373" s="1"/>
  <c r="R335"/>
  <c r="R367" s="1"/>
  <c r="X329"/>
  <c r="X384" s="1"/>
  <c r="T333" i="44"/>
  <c r="T373" s="1"/>
  <c r="BO120" i="42"/>
  <c r="BE571" i="44"/>
  <c r="X332"/>
  <c r="X381" s="1"/>
  <c r="Y328" i="30"/>
  <c r="S333"/>
  <c r="S373" s="1"/>
  <c r="M113" i="42"/>
  <c r="O588" i="30"/>
  <c r="L760"/>
  <c r="L950"/>
  <c r="V765"/>
  <c r="T229" i="42" s="1"/>
  <c r="V955" i="30"/>
  <c r="P956"/>
  <c r="P766"/>
  <c r="N230" i="42" s="1"/>
  <c r="K762" i="30"/>
  <c r="K924" s="1"/>
  <c r="I291" i="42" s="1"/>
  <c r="K952" i="30"/>
  <c r="K711"/>
  <c r="K970" s="1"/>
  <c r="I130" i="42" s="1"/>
  <c r="AG525" i="44"/>
  <c r="AH376"/>
  <c r="AG548"/>
  <c r="AA962" i="30"/>
  <c r="AA772"/>
  <c r="Y236" i="42" s="1"/>
  <c r="AD959" i="30"/>
  <c r="BE959"/>
  <c r="AY224" i="42"/>
  <c r="AF377" i="44"/>
  <c r="AE549"/>
  <c r="AE526"/>
  <c r="L110" i="42"/>
  <c r="N585" i="30"/>
  <c r="U56" i="42"/>
  <c r="W709" i="30"/>
  <c r="W603"/>
  <c r="W732"/>
  <c r="W755"/>
  <c r="W801"/>
  <c r="W847"/>
  <c r="W824"/>
  <c r="W557"/>
  <c r="W870"/>
  <c r="W534"/>
  <c r="U801"/>
  <c r="U732"/>
  <c r="S56" i="42"/>
  <c r="U534" i="30"/>
  <c r="U709"/>
  <c r="U755"/>
  <c r="U557"/>
  <c r="U847"/>
  <c r="U870"/>
  <c r="U603"/>
  <c r="U824"/>
  <c r="AC961" i="44"/>
  <c r="AC771"/>
  <c r="BO235" i="42" s="1"/>
  <c r="AM558" i="44"/>
  <c r="AM535"/>
  <c r="AN386"/>
  <c r="J418" i="30"/>
  <c r="J425" s="1"/>
  <c r="D49" i="33" s="1"/>
  <c r="J952" i="30"/>
  <c r="J762"/>
  <c r="J924" s="1"/>
  <c r="H291" i="42" s="1"/>
  <c r="J711" i="30"/>
  <c r="J970" s="1"/>
  <c r="Y579" i="44"/>
  <c r="BK128" i="42" s="1"/>
  <c r="R588" i="30"/>
  <c r="L358"/>
  <c r="O561" i="44"/>
  <c r="N359"/>
  <c r="Q355"/>
  <c r="P356" i="30"/>
  <c r="W578" i="44"/>
  <c r="BI127" i="42" s="1"/>
  <c r="S561" i="44"/>
  <c r="AA350" i="30"/>
  <c r="AH565"/>
  <c r="Z349"/>
  <c r="O357"/>
  <c r="T353"/>
  <c r="AC349" i="44"/>
  <c r="O358"/>
  <c r="Y353"/>
  <c r="K587" i="30"/>
  <c r="AA573"/>
  <c r="Y122" i="42" s="1"/>
  <c r="K360" i="44"/>
  <c r="AL580"/>
  <c r="U355"/>
  <c r="AC347" i="30"/>
  <c r="V354" i="44"/>
  <c r="AB349"/>
  <c r="D95" i="33" l="1"/>
  <c r="BN70"/>
  <c r="C95"/>
  <c r="BM70"/>
  <c r="AB961" i="30"/>
  <c r="Z528"/>
  <c r="K813" i="44"/>
  <c r="K940" s="1"/>
  <c r="CD300" i="42" s="1"/>
  <c r="K441" i="44"/>
  <c r="CE69" i="42" s="1"/>
  <c r="N432" i="30"/>
  <c r="L68" i="42" s="1"/>
  <c r="N441" i="30"/>
  <c r="CH68" i="42" s="1"/>
  <c r="V575" i="30"/>
  <c r="T124" i="42" s="1"/>
  <c r="Z864" i="30"/>
  <c r="X776"/>
  <c r="V240" i="42" s="1"/>
  <c r="Z818" i="30"/>
  <c r="Y772"/>
  <c r="W236" i="42" s="1"/>
  <c r="X577" i="30"/>
  <c r="V126" i="42" s="1"/>
  <c r="AC526" i="30"/>
  <c r="J582" i="44"/>
  <c r="J606" s="1"/>
  <c r="AV133" i="42" s="1"/>
  <c r="Z551" i="30"/>
  <c r="Z841"/>
  <c r="AC549"/>
  <c r="AC571" s="1"/>
  <c r="Z749"/>
  <c r="Z726"/>
  <c r="X50" i="42"/>
  <c r="Z597" i="30"/>
  <c r="Z795"/>
  <c r="AC747"/>
  <c r="AC595"/>
  <c r="AC862"/>
  <c r="AC701"/>
  <c r="AC960" s="1"/>
  <c r="AA48" i="42"/>
  <c r="AC816" i="30"/>
  <c r="AC793"/>
  <c r="AC839"/>
  <c r="AD377"/>
  <c r="AE377" s="1"/>
  <c r="Y573"/>
  <c r="W122" i="42" s="1"/>
  <c r="Y383" i="30"/>
  <c r="Y868" s="1"/>
  <c r="AB379"/>
  <c r="Z50" i="42" s="1"/>
  <c r="K698" i="44"/>
  <c r="K957" s="1"/>
  <c r="K682" s="1"/>
  <c r="CD189" i="42" s="1"/>
  <c r="BE572" i="44"/>
  <c r="K744"/>
  <c r="K397"/>
  <c r="K442" s="1"/>
  <c r="CE74" i="42" s="1"/>
  <c r="K523" i="44"/>
  <c r="K836"/>
  <c r="K941" s="1"/>
  <c r="CD301" i="42" s="1"/>
  <c r="AW45"/>
  <c r="K859" i="44"/>
  <c r="K942" s="1"/>
  <c r="CD302" i="42" s="1"/>
  <c r="K790" i="44"/>
  <c r="K939" s="1"/>
  <c r="CD299" i="42" s="1"/>
  <c r="K721" i="44"/>
  <c r="K546"/>
  <c r="K681" s="1"/>
  <c r="CD188" i="42" s="1"/>
  <c r="N368" i="30"/>
  <c r="L39" i="42" s="1"/>
  <c r="K433" i="44"/>
  <c r="AW69" i="42" s="1"/>
  <c r="K715" i="44"/>
  <c r="K738"/>
  <c r="K517"/>
  <c r="K692"/>
  <c r="K784"/>
  <c r="K925" s="1"/>
  <c r="AW292" i="42" s="1"/>
  <c r="K830" i="44"/>
  <c r="K927" s="1"/>
  <c r="AW294" i="42" s="1"/>
  <c r="K807" i="44"/>
  <c r="K926" s="1"/>
  <c r="AW293" i="42" s="1"/>
  <c r="K540" i="44"/>
  <c r="K668" s="1"/>
  <c r="AW188" i="42" s="1"/>
  <c r="K853" i="44"/>
  <c r="K928" s="1"/>
  <c r="AW295" i="42" s="1"/>
  <c r="K391" i="44"/>
  <c r="K435" s="1"/>
  <c r="AW74" i="42" s="1"/>
  <c r="AW39"/>
  <c r="H112"/>
  <c r="J605" i="44"/>
  <c r="D111" i="33" s="1"/>
  <c r="R591" i="44"/>
  <c r="I423"/>
  <c r="C106" i="33" s="1"/>
  <c r="P382" i="44"/>
  <c r="BB53" i="42" s="1"/>
  <c r="M382" i="30"/>
  <c r="M798" s="1"/>
  <c r="D96" i="33"/>
  <c r="D114"/>
  <c r="W579" i="30"/>
  <c r="U128" i="42" s="1"/>
  <c r="E414" i="44" a="1"/>
  <c r="E416" a="1"/>
  <c r="E417" a="1"/>
  <c r="E415" a="1"/>
  <c r="E413" a="1"/>
  <c r="E872" i="30"/>
  <c r="C262" i="42" s="1"/>
  <c r="E928" i="30"/>
  <c r="C295" i="42" s="1"/>
  <c r="E849" i="30"/>
  <c r="C261" i="42" s="1"/>
  <c r="E927" i="30"/>
  <c r="C294" i="42" s="1"/>
  <c r="E803" i="30"/>
  <c r="C259" i="42" s="1"/>
  <c r="E925" i="30"/>
  <c r="C292" i="42" s="1"/>
  <c r="E826" i="30"/>
  <c r="C260" i="42" s="1"/>
  <c r="E926" i="30"/>
  <c r="C293" i="42" s="1"/>
  <c r="M359" i="30"/>
  <c r="M338" s="1"/>
  <c r="M374" s="1"/>
  <c r="J422"/>
  <c r="D46" i="33" s="1"/>
  <c r="E563" i="30"/>
  <c r="E587" s="1"/>
  <c r="G358"/>
  <c r="G337" s="1"/>
  <c r="G382" s="1"/>
  <c r="AR110" i="42"/>
  <c r="F585" i="44"/>
  <c r="D956"/>
  <c r="D766"/>
  <c r="AP230" i="42" s="1"/>
  <c r="E418" i="30"/>
  <c r="E421" s="1"/>
  <c r="F585"/>
  <c r="D110" i="42"/>
  <c r="D591" i="30"/>
  <c r="B116" i="42"/>
  <c r="F337" i="44"/>
  <c r="AT110" i="42"/>
  <c r="H585" i="44"/>
  <c r="E224" i="42"/>
  <c r="G682" i="30"/>
  <c r="BZ180" i="42" s="1"/>
  <c r="E432" i="44"/>
  <c r="AQ68" i="42" s="1"/>
  <c r="E541" i="44"/>
  <c r="E739"/>
  <c r="E757" s="1"/>
  <c r="E518"/>
  <c r="E563" s="1"/>
  <c r="E587" s="1"/>
  <c r="AQ40" i="42"/>
  <c r="E808" i="44"/>
  <c r="E826" s="1"/>
  <c r="AQ260" i="42" s="1"/>
  <c r="E716" i="44"/>
  <c r="E734" s="1"/>
  <c r="E831"/>
  <c r="E849" s="1"/>
  <c r="AQ261" i="42" s="1"/>
  <c r="E854" i="44"/>
  <c r="E872" s="1"/>
  <c r="AQ262" i="42" s="1"/>
  <c r="E785" i="44"/>
  <c r="E803" s="1"/>
  <c r="AQ259" i="42" s="1"/>
  <c r="E392" i="44"/>
  <c r="E434" s="1"/>
  <c r="AQ73" i="42" s="1"/>
  <c r="E693" i="44"/>
  <c r="E415"/>
  <c r="E414"/>
  <c r="E416"/>
  <c r="E387"/>
  <c r="E410" s="1"/>
  <c r="E413"/>
  <c r="E417"/>
  <c r="H545" i="30"/>
  <c r="H743"/>
  <c r="H835"/>
  <c r="H522"/>
  <c r="H697"/>
  <c r="H720"/>
  <c r="H789"/>
  <c r="H396"/>
  <c r="H812"/>
  <c r="F44" i="42"/>
  <c r="H858" i="30"/>
  <c r="D224" i="42"/>
  <c r="E422" i="30"/>
  <c r="AR224" i="42"/>
  <c r="AP110"/>
  <c r="D585" i="44"/>
  <c r="AP224" i="42"/>
  <c r="E952" i="30"/>
  <c r="E762"/>
  <c r="E924" s="1"/>
  <c r="C291" i="42" s="1"/>
  <c r="E711" i="30"/>
  <c r="E970" s="1"/>
  <c r="C130" i="42" s="1"/>
  <c r="G337" i="44"/>
  <c r="D336"/>
  <c r="D337" i="30"/>
  <c r="AT224" i="42"/>
  <c r="E110"/>
  <c r="G585" i="30"/>
  <c r="F682"/>
  <c r="BY180" i="42" s="1"/>
  <c r="D591" i="44"/>
  <c r="E423" i="30"/>
  <c r="H358" i="44"/>
  <c r="F358" i="30"/>
  <c r="E362" i="44"/>
  <c r="E364" s="1"/>
  <c r="H355" i="30"/>
  <c r="K422"/>
  <c r="E46" i="33" s="1"/>
  <c r="K424" i="30"/>
  <c r="E48" i="33" s="1"/>
  <c r="J581" i="30"/>
  <c r="J582" s="1"/>
  <c r="J606" s="1"/>
  <c r="H133" i="42" s="1"/>
  <c r="K423" i="30"/>
  <c r="E47" i="33" s="1"/>
  <c r="J424" i="30"/>
  <c r="D48" i="33" s="1"/>
  <c r="K568" i="44"/>
  <c r="K592" s="1"/>
  <c r="K680"/>
  <c r="CD187" i="42" s="1"/>
  <c r="J421" i="30"/>
  <c r="D45" i="33" s="1"/>
  <c r="AE571" i="44"/>
  <c r="S355" i="30"/>
  <c r="S334" s="1"/>
  <c r="S370" s="1"/>
  <c r="K425"/>
  <c r="E49" i="33" s="1"/>
  <c r="X354" i="44"/>
  <c r="X333" s="1"/>
  <c r="X373" s="1"/>
  <c r="AI569"/>
  <c r="N576"/>
  <c r="AZ125" i="42" s="1"/>
  <c r="AB349" i="30"/>
  <c r="AB328" s="1"/>
  <c r="AB383" s="1"/>
  <c r="V575" i="44"/>
  <c r="BH124" i="42" s="1"/>
  <c r="U353" i="30"/>
  <c r="U332" s="1"/>
  <c r="U381" s="1"/>
  <c r="N360"/>
  <c r="N339" s="1"/>
  <c r="N380" s="1"/>
  <c r="U579"/>
  <c r="S128" i="42" s="1"/>
  <c r="AA577" i="30"/>
  <c r="Y126" i="42" s="1"/>
  <c r="L561" i="44"/>
  <c r="L585" s="1"/>
  <c r="AK580" i="30"/>
  <c r="AA352" i="44"/>
  <c r="AA331" s="1"/>
  <c r="AA372" s="1"/>
  <c r="S358"/>
  <c r="S337" s="1"/>
  <c r="S382" s="1"/>
  <c r="V355" i="30"/>
  <c r="V334" s="1"/>
  <c r="V370" s="1"/>
  <c r="AB328" i="44"/>
  <c r="AB383" s="1"/>
  <c r="AC326" i="30"/>
  <c r="Q334" i="44"/>
  <c r="Q370" s="1"/>
  <c r="BA110" i="42"/>
  <c r="O585" i="44"/>
  <c r="L337" i="30"/>
  <c r="H226" i="42"/>
  <c r="J780" i="30"/>
  <c r="D50" i="33" s="1"/>
  <c r="D55" s="1"/>
  <c r="AO386" i="44"/>
  <c r="AN558"/>
  <c r="AN535"/>
  <c r="AD961"/>
  <c r="BE961"/>
  <c r="AF549"/>
  <c r="AF526"/>
  <c r="AG377"/>
  <c r="Y799" i="30"/>
  <c r="T835" i="44"/>
  <c r="T743"/>
  <c r="BF44" i="42"/>
  <c r="T812" i="44"/>
  <c r="T522"/>
  <c r="T720"/>
  <c r="T396"/>
  <c r="T789"/>
  <c r="T858"/>
  <c r="T697"/>
  <c r="T545"/>
  <c r="X823" i="30"/>
  <c r="X556"/>
  <c r="X869"/>
  <c r="X533"/>
  <c r="X846"/>
  <c r="V55" i="42"/>
  <c r="X708" i="30"/>
  <c r="X602"/>
  <c r="X731"/>
  <c r="X754"/>
  <c r="X800"/>
  <c r="R806"/>
  <c r="R714"/>
  <c r="R852"/>
  <c r="R691"/>
  <c r="R783"/>
  <c r="R390"/>
  <c r="R737"/>
  <c r="R829"/>
  <c r="P38" i="42"/>
  <c r="R516" i="30"/>
  <c r="R539"/>
  <c r="O44" i="42"/>
  <c r="Q545" i="30"/>
  <c r="Q720"/>
  <c r="Q858"/>
  <c r="Q812"/>
  <c r="Q697"/>
  <c r="Q835"/>
  <c r="Q789"/>
  <c r="Q522"/>
  <c r="Q743"/>
  <c r="Q396"/>
  <c r="I582" i="44"/>
  <c r="I606" s="1"/>
  <c r="AU133" i="42" s="1"/>
  <c r="C110" i="33"/>
  <c r="I605" i="44"/>
  <c r="AF548" i="30"/>
  <c r="AF525"/>
  <c r="AG376"/>
  <c r="BA224" i="42"/>
  <c r="AK375" i="44"/>
  <c r="AJ547"/>
  <c r="AJ524"/>
  <c r="AE960"/>
  <c r="AF960" s="1"/>
  <c r="AG960" s="1"/>
  <c r="AH960" s="1"/>
  <c r="AI960" s="1"/>
  <c r="AJ960" s="1"/>
  <c r="AK960" s="1"/>
  <c r="AL960" s="1"/>
  <c r="AM960" s="1"/>
  <c r="AN960" s="1"/>
  <c r="AO960" s="1"/>
  <c r="AP960" s="1"/>
  <c r="AQ960" s="1"/>
  <c r="AR960" s="1"/>
  <c r="AS960" s="1"/>
  <c r="AT960" s="1"/>
  <c r="AU960" s="1"/>
  <c r="AV960" s="1"/>
  <c r="AW960" s="1"/>
  <c r="AJ520" i="30"/>
  <c r="AK371"/>
  <c r="AJ543"/>
  <c r="AA776"/>
  <c r="Y240" i="42" s="1"/>
  <c r="AA966" i="30"/>
  <c r="N775" i="44"/>
  <c r="AZ239" i="42" s="1"/>
  <c r="N965" i="44"/>
  <c r="M337"/>
  <c r="N116" i="42"/>
  <c r="P591" i="30"/>
  <c r="T115" i="42"/>
  <c r="V590" i="30"/>
  <c r="V774" i="44"/>
  <c r="BH238" i="42" s="1"/>
  <c r="V964" i="44"/>
  <c r="U956"/>
  <c r="U766"/>
  <c r="BG230" i="42" s="1"/>
  <c r="AE550" i="44"/>
  <c r="AE527"/>
  <c r="AF378"/>
  <c r="W742" i="30"/>
  <c r="W811"/>
  <c r="W696"/>
  <c r="W719"/>
  <c r="W788"/>
  <c r="W544"/>
  <c r="W834"/>
  <c r="W521"/>
  <c r="W566" s="1"/>
  <c r="U115" i="42" s="1"/>
  <c r="W857" i="30"/>
  <c r="U43" i="42"/>
  <c r="W395" i="30"/>
  <c r="K582"/>
  <c r="K606" s="1"/>
  <c r="I133" i="42" s="1"/>
  <c r="K605" i="30"/>
  <c r="E51" i="33"/>
  <c r="W824" i="44"/>
  <c r="W847"/>
  <c r="W801"/>
  <c r="W755"/>
  <c r="W534"/>
  <c r="BI56" i="42"/>
  <c r="W709" i="44"/>
  <c r="W870"/>
  <c r="W603"/>
  <c r="W732"/>
  <c r="W557"/>
  <c r="Z822"/>
  <c r="Z730"/>
  <c r="Z868"/>
  <c r="Z753"/>
  <c r="Z532"/>
  <c r="Z799"/>
  <c r="Z601"/>
  <c r="Z707"/>
  <c r="BL54" i="42"/>
  <c r="Z845" i="44"/>
  <c r="Z555"/>
  <c r="R809"/>
  <c r="R519"/>
  <c r="BD41" i="42"/>
  <c r="R832" i="44"/>
  <c r="R393"/>
  <c r="R694"/>
  <c r="R855"/>
  <c r="R786"/>
  <c r="R717"/>
  <c r="R542"/>
  <c r="R740"/>
  <c r="AC772"/>
  <c r="BO236" i="42" s="1"/>
  <c r="AC962" i="44"/>
  <c r="AU130" i="42"/>
  <c r="T955" i="30"/>
  <c r="T765"/>
  <c r="R229" i="42" s="1"/>
  <c r="O561" i="30"/>
  <c r="BE224" i="42"/>
  <c r="P953" i="30"/>
  <c r="P763"/>
  <c r="N227" i="42" s="1"/>
  <c r="V743" i="30"/>
  <c r="T44" i="42"/>
  <c r="V812" i="30"/>
  <c r="V789"/>
  <c r="V545"/>
  <c r="V835"/>
  <c r="V720"/>
  <c r="V858"/>
  <c r="V697"/>
  <c r="V522"/>
  <c r="V396"/>
  <c r="AG570" i="44"/>
  <c r="AG569" i="30"/>
  <c r="Q567" i="44"/>
  <c r="J423" i="30"/>
  <c r="D47" i="33" s="1"/>
  <c r="I424" i="44"/>
  <c r="C107" i="33" s="1"/>
  <c r="AB573" i="44"/>
  <c r="BN122" i="42" s="1"/>
  <c r="O336" i="30"/>
  <c r="AA329"/>
  <c r="AA384" s="1"/>
  <c r="V333" i="44"/>
  <c r="V373" s="1"/>
  <c r="U334"/>
  <c r="U370" s="1"/>
  <c r="K339"/>
  <c r="K380" s="1"/>
  <c r="Y332"/>
  <c r="Y381" s="1"/>
  <c r="O337"/>
  <c r="AC328"/>
  <c r="AC383" s="1"/>
  <c r="T332" i="30"/>
  <c r="T381" s="1"/>
  <c r="Z328"/>
  <c r="BE110" i="42"/>
  <c r="S585" i="44"/>
  <c r="P335" i="30"/>
  <c r="P367" s="1"/>
  <c r="N338" i="44"/>
  <c r="N523" i="30"/>
  <c r="N790"/>
  <c r="N836"/>
  <c r="L45" i="42"/>
  <c r="N397" i="30"/>
  <c r="N744"/>
  <c r="N546"/>
  <c r="N698"/>
  <c r="N859"/>
  <c r="N721"/>
  <c r="N813"/>
  <c r="H130" i="42"/>
  <c r="U968" i="30"/>
  <c r="U778"/>
  <c r="S242" i="42" s="1"/>
  <c r="W968" i="30"/>
  <c r="W778"/>
  <c r="U242" i="42" s="1"/>
  <c r="AE959" i="30"/>
  <c r="AF959" s="1"/>
  <c r="AG959" s="1"/>
  <c r="AH959" s="1"/>
  <c r="AI959" s="1"/>
  <c r="AJ959" s="1"/>
  <c r="AK959" s="1"/>
  <c r="AL959" s="1"/>
  <c r="AM959" s="1"/>
  <c r="AN959" s="1"/>
  <c r="AO959" s="1"/>
  <c r="AP959" s="1"/>
  <c r="AQ959" s="1"/>
  <c r="AR959" s="1"/>
  <c r="AS959" s="1"/>
  <c r="AT959" s="1"/>
  <c r="AU959" s="1"/>
  <c r="AV959" s="1"/>
  <c r="AW959" s="1"/>
  <c r="AH525" i="44"/>
  <c r="AI376"/>
  <c r="AH548"/>
  <c r="I226" i="42"/>
  <c r="K780" i="30"/>
  <c r="E50" i="33" s="1"/>
  <c r="E55" s="1"/>
  <c r="J224" i="42"/>
  <c r="S522" i="30"/>
  <c r="Q44" i="42"/>
  <c r="S697" i="30"/>
  <c r="S835"/>
  <c r="S858"/>
  <c r="S743"/>
  <c r="S545"/>
  <c r="S720"/>
  <c r="S812"/>
  <c r="S789"/>
  <c r="S396"/>
  <c r="X797" i="44"/>
  <c r="X820"/>
  <c r="X751"/>
  <c r="X728"/>
  <c r="X705"/>
  <c r="X530"/>
  <c r="X553"/>
  <c r="BJ52" i="42"/>
  <c r="X843" i="44"/>
  <c r="X599"/>
  <c r="X866"/>
  <c r="AH524" i="30"/>
  <c r="AH547"/>
  <c r="AI375"/>
  <c r="V964"/>
  <c r="V774"/>
  <c r="T238" i="42" s="1"/>
  <c r="Q956" i="44"/>
  <c r="Q766"/>
  <c r="BC230" i="42" s="1"/>
  <c r="N965" i="30"/>
  <c r="N775"/>
  <c r="L239" i="42" s="1"/>
  <c r="L950" i="44"/>
  <c r="L760"/>
  <c r="AB962"/>
  <c r="AB772"/>
  <c r="BN236" i="42" s="1"/>
  <c r="AL558" i="30"/>
  <c r="AL535"/>
  <c r="AM386"/>
  <c r="U544"/>
  <c r="U696"/>
  <c r="S43" i="42"/>
  <c r="U719" i="30"/>
  <c r="U834"/>
  <c r="U521"/>
  <c r="U811"/>
  <c r="U788"/>
  <c r="U395"/>
  <c r="U742"/>
  <c r="U857"/>
  <c r="Y955" i="44"/>
  <c r="Y765"/>
  <c r="BK229" i="42" s="1"/>
  <c r="J110"/>
  <c r="L585" i="30"/>
  <c r="AA603" i="44"/>
  <c r="AA732"/>
  <c r="AA870"/>
  <c r="AA557"/>
  <c r="AA534"/>
  <c r="AA709"/>
  <c r="AA824"/>
  <c r="BM56" i="42"/>
  <c r="AA801" i="44"/>
  <c r="AA755"/>
  <c r="AA847"/>
  <c r="AE379"/>
  <c r="AD551"/>
  <c r="AD528"/>
  <c r="AL520"/>
  <c r="AL543"/>
  <c r="AM371"/>
  <c r="AU226" i="42"/>
  <c r="I780" i="44"/>
  <c r="C109" i="33" s="1"/>
  <c r="C114" s="1"/>
  <c r="O950" i="30"/>
  <c r="O760"/>
  <c r="Z962"/>
  <c r="L358" i="44"/>
  <c r="AM580"/>
  <c r="Y350" i="30"/>
  <c r="T355" i="44"/>
  <c r="X351" i="30"/>
  <c r="R357"/>
  <c r="Q355"/>
  <c r="I421" i="44"/>
  <c r="C104" i="33" s="1"/>
  <c r="AE570" i="30"/>
  <c r="AI565"/>
  <c r="I425" i="44"/>
  <c r="C108" i="33" s="1"/>
  <c r="N576" i="30"/>
  <c r="L125" i="42" s="1"/>
  <c r="U567" i="44"/>
  <c r="AD572"/>
  <c r="W353" i="30"/>
  <c r="Y566" i="44"/>
  <c r="P359"/>
  <c r="W352"/>
  <c r="Z350"/>
  <c r="R356"/>
  <c r="AC573"/>
  <c r="AK565"/>
  <c r="T566" i="30"/>
  <c r="P564"/>
  <c r="BN129" i="33" l="1"/>
  <c r="AB864" i="30"/>
  <c r="Z573"/>
  <c r="X122" i="42" s="1"/>
  <c r="M432" i="30"/>
  <c r="K68" i="42" s="1"/>
  <c r="M441" i="30"/>
  <c r="CG68" i="42" s="1"/>
  <c r="N434" i="30"/>
  <c r="L73" i="42" s="1"/>
  <c r="N442" i="30"/>
  <c r="CH73" i="42" s="1"/>
  <c r="Y532" i="30"/>
  <c r="AB597"/>
  <c r="BE571"/>
  <c r="AA120" i="42"/>
  <c r="AC770" i="30"/>
  <c r="AA234" i="42" s="1"/>
  <c r="AD549" i="30"/>
  <c r="W54" i="42"/>
  <c r="Z772" i="30"/>
  <c r="X236" i="42" s="1"/>
  <c r="AB818" i="30"/>
  <c r="AB528"/>
  <c r="AB726"/>
  <c r="Y753"/>
  <c r="Y601"/>
  <c r="Y707"/>
  <c r="Y966" s="1"/>
  <c r="AD526"/>
  <c r="Y730"/>
  <c r="Y776" s="1"/>
  <c r="W240" i="42" s="1"/>
  <c r="Y555" i="30"/>
  <c r="Y577" s="1"/>
  <c r="W126" i="42" s="1"/>
  <c r="Y822" i="30"/>
  <c r="Y845"/>
  <c r="AB703"/>
  <c r="AB962" s="1"/>
  <c r="AB551"/>
  <c r="AB841"/>
  <c r="AB749"/>
  <c r="AB795"/>
  <c r="Z383"/>
  <c r="Z730" s="1"/>
  <c r="AC378"/>
  <c r="AC840" s="1"/>
  <c r="K767" i="44"/>
  <c r="AW231" i="42" s="1"/>
  <c r="X578" i="30"/>
  <c r="V127" i="42" s="1"/>
  <c r="N807" i="30"/>
  <c r="AV132" i="42"/>
  <c r="N830" i="30"/>
  <c r="N540"/>
  <c r="N663" s="1"/>
  <c r="L179" i="42" s="1"/>
  <c r="K53"/>
  <c r="N715" i="30"/>
  <c r="N391"/>
  <c r="N435" s="1"/>
  <c r="L74" i="42" s="1"/>
  <c r="N692" i="30"/>
  <c r="N951" s="1"/>
  <c r="N664" s="1"/>
  <c r="L180" i="42" s="1"/>
  <c r="M368" i="30"/>
  <c r="M738" s="1"/>
  <c r="N374" i="44"/>
  <c r="N368"/>
  <c r="K562"/>
  <c r="K667"/>
  <c r="AW187" i="42" s="1"/>
  <c r="K761" i="44"/>
  <c r="K951"/>
  <c r="K669" s="1"/>
  <c r="AW189" i="42" s="1"/>
  <c r="N853" i="30"/>
  <c r="N433"/>
  <c r="L69" i="42" s="1"/>
  <c r="N784" i="30"/>
  <c r="N738"/>
  <c r="N517"/>
  <c r="N562" s="1"/>
  <c r="P554" i="44"/>
  <c r="M729" i="30"/>
  <c r="P844" i="44"/>
  <c r="P600"/>
  <c r="M821" i="30"/>
  <c r="M531"/>
  <c r="M867"/>
  <c r="P798" i="44"/>
  <c r="P706"/>
  <c r="P965" s="1"/>
  <c r="P867"/>
  <c r="W590" i="30"/>
  <c r="M844"/>
  <c r="M706"/>
  <c r="M965" s="1"/>
  <c r="M554"/>
  <c r="M600"/>
  <c r="M752"/>
  <c r="P531" i="44"/>
  <c r="P576" s="1"/>
  <c r="BB125" i="42" s="1"/>
  <c r="P752" i="44"/>
  <c r="P729"/>
  <c r="P821"/>
  <c r="E425" i="30"/>
  <c r="E424"/>
  <c r="N681"/>
  <c r="CG179" i="42" s="1"/>
  <c r="N668" i="30"/>
  <c r="L188" i="42" s="1"/>
  <c r="N680" i="30"/>
  <c r="CG178" i="42" s="1"/>
  <c r="N667" i="30"/>
  <c r="L187" i="42" s="1"/>
  <c r="D382" i="30"/>
  <c r="D368"/>
  <c r="G382" i="44"/>
  <c r="AS53" i="42" s="1"/>
  <c r="N662" i="30"/>
  <c r="L178" i="42" s="1"/>
  <c r="O382" i="44"/>
  <c r="BA53" i="42" s="1"/>
  <c r="M382" i="44"/>
  <c r="M844" s="1"/>
  <c r="L382" i="30"/>
  <c r="L729" s="1"/>
  <c r="F382" i="44"/>
  <c r="AR53" i="42" s="1"/>
  <c r="M540" i="30"/>
  <c r="M663" s="1"/>
  <c r="K179" i="42" s="1"/>
  <c r="D94" i="33"/>
  <c r="C96"/>
  <c r="AX110" i="42"/>
  <c r="D51" i="33"/>
  <c r="E35"/>
  <c r="D35"/>
  <c r="AW117" i="42"/>
  <c r="C112"/>
  <c r="J605" i="30"/>
  <c r="D52" i="33" s="1"/>
  <c r="E581" i="30"/>
  <c r="E605" s="1"/>
  <c r="C132" i="42" s="1"/>
  <c r="H567" i="30"/>
  <c r="D358" i="44"/>
  <c r="F359"/>
  <c r="F338" s="1"/>
  <c r="F374" s="1"/>
  <c r="F441" s="1"/>
  <c r="BZ69" i="42" s="1"/>
  <c r="H337" i="44"/>
  <c r="D600" i="30"/>
  <c r="D752"/>
  <c r="D867"/>
  <c r="D706"/>
  <c r="D729"/>
  <c r="D798"/>
  <c r="D531"/>
  <c r="D844"/>
  <c r="B53" i="42"/>
  <c r="D554" i="30"/>
  <c r="D821"/>
  <c r="D337" i="44"/>
  <c r="D382" s="1"/>
  <c r="G706"/>
  <c r="G867"/>
  <c r="G844"/>
  <c r="G821"/>
  <c r="G554"/>
  <c r="G798"/>
  <c r="C226" i="42"/>
  <c r="E780" i="30"/>
  <c r="G752"/>
  <c r="G554"/>
  <c r="G867"/>
  <c r="G821"/>
  <c r="G706"/>
  <c r="E53" i="42"/>
  <c r="G729" i="30"/>
  <c r="G844"/>
  <c r="G531"/>
  <c r="G798"/>
  <c r="H334"/>
  <c r="H370" s="1"/>
  <c r="F337"/>
  <c r="H956"/>
  <c r="H766"/>
  <c r="F230" i="42" s="1"/>
  <c r="E418" i="44"/>
  <c r="E422" s="1"/>
  <c r="E952"/>
  <c r="E762"/>
  <c r="E711"/>
  <c r="E970" s="1"/>
  <c r="AQ130" i="42" s="1"/>
  <c r="AQ112"/>
  <c r="E581" i="44"/>
  <c r="F752"/>
  <c r="F600"/>
  <c r="F554"/>
  <c r="F729"/>
  <c r="F844"/>
  <c r="D359" i="30"/>
  <c r="G359" i="44"/>
  <c r="G359" i="30"/>
  <c r="L359"/>
  <c r="L338" s="1"/>
  <c r="L374" s="1"/>
  <c r="S359" i="44"/>
  <c r="S338" s="1"/>
  <c r="S374" s="1"/>
  <c r="S441" s="1"/>
  <c r="CM69" i="42" s="1"/>
  <c r="AL565" i="44"/>
  <c r="U566" i="30"/>
  <c r="S115" i="42" s="1"/>
  <c r="O359" i="44"/>
  <c r="O338" s="1"/>
  <c r="O374" s="1"/>
  <c r="O441" s="1"/>
  <c r="CI69" i="42" s="1"/>
  <c r="AA351" i="30"/>
  <c r="AA330" s="1"/>
  <c r="AA385" s="1"/>
  <c r="O358"/>
  <c r="O337" s="1"/>
  <c r="O382" s="1"/>
  <c r="BA960" i="44"/>
  <c r="BC960" s="1"/>
  <c r="AJ569"/>
  <c r="X575"/>
  <c r="BJ124" i="42" s="1"/>
  <c r="N360" i="44"/>
  <c r="N339" s="1"/>
  <c r="N380" s="1"/>
  <c r="P357" i="30"/>
  <c r="P336" s="1"/>
  <c r="Y354" i="44"/>
  <c r="Y333" s="1"/>
  <c r="Y373" s="1"/>
  <c r="U356"/>
  <c r="U335" s="1"/>
  <c r="U367" s="1"/>
  <c r="M360" i="30"/>
  <c r="M339" s="1"/>
  <c r="M380" s="1"/>
  <c r="U354"/>
  <c r="U333" s="1"/>
  <c r="U373" s="1"/>
  <c r="Q567"/>
  <c r="X355" i="44"/>
  <c r="X334" s="1"/>
  <c r="X370" s="1"/>
  <c r="AF571"/>
  <c r="AN580"/>
  <c r="R115" i="42"/>
  <c r="T590" i="30"/>
  <c r="BO122" i="42"/>
  <c r="BE573" i="44"/>
  <c r="Z329"/>
  <c r="Z384" s="1"/>
  <c r="P338"/>
  <c r="W332" i="30"/>
  <c r="W381" s="1"/>
  <c r="BG116" i="42"/>
  <c r="U591" i="44"/>
  <c r="Q334" i="30"/>
  <c r="Q370" s="1"/>
  <c r="X330"/>
  <c r="X385" s="1"/>
  <c r="Y329"/>
  <c r="Y384" s="1"/>
  <c r="L337" i="44"/>
  <c r="V717" i="30"/>
  <c r="T41" i="42"/>
  <c r="V694" i="30"/>
  <c r="V519"/>
  <c r="V740"/>
  <c r="V786"/>
  <c r="V542"/>
  <c r="V809"/>
  <c r="V855"/>
  <c r="V832"/>
  <c r="V393"/>
  <c r="AN371" i="44"/>
  <c r="AM543"/>
  <c r="AM520"/>
  <c r="AA968"/>
  <c r="AA778"/>
  <c r="BM242" i="42" s="1"/>
  <c r="U765" i="30"/>
  <c r="S229" i="42" s="1"/>
  <c r="U955" i="30"/>
  <c r="AM535"/>
  <c r="AN386"/>
  <c r="AM558"/>
  <c r="AI548" i="44"/>
  <c r="AI525"/>
  <c r="AJ376"/>
  <c r="N957" i="30"/>
  <c r="N767"/>
  <c r="N931"/>
  <c r="L299" i="42" s="1"/>
  <c r="N939" i="30"/>
  <c r="CG292" i="42" s="1"/>
  <c r="R52"/>
  <c r="T797" i="30"/>
  <c r="T751"/>
  <c r="T843"/>
  <c r="T553"/>
  <c r="T705"/>
  <c r="T728"/>
  <c r="T866"/>
  <c r="T530"/>
  <c r="T575" s="1"/>
  <c r="R124" i="42" s="1"/>
  <c r="T599" i="30"/>
  <c r="T820"/>
  <c r="AD383" i="44"/>
  <c r="AC730"/>
  <c r="AC532"/>
  <c r="AC868"/>
  <c r="AC753"/>
  <c r="AC707"/>
  <c r="AC555"/>
  <c r="AC845"/>
  <c r="AC799"/>
  <c r="AC822"/>
  <c r="BO54" i="42"/>
  <c r="AC601" i="44"/>
  <c r="K704"/>
  <c r="K865"/>
  <c r="K727"/>
  <c r="K842"/>
  <c r="K750"/>
  <c r="AW51" i="42"/>
  <c r="K529" i="44"/>
  <c r="K796"/>
  <c r="K598"/>
  <c r="K819"/>
  <c r="K552"/>
  <c r="U542"/>
  <c r="U832"/>
  <c r="U694"/>
  <c r="U786"/>
  <c r="U519"/>
  <c r="U393"/>
  <c r="U740"/>
  <c r="U855"/>
  <c r="U809"/>
  <c r="BG41" i="42"/>
  <c r="U717" i="44"/>
  <c r="AA800" i="30"/>
  <c r="AA823"/>
  <c r="AA754"/>
  <c r="AA731"/>
  <c r="AA708"/>
  <c r="AA533"/>
  <c r="AA556"/>
  <c r="Y55" i="42"/>
  <c r="AA846" i="30"/>
  <c r="AA602"/>
  <c r="AA869"/>
  <c r="BC116" i="42"/>
  <c r="Q591" i="44"/>
  <c r="M110" i="42"/>
  <c r="O585" i="30"/>
  <c r="M836"/>
  <c r="K45" i="42"/>
  <c r="M813" i="30"/>
  <c r="M744"/>
  <c r="M546"/>
  <c r="M698"/>
  <c r="M859"/>
  <c r="M721"/>
  <c r="M397"/>
  <c r="M523"/>
  <c r="M790"/>
  <c r="Z966" i="44"/>
  <c r="Z776"/>
  <c r="BL240" i="42" s="1"/>
  <c r="W968" i="44"/>
  <c r="W778"/>
  <c r="BI242" i="42" s="1"/>
  <c r="S867" i="44"/>
  <c r="S729"/>
  <c r="S554"/>
  <c r="S844"/>
  <c r="S600"/>
  <c r="S531"/>
  <c r="S752"/>
  <c r="S798"/>
  <c r="S706"/>
  <c r="S821"/>
  <c r="BE53" i="42"/>
  <c r="W955" i="30"/>
  <c r="W765"/>
  <c r="U229" i="42" s="1"/>
  <c r="U553" i="30"/>
  <c r="U866"/>
  <c r="U530"/>
  <c r="U575" s="1"/>
  <c r="S124" i="42" s="1"/>
  <c r="U843" i="30"/>
  <c r="U820"/>
  <c r="U599"/>
  <c r="U728"/>
  <c r="U751"/>
  <c r="U797"/>
  <c r="S52" i="42"/>
  <c r="U705" i="30"/>
  <c r="Q956"/>
  <c r="Q766"/>
  <c r="O230" i="42" s="1"/>
  <c r="R561" i="30"/>
  <c r="R950"/>
  <c r="R760"/>
  <c r="X967"/>
  <c r="X777"/>
  <c r="V241" i="42" s="1"/>
  <c r="T956" i="44"/>
  <c r="T766"/>
  <c r="BF230" i="42" s="1"/>
  <c r="BJ44"/>
  <c r="X545" i="44"/>
  <c r="X720"/>
  <c r="X522"/>
  <c r="X789"/>
  <c r="X858"/>
  <c r="X396"/>
  <c r="X835"/>
  <c r="X812"/>
  <c r="X697"/>
  <c r="X743"/>
  <c r="V355"/>
  <c r="V567" i="30"/>
  <c r="W579" i="44"/>
  <c r="BI128" i="42" s="1"/>
  <c r="AA353" i="44"/>
  <c r="AE572"/>
  <c r="M359"/>
  <c r="AB350" i="30"/>
  <c r="AJ565"/>
  <c r="AF570"/>
  <c r="T567" i="44"/>
  <c r="S356" i="30"/>
  <c r="N361"/>
  <c r="Q356" i="44"/>
  <c r="AC348" i="30"/>
  <c r="AB350" i="44"/>
  <c r="N113" i="42"/>
  <c r="P588" i="30"/>
  <c r="R335" i="44"/>
  <c r="R367" s="1"/>
  <c r="W331"/>
  <c r="W372" s="1"/>
  <c r="BK115" i="42"/>
  <c r="Y590" i="44"/>
  <c r="R336" i="30"/>
  <c r="T334" i="44"/>
  <c r="T370" s="1"/>
  <c r="M224" i="42"/>
  <c r="AE551" i="44"/>
  <c r="AE528"/>
  <c r="AF379"/>
  <c r="AE549" i="30"/>
  <c r="AE526"/>
  <c r="AF377"/>
  <c r="AX224" i="42"/>
  <c r="AI547" i="30"/>
  <c r="AI524"/>
  <c r="AJ375"/>
  <c r="X774" i="44"/>
  <c r="BJ238" i="42" s="1"/>
  <c r="X964" i="44"/>
  <c r="S766" i="30"/>
  <c r="Q230" i="42" s="1"/>
  <c r="S956" i="30"/>
  <c r="N932"/>
  <c r="L300" i="42" s="1"/>
  <c r="N940" i="30"/>
  <c r="CG293" i="42" s="1"/>
  <c r="N934" i="30"/>
  <c r="L302" i="42" s="1"/>
  <c r="N942" i="30"/>
  <c r="CG295" i="42" s="1"/>
  <c r="N941" i="30"/>
  <c r="CG294" i="42" s="1"/>
  <c r="N933" i="30"/>
  <c r="L301" i="42" s="1"/>
  <c r="P539" i="30"/>
  <c r="P691"/>
  <c r="P829"/>
  <c r="P852"/>
  <c r="P516"/>
  <c r="P390"/>
  <c r="N38" i="42"/>
  <c r="P806" i="30"/>
  <c r="P783"/>
  <c r="P737"/>
  <c r="P714"/>
  <c r="Y530" i="44"/>
  <c r="Y866"/>
  <c r="Y797"/>
  <c r="BK52" i="42"/>
  <c r="Y843" i="44"/>
  <c r="Y599"/>
  <c r="Y553"/>
  <c r="Y705"/>
  <c r="Y820"/>
  <c r="Y751"/>
  <c r="Y728"/>
  <c r="V812"/>
  <c r="V743"/>
  <c r="V697"/>
  <c r="V545"/>
  <c r="V858"/>
  <c r="V396"/>
  <c r="V522"/>
  <c r="V720"/>
  <c r="BH44" i="42"/>
  <c r="V789" i="44"/>
  <c r="V835"/>
  <c r="V956" i="30"/>
  <c r="V766"/>
  <c r="T230" i="42" s="1"/>
  <c r="AD962" i="44"/>
  <c r="BE962"/>
  <c r="R953"/>
  <c r="R763"/>
  <c r="BD227" i="42" s="1"/>
  <c r="AA696" i="44"/>
  <c r="AA834"/>
  <c r="AA719"/>
  <c r="AA788"/>
  <c r="AA544"/>
  <c r="AA521"/>
  <c r="BM43" i="42"/>
  <c r="AA811" i="44"/>
  <c r="AA395"/>
  <c r="AA742"/>
  <c r="AA857"/>
  <c r="E52" i="33"/>
  <c r="I132" i="42"/>
  <c r="AF550" i="44"/>
  <c r="AG378"/>
  <c r="AF527"/>
  <c r="AD960" i="30"/>
  <c r="BE960"/>
  <c r="AB532"/>
  <c r="AB601"/>
  <c r="AB822"/>
  <c r="AB730"/>
  <c r="AB868"/>
  <c r="AB845"/>
  <c r="AB555"/>
  <c r="AB707"/>
  <c r="Z54" i="42"/>
  <c r="AB799" i="30"/>
  <c r="AB753"/>
  <c r="AL371"/>
  <c r="AK543"/>
  <c r="AK520"/>
  <c r="AK547" i="44"/>
  <c r="AK524"/>
  <c r="AL375"/>
  <c r="AH376" i="30"/>
  <c r="AG548"/>
  <c r="AG525"/>
  <c r="C111" i="33"/>
  <c r="BM129" s="1"/>
  <c r="BM137" s="1"/>
  <c r="AU132" i="42"/>
  <c r="S855" i="30"/>
  <c r="S832"/>
  <c r="S717"/>
  <c r="Q41" i="42"/>
  <c r="S694" i="30"/>
  <c r="S519"/>
  <c r="S740"/>
  <c r="S786"/>
  <c r="S542"/>
  <c r="S809"/>
  <c r="S393"/>
  <c r="AH377" i="44"/>
  <c r="AG549"/>
  <c r="AG526"/>
  <c r="AE961"/>
  <c r="AF961" s="1"/>
  <c r="AG961" s="1"/>
  <c r="AH961" s="1"/>
  <c r="AI961" s="1"/>
  <c r="AJ961" s="1"/>
  <c r="AK961" s="1"/>
  <c r="AL961" s="1"/>
  <c r="AM961" s="1"/>
  <c r="AN961" s="1"/>
  <c r="AO961" s="1"/>
  <c r="AP961" s="1"/>
  <c r="AQ961" s="1"/>
  <c r="AR961" s="1"/>
  <c r="AS961" s="1"/>
  <c r="AT961" s="1"/>
  <c r="AU961" s="1"/>
  <c r="AV961" s="1"/>
  <c r="AW961" s="1"/>
  <c r="AO535"/>
  <c r="AP386"/>
  <c r="AO558"/>
  <c r="L51" i="42"/>
  <c r="N842" i="30"/>
  <c r="N865"/>
  <c r="N598"/>
  <c r="N796"/>
  <c r="N727"/>
  <c r="N704"/>
  <c r="N529"/>
  <c r="N552"/>
  <c r="N750"/>
  <c r="N819"/>
  <c r="Q740" i="44"/>
  <c r="Q542"/>
  <c r="BC41" i="42"/>
  <c r="Q786" i="44"/>
  <c r="Q832"/>
  <c r="Q717"/>
  <c r="Q809"/>
  <c r="Q855"/>
  <c r="Q519"/>
  <c r="Q694"/>
  <c r="Q393"/>
  <c r="AB730"/>
  <c r="AB845"/>
  <c r="AB822"/>
  <c r="AB601"/>
  <c r="AB555"/>
  <c r="AB753"/>
  <c r="AB868"/>
  <c r="AB707"/>
  <c r="AB799"/>
  <c r="AB532"/>
  <c r="BN54" i="42"/>
  <c r="V356" i="30"/>
  <c r="AD573" i="44"/>
  <c r="AA579"/>
  <c r="BM128" i="42" s="1"/>
  <c r="AL580" i="30"/>
  <c r="AH569"/>
  <c r="S567"/>
  <c r="AH570" i="44"/>
  <c r="BA959" i="30"/>
  <c r="BC959" s="1"/>
  <c r="N568"/>
  <c r="Z350"/>
  <c r="T354"/>
  <c r="AC350" i="44"/>
  <c r="K361"/>
  <c r="R564"/>
  <c r="Z577"/>
  <c r="BL126" i="42" s="1"/>
  <c r="E36" i="33" l="1"/>
  <c r="BO128"/>
  <c r="D36"/>
  <c r="BN128"/>
  <c r="BN137" s="1"/>
  <c r="M434" i="30"/>
  <c r="K73" i="42" s="1"/>
  <c r="M442" i="30"/>
  <c r="CG73" i="42" s="1"/>
  <c r="L432" i="30"/>
  <c r="J68" i="42" s="1"/>
  <c r="L441" i="30"/>
  <c r="CF68" i="42" s="1"/>
  <c r="AZ45"/>
  <c r="N441" i="44"/>
  <c r="CH69" i="42" s="1"/>
  <c r="Z707" i="30"/>
  <c r="Z966" s="1"/>
  <c r="Z845"/>
  <c r="Z868"/>
  <c r="AD571"/>
  <c r="X567" i="44"/>
  <c r="BJ116" i="42" s="1"/>
  <c r="AC748" i="30"/>
  <c r="AC817"/>
  <c r="AA49" i="42"/>
  <c r="AC702" i="30"/>
  <c r="AC961" s="1"/>
  <c r="AC794"/>
  <c r="AC725"/>
  <c r="AB573"/>
  <c r="Z122" i="42" s="1"/>
  <c r="Z799" i="30"/>
  <c r="Z601"/>
  <c r="AB772"/>
  <c r="Z236" i="42" s="1"/>
  <c r="AD378" i="30"/>
  <c r="AD527" s="1"/>
  <c r="AC596"/>
  <c r="AC550"/>
  <c r="AC527"/>
  <c r="AC863"/>
  <c r="N813" i="44"/>
  <c r="N940" s="1"/>
  <c r="CG300" i="42" s="1"/>
  <c r="Z555" i="30"/>
  <c r="Z753"/>
  <c r="Z776" s="1"/>
  <c r="X240" i="42" s="1"/>
  <c r="X54"/>
  <c r="Z822" i="30"/>
  <c r="Z532"/>
  <c r="Z577" s="1"/>
  <c r="X126" i="42" s="1"/>
  <c r="U564" i="44"/>
  <c r="BG113" i="42" s="1"/>
  <c r="K938" i="44"/>
  <c r="CD298" i="42" s="1"/>
  <c r="M715" i="30"/>
  <c r="M692"/>
  <c r="M951" s="1"/>
  <c r="M664" s="1"/>
  <c r="K180" i="42" s="1"/>
  <c r="M798" i="44"/>
  <c r="N546"/>
  <c r="N681" s="1"/>
  <c r="CG188" i="42" s="1"/>
  <c r="N523" i="44"/>
  <c r="N680" s="1"/>
  <c r="CG187" i="42" s="1"/>
  <c r="M853" i="30"/>
  <c r="M807"/>
  <c r="M391"/>
  <c r="M435" s="1"/>
  <c r="K74" i="42" s="1"/>
  <c r="N859" i="44"/>
  <c r="N942" s="1"/>
  <c r="CG302" i="42" s="1"/>
  <c r="N397" i="44"/>
  <c r="N442" s="1"/>
  <c r="CH74" i="42" s="1"/>
  <c r="N836" i="44"/>
  <c r="N941" s="1"/>
  <c r="CG301" i="42" s="1"/>
  <c r="N761" i="30"/>
  <c r="L225" i="42" s="1"/>
  <c r="O798" i="44"/>
  <c r="M784" i="30"/>
  <c r="M433"/>
  <c r="K69" i="42" s="1"/>
  <c r="M830" i="30"/>
  <c r="M517"/>
  <c r="M562" s="1"/>
  <c r="K39" i="42"/>
  <c r="P374" i="44"/>
  <c r="P368"/>
  <c r="K924"/>
  <c r="AW291" i="42" s="1"/>
  <c r="AW225"/>
  <c r="AW111"/>
  <c r="K586" i="44"/>
  <c r="N433"/>
  <c r="AZ69" i="42" s="1"/>
  <c r="N830" i="44"/>
  <c r="N927" s="1"/>
  <c r="AZ294" i="42" s="1"/>
  <c r="N807" i="44"/>
  <c r="N926" s="1"/>
  <c r="AZ293" i="42" s="1"/>
  <c r="N391" i="44"/>
  <c r="N435" s="1"/>
  <c r="AZ74" i="42" s="1"/>
  <c r="N715" i="44"/>
  <c r="N738"/>
  <c r="N853"/>
  <c r="N928" s="1"/>
  <c r="AZ295" i="42" s="1"/>
  <c r="AZ39"/>
  <c r="N784" i="44"/>
  <c r="N925" s="1"/>
  <c r="AZ292" i="42" s="1"/>
  <c r="N692" i="44"/>
  <c r="N517"/>
  <c r="N540"/>
  <c r="N668" s="1"/>
  <c r="AZ188" i="42" s="1"/>
  <c r="M729" i="44"/>
  <c r="N744"/>
  <c r="N721"/>
  <c r="N698"/>
  <c r="N957" s="1"/>
  <c r="N682" s="1"/>
  <c r="CG189" i="42" s="1"/>
  <c r="N790" i="44"/>
  <c r="N939" s="1"/>
  <c r="CG299" i="42" s="1"/>
  <c r="J53"/>
  <c r="F706" i="44"/>
  <c r="F531"/>
  <c r="F821"/>
  <c r="F867"/>
  <c r="F798"/>
  <c r="F368"/>
  <c r="L368" i="30"/>
  <c r="L715" s="1"/>
  <c r="O368" i="44"/>
  <c r="O433" s="1"/>
  <c r="BA69" i="42" s="1"/>
  <c r="S368" i="44"/>
  <c r="S433" s="1"/>
  <c r="BE69" i="42" s="1"/>
  <c r="O706" i="44"/>
  <c r="O965" s="1"/>
  <c r="M706"/>
  <c r="M965" s="1"/>
  <c r="L844" i="30"/>
  <c r="L821"/>
  <c r="O752" i="44"/>
  <c r="G576" i="30"/>
  <c r="E125" i="42" s="1"/>
  <c r="M576" i="30"/>
  <c r="K125" i="42" s="1"/>
  <c r="M752" i="44"/>
  <c r="AY53" i="42"/>
  <c r="M600" i="44"/>
  <c r="L867" i="30"/>
  <c r="L706"/>
  <c r="L965" s="1"/>
  <c r="O844" i="44"/>
  <c r="O867"/>
  <c r="O821"/>
  <c r="E582" i="30"/>
  <c r="E606" s="1"/>
  <c r="C133" i="42" s="1"/>
  <c r="P775" i="44"/>
  <c r="BB239" i="42" s="1"/>
  <c r="M867" i="44"/>
  <c r="M554"/>
  <c r="M531"/>
  <c r="M821"/>
  <c r="L600" i="30"/>
  <c r="L752"/>
  <c r="L531"/>
  <c r="L798"/>
  <c r="L554"/>
  <c r="O554" i="44"/>
  <c r="O729"/>
  <c r="O531"/>
  <c r="O576" s="1"/>
  <c r="BA125" i="42" s="1"/>
  <c r="O600" i="44"/>
  <c r="M775" i="30"/>
  <c r="K239" i="42" s="1"/>
  <c r="G729" i="44"/>
  <c r="G531"/>
  <c r="G576" s="1"/>
  <c r="AS125" i="42" s="1"/>
  <c r="G752" i="44"/>
  <c r="M680" i="30"/>
  <c r="CF178" i="42" s="1"/>
  <c r="M667" i="30"/>
  <c r="K187" i="42" s="1"/>
  <c r="N682" i="30"/>
  <c r="CG180" i="42" s="1"/>
  <c r="N669" i="30"/>
  <c r="L189" i="42" s="1"/>
  <c r="M681" i="30"/>
  <c r="CF179" i="42" s="1"/>
  <c r="M668" i="30"/>
  <c r="K188" i="42" s="1"/>
  <c r="L382" i="44"/>
  <c r="L821" s="1"/>
  <c r="F433"/>
  <c r="AR69" i="42" s="1"/>
  <c r="F715" i="44"/>
  <c r="F391"/>
  <c r="F435" s="1"/>
  <c r="AR74" i="42" s="1"/>
  <c r="F784" i="44"/>
  <c r="F925" s="1"/>
  <c r="AR292" i="42" s="1"/>
  <c r="F807" i="44"/>
  <c r="F926" s="1"/>
  <c r="AR293" i="42" s="1"/>
  <c r="F830" i="44"/>
  <c r="F927" s="1"/>
  <c r="AR294" i="42" s="1"/>
  <c r="F517" i="44"/>
  <c r="F738"/>
  <c r="AR39" i="42"/>
  <c r="F853" i="44"/>
  <c r="F928" s="1"/>
  <c r="AR295" i="42" s="1"/>
  <c r="F540" i="44"/>
  <c r="F668" s="1"/>
  <c r="AR188" i="42" s="1"/>
  <c r="F692" i="44"/>
  <c r="L111" i="42"/>
  <c r="N586" i="30"/>
  <c r="D368" i="44"/>
  <c r="F382" i="30"/>
  <c r="F600" s="1"/>
  <c r="H382" i="44"/>
  <c r="D517" i="30"/>
  <c r="D692"/>
  <c r="D540"/>
  <c r="D663" s="1"/>
  <c r="B179" i="42" s="1"/>
  <c r="D830" i="30"/>
  <c r="D807"/>
  <c r="D853"/>
  <c r="D391"/>
  <c r="D435" s="1"/>
  <c r="B74" i="42" s="1"/>
  <c r="D784" i="30"/>
  <c r="D715"/>
  <c r="D433"/>
  <c r="B69" i="42" s="1"/>
  <c r="B39"/>
  <c r="D738" i="30"/>
  <c r="C94" i="33"/>
  <c r="AF572" i="44"/>
  <c r="H132" i="42"/>
  <c r="U590" i="30"/>
  <c r="F116" i="42"/>
  <c r="H591" i="30"/>
  <c r="E423" i="44"/>
  <c r="F576"/>
  <c r="AR125" i="42" s="1"/>
  <c r="F360" i="44"/>
  <c r="F339" s="1"/>
  <c r="F380" s="1"/>
  <c r="D576" i="30"/>
  <c r="B125" i="42" s="1"/>
  <c r="G338" i="44"/>
  <c r="F965"/>
  <c r="F775"/>
  <c r="AR239" i="42" s="1"/>
  <c r="E582" i="44"/>
  <c r="E606" s="1"/>
  <c r="AQ133" i="42" s="1"/>
  <c r="E605" i="44"/>
  <c r="AQ132" i="42" s="1"/>
  <c r="H393" i="30"/>
  <c r="H832"/>
  <c r="H855"/>
  <c r="H740"/>
  <c r="H694"/>
  <c r="H717"/>
  <c r="H786"/>
  <c r="H542"/>
  <c r="F41" i="42"/>
  <c r="H809" i="30"/>
  <c r="H519"/>
  <c r="D844" i="44"/>
  <c r="D821"/>
  <c r="D867"/>
  <c r="D752"/>
  <c r="D798"/>
  <c r="AP53" i="42"/>
  <c r="D554" i="44"/>
  <c r="D729"/>
  <c r="D531"/>
  <c r="D576" s="1"/>
  <c r="AP125" i="42" s="1"/>
  <c r="D706" i="44"/>
  <c r="D600"/>
  <c r="AT53" i="42"/>
  <c r="H752" i="44"/>
  <c r="H706"/>
  <c r="H531"/>
  <c r="H729"/>
  <c r="H798"/>
  <c r="H844"/>
  <c r="H867"/>
  <c r="H821"/>
  <c r="H554"/>
  <c r="E425"/>
  <c r="G338" i="30"/>
  <c r="D338"/>
  <c r="D374" s="1"/>
  <c r="AQ226" i="42"/>
  <c r="E780" i="44"/>
  <c r="G965" i="30"/>
  <c r="G775"/>
  <c r="E239" i="42" s="1"/>
  <c r="F592" i="44"/>
  <c r="F744"/>
  <c r="F546"/>
  <c r="F523"/>
  <c r="AR45" i="42"/>
  <c r="F859" i="44"/>
  <c r="F942" s="1"/>
  <c r="BY302" i="42" s="1"/>
  <c r="F721" i="44"/>
  <c r="F813"/>
  <c r="F940" s="1"/>
  <c r="BY300" i="42" s="1"/>
  <c r="F836" i="44"/>
  <c r="F941" s="1"/>
  <c r="BY301" i="42" s="1"/>
  <c r="F698" i="44"/>
  <c r="F790"/>
  <c r="F939" s="1"/>
  <c r="BY299" i="42" s="1"/>
  <c r="G965" i="44"/>
  <c r="G775"/>
  <c r="AS239" i="42" s="1"/>
  <c r="D965" i="30"/>
  <c r="D775"/>
  <c r="B239" i="42" s="1"/>
  <c r="E424" i="44"/>
  <c r="E421"/>
  <c r="F359" i="30"/>
  <c r="H356"/>
  <c r="D359" i="44"/>
  <c r="H359"/>
  <c r="T356"/>
  <c r="T335" s="1"/>
  <c r="T367" s="1"/>
  <c r="M568" i="30"/>
  <c r="K117" i="42" s="1"/>
  <c r="N574" i="30"/>
  <c r="L123" i="42" s="1"/>
  <c r="X356" i="44"/>
  <c r="X335" s="1"/>
  <c r="X367" s="1"/>
  <c r="AG570" i="30"/>
  <c r="AK569" i="44"/>
  <c r="AK565" i="30"/>
  <c r="O359"/>
  <c r="O338" s="1"/>
  <c r="O374" s="1"/>
  <c r="U357" i="44"/>
  <c r="U336" s="1"/>
  <c r="S576"/>
  <c r="BE125" i="42" s="1"/>
  <c r="V564" i="30"/>
  <c r="S564"/>
  <c r="Q113" i="42" s="1"/>
  <c r="O116"/>
  <c r="Q591" i="30"/>
  <c r="AB577" i="44"/>
  <c r="BN126" i="42" s="1"/>
  <c r="Q564" i="44"/>
  <c r="BC113" i="42" s="1"/>
  <c r="AE571" i="30"/>
  <c r="W353" i="44"/>
  <c r="W332" s="1"/>
  <c r="W381" s="1"/>
  <c r="AA578" i="30"/>
  <c r="Y127" i="42" s="1"/>
  <c r="N361" i="44"/>
  <c r="N340" s="1"/>
  <c r="N369" s="1"/>
  <c r="Z351"/>
  <c r="Z330" s="1"/>
  <c r="Z385" s="1"/>
  <c r="BD113" i="42"/>
  <c r="R588" i="44"/>
  <c r="AC329"/>
  <c r="AC384" s="1"/>
  <c r="Z329" i="30"/>
  <c r="Z384" s="1"/>
  <c r="AB966" i="44"/>
  <c r="AB776"/>
  <c r="BN240" i="42" s="1"/>
  <c r="AL543" i="30"/>
  <c r="AL520"/>
  <c r="AM371"/>
  <c r="U743"/>
  <c r="U545"/>
  <c r="U720"/>
  <c r="U697"/>
  <c r="U789"/>
  <c r="U522"/>
  <c r="U567" s="1"/>
  <c r="S116" i="42" s="1"/>
  <c r="U812" i="30"/>
  <c r="S44" i="42"/>
  <c r="U835" i="30"/>
  <c r="U858"/>
  <c r="U396"/>
  <c r="AA955" i="44"/>
  <c r="AA765"/>
  <c r="BM229" i="42" s="1"/>
  <c r="M727" i="30"/>
  <c r="M750"/>
  <c r="K51" i="42"/>
  <c r="M796" i="30"/>
  <c r="M865"/>
  <c r="M704"/>
  <c r="M598"/>
  <c r="M842"/>
  <c r="M819"/>
  <c r="M552"/>
  <c r="M529"/>
  <c r="O813" i="44"/>
  <c r="O940" s="1"/>
  <c r="CH300" i="42" s="1"/>
  <c r="O523" i="44"/>
  <c r="O680" s="1"/>
  <c r="CH187" i="42" s="1"/>
  <c r="O546" i="44"/>
  <c r="O681" s="1"/>
  <c r="CH188" i="42" s="1"/>
  <c r="O698" i="44"/>
  <c r="O836"/>
  <c r="O941" s="1"/>
  <c r="CH301" i="42" s="1"/>
  <c r="O397" i="44"/>
  <c r="O442" s="1"/>
  <c r="CI74" i="42" s="1"/>
  <c r="BA45"/>
  <c r="O859" i="44"/>
  <c r="O942" s="1"/>
  <c r="CH302" i="42" s="1"/>
  <c r="O790" i="44"/>
  <c r="O939" s="1"/>
  <c r="CH299" i="42" s="1"/>
  <c r="O744" i="44"/>
  <c r="O721"/>
  <c r="AJ524" i="30"/>
  <c r="AJ547"/>
  <c r="AK375"/>
  <c r="V334" i="44"/>
  <c r="V370" s="1"/>
  <c r="M931" i="30"/>
  <c r="K299" i="42" s="1"/>
  <c r="M939" i="30"/>
  <c r="CF292" i="42" s="1"/>
  <c r="M942" i="30"/>
  <c r="CF295" i="42" s="1"/>
  <c r="M934" i="30"/>
  <c r="K302" i="42" s="1"/>
  <c r="K773" i="44"/>
  <c r="AW237" i="42" s="1"/>
  <c r="K963" i="44"/>
  <c r="BK44" i="42"/>
  <c r="Y835" i="44"/>
  <c r="Y789"/>
  <c r="Y858"/>
  <c r="Y697"/>
  <c r="Y396"/>
  <c r="Y743"/>
  <c r="Y720"/>
  <c r="Y812"/>
  <c r="Y522"/>
  <c r="Y545"/>
  <c r="AC776"/>
  <c r="BO240" i="42" s="1"/>
  <c r="AC966" i="44"/>
  <c r="N930" i="30"/>
  <c r="L298" i="42" s="1"/>
  <c r="N938" i="30"/>
  <c r="CG291" i="42" s="1"/>
  <c r="L231"/>
  <c r="AJ548" i="44"/>
  <c r="AJ525"/>
  <c r="AK376"/>
  <c r="AN558" i="30"/>
  <c r="AN535"/>
  <c r="AO386"/>
  <c r="Y708"/>
  <c r="W55" i="42"/>
  <c r="Y731" i="30"/>
  <c r="Y754"/>
  <c r="Y800"/>
  <c r="Y602"/>
  <c r="Y556"/>
  <c r="Y869"/>
  <c r="Y533"/>
  <c r="Y578" s="1"/>
  <c r="W127" i="42" s="1"/>
  <c r="Y846" i="30"/>
  <c r="Y823"/>
  <c r="V56" i="42"/>
  <c r="X801" i="30"/>
  <c r="X755"/>
  <c r="X847"/>
  <c r="X557"/>
  <c r="X709"/>
  <c r="X732"/>
  <c r="X870"/>
  <c r="X534"/>
  <c r="X579" s="1"/>
  <c r="V128" i="42" s="1"/>
  <c r="X603" i="30"/>
  <c r="X824"/>
  <c r="Q717"/>
  <c r="O41" i="42"/>
  <c r="Q809" i="30"/>
  <c r="Q694"/>
  <c r="Q519"/>
  <c r="Q832"/>
  <c r="Q542"/>
  <c r="Q855"/>
  <c r="Q740"/>
  <c r="Q786"/>
  <c r="Q393"/>
  <c r="W553"/>
  <c r="W866"/>
  <c r="W530"/>
  <c r="W843"/>
  <c r="W820"/>
  <c r="W599"/>
  <c r="W728"/>
  <c r="W751"/>
  <c r="W797"/>
  <c r="U52" i="42"/>
  <c r="W705" i="30"/>
  <c r="Z754" i="44"/>
  <c r="BL55" i="42"/>
  <c r="Z708" i="44"/>
  <c r="Z869"/>
  <c r="Z602"/>
  <c r="Z731"/>
  <c r="Z533"/>
  <c r="Z823"/>
  <c r="Z800"/>
  <c r="Z556"/>
  <c r="Z846"/>
  <c r="K574"/>
  <c r="Q116" i="42"/>
  <c r="S591" i="30"/>
  <c r="L698"/>
  <c r="L836"/>
  <c r="J45" i="42"/>
  <c r="L397" i="30"/>
  <c r="L721"/>
  <c r="L859"/>
  <c r="L546"/>
  <c r="L813"/>
  <c r="L523"/>
  <c r="L667" s="1"/>
  <c r="J187" i="42" s="1"/>
  <c r="L790" i="30"/>
  <c r="L744"/>
  <c r="AI376"/>
  <c r="AH548"/>
  <c r="AH525"/>
  <c r="AB966"/>
  <c r="AB776"/>
  <c r="Z240" i="42" s="1"/>
  <c r="S546" i="44"/>
  <c r="S681" s="1"/>
  <c r="CL188" i="42" s="1"/>
  <c r="S721" i="44"/>
  <c r="S744"/>
  <c r="S859"/>
  <c r="S942" s="1"/>
  <c r="CL302" i="42" s="1"/>
  <c r="BE45"/>
  <c r="S698" i="44"/>
  <c r="S836"/>
  <c r="S941" s="1"/>
  <c r="CL301" i="42" s="1"/>
  <c r="S813" i="44"/>
  <c r="S940" s="1"/>
  <c r="CL300" i="42" s="1"/>
  <c r="S523" i="44"/>
  <c r="S790"/>
  <c r="S939" s="1"/>
  <c r="CL299" i="42" s="1"/>
  <c r="S397" i="44"/>
  <c r="S442" s="1"/>
  <c r="CM74" i="42" s="1"/>
  <c r="AA603" i="30"/>
  <c r="AA824"/>
  <c r="Y56" i="42"/>
  <c r="AA870" i="30"/>
  <c r="AA534"/>
  <c r="AA732"/>
  <c r="AA557"/>
  <c r="AA709"/>
  <c r="AA847"/>
  <c r="AA801"/>
  <c r="AA755"/>
  <c r="P561"/>
  <c r="AF551" i="44"/>
  <c r="AG379"/>
  <c r="AF528"/>
  <c r="AF573" s="1"/>
  <c r="R516"/>
  <c r="R806"/>
  <c r="R714"/>
  <c r="R829"/>
  <c r="R852"/>
  <c r="R737"/>
  <c r="R539"/>
  <c r="BD38" i="42"/>
  <c r="R691" i="44"/>
  <c r="R783"/>
  <c r="R390"/>
  <c r="AB329"/>
  <c r="AB384" s="1"/>
  <c r="Q335"/>
  <c r="Q367" s="1"/>
  <c r="BF116" i="42"/>
  <c r="T591" i="44"/>
  <c r="M338"/>
  <c r="AA332"/>
  <c r="AA381" s="1"/>
  <c r="X956"/>
  <c r="X766"/>
  <c r="BJ230" i="42" s="1"/>
  <c r="P224"/>
  <c r="U774" i="30"/>
  <c r="S238" i="42" s="1"/>
  <c r="U964" i="30"/>
  <c r="K340" i="44"/>
  <c r="K369" s="1"/>
  <c r="T333" i="30"/>
  <c r="T373" s="1"/>
  <c r="L117" i="42"/>
  <c r="N592" i="30"/>
  <c r="V335"/>
  <c r="V367" s="1"/>
  <c r="Q953" i="44"/>
  <c r="Q763"/>
  <c r="BC227" i="42" s="1"/>
  <c r="N963" i="30"/>
  <c r="N773"/>
  <c r="L237" i="42" s="1"/>
  <c r="AP558" i="44"/>
  <c r="AP535"/>
  <c r="AQ386"/>
  <c r="AH526"/>
  <c r="AI377"/>
  <c r="AH549"/>
  <c r="S763" i="30"/>
  <c r="Q227" i="42" s="1"/>
  <c r="S953" i="30"/>
  <c r="X717" i="44"/>
  <c r="X740"/>
  <c r="X542"/>
  <c r="BJ41" i="42"/>
  <c r="X393" i="44"/>
  <c r="X809"/>
  <c r="X832"/>
  <c r="X786"/>
  <c r="X855"/>
  <c r="X694"/>
  <c r="X519"/>
  <c r="AL524"/>
  <c r="AL547"/>
  <c r="AM375"/>
  <c r="AE960" i="30"/>
  <c r="AF960" s="1"/>
  <c r="AG960" s="1"/>
  <c r="AH960" s="1"/>
  <c r="AI960" s="1"/>
  <c r="AJ960" s="1"/>
  <c r="AK960" s="1"/>
  <c r="AL960" s="1"/>
  <c r="AM960" s="1"/>
  <c r="AN960" s="1"/>
  <c r="AO960" s="1"/>
  <c r="AP960" s="1"/>
  <c r="AQ960" s="1"/>
  <c r="AR960" s="1"/>
  <c r="AS960" s="1"/>
  <c r="AT960" s="1"/>
  <c r="AU960" s="1"/>
  <c r="AV960" s="1"/>
  <c r="AW960" s="1"/>
  <c r="AG550" i="44"/>
  <c r="AG527"/>
  <c r="AH378"/>
  <c r="AE962"/>
  <c r="AF962" s="1"/>
  <c r="AG962" s="1"/>
  <c r="AH962" s="1"/>
  <c r="AI962" s="1"/>
  <c r="AJ962" s="1"/>
  <c r="AK962" s="1"/>
  <c r="AL962" s="1"/>
  <c r="AM962" s="1"/>
  <c r="AN962" s="1"/>
  <c r="AO962" s="1"/>
  <c r="AP962" s="1"/>
  <c r="AQ962" s="1"/>
  <c r="AR962" s="1"/>
  <c r="AS962" s="1"/>
  <c r="AT962" s="1"/>
  <c r="AU962" s="1"/>
  <c r="AV962" s="1"/>
  <c r="AW962" s="1"/>
  <c r="O798" i="30"/>
  <c r="M53" i="42"/>
  <c r="O706" i="30"/>
  <c r="O600"/>
  <c r="O531"/>
  <c r="O729"/>
  <c r="O867"/>
  <c r="O752"/>
  <c r="O821"/>
  <c r="O554"/>
  <c r="O844"/>
  <c r="V766" i="44"/>
  <c r="BH230" i="42" s="1"/>
  <c r="V956" i="44"/>
  <c r="U806"/>
  <c r="U783"/>
  <c r="U852"/>
  <c r="U829"/>
  <c r="U714"/>
  <c r="U516"/>
  <c r="BG38" i="42"/>
  <c r="U737" i="44"/>
  <c r="U539"/>
  <c r="U691"/>
  <c r="U390"/>
  <c r="Y964"/>
  <c r="Y774"/>
  <c r="BK238" i="42" s="1"/>
  <c r="P760" i="30"/>
  <c r="P950"/>
  <c r="AF526"/>
  <c r="AF549"/>
  <c r="AG377"/>
  <c r="T519" i="44"/>
  <c r="T809"/>
  <c r="T855"/>
  <c r="T542"/>
  <c r="T393"/>
  <c r="T694"/>
  <c r="T740"/>
  <c r="BF41" i="42"/>
  <c r="T786" i="44"/>
  <c r="T717"/>
  <c r="T832"/>
  <c r="W857"/>
  <c r="W719"/>
  <c r="W521"/>
  <c r="BI43" i="42"/>
  <c r="W544" i="44"/>
  <c r="W696"/>
  <c r="W834"/>
  <c r="W788"/>
  <c r="W811"/>
  <c r="W742"/>
  <c r="W395"/>
  <c r="AC327" i="30"/>
  <c r="N340"/>
  <c r="N369" s="1"/>
  <c r="S335"/>
  <c r="S367" s="1"/>
  <c r="AB329"/>
  <c r="AB384" s="1"/>
  <c r="T116" i="42"/>
  <c r="V591" i="30"/>
  <c r="P110" i="42"/>
  <c r="R585" i="30"/>
  <c r="S965" i="44"/>
  <c r="S775"/>
  <c r="BE239" i="42" s="1"/>
  <c r="M957" i="30"/>
  <c r="M767"/>
  <c r="M932"/>
  <c r="K300" i="42" s="1"/>
  <c r="M940" i="30"/>
  <c r="CF293" i="42" s="1"/>
  <c r="M933" i="30"/>
  <c r="K301" i="42" s="1"/>
  <c r="M941" i="30"/>
  <c r="CF294" i="42" s="1"/>
  <c r="AA777" i="30"/>
  <c r="Y241" i="42" s="1"/>
  <c r="AA967" i="30"/>
  <c r="U953" i="44"/>
  <c r="U763"/>
  <c r="BG227" i="42" s="1"/>
  <c r="AE383" i="44"/>
  <c r="AD555"/>
  <c r="AD532"/>
  <c r="T964" i="30"/>
  <c r="T774"/>
  <c r="R238" i="42" s="1"/>
  <c r="N842" i="44"/>
  <c r="AZ51" i="42"/>
  <c r="N865" i="44"/>
  <c r="N727"/>
  <c r="N598"/>
  <c r="N796"/>
  <c r="N704"/>
  <c r="N819"/>
  <c r="N529"/>
  <c r="N552"/>
  <c r="N750"/>
  <c r="AN520"/>
  <c r="AN543"/>
  <c r="AO371"/>
  <c r="V763" i="30"/>
  <c r="T227" i="42" s="1"/>
  <c r="V953" i="30"/>
  <c r="AO580" i="44"/>
  <c r="Y575"/>
  <c r="BK124" i="42" s="1"/>
  <c r="L360" i="30"/>
  <c r="BA961" i="44"/>
  <c r="BC961" s="1"/>
  <c r="AG571"/>
  <c r="AB577" i="30"/>
  <c r="Z126" i="42" s="1"/>
  <c r="U355" i="30"/>
  <c r="AA566" i="44"/>
  <c r="S360"/>
  <c r="M361" i="30"/>
  <c r="AA352"/>
  <c r="V567" i="44"/>
  <c r="O360"/>
  <c r="AI569" i="30"/>
  <c r="AE573" i="44"/>
  <c r="R358" i="30"/>
  <c r="R357" i="44"/>
  <c r="Y355"/>
  <c r="AC577"/>
  <c r="P358" i="30"/>
  <c r="AI570" i="44"/>
  <c r="AM580" i="30"/>
  <c r="AM565" i="44"/>
  <c r="L359"/>
  <c r="Y351" i="30"/>
  <c r="X352"/>
  <c r="Q356"/>
  <c r="W354"/>
  <c r="P360" i="44"/>
  <c r="W575" i="30" l="1"/>
  <c r="U124" i="42" s="1"/>
  <c r="D432" i="30"/>
  <c r="B68" i="42" s="1"/>
  <c r="D441" i="30"/>
  <c r="BX68" i="42" s="1"/>
  <c r="O517" i="44"/>
  <c r="L434" i="30"/>
  <c r="J73" i="42" s="1"/>
  <c r="L442" i="30"/>
  <c r="CF73" i="42" s="1"/>
  <c r="BB45"/>
  <c r="P441" i="44"/>
  <c r="CJ69" i="42" s="1"/>
  <c r="O432" i="30"/>
  <c r="M68" i="42" s="1"/>
  <c r="O441" i="30"/>
  <c r="CI68" i="42" s="1"/>
  <c r="S738" i="44"/>
  <c r="U588"/>
  <c r="X591"/>
  <c r="AE378" i="30"/>
  <c r="AE550" s="1"/>
  <c r="AC771"/>
  <c r="AA235" i="42" s="1"/>
  <c r="AC572" i="30"/>
  <c r="BE572" s="1"/>
  <c r="AD550"/>
  <c r="D53" i="42"/>
  <c r="F844" i="30"/>
  <c r="F752"/>
  <c r="F798"/>
  <c r="F729"/>
  <c r="F554"/>
  <c r="F867"/>
  <c r="F821"/>
  <c r="F531"/>
  <c r="F706"/>
  <c r="AC379"/>
  <c r="AC749" s="1"/>
  <c r="P721" i="44"/>
  <c r="M775"/>
  <c r="AY239" i="42" s="1"/>
  <c r="O540" i="44"/>
  <c r="O668" s="1"/>
  <c r="BA188" i="42" s="1"/>
  <c r="O391" i="44"/>
  <c r="O435" s="1"/>
  <c r="BA74" i="42" s="1"/>
  <c r="M761" i="30"/>
  <c r="K225" i="42" s="1"/>
  <c r="BA39"/>
  <c r="O738" i="44"/>
  <c r="O853"/>
  <c r="O928" s="1"/>
  <c r="BA295" i="42" s="1"/>
  <c r="L853" i="30"/>
  <c r="P836" i="44"/>
  <c r="P941" s="1"/>
  <c r="CI301" i="42" s="1"/>
  <c r="P813" i="44"/>
  <c r="P940" s="1"/>
  <c r="CI300" i="42" s="1"/>
  <c r="N568" i="44"/>
  <c r="AZ117" i="42" s="1"/>
  <c r="S830" i="44"/>
  <c r="S927" s="1"/>
  <c r="BE294" i="42" s="1"/>
  <c r="M662" i="30"/>
  <c r="K178" i="42" s="1"/>
  <c r="S391" i="44"/>
  <c r="S435" s="1"/>
  <c r="BE74" i="42" s="1"/>
  <c r="L692" i="30"/>
  <c r="L951" s="1"/>
  <c r="L664" s="1"/>
  <c r="J180" i="42" s="1"/>
  <c r="O784" i="44"/>
  <c r="O925" s="1"/>
  <c r="BA292" i="42" s="1"/>
  <c r="O692" i="44"/>
  <c r="O951" s="1"/>
  <c r="O669" s="1"/>
  <c r="BA189" i="42" s="1"/>
  <c r="O807" i="44"/>
  <c r="O926" s="1"/>
  <c r="BA293" i="42" s="1"/>
  <c r="O715" i="44"/>
  <c r="O830"/>
  <c r="O927" s="1"/>
  <c r="BA294" i="42" s="1"/>
  <c r="L540" i="30"/>
  <c r="L663" s="1"/>
  <c r="J179" i="42" s="1"/>
  <c r="N767" i="44"/>
  <c r="N938" s="1"/>
  <c r="CG298" i="42" s="1"/>
  <c r="P546" i="44"/>
  <c r="P681" s="1"/>
  <c r="CI188" i="42" s="1"/>
  <c r="P698" i="44"/>
  <c r="P957" s="1"/>
  <c r="P682" s="1"/>
  <c r="CI189" i="42" s="1"/>
  <c r="P523" i="44"/>
  <c r="P680" s="1"/>
  <c r="CI187" i="42" s="1"/>
  <c r="S517" i="44"/>
  <c r="S853"/>
  <c r="S928" s="1"/>
  <c r="BE295" i="42" s="1"/>
  <c r="BE39"/>
  <c r="L517" i="30"/>
  <c r="L662" s="1"/>
  <c r="J178" i="42" s="1"/>
  <c r="L784" i="30"/>
  <c r="L807"/>
  <c r="P790" i="44"/>
  <c r="P939" s="1"/>
  <c r="CI299" i="42" s="1"/>
  <c r="P744" i="44"/>
  <c r="P397"/>
  <c r="P442" s="1"/>
  <c r="CJ74" i="42" s="1"/>
  <c r="P859" i="44"/>
  <c r="P942" s="1"/>
  <c r="CI302" i="42" s="1"/>
  <c r="S540" i="44"/>
  <c r="S668" s="1"/>
  <c r="BE188" i="42" s="1"/>
  <c r="S784" i="44"/>
  <c r="S925" s="1"/>
  <c r="BE292" i="42" s="1"/>
  <c r="S807" i="44"/>
  <c r="S926" s="1"/>
  <c r="BE293" i="42" s="1"/>
  <c r="S715" i="44"/>
  <c r="S692"/>
  <c r="S951" s="1"/>
  <c r="S669" s="1"/>
  <c r="BE189" i="42" s="1"/>
  <c r="L738" i="30"/>
  <c r="L761" s="1"/>
  <c r="J225" i="42" s="1"/>
  <c r="L391" i="30"/>
  <c r="L435" s="1"/>
  <c r="J74" i="42" s="1"/>
  <c r="J39"/>
  <c r="L830" i="30"/>
  <c r="L433"/>
  <c r="J69" i="42" s="1"/>
  <c r="G374" i="30"/>
  <c r="G368"/>
  <c r="G374" i="44"/>
  <c r="G441" s="1"/>
  <c r="CA69" i="42" s="1"/>
  <c r="G368" i="44"/>
  <c r="N562"/>
  <c r="N667"/>
  <c r="AZ187" i="42" s="1"/>
  <c r="M374" i="44"/>
  <c r="M368"/>
  <c r="N951"/>
  <c r="N669" s="1"/>
  <c r="AZ189" i="42" s="1"/>
  <c r="N761" i="44"/>
  <c r="P807"/>
  <c r="P926" s="1"/>
  <c r="BB293" i="42" s="1"/>
  <c r="P517" i="44"/>
  <c r="P692"/>
  <c r="P540"/>
  <c r="P668" s="1"/>
  <c r="BB188" i="42" s="1"/>
  <c r="P784" i="44"/>
  <c r="P925" s="1"/>
  <c r="BB292" i="42" s="1"/>
  <c r="BB39"/>
  <c r="P433" i="44"/>
  <c r="BB69" i="42" s="1"/>
  <c r="P853" i="44"/>
  <c r="P928" s="1"/>
  <c r="BB295" i="42" s="1"/>
  <c r="P715" i="44"/>
  <c r="P738"/>
  <c r="P830"/>
  <c r="P927" s="1"/>
  <c r="BB294" i="42" s="1"/>
  <c r="P391" i="44"/>
  <c r="P435" s="1"/>
  <c r="BB74" i="42" s="1"/>
  <c r="O368" i="30"/>
  <c r="O807" s="1"/>
  <c r="O775" i="44"/>
  <c r="BA239" i="42" s="1"/>
  <c r="L600" i="44"/>
  <c r="L775" i="30"/>
  <c r="J239" i="42" s="1"/>
  <c r="G600" i="30"/>
  <c r="M576" i="44"/>
  <c r="AY125" i="42" s="1"/>
  <c r="G600" i="44"/>
  <c r="L576" i="30"/>
  <c r="J125" i="42" s="1"/>
  <c r="L844" i="44"/>
  <c r="L798"/>
  <c r="AX53" i="42"/>
  <c r="L729" i="44"/>
  <c r="L531"/>
  <c r="N592"/>
  <c r="L706"/>
  <c r="L965" s="1"/>
  <c r="L867"/>
  <c r="L752"/>
  <c r="L554"/>
  <c r="L681" i="30"/>
  <c r="CE179" i="42" s="1"/>
  <c r="L668" i="30"/>
  <c r="J188" i="42" s="1"/>
  <c r="M682" i="30"/>
  <c r="CF180" i="42" s="1"/>
  <c r="M669" i="30"/>
  <c r="K189" i="42" s="1"/>
  <c r="D562" i="30"/>
  <c r="D662"/>
  <c r="B178" i="42" s="1"/>
  <c r="F562" i="44"/>
  <c r="F667"/>
  <c r="AR187" i="42" s="1"/>
  <c r="K111"/>
  <c r="M586" i="30"/>
  <c r="D761"/>
  <c r="B225" i="42" s="1"/>
  <c r="D951" i="30"/>
  <c r="D664" s="1"/>
  <c r="B180" i="42" s="1"/>
  <c r="D433" i="44"/>
  <c r="AP69" i="42" s="1"/>
  <c r="AP39"/>
  <c r="D784" i="44"/>
  <c r="D925" s="1"/>
  <c r="AP292" i="42" s="1"/>
  <c r="D391" i="44"/>
  <c r="D435" s="1"/>
  <c r="AP74" i="42" s="1"/>
  <c r="D738" i="44"/>
  <c r="D540"/>
  <c r="D668" s="1"/>
  <c r="AP188" i="42" s="1"/>
  <c r="D807" i="44"/>
  <c r="D926" s="1"/>
  <c r="AP293" i="42" s="1"/>
  <c r="D853" i="44"/>
  <c r="D928" s="1"/>
  <c r="AP295" i="42" s="1"/>
  <c r="D715" i="44"/>
  <c r="D692"/>
  <c r="D830"/>
  <c r="D927" s="1"/>
  <c r="AP294" i="42" s="1"/>
  <c r="D517" i="44"/>
  <c r="S667"/>
  <c r="BE187" i="42" s="1"/>
  <c r="O667" i="44"/>
  <c r="BA187" i="42" s="1"/>
  <c r="F951" i="44"/>
  <c r="F669" s="1"/>
  <c r="AR189" i="42" s="1"/>
  <c r="F761" i="44"/>
  <c r="Q588"/>
  <c r="S588" i="30"/>
  <c r="G360" i="44"/>
  <c r="H338"/>
  <c r="H335" i="30"/>
  <c r="H367" s="1"/>
  <c r="D523"/>
  <c r="D667" s="1"/>
  <c r="B187" i="42" s="1"/>
  <c r="B45"/>
  <c r="D546" i="30"/>
  <c r="D668" s="1"/>
  <c r="B188" i="42" s="1"/>
  <c r="D592" i="30"/>
  <c r="D744"/>
  <c r="D698"/>
  <c r="D790"/>
  <c r="D859"/>
  <c r="D721"/>
  <c r="D836"/>
  <c r="D813"/>
  <c r="G546"/>
  <c r="G668" s="1"/>
  <c r="E188" i="42" s="1"/>
  <c r="G744" i="30"/>
  <c r="E45" i="42"/>
  <c r="G592" i="30"/>
  <c r="G523"/>
  <c r="G859"/>
  <c r="G836"/>
  <c r="G721"/>
  <c r="G698"/>
  <c r="G790"/>
  <c r="G813"/>
  <c r="H965" i="44"/>
  <c r="H775"/>
  <c r="AT239" i="42" s="1"/>
  <c r="D965" i="44"/>
  <c r="D775"/>
  <c r="AP239" i="42" s="1"/>
  <c r="F598" i="44"/>
  <c r="F704"/>
  <c r="F750"/>
  <c r="F529"/>
  <c r="F552"/>
  <c r="F842"/>
  <c r="F819"/>
  <c r="AR51" i="42"/>
  <c r="F865" i="44"/>
  <c r="F796"/>
  <c r="F727"/>
  <c r="H953" i="30"/>
  <c r="H763"/>
  <c r="F227" i="42" s="1"/>
  <c r="F965" i="30"/>
  <c r="F775"/>
  <c r="D239" i="42" s="1"/>
  <c r="G592" i="44"/>
  <c r="G546"/>
  <c r="G523"/>
  <c r="AS45" i="42"/>
  <c r="G744" i="44"/>
  <c r="G698"/>
  <c r="G859"/>
  <c r="G942" s="1"/>
  <c r="BZ302" i="42" s="1"/>
  <c r="G721" i="44"/>
  <c r="G836"/>
  <c r="G941" s="1"/>
  <c r="BZ301" i="42" s="1"/>
  <c r="G790" i="44"/>
  <c r="G939" s="1"/>
  <c r="BZ299" i="42" s="1"/>
  <c r="G813" i="44"/>
  <c r="G940" s="1"/>
  <c r="BZ300" i="42" s="1"/>
  <c r="F576" i="30"/>
  <c r="D125" i="42" s="1"/>
  <c r="D338" i="44"/>
  <c r="D374" s="1"/>
  <c r="D441" s="1"/>
  <c r="BX69" i="42" s="1"/>
  <c r="F338" i="30"/>
  <c r="F957" i="44"/>
  <c r="F767"/>
  <c r="H442" i="30"/>
  <c r="CB73" i="42" s="1"/>
  <c r="H434" i="30"/>
  <c r="F73" i="42" s="1"/>
  <c r="G339" i="44"/>
  <c r="G380" s="1"/>
  <c r="O360" i="30"/>
  <c r="O339" s="1"/>
  <c r="O380" s="1"/>
  <c r="F568" i="44"/>
  <c r="AR117" i="42" s="1"/>
  <c r="D360" i="30"/>
  <c r="G360"/>
  <c r="H576" i="44"/>
  <c r="F361"/>
  <c r="H564" i="30"/>
  <c r="S568" i="44"/>
  <c r="BE117" i="42" s="1"/>
  <c r="S680" i="44"/>
  <c r="CL187" i="42" s="1"/>
  <c r="L568" i="30"/>
  <c r="J117" i="42" s="1"/>
  <c r="L680" i="30"/>
  <c r="CE178" i="42" s="1"/>
  <c r="S592" i="44"/>
  <c r="AN565"/>
  <c r="AD577"/>
  <c r="AB351" i="30"/>
  <c r="S357"/>
  <c r="M592"/>
  <c r="AH570"/>
  <c r="T113" i="42"/>
  <c r="V588" i="30"/>
  <c r="AF571"/>
  <c r="K362" i="44"/>
  <c r="K364" s="1"/>
  <c r="E92" i="33" s="1"/>
  <c r="AA354" i="44"/>
  <c r="AA333" s="1"/>
  <c r="AA373" s="1"/>
  <c r="M360"/>
  <c r="M339" s="1"/>
  <c r="M380" s="1"/>
  <c r="AC351"/>
  <c r="AC330" s="1"/>
  <c r="AC385" s="1"/>
  <c r="AC349" i="30"/>
  <c r="T564" i="44"/>
  <c r="BF113" i="42" s="1"/>
  <c r="U561" i="44"/>
  <c r="U585" s="1"/>
  <c r="O576" i="30"/>
  <c r="M125" i="42" s="1"/>
  <c r="BA962" i="44"/>
  <c r="BC962" s="1"/>
  <c r="AG572"/>
  <c r="BA960" i="30"/>
  <c r="BC960" s="1"/>
  <c r="AL569" i="44"/>
  <c r="AD572" i="30"/>
  <c r="V357"/>
  <c r="V336" s="1"/>
  <c r="T357" i="44"/>
  <c r="T336" s="1"/>
  <c r="AN580" i="30"/>
  <c r="N362" i="44"/>
  <c r="N364" s="1"/>
  <c r="H92" i="33" s="1"/>
  <c r="V356" i="44"/>
  <c r="V335" s="1"/>
  <c r="V367" s="1"/>
  <c r="AJ569" i="30"/>
  <c r="P339" i="44"/>
  <c r="P380" s="1"/>
  <c r="Q335" i="30"/>
  <c r="Q367" s="1"/>
  <c r="Y330"/>
  <c r="Y385" s="1"/>
  <c r="Y334" i="44"/>
  <c r="Y370" s="1"/>
  <c r="R336"/>
  <c r="BH116" i="42"/>
  <c r="V591" i="44"/>
  <c r="M340" i="30"/>
  <c r="M369" s="1"/>
  <c r="BM115" i="42"/>
  <c r="AA590" i="44"/>
  <c r="L339" i="30"/>
  <c r="L380" s="1"/>
  <c r="AO520" i="44"/>
  <c r="AO543"/>
  <c r="AP371"/>
  <c r="AB330" i="30"/>
  <c r="AB385" s="1"/>
  <c r="S336"/>
  <c r="N808"/>
  <c r="N854"/>
  <c r="N831"/>
  <c r="N392"/>
  <c r="N785"/>
  <c r="N518"/>
  <c r="L40" i="42"/>
  <c r="N739" i="30"/>
  <c r="N757" s="1"/>
  <c r="N716"/>
  <c r="N734" s="1"/>
  <c r="N693"/>
  <c r="N541"/>
  <c r="N387"/>
  <c r="N410" s="1"/>
  <c r="N417" a="1"/>
  <c r="N417" s="1"/>
  <c r="N415" a="1"/>
  <c r="N415" s="1"/>
  <c r="N416" a="1"/>
  <c r="N416" s="1"/>
  <c r="N413" a="1"/>
  <c r="N413" s="1"/>
  <c r="N414" a="1"/>
  <c r="N414" s="1"/>
  <c r="AC328"/>
  <c r="AC383" s="1"/>
  <c r="W955" i="44"/>
  <c r="W765"/>
  <c r="BI229" i="42" s="1"/>
  <c r="AH377" i="30"/>
  <c r="AG549"/>
  <c r="AG526"/>
  <c r="U950" i="44"/>
  <c r="U760"/>
  <c r="O775" i="30"/>
  <c r="M239" i="42" s="1"/>
  <c r="O965" i="30"/>
  <c r="AM524" i="44"/>
  <c r="AM547"/>
  <c r="AN375"/>
  <c r="X953"/>
  <c r="X763"/>
  <c r="BJ227" i="42" s="1"/>
  <c r="AI526" i="44"/>
  <c r="AJ377"/>
  <c r="AI549"/>
  <c r="AQ558"/>
  <c r="AQ535"/>
  <c r="AR386"/>
  <c r="R44" i="42"/>
  <c r="T812" i="30"/>
  <c r="T522"/>
  <c r="T858"/>
  <c r="T835"/>
  <c r="T720"/>
  <c r="T697"/>
  <c r="T743"/>
  <c r="T789"/>
  <c r="T545"/>
  <c r="T396"/>
  <c r="Q806" i="44"/>
  <c r="Q783"/>
  <c r="Q852"/>
  <c r="Q737"/>
  <c r="Q516"/>
  <c r="BC38" i="42"/>
  <c r="Q714" i="44"/>
  <c r="Q829"/>
  <c r="Q539"/>
  <c r="Q691"/>
  <c r="Q390"/>
  <c r="AB533"/>
  <c r="AB602"/>
  <c r="AB731"/>
  <c r="AB869"/>
  <c r="AB556"/>
  <c r="AB708"/>
  <c r="AB823"/>
  <c r="BN55" i="42"/>
  <c r="AB800" i="44"/>
  <c r="AB754"/>
  <c r="AB846"/>
  <c r="R950"/>
  <c r="R760"/>
  <c r="N110" i="42"/>
  <c r="P585" i="30"/>
  <c r="AA968"/>
  <c r="AA778"/>
  <c r="Y242" i="42" s="1"/>
  <c r="S957" i="44"/>
  <c r="S682" s="1"/>
  <c r="CL189" i="42" s="1"/>
  <c r="S767" i="44"/>
  <c r="AI525" i="30"/>
  <c r="AJ376"/>
  <c r="AI548"/>
  <c r="L957"/>
  <c r="L767"/>
  <c r="AD961"/>
  <c r="BE961"/>
  <c r="AW123" i="42"/>
  <c r="W774" i="30"/>
  <c r="U238" i="42" s="1"/>
  <c r="W964" i="30"/>
  <c r="X778"/>
  <c r="V242" i="42" s="1"/>
  <c r="X968" i="30"/>
  <c r="Y967"/>
  <c r="Y777"/>
  <c r="W241" i="42" s="1"/>
  <c r="AL376" i="44"/>
  <c r="AK548"/>
  <c r="AK525"/>
  <c r="Y956"/>
  <c r="Y766"/>
  <c r="BK230" i="42" s="1"/>
  <c r="W866" i="44"/>
  <c r="W728"/>
  <c r="W751"/>
  <c r="W843"/>
  <c r="W553"/>
  <c r="W705"/>
  <c r="W599"/>
  <c r="W530"/>
  <c r="W797"/>
  <c r="BI52" i="42"/>
  <c r="W820" i="44"/>
  <c r="AK547" i="30"/>
  <c r="AK524"/>
  <c r="AL375"/>
  <c r="M963"/>
  <c r="M773"/>
  <c r="K237" i="42" s="1"/>
  <c r="U956" i="30"/>
  <c r="U766"/>
  <c r="S230" i="42" s="1"/>
  <c r="AM520" i="30"/>
  <c r="AN371"/>
  <c r="AM543"/>
  <c r="X516" i="44"/>
  <c r="X783"/>
  <c r="X737"/>
  <c r="X714"/>
  <c r="X806"/>
  <c r="X829"/>
  <c r="X852"/>
  <c r="X691"/>
  <c r="BJ38" i="42"/>
  <c r="X539" i="44"/>
  <c r="X390"/>
  <c r="Z823" i="30"/>
  <c r="Z846"/>
  <c r="Z731"/>
  <c r="Z754"/>
  <c r="Z556"/>
  <c r="Z602"/>
  <c r="Z869"/>
  <c r="Z533"/>
  <c r="Z800"/>
  <c r="X55" i="42"/>
  <c r="Z708" i="30"/>
  <c r="AD384" i="44"/>
  <c r="AC731"/>
  <c r="AC556"/>
  <c r="AC800"/>
  <c r="AC754"/>
  <c r="AC708"/>
  <c r="AC533"/>
  <c r="AC578" s="1"/>
  <c r="AC846"/>
  <c r="BO55" i="42"/>
  <c r="AC823" i="44"/>
  <c r="AC869"/>
  <c r="AC602"/>
  <c r="W566"/>
  <c r="Z732"/>
  <c r="Z709"/>
  <c r="Z870"/>
  <c r="Z801"/>
  <c r="Z824"/>
  <c r="Z755"/>
  <c r="Z847"/>
  <c r="Z603"/>
  <c r="Z534"/>
  <c r="Z557"/>
  <c r="BL56" i="42"/>
  <c r="AE555" i="44"/>
  <c r="AF383"/>
  <c r="AE532"/>
  <c r="AE577" s="1"/>
  <c r="M938" i="30"/>
  <c r="CF291" i="42" s="1"/>
  <c r="M930" i="30"/>
  <c r="K298" i="42" s="1"/>
  <c r="K231"/>
  <c r="W333" i="30"/>
  <c r="W373" s="1"/>
  <c r="X331"/>
  <c r="X372" s="1"/>
  <c r="L338" i="44"/>
  <c r="P337" i="30"/>
  <c r="BO126" i="42"/>
  <c r="BE577" i="44"/>
  <c r="R337" i="30"/>
  <c r="O339" i="44"/>
  <c r="O380" s="1"/>
  <c r="AA331" i="30"/>
  <c r="AA372" s="1"/>
  <c r="S339" i="44"/>
  <c r="S380" s="1"/>
  <c r="U334" i="30"/>
  <c r="U370" s="1"/>
  <c r="AA121" i="42"/>
  <c r="N963" i="44"/>
  <c r="N773"/>
  <c r="AZ237" i="42" s="1"/>
  <c r="AB869" i="30"/>
  <c r="AB533"/>
  <c r="AB846"/>
  <c r="AB823"/>
  <c r="AB602"/>
  <c r="AB731"/>
  <c r="AB754"/>
  <c r="AB800"/>
  <c r="Z55" i="42"/>
  <c r="AB708" i="30"/>
  <c r="AB556"/>
  <c r="S714"/>
  <c r="S539"/>
  <c r="S737"/>
  <c r="S783"/>
  <c r="S806"/>
  <c r="S516"/>
  <c r="S852"/>
  <c r="S691"/>
  <c r="S829"/>
  <c r="S390"/>
  <c r="Q38" i="42"/>
  <c r="T953" i="44"/>
  <c r="T763"/>
  <c r="BF227" i="42" s="1"/>
  <c r="N224"/>
  <c r="AH527" i="44"/>
  <c r="AI378"/>
  <c r="AH550"/>
  <c r="V806" i="30"/>
  <c r="V714"/>
  <c r="V516"/>
  <c r="V539"/>
  <c r="V390"/>
  <c r="V737"/>
  <c r="V829"/>
  <c r="T38" i="42"/>
  <c r="V691" i="30"/>
  <c r="V783"/>
  <c r="V852"/>
  <c r="K785" i="44"/>
  <c r="K803" s="1"/>
  <c r="AW259" i="42" s="1"/>
  <c r="K693" i="44"/>
  <c r="K716"/>
  <c r="K734" s="1"/>
  <c r="K518"/>
  <c r="K854"/>
  <c r="K872" s="1"/>
  <c r="AW262" i="42" s="1"/>
  <c r="K392" i="44"/>
  <c r="K434" s="1"/>
  <c r="AW73" i="42" s="1"/>
  <c r="K432" i="44"/>
  <c r="AW68" i="42" s="1"/>
  <c r="AW40"/>
  <c r="K808" i="44"/>
  <c r="K826" s="1"/>
  <c r="AW260" i="42" s="1"/>
  <c r="K739" i="44"/>
  <c r="K757" s="1"/>
  <c r="K541"/>
  <c r="K831"/>
  <c r="K849" s="1"/>
  <c r="AW261" i="42" s="1"/>
  <c r="K415" i="44" a="1"/>
  <c r="K415" s="1"/>
  <c r="K414" a="1"/>
  <c r="K414" s="1"/>
  <c r="K417" a="1"/>
  <c r="K417" s="1"/>
  <c r="K413" a="1"/>
  <c r="K413" s="1"/>
  <c r="K387"/>
  <c r="K410" s="1"/>
  <c r="K416" a="1"/>
  <c r="K416" s="1"/>
  <c r="AA599"/>
  <c r="AA728"/>
  <c r="AA866"/>
  <c r="AA553"/>
  <c r="AA530"/>
  <c r="BM52" i="42"/>
  <c r="AA797" i="44"/>
  <c r="AA751"/>
  <c r="AA843"/>
  <c r="AA705"/>
  <c r="AA820"/>
  <c r="T783"/>
  <c r="T852"/>
  <c r="T691"/>
  <c r="T829"/>
  <c r="BF38" i="42"/>
  <c r="T806" i="44"/>
  <c r="T539"/>
  <c r="T516"/>
  <c r="T714"/>
  <c r="T737"/>
  <c r="T390"/>
  <c r="AG551"/>
  <c r="AG528"/>
  <c r="AH379"/>
  <c r="L931" i="30"/>
  <c r="J299" i="42" s="1"/>
  <c r="L939" i="30"/>
  <c r="CE292" i="42" s="1"/>
  <c r="L940" i="30"/>
  <c r="CE293" i="42" s="1"/>
  <c r="L932" i="30"/>
  <c r="J300" i="42" s="1"/>
  <c r="L934" i="30"/>
  <c r="J302" i="42" s="1"/>
  <c r="L942" i="30"/>
  <c r="CE295" i="42" s="1"/>
  <c r="L941" i="30"/>
  <c r="CE294" i="42" s="1"/>
  <c r="L933" i="30"/>
  <c r="J301" i="42" s="1"/>
  <c r="Z967" i="44"/>
  <c r="Z777"/>
  <c r="BL241" i="42" s="1"/>
  <c r="Q763" i="30"/>
  <c r="O227" i="42" s="1"/>
  <c r="Q953" i="30"/>
  <c r="AO535"/>
  <c r="AO558"/>
  <c r="AP386"/>
  <c r="N716" i="44"/>
  <c r="N734" s="1"/>
  <c r="N518"/>
  <c r="N808"/>
  <c r="N826" s="1"/>
  <c r="AZ260" i="42" s="1"/>
  <c r="N854" i="44"/>
  <c r="N872" s="1"/>
  <c r="AZ262" i="42" s="1"/>
  <c r="N831" i="44"/>
  <c r="N849" s="1"/>
  <c r="AZ261" i="42" s="1"/>
  <c r="N432" i="44"/>
  <c r="AZ68" i="42" s="1"/>
  <c r="N785" i="44"/>
  <c r="N803" s="1"/>
  <c r="AZ259" i="42" s="1"/>
  <c r="N739" i="44"/>
  <c r="N757" s="1"/>
  <c r="AZ40" i="42"/>
  <c r="N541" i="44"/>
  <c r="N693"/>
  <c r="N392"/>
  <c r="N434" s="1"/>
  <c r="AZ73" i="42" s="1"/>
  <c r="N416" i="44" a="1"/>
  <c r="N416" s="1"/>
  <c r="N413" a="1"/>
  <c r="N413" s="1"/>
  <c r="N415" a="1"/>
  <c r="N415" s="1"/>
  <c r="N414" a="1"/>
  <c r="N414" s="1"/>
  <c r="N417" a="1"/>
  <c r="N417" s="1"/>
  <c r="N387"/>
  <c r="N410" s="1"/>
  <c r="AD966"/>
  <c r="BE966"/>
  <c r="V694"/>
  <c r="V855"/>
  <c r="V519"/>
  <c r="V786"/>
  <c r="V542"/>
  <c r="V393"/>
  <c r="V809"/>
  <c r="V740"/>
  <c r="V832"/>
  <c r="V717"/>
  <c r="BH41" i="42"/>
  <c r="O767" i="44"/>
  <c r="O957"/>
  <c r="O682" s="1"/>
  <c r="CH189" i="42" s="1"/>
  <c r="O546" i="30"/>
  <c r="O721"/>
  <c r="O859"/>
  <c r="O523"/>
  <c r="O790"/>
  <c r="O698"/>
  <c r="O813"/>
  <c r="M45" i="42"/>
  <c r="O744" i="30"/>
  <c r="O836"/>
  <c r="O397"/>
  <c r="Z352" i="44"/>
  <c r="N574"/>
  <c r="AZ123" i="42" s="1"/>
  <c r="N362" i="30"/>
  <c r="N364" s="1"/>
  <c r="H33" i="33" s="1"/>
  <c r="X564" i="44"/>
  <c r="AH571"/>
  <c r="AP580"/>
  <c r="T355" i="30"/>
  <c r="Q357" i="44"/>
  <c r="AB351"/>
  <c r="R561"/>
  <c r="U358"/>
  <c r="AA579" i="30"/>
  <c r="Y128" i="42" s="1"/>
  <c r="Z578" i="44"/>
  <c r="BL127" i="42" s="1"/>
  <c r="Q564" i="30"/>
  <c r="AJ570" i="44"/>
  <c r="Y567"/>
  <c r="W354"/>
  <c r="O568"/>
  <c r="M574" i="30"/>
  <c r="K123" i="42" s="1"/>
  <c r="U591" i="30"/>
  <c r="AL565"/>
  <c r="X357" i="44"/>
  <c r="Z351" i="30"/>
  <c r="G432" l="1"/>
  <c r="E68" i="42" s="1"/>
  <c r="G441" i="30"/>
  <c r="CA68" i="42" s="1"/>
  <c r="O434" i="30"/>
  <c r="M73" i="42" s="1"/>
  <c r="O442" i="30"/>
  <c r="CI73" i="42" s="1"/>
  <c r="M744" i="44"/>
  <c r="M441"/>
  <c r="CG69" i="42" s="1"/>
  <c r="AF378" i="30"/>
  <c r="AF527" s="1"/>
  <c r="M721" i="44"/>
  <c r="P568"/>
  <c r="P592" s="1"/>
  <c r="AE527" i="30"/>
  <c r="AE572" s="1"/>
  <c r="AA50" i="42"/>
  <c r="AD379" i="30"/>
  <c r="AD528" s="1"/>
  <c r="AC528"/>
  <c r="AC597"/>
  <c r="AC795"/>
  <c r="AC703"/>
  <c r="AC962" s="1"/>
  <c r="AC864"/>
  <c r="AC818"/>
  <c r="AC551"/>
  <c r="AC573" s="1"/>
  <c r="BE573" s="1"/>
  <c r="AC841"/>
  <c r="AC726"/>
  <c r="AZ231" i="42"/>
  <c r="M397" i="44"/>
  <c r="M442" s="1"/>
  <c r="CG74" i="42" s="1"/>
  <c r="M836" i="44"/>
  <c r="M941" s="1"/>
  <c r="CF301" i="42" s="1"/>
  <c r="O562" i="44"/>
  <c r="BA111" i="42" s="1"/>
  <c r="O761" i="44"/>
  <c r="BA225" i="42" s="1"/>
  <c r="L562" i="30"/>
  <c r="J111" i="42" s="1"/>
  <c r="P767" i="44"/>
  <c r="BB231" i="42" s="1"/>
  <c r="S761" i="44"/>
  <c r="BE225" i="42" s="1"/>
  <c r="O540" i="30"/>
  <c r="O663" s="1"/>
  <c r="M179" i="42" s="1"/>
  <c r="O433" i="30"/>
  <c r="M69" i="42" s="1"/>
  <c r="O715" i="30"/>
  <c r="M523" i="44"/>
  <c r="M680" s="1"/>
  <c r="CF187" i="42" s="1"/>
  <c r="M698" i="44"/>
  <c r="M790"/>
  <c r="M939" s="1"/>
  <c r="CF299" i="42" s="1"/>
  <c r="S562" i="44"/>
  <c r="S586" s="1"/>
  <c r="M39" i="42"/>
  <c r="O784" i="30"/>
  <c r="O692"/>
  <c r="M546" i="44"/>
  <c r="M681" s="1"/>
  <c r="CF188" i="42" s="1"/>
  <c r="M859" i="44"/>
  <c r="M942" s="1"/>
  <c r="CF302" i="42" s="1"/>
  <c r="M813" i="44"/>
  <c r="M940" s="1"/>
  <c r="CF300" i="42" s="1"/>
  <c r="AY45"/>
  <c r="O738" i="30"/>
  <c r="O853"/>
  <c r="O830"/>
  <c r="O391"/>
  <c r="O435" s="1"/>
  <c r="M74" i="42" s="1"/>
  <c r="O517" i="30"/>
  <c r="O662" s="1"/>
  <c r="M178" i="42" s="1"/>
  <c r="L374" i="44"/>
  <c r="L368"/>
  <c r="P951"/>
  <c r="P669" s="1"/>
  <c r="BB189" i="42" s="1"/>
  <c r="P761" i="44"/>
  <c r="N586"/>
  <c r="AZ111" i="42"/>
  <c r="F374" i="30"/>
  <c r="F368"/>
  <c r="H374" i="44"/>
  <c r="H441" s="1"/>
  <c r="CB69" i="42" s="1"/>
  <c r="H368" i="44"/>
  <c r="P562"/>
  <c r="P667"/>
  <c r="BB187" i="42" s="1"/>
  <c r="N924" i="44"/>
  <c r="AZ291" i="42" s="1"/>
  <c r="AZ225"/>
  <c r="M692" i="44"/>
  <c r="M853"/>
  <c r="M928" s="1"/>
  <c r="AY295" i="42" s="1"/>
  <c r="M738" i="44"/>
  <c r="M540"/>
  <c r="M668" s="1"/>
  <c r="AY188" i="42" s="1"/>
  <c r="M807" i="44"/>
  <c r="M926" s="1"/>
  <c r="AY293" i="42" s="1"/>
  <c r="AY39"/>
  <c r="M433" i="44"/>
  <c r="AY69" i="42" s="1"/>
  <c r="M391" i="44"/>
  <c r="M435" s="1"/>
  <c r="AY74" i="42" s="1"/>
  <c r="M784" i="44"/>
  <c r="M925" s="1"/>
  <c r="AY292" i="42" s="1"/>
  <c r="M715" i="44"/>
  <c r="M517"/>
  <c r="M830"/>
  <c r="M927" s="1"/>
  <c r="AY294" i="42" s="1"/>
  <c r="G433" i="44"/>
  <c r="AS69" i="42" s="1"/>
  <c r="G830" i="44"/>
  <c r="G927" s="1"/>
  <c r="AS294" i="42" s="1"/>
  <c r="G784" i="44"/>
  <c r="G925" s="1"/>
  <c r="AS292" i="42" s="1"/>
  <c r="G391" i="44"/>
  <c r="G435" s="1"/>
  <c r="AS74" i="42" s="1"/>
  <c r="G807" i="44"/>
  <c r="G926" s="1"/>
  <c r="AS293" i="42" s="1"/>
  <c r="G692" i="44"/>
  <c r="G517"/>
  <c r="AS39" i="42"/>
  <c r="G540" i="44"/>
  <c r="G668" s="1"/>
  <c r="AS188" i="42" s="1"/>
  <c r="G715" i="44"/>
  <c r="G738"/>
  <c r="G853"/>
  <c r="G928" s="1"/>
  <c r="AS295" i="42" s="1"/>
  <c r="G517" i="30"/>
  <c r="G391"/>
  <c r="G435" s="1"/>
  <c r="E74" i="42" s="1"/>
  <c r="E39"/>
  <c r="G807" i="30"/>
  <c r="G433"/>
  <c r="E69" i="42" s="1"/>
  <c r="G830" i="30"/>
  <c r="G784"/>
  <c r="G715"/>
  <c r="G853"/>
  <c r="G692"/>
  <c r="G540"/>
  <c r="G663" s="1"/>
  <c r="E179" i="42" s="1"/>
  <c r="G738" i="30"/>
  <c r="AT125" i="42"/>
  <c r="H600" i="44"/>
  <c r="L576"/>
  <c r="AX125" i="42" s="1"/>
  <c r="L775" i="44"/>
  <c r="AX239" i="42" s="1"/>
  <c r="G568" i="30"/>
  <c r="E117" i="42" s="1"/>
  <c r="G667" i="30"/>
  <c r="E187" i="42" s="1"/>
  <c r="O681" i="30"/>
  <c r="CH179" i="42" s="1"/>
  <c r="O668" i="30"/>
  <c r="M188" i="42" s="1"/>
  <c r="L682" i="30"/>
  <c r="CE180" i="42" s="1"/>
  <c r="L669" i="30"/>
  <c r="J189" i="42" s="1"/>
  <c r="O680" i="30"/>
  <c r="CH178" i="42" s="1"/>
  <c r="O667" i="30"/>
  <c r="M187" i="42" s="1"/>
  <c r="R382" i="30"/>
  <c r="R821" s="1"/>
  <c r="AR225" i="42"/>
  <c r="F924" i="44"/>
  <c r="AR291" i="42" s="1"/>
  <c r="D562" i="44"/>
  <c r="D667"/>
  <c r="AP187" i="42" s="1"/>
  <c r="D761" i="44"/>
  <c r="D951"/>
  <c r="D669" s="1"/>
  <c r="AP189" i="42" s="1"/>
  <c r="O562" i="30"/>
  <c r="AR111" i="42"/>
  <c r="F586" i="44"/>
  <c r="D586" i="30"/>
  <c r="B111" i="42"/>
  <c r="P382" i="30"/>
  <c r="P706" s="1"/>
  <c r="BE111" i="42"/>
  <c r="L592" i="30"/>
  <c r="T588" i="44"/>
  <c r="N803" i="30"/>
  <c r="L259" i="42" s="1"/>
  <c r="N925" i="30"/>
  <c r="L292" i="42" s="1"/>
  <c r="N849" i="30"/>
  <c r="L261" i="42" s="1"/>
  <c r="N927" i="30"/>
  <c r="L294" i="42" s="1"/>
  <c r="N826" i="30"/>
  <c r="L260" i="42" s="1"/>
  <c r="N926" i="30"/>
  <c r="L293" i="42" s="1"/>
  <c r="N872" i="30"/>
  <c r="L262" i="42" s="1"/>
  <c r="N928" i="30"/>
  <c r="L295" i="42" s="1"/>
  <c r="H360" i="44"/>
  <c r="H339" s="1"/>
  <c r="H380" s="1"/>
  <c r="F340"/>
  <c r="F369" s="1"/>
  <c r="G339" i="30"/>
  <c r="G380" s="1"/>
  <c r="AR231" i="42"/>
  <c r="F938" i="44"/>
  <c r="BY298" i="42" s="1"/>
  <c r="G957" i="44"/>
  <c r="G767"/>
  <c r="G931" i="30"/>
  <c r="E299" i="42" s="1"/>
  <c r="G939" i="30"/>
  <c r="BZ292" i="42" s="1"/>
  <c r="G934" i="30"/>
  <c r="E302" i="42" s="1"/>
  <c r="G942" i="30"/>
  <c r="BZ295" i="42" s="1"/>
  <c r="D932" i="30"/>
  <c r="B300" i="42" s="1"/>
  <c r="D940" i="30"/>
  <c r="BW293" i="42" s="1"/>
  <c r="D931" i="30"/>
  <c r="B299" i="42" s="1"/>
  <c r="D939" i="30"/>
  <c r="BW292" i="42" s="1"/>
  <c r="F38"/>
  <c r="H539" i="30"/>
  <c r="H390"/>
  <c r="H516"/>
  <c r="H852"/>
  <c r="H829"/>
  <c r="H783"/>
  <c r="H691"/>
  <c r="H806"/>
  <c r="H737"/>
  <c r="H714"/>
  <c r="H523" i="44"/>
  <c r="H744"/>
  <c r="AT45" i="42"/>
  <c r="H546" i="44"/>
  <c r="H592"/>
  <c r="H721"/>
  <c r="H790"/>
  <c r="H939" s="1"/>
  <c r="CA299" i="42" s="1"/>
  <c r="H859" i="44"/>
  <c r="H942" s="1"/>
  <c r="CA302" i="42" s="1"/>
  <c r="H836" i="44"/>
  <c r="H941" s="1"/>
  <c r="CA301" i="42" s="1"/>
  <c r="H698" i="44"/>
  <c r="H813"/>
  <c r="H940" s="1"/>
  <c r="CA300" i="42" s="1"/>
  <c r="G361" i="44"/>
  <c r="F360" i="30"/>
  <c r="D360" i="44"/>
  <c r="D568" i="30"/>
  <c r="B117" i="42" s="1"/>
  <c r="H588" i="30"/>
  <c r="F113" i="42"/>
  <c r="D339" i="30"/>
  <c r="D380" s="1"/>
  <c r="G796" i="44"/>
  <c r="AS51" i="42"/>
  <c r="G727" i="44"/>
  <c r="G750"/>
  <c r="G552"/>
  <c r="G598"/>
  <c r="G865"/>
  <c r="G842"/>
  <c r="G529"/>
  <c r="G574" s="1"/>
  <c r="AS123" i="42" s="1"/>
  <c r="G819" i="44"/>
  <c r="G704"/>
  <c r="F592" i="30"/>
  <c r="F744"/>
  <c r="F523"/>
  <c r="F667" s="1"/>
  <c r="D187" i="42" s="1"/>
  <c r="D45"/>
  <c r="F546" i="30"/>
  <c r="F668" s="1"/>
  <c r="D188" i="42" s="1"/>
  <c r="F859" i="30"/>
  <c r="F721"/>
  <c r="F698"/>
  <c r="F813"/>
  <c r="F836"/>
  <c r="F790"/>
  <c r="D592" i="44"/>
  <c r="AP45" i="42"/>
  <c r="D523" i="44"/>
  <c r="D546"/>
  <c r="D744"/>
  <c r="D836"/>
  <c r="D941" s="1"/>
  <c r="BW301" i="42" s="1"/>
  <c r="D790" i="44"/>
  <c r="D939" s="1"/>
  <c r="BW299" i="42" s="1"/>
  <c r="D859" i="44"/>
  <c r="D942" s="1"/>
  <c r="BW302" i="42" s="1"/>
  <c r="D721" i="44"/>
  <c r="D698"/>
  <c r="D813"/>
  <c r="D940" s="1"/>
  <c r="BW300" i="42" s="1"/>
  <c r="F963" i="44"/>
  <c r="F773"/>
  <c r="AR237" i="42" s="1"/>
  <c r="G940" i="30"/>
  <c r="BZ293" i="42" s="1"/>
  <c r="G932" i="30"/>
  <c r="E300" i="42" s="1"/>
  <c r="G957" i="30"/>
  <c r="G669" s="1"/>
  <c r="E189" i="42" s="1"/>
  <c r="G767" i="30"/>
  <c r="G933"/>
  <c r="E301" i="42" s="1"/>
  <c r="G941" i="30"/>
  <c r="BZ294" i="42" s="1"/>
  <c r="D941" i="30"/>
  <c r="BW294" i="42" s="1"/>
  <c r="D933" i="30"/>
  <c r="B301" i="42" s="1"/>
  <c r="D942" i="30"/>
  <c r="BW295" i="42" s="1"/>
  <c r="D934" i="30"/>
  <c r="B302" i="42" s="1"/>
  <c r="D957" i="30"/>
  <c r="D669" s="1"/>
  <c r="B189" i="42" s="1"/>
  <c r="D767" i="30"/>
  <c r="G568" i="44"/>
  <c r="AS117" i="42" s="1"/>
  <c r="F574" i="44"/>
  <c r="AR123" i="42" s="1"/>
  <c r="H357" i="30"/>
  <c r="BG110" i="42"/>
  <c r="P361" i="44"/>
  <c r="P340" s="1"/>
  <c r="P369" s="1"/>
  <c r="AB578" i="30"/>
  <c r="Z127" i="42" s="1"/>
  <c r="O568" i="30"/>
  <c r="M117" i="42" s="1"/>
  <c r="Z579" i="44"/>
  <c r="BL128" i="42" s="1"/>
  <c r="AQ580" i="44"/>
  <c r="AC350" i="30"/>
  <c r="AC329" s="1"/>
  <c r="AC384" s="1"/>
  <c r="Y356" i="44"/>
  <c r="Y335" s="1"/>
  <c r="Y367" s="1"/>
  <c r="Q357" i="30"/>
  <c r="Q336" s="1"/>
  <c r="Q561" i="44"/>
  <c r="BC110" i="42" s="1"/>
  <c r="AC352" i="44"/>
  <c r="AC331" s="1"/>
  <c r="AC372" s="1"/>
  <c r="R359" i="30"/>
  <c r="R338" s="1"/>
  <c r="R374" s="1"/>
  <c r="P359"/>
  <c r="P338" s="1"/>
  <c r="P374" s="1"/>
  <c r="L360" i="44"/>
  <c r="L339" s="1"/>
  <c r="L380" s="1"/>
  <c r="X353" i="30"/>
  <c r="X332" s="1"/>
  <c r="X381" s="1"/>
  <c r="W355"/>
  <c r="W334" s="1"/>
  <c r="W370" s="1"/>
  <c r="O361"/>
  <c r="O340" s="1"/>
  <c r="O369" s="1"/>
  <c r="W575" i="44"/>
  <c r="BI124" i="42" s="1"/>
  <c r="V357" i="44"/>
  <c r="V336" s="1"/>
  <c r="AK570"/>
  <c r="AB352" i="30"/>
  <c r="AB331" s="1"/>
  <c r="AB372" s="1"/>
  <c r="AO565" i="44"/>
  <c r="L361" i="30"/>
  <c r="L340" s="1"/>
  <c r="L369" s="1"/>
  <c r="R358" i="44"/>
  <c r="R337" s="1"/>
  <c r="R382" s="1"/>
  <c r="Z330" i="30"/>
  <c r="Z385" s="1"/>
  <c r="BD110" i="42"/>
  <c r="R585" i="44"/>
  <c r="BJ113" i="42"/>
  <c r="X588" i="44"/>
  <c r="V953"/>
  <c r="V763"/>
  <c r="BH227" i="42" s="1"/>
  <c r="AE966" i="44"/>
  <c r="AF966" s="1"/>
  <c r="AG966" s="1"/>
  <c r="AH966" s="1"/>
  <c r="AI966" s="1"/>
  <c r="AJ966" s="1"/>
  <c r="AK966" s="1"/>
  <c r="AL966" s="1"/>
  <c r="AM966" s="1"/>
  <c r="AN966" s="1"/>
  <c r="AO966" s="1"/>
  <c r="AP966" s="1"/>
  <c r="AQ966" s="1"/>
  <c r="AR966" s="1"/>
  <c r="AS966" s="1"/>
  <c r="AT966" s="1"/>
  <c r="AU966" s="1"/>
  <c r="AV966" s="1"/>
  <c r="AW966" s="1"/>
  <c r="N418"/>
  <c r="N421" s="1"/>
  <c r="H104" i="33" s="1"/>
  <c r="N952" i="44"/>
  <c r="N762"/>
  <c r="N711"/>
  <c r="N970" s="1"/>
  <c r="AZ130" i="42" s="1"/>
  <c r="AH528" i="44"/>
  <c r="AI379"/>
  <c r="AH551"/>
  <c r="T950"/>
  <c r="T760"/>
  <c r="AA964"/>
  <c r="AA774"/>
  <c r="BM238" i="42" s="1"/>
  <c r="K418" i="44"/>
  <c r="K421" s="1"/>
  <c r="E104" i="33" s="1"/>
  <c r="V950" i="30"/>
  <c r="V760"/>
  <c r="V561"/>
  <c r="AD551"/>
  <c r="AB777"/>
  <c r="Z241" i="42" s="1"/>
  <c r="AB967" i="30"/>
  <c r="U786"/>
  <c r="U832"/>
  <c r="S41" i="42"/>
  <c r="U717" i="30"/>
  <c r="U694"/>
  <c r="U542"/>
  <c r="U740"/>
  <c r="U519"/>
  <c r="U855"/>
  <c r="U809"/>
  <c r="U393"/>
  <c r="S704" i="44"/>
  <c r="BE51" i="42"/>
  <c r="S750" i="44"/>
  <c r="S842"/>
  <c r="S727"/>
  <c r="S598"/>
  <c r="S865"/>
  <c r="S529"/>
  <c r="S796"/>
  <c r="S552"/>
  <c r="S819"/>
  <c r="AA834" i="30"/>
  <c r="AA521"/>
  <c r="AA395"/>
  <c r="AA719"/>
  <c r="Y43" i="42"/>
  <c r="AA788" i="30"/>
  <c r="AA696"/>
  <c r="AA857"/>
  <c r="AA811"/>
  <c r="AA544"/>
  <c r="AA742"/>
  <c r="BA51" i="42"/>
  <c r="O819" i="44"/>
  <c r="O842"/>
  <c r="O727"/>
  <c r="O750"/>
  <c r="O704"/>
  <c r="O598"/>
  <c r="O796"/>
  <c r="O552"/>
  <c r="O865"/>
  <c r="O529"/>
  <c r="O574" s="1"/>
  <c r="BA123" i="42" s="1"/>
  <c r="AF555" i="44"/>
  <c r="AG383"/>
  <c r="AF532"/>
  <c r="BI115" i="42"/>
  <c r="W590" i="44"/>
  <c r="AC777"/>
  <c r="BO241" i="42" s="1"/>
  <c r="AC967" i="44"/>
  <c r="Z967" i="30"/>
  <c r="Z777"/>
  <c r="X241" i="42" s="1"/>
  <c r="X950" i="44"/>
  <c r="X760"/>
  <c r="AN543" i="30"/>
  <c r="AN520"/>
  <c r="AO371"/>
  <c r="AM375"/>
  <c r="AL547"/>
  <c r="AL524"/>
  <c r="W774" i="44"/>
  <c r="BI238" i="42" s="1"/>
  <c r="W964" i="44"/>
  <c r="AL525"/>
  <c r="AM376"/>
  <c r="AL548"/>
  <c r="AE961" i="30"/>
  <c r="AF961" s="1"/>
  <c r="AG961" s="1"/>
  <c r="AH961" s="1"/>
  <c r="AI961" s="1"/>
  <c r="AJ961" s="1"/>
  <c r="AK961" s="1"/>
  <c r="AL961" s="1"/>
  <c r="AM961" s="1"/>
  <c r="AN961" s="1"/>
  <c r="AO961" s="1"/>
  <c r="AP961" s="1"/>
  <c r="AQ961" s="1"/>
  <c r="AR961" s="1"/>
  <c r="AS961" s="1"/>
  <c r="AT961" s="1"/>
  <c r="AU961" s="1"/>
  <c r="AV961" s="1"/>
  <c r="AW961" s="1"/>
  <c r="L930"/>
  <c r="J298" i="42" s="1"/>
  <c r="L938" i="30"/>
  <c r="CE291" i="42" s="1"/>
  <c r="J231"/>
  <c r="BD224"/>
  <c r="Q950" i="44"/>
  <c r="Q760"/>
  <c r="M598"/>
  <c r="M727"/>
  <c r="M704"/>
  <c r="M750"/>
  <c r="M796"/>
  <c r="M819"/>
  <c r="M529"/>
  <c r="M552"/>
  <c r="M865"/>
  <c r="AY51" i="42"/>
  <c r="M842" i="44"/>
  <c r="AA789"/>
  <c r="AA697"/>
  <c r="AA720"/>
  <c r="AA396"/>
  <c r="AA858"/>
  <c r="BM44" i="42"/>
  <c r="AA743" i="44"/>
  <c r="AA812"/>
  <c r="AA835"/>
  <c r="AA545"/>
  <c r="AA522"/>
  <c r="AC532" i="30"/>
  <c r="AC601"/>
  <c r="AC799"/>
  <c r="AC707"/>
  <c r="AD383"/>
  <c r="AC868"/>
  <c r="AC555"/>
  <c r="AC753"/>
  <c r="AC845"/>
  <c r="AA54" i="42"/>
  <c r="AC822" i="30"/>
  <c r="AC730"/>
  <c r="N952"/>
  <c r="N762"/>
  <c r="N924" s="1"/>
  <c r="L291" i="42" s="1"/>
  <c r="N711" i="30"/>
  <c r="N970" s="1"/>
  <c r="L130" i="42" s="1"/>
  <c r="AQ371" i="44"/>
  <c r="AP520"/>
  <c r="AP543"/>
  <c r="M716" i="30"/>
  <c r="M734" s="1"/>
  <c r="K40" i="42"/>
  <c r="M854" i="30"/>
  <c r="M831"/>
  <c r="M518"/>
  <c r="M693"/>
  <c r="M785"/>
  <c r="M739"/>
  <c r="M757" s="1"/>
  <c r="M541"/>
  <c r="M808"/>
  <c r="M392"/>
  <c r="M387"/>
  <c r="M410" s="1"/>
  <c r="M413" a="1"/>
  <c r="M413" s="1"/>
  <c r="M414" a="1"/>
  <c r="M414" s="1"/>
  <c r="M416" a="1"/>
  <c r="M416" s="1"/>
  <c r="M415" a="1"/>
  <c r="M415" s="1"/>
  <c r="M417" a="1"/>
  <c r="M417" s="1"/>
  <c r="Y855" i="44"/>
  <c r="Y542"/>
  <c r="Y717"/>
  <c r="Y809"/>
  <c r="BK41" i="42"/>
  <c r="Y694" i="44"/>
  <c r="Y786"/>
  <c r="Y393"/>
  <c r="Y519"/>
  <c r="Y740"/>
  <c r="Y832"/>
  <c r="P552"/>
  <c r="P842"/>
  <c r="P598"/>
  <c r="P796"/>
  <c r="P819"/>
  <c r="P704"/>
  <c r="P865"/>
  <c r="P529"/>
  <c r="P727"/>
  <c r="BB51" i="42"/>
  <c r="P750" i="44"/>
  <c r="V564"/>
  <c r="AH572"/>
  <c r="X561"/>
  <c r="AI570" i="30"/>
  <c r="AB578" i="44"/>
  <c r="BN127" i="42" s="1"/>
  <c r="T567" i="30"/>
  <c r="AI571" i="44"/>
  <c r="N563" i="30"/>
  <c r="S358"/>
  <c r="Y352"/>
  <c r="O113" i="42"/>
  <c r="Q588" i="30"/>
  <c r="Q336" i="44"/>
  <c r="Z331"/>
  <c r="Z372" s="1"/>
  <c r="O933" i="30"/>
  <c r="M301" i="42" s="1"/>
  <c r="O941" i="30"/>
  <c r="CH294" i="42" s="1"/>
  <c r="O957" i="30"/>
  <c r="O767"/>
  <c r="X336" i="44"/>
  <c r="BA117" i="42"/>
  <c r="O592" i="44"/>
  <c r="W333"/>
  <c r="W373" s="1"/>
  <c r="BK116" i="42"/>
  <c r="Y591" i="44"/>
  <c r="BB117" i="42"/>
  <c r="U337" i="44"/>
  <c r="AB330"/>
  <c r="AB385" s="1"/>
  <c r="T334" i="30"/>
  <c r="T370" s="1"/>
  <c r="AC755" i="44"/>
  <c r="AC824"/>
  <c r="AC603"/>
  <c r="AC847"/>
  <c r="AC732"/>
  <c r="AC557"/>
  <c r="AC870"/>
  <c r="AC709"/>
  <c r="AC534"/>
  <c r="AC801"/>
  <c r="AD385"/>
  <c r="BO56" i="42"/>
  <c r="O940" i="30"/>
  <c r="CH293" i="42" s="1"/>
  <c r="O932" i="30"/>
  <c r="M300" i="42" s="1"/>
  <c r="O931" i="30"/>
  <c r="M299" i="42" s="1"/>
  <c r="O939" i="30"/>
  <c r="CH292" i="42" s="1"/>
  <c r="O934" i="30"/>
  <c r="M302" i="42" s="1"/>
  <c r="O942" i="30"/>
  <c r="CH295" i="42" s="1"/>
  <c r="O938" i="44"/>
  <c r="CH298" i="42" s="1"/>
  <c r="BA231"/>
  <c r="AP558" i="30"/>
  <c r="AQ386"/>
  <c r="AP535"/>
  <c r="K762" i="44"/>
  <c r="K952"/>
  <c r="K711"/>
  <c r="K970" s="1"/>
  <c r="AG378" i="30"/>
  <c r="AI550" i="44"/>
  <c r="AI527"/>
  <c r="AJ378"/>
  <c r="S950" i="30"/>
  <c r="S760"/>
  <c r="S561"/>
  <c r="X857"/>
  <c r="X788"/>
  <c r="V43" i="42"/>
  <c r="X742" i="30"/>
  <c r="X521"/>
  <c r="X834"/>
  <c r="X811"/>
  <c r="X719"/>
  <c r="X395"/>
  <c r="X544"/>
  <c r="X696"/>
  <c r="W720"/>
  <c r="W812"/>
  <c r="W522"/>
  <c r="W697"/>
  <c r="W835"/>
  <c r="U44" i="42"/>
  <c r="W858" i="30"/>
  <c r="W789"/>
  <c r="W545"/>
  <c r="W743"/>
  <c r="W396"/>
  <c r="Z778" i="44"/>
  <c r="BL242" i="42" s="1"/>
  <c r="Z968" i="44"/>
  <c r="BO127" i="42"/>
  <c r="AD556" i="44"/>
  <c r="AE384"/>
  <c r="AD533"/>
  <c r="O529" i="30"/>
  <c r="O796"/>
  <c r="O552"/>
  <c r="M51" i="42"/>
  <c r="O819" i="30"/>
  <c r="O704"/>
  <c r="O842"/>
  <c r="O750"/>
  <c r="O598"/>
  <c r="O727"/>
  <c r="O865"/>
  <c r="V737" i="44"/>
  <c r="V516"/>
  <c r="V783"/>
  <c r="V852"/>
  <c r="BH38" i="42"/>
  <c r="V691" i="44"/>
  <c r="V714"/>
  <c r="V829"/>
  <c r="V539"/>
  <c r="V806"/>
  <c r="V390"/>
  <c r="AK376" i="30"/>
  <c r="AJ525"/>
  <c r="AJ548"/>
  <c r="S938" i="44"/>
  <c r="CL298" i="42" s="1"/>
  <c r="BE231"/>
  <c r="AB967" i="44"/>
  <c r="AB777"/>
  <c r="BN241" i="42" s="1"/>
  <c r="T956" i="30"/>
  <c r="T766"/>
  <c r="R230" i="42" s="1"/>
  <c r="AR535" i="44"/>
  <c r="AS386"/>
  <c r="AR558"/>
  <c r="AK377"/>
  <c r="AJ549"/>
  <c r="AJ526"/>
  <c r="AO375"/>
  <c r="AN524"/>
  <c r="AN547"/>
  <c r="BG224" i="42"/>
  <c r="AI377" i="30"/>
  <c r="AH549"/>
  <c r="AH526"/>
  <c r="N418"/>
  <c r="N424" s="1"/>
  <c r="H48" i="33" s="1"/>
  <c r="AB603" i="30"/>
  <c r="AB824"/>
  <c r="AB801"/>
  <c r="AB870"/>
  <c r="AB709"/>
  <c r="AB847"/>
  <c r="AB732"/>
  <c r="AB755"/>
  <c r="Z56" i="42"/>
  <c r="AB557" i="30"/>
  <c r="AB534"/>
  <c r="L842"/>
  <c r="L819"/>
  <c r="L750"/>
  <c r="L727"/>
  <c r="L598"/>
  <c r="J51" i="42"/>
  <c r="L704" i="30"/>
  <c r="L529"/>
  <c r="L865"/>
  <c r="L552"/>
  <c r="L796"/>
  <c r="W56" i="42"/>
  <c r="Y732" i="30"/>
  <c r="Y755"/>
  <c r="Y870"/>
  <c r="Y801"/>
  <c r="Y824"/>
  <c r="Y534"/>
  <c r="Y709"/>
  <c r="Y603"/>
  <c r="Y847"/>
  <c r="Y557"/>
  <c r="Q737"/>
  <c r="Q829"/>
  <c r="Q539"/>
  <c r="Q691"/>
  <c r="Q714"/>
  <c r="Q852"/>
  <c r="Q516"/>
  <c r="O38" i="42"/>
  <c r="Q806" i="30"/>
  <c r="Q783"/>
  <c r="Q390"/>
  <c r="N563" i="44"/>
  <c r="AO580" i="30"/>
  <c r="AG573" i="44"/>
  <c r="T561"/>
  <c r="AA575"/>
  <c r="BM124" i="42" s="1"/>
  <c r="K563" i="44"/>
  <c r="U356" i="30"/>
  <c r="S361" i="44"/>
  <c r="AA353" i="30"/>
  <c r="O361" i="44"/>
  <c r="Z578" i="30"/>
  <c r="X127" i="42" s="1"/>
  <c r="AM565" i="30"/>
  <c r="AK569"/>
  <c r="T358" i="44"/>
  <c r="M361"/>
  <c r="AA355"/>
  <c r="V358" i="30"/>
  <c r="AM569" i="44"/>
  <c r="AG571" i="30"/>
  <c r="M362"/>
  <c r="M364" s="1"/>
  <c r="G33" i="33" s="1"/>
  <c r="AF577" i="44" l="1"/>
  <c r="F432" i="30"/>
  <c r="D68" i="42" s="1"/>
  <c r="F441" i="30"/>
  <c r="BZ68" i="42" s="1"/>
  <c r="M767" i="44"/>
  <c r="AY231" i="42" s="1"/>
  <c r="P432" i="30"/>
  <c r="N68" i="42" s="1"/>
  <c r="P441" i="30"/>
  <c r="CJ68" i="42" s="1"/>
  <c r="L546" i="44"/>
  <c r="L681" s="1"/>
  <c r="CE188" i="42" s="1"/>
  <c r="L441" i="44"/>
  <c r="CF69" i="42" s="1"/>
  <c r="R432" i="30"/>
  <c r="P68" i="42" s="1"/>
  <c r="R441" i="30"/>
  <c r="CL68" i="42" s="1"/>
  <c r="AF550" i="30"/>
  <c r="AF572" s="1"/>
  <c r="AE379"/>
  <c r="AE551" s="1"/>
  <c r="AC772"/>
  <c r="AA236" i="42" s="1"/>
  <c r="M957" i="44"/>
  <c r="M682" s="1"/>
  <c r="CF189" i="42" s="1"/>
  <c r="P938" i="44"/>
  <c r="CI298" i="42" s="1"/>
  <c r="O924" i="44"/>
  <c r="BA291" i="42" s="1"/>
  <c r="O586" i="44"/>
  <c r="L859"/>
  <c r="L942" s="1"/>
  <c r="CE302" i="42" s="1"/>
  <c r="L813" i="44"/>
  <c r="L940" s="1"/>
  <c r="CE300" i="42" s="1"/>
  <c r="AX45"/>
  <c r="L836" i="44"/>
  <c r="L941" s="1"/>
  <c r="CE301" i="42" s="1"/>
  <c r="L721" i="44"/>
  <c r="L397"/>
  <c r="L442" s="1"/>
  <c r="CF74" i="42" s="1"/>
  <c r="M568" i="44"/>
  <c r="AY117" i="42" s="1"/>
  <c r="L586" i="30"/>
  <c r="O761"/>
  <c r="M225" i="42" s="1"/>
  <c r="L790" i="44"/>
  <c r="L939" s="1"/>
  <c r="CE299" i="42" s="1"/>
  <c r="L523" i="44"/>
  <c r="L698"/>
  <c r="L957" s="1"/>
  <c r="L682" s="1"/>
  <c r="CE189" i="42" s="1"/>
  <c r="L744" i="44"/>
  <c r="P600" i="30"/>
  <c r="O951"/>
  <c r="O664" s="1"/>
  <c r="M180" i="42" s="1"/>
  <c r="S924" i="44"/>
  <c r="BE291" i="42" s="1"/>
  <c r="R844" i="30"/>
  <c r="AA122" i="42"/>
  <c r="G662" i="30"/>
  <c r="E178" i="42" s="1"/>
  <c r="G562" i="30"/>
  <c r="G667" i="44"/>
  <c r="AS187" i="42" s="1"/>
  <c r="G562" i="44"/>
  <c r="M667"/>
  <c r="AY187" i="42" s="1"/>
  <c r="M562" i="44"/>
  <c r="M951"/>
  <c r="M669" s="1"/>
  <c r="AY189" i="42" s="1"/>
  <c r="M761" i="44"/>
  <c r="BB111" i="42"/>
  <c r="P586" i="44"/>
  <c r="G761" i="30"/>
  <c r="E225" i="42" s="1"/>
  <c r="G951" i="30"/>
  <c r="G664" s="1"/>
  <c r="E180" i="42" s="1"/>
  <c r="G951" i="44"/>
  <c r="G669" s="1"/>
  <c r="AS189" i="42" s="1"/>
  <c r="G761" i="44"/>
  <c r="AT39" i="42"/>
  <c r="H517" i="44"/>
  <c r="H391"/>
  <c r="H435" s="1"/>
  <c r="AT74" i="42" s="1"/>
  <c r="H738" i="44"/>
  <c r="H853"/>
  <c r="H928" s="1"/>
  <c r="AT295" i="42" s="1"/>
  <c r="H692" i="44"/>
  <c r="H433"/>
  <c r="AT69" i="42" s="1"/>
  <c r="H784" i="44"/>
  <c r="H925" s="1"/>
  <c r="AT292" i="42" s="1"/>
  <c r="H715" i="44"/>
  <c r="H830"/>
  <c r="H927" s="1"/>
  <c r="AT294" i="42" s="1"/>
  <c r="H807" i="44"/>
  <c r="H926" s="1"/>
  <c r="AT293" i="42" s="1"/>
  <c r="H540" i="44"/>
  <c r="H668" s="1"/>
  <c r="AT188" i="42" s="1"/>
  <c r="F517" i="30"/>
  <c r="D39" i="42"/>
  <c r="F540" i="30"/>
  <c r="F663" s="1"/>
  <c r="D179" i="42" s="1"/>
  <c r="F715" i="30"/>
  <c r="F738"/>
  <c r="F830"/>
  <c r="F853"/>
  <c r="F692"/>
  <c r="F784"/>
  <c r="F391"/>
  <c r="F435" s="1"/>
  <c r="D74" i="42" s="1"/>
  <c r="F807" i="30"/>
  <c r="F433"/>
  <c r="D69" i="42" s="1"/>
  <c r="P924" i="44"/>
  <c r="BB291" i="42" s="1"/>
  <c r="BB225"/>
  <c r="L540" i="44"/>
  <c r="L668" s="1"/>
  <c r="AX188" i="42" s="1"/>
  <c r="L807" i="44"/>
  <c r="L926" s="1"/>
  <c r="AX293" i="42" s="1"/>
  <c r="L391" i="44"/>
  <c r="L435" s="1"/>
  <c r="AX74" i="42" s="1"/>
  <c r="AX39"/>
  <c r="L715" i="44"/>
  <c r="L517"/>
  <c r="L433"/>
  <c r="AX69" i="42" s="1"/>
  <c r="L830" i="44"/>
  <c r="L927" s="1"/>
  <c r="AX294" i="42" s="1"/>
  <c r="L692" i="44"/>
  <c r="L738"/>
  <c r="L784"/>
  <c r="L925" s="1"/>
  <c r="AX292" i="42" s="1"/>
  <c r="L853" i="44"/>
  <c r="L928" s="1"/>
  <c r="AX295" i="42" s="1"/>
  <c r="P368" i="30"/>
  <c r="P433" s="1"/>
  <c r="N69" i="42" s="1"/>
  <c r="R368" i="30"/>
  <c r="R807" s="1"/>
  <c r="AD578" i="44"/>
  <c r="U564" i="30"/>
  <c r="S113" i="42" s="1"/>
  <c r="R729" i="30"/>
  <c r="P554"/>
  <c r="P729"/>
  <c r="R798"/>
  <c r="P844"/>
  <c r="P531"/>
  <c r="P576" s="1"/>
  <c r="N125" i="42" s="1"/>
  <c r="P821" i="30"/>
  <c r="R554"/>
  <c r="R752"/>
  <c r="O592"/>
  <c r="N53" i="42"/>
  <c r="P752" i="30"/>
  <c r="P798"/>
  <c r="P867"/>
  <c r="R706"/>
  <c r="R775" s="1"/>
  <c r="P239" i="42" s="1"/>
  <c r="R600" i="30"/>
  <c r="R531"/>
  <c r="P53" i="42"/>
  <c r="R867" i="30"/>
  <c r="O682"/>
  <c r="CH180" i="42" s="1"/>
  <c r="O669" i="30"/>
  <c r="M189" i="42" s="1"/>
  <c r="N423" i="44"/>
  <c r="H106" i="33" s="1"/>
  <c r="AP580" i="30"/>
  <c r="U382" i="44"/>
  <c r="U706" s="1"/>
  <c r="O586" i="30"/>
  <c r="M111" i="42"/>
  <c r="D924" i="44"/>
  <c r="AP291" i="42" s="1"/>
  <c r="AP225"/>
  <c r="AP111"/>
  <c r="D586" i="44"/>
  <c r="N424"/>
  <c r="H107" i="33" s="1"/>
  <c r="N425" i="44"/>
  <c r="H108" i="33" s="1"/>
  <c r="N422" i="44"/>
  <c r="H105" i="33" s="1"/>
  <c r="K425" i="44"/>
  <c r="E108" i="33" s="1"/>
  <c r="F416" i="44" a="1"/>
  <c r="F414" a="1"/>
  <c r="F417" a="1"/>
  <c r="F415" a="1"/>
  <c r="F413" a="1"/>
  <c r="D361" i="30"/>
  <c r="M803"/>
  <c r="K259" i="42" s="1"/>
  <c r="M925" i="30"/>
  <c r="K292" i="42" s="1"/>
  <c r="M872" i="30"/>
  <c r="K262" i="42" s="1"/>
  <c r="M928" i="30"/>
  <c r="K295" i="42" s="1"/>
  <c r="M826" i="30"/>
  <c r="K260" i="42" s="1"/>
  <c r="M926" i="30"/>
  <c r="K293" i="42" s="1"/>
  <c r="M849" i="30"/>
  <c r="K261" i="42" s="1"/>
  <c r="M927" i="30"/>
  <c r="K294" i="42" s="1"/>
  <c r="Q585" i="44"/>
  <c r="K422"/>
  <c r="E105" i="33" s="1"/>
  <c r="N423" i="30"/>
  <c r="H47" i="33" s="1"/>
  <c r="K423" i="44"/>
  <c r="E106" i="33" s="1"/>
  <c r="BE578" i="44"/>
  <c r="K424"/>
  <c r="E107" i="33" s="1"/>
  <c r="H361" i="44"/>
  <c r="H340" s="1"/>
  <c r="D568"/>
  <c r="AP117" i="42" s="1"/>
  <c r="F362" i="44"/>
  <c r="F364" s="1"/>
  <c r="D930" i="30"/>
  <c r="B298" i="42" s="1"/>
  <c r="B231"/>
  <c r="D938" i="30"/>
  <c r="BW291" i="42" s="1"/>
  <c r="G938" i="30"/>
  <c r="BZ291" i="42" s="1"/>
  <c r="G930" i="30"/>
  <c r="E298" i="42" s="1"/>
  <c r="E231"/>
  <c r="F933" i="30"/>
  <c r="D301" i="42" s="1"/>
  <c r="F941" i="30"/>
  <c r="BY294" i="42" s="1"/>
  <c r="F957" i="30"/>
  <c r="F669" s="1"/>
  <c r="D189" i="42" s="1"/>
  <c r="F767" i="30"/>
  <c r="F942"/>
  <c r="BY295" i="42" s="1"/>
  <c r="F934" i="30"/>
  <c r="D302" i="42" s="1"/>
  <c r="G963" i="44"/>
  <c r="G773"/>
  <c r="AS237" i="42" s="1"/>
  <c r="D865" i="30"/>
  <c r="D842"/>
  <c r="B51" i="42"/>
  <c r="D819" i="30"/>
  <c r="D598"/>
  <c r="D529"/>
  <c r="D727"/>
  <c r="D796"/>
  <c r="D552"/>
  <c r="D750"/>
  <c r="D704"/>
  <c r="D339" i="44"/>
  <c r="D380" s="1"/>
  <c r="G340"/>
  <c r="G369" s="1"/>
  <c r="H957"/>
  <c r="H767"/>
  <c r="G796" i="30"/>
  <c r="G598"/>
  <c r="G819"/>
  <c r="G704"/>
  <c r="G552"/>
  <c r="G529"/>
  <c r="G727"/>
  <c r="G842"/>
  <c r="E51" i="42"/>
  <c r="G750" i="30"/>
  <c r="G865"/>
  <c r="F432" i="44"/>
  <c r="AR68" i="42" s="1"/>
  <c r="F541" i="44"/>
  <c r="AR40" i="42"/>
  <c r="F716" i="44"/>
  <c r="F734" s="1"/>
  <c r="F392"/>
  <c r="F434" s="1"/>
  <c r="AR73" i="42" s="1"/>
  <c r="F518" i="44"/>
  <c r="F563" s="1"/>
  <c r="F831"/>
  <c r="F849" s="1"/>
  <c r="AR261" i="42" s="1"/>
  <c r="F693" i="44"/>
  <c r="F854"/>
  <c r="F872" s="1"/>
  <c r="AR262" i="42" s="1"/>
  <c r="F808" i="44"/>
  <c r="F826" s="1"/>
  <c r="AR260" i="42" s="1"/>
  <c r="F785" i="44"/>
  <c r="F803" s="1"/>
  <c r="AR259" i="42" s="1"/>
  <c r="F739" i="44"/>
  <c r="F757" s="1"/>
  <c r="F415"/>
  <c r="F417"/>
  <c r="F387"/>
  <c r="F410" s="1"/>
  <c r="F416"/>
  <c r="F413"/>
  <c r="F414"/>
  <c r="H336" i="30"/>
  <c r="H704" i="44"/>
  <c r="H552"/>
  <c r="AT51" i="42"/>
  <c r="H727" i="44"/>
  <c r="H842"/>
  <c r="H598"/>
  <c r="H750"/>
  <c r="H865"/>
  <c r="H796"/>
  <c r="H529"/>
  <c r="H574" s="1"/>
  <c r="AT123" i="42" s="1"/>
  <c r="H819" i="44"/>
  <c r="D957"/>
  <c r="D767"/>
  <c r="F931" i="30"/>
  <c r="D299" i="42" s="1"/>
  <c r="F939" i="30"/>
  <c r="BY292" i="42" s="1"/>
  <c r="F932" i="30"/>
  <c r="D300" i="42" s="1"/>
  <c r="F940" i="30"/>
  <c r="BY293" i="42" s="1"/>
  <c r="D340" i="30"/>
  <c r="D369" s="1"/>
  <c r="F339"/>
  <c r="F380" s="1"/>
  <c r="H950"/>
  <c r="H760"/>
  <c r="H680"/>
  <c r="CA178" i="42" s="1"/>
  <c r="H561" i="30"/>
  <c r="H681"/>
  <c r="CA179" i="42" s="1"/>
  <c r="G938" i="44"/>
  <c r="BZ298" i="42" s="1"/>
  <c r="AS231"/>
  <c r="F568" i="30"/>
  <c r="D117" i="42" s="1"/>
  <c r="H568" i="44"/>
  <c r="AT117" i="42" s="1"/>
  <c r="G361" i="30"/>
  <c r="AD573"/>
  <c r="L680" i="44"/>
  <c r="CE187" i="42" s="1"/>
  <c r="P360" i="30"/>
  <c r="P339" s="1"/>
  <c r="P380" s="1"/>
  <c r="Y564" i="44"/>
  <c r="BK113" i="42" s="1"/>
  <c r="AI572" i="44"/>
  <c r="L361"/>
  <c r="L340" s="1"/>
  <c r="L369" s="1"/>
  <c r="Y357"/>
  <c r="Y336" s="1"/>
  <c r="R359"/>
  <c r="R338" s="1"/>
  <c r="R374" s="1"/>
  <c r="R441" s="1"/>
  <c r="CL69" i="42" s="1"/>
  <c r="AJ570" i="30"/>
  <c r="X566"/>
  <c r="V115" i="42" s="1"/>
  <c r="W355" i="44"/>
  <c r="W334" s="1"/>
  <c r="W370" s="1"/>
  <c r="Z353"/>
  <c r="Z332" s="1"/>
  <c r="Z381" s="1"/>
  <c r="Q358"/>
  <c r="Q337" s="1"/>
  <c r="Q382" s="1"/>
  <c r="Y588"/>
  <c r="L362" i="30"/>
  <c r="L364" s="1"/>
  <c r="F33" i="33" s="1"/>
  <c r="AP565" i="44"/>
  <c r="AB353" i="30"/>
  <c r="AB332" s="1"/>
  <c r="AB381" s="1"/>
  <c r="M574" i="44"/>
  <c r="AY123" i="42" s="1"/>
  <c r="N421" i="30"/>
  <c r="H45" i="33" s="1"/>
  <c r="AC351" i="30"/>
  <c r="AC330" s="1"/>
  <c r="AC385" s="1"/>
  <c r="R360"/>
  <c r="R339" s="1"/>
  <c r="R380" s="1"/>
  <c r="U359" i="44"/>
  <c r="U338" s="1"/>
  <c r="U374" s="1"/>
  <c r="U441" s="1"/>
  <c r="CO69" i="42" s="1"/>
  <c r="AC353" i="44"/>
  <c r="AC332" s="1"/>
  <c r="AC381" s="1"/>
  <c r="AC404" s="1"/>
  <c r="M563" i="30"/>
  <c r="M587" s="1"/>
  <c r="AN565"/>
  <c r="AA567" i="44"/>
  <c r="BM116" i="42" s="1"/>
  <c r="V358" i="44"/>
  <c r="V337" s="1"/>
  <c r="V382" s="1"/>
  <c r="AL569" i="30"/>
  <c r="U588"/>
  <c r="BA966" i="44"/>
  <c r="BC966" s="1"/>
  <c r="AA334"/>
  <c r="AA370" s="1"/>
  <c r="T337"/>
  <c r="S340"/>
  <c r="S369" s="1"/>
  <c r="BF110" i="42"/>
  <c r="T585" i="44"/>
  <c r="AZ112" i="42"/>
  <c r="N581" i="44"/>
  <c r="N587"/>
  <c r="V337" i="30"/>
  <c r="M340" i="44"/>
  <c r="M369" s="1"/>
  <c r="AA332" i="30"/>
  <c r="AA381" s="1"/>
  <c r="U335"/>
  <c r="U367" s="1"/>
  <c r="Q760"/>
  <c r="Q950"/>
  <c r="Y539" i="44"/>
  <c r="Y783"/>
  <c r="Y691"/>
  <c r="BK38" i="42"/>
  <c r="Y737" i="44"/>
  <c r="Y390"/>
  <c r="Y852"/>
  <c r="Y516"/>
  <c r="Y829"/>
  <c r="Y714"/>
  <c r="Y806"/>
  <c r="R798"/>
  <c r="R752"/>
  <c r="R844"/>
  <c r="R554"/>
  <c r="R729"/>
  <c r="BD53" i="42"/>
  <c r="R600" i="44"/>
  <c r="R706"/>
  <c r="R821"/>
  <c r="R531"/>
  <c r="R576" s="1"/>
  <c r="BD125" i="42" s="1"/>
  <c r="R867" i="44"/>
  <c r="AB968" i="30"/>
  <c r="AB778"/>
  <c r="Z242" i="42" s="1"/>
  <c r="AC731" i="30"/>
  <c r="AC846"/>
  <c r="AA55" i="42"/>
  <c r="AC556" i="30"/>
  <c r="AC869"/>
  <c r="AC708"/>
  <c r="AC754"/>
  <c r="AC800"/>
  <c r="AC533"/>
  <c r="AC602"/>
  <c r="AC823"/>
  <c r="AD384"/>
  <c r="AJ377"/>
  <c r="AI549"/>
  <c r="AI526"/>
  <c r="AL377" i="44"/>
  <c r="AK549"/>
  <c r="AK526"/>
  <c r="AS535"/>
  <c r="AT386"/>
  <c r="AS558"/>
  <c r="AK525" i="30"/>
  <c r="AL376"/>
  <c r="AK548"/>
  <c r="V950" i="44"/>
  <c r="V760"/>
  <c r="O963" i="30"/>
  <c r="O773"/>
  <c r="M237" i="42" s="1"/>
  <c r="W956" i="30"/>
  <c r="W766"/>
  <c r="U230" i="42" s="1"/>
  <c r="R744" i="30"/>
  <c r="R721"/>
  <c r="R698"/>
  <c r="R836"/>
  <c r="P45" i="42"/>
  <c r="R859" i="30"/>
  <c r="R523"/>
  <c r="R790"/>
  <c r="R813"/>
  <c r="R546"/>
  <c r="R397"/>
  <c r="Q110" i="42"/>
  <c r="S585" i="30"/>
  <c r="Q224" i="42"/>
  <c r="AK378" i="44"/>
  <c r="AJ550"/>
  <c r="AJ527"/>
  <c r="AH378" i="30"/>
  <c r="AG550"/>
  <c r="AG527"/>
  <c r="AW130" i="42"/>
  <c r="AW226"/>
  <c r="K780" i="44"/>
  <c r="E109" i="33" s="1"/>
  <c r="AQ535" i="30"/>
  <c r="AR386"/>
  <c r="AQ558"/>
  <c r="AE385" i="44"/>
  <c r="AD557"/>
  <c r="AD534"/>
  <c r="W812"/>
  <c r="BI44" i="42"/>
  <c r="W858" i="44"/>
  <c r="W545"/>
  <c r="W743"/>
  <c r="W789"/>
  <c r="W522"/>
  <c r="W697"/>
  <c r="W835"/>
  <c r="W720"/>
  <c r="W396"/>
  <c r="AC788"/>
  <c r="AC857"/>
  <c r="BO43" i="42"/>
  <c r="AD372" i="44"/>
  <c r="AC811"/>
  <c r="AC544"/>
  <c r="AC696"/>
  <c r="AC742"/>
  <c r="AC395"/>
  <c r="AC521"/>
  <c r="AC566" s="1"/>
  <c r="AC590" s="1"/>
  <c r="AC719"/>
  <c r="AC834"/>
  <c r="Z834"/>
  <c r="BL43" i="42"/>
  <c r="Z696" i="44"/>
  <c r="Z395"/>
  <c r="Z544"/>
  <c r="Z742"/>
  <c r="Z788"/>
  <c r="Z811"/>
  <c r="Z719"/>
  <c r="Z857"/>
  <c r="Z521"/>
  <c r="S337" i="30"/>
  <c r="R116" i="42"/>
  <c r="T591" i="30"/>
  <c r="BH113" i="42"/>
  <c r="V588" i="44"/>
  <c r="P773"/>
  <c r="BB237" i="42" s="1"/>
  <c r="P963" i="44"/>
  <c r="Y953"/>
  <c r="Y763"/>
  <c r="BK227" i="42" s="1"/>
  <c r="M418" i="30"/>
  <c r="M421" s="1"/>
  <c r="G45" i="33" s="1"/>
  <c r="L808" i="30"/>
  <c r="L739"/>
  <c r="L757" s="1"/>
  <c r="L831"/>
  <c r="L392"/>
  <c r="L854"/>
  <c r="L785"/>
  <c r="J40" i="42"/>
  <c r="L541" i="30"/>
  <c r="L693"/>
  <c r="L518"/>
  <c r="L563" s="1"/>
  <c r="L716"/>
  <c r="L734" s="1"/>
  <c r="L587"/>
  <c r="L415" a="1"/>
  <c r="L415" s="1"/>
  <c r="L414" a="1"/>
  <c r="L414" s="1"/>
  <c r="L417" a="1"/>
  <c r="L417" s="1"/>
  <c r="L387"/>
  <c r="L410" s="1"/>
  <c r="L416" a="1"/>
  <c r="L416" s="1"/>
  <c r="L413" a="1"/>
  <c r="L413" s="1"/>
  <c r="AQ543" i="44"/>
  <c r="AQ520"/>
  <c r="AR371"/>
  <c r="AB521" i="30"/>
  <c r="AB834"/>
  <c r="AB719"/>
  <c r="AB544"/>
  <c r="AB395"/>
  <c r="Z43" i="42"/>
  <c r="AB811" i="30"/>
  <c r="AB696"/>
  <c r="AB788"/>
  <c r="AB742"/>
  <c r="AB857"/>
  <c r="L226" i="42"/>
  <c r="N780" i="30"/>
  <c r="H50" i="33" s="1"/>
  <c r="H55" s="1"/>
  <c r="AC966" i="30"/>
  <c r="AC776"/>
  <c r="AA240" i="42" s="1"/>
  <c r="AO543" i="30"/>
  <c r="AO520"/>
  <c r="AP371"/>
  <c r="BJ224" i="42"/>
  <c r="AD967" i="44"/>
  <c r="BE967"/>
  <c r="AG555"/>
  <c r="AH383"/>
  <c r="AG532"/>
  <c r="L529"/>
  <c r="L865"/>
  <c r="L796"/>
  <c r="AX51" i="42"/>
  <c r="L842" i="44"/>
  <c r="L727"/>
  <c r="L598"/>
  <c r="L552"/>
  <c r="L704"/>
  <c r="L819"/>
  <c r="L750"/>
  <c r="P836" i="30"/>
  <c r="P813"/>
  <c r="P859"/>
  <c r="P744"/>
  <c r="P721"/>
  <c r="N45" i="42"/>
  <c r="P698" i="30"/>
  <c r="P790"/>
  <c r="P546"/>
  <c r="P523"/>
  <c r="P667" s="1"/>
  <c r="N187" i="42" s="1"/>
  <c r="P397" i="30"/>
  <c r="O773" i="44"/>
  <c r="BA237" i="42" s="1"/>
  <c r="O963" i="44"/>
  <c r="AA955" i="30"/>
  <c r="AA765"/>
  <c r="Y229" i="42" s="1"/>
  <c r="S963" i="44"/>
  <c r="S773"/>
  <c r="BE237" i="42" s="1"/>
  <c r="AD962" i="30"/>
  <c r="BE962"/>
  <c r="T110" i="42"/>
  <c r="V585" i="30"/>
  <c r="T224" i="42"/>
  <c r="AJ379" i="44"/>
  <c r="AI528"/>
  <c r="AI551"/>
  <c r="P362"/>
  <c r="P364" s="1"/>
  <c r="J92" i="33" s="1"/>
  <c r="Y579" i="30"/>
  <c r="W128" i="42" s="1"/>
  <c r="L574" i="30"/>
  <c r="AB579"/>
  <c r="Z128" i="42" s="1"/>
  <c r="AH571" i="30"/>
  <c r="AN569" i="44"/>
  <c r="AJ571"/>
  <c r="AC579"/>
  <c r="T356" i="30"/>
  <c r="AB352" i="44"/>
  <c r="X358"/>
  <c r="N425" i="30"/>
  <c r="H49" i="33" s="1"/>
  <c r="N422" i="30"/>
  <c r="H46" i="33" s="1"/>
  <c r="P574" i="44"/>
  <c r="BB123" i="42" s="1"/>
  <c r="Q358" i="30"/>
  <c r="BA961"/>
  <c r="BC961" s="1"/>
  <c r="AL570" i="44"/>
  <c r="O362" i="30"/>
  <c r="O364" s="1"/>
  <c r="I33" i="33" s="1"/>
  <c r="W356" i="30"/>
  <c r="X354"/>
  <c r="AA566"/>
  <c r="Z352"/>
  <c r="O340" i="44"/>
  <c r="O369" s="1"/>
  <c r="AW112" i="42"/>
  <c r="K581" i="44"/>
  <c r="K587"/>
  <c r="P432"/>
  <c r="BB68" i="42" s="1"/>
  <c r="P716" i="44"/>
  <c r="P734" s="1"/>
  <c r="P808"/>
  <c r="P826" s="1"/>
  <c r="BB260" i="42" s="1"/>
  <c r="P518" i="44"/>
  <c r="BB40" i="42"/>
  <c r="P739" i="44"/>
  <c r="P757" s="1"/>
  <c r="P854"/>
  <c r="P872" s="1"/>
  <c r="BB262" i="42" s="1"/>
  <c r="P693" i="44"/>
  <c r="P541"/>
  <c r="P785"/>
  <c r="P803" s="1"/>
  <c r="BB259" i="42" s="1"/>
  <c r="P831" i="44"/>
  <c r="P849" s="1"/>
  <c r="BB261" i="42" s="1"/>
  <c r="P392" i="44"/>
  <c r="P434" s="1"/>
  <c r="BB73" i="42" s="1"/>
  <c r="P415" i="44" a="1"/>
  <c r="P415" s="1"/>
  <c r="P387"/>
  <c r="P410" s="1"/>
  <c r="P417" a="1"/>
  <c r="P417" s="1"/>
  <c r="P413" a="1"/>
  <c r="P413" s="1"/>
  <c r="P416" a="1"/>
  <c r="P416" s="1"/>
  <c r="P414" a="1"/>
  <c r="P414" s="1"/>
  <c r="Q561" i="30"/>
  <c r="Y968"/>
  <c r="Y778"/>
  <c r="W242" i="42" s="1"/>
  <c r="L963" i="30"/>
  <c r="L773"/>
  <c r="J237" i="42" s="1"/>
  <c r="AO547" i="44"/>
  <c r="AO524"/>
  <c r="AP375"/>
  <c r="AE533"/>
  <c r="AE556"/>
  <c r="AF384"/>
  <c r="X955" i="30"/>
  <c r="X765"/>
  <c r="V229" i="42" s="1"/>
  <c r="P965" i="30"/>
  <c r="AC968" i="44"/>
  <c r="AC778"/>
  <c r="BO242" i="42" s="1"/>
  <c r="R41"/>
  <c r="T740" i="30"/>
  <c r="T832"/>
  <c r="T519"/>
  <c r="T694"/>
  <c r="T809"/>
  <c r="T717"/>
  <c r="T786"/>
  <c r="T855"/>
  <c r="T542"/>
  <c r="T393"/>
  <c r="AB709" i="44"/>
  <c r="AB801"/>
  <c r="BN56" i="42"/>
  <c r="AB847" i="44"/>
  <c r="AB603"/>
  <c r="AB870"/>
  <c r="AB534"/>
  <c r="AB557"/>
  <c r="AB824"/>
  <c r="AB755"/>
  <c r="AB732"/>
  <c r="O938" i="30"/>
  <c r="CH291" i="42" s="1"/>
  <c r="O930" i="30"/>
  <c r="M298" i="42" s="1"/>
  <c r="M231"/>
  <c r="Y331" i="30"/>
  <c r="Y372" s="1"/>
  <c r="L112" i="42"/>
  <c r="N581" i="30"/>
  <c r="N587"/>
  <c r="BJ110" i="42"/>
  <c r="X585" i="44"/>
  <c r="M952" i="30"/>
  <c r="M762"/>
  <c r="M924" s="1"/>
  <c r="K291" i="42" s="1"/>
  <c r="M711" i="30"/>
  <c r="M970" s="1"/>
  <c r="K130" i="42" s="1"/>
  <c r="AE383" i="30"/>
  <c r="AD532"/>
  <c r="AD555"/>
  <c r="AA956" i="44"/>
  <c r="AA766"/>
  <c r="BM230" i="42" s="1"/>
  <c r="M963" i="44"/>
  <c r="M773"/>
  <c r="AY237" i="42" s="1"/>
  <c r="BC224"/>
  <c r="AM525" i="44"/>
  <c r="AM548"/>
  <c r="AN376"/>
  <c r="AN375" i="30"/>
  <c r="AM524"/>
  <c r="AM547"/>
  <c r="O831"/>
  <c r="O854"/>
  <c r="O541"/>
  <c r="O518"/>
  <c r="O808"/>
  <c r="O716"/>
  <c r="O734" s="1"/>
  <c r="M40" i="42"/>
  <c r="O739" i="30"/>
  <c r="O757" s="1"/>
  <c r="O693"/>
  <c r="O785"/>
  <c r="O392"/>
  <c r="O387"/>
  <c r="O410" s="1"/>
  <c r="O414" a="1"/>
  <c r="O414" s="1"/>
  <c r="O413" a="1"/>
  <c r="O413" s="1"/>
  <c r="O415" a="1"/>
  <c r="O415" s="1"/>
  <c r="O416" a="1"/>
  <c r="O416" s="1"/>
  <c r="O417" a="1"/>
  <c r="O417" s="1"/>
  <c r="W717"/>
  <c r="U41" i="42"/>
  <c r="W855" i="30"/>
  <c r="W740"/>
  <c r="W832"/>
  <c r="W542"/>
  <c r="W786"/>
  <c r="W809"/>
  <c r="W694"/>
  <c r="W519"/>
  <c r="W393"/>
  <c r="X728"/>
  <c r="X866"/>
  <c r="X530"/>
  <c r="X599"/>
  <c r="X820"/>
  <c r="X705"/>
  <c r="V52" i="42"/>
  <c r="X797" i="30"/>
  <c r="X751"/>
  <c r="X843"/>
  <c r="X553"/>
  <c r="U763"/>
  <c r="S227" i="42" s="1"/>
  <c r="U953" i="30"/>
  <c r="BF224" i="42"/>
  <c r="AZ226"/>
  <c r="N780" i="44"/>
  <c r="H109" i="33" s="1"/>
  <c r="Z870" i="30"/>
  <c r="Z801"/>
  <c r="Z824"/>
  <c r="Z755"/>
  <c r="Z732"/>
  <c r="Z709"/>
  <c r="Z534"/>
  <c r="Z557"/>
  <c r="X56" i="42"/>
  <c r="Z847" i="30"/>
  <c r="Z603"/>
  <c r="AR580" i="44"/>
  <c r="V561"/>
  <c r="O574" i="30"/>
  <c r="M123" i="42" s="1"/>
  <c r="W567" i="30"/>
  <c r="AC577"/>
  <c r="S574" i="44"/>
  <c r="BE123" i="42" s="1"/>
  <c r="AH573" i="44"/>
  <c r="H95" i="33" l="1"/>
  <c r="BR70"/>
  <c r="E95"/>
  <c r="BO70"/>
  <c r="M938" i="44"/>
  <c r="CF298" i="42" s="1"/>
  <c r="AE528" i="30"/>
  <c r="AE573" s="1"/>
  <c r="AF379"/>
  <c r="AG379" s="1"/>
  <c r="L568" i="44"/>
  <c r="L592" s="1"/>
  <c r="P434" i="30"/>
  <c r="N73" i="42" s="1"/>
  <c r="P442" i="30"/>
  <c r="CJ73" i="42" s="1"/>
  <c r="R434" i="30"/>
  <c r="P73" i="42" s="1"/>
  <c r="R442" i="30"/>
  <c r="CL73" i="42" s="1"/>
  <c r="R692" i="30"/>
  <c r="P853"/>
  <c r="M422"/>
  <c r="G46" i="33" s="1"/>
  <c r="L767" i="44"/>
  <c r="AX231" i="42" s="1"/>
  <c r="P715" i="30"/>
  <c r="R784"/>
  <c r="R830"/>
  <c r="P807"/>
  <c r="M592" i="44"/>
  <c r="P784" i="30"/>
  <c r="P517"/>
  <c r="P662" s="1"/>
  <c r="N178" i="42" s="1"/>
  <c r="P830" i="30"/>
  <c r="R391"/>
  <c r="R435" s="1"/>
  <c r="P74" i="42" s="1"/>
  <c r="P39"/>
  <c r="R433" i="30"/>
  <c r="P69" i="42" s="1"/>
  <c r="P391" i="30"/>
  <c r="P435" s="1"/>
  <c r="N74" i="42" s="1"/>
  <c r="P738" i="30"/>
  <c r="P692"/>
  <c r="P540"/>
  <c r="P663" s="1"/>
  <c r="N179" i="42" s="1"/>
  <c r="N39"/>
  <c r="R853" i="30"/>
  <c r="R517"/>
  <c r="R715"/>
  <c r="R738"/>
  <c r="R540"/>
  <c r="R663" s="1"/>
  <c r="P179" i="42" s="1"/>
  <c r="L951" i="44"/>
  <c r="L669" s="1"/>
  <c r="AX189" i="42" s="1"/>
  <c r="L761" i="44"/>
  <c r="F562" i="30"/>
  <c r="F662"/>
  <c r="D178" i="42" s="1"/>
  <c r="U368" i="44"/>
  <c r="U540" s="1"/>
  <c r="U668" s="1"/>
  <c r="BG188" i="42" s="1"/>
  <c r="L562" i="44"/>
  <c r="L667"/>
  <c r="AX187" i="42" s="1"/>
  <c r="F951" i="30"/>
  <c r="F664" s="1"/>
  <c r="D180" i="42" s="1"/>
  <c r="F761" i="30"/>
  <c r="D225" i="42" s="1"/>
  <c r="H761" i="44"/>
  <c r="H951"/>
  <c r="H669" s="1"/>
  <c r="AT189" i="42" s="1"/>
  <c r="H667" i="44"/>
  <c r="AT187" i="42" s="1"/>
  <c r="H562" i="44"/>
  <c r="G924"/>
  <c r="AS291" i="42" s="1"/>
  <c r="AS225"/>
  <c r="AY225"/>
  <c r="M924" i="44"/>
  <c r="AY291" i="42" s="1"/>
  <c r="AY111"/>
  <c r="M586" i="44"/>
  <c r="AS111" i="42"/>
  <c r="G586" i="44"/>
  <c r="E111" i="42"/>
  <c r="G586" i="30"/>
  <c r="R368" i="44"/>
  <c r="R738" s="1"/>
  <c r="AG577"/>
  <c r="U531"/>
  <c r="R576" i="30"/>
  <c r="P125" i="42" s="1"/>
  <c r="P775" i="30"/>
  <c r="N239" i="42" s="1"/>
  <c r="R965" i="30"/>
  <c r="U729" i="44"/>
  <c r="M581" i="30"/>
  <c r="M582" s="1"/>
  <c r="M606" s="1"/>
  <c r="K133" i="42" s="1"/>
  <c r="U752" i="44"/>
  <c r="U775" s="1"/>
  <c r="BG239" i="42" s="1"/>
  <c r="U600" i="44"/>
  <c r="U844"/>
  <c r="AX117" i="42"/>
  <c r="BG53"/>
  <c r="U798" i="44"/>
  <c r="U821"/>
  <c r="U554"/>
  <c r="U867"/>
  <c r="P681" i="30"/>
  <c r="CI179" i="42" s="1"/>
  <c r="P668" i="30"/>
  <c r="N188" i="42" s="1"/>
  <c r="R681" i="30"/>
  <c r="CK179" i="42" s="1"/>
  <c r="R668" i="30"/>
  <c r="P188" i="42" s="1"/>
  <c r="R680" i="30"/>
  <c r="CK178" i="42" s="1"/>
  <c r="R667" i="30"/>
  <c r="P187" i="42" s="1"/>
  <c r="V382" i="30"/>
  <c r="V844" s="1"/>
  <c r="R951"/>
  <c r="R664" s="1"/>
  <c r="P180" i="42" s="1"/>
  <c r="P951" i="30"/>
  <c r="P664" s="1"/>
  <c r="N180" i="42" s="1"/>
  <c r="R433" i="44"/>
  <c r="BD69" i="42" s="1"/>
  <c r="S382" i="30"/>
  <c r="S531" s="1"/>
  <c r="T382" i="44"/>
  <c r="T867" s="1"/>
  <c r="R662" i="30"/>
  <c r="P178" i="42" s="1"/>
  <c r="G574" i="30"/>
  <c r="E123" i="42" s="1"/>
  <c r="AA591" i="44"/>
  <c r="H35" i="33"/>
  <c r="H96"/>
  <c r="H114"/>
  <c r="E96"/>
  <c r="E114"/>
  <c r="D415" i="30" a="1"/>
  <c r="D417" a="1"/>
  <c r="D413" a="1"/>
  <c r="D414" a="1"/>
  <c r="D416" a="1"/>
  <c r="G414" i="44" a="1"/>
  <c r="G413" a="1"/>
  <c r="G415" a="1"/>
  <c r="G416" a="1"/>
  <c r="G417" a="1"/>
  <c r="O826" i="30"/>
  <c r="M260" i="42" s="1"/>
  <c r="O926" i="30"/>
  <c r="M293" i="42" s="1"/>
  <c r="O849" i="30"/>
  <c r="M261" i="42" s="1"/>
  <c r="O927" i="30"/>
  <c r="M294" i="42" s="1"/>
  <c r="L872" i="30"/>
  <c r="J262" i="42" s="1"/>
  <c r="L928" i="30"/>
  <c r="J295" i="42" s="1"/>
  <c r="L849" i="30"/>
  <c r="J261" i="42" s="1"/>
  <c r="L927" i="30"/>
  <c r="J294" i="42" s="1"/>
  <c r="L826" i="30"/>
  <c r="J260" i="42" s="1"/>
  <c r="L926" i="30"/>
  <c r="J293" i="42" s="1"/>
  <c r="O803" i="30"/>
  <c r="M259" i="42" s="1"/>
  <c r="O925" i="30"/>
  <c r="M292" i="42" s="1"/>
  <c r="O872" i="30"/>
  <c r="M262" i="42" s="1"/>
  <c r="O928" i="30"/>
  <c r="M295" i="42" s="1"/>
  <c r="L803" i="30"/>
  <c r="J259" i="42" s="1"/>
  <c r="L925" i="30"/>
  <c r="J292" i="42" s="1"/>
  <c r="M423" i="30"/>
  <c r="G47" i="33" s="1"/>
  <c r="K112" i="42"/>
  <c r="M424" i="30"/>
  <c r="G48" i="33" s="1"/>
  <c r="X590" i="30"/>
  <c r="H369" i="44"/>
  <c r="H392" s="1"/>
  <c r="H434" s="1"/>
  <c r="AT73" i="42" s="1"/>
  <c r="H362" i="44"/>
  <c r="H364" s="1"/>
  <c r="M425" i="30"/>
  <c r="G49" i="33" s="1"/>
  <c r="F361" i="30"/>
  <c r="F340" s="1"/>
  <c r="F369" s="1"/>
  <c r="D362"/>
  <c r="D364" s="1"/>
  <c r="D361" i="44"/>
  <c r="D938"/>
  <c r="BW298" i="42" s="1"/>
  <c r="AP231"/>
  <c r="H963" i="44"/>
  <c r="H773"/>
  <c r="AT237" i="42" s="1"/>
  <c r="F418" i="44"/>
  <c r="F421" s="1"/>
  <c r="G963" i="30"/>
  <c r="G773"/>
  <c r="E237" i="42" s="1"/>
  <c r="AT231"/>
  <c r="H938" i="44"/>
  <c r="CA298" i="42" s="1"/>
  <c r="G739" i="44"/>
  <c r="G757" s="1"/>
  <c r="G854"/>
  <c r="G872" s="1"/>
  <c r="AS262" i="42" s="1"/>
  <c r="G808" i="44"/>
  <c r="G826" s="1"/>
  <c r="AS260" i="42" s="1"/>
  <c r="G693" i="44"/>
  <c r="G785"/>
  <c r="G803" s="1"/>
  <c r="AS259" i="42" s="1"/>
  <c r="G432" i="44"/>
  <c r="AS68" i="42" s="1"/>
  <c r="G518" i="44"/>
  <c r="G831"/>
  <c r="G849" s="1"/>
  <c r="AS261" i="42" s="1"/>
  <c r="G392" i="44"/>
  <c r="G434" s="1"/>
  <c r="AS73" i="42" s="1"/>
  <c r="AS40"/>
  <c r="G541" i="44"/>
  <c r="G716"/>
  <c r="G734" s="1"/>
  <c r="G415"/>
  <c r="G417"/>
  <c r="G413"/>
  <c r="G387"/>
  <c r="G410" s="1"/>
  <c r="G416"/>
  <c r="G414"/>
  <c r="D340"/>
  <c r="D369" s="1"/>
  <c r="D963" i="30"/>
  <c r="D773"/>
  <c r="B237" i="42" s="1"/>
  <c r="H432" i="44"/>
  <c r="AT68" i="42" s="1"/>
  <c r="H716" i="44"/>
  <c r="H734" s="1"/>
  <c r="G340" i="30"/>
  <c r="G369" s="1"/>
  <c r="H585"/>
  <c r="F110" i="42"/>
  <c r="F224"/>
  <c r="H682" i="30"/>
  <c r="CA180" i="42" s="1"/>
  <c r="F529" i="30"/>
  <c r="F796"/>
  <c r="F865"/>
  <c r="F552"/>
  <c r="F819"/>
  <c r="F727"/>
  <c r="F598"/>
  <c r="D51" i="42"/>
  <c r="F750" i="30"/>
  <c r="F704"/>
  <c r="F842"/>
  <c r="D831"/>
  <c r="D541"/>
  <c r="B40" i="42"/>
  <c r="D518" i="30"/>
  <c r="D563" s="1"/>
  <c r="D716"/>
  <c r="D734" s="1"/>
  <c r="D392"/>
  <c r="D739"/>
  <c r="D757" s="1"/>
  <c r="D808"/>
  <c r="D693"/>
  <c r="D785"/>
  <c r="D854"/>
  <c r="D387"/>
  <c r="D410" s="1"/>
  <c r="D416"/>
  <c r="D415"/>
  <c r="D413"/>
  <c r="D414"/>
  <c r="D417"/>
  <c r="F952" i="44"/>
  <c r="F762"/>
  <c r="F711"/>
  <c r="F970" s="1"/>
  <c r="AR130" i="42" s="1"/>
  <c r="F587" i="44"/>
  <c r="AR112" i="42"/>
  <c r="F581" i="44"/>
  <c r="D750"/>
  <c r="D842"/>
  <c r="D796"/>
  <c r="D819"/>
  <c r="D704"/>
  <c r="D552"/>
  <c r="D529"/>
  <c r="D865"/>
  <c r="D727"/>
  <c r="D598"/>
  <c r="AP51" i="42"/>
  <c r="D231"/>
  <c r="F938" i="30"/>
  <c r="BY291" i="42" s="1"/>
  <c r="F930" i="30"/>
  <c r="D298" i="42" s="1"/>
  <c r="H358" i="30"/>
  <c r="F422" i="44"/>
  <c r="F425"/>
  <c r="G362"/>
  <c r="G364" s="1"/>
  <c r="D574" i="30"/>
  <c r="B123" i="42" s="1"/>
  <c r="Z579" i="30"/>
  <c r="X128" i="42" s="1"/>
  <c r="P568" i="30"/>
  <c r="P592" s="1"/>
  <c r="P680"/>
  <c r="CI178" i="42" s="1"/>
  <c r="L574" i="44"/>
  <c r="AX123" i="42" s="1"/>
  <c r="AO565" i="30"/>
  <c r="Y353"/>
  <c r="Y332" s="1"/>
  <c r="Y381" s="1"/>
  <c r="W356" i="44"/>
  <c r="W335" s="1"/>
  <c r="W367" s="1"/>
  <c r="U360"/>
  <c r="U339" s="1"/>
  <c r="U380" s="1"/>
  <c r="AB579"/>
  <c r="BN128" i="42" s="1"/>
  <c r="R361" i="30"/>
  <c r="R340" s="1"/>
  <c r="R369" s="1"/>
  <c r="O563"/>
  <c r="M112" i="42" s="1"/>
  <c r="AB354" i="30"/>
  <c r="AB333" s="1"/>
  <c r="AE578" i="44"/>
  <c r="AO569"/>
  <c r="AC352" i="30"/>
  <c r="AC331" s="1"/>
  <c r="AC372" s="1"/>
  <c r="R360" i="44"/>
  <c r="R339" s="1"/>
  <c r="R380" s="1"/>
  <c r="Y358"/>
  <c r="Y337" s="1"/>
  <c r="Y382" s="1"/>
  <c r="O362"/>
  <c r="O364" s="1"/>
  <c r="I92" i="33" s="1"/>
  <c r="AB566" i="30"/>
  <c r="Z115" i="42" s="1"/>
  <c r="AQ565" i="44"/>
  <c r="AJ572"/>
  <c r="R568" i="30"/>
  <c r="P117" i="42" s="1"/>
  <c r="AI571" i="30"/>
  <c r="AC578"/>
  <c r="AA127" i="42" s="1"/>
  <c r="Y561" i="44"/>
  <c r="Y585" s="1"/>
  <c r="L432"/>
  <c r="AX68" i="42" s="1"/>
  <c r="L831" i="44"/>
  <c r="L849" s="1"/>
  <c r="AX261" i="42" s="1"/>
  <c r="L693" i="44"/>
  <c r="L541"/>
  <c r="L785"/>
  <c r="L803" s="1"/>
  <c r="AX259" i="42" s="1"/>
  <c r="L392" i="44"/>
  <c r="L434" s="1"/>
  <c r="AX73" i="42" s="1"/>
  <c r="L854" i="44"/>
  <c r="L872" s="1"/>
  <c r="AX262" i="42" s="1"/>
  <c r="L808" i="44"/>
  <c r="L826" s="1"/>
  <c r="AX260" i="42" s="1"/>
  <c r="L716" i="44"/>
  <c r="L734" s="1"/>
  <c r="L739"/>
  <c r="L757" s="1"/>
  <c r="L518"/>
  <c r="AX40" i="42"/>
  <c r="L413" i="44" a="1"/>
  <c r="L413" s="1"/>
  <c r="L415" a="1"/>
  <c r="L415" s="1"/>
  <c r="L414" a="1"/>
  <c r="L414" s="1"/>
  <c r="L417" a="1"/>
  <c r="L417" s="1"/>
  <c r="L387"/>
  <c r="L410" s="1"/>
  <c r="L416" a="1"/>
  <c r="L416" s="1"/>
  <c r="X964" i="30"/>
  <c r="X774"/>
  <c r="V238" i="42" s="1"/>
  <c r="AN524" i="30"/>
  <c r="AO375"/>
  <c r="AN547"/>
  <c r="V752" i="44"/>
  <c r="V554"/>
  <c r="V867"/>
  <c r="V600"/>
  <c r="V706"/>
  <c r="V531"/>
  <c r="V576" s="1"/>
  <c r="BH125" i="42" s="1"/>
  <c r="V798" i="44"/>
  <c r="V729"/>
  <c r="BH53" i="42"/>
  <c r="V821" i="44"/>
  <c r="V844"/>
  <c r="AE555" i="30"/>
  <c r="AE532"/>
  <c r="AF383"/>
  <c r="K226" i="42"/>
  <c r="M780" i="30"/>
  <c r="G50" i="33" s="1"/>
  <c r="G55" s="1"/>
  <c r="Q821" i="44"/>
  <c r="Q600"/>
  <c r="Q729"/>
  <c r="Q706"/>
  <c r="Q844"/>
  <c r="Q531"/>
  <c r="Q798"/>
  <c r="BC53" i="42"/>
  <c r="Q554" i="44"/>
  <c r="Q752"/>
  <c r="Q867"/>
  <c r="Z728"/>
  <c r="Z843"/>
  <c r="Z797"/>
  <c r="Z866"/>
  <c r="Z751"/>
  <c r="Z599"/>
  <c r="Z705"/>
  <c r="Z820"/>
  <c r="Z553"/>
  <c r="BL52" i="42"/>
  <c r="Z530" i="44"/>
  <c r="Z575" s="1"/>
  <c r="BL124" i="42" s="1"/>
  <c r="AC843" i="44"/>
  <c r="AC553"/>
  <c r="AC728"/>
  <c r="AC751"/>
  <c r="AC866"/>
  <c r="AC797"/>
  <c r="AC530"/>
  <c r="BO52" i="42"/>
  <c r="AD381" i="44"/>
  <c r="AC705"/>
  <c r="AC820"/>
  <c r="AB778"/>
  <c r="BN242" i="42" s="1"/>
  <c r="AB968" i="44"/>
  <c r="AD968"/>
  <c r="BE968"/>
  <c r="R727" i="30"/>
  <c r="P51" i="42"/>
  <c r="R842" i="30"/>
  <c r="R819"/>
  <c r="R598"/>
  <c r="R796"/>
  <c r="R552"/>
  <c r="R750"/>
  <c r="R529"/>
  <c r="R574" s="1"/>
  <c r="P123" i="42" s="1"/>
  <c r="R704" i="30"/>
  <c r="R865"/>
  <c r="AP547" i="44"/>
  <c r="AQ375"/>
  <c r="AP524"/>
  <c r="AC557" i="30"/>
  <c r="AC732"/>
  <c r="AC534"/>
  <c r="AC579" s="1"/>
  <c r="AC755"/>
  <c r="AC870"/>
  <c r="AA56" i="42"/>
  <c r="AC709" i="30"/>
  <c r="AC603"/>
  <c r="AC801"/>
  <c r="AD385"/>
  <c r="AC847"/>
  <c r="AC824"/>
  <c r="R836" i="44"/>
  <c r="R941" s="1"/>
  <c r="CK301" i="42" s="1"/>
  <c r="R813" i="44"/>
  <c r="R940" s="1"/>
  <c r="CK300" i="42" s="1"/>
  <c r="R523" i="44"/>
  <c r="R680" s="1"/>
  <c r="CK187" i="42" s="1"/>
  <c r="R546" i="44"/>
  <c r="R681" s="1"/>
  <c r="CK188" i="42" s="1"/>
  <c r="R721" i="44"/>
  <c r="BD45" i="42"/>
  <c r="R859" i="44"/>
  <c r="R942" s="1"/>
  <c r="CK302" i="42" s="1"/>
  <c r="R790" i="44"/>
  <c r="R939" s="1"/>
  <c r="CK299" i="42" s="1"/>
  <c r="R698" i="44"/>
  <c r="R744"/>
  <c r="R397"/>
  <c r="R442" s="1"/>
  <c r="CL74" i="42" s="1"/>
  <c r="O110"/>
  <c r="Q585" i="30"/>
  <c r="P952" i="44"/>
  <c r="P762"/>
  <c r="P711"/>
  <c r="P970" s="1"/>
  <c r="BB130" i="42" s="1"/>
  <c r="E110" i="33"/>
  <c r="K605" i="44"/>
  <c r="K582"/>
  <c r="K606" s="1"/>
  <c r="AW133" i="42" s="1"/>
  <c r="O432" i="44"/>
  <c r="BA68" i="42" s="1"/>
  <c r="O739" i="44"/>
  <c r="O757" s="1"/>
  <c r="O716"/>
  <c r="O734" s="1"/>
  <c r="BA40" i="42"/>
  <c r="O693" i="44"/>
  <c r="O518"/>
  <c r="O785"/>
  <c r="O803" s="1"/>
  <c r="BA259" i="42" s="1"/>
  <c r="O854" i="44"/>
  <c r="O872" s="1"/>
  <c r="BA262" i="42" s="1"/>
  <c r="O808" i="44"/>
  <c r="O826" s="1"/>
  <c r="BA260" i="42" s="1"/>
  <c r="O541" i="44"/>
  <c r="O831"/>
  <c r="O849" s="1"/>
  <c r="BA261" i="42" s="1"/>
  <c r="O392" i="44"/>
  <c r="O434" s="1"/>
  <c r="BA73" i="42" s="1"/>
  <c r="O415" i="44" a="1"/>
  <c r="O415" s="1"/>
  <c r="O417" a="1"/>
  <c r="O417" s="1"/>
  <c r="O416" a="1"/>
  <c r="O416" s="1"/>
  <c r="O387"/>
  <c r="O410" s="1"/>
  <c r="O413" a="1"/>
  <c r="O413" s="1"/>
  <c r="O414" a="1"/>
  <c r="O414" s="1"/>
  <c r="Z331" i="30"/>
  <c r="Z372" s="1"/>
  <c r="Y115" i="42"/>
  <c r="AA590" i="30"/>
  <c r="X333"/>
  <c r="X373" s="1"/>
  <c r="Q337"/>
  <c r="X337" i="44"/>
  <c r="T335" i="30"/>
  <c r="T367" s="1"/>
  <c r="P957"/>
  <c r="P767"/>
  <c r="P934"/>
  <c r="N302" i="42" s="1"/>
  <c r="P942" i="30"/>
  <c r="CI295" i="42" s="1"/>
  <c r="P941" i="30"/>
  <c r="CI294" i="42" s="1"/>
  <c r="P933" i="30"/>
  <c r="N301" i="42" s="1"/>
  <c r="AP543" i="30"/>
  <c r="AP520"/>
  <c r="AQ371"/>
  <c r="AR543" i="44"/>
  <c r="AR520"/>
  <c r="AS371"/>
  <c r="L952" i="30"/>
  <c r="L762"/>
  <c r="L924" s="1"/>
  <c r="J291" i="42" s="1"/>
  <c r="L711" i="30"/>
  <c r="L970" s="1"/>
  <c r="AC955" i="44"/>
  <c r="AC765"/>
  <c r="BO229" i="42" s="1"/>
  <c r="AE534" i="44"/>
  <c r="AF385"/>
  <c r="AE557"/>
  <c r="AS386" i="30"/>
  <c r="AR558"/>
  <c r="AR535"/>
  <c r="AI378"/>
  <c r="AH527"/>
  <c r="AH550"/>
  <c r="R939"/>
  <c r="CK292" i="42" s="1"/>
  <c r="R931" i="30"/>
  <c r="P299" i="42" s="1"/>
  <c r="R934" i="30"/>
  <c r="P302" i="42" s="1"/>
  <c r="R942" i="30"/>
  <c r="CK295" i="42" s="1"/>
  <c r="R957" i="30"/>
  <c r="R767"/>
  <c r="BH224" i="42"/>
  <c r="AT535" i="44"/>
  <c r="AT558"/>
  <c r="AU386"/>
  <c r="AM377"/>
  <c r="AL526"/>
  <c r="AL549"/>
  <c r="AE384" i="30"/>
  <c r="AD533"/>
  <c r="AD556"/>
  <c r="AC967"/>
  <c r="AC777"/>
  <c r="AA241" i="42" s="1"/>
  <c r="Y760" i="44"/>
  <c r="Y950"/>
  <c r="T564" i="30"/>
  <c r="P563" i="44"/>
  <c r="AI573"/>
  <c r="S359" i="30"/>
  <c r="Z566" i="44"/>
  <c r="W567"/>
  <c r="AD579"/>
  <c r="AG572" i="30"/>
  <c r="AK570"/>
  <c r="AK571" i="44"/>
  <c r="U357" i="30"/>
  <c r="AA354"/>
  <c r="M362" i="44"/>
  <c r="M364" s="1"/>
  <c r="G92" i="33" s="1"/>
  <c r="V359" i="30"/>
  <c r="S362" i="44"/>
  <c r="S364" s="1"/>
  <c r="M92" i="33" s="1"/>
  <c r="T359" i="44"/>
  <c r="AA356"/>
  <c r="U116" i="42"/>
  <c r="W591" i="30"/>
  <c r="BH110" i="42"/>
  <c r="V585" i="44"/>
  <c r="P819" i="30"/>
  <c r="P529"/>
  <c r="P796"/>
  <c r="N51" i="42"/>
  <c r="P865" i="30"/>
  <c r="P552"/>
  <c r="P598"/>
  <c r="P704"/>
  <c r="P750"/>
  <c r="P842"/>
  <c r="P727"/>
  <c r="AA126" i="42"/>
  <c r="BE577" i="30"/>
  <c r="Z778"/>
  <c r="X242" i="42" s="1"/>
  <c r="Z968" i="30"/>
  <c r="W953"/>
  <c r="W763"/>
  <c r="U227" i="42" s="1"/>
  <c r="O418" i="30"/>
  <c r="O423" s="1"/>
  <c r="I47" i="33" s="1"/>
  <c r="O952" i="30"/>
  <c r="O762"/>
  <c r="O924" s="1"/>
  <c r="M291" i="42" s="1"/>
  <c r="O711" i="30"/>
  <c r="O970" s="1"/>
  <c r="M130" i="42" s="1"/>
  <c r="AN525" i="44"/>
  <c r="AO376"/>
  <c r="AN548"/>
  <c r="AB599" i="30"/>
  <c r="AB820"/>
  <c r="AB530"/>
  <c r="AB553"/>
  <c r="AB728"/>
  <c r="AB843"/>
  <c r="AB797"/>
  <c r="AB705"/>
  <c r="AB866"/>
  <c r="Z52" i="42"/>
  <c r="AB751" i="30"/>
  <c r="N582"/>
  <c r="N606" s="1"/>
  <c r="L133" i="42" s="1"/>
  <c r="H51" i="33"/>
  <c r="N605" i="30"/>
  <c r="Y788"/>
  <c r="W43" i="42"/>
  <c r="Y811" i="30"/>
  <c r="Y521"/>
  <c r="Y395"/>
  <c r="Y696"/>
  <c r="Y857"/>
  <c r="Y544"/>
  <c r="Y719"/>
  <c r="Y742"/>
  <c r="Y834"/>
  <c r="W809" i="44"/>
  <c r="W855"/>
  <c r="W786"/>
  <c r="W832"/>
  <c r="W740"/>
  <c r="BI41" i="42"/>
  <c r="W717" i="44"/>
  <c r="W519"/>
  <c r="W542"/>
  <c r="W694"/>
  <c r="W393"/>
  <c r="U836"/>
  <c r="U941" s="1"/>
  <c r="CN301" i="42" s="1"/>
  <c r="U721" i="44"/>
  <c r="U790"/>
  <c r="U939" s="1"/>
  <c r="CN299" i="42" s="1"/>
  <c r="U744" i="44"/>
  <c r="U397"/>
  <c r="U442" s="1"/>
  <c r="CO74" i="42" s="1"/>
  <c r="U523" i="44"/>
  <c r="U680" s="1"/>
  <c r="CN187" i="42" s="1"/>
  <c r="BG45"/>
  <c r="U698" i="44"/>
  <c r="U813"/>
  <c r="U940" s="1"/>
  <c r="CN300" i="42" s="1"/>
  <c r="U859" i="44"/>
  <c r="U942" s="1"/>
  <c r="CN302" i="42" s="1"/>
  <c r="U546" i="44"/>
  <c r="U681" s="1"/>
  <c r="CN188" i="42" s="1"/>
  <c r="T953" i="30"/>
  <c r="T763"/>
  <c r="R227" i="42" s="1"/>
  <c r="AG384" i="44"/>
  <c r="AF533"/>
  <c r="AF556"/>
  <c r="P418"/>
  <c r="P424" s="1"/>
  <c r="J107" i="33" s="1"/>
  <c r="W335" i="30"/>
  <c r="W367" s="1"/>
  <c r="AB331" i="44"/>
  <c r="AB372" s="1"/>
  <c r="BO128" i="42"/>
  <c r="J123"/>
  <c r="AK379" i="44"/>
  <c r="AJ551"/>
  <c r="AJ528"/>
  <c r="AF528" i="30"/>
  <c r="AE962"/>
  <c r="AF962" s="1"/>
  <c r="AG962" s="1"/>
  <c r="AH962" s="1"/>
  <c r="AI962" s="1"/>
  <c r="AJ962" s="1"/>
  <c r="AK962" s="1"/>
  <c r="AL962" s="1"/>
  <c r="AM962" s="1"/>
  <c r="AN962" s="1"/>
  <c r="AO962" s="1"/>
  <c r="AP962" s="1"/>
  <c r="AQ962" s="1"/>
  <c r="AR962" s="1"/>
  <c r="AS962" s="1"/>
  <c r="AT962" s="1"/>
  <c r="AU962" s="1"/>
  <c r="AV962" s="1"/>
  <c r="AW962" s="1"/>
  <c r="P939"/>
  <c r="CI292" i="42" s="1"/>
  <c r="P931" i="30"/>
  <c r="N299" i="42" s="1"/>
  <c r="P932" i="30"/>
  <c r="N300" i="42" s="1"/>
  <c r="P940" i="30"/>
  <c r="CI293" i="42" s="1"/>
  <c r="L963" i="44"/>
  <c r="L773"/>
  <c r="AX237" i="42" s="1"/>
  <c r="AH555" i="44"/>
  <c r="AI383"/>
  <c r="AH532"/>
  <c r="AE967"/>
  <c r="AF967" s="1"/>
  <c r="AG967" s="1"/>
  <c r="AH967" s="1"/>
  <c r="AI967" s="1"/>
  <c r="AJ967" s="1"/>
  <c r="AK967" s="1"/>
  <c r="AL967" s="1"/>
  <c r="AM967" s="1"/>
  <c r="AN967" s="1"/>
  <c r="AO967" s="1"/>
  <c r="AP967" s="1"/>
  <c r="AQ967" s="1"/>
  <c r="AR967" s="1"/>
  <c r="AS967" s="1"/>
  <c r="AT967" s="1"/>
  <c r="AU967" s="1"/>
  <c r="AV967" s="1"/>
  <c r="AW967" s="1"/>
  <c r="AD966" i="30"/>
  <c r="BE966"/>
  <c r="AB955"/>
  <c r="AB765"/>
  <c r="Z229" i="42" s="1"/>
  <c r="L418" i="30"/>
  <c r="L424" s="1"/>
  <c r="F48" i="33" s="1"/>
  <c r="J112" i="42"/>
  <c r="L581" i="30"/>
  <c r="Z955" i="44"/>
  <c r="Z765"/>
  <c r="BL229" i="42" s="1"/>
  <c r="BO115"/>
  <c r="AE372" i="44"/>
  <c r="AD521"/>
  <c r="AD544"/>
  <c r="W956"/>
  <c r="W766"/>
  <c r="BI230" i="42" s="1"/>
  <c r="U965" i="44"/>
  <c r="AL378"/>
  <c r="AK550"/>
  <c r="AK527"/>
  <c r="R940" i="30"/>
  <c r="CK293" i="42" s="1"/>
  <c r="R932" i="30"/>
  <c r="P300" i="42" s="1"/>
  <c r="R941" i="30"/>
  <c r="CK294" i="42" s="1"/>
  <c r="R933" i="30"/>
  <c r="P301" i="42" s="1"/>
  <c r="AL525" i="30"/>
  <c r="AM376"/>
  <c r="AL548"/>
  <c r="AJ549"/>
  <c r="AJ526"/>
  <c r="AK377"/>
  <c r="R965" i="44"/>
  <c r="R775"/>
  <c r="BD239" i="42" s="1"/>
  <c r="O224"/>
  <c r="S38"/>
  <c r="U852" i="30"/>
  <c r="U737"/>
  <c r="U539"/>
  <c r="U516"/>
  <c r="U714"/>
  <c r="U829"/>
  <c r="U783"/>
  <c r="U691"/>
  <c r="U806"/>
  <c r="U390"/>
  <c r="Y52" i="42"/>
  <c r="AA797" i="30"/>
  <c r="AA530"/>
  <c r="AA599"/>
  <c r="AA705"/>
  <c r="AA843"/>
  <c r="AA866"/>
  <c r="AA751"/>
  <c r="AA728"/>
  <c r="AA820"/>
  <c r="AA553"/>
  <c r="M541" i="44"/>
  <c r="M831"/>
  <c r="M849" s="1"/>
  <c r="AY261" i="42" s="1"/>
  <c r="M808" i="44"/>
  <c r="M826" s="1"/>
  <c r="AY260" i="42" s="1"/>
  <c r="M432" i="44"/>
  <c r="AY68" i="42" s="1"/>
  <c r="M739" i="44"/>
  <c r="M757" s="1"/>
  <c r="M693"/>
  <c r="M716"/>
  <c r="M734" s="1"/>
  <c r="M518"/>
  <c r="M785"/>
  <c r="M803" s="1"/>
  <c r="AY259" i="42" s="1"/>
  <c r="M854" i="44"/>
  <c r="M872" s="1"/>
  <c r="AY262" i="42" s="1"/>
  <c r="AY40"/>
  <c r="M392" i="44"/>
  <c r="M434" s="1"/>
  <c r="AY73" i="42" s="1"/>
  <c r="M415" i="44" a="1"/>
  <c r="M415" s="1"/>
  <c r="M417" a="1"/>
  <c r="M417" s="1"/>
  <c r="M416" a="1"/>
  <c r="M416" s="1"/>
  <c r="M413" a="1"/>
  <c r="M413" s="1"/>
  <c r="M414" a="1"/>
  <c r="M414" s="1"/>
  <c r="M387"/>
  <c r="M410" s="1"/>
  <c r="N582"/>
  <c r="N606" s="1"/>
  <c r="AZ133" i="42" s="1"/>
  <c r="H110" i="33"/>
  <c r="N605" i="44"/>
  <c r="S432"/>
  <c r="BE68" i="42" s="1"/>
  <c r="S854" i="44"/>
  <c r="S872" s="1"/>
  <c r="BE262" i="42" s="1"/>
  <c r="S831" i="44"/>
  <c r="S849" s="1"/>
  <c r="BE261" i="42" s="1"/>
  <c r="S808" i="44"/>
  <c r="S826" s="1"/>
  <c r="BE260" i="42" s="1"/>
  <c r="S716" i="44"/>
  <c r="S734" s="1"/>
  <c r="S739"/>
  <c r="S757" s="1"/>
  <c r="S541"/>
  <c r="S785"/>
  <c r="S803" s="1"/>
  <c r="BE259" i="42" s="1"/>
  <c r="BE40"/>
  <c r="S693" i="44"/>
  <c r="S518"/>
  <c r="S392"/>
  <c r="S434" s="1"/>
  <c r="BE73" i="42" s="1"/>
  <c r="S416" i="44" a="1"/>
  <c r="S416" s="1"/>
  <c r="S414" a="1"/>
  <c r="S414" s="1"/>
  <c r="S413" a="1"/>
  <c r="S413" s="1"/>
  <c r="S387"/>
  <c r="S410" s="1"/>
  <c r="S415" a="1"/>
  <c r="S415" s="1"/>
  <c r="S417" a="1"/>
  <c r="S417" s="1"/>
  <c r="AA542"/>
  <c r="AA832"/>
  <c r="AA694"/>
  <c r="AA855"/>
  <c r="AA809"/>
  <c r="AA393"/>
  <c r="AA786"/>
  <c r="AA740"/>
  <c r="AA519"/>
  <c r="BM41" i="42"/>
  <c r="AA717" i="44"/>
  <c r="P361" i="30"/>
  <c r="L362" i="44"/>
  <c r="L364" s="1"/>
  <c r="F92" i="33" s="1"/>
  <c r="X575" i="30"/>
  <c r="V124" i="42" s="1"/>
  <c r="W564" i="30"/>
  <c r="AM569"/>
  <c r="V359" i="44"/>
  <c r="AM570"/>
  <c r="AD577" i="30"/>
  <c r="Q359" i="44"/>
  <c r="Z354"/>
  <c r="AC354"/>
  <c r="AQ580" i="30"/>
  <c r="AS580" i="44"/>
  <c r="AH577" l="1"/>
  <c r="AF551" i="30"/>
  <c r="AA564" i="44"/>
  <c r="BM113" i="42" s="1"/>
  <c r="R391" i="44"/>
  <c r="R435" s="1"/>
  <c r="BD74" i="42" s="1"/>
  <c r="R692" i="44"/>
  <c r="R951" s="1"/>
  <c r="R669" s="1"/>
  <c r="BD189" i="42" s="1"/>
  <c r="U738" i="44"/>
  <c r="L938"/>
  <c r="CE298" i="42" s="1"/>
  <c r="U853" i="44"/>
  <c r="U928" s="1"/>
  <c r="BG295" i="42" s="1"/>
  <c r="U807" i="44"/>
  <c r="U926" s="1"/>
  <c r="BG293" i="42" s="1"/>
  <c r="BG39"/>
  <c r="U391" i="44"/>
  <c r="U435" s="1"/>
  <c r="BG74" i="42" s="1"/>
  <c r="U433" i="44"/>
  <c r="BG69" i="42" s="1"/>
  <c r="R830" i="44"/>
  <c r="R927" s="1"/>
  <c r="BD294" i="42" s="1"/>
  <c r="R517" i="44"/>
  <c r="R667" s="1"/>
  <c r="BD187" i="42" s="1"/>
  <c r="R540" i="44"/>
  <c r="R668" s="1"/>
  <c r="BD188" i="42" s="1"/>
  <c r="R562" i="30"/>
  <c r="P111" i="42" s="1"/>
  <c r="U715" i="44"/>
  <c r="U517"/>
  <c r="U667" s="1"/>
  <c r="BG187" i="42" s="1"/>
  <c r="U784" i="44"/>
  <c r="U925" s="1"/>
  <c r="BG292" i="42" s="1"/>
  <c r="U692" i="44"/>
  <c r="U951" s="1"/>
  <c r="U669" s="1"/>
  <c r="BG189" i="42" s="1"/>
  <c r="U830" i="44"/>
  <c r="U927" s="1"/>
  <c r="BG294" i="42" s="1"/>
  <c r="R761" i="30"/>
  <c r="P225" i="42" s="1"/>
  <c r="P761" i="30"/>
  <c r="N225" i="42" s="1"/>
  <c r="P562" i="30"/>
  <c r="N111" i="42" s="1"/>
  <c r="BD39"/>
  <c r="R853" i="44"/>
  <c r="R928" s="1"/>
  <c r="BD295" i="42" s="1"/>
  <c r="R784" i="44"/>
  <c r="R925" s="1"/>
  <c r="BD292" i="42" s="1"/>
  <c r="R715" i="44"/>
  <c r="R807"/>
  <c r="R926" s="1"/>
  <c r="BD293" i="42" s="1"/>
  <c r="AT111"/>
  <c r="H586" i="44"/>
  <c r="F586" i="30"/>
  <c r="D111" i="42"/>
  <c r="H924" i="44"/>
  <c r="AT291" i="42" s="1"/>
  <c r="AT225"/>
  <c r="L586" i="44"/>
  <c r="AX111" i="42"/>
  <c r="AX225"/>
  <c r="L924" i="44"/>
  <c r="AX291" i="42" s="1"/>
  <c r="U576" i="44"/>
  <c r="BG125" i="42" s="1"/>
  <c r="AP569" i="44"/>
  <c r="BF53" i="42"/>
  <c r="T53"/>
  <c r="S821" i="30"/>
  <c r="T600" i="44"/>
  <c r="T844"/>
  <c r="V752" i="30"/>
  <c r="V531"/>
  <c r="S554"/>
  <c r="S576" s="1"/>
  <c r="Q125" i="42" s="1"/>
  <c r="S844" i="30"/>
  <c r="G51" i="33"/>
  <c r="T752" i="44"/>
  <c r="T554"/>
  <c r="V706" i="30"/>
  <c r="V965" s="1"/>
  <c r="V600"/>
  <c r="S706"/>
  <c r="S965" s="1"/>
  <c r="Q53" i="42"/>
  <c r="O587" i="30"/>
  <c r="AB590"/>
  <c r="BK110" i="42"/>
  <c r="F424" i="44"/>
  <c r="H387"/>
  <c r="H410" s="1"/>
  <c r="H739"/>
  <c r="H757" s="1"/>
  <c r="T531"/>
  <c r="T706"/>
  <c r="T965" s="1"/>
  <c r="T821"/>
  <c r="T798"/>
  <c r="T729"/>
  <c r="V821" i="30"/>
  <c r="V554"/>
  <c r="V729"/>
  <c r="V798"/>
  <c r="V867"/>
  <c r="S798"/>
  <c r="S600"/>
  <c r="S867"/>
  <c r="S752"/>
  <c r="S729"/>
  <c r="M605"/>
  <c r="G52" i="33" s="1"/>
  <c r="H785" i="44"/>
  <c r="H803" s="1"/>
  <c r="AT259" i="42" s="1"/>
  <c r="H854" i="44"/>
  <c r="H872" s="1"/>
  <c r="AT262" i="42" s="1"/>
  <c r="AT40"/>
  <c r="F423" i="44"/>
  <c r="H518"/>
  <c r="H541"/>
  <c r="H808"/>
  <c r="H826" s="1"/>
  <c r="AT260" i="42" s="1"/>
  <c r="H831" i="44"/>
  <c r="H849" s="1"/>
  <c r="AT261" i="42" s="1"/>
  <c r="H693" i="44"/>
  <c r="R682" i="30"/>
  <c r="CK180" i="42" s="1"/>
  <c r="R669" i="30"/>
  <c r="P189" i="42" s="1"/>
  <c r="P682" i="30"/>
  <c r="CI180" i="42" s="1"/>
  <c r="P669" i="30"/>
  <c r="N189" i="42" s="1"/>
  <c r="Q382" i="30"/>
  <c r="Q867" s="1"/>
  <c r="U562" i="44"/>
  <c r="X382"/>
  <c r="X600" s="1"/>
  <c r="E94" i="33"/>
  <c r="H94"/>
  <c r="S563" i="44"/>
  <c r="BE112" i="42" s="1"/>
  <c r="BE579" i="44"/>
  <c r="G35" i="33"/>
  <c r="P422" i="44"/>
  <c r="J105" i="33" s="1"/>
  <c r="N117" i="42"/>
  <c r="O581" i="30"/>
  <c r="O605" s="1"/>
  <c r="G414" a="1"/>
  <c r="G416" a="1"/>
  <c r="G415" a="1"/>
  <c r="G417" a="1"/>
  <c r="G413" a="1"/>
  <c r="D414" i="44" a="1"/>
  <c r="D417" a="1"/>
  <c r="D413" a="1"/>
  <c r="D415" a="1"/>
  <c r="D416" a="1"/>
  <c r="F414" i="30" a="1"/>
  <c r="F415" a="1"/>
  <c r="F416" a="1"/>
  <c r="F413" a="1"/>
  <c r="F417" a="1"/>
  <c r="H415" i="44" a="1"/>
  <c r="H415" s="1"/>
  <c r="H413" a="1"/>
  <c r="H413" s="1"/>
  <c r="H416" a="1"/>
  <c r="H416" s="1"/>
  <c r="H414" a="1"/>
  <c r="H414" s="1"/>
  <c r="H417" a="1"/>
  <c r="H417" s="1"/>
  <c r="D803" i="30"/>
  <c r="B259" i="42" s="1"/>
  <c r="D925" i="30"/>
  <c r="B292" i="42" s="1"/>
  <c r="D826" i="30"/>
  <c r="B260" i="42" s="1"/>
  <c r="D926" i="30"/>
  <c r="B293" i="42" s="1"/>
  <c r="D872" i="30"/>
  <c r="B262" i="42" s="1"/>
  <c r="D928" i="30"/>
  <c r="B295" i="42" s="1"/>
  <c r="D849" i="30"/>
  <c r="B261" i="42" s="1"/>
  <c r="D927" i="30"/>
  <c r="B294" i="42" s="1"/>
  <c r="BE578" i="30"/>
  <c r="F362"/>
  <c r="F364" s="1"/>
  <c r="F605" i="44"/>
  <c r="AR132" i="42" s="1"/>
  <c r="F582" i="44"/>
  <c r="F606" s="1"/>
  <c r="AR133" i="42" s="1"/>
  <c r="AR226"/>
  <c r="F780" i="44"/>
  <c r="D418" i="30"/>
  <c r="D421" s="1"/>
  <c r="D952"/>
  <c r="D762"/>
  <c r="D924" s="1"/>
  <c r="B291" i="42" s="1"/>
  <c r="D711" i="30"/>
  <c r="D970" s="1"/>
  <c r="B130" i="42" s="1"/>
  <c r="F963" i="30"/>
  <c r="F773"/>
  <c r="D237" i="42" s="1"/>
  <c r="G785" i="30"/>
  <c r="G739"/>
  <c r="G757" s="1"/>
  <c r="G392"/>
  <c r="G693"/>
  <c r="G808"/>
  <c r="G541"/>
  <c r="E40" i="42"/>
  <c r="G831" i="30"/>
  <c r="G716"/>
  <c r="G734" s="1"/>
  <c r="G518"/>
  <c r="G563" s="1"/>
  <c r="G587" s="1"/>
  <c r="G854"/>
  <c r="G415"/>
  <c r="G417"/>
  <c r="G387"/>
  <c r="G410" s="1"/>
  <c r="G416"/>
  <c r="G414"/>
  <c r="G413"/>
  <c r="D854" i="44"/>
  <c r="D872" s="1"/>
  <c r="AP262" i="42" s="1"/>
  <c r="D716" i="44"/>
  <c r="D734" s="1"/>
  <c r="D392"/>
  <c r="D434" s="1"/>
  <c r="AP73" i="42" s="1"/>
  <c r="D739" i="44"/>
  <c r="D757" s="1"/>
  <c r="D541"/>
  <c r="D785"/>
  <c r="D803" s="1"/>
  <c r="AP259" i="42" s="1"/>
  <c r="D432" i="44"/>
  <c r="AP68" i="42" s="1"/>
  <c r="AP40"/>
  <c r="D693" i="44"/>
  <c r="D518"/>
  <c r="D831"/>
  <c r="D849" s="1"/>
  <c r="AP261" i="42" s="1"/>
  <c r="D808" i="44"/>
  <c r="D826" s="1"/>
  <c r="AP260" i="42" s="1"/>
  <c r="D414" i="44"/>
  <c r="D413"/>
  <c r="D415"/>
  <c r="D417"/>
  <c r="D387"/>
  <c r="D410" s="1"/>
  <c r="D416"/>
  <c r="G418"/>
  <c r="G421" s="1"/>
  <c r="G952"/>
  <c r="G762"/>
  <c r="G711"/>
  <c r="G970" s="1"/>
  <c r="AS130" i="42" s="1"/>
  <c r="F785" i="30"/>
  <c r="F739"/>
  <c r="F757" s="1"/>
  <c r="F716"/>
  <c r="F734" s="1"/>
  <c r="F392"/>
  <c r="F518"/>
  <c r="F541"/>
  <c r="D40" i="42"/>
  <c r="F831" i="30"/>
  <c r="F693"/>
  <c r="F854"/>
  <c r="F808"/>
  <c r="F413"/>
  <c r="F414"/>
  <c r="F387"/>
  <c r="F410" s="1"/>
  <c r="F416"/>
  <c r="F417"/>
  <c r="F415"/>
  <c r="H337"/>
  <c r="D963" i="44"/>
  <c r="D773"/>
  <c r="AP237" i="42" s="1"/>
  <c r="D587" i="30"/>
  <c r="B112" i="42"/>
  <c r="D581" i="30"/>
  <c r="H952" i="44"/>
  <c r="H711"/>
  <c r="H970" s="1"/>
  <c r="AT130" i="42" s="1"/>
  <c r="D574" i="44"/>
  <c r="AP123" i="42" s="1"/>
  <c r="F574" i="30"/>
  <c r="D123" i="42" s="1"/>
  <c r="G362" i="30"/>
  <c r="G364" s="1"/>
  <c r="D362" i="44"/>
  <c r="D364" s="1"/>
  <c r="G563"/>
  <c r="AE577" i="30"/>
  <c r="L563" i="44"/>
  <c r="L587" s="1"/>
  <c r="AL571"/>
  <c r="AT580"/>
  <c r="AP565" i="30"/>
  <c r="AB373"/>
  <c r="AB545" s="1"/>
  <c r="AB355"/>
  <c r="AB334" s="1"/>
  <c r="AB370" s="1"/>
  <c r="R592"/>
  <c r="L422"/>
  <c r="F46" i="33" s="1"/>
  <c r="O424" i="30"/>
  <c r="I48" i="33" s="1"/>
  <c r="AJ573" i="44"/>
  <c r="W357" i="30"/>
  <c r="W336" s="1"/>
  <c r="P421" i="44"/>
  <c r="J104" i="33" s="1"/>
  <c r="Y359" i="44"/>
  <c r="Y338" s="1"/>
  <c r="Y374" s="1"/>
  <c r="Y441" s="1"/>
  <c r="CS69" i="42" s="1"/>
  <c r="R361" i="44"/>
  <c r="R340" s="1"/>
  <c r="R369" s="1"/>
  <c r="AC353" i="30"/>
  <c r="AC332" s="1"/>
  <c r="AC381" s="1"/>
  <c r="W564" i="44"/>
  <c r="Y566" i="30"/>
  <c r="Z353"/>
  <c r="Z332" s="1"/>
  <c r="Z381" s="1"/>
  <c r="O421"/>
  <c r="I45" i="33" s="1"/>
  <c r="AH572" i="30"/>
  <c r="AR580"/>
  <c r="X359" i="44"/>
  <c r="X338" s="1"/>
  <c r="X374" s="1"/>
  <c r="X441" s="1"/>
  <c r="CR69" i="42" s="1"/>
  <c r="Q359" i="30"/>
  <c r="Q338" s="1"/>
  <c r="Q374" s="1"/>
  <c r="Y354"/>
  <c r="Y333" s="1"/>
  <c r="Y373" s="1"/>
  <c r="AJ571"/>
  <c r="BA967" i="44"/>
  <c r="BC967" s="1"/>
  <c r="Z333"/>
  <c r="Z373" s="1"/>
  <c r="V338"/>
  <c r="U113" i="42"/>
  <c r="W588" i="30"/>
  <c r="S418" i="44"/>
  <c r="S421" s="1"/>
  <c r="M104" i="33" s="1"/>
  <c r="AZ132" i="42"/>
  <c r="H111" i="33"/>
  <c r="BR129" s="1"/>
  <c r="M418" i="44"/>
  <c r="M421" s="1"/>
  <c r="G104" i="33" s="1"/>
  <c r="AE544" i="44"/>
  <c r="AE521"/>
  <c r="AF372"/>
  <c r="L605" i="30"/>
  <c r="L582"/>
  <c r="L606" s="1"/>
  <c r="J133" i="42" s="1"/>
  <c r="F51" i="33"/>
  <c r="AG551" i="30"/>
  <c r="AG528"/>
  <c r="AH379"/>
  <c r="AK551" i="44"/>
  <c r="AL379"/>
  <c r="AK528"/>
  <c r="AK573" s="1"/>
  <c r="BN43" i="42"/>
  <c r="AB719" i="44"/>
  <c r="AB811"/>
  <c r="AB834"/>
  <c r="AB521"/>
  <c r="AB788"/>
  <c r="AB395"/>
  <c r="AB544"/>
  <c r="AB696"/>
  <c r="AB857"/>
  <c r="AB742"/>
  <c r="AH384"/>
  <c r="AG556"/>
  <c r="AG533"/>
  <c r="R716" i="30"/>
  <c r="R734" s="1"/>
  <c r="R854"/>
  <c r="R518"/>
  <c r="R693"/>
  <c r="R831"/>
  <c r="R541"/>
  <c r="R785"/>
  <c r="R808"/>
  <c r="R739"/>
  <c r="R757" s="1"/>
  <c r="P40" i="42"/>
  <c r="R392" i="30"/>
  <c r="R417" a="1"/>
  <c r="R417" s="1"/>
  <c r="R416" a="1"/>
  <c r="R416" s="1"/>
  <c r="R414" a="1"/>
  <c r="R414" s="1"/>
  <c r="R387"/>
  <c r="R410" s="1"/>
  <c r="R415" a="1"/>
  <c r="R415" s="1"/>
  <c r="R413" a="1"/>
  <c r="R413" s="1"/>
  <c r="W953" i="44"/>
  <c r="W763"/>
  <c r="BI227" i="42" s="1"/>
  <c r="H52" i="33"/>
  <c r="L132" i="42"/>
  <c r="AB964" i="30"/>
  <c r="AB774"/>
  <c r="Z238" i="42" s="1"/>
  <c r="M226"/>
  <c r="O780" i="30"/>
  <c r="I50" i="33" s="1"/>
  <c r="I55" s="1"/>
  <c r="P963" i="30"/>
  <c r="P773"/>
  <c r="N237" i="42" s="1"/>
  <c r="T338" i="44"/>
  <c r="V338" i="30"/>
  <c r="AA333"/>
  <c r="AA373" s="1"/>
  <c r="BI116" i="42"/>
  <c r="W591" i="44"/>
  <c r="S338" i="30"/>
  <c r="BB112" i="42"/>
  <c r="P581" i="44"/>
  <c r="P587"/>
  <c r="R113" i="42"/>
  <c r="T588" i="30"/>
  <c r="AE556"/>
  <c r="AF384"/>
  <c r="AE533"/>
  <c r="AE578" s="1"/>
  <c r="AV386" i="44"/>
  <c r="AU535"/>
  <c r="AU558"/>
  <c r="AT386" i="30"/>
  <c r="AS558"/>
  <c r="AS535"/>
  <c r="AG385" i="44"/>
  <c r="AF557"/>
  <c r="AF534"/>
  <c r="J226" i="42"/>
  <c r="L780" i="30"/>
  <c r="F50" i="33" s="1"/>
  <c r="F55" s="1"/>
  <c r="AT371" i="44"/>
  <c r="AS520"/>
  <c r="AS543"/>
  <c r="P938" i="30"/>
  <c r="CI291" i="42" s="1"/>
  <c r="P930" i="30"/>
  <c r="N298" i="42" s="1"/>
  <c r="N231"/>
  <c r="T691" i="30"/>
  <c r="T539"/>
  <c r="T852"/>
  <c r="T516"/>
  <c r="T829"/>
  <c r="T806"/>
  <c r="T714"/>
  <c r="T737"/>
  <c r="T783"/>
  <c r="R38" i="42"/>
  <c r="T390" i="30"/>
  <c r="X522"/>
  <c r="X789"/>
  <c r="X743"/>
  <c r="X858"/>
  <c r="V44" i="42"/>
  <c r="X545" i="30"/>
  <c r="X835"/>
  <c r="X697"/>
  <c r="X720"/>
  <c r="X812"/>
  <c r="X396"/>
  <c r="O952" i="44"/>
  <c r="O762"/>
  <c r="O711"/>
  <c r="O970" s="1"/>
  <c r="BA130" i="42" s="1"/>
  <c r="BB226"/>
  <c r="P780" i="44"/>
  <c r="J109" i="33" s="1"/>
  <c r="R957" i="44"/>
  <c r="R682" s="1"/>
  <c r="CK189" i="42" s="1"/>
  <c r="R767" i="44"/>
  <c r="AD557" i="30"/>
  <c r="AD534"/>
  <c r="AE385"/>
  <c r="R963"/>
  <c r="R773"/>
  <c r="P237" i="42" s="1"/>
  <c r="AE968" i="44"/>
  <c r="AF968" s="1"/>
  <c r="AG968" s="1"/>
  <c r="AH968" s="1"/>
  <c r="AI968" s="1"/>
  <c r="AJ968" s="1"/>
  <c r="AK968" s="1"/>
  <c r="AL968" s="1"/>
  <c r="AM968" s="1"/>
  <c r="AN968" s="1"/>
  <c r="AO968" s="1"/>
  <c r="AP968" s="1"/>
  <c r="AQ968" s="1"/>
  <c r="AR968" s="1"/>
  <c r="AS968" s="1"/>
  <c r="AT968" s="1"/>
  <c r="AU968" s="1"/>
  <c r="AV968" s="1"/>
  <c r="AW968" s="1"/>
  <c r="U704"/>
  <c r="U529"/>
  <c r="U842"/>
  <c r="U727"/>
  <c r="U598"/>
  <c r="U819"/>
  <c r="U750"/>
  <c r="BG51" i="42"/>
  <c r="U796" i="44"/>
  <c r="U552"/>
  <c r="U865"/>
  <c r="W539"/>
  <c r="W829"/>
  <c r="W852"/>
  <c r="W516"/>
  <c r="W390"/>
  <c r="W714"/>
  <c r="W806"/>
  <c r="BI38" i="42"/>
  <c r="W691" i="44"/>
  <c r="W737"/>
  <c r="W783"/>
  <c r="AC964"/>
  <c r="AC774"/>
  <c r="BO238" i="42" s="1"/>
  <c r="Y820" i="30"/>
  <c r="Y797"/>
  <c r="Y866"/>
  <c r="Y705"/>
  <c r="Y843"/>
  <c r="W52" i="42"/>
  <c r="Y751" i="30"/>
  <c r="Y599"/>
  <c r="Y553"/>
  <c r="Y530"/>
  <c r="Y728"/>
  <c r="V965" i="44"/>
  <c r="V775"/>
  <c r="BH239" i="42" s="1"/>
  <c r="AO524" i="30"/>
  <c r="AO547"/>
  <c r="AP375"/>
  <c r="L952" i="44"/>
  <c r="L762"/>
  <c r="L711"/>
  <c r="L970" s="1"/>
  <c r="AL570" i="30"/>
  <c r="AN570" i="44"/>
  <c r="P574" i="30"/>
  <c r="L425"/>
  <c r="F49" i="33" s="1"/>
  <c r="P425" i="44"/>
  <c r="J108" i="33" s="1"/>
  <c r="O422" i="30"/>
  <c r="I46" i="33" s="1"/>
  <c r="O425" i="30"/>
  <c r="I49" i="33" s="1"/>
  <c r="AC333" i="44"/>
  <c r="AC373" s="1"/>
  <c r="Q338"/>
  <c r="P340" i="30"/>
  <c r="P369" s="1"/>
  <c r="AA953" i="44"/>
  <c r="AA763"/>
  <c r="BM227" i="42" s="1"/>
  <c r="S952" i="44"/>
  <c r="S762"/>
  <c r="S711"/>
  <c r="S970" s="1"/>
  <c r="BE130" i="42" s="1"/>
  <c r="M952" i="44"/>
  <c r="M762"/>
  <c r="M711"/>
  <c r="M970" s="1"/>
  <c r="AY130" i="42" s="1"/>
  <c r="AA774" i="30"/>
  <c r="Y238" i="42" s="1"/>
  <c r="AA964" i="30"/>
  <c r="U950"/>
  <c r="U760"/>
  <c r="U561"/>
  <c r="AL377"/>
  <c r="AK526"/>
  <c r="AK549"/>
  <c r="AN376"/>
  <c r="AM548"/>
  <c r="AM525"/>
  <c r="AM378" i="44"/>
  <c r="AL527"/>
  <c r="AL550"/>
  <c r="AE966" i="30"/>
  <c r="AF966" s="1"/>
  <c r="AG966" s="1"/>
  <c r="AH966" s="1"/>
  <c r="AI966" s="1"/>
  <c r="AJ966" s="1"/>
  <c r="AK966" s="1"/>
  <c r="AL966" s="1"/>
  <c r="AM966" s="1"/>
  <c r="AN966" s="1"/>
  <c r="AO966" s="1"/>
  <c r="AP966" s="1"/>
  <c r="AQ966" s="1"/>
  <c r="AR966" s="1"/>
  <c r="AS966" s="1"/>
  <c r="AT966" s="1"/>
  <c r="AU966" s="1"/>
  <c r="AV966" s="1"/>
  <c r="AW966" s="1"/>
  <c r="AJ383" i="44"/>
  <c r="AI555"/>
  <c r="AI532"/>
  <c r="W829" i="30"/>
  <c r="W806"/>
  <c r="W714"/>
  <c r="W737"/>
  <c r="W390"/>
  <c r="W783"/>
  <c r="U38" i="42"/>
  <c r="W691" i="30"/>
  <c r="W539"/>
  <c r="W852"/>
  <c r="W516"/>
  <c r="Y706" i="44"/>
  <c r="Y600"/>
  <c r="Y729"/>
  <c r="Y531"/>
  <c r="Y867"/>
  <c r="Y798"/>
  <c r="Y554"/>
  <c r="Y844"/>
  <c r="Y821"/>
  <c r="BK53" i="42"/>
  <c r="Y752" i="44"/>
  <c r="R842"/>
  <c r="R598"/>
  <c r="R750"/>
  <c r="R796"/>
  <c r="BD51" i="42"/>
  <c r="R704" i="44"/>
  <c r="R529"/>
  <c r="R552"/>
  <c r="R865"/>
  <c r="R727"/>
  <c r="R819"/>
  <c r="AC719" i="30"/>
  <c r="AC834"/>
  <c r="AC811"/>
  <c r="AC742"/>
  <c r="AC521"/>
  <c r="AC696"/>
  <c r="AC544"/>
  <c r="AC857"/>
  <c r="AD372"/>
  <c r="AC788"/>
  <c r="AA43" i="42"/>
  <c r="AC395" i="30"/>
  <c r="U957" i="44"/>
  <c r="U682" s="1"/>
  <c r="CN189" i="42" s="1"/>
  <c r="U767" i="44"/>
  <c r="Y955" i="30"/>
  <c r="Y765"/>
  <c r="W229" i="42" s="1"/>
  <c r="AO548" i="44"/>
  <c r="AO525"/>
  <c r="AP376"/>
  <c r="AA335"/>
  <c r="AA367" s="1"/>
  <c r="U336" i="30"/>
  <c r="BL115" i="42"/>
  <c r="Z590" i="44"/>
  <c r="BK224" i="42"/>
  <c r="AD967" i="30"/>
  <c r="BE967"/>
  <c r="AM549" i="44"/>
  <c r="AM526"/>
  <c r="AN377"/>
  <c r="R930" i="30"/>
  <c r="P298" i="42" s="1"/>
  <c r="R938" i="30"/>
  <c r="CK291" i="42" s="1"/>
  <c r="P231"/>
  <c r="AI527" i="30"/>
  <c r="AJ378"/>
  <c r="AI550"/>
  <c r="AD955" i="44"/>
  <c r="J130" i="42"/>
  <c r="AR371" i="30"/>
  <c r="AQ520"/>
  <c r="AQ543"/>
  <c r="Z788"/>
  <c r="Z696"/>
  <c r="Z742"/>
  <c r="Z834"/>
  <c r="Z719"/>
  <c r="Z857"/>
  <c r="X43" i="42"/>
  <c r="Z544" i="30"/>
  <c r="Z395"/>
  <c r="Z811"/>
  <c r="Z521"/>
  <c r="O418" i="44"/>
  <c r="O425" s="1"/>
  <c r="I108" i="33" s="1"/>
  <c r="AW132" i="42"/>
  <c r="E111" i="33"/>
  <c r="BO129" s="1"/>
  <c r="BO137" s="1"/>
  <c r="AC968" i="30"/>
  <c r="AC778"/>
  <c r="AA242" i="42" s="1"/>
  <c r="AA128"/>
  <c r="BE579" i="30"/>
  <c r="AR375" i="44"/>
  <c r="AQ524"/>
  <c r="AQ547"/>
  <c r="AD553"/>
  <c r="AE381"/>
  <c r="AD530"/>
  <c r="Z964"/>
  <c r="Z774"/>
  <c r="BL238" i="42" s="1"/>
  <c r="Q965" i="44"/>
  <c r="Q775"/>
  <c r="BC239" i="42" s="1"/>
  <c r="AG383" i="30"/>
  <c r="AF532"/>
  <c r="AF555"/>
  <c r="L418" i="44"/>
  <c r="L425" s="1"/>
  <c r="F108" i="33" s="1"/>
  <c r="M563" i="44"/>
  <c r="AA575" i="30"/>
  <c r="Y124" i="42" s="1"/>
  <c r="AK572" i="44"/>
  <c r="AD566"/>
  <c r="L421" i="30"/>
  <c r="F45" i="33" s="1"/>
  <c r="BA962" i="30"/>
  <c r="BC962" s="1"/>
  <c r="AF573"/>
  <c r="AB353" i="44"/>
  <c r="AF578"/>
  <c r="R362" i="30"/>
  <c r="R364" s="1"/>
  <c r="L33" i="33" s="1"/>
  <c r="U568" i="44"/>
  <c r="AB575" i="30"/>
  <c r="Z124" i="42" s="1"/>
  <c r="L423" i="30"/>
  <c r="F47" i="33" s="1"/>
  <c r="P423" i="44"/>
  <c r="J106" i="33" s="1"/>
  <c r="AD578" i="30"/>
  <c r="AE579" i="44"/>
  <c r="AR565"/>
  <c r="T357" i="30"/>
  <c r="X355"/>
  <c r="O563" i="44"/>
  <c r="R568"/>
  <c r="U361"/>
  <c r="W357"/>
  <c r="AC575"/>
  <c r="AC599" s="1"/>
  <c r="Q576"/>
  <c r="AN569" i="30"/>
  <c r="H36" i="33" l="1"/>
  <c r="BR128"/>
  <c r="BR137" s="1"/>
  <c r="G36"/>
  <c r="BQ128"/>
  <c r="J95"/>
  <c r="BT70"/>
  <c r="Q432" i="30"/>
  <c r="O68" i="42" s="1"/>
  <c r="Q441" i="30"/>
  <c r="CK68" i="42" s="1"/>
  <c r="AA588" i="44"/>
  <c r="R562"/>
  <c r="R586" s="1"/>
  <c r="R761"/>
  <c r="R924" s="1"/>
  <c r="BD291" i="42" s="1"/>
  <c r="Q752" i="30"/>
  <c r="K132" i="42"/>
  <c r="P586" i="30"/>
  <c r="R586"/>
  <c r="U761" i="44"/>
  <c r="U924" s="1"/>
  <c r="BG291" i="42" s="1"/>
  <c r="V576" i="30"/>
  <c r="T125" i="42" s="1"/>
  <c r="T374" i="44"/>
  <c r="T813" s="1"/>
  <c r="T940" s="1"/>
  <c r="CM300" i="42" s="1"/>
  <c r="T368" i="44"/>
  <c r="V374"/>
  <c r="V368"/>
  <c r="Q368" i="30"/>
  <c r="Q784" s="1"/>
  <c r="Q374" i="44"/>
  <c r="Q368"/>
  <c r="S374" i="30"/>
  <c r="S368"/>
  <c r="V374"/>
  <c r="V368"/>
  <c r="X368" i="44"/>
  <c r="X433" s="1"/>
  <c r="BJ69" i="42" s="1"/>
  <c r="Y368" i="44"/>
  <c r="Y853" s="1"/>
  <c r="Y928" s="1"/>
  <c r="BK295" i="42" s="1"/>
  <c r="Q706" i="30"/>
  <c r="Q965" s="1"/>
  <c r="X867" i="44"/>
  <c r="X798"/>
  <c r="X531"/>
  <c r="Q531" i="30"/>
  <c r="O582"/>
  <c r="O606" s="1"/>
  <c r="M133" i="42" s="1"/>
  <c r="S775" i="30"/>
  <c r="Q239" i="42" s="1"/>
  <c r="V775" i="30"/>
  <c r="T239" i="42" s="1"/>
  <c r="BJ53"/>
  <c r="X706" i="44"/>
  <c r="X965" s="1"/>
  <c r="T576"/>
  <c r="BF125" i="42" s="1"/>
  <c r="H762" i="44"/>
  <c r="H780" s="1"/>
  <c r="T775"/>
  <c r="BF239" i="42" s="1"/>
  <c r="S587" i="44"/>
  <c r="X729"/>
  <c r="X844"/>
  <c r="X821"/>
  <c r="X554"/>
  <c r="X576" s="1"/>
  <c r="BJ125" i="42" s="1"/>
  <c r="X752" i="44"/>
  <c r="G425"/>
  <c r="G424"/>
  <c r="Q844" i="30"/>
  <c r="O53" i="42"/>
  <c r="Q798" i="30"/>
  <c r="Q600"/>
  <c r="Q554"/>
  <c r="Q821"/>
  <c r="Q729"/>
  <c r="I51" i="33"/>
  <c r="H563" i="44"/>
  <c r="H418"/>
  <c r="H424" s="1"/>
  <c r="G422"/>
  <c r="D422" i="30"/>
  <c r="G423" i="44"/>
  <c r="D424" i="30"/>
  <c r="BG111" i="42"/>
  <c r="U586" i="44"/>
  <c r="H382" i="30"/>
  <c r="H706" s="1"/>
  <c r="BD225" i="42"/>
  <c r="BD111"/>
  <c r="D423" i="30"/>
  <c r="D425"/>
  <c r="I35" i="33"/>
  <c r="J96"/>
  <c r="J114"/>
  <c r="M424" i="44"/>
  <c r="G107" i="33" s="1"/>
  <c r="S581" i="44"/>
  <c r="M110" i="33" s="1"/>
  <c r="AB522" i="30"/>
  <c r="AB567" s="1"/>
  <c r="Z116" i="42" s="1"/>
  <c r="S425" i="44"/>
  <c r="M108" i="33" s="1"/>
  <c r="AB858" i="30"/>
  <c r="S424" i="44"/>
  <c r="M107" i="33" s="1"/>
  <c r="F35"/>
  <c r="AX112" i="42"/>
  <c r="M425" i="44"/>
  <c r="G108" i="33" s="1"/>
  <c r="F826" i="30"/>
  <c r="D260" i="42" s="1"/>
  <c r="F926" i="30"/>
  <c r="D293" i="42" s="1"/>
  <c r="F803" i="30"/>
  <c r="D259" i="42" s="1"/>
  <c r="F925" i="30"/>
  <c r="D292" i="42" s="1"/>
  <c r="G872" i="30"/>
  <c r="E262" i="42" s="1"/>
  <c r="G928" i="30"/>
  <c r="E295" i="42" s="1"/>
  <c r="G826" i="30"/>
  <c r="E260" i="42" s="1"/>
  <c r="G926" i="30"/>
  <c r="E293" i="42" s="1"/>
  <c r="G803" i="30"/>
  <c r="E259" i="42" s="1"/>
  <c r="G925" i="30"/>
  <c r="E292" i="42" s="1"/>
  <c r="F872" i="30"/>
  <c r="D262" i="42" s="1"/>
  <c r="F928" i="30"/>
  <c r="D295" i="42" s="1"/>
  <c r="F849" i="30"/>
  <c r="D261" i="42" s="1"/>
  <c r="F927" i="30"/>
  <c r="D294" i="42" s="1"/>
  <c r="G849" i="30"/>
  <c r="E261" i="42" s="1"/>
  <c r="G927" i="30"/>
  <c r="E294" i="42" s="1"/>
  <c r="R803" i="30"/>
  <c r="P259" i="42" s="1"/>
  <c r="R925" i="30"/>
  <c r="P292" i="42" s="1"/>
  <c r="R849" i="30"/>
  <c r="P261" i="42" s="1"/>
  <c r="R927" i="30"/>
  <c r="P294" i="42" s="1"/>
  <c r="R826" i="30"/>
  <c r="P260" i="42" s="1"/>
  <c r="R926" i="30"/>
  <c r="P293" i="42" s="1"/>
  <c r="R872" i="30"/>
  <c r="P262" i="42" s="1"/>
  <c r="R928" i="30"/>
  <c r="P295" i="42" s="1"/>
  <c r="AB743" i="30"/>
  <c r="AB812"/>
  <c r="AB835"/>
  <c r="AD575" i="44"/>
  <c r="D563"/>
  <c r="AP112" i="42" s="1"/>
  <c r="H359" i="30"/>
  <c r="H338" s="1"/>
  <c r="H374" s="1"/>
  <c r="F563"/>
  <c r="F587" s="1"/>
  <c r="AT226" i="42"/>
  <c r="D582" i="30"/>
  <c r="D606" s="1"/>
  <c r="B133" i="42" s="1"/>
  <c r="D605" i="30"/>
  <c r="B132" i="42" s="1"/>
  <c r="H554" i="30"/>
  <c r="H867"/>
  <c r="H531"/>
  <c r="H576" s="1"/>
  <c r="F125" i="42" s="1"/>
  <c r="F418" i="30"/>
  <c r="F421" s="1"/>
  <c r="D952" i="44"/>
  <c r="D762"/>
  <c r="D711"/>
  <c r="D970" s="1"/>
  <c r="AP130" i="42" s="1"/>
  <c r="G418" i="30"/>
  <c r="G421" s="1"/>
  <c r="E112" i="42"/>
  <c r="G581" i="30"/>
  <c r="G952"/>
  <c r="G762"/>
  <c r="G924" s="1"/>
  <c r="E291" i="42" s="1"/>
  <c r="G711" i="30"/>
  <c r="G970" s="1"/>
  <c r="E130" i="42" s="1"/>
  <c r="AS112"/>
  <c r="G581" i="44"/>
  <c r="G587"/>
  <c r="F952" i="30"/>
  <c r="F762"/>
  <c r="F924" s="1"/>
  <c r="D291" i="42" s="1"/>
  <c r="F711" i="30"/>
  <c r="F970" s="1"/>
  <c r="D130" i="42" s="1"/>
  <c r="AS226"/>
  <c r="G780" i="44"/>
  <c r="D418"/>
  <c r="D423" s="1"/>
  <c r="B226" i="42"/>
  <c r="D780" i="30"/>
  <c r="M423" i="44"/>
  <c r="G106" i="33" s="1"/>
  <c r="M422" i="44"/>
  <c r="G105" i="33" s="1"/>
  <c r="L581" i="44"/>
  <c r="F110" i="33" s="1"/>
  <c r="S422" i="44"/>
  <c r="M105" i="33" s="1"/>
  <c r="AB396" i="30"/>
  <c r="AB720"/>
  <c r="Z44" i="42"/>
  <c r="AB697" i="30"/>
  <c r="AB956" s="1"/>
  <c r="AB789"/>
  <c r="S423" i="44"/>
  <c r="M106" i="33" s="1"/>
  <c r="L422" i="44"/>
  <c r="F105" i="33" s="1"/>
  <c r="O423" i="44"/>
  <c r="I106" i="33" s="1"/>
  <c r="Y360" i="44"/>
  <c r="Y339" s="1"/>
  <c r="Y380" s="1"/>
  <c r="W358" i="30"/>
  <c r="W337" s="1"/>
  <c r="W382" s="1"/>
  <c r="AE566" i="44"/>
  <c r="O424"/>
  <c r="I107" i="33" s="1"/>
  <c r="L421" i="44"/>
  <c r="F104" i="33" s="1"/>
  <c r="AF577" i="30"/>
  <c r="BA968" i="44"/>
  <c r="BC968" s="1"/>
  <c r="Z354" i="30"/>
  <c r="Z333" s="1"/>
  <c r="Z373" s="1"/>
  <c r="AS565" i="44"/>
  <c r="AF579"/>
  <c r="Z355"/>
  <c r="Z334" s="1"/>
  <c r="Z370" s="1"/>
  <c r="BI113" i="42"/>
  <c r="W588" i="44"/>
  <c r="O421"/>
  <c r="I104" i="33" s="1"/>
  <c r="AM571" i="44"/>
  <c r="AO570"/>
  <c r="BA966" i="30"/>
  <c r="BC966" s="1"/>
  <c r="W115" i="42"/>
  <c r="Y590" i="30"/>
  <c r="Y355"/>
  <c r="Y334" s="1"/>
  <c r="Y370" s="1"/>
  <c r="AQ569" i="44"/>
  <c r="AQ565" i="30"/>
  <c r="AL572" i="44"/>
  <c r="AM570" i="30"/>
  <c r="AK571"/>
  <c r="AB356"/>
  <c r="AB335" s="1"/>
  <c r="AB367" s="1"/>
  <c r="Q360"/>
  <c r="Q339" s="1"/>
  <c r="Q380" s="1"/>
  <c r="X360" i="44"/>
  <c r="X339" s="1"/>
  <c r="X380" s="1"/>
  <c r="R563" i="30"/>
  <c r="R587" s="1"/>
  <c r="R362" i="44"/>
  <c r="R364" s="1"/>
  <c r="L92" i="33" s="1"/>
  <c r="AG573" i="30"/>
  <c r="V360" i="44"/>
  <c r="V339" s="1"/>
  <c r="V380" s="1"/>
  <c r="X334" i="30"/>
  <c r="X370" s="1"/>
  <c r="AY112" i="42"/>
  <c r="M581" i="44"/>
  <c r="M587"/>
  <c r="AD968" i="30"/>
  <c r="BE968"/>
  <c r="BO124" i="42"/>
  <c r="U340" i="44"/>
  <c r="U369" s="1"/>
  <c r="BA112" i="42"/>
  <c r="O581" i="44"/>
  <c r="O587"/>
  <c r="T336" i="30"/>
  <c r="BG117" i="42"/>
  <c r="U592" i="44"/>
  <c r="AG532" i="30"/>
  <c r="AG555"/>
  <c r="AH383"/>
  <c r="Y545"/>
  <c r="Y789"/>
  <c r="Y858"/>
  <c r="Y697"/>
  <c r="Y720"/>
  <c r="Y812"/>
  <c r="Y522"/>
  <c r="Y567" s="1"/>
  <c r="W116" i="42" s="1"/>
  <c r="W44"/>
  <c r="Y835" i="30"/>
  <c r="Y743"/>
  <c r="Y396"/>
  <c r="AF381" i="44"/>
  <c r="AE530"/>
  <c r="AE553"/>
  <c r="AS375"/>
  <c r="AR547"/>
  <c r="AR524"/>
  <c r="Z955" i="30"/>
  <c r="Z765"/>
  <c r="X229" i="42" s="1"/>
  <c r="AR520" i="30"/>
  <c r="AS371"/>
  <c r="AR543"/>
  <c r="AE955" i="44"/>
  <c r="AF955" s="1"/>
  <c r="AG955" s="1"/>
  <c r="AH955" s="1"/>
  <c r="AI955" s="1"/>
  <c r="AJ955" s="1"/>
  <c r="AK955" s="1"/>
  <c r="AL955" s="1"/>
  <c r="AM955" s="1"/>
  <c r="AN955" s="1"/>
  <c r="AO955" s="1"/>
  <c r="AP955" s="1"/>
  <c r="AQ955" s="1"/>
  <c r="AR955" s="1"/>
  <c r="AS955" s="1"/>
  <c r="AT955" s="1"/>
  <c r="AU955" s="1"/>
  <c r="AV955" s="1"/>
  <c r="AW955" s="1"/>
  <c r="AN549"/>
  <c r="AN526"/>
  <c r="AO377"/>
  <c r="AE967" i="30"/>
  <c r="AF967" s="1"/>
  <c r="AG967" s="1"/>
  <c r="AH967" s="1"/>
  <c r="AI967" s="1"/>
  <c r="AJ967" s="1"/>
  <c r="AK967" s="1"/>
  <c r="AL967" s="1"/>
  <c r="AM967" s="1"/>
  <c r="AN967" s="1"/>
  <c r="AO967" s="1"/>
  <c r="AP967" s="1"/>
  <c r="AQ967" s="1"/>
  <c r="AR967" s="1"/>
  <c r="AS967" s="1"/>
  <c r="AT967" s="1"/>
  <c r="AU967" s="1"/>
  <c r="AV967" s="1"/>
  <c r="AW967" s="1"/>
  <c r="AP548" i="44"/>
  <c r="AP525"/>
  <c r="AQ376"/>
  <c r="AC765" i="30"/>
  <c r="AA229" i="42" s="1"/>
  <c r="AC955" i="30"/>
  <c r="W950"/>
  <c r="W760"/>
  <c r="AJ532" i="44"/>
  <c r="AJ555"/>
  <c r="AK383"/>
  <c r="AN378"/>
  <c r="AM550"/>
  <c r="AM527"/>
  <c r="AL526" i="30"/>
  <c r="AM377"/>
  <c r="AL549"/>
  <c r="S110" i="42"/>
  <c r="U585" i="30"/>
  <c r="S224" i="42"/>
  <c r="BE226"/>
  <c r="S780" i="44"/>
  <c r="M109" i="33" s="1"/>
  <c r="N123" i="42"/>
  <c r="AX226"/>
  <c r="L780" i="44"/>
  <c r="F109" i="33" s="1"/>
  <c r="I52"/>
  <c r="M132" i="42"/>
  <c r="AQ375" i="30"/>
  <c r="AP547"/>
  <c r="AP524"/>
  <c r="AB740"/>
  <c r="AB519"/>
  <c r="AB832"/>
  <c r="AB717"/>
  <c r="Z41" i="42"/>
  <c r="AB809" i="30"/>
  <c r="AB694"/>
  <c r="AB786"/>
  <c r="AB542"/>
  <c r="AB855"/>
  <c r="AB393"/>
  <c r="Y774"/>
  <c r="W238" i="42" s="1"/>
  <c r="Y964" i="30"/>
  <c r="W950" i="44"/>
  <c r="W760"/>
  <c r="U773"/>
  <c r="BG237" i="42" s="1"/>
  <c r="U963" i="44"/>
  <c r="R938"/>
  <c r="CK298" i="42" s="1"/>
  <c r="BD231"/>
  <c r="Z843" i="30"/>
  <c r="Z599"/>
  <c r="Z866"/>
  <c r="Z797"/>
  <c r="Z820"/>
  <c r="Z751"/>
  <c r="Z728"/>
  <c r="Z705"/>
  <c r="Z530"/>
  <c r="Z553"/>
  <c r="X52" i="42"/>
  <c r="Q546" i="30"/>
  <c r="Q698"/>
  <c r="Q813"/>
  <c r="Q744"/>
  <c r="Q790"/>
  <c r="Q836"/>
  <c r="Q523"/>
  <c r="Q667" s="1"/>
  <c r="O187" i="42" s="1"/>
  <c r="O45"/>
  <c r="Q859" i="30"/>
  <c r="Q721"/>
  <c r="Q397"/>
  <c r="X859" i="44"/>
  <c r="X942" s="1"/>
  <c r="CQ302" i="42" s="1"/>
  <c r="BJ45"/>
  <c r="X698" i="44"/>
  <c r="X813"/>
  <c r="X940" s="1"/>
  <c r="CQ300" i="42" s="1"/>
  <c r="X546" i="44"/>
  <c r="X681" s="1"/>
  <c r="CQ188" i="42" s="1"/>
  <c r="X523" i="44"/>
  <c r="X680" s="1"/>
  <c r="CQ187" i="42" s="1"/>
  <c r="X721" i="44"/>
  <c r="X836"/>
  <c r="X941" s="1"/>
  <c r="CQ301" i="42" s="1"/>
  <c r="X744" i="44"/>
  <c r="X790"/>
  <c r="X939" s="1"/>
  <c r="CQ299" i="42" s="1"/>
  <c r="X397" i="44"/>
  <c r="X442" s="1"/>
  <c r="CR74" i="42" s="1"/>
  <c r="T760" i="30"/>
  <c r="T950"/>
  <c r="AT543" i="44"/>
  <c r="AT520"/>
  <c r="AU371"/>
  <c r="AT535" i="30"/>
  <c r="AU386"/>
  <c r="AT558"/>
  <c r="P582" i="44"/>
  <c r="P606" s="1"/>
  <c r="BB133" i="42" s="1"/>
  <c r="J110" i="33"/>
  <c r="P605" i="44"/>
  <c r="R418" i="30"/>
  <c r="R421" s="1"/>
  <c r="L45" i="33" s="1"/>
  <c r="R762" i="30"/>
  <c r="R924" s="1"/>
  <c r="P291" i="42" s="1"/>
  <c r="R952" i="30"/>
  <c r="R711"/>
  <c r="R970" s="1"/>
  <c r="P130" i="42" s="1"/>
  <c r="AI384" i="44"/>
  <c r="AH533"/>
  <c r="AH556"/>
  <c r="Y744"/>
  <c r="Y790"/>
  <c r="Y939" s="1"/>
  <c r="CR299" i="42" s="1"/>
  <c r="Y859" i="44"/>
  <c r="Y942" s="1"/>
  <c r="CR302" i="42" s="1"/>
  <c r="BK45"/>
  <c r="Y698" i="44"/>
  <c r="Y397"/>
  <c r="Y442" s="1"/>
  <c r="CS74" i="42" s="1"/>
  <c r="Y813" i="44"/>
  <c r="Y940" s="1"/>
  <c r="CR300" i="42" s="1"/>
  <c r="Y546" i="44"/>
  <c r="Y681" s="1"/>
  <c r="CR188" i="42" s="1"/>
  <c r="Y523" i="44"/>
  <c r="Y680" s="1"/>
  <c r="CR187" i="42" s="1"/>
  <c r="Y721" i="44"/>
  <c r="Y836"/>
  <c r="Y941" s="1"/>
  <c r="CR301" i="42" s="1"/>
  <c r="AB955" i="44"/>
  <c r="BE955" s="1"/>
  <c r="AB765"/>
  <c r="BN229" i="42" s="1"/>
  <c r="AM379" i="44"/>
  <c r="AL551"/>
  <c r="AL528"/>
  <c r="AH528" i="30"/>
  <c r="AH551"/>
  <c r="AI379"/>
  <c r="F52" i="33"/>
  <c r="J132" i="42"/>
  <c r="AG372" i="44"/>
  <c r="AF521"/>
  <c r="AF544"/>
  <c r="Z835"/>
  <c r="Z396"/>
  <c r="BL44" i="42"/>
  <c r="Z743" i="44"/>
  <c r="Z812"/>
  <c r="Z858"/>
  <c r="Z545"/>
  <c r="Z789"/>
  <c r="Z697"/>
  <c r="Z720"/>
  <c r="Z522"/>
  <c r="Z567" s="1"/>
  <c r="BL116" i="42" s="1"/>
  <c r="Z566" i="30"/>
  <c r="AI572"/>
  <c r="U358"/>
  <c r="AA357" i="44"/>
  <c r="R574"/>
  <c r="BD123" i="42" s="1"/>
  <c r="Y576" i="44"/>
  <c r="BK125" i="42" s="1"/>
  <c r="AI577" i="44"/>
  <c r="P362" i="30"/>
  <c r="P364" s="1"/>
  <c r="J33" i="33" s="1"/>
  <c r="Q360" i="44"/>
  <c r="AC355"/>
  <c r="L423"/>
  <c r="F106" i="33" s="1"/>
  <c r="L424" i="44"/>
  <c r="F107" i="33" s="1"/>
  <c r="O422" i="44"/>
  <c r="I105" i="33" s="1"/>
  <c r="AO569" i="30"/>
  <c r="Y575"/>
  <c r="W124" i="42" s="1"/>
  <c r="W561" i="44"/>
  <c r="AD579" i="30"/>
  <c r="X567"/>
  <c r="AS580"/>
  <c r="AU580" i="44"/>
  <c r="S360" i="30"/>
  <c r="AA355"/>
  <c r="V360"/>
  <c r="T360" i="44"/>
  <c r="AG578"/>
  <c r="AC354" i="30"/>
  <c r="AB566" i="44"/>
  <c r="BC125" i="42"/>
  <c r="W336" i="44"/>
  <c r="BD117" i="42"/>
  <c r="R592" i="44"/>
  <c r="AB332"/>
  <c r="AB381" s="1"/>
  <c r="AB404" s="1"/>
  <c r="AK378" i="30"/>
  <c r="AJ550"/>
  <c r="AJ527"/>
  <c r="AA516" i="44"/>
  <c r="AA852"/>
  <c r="AA829"/>
  <c r="AA539"/>
  <c r="AA691"/>
  <c r="AA390"/>
  <c r="BM38" i="42"/>
  <c r="AA737" i="44"/>
  <c r="AA783"/>
  <c r="AA806"/>
  <c r="AA714"/>
  <c r="U938"/>
  <c r="CN298" i="42" s="1"/>
  <c r="BG231"/>
  <c r="AE372" i="30"/>
  <c r="AD544"/>
  <c r="AD521"/>
  <c r="R963" i="44"/>
  <c r="R773"/>
  <c r="BD237" i="42" s="1"/>
  <c r="Y965" i="44"/>
  <c r="Y775"/>
  <c r="BK239" i="42" s="1"/>
  <c r="W561" i="30"/>
  <c r="AO376"/>
  <c r="AN548"/>
  <c r="AN525"/>
  <c r="AY226" i="42"/>
  <c r="M780" i="44"/>
  <c r="G109" i="33" s="1"/>
  <c r="P739" i="30"/>
  <c r="P757" s="1"/>
  <c r="N40" i="42"/>
  <c r="P854" i="30"/>
  <c r="P785"/>
  <c r="P518"/>
  <c r="P716"/>
  <c r="P734" s="1"/>
  <c r="P808"/>
  <c r="P693"/>
  <c r="P541"/>
  <c r="P831"/>
  <c r="P392"/>
  <c r="P387"/>
  <c r="P410" s="1"/>
  <c r="P416" a="1"/>
  <c r="P416" s="1"/>
  <c r="P414" a="1"/>
  <c r="P414" s="1"/>
  <c r="P413" a="1"/>
  <c r="P413" s="1"/>
  <c r="P417" a="1"/>
  <c r="P417" s="1"/>
  <c r="P415" a="1"/>
  <c r="P415" s="1"/>
  <c r="AC720" i="44"/>
  <c r="AC835"/>
  <c r="AC396"/>
  <c r="AC697"/>
  <c r="AC545"/>
  <c r="AD373"/>
  <c r="AC522"/>
  <c r="AC743"/>
  <c r="AC812"/>
  <c r="AC789"/>
  <c r="AC858"/>
  <c r="BO44" i="42"/>
  <c r="AX130"/>
  <c r="AD964" i="44"/>
  <c r="AE534" i="30"/>
  <c r="AE557"/>
  <c r="AF385"/>
  <c r="BA226" i="42"/>
  <c r="O780" i="44"/>
  <c r="I109" i="33" s="1"/>
  <c r="X956" i="30"/>
  <c r="X766"/>
  <c r="V230" i="42" s="1"/>
  <c r="T561" i="30"/>
  <c r="AG557" i="44"/>
  <c r="AH385"/>
  <c r="AG534"/>
  <c r="AV535"/>
  <c r="AV558"/>
  <c r="AW386"/>
  <c r="AF556" i="30"/>
  <c r="AG384"/>
  <c r="AF533"/>
  <c r="AA743"/>
  <c r="AA835"/>
  <c r="AA545"/>
  <c r="AA697"/>
  <c r="AA720"/>
  <c r="AA522"/>
  <c r="Y44" i="42"/>
  <c r="AA812" i="30"/>
  <c r="AA858"/>
  <c r="AA789"/>
  <c r="AA396"/>
  <c r="AC599"/>
  <c r="AC797"/>
  <c r="AC843"/>
  <c r="AC728"/>
  <c r="AC820"/>
  <c r="AC705"/>
  <c r="AC553"/>
  <c r="AC530"/>
  <c r="AD381"/>
  <c r="AC751"/>
  <c r="AC866"/>
  <c r="AA52" i="42"/>
  <c r="R518" i="44"/>
  <c r="R785"/>
  <c r="R803" s="1"/>
  <c r="BD259" i="42" s="1"/>
  <c r="R716" i="44"/>
  <c r="R734" s="1"/>
  <c r="R693"/>
  <c r="R739"/>
  <c r="R757" s="1"/>
  <c r="R831"/>
  <c r="R849" s="1"/>
  <c r="BD261" i="42" s="1"/>
  <c r="R854" i="44"/>
  <c r="R872" s="1"/>
  <c r="BD262" i="42" s="1"/>
  <c r="R432" i="44"/>
  <c r="BD68" i="42" s="1"/>
  <c r="BD40"/>
  <c r="R541" i="44"/>
  <c r="R808"/>
  <c r="R826" s="1"/>
  <c r="BD260" i="42" s="1"/>
  <c r="R392" i="44"/>
  <c r="R434" s="1"/>
  <c r="BD73" i="42" s="1"/>
  <c r="R387" i="44"/>
  <c r="R410" s="1"/>
  <c r="R415" a="1"/>
  <c r="R415" s="1"/>
  <c r="R417" a="1"/>
  <c r="R417" s="1"/>
  <c r="R416" a="1"/>
  <c r="R416" s="1"/>
  <c r="R413" a="1"/>
  <c r="R413" s="1"/>
  <c r="R414" a="1"/>
  <c r="R414" s="1"/>
  <c r="AC566" i="30"/>
  <c r="U574" i="44"/>
  <c r="BG123" i="42" s="1"/>
  <c r="F36" i="33" l="1"/>
  <c r="BP128"/>
  <c r="I36"/>
  <c r="BS128"/>
  <c r="I95"/>
  <c r="BS70"/>
  <c r="F95"/>
  <c r="BP70"/>
  <c r="M95"/>
  <c r="BW70"/>
  <c r="G95"/>
  <c r="BQ70"/>
  <c r="F422" i="30"/>
  <c r="H729"/>
  <c r="H432"/>
  <c r="F68" i="42" s="1"/>
  <c r="H441" i="30"/>
  <c r="CB68" i="42" s="1"/>
  <c r="Q434" i="30"/>
  <c r="O73" i="42" s="1"/>
  <c r="Q442" i="30"/>
  <c r="CK73" i="42" s="1"/>
  <c r="V432" i="30"/>
  <c r="T68" i="42" s="1"/>
  <c r="V441" i="30"/>
  <c r="CP68" i="42" s="1"/>
  <c r="S432" i="30"/>
  <c r="Q68" i="42" s="1"/>
  <c r="S441" i="30"/>
  <c r="CM68" i="42" s="1"/>
  <c r="Q721" i="44"/>
  <c r="Q441"/>
  <c r="CK69" i="42" s="1"/>
  <c r="V744" i="44"/>
  <c r="V441"/>
  <c r="CP69" i="42" s="1"/>
  <c r="T721" i="44"/>
  <c r="T441"/>
  <c r="CN69" i="42" s="1"/>
  <c r="V836" i="44"/>
  <c r="V941" s="1"/>
  <c r="CO301" i="42" s="1"/>
  <c r="V523" i="44"/>
  <c r="V680" s="1"/>
  <c r="CO187" i="42" s="1"/>
  <c r="AF578" i="30"/>
  <c r="AC567" i="44"/>
  <c r="AC591" s="1"/>
  <c r="V813"/>
  <c r="V940" s="1"/>
  <c r="CO300" i="42" s="1"/>
  <c r="T523" i="44"/>
  <c r="T680" s="1"/>
  <c r="CM187" i="42" s="1"/>
  <c r="T744" i="44"/>
  <c r="V546" i="30"/>
  <c r="V668" s="1"/>
  <c r="T188" i="42" s="1"/>
  <c r="S790" i="30"/>
  <c r="S939" s="1"/>
  <c r="CL292" i="42" s="1"/>
  <c r="Q523" i="44"/>
  <c r="Q680" s="1"/>
  <c r="CJ187" i="42" s="1"/>
  <c r="V744" i="30"/>
  <c r="S698"/>
  <c r="S957" s="1"/>
  <c r="Q836" i="44"/>
  <c r="Q941" s="1"/>
  <c r="CJ301" i="42" s="1"/>
  <c r="AG579" i="44"/>
  <c r="V836" i="30"/>
  <c r="V941" s="1"/>
  <c r="CO294" i="42" s="1"/>
  <c r="T45"/>
  <c r="V813" i="30"/>
  <c r="V940" s="1"/>
  <c r="CO293" i="42" s="1"/>
  <c r="S813" i="30"/>
  <c r="S932" s="1"/>
  <c r="Q300" i="42" s="1"/>
  <c r="S836" i="30"/>
  <c r="S941" s="1"/>
  <c r="CL294" i="42" s="1"/>
  <c r="S859" i="30"/>
  <c r="S942" s="1"/>
  <c r="CL295" i="42" s="1"/>
  <c r="Q698" i="44"/>
  <c r="Q957" s="1"/>
  <c r="Q682" s="1"/>
  <c r="CJ189" i="42" s="1"/>
  <c r="BC45"/>
  <c r="Q744" i="44"/>
  <c r="V698"/>
  <c r="V957" s="1"/>
  <c r="V682" s="1"/>
  <c r="CO189" i="42" s="1"/>
  <c r="V790" i="44"/>
  <c r="V939" s="1"/>
  <c r="CO299" i="42" s="1"/>
  <c r="T397" i="44"/>
  <c r="T442" s="1"/>
  <c r="CN74" i="42" s="1"/>
  <c r="T836" i="44"/>
  <c r="T941" s="1"/>
  <c r="CM301" i="42" s="1"/>
  <c r="T859" i="44"/>
  <c r="T942" s="1"/>
  <c r="CM302" i="42" s="1"/>
  <c r="BG225"/>
  <c r="Q807" i="30"/>
  <c r="X517" i="44"/>
  <c r="X667" s="1"/>
  <c r="BJ187" i="42" s="1"/>
  <c r="V397" i="30"/>
  <c r="V721"/>
  <c r="V859"/>
  <c r="V942" s="1"/>
  <c r="CO295" i="42" s="1"/>
  <c r="V790" i="30"/>
  <c r="V939" s="1"/>
  <c r="CO292" i="42" s="1"/>
  <c r="V698" i="30"/>
  <c r="V957" s="1"/>
  <c r="V523"/>
  <c r="S397"/>
  <c r="S546"/>
  <c r="Q45" i="42"/>
  <c r="S523" i="30"/>
  <c r="S568" s="1"/>
  <c r="Q117" i="42" s="1"/>
  <c r="S744" i="30"/>
  <c r="S721"/>
  <c r="Q813" i="44"/>
  <c r="Q940" s="1"/>
  <c r="CJ300" i="42" s="1"/>
  <c r="Q546" i="44"/>
  <c r="Q681" s="1"/>
  <c r="CJ188" i="42" s="1"/>
  <c r="Q859" i="44"/>
  <c r="Q942" s="1"/>
  <c r="CJ302" i="42" s="1"/>
  <c r="Q397" i="44"/>
  <c r="Q442" s="1"/>
  <c r="CK74" i="42" s="1"/>
  <c r="Q790" i="44"/>
  <c r="Q939" s="1"/>
  <c r="CJ299" i="42" s="1"/>
  <c r="X391" i="44"/>
  <c r="X435" s="1"/>
  <c r="BJ74" i="42" s="1"/>
  <c r="X830" i="44"/>
  <c r="X927" s="1"/>
  <c r="BJ294" i="42" s="1"/>
  <c r="Y692" i="44"/>
  <c r="Y951" s="1"/>
  <c r="Y669" s="1"/>
  <c r="BK189" i="42" s="1"/>
  <c r="V397" i="44"/>
  <c r="V442" s="1"/>
  <c r="CP74" i="42" s="1"/>
  <c r="V721" i="44"/>
  <c r="V546"/>
  <c r="V681" s="1"/>
  <c r="CO188" i="42" s="1"/>
  <c r="V859" i="44"/>
  <c r="V942" s="1"/>
  <c r="CO302" i="42" s="1"/>
  <c r="BH45"/>
  <c r="T546" i="44"/>
  <c r="T681" s="1"/>
  <c r="CM188" i="42" s="1"/>
  <c r="BF45"/>
  <c r="T698" i="44"/>
  <c r="T767" s="1"/>
  <c r="T790"/>
  <c r="T939" s="1"/>
  <c r="CM299" i="42" s="1"/>
  <c r="Q391" i="30"/>
  <c r="Q435" s="1"/>
  <c r="O74" i="42" s="1"/>
  <c r="Q517" i="30"/>
  <c r="Q662" s="1"/>
  <c r="O178" i="42" s="1"/>
  <c r="Y784" i="44"/>
  <c r="Y925" s="1"/>
  <c r="BK292" i="42" s="1"/>
  <c r="Y433" i="44"/>
  <c r="BK69" i="42" s="1"/>
  <c r="X738" i="44"/>
  <c r="X807"/>
  <c r="X926" s="1"/>
  <c r="BJ293" i="42" s="1"/>
  <c r="X540" i="44"/>
  <c r="X668" s="1"/>
  <c r="BJ188" i="42" s="1"/>
  <c r="Q540" i="30"/>
  <c r="Q663" s="1"/>
  <c r="O179" i="42" s="1"/>
  <c r="Q738" i="30"/>
  <c r="Q715"/>
  <c r="Y517" i="44"/>
  <c r="Y667" s="1"/>
  <c r="BK187" i="42" s="1"/>
  <c r="Y391" i="44"/>
  <c r="Y435" s="1"/>
  <c r="BK74" i="42" s="1"/>
  <c r="Y738" i="44"/>
  <c r="Q853" i="30"/>
  <c r="Q433"/>
  <c r="O69" i="42" s="1"/>
  <c r="O39"/>
  <c r="Q830" i="30"/>
  <c r="Q692"/>
  <c r="Q951" s="1"/>
  <c r="Q664" s="1"/>
  <c r="O180" i="42" s="1"/>
  <c r="Y715" i="44"/>
  <c r="Y807"/>
  <c r="Y926" s="1"/>
  <c r="BK293" i="42" s="1"/>
  <c r="BK39"/>
  <c r="Y830" i="44"/>
  <c r="Y927" s="1"/>
  <c r="BK294" i="42" s="1"/>
  <c r="Y540" i="44"/>
  <c r="Y668" s="1"/>
  <c r="BK188" i="42" s="1"/>
  <c r="X853" i="44"/>
  <c r="X928" s="1"/>
  <c r="BJ295" i="42" s="1"/>
  <c r="X692" i="44"/>
  <c r="X951" s="1"/>
  <c r="X669" s="1"/>
  <c r="BJ189" i="42" s="1"/>
  <c r="X715" i="44"/>
  <c r="BJ39" i="42"/>
  <c r="X784" i="44"/>
  <c r="X925" s="1"/>
  <c r="BJ292" i="42" s="1"/>
  <c r="V692" i="30"/>
  <c r="V540"/>
  <c r="V663" s="1"/>
  <c r="T179" i="42" s="1"/>
  <c r="V784" i="30"/>
  <c r="V738"/>
  <c r="V853"/>
  <c r="V391"/>
  <c r="V435" s="1"/>
  <c r="T74" i="42" s="1"/>
  <c r="V715" i="30"/>
  <c r="V433"/>
  <c r="T69" i="42" s="1"/>
  <c r="T39"/>
  <c r="V807" i="30"/>
  <c r="V517"/>
  <c r="V830"/>
  <c r="S830"/>
  <c r="S807"/>
  <c r="S715"/>
  <c r="S738"/>
  <c r="S391"/>
  <c r="S435" s="1"/>
  <c r="Q74" i="42" s="1"/>
  <c r="S517" i="30"/>
  <c r="Q39" i="42"/>
  <c r="S433" i="30"/>
  <c r="Q69" i="42" s="1"/>
  <c r="S853" i="30"/>
  <c r="S784"/>
  <c r="S692"/>
  <c r="S540"/>
  <c r="S663" s="1"/>
  <c r="Q179" i="42" s="1"/>
  <c r="Q433" i="44"/>
  <c r="BC69" i="42" s="1"/>
  <c r="Q391" i="44"/>
  <c r="Q435" s="1"/>
  <c r="BC74" i="42" s="1"/>
  <c r="Q807" i="44"/>
  <c r="Q926" s="1"/>
  <c r="BC293" i="42" s="1"/>
  <c r="Q853" i="44"/>
  <c r="Q928" s="1"/>
  <c r="BC295" i="42" s="1"/>
  <c r="Q692" i="44"/>
  <c r="Q830"/>
  <c r="Q927" s="1"/>
  <c r="BC294" i="42" s="1"/>
  <c r="Q784" i="44"/>
  <c r="Q925" s="1"/>
  <c r="BC292" i="42" s="1"/>
  <c r="BC39"/>
  <c r="Q540" i="44"/>
  <c r="Q668" s="1"/>
  <c r="BC188" i="42" s="1"/>
  <c r="Q715" i="44"/>
  <c r="Q517"/>
  <c r="Q738"/>
  <c r="V517"/>
  <c r="V853"/>
  <c r="V928" s="1"/>
  <c r="BH295" i="42" s="1"/>
  <c r="V540" i="44"/>
  <c r="V668" s="1"/>
  <c r="BH188" i="42" s="1"/>
  <c r="V830" i="44"/>
  <c r="V927" s="1"/>
  <c r="BH294" i="42" s="1"/>
  <c r="V784" i="44"/>
  <c r="V925" s="1"/>
  <c r="BH292" i="42" s="1"/>
  <c r="BH39"/>
  <c r="V433" i="44"/>
  <c r="BH69" i="42" s="1"/>
  <c r="V715" i="44"/>
  <c r="V692"/>
  <c r="V391"/>
  <c r="V435" s="1"/>
  <c r="BH74" i="42" s="1"/>
  <c r="V807" i="44"/>
  <c r="V926" s="1"/>
  <c r="BH293" i="42" s="1"/>
  <c r="V738" i="44"/>
  <c r="T433"/>
  <c r="BF69" i="42" s="1"/>
  <c r="T784" i="44"/>
  <c r="T925" s="1"/>
  <c r="BF292" i="42" s="1"/>
  <c r="T692" i="44"/>
  <c r="T391"/>
  <c r="T435" s="1"/>
  <c r="BF74" i="42" s="1"/>
  <c r="T715" i="44"/>
  <c r="T830"/>
  <c r="T927" s="1"/>
  <c r="BF294" i="42" s="1"/>
  <c r="T517" i="44"/>
  <c r="T853"/>
  <c r="T928" s="1"/>
  <c r="BF295" i="42" s="1"/>
  <c r="T738" i="44"/>
  <c r="T807"/>
  <c r="T926" s="1"/>
  <c r="BF293" i="42" s="1"/>
  <c r="BF39"/>
  <c r="T540" i="44"/>
  <c r="T668" s="1"/>
  <c r="BF188" i="42" s="1"/>
  <c r="H368" i="30"/>
  <c r="H807" s="1"/>
  <c r="Q775"/>
  <c r="O239" i="42" s="1"/>
  <c r="H423" i="44"/>
  <c r="H422"/>
  <c r="G422" i="30"/>
  <c r="F423"/>
  <c r="G424"/>
  <c r="H421" i="44"/>
  <c r="H425"/>
  <c r="H600" i="30"/>
  <c r="X775" i="44"/>
  <c r="BJ239" i="42" s="1"/>
  <c r="L605" i="44"/>
  <c r="AX132" i="42" s="1"/>
  <c r="Q576" i="30"/>
  <c r="O125" i="42" s="1"/>
  <c r="S605" i="44"/>
  <c r="M111" i="33" s="1"/>
  <c r="D425" i="44"/>
  <c r="G423" i="30"/>
  <c r="F424"/>
  <c r="H752"/>
  <c r="H775" s="1"/>
  <c r="F239" i="42" s="1"/>
  <c r="F53"/>
  <c r="H821" i="30"/>
  <c r="H844"/>
  <c r="H798"/>
  <c r="H587" i="44"/>
  <c r="AT112" i="42"/>
  <c r="H581" i="44"/>
  <c r="V680" i="30"/>
  <c r="CO178" i="42" s="1"/>
  <c r="V667" i="30"/>
  <c r="T187" i="42" s="1"/>
  <c r="S681" i="30"/>
  <c r="CL179" i="42" s="1"/>
  <c r="S668" i="30"/>
  <c r="Q188" i="42" s="1"/>
  <c r="S680" i="30"/>
  <c r="CL178" i="42" s="1"/>
  <c r="S667" i="30"/>
  <c r="Q187" i="42" s="1"/>
  <c r="V681" i="30"/>
  <c r="CO179" i="42" s="1"/>
  <c r="Q681" i="30"/>
  <c r="CJ179" i="42" s="1"/>
  <c r="Q668" i="30"/>
  <c r="O188" i="42" s="1"/>
  <c r="Y562" i="44"/>
  <c r="H738" i="30"/>
  <c r="H853"/>
  <c r="H784"/>
  <c r="H715"/>
  <c r="H830"/>
  <c r="H692"/>
  <c r="S582" i="44"/>
  <c r="S606" s="1"/>
  <c r="BE133" i="42" s="1"/>
  <c r="L582" i="44"/>
  <c r="L606" s="1"/>
  <c r="AX133" i="42" s="1"/>
  <c r="J94" i="33"/>
  <c r="I96"/>
  <c r="I114"/>
  <c r="G96"/>
  <c r="G114"/>
  <c r="M96"/>
  <c r="M114"/>
  <c r="F96"/>
  <c r="F114"/>
  <c r="D581" i="44"/>
  <c r="D582" s="1"/>
  <c r="D606" s="1"/>
  <c r="AP133" i="42" s="1"/>
  <c r="D112"/>
  <c r="R422" i="30"/>
  <c r="L46" i="33" s="1"/>
  <c r="R424" i="30"/>
  <c r="L48" i="33" s="1"/>
  <c r="R425" i="30"/>
  <c r="L49" i="33" s="1"/>
  <c r="R423" i="30"/>
  <c r="L47" i="33" s="1"/>
  <c r="P112" i="42"/>
  <c r="AB591" i="30"/>
  <c r="P849"/>
  <c r="N261" i="42" s="1"/>
  <c r="P927" i="30"/>
  <c r="N294" i="42" s="1"/>
  <c r="P803" i="30"/>
  <c r="N259" i="42" s="1"/>
  <c r="P925" i="30"/>
  <c r="N292" i="42" s="1"/>
  <c r="P826" i="30"/>
  <c r="N260" i="42" s="1"/>
  <c r="P926" i="30"/>
  <c r="N293" i="42" s="1"/>
  <c r="P872" i="30"/>
  <c r="N262" i="42" s="1"/>
  <c r="P928" i="30"/>
  <c r="N295" i="42" s="1"/>
  <c r="AB766" i="30"/>
  <c r="Z230" i="42" s="1"/>
  <c r="D587" i="44"/>
  <c r="F581" i="30"/>
  <c r="F605" s="1"/>
  <c r="D132" i="42" s="1"/>
  <c r="G425" i="30"/>
  <c r="H360"/>
  <c r="H339" s="1"/>
  <c r="H380" s="1"/>
  <c r="F425"/>
  <c r="H592"/>
  <c r="F45" i="42"/>
  <c r="H523" i="30"/>
  <c r="H667" s="1"/>
  <c r="F187" i="42" s="1"/>
  <c r="H546" i="30"/>
  <c r="H668" s="1"/>
  <c r="F188" i="42" s="1"/>
  <c r="H744" i="30"/>
  <c r="H859"/>
  <c r="H721"/>
  <c r="H836"/>
  <c r="H813"/>
  <c r="H698"/>
  <c r="H790"/>
  <c r="G605" i="44"/>
  <c r="AS132" i="42" s="1"/>
  <c r="G582" i="44"/>
  <c r="G606" s="1"/>
  <c r="AS133" i="42" s="1"/>
  <c r="E226"/>
  <c r="G780" i="30"/>
  <c r="G582"/>
  <c r="G606" s="1"/>
  <c r="E133" i="42" s="1"/>
  <c r="G605" i="30"/>
  <c r="E132" i="42" s="1"/>
  <c r="H965" i="30"/>
  <c r="D422" i="44"/>
  <c r="D226" i="42"/>
  <c r="F780" i="30"/>
  <c r="AP226" i="42"/>
  <c r="D780" i="44"/>
  <c r="D424"/>
  <c r="D421"/>
  <c r="AR569"/>
  <c r="AE575"/>
  <c r="R581" i="30"/>
  <c r="R582" s="1"/>
  <c r="R606" s="1"/>
  <c r="P133" i="42" s="1"/>
  <c r="X356" i="30"/>
  <c r="X335" s="1"/>
  <c r="X367" s="1"/>
  <c r="Q568"/>
  <c r="O117" i="42" s="1"/>
  <c r="Q680" i="30"/>
  <c r="CJ178" i="42" s="1"/>
  <c r="Y361" i="44"/>
  <c r="Y340" s="1"/>
  <c r="Y369" s="1"/>
  <c r="W359" i="30"/>
  <c r="W338" s="1"/>
  <c r="W374" s="1"/>
  <c r="AD566"/>
  <c r="AA561" i="44"/>
  <c r="AA585" s="1"/>
  <c r="AL573"/>
  <c r="Z575" i="30"/>
  <c r="X124" i="42" s="1"/>
  <c r="AM572" i="44"/>
  <c r="X568"/>
  <c r="AJ577"/>
  <c r="AN571"/>
  <c r="BA955"/>
  <c r="BC955" s="1"/>
  <c r="AG577" i="30"/>
  <c r="T358"/>
  <c r="T337" s="1"/>
  <c r="T382" s="1"/>
  <c r="U362" i="44"/>
  <c r="U364" s="1"/>
  <c r="O92" i="33" s="1"/>
  <c r="AV580" i="44"/>
  <c r="X361"/>
  <c r="X340" s="1"/>
  <c r="X369" s="1"/>
  <c r="Q361" i="30"/>
  <c r="Q340" s="1"/>
  <c r="Q369" s="1"/>
  <c r="Z355"/>
  <c r="Z334" s="1"/>
  <c r="Z370" s="1"/>
  <c r="AE579"/>
  <c r="AJ572"/>
  <c r="AH573"/>
  <c r="AE381"/>
  <c r="AD553"/>
  <c r="AD530"/>
  <c r="AG533"/>
  <c r="AH384"/>
  <c r="AG556"/>
  <c r="AW558" i="44"/>
  <c r="AW535"/>
  <c r="AH534"/>
  <c r="AI385"/>
  <c r="AH557"/>
  <c r="AG385" i="30"/>
  <c r="AF534"/>
  <c r="AF557"/>
  <c r="AE964" i="44"/>
  <c r="AF964" s="1"/>
  <c r="AG964" s="1"/>
  <c r="AH964" s="1"/>
  <c r="AI964" s="1"/>
  <c r="AJ964" s="1"/>
  <c r="AK964" s="1"/>
  <c r="AL964" s="1"/>
  <c r="AM964" s="1"/>
  <c r="AN964" s="1"/>
  <c r="AO964" s="1"/>
  <c r="AP964" s="1"/>
  <c r="AQ964" s="1"/>
  <c r="AR964" s="1"/>
  <c r="AS964" s="1"/>
  <c r="AT964" s="1"/>
  <c r="AU964" s="1"/>
  <c r="AV964" s="1"/>
  <c r="AW964" s="1"/>
  <c r="AB516" i="30"/>
  <c r="AB714"/>
  <c r="AB829"/>
  <c r="AB806"/>
  <c r="AB390"/>
  <c r="AB691"/>
  <c r="AB737"/>
  <c r="AB783"/>
  <c r="AB539"/>
  <c r="Z38" i="42"/>
  <c r="AB852" i="30"/>
  <c r="AF372"/>
  <c r="AE521"/>
  <c r="AE544"/>
  <c r="AA950" i="44"/>
  <c r="AA760"/>
  <c r="AK550" i="30"/>
  <c r="AK527"/>
  <c r="AL378"/>
  <c r="AB797" i="44"/>
  <c r="AB751"/>
  <c r="AB843"/>
  <c r="AB553"/>
  <c r="AB705"/>
  <c r="BN52" i="42"/>
  <c r="AB728" i="44"/>
  <c r="AB866"/>
  <c r="AB530"/>
  <c r="AB820"/>
  <c r="AC333" i="30"/>
  <c r="AC373" s="1"/>
  <c r="V339"/>
  <c r="V380" s="1"/>
  <c r="S339"/>
  <c r="S380" s="1"/>
  <c r="V116" i="42"/>
  <c r="X591" i="30"/>
  <c r="AC334" i="44"/>
  <c r="AC370" s="1"/>
  <c r="AA336"/>
  <c r="X115" i="42"/>
  <c r="Z590" i="30"/>
  <c r="Z956" i="44"/>
  <c r="Z766"/>
  <c r="BL230" i="42" s="1"/>
  <c r="V796" i="44"/>
  <c r="V865"/>
  <c r="V727"/>
  <c r="V598"/>
  <c r="V529"/>
  <c r="V552"/>
  <c r="V704"/>
  <c r="V750"/>
  <c r="BH51" i="42"/>
  <c r="V819" i="44"/>
  <c r="V842"/>
  <c r="AG521"/>
  <c r="AG544"/>
  <c r="AH372"/>
  <c r="AN379"/>
  <c r="AM551"/>
  <c r="AM528"/>
  <c r="AI533"/>
  <c r="AJ384"/>
  <c r="AI556"/>
  <c r="BB132" i="42"/>
  <c r="J111" i="33"/>
  <c r="BT129" s="1"/>
  <c r="AV386" i="30"/>
  <c r="AU558"/>
  <c r="AU535"/>
  <c r="AU543" i="44"/>
  <c r="AU520"/>
  <c r="AV371"/>
  <c r="Q934" i="30"/>
  <c r="O302" i="42" s="1"/>
  <c r="Q942" i="30"/>
  <c r="CJ295" i="42" s="1"/>
  <c r="Q957" i="30"/>
  <c r="Q767"/>
  <c r="AM549"/>
  <c r="AN377"/>
  <c r="AM526"/>
  <c r="AM571" s="1"/>
  <c r="AN527" i="44"/>
  <c r="AO378"/>
  <c r="AN550"/>
  <c r="AP377"/>
  <c r="AO549"/>
  <c r="AO526"/>
  <c r="AT371" i="30"/>
  <c r="AS543"/>
  <c r="AS520"/>
  <c r="AS547" i="44"/>
  <c r="AS524"/>
  <c r="AT375"/>
  <c r="Y956" i="30"/>
  <c r="Y766"/>
  <c r="W230" i="42" s="1"/>
  <c r="AH532" i="30"/>
  <c r="AH555"/>
  <c r="AI383"/>
  <c r="O582" i="44"/>
  <c r="O606" s="1"/>
  <c r="BA133" i="42" s="1"/>
  <c r="I110" i="33"/>
  <c r="O605" i="44"/>
  <c r="Y519" i="30"/>
  <c r="Y809"/>
  <c r="Y542"/>
  <c r="Y694"/>
  <c r="W41" i="42"/>
  <c r="Y717" i="30"/>
  <c r="Y740"/>
  <c r="Y786"/>
  <c r="Y855"/>
  <c r="Y832"/>
  <c r="Y393"/>
  <c r="X855"/>
  <c r="X694"/>
  <c r="X519"/>
  <c r="X542"/>
  <c r="X786"/>
  <c r="X740"/>
  <c r="X809"/>
  <c r="X832"/>
  <c r="V41" i="42"/>
  <c r="X717" i="30"/>
  <c r="X393"/>
  <c r="R563" i="44"/>
  <c r="P563" i="30"/>
  <c r="Z591" i="44"/>
  <c r="AP570"/>
  <c r="BA967" i="30"/>
  <c r="BC967" s="1"/>
  <c r="Z519" i="44"/>
  <c r="Z542"/>
  <c r="BL41" i="42"/>
  <c r="Z855" i="44"/>
  <c r="Z740"/>
  <c r="Z786"/>
  <c r="Z832"/>
  <c r="Z694"/>
  <c r="Z809"/>
  <c r="Z717"/>
  <c r="Z393"/>
  <c r="AA115" i="42"/>
  <c r="BE566" i="30"/>
  <c r="AC590"/>
  <c r="W706"/>
  <c r="W600"/>
  <c r="U53" i="42"/>
  <c r="W531" i="30"/>
  <c r="W867"/>
  <c r="W554"/>
  <c r="W798"/>
  <c r="W844"/>
  <c r="W821"/>
  <c r="W752"/>
  <c r="W729"/>
  <c r="Y842" i="44"/>
  <c r="Y727"/>
  <c r="Y598"/>
  <c r="Y819"/>
  <c r="Y704"/>
  <c r="BK51" i="42"/>
  <c r="Y796" i="44"/>
  <c r="Y552"/>
  <c r="Y865"/>
  <c r="Y750"/>
  <c r="Y529"/>
  <c r="R418"/>
  <c r="R424" s="1"/>
  <c r="L107" i="33" s="1"/>
  <c r="R952" i="44"/>
  <c r="R762"/>
  <c r="R711"/>
  <c r="R970" s="1"/>
  <c r="BD130" i="42" s="1"/>
  <c r="AC964" i="30"/>
  <c r="AC774"/>
  <c r="AA238" i="42" s="1"/>
  <c r="AA956" i="30"/>
  <c r="AA766"/>
  <c r="Y230" i="42" s="1"/>
  <c r="R110"/>
  <c r="T585" i="30"/>
  <c r="X598" i="44"/>
  <c r="X842"/>
  <c r="X750"/>
  <c r="X704"/>
  <c r="BJ51" i="42"/>
  <c r="X727" i="44"/>
  <c r="X529"/>
  <c r="X552"/>
  <c r="X865"/>
  <c r="X796"/>
  <c r="X819"/>
  <c r="Q727" i="30"/>
  <c r="Q796"/>
  <c r="Q865"/>
  <c r="Q750"/>
  <c r="O51" i="42"/>
  <c r="Q598" i="30"/>
  <c r="Q552"/>
  <c r="Q819"/>
  <c r="Q704"/>
  <c r="Q529"/>
  <c r="Q842"/>
  <c r="Z789"/>
  <c r="X44" i="42"/>
  <c r="Z858" i="30"/>
  <c r="Z522"/>
  <c r="Z835"/>
  <c r="Z812"/>
  <c r="Z697"/>
  <c r="Z545"/>
  <c r="Z720"/>
  <c r="Z743"/>
  <c r="Z396"/>
  <c r="AD522" i="44"/>
  <c r="AD545"/>
  <c r="AE373"/>
  <c r="AC766"/>
  <c r="BO230" i="42" s="1"/>
  <c r="AC956" i="44"/>
  <c r="P418" i="30"/>
  <c r="P425" s="1"/>
  <c r="J49" i="33" s="1"/>
  <c r="P952" i="30"/>
  <c r="P762"/>
  <c r="P924" s="1"/>
  <c r="N291" i="42" s="1"/>
  <c r="P711" i="30"/>
  <c r="P970" s="1"/>
  <c r="AO525"/>
  <c r="AP376"/>
  <c r="AO548"/>
  <c r="U110" i="42"/>
  <c r="W585" i="30"/>
  <c r="BN115" i="42"/>
  <c r="BE566" i="44"/>
  <c r="AB590"/>
  <c r="T339"/>
  <c r="T380" s="1"/>
  <c r="AA334" i="30"/>
  <c r="AA370" s="1"/>
  <c r="BI110" i="42"/>
  <c r="W585" i="44"/>
  <c r="Q339"/>
  <c r="Q380" s="1"/>
  <c r="U337" i="30"/>
  <c r="AI551"/>
  <c r="AI528"/>
  <c r="AJ379"/>
  <c r="Y957" i="44"/>
  <c r="Y682" s="1"/>
  <c r="CR189" i="42" s="1"/>
  <c r="Y767" i="44"/>
  <c r="P226" i="42"/>
  <c r="R780" i="30"/>
  <c r="L50" i="33" s="1"/>
  <c r="L55" s="1"/>
  <c r="R224" i="42"/>
  <c r="X957" i="44"/>
  <c r="X682" s="1"/>
  <c r="CQ189" i="42" s="1"/>
  <c r="X767" i="44"/>
  <c r="Q941" i="30"/>
  <c r="CJ294" i="42" s="1"/>
  <c r="Q933" i="30"/>
  <c r="O301" i="42" s="1"/>
  <c r="Q939" i="30"/>
  <c r="CJ292" i="42" s="1"/>
  <c r="Q931" i="30"/>
  <c r="O299" i="42" s="1"/>
  <c r="Q940" i="30"/>
  <c r="CJ293" i="42" s="1"/>
  <c r="Q932" i="30"/>
  <c r="O300" i="42" s="1"/>
  <c r="Z774" i="30"/>
  <c r="X238" i="42" s="1"/>
  <c r="Z964" i="30"/>
  <c r="BI224" i="42"/>
  <c r="AB953" i="30"/>
  <c r="AB763"/>
  <c r="Z227" i="42" s="1"/>
  <c r="AR375" i="30"/>
  <c r="AQ547"/>
  <c r="AQ524"/>
  <c r="AL383" i="44"/>
  <c r="AK532"/>
  <c r="AK555"/>
  <c r="U224" i="42"/>
  <c r="AD955" i="30"/>
  <c r="BE955"/>
  <c r="AQ525" i="44"/>
  <c r="AR376"/>
  <c r="AQ548"/>
  <c r="AG381"/>
  <c r="AF530"/>
  <c r="AF553"/>
  <c r="U432"/>
  <c r="BG68" i="42" s="1"/>
  <c r="U808" i="44"/>
  <c r="U826" s="1"/>
  <c r="BG260" i="42" s="1"/>
  <c r="U716" i="44"/>
  <c r="U734" s="1"/>
  <c r="U831"/>
  <c r="U849" s="1"/>
  <c r="BG261" i="42" s="1"/>
  <c r="U739" i="44"/>
  <c r="U757" s="1"/>
  <c r="U785"/>
  <c r="U803" s="1"/>
  <c r="BG259" i="42" s="1"/>
  <c r="BG40"/>
  <c r="U693" i="44"/>
  <c r="U541"/>
  <c r="U518"/>
  <c r="U854"/>
  <c r="U872" s="1"/>
  <c r="BG262" i="42" s="1"/>
  <c r="U392" i="44"/>
  <c r="U434" s="1"/>
  <c r="BG73" i="42" s="1"/>
  <c r="U387" i="44"/>
  <c r="U410" s="1"/>
  <c r="U413" a="1"/>
  <c r="U413" s="1"/>
  <c r="U417" a="1"/>
  <c r="U417" s="1"/>
  <c r="U415" a="1"/>
  <c r="U415" s="1"/>
  <c r="U414" a="1"/>
  <c r="U414" s="1"/>
  <c r="U416" a="1"/>
  <c r="U416" s="1"/>
  <c r="AE968" i="30"/>
  <c r="AF968" s="1"/>
  <c r="AG968" s="1"/>
  <c r="AH968" s="1"/>
  <c r="AI968" s="1"/>
  <c r="AJ968" s="1"/>
  <c r="AK968" s="1"/>
  <c r="AL968" s="1"/>
  <c r="AM968" s="1"/>
  <c r="AN968" s="1"/>
  <c r="AO968" s="1"/>
  <c r="AP968" s="1"/>
  <c r="AQ968" s="1"/>
  <c r="AR968" s="1"/>
  <c r="AS968" s="1"/>
  <c r="AT968" s="1"/>
  <c r="AU968" s="1"/>
  <c r="AV968" s="1"/>
  <c r="AW968" s="1"/>
  <c r="M582" i="44"/>
  <c r="M606" s="1"/>
  <c r="AY133" i="42" s="1"/>
  <c r="G110" i="33"/>
  <c r="M605" i="44"/>
  <c r="Z356"/>
  <c r="AC575" i="30"/>
  <c r="AA567"/>
  <c r="AB357"/>
  <c r="AN570"/>
  <c r="AB354" i="44"/>
  <c r="W358"/>
  <c r="V361"/>
  <c r="AF566"/>
  <c r="Y568"/>
  <c r="AH578"/>
  <c r="AT580" i="30"/>
  <c r="AT565" i="44"/>
  <c r="AB564" i="30"/>
  <c r="AP569"/>
  <c r="AL571"/>
  <c r="AR565"/>
  <c r="Y591"/>
  <c r="Y356"/>
  <c r="BW129" i="33" l="1"/>
  <c r="W432" i="30"/>
  <c r="U68" i="42" s="1"/>
  <c r="W441" i="30"/>
  <c r="CQ68" i="42" s="1"/>
  <c r="S434" i="30"/>
  <c r="Q73" i="42" s="1"/>
  <c r="S442" i="30"/>
  <c r="CM73" i="42" s="1"/>
  <c r="V434" i="30"/>
  <c r="T73" i="42" s="1"/>
  <c r="V442" i="30"/>
  <c r="CP73" i="42" s="1"/>
  <c r="S931" i="30"/>
  <c r="Q299" i="42" s="1"/>
  <c r="S934" i="30"/>
  <c r="Q302" i="42" s="1"/>
  <c r="BO116"/>
  <c r="S940" i="30"/>
  <c r="CL293" i="42" s="1"/>
  <c r="S933" i="30"/>
  <c r="Q301" i="42" s="1"/>
  <c r="V931" i="30"/>
  <c r="T299" i="42" s="1"/>
  <c r="V568" i="30"/>
  <c r="V592" s="1"/>
  <c r="V568" i="44"/>
  <c r="V592" s="1"/>
  <c r="T957"/>
  <c r="T682" s="1"/>
  <c r="CM189" i="42" s="1"/>
  <c r="T568" i="44"/>
  <c r="BF117" i="42" s="1"/>
  <c r="V932" i="30"/>
  <c r="T300" i="42" s="1"/>
  <c r="V933" i="30"/>
  <c r="T301" i="42" s="1"/>
  <c r="Y761" i="44"/>
  <c r="BK225" i="42" s="1"/>
  <c r="X562" i="44"/>
  <c r="X586" s="1"/>
  <c r="Q767"/>
  <c r="BC231" i="42" s="1"/>
  <c r="Q568" i="44"/>
  <c r="BC117" i="42" s="1"/>
  <c r="V767" i="44"/>
  <c r="V938" s="1"/>
  <c r="CO298" i="42" s="1"/>
  <c r="S767" i="30"/>
  <c r="S938" s="1"/>
  <c r="CL291" i="42" s="1"/>
  <c r="V934" i="30"/>
  <c r="T302" i="42" s="1"/>
  <c r="Q592" i="30"/>
  <c r="V767"/>
  <c r="V938" s="1"/>
  <c r="CO291" i="42" s="1"/>
  <c r="X761" i="44"/>
  <c r="X924" s="1"/>
  <c r="BJ291" i="42" s="1"/>
  <c r="Q562" i="30"/>
  <c r="Q586" s="1"/>
  <c r="Q761"/>
  <c r="O225" i="42" s="1"/>
  <c r="BE132"/>
  <c r="T667" i="44"/>
  <c r="BF187" i="42" s="1"/>
  <c r="T562" i="44"/>
  <c r="T761"/>
  <c r="T951"/>
  <c r="T669" s="1"/>
  <c r="BF189" i="42" s="1"/>
  <c r="V951" i="44"/>
  <c r="V669" s="1"/>
  <c r="BH189" i="42" s="1"/>
  <c r="V761" i="44"/>
  <c r="V562"/>
  <c r="V667"/>
  <c r="BH187" i="42" s="1"/>
  <c r="Q667" i="44"/>
  <c r="BC187" i="42" s="1"/>
  <c r="Q562" i="44"/>
  <c r="Q761"/>
  <c r="Q951"/>
  <c r="Q669" s="1"/>
  <c r="BC189" i="42" s="1"/>
  <c r="S951" i="30"/>
  <c r="S664" s="1"/>
  <c r="Q180" i="42" s="1"/>
  <c r="S761" i="30"/>
  <c r="Q225" i="42" s="1"/>
  <c r="V662" i="30"/>
  <c r="T178" i="42" s="1"/>
  <c r="V562" i="30"/>
  <c r="V761"/>
  <c r="T225" i="42" s="1"/>
  <c r="V951" i="30"/>
  <c r="V664" s="1"/>
  <c r="T180" i="42" s="1"/>
  <c r="S562" i="30"/>
  <c r="S662"/>
  <c r="Q178" i="42" s="1"/>
  <c r="W368" i="30"/>
  <c r="W692" s="1"/>
  <c r="H433"/>
  <c r="F69" i="42" s="1"/>
  <c r="H517" i="30"/>
  <c r="H540"/>
  <c r="H663" s="1"/>
  <c r="F179" i="42" s="1"/>
  <c r="F39"/>
  <c r="H391" i="30"/>
  <c r="H435" s="1"/>
  <c r="F74" i="42" s="1"/>
  <c r="F111" i="33"/>
  <c r="BP129" s="1"/>
  <c r="BP137" s="1"/>
  <c r="D605" i="44"/>
  <c r="AP132" i="42" s="1"/>
  <c r="H605" i="44"/>
  <c r="AT132" i="42" s="1"/>
  <c r="H582" i="44"/>
  <c r="H606" s="1"/>
  <c r="AT133" i="42" s="1"/>
  <c r="Q682" i="30"/>
  <c r="CJ180" i="42" s="1"/>
  <c r="Q669" i="30"/>
  <c r="O189" i="42" s="1"/>
  <c r="V682" i="30"/>
  <c r="CO180" i="42" s="1"/>
  <c r="V669" i="30"/>
  <c r="T189" i="42" s="1"/>
  <c r="S682" i="30"/>
  <c r="CL180" i="42" s="1"/>
  <c r="S669" i="30"/>
  <c r="Q189" i="42" s="1"/>
  <c r="U382" i="30"/>
  <c r="U706" s="1"/>
  <c r="H662"/>
  <c r="F178" i="42" s="1"/>
  <c r="H562" i="30"/>
  <c r="O111" i="42"/>
  <c r="BJ225"/>
  <c r="Y924" i="44"/>
  <c r="BK291" i="42" s="1"/>
  <c r="Y586" i="44"/>
  <c r="BK111" i="42"/>
  <c r="BJ111"/>
  <c r="H951" i="30"/>
  <c r="H664" s="1"/>
  <c r="F180" i="42" s="1"/>
  <c r="H761" i="30"/>
  <c r="F225" i="42" s="1"/>
  <c r="F94" i="33"/>
  <c r="M94"/>
  <c r="G94"/>
  <c r="I94"/>
  <c r="L51"/>
  <c r="F582" i="30"/>
  <c r="F606" s="1"/>
  <c r="D133" i="42" s="1"/>
  <c r="S592" i="30"/>
  <c r="R605"/>
  <c r="L52" i="33" s="1"/>
  <c r="L35"/>
  <c r="R422" i="44"/>
  <c r="L105" i="33" s="1"/>
  <c r="R425" i="44"/>
  <c r="L108" i="33" s="1"/>
  <c r="P424" i="30"/>
  <c r="J48" i="33" s="1"/>
  <c r="BM110" i="42"/>
  <c r="P423" i="30"/>
  <c r="J47" i="33" s="1"/>
  <c r="H931" i="30"/>
  <c r="F299" i="42" s="1"/>
  <c r="H939" i="30"/>
  <c r="CA292" i="42" s="1"/>
  <c r="H940" i="30"/>
  <c r="CA293" i="42" s="1"/>
  <c r="H932" i="30"/>
  <c r="F300" i="42" s="1"/>
  <c r="H361" i="30"/>
  <c r="H568"/>
  <c r="F117" i="42" s="1"/>
  <c r="F51"/>
  <c r="H819" i="30"/>
  <c r="H704"/>
  <c r="H552"/>
  <c r="H842"/>
  <c r="H727"/>
  <c r="H796"/>
  <c r="H529"/>
  <c r="H574" s="1"/>
  <c r="F123" i="42" s="1"/>
  <c r="H750" i="30"/>
  <c r="H865"/>
  <c r="H598"/>
  <c r="H957"/>
  <c r="H669" s="1"/>
  <c r="F189" i="42" s="1"/>
  <c r="H767" i="30"/>
  <c r="H933"/>
  <c r="F301" i="42" s="1"/>
  <c r="H941" i="30"/>
  <c r="CA294" i="42" s="1"/>
  <c r="H942" i="30"/>
  <c r="CA295" i="42" s="1"/>
  <c r="H934" i="30"/>
  <c r="F302" i="42" s="1"/>
  <c r="Q362" i="30"/>
  <c r="Q364" s="1"/>
  <c r="K33" i="33" s="1"/>
  <c r="AD575" i="30"/>
  <c r="AO571" i="44"/>
  <c r="AU565"/>
  <c r="AU580" i="30"/>
  <c r="AM573" i="44"/>
  <c r="V574"/>
  <c r="BH123" i="42" s="1"/>
  <c r="U563" i="44"/>
  <c r="U587" s="1"/>
  <c r="S361" i="30"/>
  <c r="S340" s="1"/>
  <c r="S369" s="1"/>
  <c r="V361"/>
  <c r="V340" s="1"/>
  <c r="V369" s="1"/>
  <c r="AC355"/>
  <c r="AC334" s="1"/>
  <c r="AC370" s="1"/>
  <c r="BJ117" i="42"/>
  <c r="X592" i="44"/>
  <c r="AB575"/>
  <c r="AK572" i="30"/>
  <c r="AE566"/>
  <c r="AF579"/>
  <c r="Z356"/>
  <c r="Z335" s="1"/>
  <c r="Z367" s="1"/>
  <c r="AF575" i="44"/>
  <c r="U359" i="30"/>
  <c r="U338" s="1"/>
  <c r="U374" s="1"/>
  <c r="AA356"/>
  <c r="AA335" s="1"/>
  <c r="AA367" s="1"/>
  <c r="T361" i="44"/>
  <c r="Z564"/>
  <c r="BL113" i="42" s="1"/>
  <c r="AB336" i="30"/>
  <c r="AA124" i="42"/>
  <c r="BE575" i="30"/>
  <c r="BH117" i="42"/>
  <c r="AB333" i="44"/>
  <c r="AB373" s="1"/>
  <c r="T592"/>
  <c r="Z335"/>
  <c r="Z367" s="1"/>
  <c r="AY132" i="42"/>
  <c r="G111" i="33"/>
  <c r="BQ129" s="1"/>
  <c r="BQ137" s="1"/>
  <c r="U952" i="44"/>
  <c r="U762"/>
  <c r="U711"/>
  <c r="U970" s="1"/>
  <c r="BG130" i="42" s="1"/>
  <c r="AE955" i="30"/>
  <c r="AF955" s="1"/>
  <c r="AG955" s="1"/>
  <c r="AH955" s="1"/>
  <c r="AI955" s="1"/>
  <c r="AJ955" s="1"/>
  <c r="AK955" s="1"/>
  <c r="AL955" s="1"/>
  <c r="AM955" s="1"/>
  <c r="AN955" s="1"/>
  <c r="AO955" s="1"/>
  <c r="AP955" s="1"/>
  <c r="AQ955" s="1"/>
  <c r="AR955" s="1"/>
  <c r="AS955" s="1"/>
  <c r="AT955" s="1"/>
  <c r="AU955" s="1"/>
  <c r="AV955" s="1"/>
  <c r="AW955" s="1"/>
  <c r="AL555" i="44"/>
  <c r="AM383"/>
  <c r="AL532"/>
  <c r="AL577" s="1"/>
  <c r="X938"/>
  <c r="CQ298" i="42" s="1"/>
  <c r="BJ231"/>
  <c r="Y938" i="44"/>
  <c r="CR298" i="42" s="1"/>
  <c r="BK231"/>
  <c r="AK379" i="30"/>
  <c r="AJ528"/>
  <c r="AJ551"/>
  <c r="Q598" i="44"/>
  <c r="Q796"/>
  <c r="Q727"/>
  <c r="Q552"/>
  <c r="Q865"/>
  <c r="Q704"/>
  <c r="BC51" i="42"/>
  <c r="Q819" i="44"/>
  <c r="Q842"/>
  <c r="Q750"/>
  <c r="Q529"/>
  <c r="T340"/>
  <c r="T369" s="1"/>
  <c r="AP548" i="30"/>
  <c r="AP525"/>
  <c r="AQ376"/>
  <c r="N130" i="42"/>
  <c r="Q963" i="30"/>
  <c r="Q773"/>
  <c r="O237" i="42" s="1"/>
  <c r="X963" i="44"/>
  <c r="X773"/>
  <c r="BJ237" i="42" s="1"/>
  <c r="W775" i="30"/>
  <c r="U239" i="42" s="1"/>
  <c r="W965" i="30"/>
  <c r="X763"/>
  <c r="V227" i="42" s="1"/>
  <c r="X953" i="30"/>
  <c r="Y763"/>
  <c r="W227" i="42" s="1"/>
  <c r="Y953" i="30"/>
  <c r="BA132" i="42"/>
  <c r="I111" i="33"/>
  <c r="BS129" s="1"/>
  <c r="BS137" s="1"/>
  <c r="T554" i="30"/>
  <c r="T600"/>
  <c r="T706"/>
  <c r="T752"/>
  <c r="T844"/>
  <c r="T729"/>
  <c r="T821"/>
  <c r="T531"/>
  <c r="T798"/>
  <c r="R53" i="42"/>
  <c r="T867" i="30"/>
  <c r="AU375" i="44"/>
  <c r="AT547"/>
  <c r="AT524"/>
  <c r="AP549"/>
  <c r="AP526"/>
  <c r="AQ377"/>
  <c r="AO527"/>
  <c r="AP378"/>
  <c r="AO550"/>
  <c r="AV535" i="30"/>
  <c r="AW386"/>
  <c r="AV558"/>
  <c r="AJ533" i="44"/>
  <c r="AJ556"/>
  <c r="AK384"/>
  <c r="AN551"/>
  <c r="AN528"/>
  <c r="AO379"/>
  <c r="V963"/>
  <c r="V773"/>
  <c r="BH237" i="42" s="1"/>
  <c r="AC542" i="44"/>
  <c r="AC809"/>
  <c r="AC694"/>
  <c r="AC832"/>
  <c r="AD370"/>
  <c r="AC855"/>
  <c r="AC786"/>
  <c r="BO41" i="42"/>
  <c r="AC717" i="44"/>
  <c r="AC519"/>
  <c r="AC740"/>
  <c r="AC393"/>
  <c r="Q51" i="42"/>
  <c r="S796" i="30"/>
  <c r="S552"/>
  <c r="S865"/>
  <c r="S750"/>
  <c r="S529"/>
  <c r="S842"/>
  <c r="S727"/>
  <c r="S598"/>
  <c r="S819"/>
  <c r="S704"/>
  <c r="V842"/>
  <c r="V727"/>
  <c r="T51" i="42"/>
  <c r="V819" i="30"/>
  <c r="V704"/>
  <c r="V529"/>
  <c r="V796"/>
  <c r="V552"/>
  <c r="V865"/>
  <c r="V750"/>
  <c r="V598"/>
  <c r="AC720"/>
  <c r="AC545"/>
  <c r="AA44" i="42"/>
  <c r="AC858" i="30"/>
  <c r="AC522"/>
  <c r="AC812"/>
  <c r="AC697"/>
  <c r="AC835"/>
  <c r="AC789"/>
  <c r="AC743"/>
  <c r="AD373"/>
  <c r="AC396"/>
  <c r="AL527"/>
  <c r="AM378"/>
  <c r="AL550"/>
  <c r="AF544"/>
  <c r="AG372"/>
  <c r="AF521"/>
  <c r="AF566" s="1"/>
  <c r="AB950"/>
  <c r="AB760"/>
  <c r="AG534"/>
  <c r="AH385"/>
  <c r="AG557"/>
  <c r="Z832"/>
  <c r="Z717"/>
  <c r="Z855"/>
  <c r="X41" i="42"/>
  <c r="Z542" i="30"/>
  <c r="Z740"/>
  <c r="Z786"/>
  <c r="Z519"/>
  <c r="Z694"/>
  <c r="Z809"/>
  <c r="Z393"/>
  <c r="Q808"/>
  <c r="Q854"/>
  <c r="Q785"/>
  <c r="Q518"/>
  <c r="Q716"/>
  <c r="Q734" s="1"/>
  <c r="Q693"/>
  <c r="Q739"/>
  <c r="Q757" s="1"/>
  <c r="Q541"/>
  <c r="Q831"/>
  <c r="O40" i="42"/>
  <c r="Q392" i="30"/>
  <c r="Q417" a="1"/>
  <c r="Q417" s="1"/>
  <c r="Q387"/>
  <c r="Q410" s="1"/>
  <c r="Q413" a="1"/>
  <c r="Q413" s="1"/>
  <c r="Q416" a="1"/>
  <c r="Q416" s="1"/>
  <c r="Q414" a="1"/>
  <c r="Q414" s="1"/>
  <c r="Q415" a="1"/>
  <c r="Q415" s="1"/>
  <c r="AI534" i="44"/>
  <c r="AI557"/>
  <c r="AJ385"/>
  <c r="X357" i="30"/>
  <c r="BA968"/>
  <c r="BC968" s="1"/>
  <c r="AQ570" i="44"/>
  <c r="Z567" i="30"/>
  <c r="P422"/>
  <c r="J46" i="33" s="1"/>
  <c r="R423" i="44"/>
  <c r="L106" i="33" s="1"/>
  <c r="BA964" i="44"/>
  <c r="X362"/>
  <c r="X364" s="1"/>
  <c r="R92" i="33" s="1"/>
  <c r="AW580" i="44"/>
  <c r="BA580" s="1"/>
  <c r="BC580" s="1"/>
  <c r="AG578" i="30"/>
  <c r="Y362" i="44"/>
  <c r="Y364" s="1"/>
  <c r="S92" i="33" s="1"/>
  <c r="W360" i="30"/>
  <c r="Y335"/>
  <c r="Y367" s="1"/>
  <c r="Z113" i="42"/>
  <c r="AB588" i="30"/>
  <c r="BK117" i="42"/>
  <c r="Y592" i="44"/>
  <c r="V340"/>
  <c r="V369" s="1"/>
  <c r="W337"/>
  <c r="Y116" i="42"/>
  <c r="AA591" i="30"/>
  <c r="X691"/>
  <c r="X852"/>
  <c r="X539"/>
  <c r="X516"/>
  <c r="X714"/>
  <c r="X829"/>
  <c r="X806"/>
  <c r="V38" i="42"/>
  <c r="X737" i="30"/>
  <c r="X783"/>
  <c r="X390"/>
  <c r="U418" i="44"/>
  <c r="U425" s="1"/>
  <c r="O108" i="33" s="1"/>
  <c r="AG530" i="44"/>
  <c r="AH381"/>
  <c r="AG553"/>
  <c r="AR525"/>
  <c r="AS376"/>
  <c r="AR548"/>
  <c r="AS375" i="30"/>
  <c r="AR547"/>
  <c r="AR524"/>
  <c r="AA855"/>
  <c r="AA542"/>
  <c r="Y41" i="42"/>
  <c r="AA832" i="30"/>
  <c r="AA717"/>
  <c r="AA786"/>
  <c r="AA809"/>
  <c r="AA694"/>
  <c r="AA740"/>
  <c r="AA519"/>
  <c r="AA393"/>
  <c r="T704" i="44"/>
  <c r="BF51" i="42"/>
  <c r="T819" i="44"/>
  <c r="T529"/>
  <c r="T796"/>
  <c r="T552"/>
  <c r="T598"/>
  <c r="T750"/>
  <c r="T865"/>
  <c r="T727"/>
  <c r="T842"/>
  <c r="N226" i="42"/>
  <c r="P780" i="30"/>
  <c r="J50" i="33" s="1"/>
  <c r="J55" s="1"/>
  <c r="AD956" i="44"/>
  <c r="AE522"/>
  <c r="AE545"/>
  <c r="AF373"/>
  <c r="Z956" i="30"/>
  <c r="Z766"/>
  <c r="X230" i="42" s="1"/>
  <c r="AD964" i="30"/>
  <c r="BE964"/>
  <c r="BD226" i="42"/>
  <c r="R780" i="44"/>
  <c r="L109" i="33" s="1"/>
  <c r="Y963" i="44"/>
  <c r="Y773"/>
  <c r="BK237" i="42" s="1"/>
  <c r="Z953" i="44"/>
  <c r="Z763"/>
  <c r="BL227" i="42" s="1"/>
  <c r="N112"/>
  <c r="P581" i="30"/>
  <c r="P587"/>
  <c r="BD112" i="42"/>
  <c r="R581" i="44"/>
  <c r="R587"/>
  <c r="AI532" i="30"/>
  <c r="AI555"/>
  <c r="AJ383"/>
  <c r="AT543"/>
  <c r="AT520"/>
  <c r="AU371"/>
  <c r="AO377"/>
  <c r="AN526"/>
  <c r="AN549"/>
  <c r="Q930"/>
  <c r="O298" i="42" s="1"/>
  <c r="Q938" i="30"/>
  <c r="CJ291" i="42" s="1"/>
  <c r="O231"/>
  <c r="AV543" i="44"/>
  <c r="AV520"/>
  <c r="AW371"/>
  <c r="AH544"/>
  <c r="AH521"/>
  <c r="AI372"/>
  <c r="AB964"/>
  <c r="BE964" s="1"/>
  <c r="AB774"/>
  <c r="BN238" i="42" s="1"/>
  <c r="BM224"/>
  <c r="AB561" i="30"/>
  <c r="X432" i="44"/>
  <c r="BJ68" i="42" s="1"/>
  <c r="BJ40"/>
  <c r="X518" i="44"/>
  <c r="X808"/>
  <c r="X826" s="1"/>
  <c r="BJ260" i="42" s="1"/>
  <c r="X716" i="44"/>
  <c r="X734" s="1"/>
  <c r="X785"/>
  <c r="X803" s="1"/>
  <c r="BJ259" i="42" s="1"/>
  <c r="X541" i="44"/>
  <c r="X693"/>
  <c r="X739"/>
  <c r="X757" s="1"/>
  <c r="X854"/>
  <c r="X872" s="1"/>
  <c r="BJ262" i="42" s="1"/>
  <c r="X831" i="44"/>
  <c r="X849" s="1"/>
  <c r="BJ261" i="42" s="1"/>
  <c r="X392" i="44"/>
  <c r="X434" s="1"/>
  <c r="BJ73" i="42" s="1"/>
  <c r="X387" i="44"/>
  <c r="X410" s="1"/>
  <c r="X416" a="1"/>
  <c r="X416" s="1"/>
  <c r="X414" a="1"/>
  <c r="X414" s="1"/>
  <c r="X417" a="1"/>
  <c r="X417" s="1"/>
  <c r="X415" a="1"/>
  <c r="X415" s="1"/>
  <c r="X413" a="1"/>
  <c r="X413" s="1"/>
  <c r="AI384" i="30"/>
  <c r="AH533"/>
  <c r="AH556"/>
  <c r="BF231" i="42"/>
  <c r="T938" i="44"/>
  <c r="CM298" i="42" s="1"/>
  <c r="AE553" i="30"/>
  <c r="AF381"/>
  <c r="AE530"/>
  <c r="AE575" s="1"/>
  <c r="Y432" i="44"/>
  <c r="BK68" i="42" s="1"/>
  <c r="Y518" i="44"/>
  <c r="BK40" i="42"/>
  <c r="Y785" i="44"/>
  <c r="Y803" s="1"/>
  <c r="BK259" i="42" s="1"/>
  <c r="Y808" i="44"/>
  <c r="Y826" s="1"/>
  <c r="BK260" i="42" s="1"/>
  <c r="Y541" i="44"/>
  <c r="Y739"/>
  <c r="Y757" s="1"/>
  <c r="Y854"/>
  <c r="Y872" s="1"/>
  <c r="BK262" i="42" s="1"/>
  <c r="Y693" i="44"/>
  <c r="Y716"/>
  <c r="Y734" s="1"/>
  <c r="Y831"/>
  <c r="Y849" s="1"/>
  <c r="BK261" i="42" s="1"/>
  <c r="Y392" i="44"/>
  <c r="Y434" s="1"/>
  <c r="BK73" i="42" s="1"/>
  <c r="Y413" i="44" a="1"/>
  <c r="Y413" s="1"/>
  <c r="Y417" a="1"/>
  <c r="Y417" s="1"/>
  <c r="Y387"/>
  <c r="Y410" s="1"/>
  <c r="Y415" a="1"/>
  <c r="Y415" s="1"/>
  <c r="Y416" a="1"/>
  <c r="Y416" s="1"/>
  <c r="Y414" a="1"/>
  <c r="Y414" s="1"/>
  <c r="W790" i="30"/>
  <c r="W698"/>
  <c r="W744"/>
  <c r="W836"/>
  <c r="W546"/>
  <c r="W813"/>
  <c r="W721"/>
  <c r="U45" i="42"/>
  <c r="W523" i="30"/>
  <c r="W667" s="1"/>
  <c r="U187" i="42" s="1"/>
  <c r="W859" i="30"/>
  <c r="W397"/>
  <c r="AK577" i="44"/>
  <c r="AQ569" i="30"/>
  <c r="AI573"/>
  <c r="Q361" i="44"/>
  <c r="AO570" i="30"/>
  <c r="P421"/>
  <c r="J45" i="33" s="1"/>
  <c r="AD567" i="44"/>
  <c r="Q574" i="30"/>
  <c r="X574" i="44"/>
  <c r="BJ123" i="42" s="1"/>
  <c r="R421" i="44"/>
  <c r="L104" i="33" s="1"/>
  <c r="Y574" i="44"/>
  <c r="BK123" i="42" s="1"/>
  <c r="W576" i="30"/>
  <c r="U125" i="42" s="1"/>
  <c r="X564" i="30"/>
  <c r="Y564"/>
  <c r="T359"/>
  <c r="AH577"/>
  <c r="AS569" i="44"/>
  <c r="AS565" i="30"/>
  <c r="AN572" i="44"/>
  <c r="AI578"/>
  <c r="AG566"/>
  <c r="AA358"/>
  <c r="AC356"/>
  <c r="AH579"/>
  <c r="L36" i="33" l="1"/>
  <c r="BV128"/>
  <c r="L95"/>
  <c r="BV70"/>
  <c r="T117" i="42"/>
  <c r="U432" i="30"/>
  <c r="S68" i="42" s="1"/>
  <c r="U441" i="30"/>
  <c r="CO68" i="42" s="1"/>
  <c r="W434" i="30"/>
  <c r="U73" i="42" s="1"/>
  <c r="W442" i="30"/>
  <c r="CQ73" i="42" s="1"/>
  <c r="BN124"/>
  <c r="AB599" i="44"/>
  <c r="S930" i="30"/>
  <c r="Q298" i="42" s="1"/>
  <c r="Q938" i="44"/>
  <c r="CJ298" i="42" s="1"/>
  <c r="BH231"/>
  <c r="Q592" i="44"/>
  <c r="Q231" i="42"/>
  <c r="V930" i="30"/>
  <c r="T298" i="42" s="1"/>
  <c r="T231"/>
  <c r="W853" i="30"/>
  <c r="U554"/>
  <c r="W715"/>
  <c r="W807"/>
  <c r="W391"/>
  <c r="W435" s="1"/>
  <c r="U74" i="42" s="1"/>
  <c r="U39"/>
  <c r="W517" i="30"/>
  <c r="W662" s="1"/>
  <c r="U178" i="42" s="1"/>
  <c r="W738" i="30"/>
  <c r="W784"/>
  <c r="W433"/>
  <c r="U69" i="42" s="1"/>
  <c r="W830" i="30"/>
  <c r="W540"/>
  <c r="W663" s="1"/>
  <c r="U179" i="42" s="1"/>
  <c r="Q111"/>
  <c r="S586" i="30"/>
  <c r="BC225" i="42"/>
  <c r="Q924" i="44"/>
  <c r="BC291" i="42" s="1"/>
  <c r="V586" i="44"/>
  <c r="BH111" i="42"/>
  <c r="BF225"/>
  <c r="T924" i="44"/>
  <c r="BF291" i="42" s="1"/>
  <c r="T111"/>
  <c r="V586" i="30"/>
  <c r="Q586" i="44"/>
  <c r="BC111" i="42"/>
  <c r="V924" i="44"/>
  <c r="BH291" i="42" s="1"/>
  <c r="BH225"/>
  <c r="T586" i="44"/>
  <c r="BF111" i="42"/>
  <c r="U368" i="30"/>
  <c r="U715" s="1"/>
  <c r="U844"/>
  <c r="S53" i="42"/>
  <c r="U798" i="30"/>
  <c r="U752"/>
  <c r="U867"/>
  <c r="U600"/>
  <c r="U821"/>
  <c r="U729"/>
  <c r="U775" s="1"/>
  <c r="S239" i="42" s="1"/>
  <c r="U531" i="30"/>
  <c r="U576" s="1"/>
  <c r="S125" i="42" s="1"/>
  <c r="P132"/>
  <c r="W681" i="30"/>
  <c r="CP179" i="42" s="1"/>
  <c r="W668" i="30"/>
  <c r="U188" i="42" s="1"/>
  <c r="W951" i="30"/>
  <c r="W664" s="1"/>
  <c r="U180" i="42" s="1"/>
  <c r="W382" i="44"/>
  <c r="W844" s="1"/>
  <c r="F111" i="42"/>
  <c r="H586" i="30"/>
  <c r="L96" i="33"/>
  <c r="L114"/>
  <c r="J35"/>
  <c r="U424" i="44"/>
  <c r="O107" i="33" s="1"/>
  <c r="BE575" i="44"/>
  <c r="U581"/>
  <c r="U582" s="1"/>
  <c r="U606" s="1"/>
  <c r="BG133" i="42" s="1"/>
  <c r="BG112"/>
  <c r="Z588" i="44"/>
  <c r="Q872" i="30"/>
  <c r="O262" i="42" s="1"/>
  <c r="Q928" i="30"/>
  <c r="O295" i="42" s="1"/>
  <c r="Q849" i="30"/>
  <c r="O261" i="42" s="1"/>
  <c r="Q927" i="30"/>
  <c r="O294" i="42" s="1"/>
  <c r="Q803" i="30"/>
  <c r="O259" i="42" s="1"/>
  <c r="Q925" i="30"/>
  <c r="O292" i="42" s="1"/>
  <c r="Q826" i="30"/>
  <c r="O260" i="42" s="1"/>
  <c r="Q926" i="30"/>
  <c r="O293" i="42" s="1"/>
  <c r="U423" i="44"/>
  <c r="O106" i="33" s="1"/>
  <c r="H938" i="30"/>
  <c r="CA291" i="42" s="1"/>
  <c r="H930" i="30"/>
  <c r="F298" i="42" s="1"/>
  <c r="F231"/>
  <c r="H963" i="30"/>
  <c r="H773"/>
  <c r="F237" i="42" s="1"/>
  <c r="H340" i="30"/>
  <c r="H369" s="1"/>
  <c r="W568"/>
  <c r="W680"/>
  <c r="CP178" i="42" s="1"/>
  <c r="AH578" i="30"/>
  <c r="AA564"/>
  <c r="Y113" i="42" s="1"/>
  <c r="AR569" i="30"/>
  <c r="T362" i="44"/>
  <c r="T364" s="1"/>
  <c r="N92" i="33" s="1"/>
  <c r="AB355" i="44"/>
  <c r="AB334" s="1"/>
  <c r="AB370" s="1"/>
  <c r="AB358" i="30"/>
  <c r="AB337" s="1"/>
  <c r="AB382" s="1"/>
  <c r="AC356"/>
  <c r="AC335" s="1"/>
  <c r="AC367" s="1"/>
  <c r="S362"/>
  <c r="S364" s="1"/>
  <c r="M33" i="33" s="1"/>
  <c r="AV565" i="44"/>
  <c r="AN571" i="30"/>
  <c r="AE567" i="44"/>
  <c r="W359"/>
  <c r="W338" s="1"/>
  <c r="W374" s="1"/>
  <c r="W441" s="1"/>
  <c r="CQ69" i="42" s="1"/>
  <c r="Y357" i="30"/>
  <c r="Y336" s="1"/>
  <c r="S574"/>
  <c r="Q123" i="42" s="1"/>
  <c r="AC564" i="44"/>
  <c r="BO113" i="42" s="1"/>
  <c r="AN573" i="44"/>
  <c r="AJ578"/>
  <c r="AP571"/>
  <c r="AT569"/>
  <c r="T576" i="30"/>
  <c r="R125" i="42" s="1"/>
  <c r="Q574" i="44"/>
  <c r="BC123" i="42" s="1"/>
  <c r="U360" i="30"/>
  <c r="U339" s="1"/>
  <c r="U380" s="1"/>
  <c r="AJ573"/>
  <c r="O123" i="42"/>
  <c r="W934" i="30"/>
  <c r="U302" i="42" s="1"/>
  <c r="W942" i="30"/>
  <c r="CP295" i="42" s="1"/>
  <c r="W940" i="30"/>
  <c r="CP293" i="42" s="1"/>
  <c r="W932" i="30"/>
  <c r="U300" i="42" s="1"/>
  <c r="W933" i="30"/>
  <c r="U301" i="42" s="1"/>
  <c r="W941" i="30"/>
  <c r="CP294" i="42" s="1"/>
  <c r="W767" i="30"/>
  <c r="W957"/>
  <c r="AF553"/>
  <c r="AG381"/>
  <c r="AF530"/>
  <c r="AF575" s="1"/>
  <c r="X418" i="44"/>
  <c r="X421" s="1"/>
  <c r="R104" i="33" s="1"/>
  <c r="Z783" i="30"/>
  <c r="Z714"/>
  <c r="Z516"/>
  <c r="Z852"/>
  <c r="X38" i="42"/>
  <c r="Z691" i="30"/>
  <c r="Z829"/>
  <c r="Z539"/>
  <c r="Z806"/>
  <c r="Z737"/>
  <c r="Z390"/>
  <c r="Z110" i="42"/>
  <c r="AB585" i="30"/>
  <c r="V518"/>
  <c r="V541"/>
  <c r="V831"/>
  <c r="V693"/>
  <c r="V716"/>
  <c r="V734" s="1"/>
  <c r="V808"/>
  <c r="V785"/>
  <c r="V739"/>
  <c r="V757" s="1"/>
  <c r="V854"/>
  <c r="T40" i="42"/>
  <c r="V392" i="30"/>
  <c r="V417" a="1"/>
  <c r="V417" s="1"/>
  <c r="V413" a="1"/>
  <c r="V413" s="1"/>
  <c r="V387"/>
  <c r="V410" s="1"/>
  <c r="V415" a="1"/>
  <c r="V415" s="1"/>
  <c r="V416" a="1"/>
  <c r="V416" s="1"/>
  <c r="V414" a="1"/>
  <c r="V414" s="1"/>
  <c r="S716"/>
  <c r="S734" s="1"/>
  <c r="S808"/>
  <c r="S693"/>
  <c r="S518"/>
  <c r="S785"/>
  <c r="S854"/>
  <c r="Q40" i="42"/>
  <c r="S739" i="30"/>
  <c r="S757" s="1"/>
  <c r="S831"/>
  <c r="S541"/>
  <c r="S392"/>
  <c r="S413" a="1"/>
  <c r="S413" s="1"/>
  <c r="S415" a="1"/>
  <c r="S415" s="1"/>
  <c r="S416" a="1"/>
  <c r="S416" s="1"/>
  <c r="S414" a="1"/>
  <c r="S414" s="1"/>
  <c r="S387"/>
  <c r="S410" s="1"/>
  <c r="S417" a="1"/>
  <c r="S417" s="1"/>
  <c r="AW520" i="44"/>
  <c r="AW543"/>
  <c r="AP377" i="30"/>
  <c r="AO549"/>
  <c r="AO526"/>
  <c r="AK383"/>
  <c r="AJ532"/>
  <c r="AJ555"/>
  <c r="L110" i="33"/>
  <c r="R605" i="44"/>
  <c r="R582"/>
  <c r="R606" s="1"/>
  <c r="BD133" i="42" s="1"/>
  <c r="J51" i="33"/>
  <c r="P605" i="30"/>
  <c r="P582"/>
  <c r="P606" s="1"/>
  <c r="N133" i="42" s="1"/>
  <c r="AE956" i="44"/>
  <c r="AF956" s="1"/>
  <c r="AG956" s="1"/>
  <c r="AH956" s="1"/>
  <c r="AI956" s="1"/>
  <c r="AJ956" s="1"/>
  <c r="AK956" s="1"/>
  <c r="AL956" s="1"/>
  <c r="AM956" s="1"/>
  <c r="AN956" s="1"/>
  <c r="AO956" s="1"/>
  <c r="AP956" s="1"/>
  <c r="AQ956" s="1"/>
  <c r="AR956" s="1"/>
  <c r="AS956" s="1"/>
  <c r="AT956" s="1"/>
  <c r="AU956" s="1"/>
  <c r="AV956" s="1"/>
  <c r="AW956" s="1"/>
  <c r="AI381"/>
  <c r="AH530"/>
  <c r="AH553"/>
  <c r="X561" i="30"/>
  <c r="V716" i="44"/>
  <c r="V734" s="1"/>
  <c r="V831"/>
  <c r="V849" s="1"/>
  <c r="BH261" i="42" s="1"/>
  <c r="BH40"/>
  <c r="V785" i="44"/>
  <c r="V803" s="1"/>
  <c r="BH259" i="42" s="1"/>
  <c r="V432" i="44"/>
  <c r="BH68" i="42" s="1"/>
  <c r="V518" i="44"/>
  <c r="V693"/>
  <c r="V808"/>
  <c r="V826" s="1"/>
  <c r="BH260" i="42" s="1"/>
  <c r="V541" i="44"/>
  <c r="V739"/>
  <c r="V757" s="1"/>
  <c r="V854"/>
  <c r="V872" s="1"/>
  <c r="BH262" i="42" s="1"/>
  <c r="V392" i="44"/>
  <c r="V434" s="1"/>
  <c r="BH73" i="42" s="1"/>
  <c r="V414" i="44" a="1"/>
  <c r="V414" s="1"/>
  <c r="V415" a="1"/>
  <c r="V415" s="1"/>
  <c r="V387"/>
  <c r="V410" s="1"/>
  <c r="V413" a="1"/>
  <c r="V413" s="1"/>
  <c r="V416" a="1"/>
  <c r="V416" s="1"/>
  <c r="V417" a="1"/>
  <c r="V417" s="1"/>
  <c r="Y783" i="30"/>
  <c r="Y539"/>
  <c r="Y516"/>
  <c r="Y737"/>
  <c r="Y806"/>
  <c r="Y852"/>
  <c r="W38" i="42"/>
  <c r="Y691" i="30"/>
  <c r="Y829"/>
  <c r="Y714"/>
  <c r="Y390"/>
  <c r="W339"/>
  <c r="W380" s="1"/>
  <c r="X116" i="42"/>
  <c r="Z591" i="30"/>
  <c r="X336"/>
  <c r="Q952"/>
  <c r="Q762"/>
  <c r="Q924" s="1"/>
  <c r="O291" i="42" s="1"/>
  <c r="Q711" i="30"/>
  <c r="Q970" s="1"/>
  <c r="Z953"/>
  <c r="Z763"/>
  <c r="X227" i="42" s="1"/>
  <c r="Z224"/>
  <c r="AM550" i="30"/>
  <c r="AM527"/>
  <c r="AN378"/>
  <c r="AD522"/>
  <c r="AE373"/>
  <c r="AD545"/>
  <c r="AC956"/>
  <c r="AC766"/>
  <c r="AA230" i="42" s="1"/>
  <c r="V773" i="30"/>
  <c r="T237" i="42" s="1"/>
  <c r="V963" i="30"/>
  <c r="AE370" i="44"/>
  <c r="AD542"/>
  <c r="AD519"/>
  <c r="AC763"/>
  <c r="BO227" i="42" s="1"/>
  <c r="AC953" i="44"/>
  <c r="AK556"/>
  <c r="AK533"/>
  <c r="AL384"/>
  <c r="AW535" i="30"/>
  <c r="AW558"/>
  <c r="AU524" i="44"/>
  <c r="AU547"/>
  <c r="AV375"/>
  <c r="AR376" i="30"/>
  <c r="AQ525"/>
  <c r="AQ548"/>
  <c r="AA516"/>
  <c r="AA783"/>
  <c r="AA714"/>
  <c r="AA737"/>
  <c r="AA390"/>
  <c r="AA691"/>
  <c r="AA806"/>
  <c r="AA539"/>
  <c r="AA852"/>
  <c r="AA829"/>
  <c r="Y38" i="42"/>
  <c r="Z783" i="44"/>
  <c r="Z539"/>
  <c r="Z691"/>
  <c r="Z516"/>
  <c r="Z561" s="1"/>
  <c r="Z585" s="1"/>
  <c r="Z714"/>
  <c r="Z852"/>
  <c r="BL38" i="42"/>
  <c r="Z829" i="44"/>
  <c r="Z737"/>
  <c r="Z806"/>
  <c r="Z390"/>
  <c r="X563"/>
  <c r="AH566"/>
  <c r="AT565" i="30"/>
  <c r="AI577"/>
  <c r="T574" i="44"/>
  <c r="BF123" i="42" s="1"/>
  <c r="AR570" i="44"/>
  <c r="U421"/>
  <c r="O104" i="33" s="1"/>
  <c r="U422" i="44"/>
  <c r="O105" i="33" s="1"/>
  <c r="Q563" i="30"/>
  <c r="AG579"/>
  <c r="AO572" i="44"/>
  <c r="AC335"/>
  <c r="AC367" s="1"/>
  <c r="T338" i="30"/>
  <c r="V113" i="42"/>
  <c r="X588" i="30"/>
  <c r="Q340" i="44"/>
  <c r="Q369" s="1"/>
  <c r="AA337"/>
  <c r="W113" i="42"/>
  <c r="Y588" i="30"/>
  <c r="W939"/>
  <c r="CP292" i="42" s="1"/>
  <c r="W931" i="30"/>
  <c r="U299" i="42" s="1"/>
  <c r="Y418" i="44"/>
  <c r="Y423" s="1"/>
  <c r="S106" i="33" s="1"/>
  <c r="Y952" i="44"/>
  <c r="Y762"/>
  <c r="Y711"/>
  <c r="Y970" s="1"/>
  <c r="BK130" i="42" s="1"/>
  <c r="AI533" i="30"/>
  <c r="AI556"/>
  <c r="AJ384"/>
  <c r="X952" i="44"/>
  <c r="X762"/>
  <c r="X711"/>
  <c r="X970" s="1"/>
  <c r="BJ130" i="42" s="1"/>
  <c r="AC694" i="30"/>
  <c r="AC832"/>
  <c r="AA41" i="42"/>
  <c r="AC519" i="30"/>
  <c r="AC855"/>
  <c r="AC786"/>
  <c r="AC542"/>
  <c r="AD370"/>
  <c r="AC809"/>
  <c r="AC717"/>
  <c r="AC740"/>
  <c r="AC393"/>
  <c r="AI521" i="44"/>
  <c r="AJ372"/>
  <c r="AI544"/>
  <c r="AU543" i="30"/>
  <c r="AU520"/>
  <c r="AV371"/>
  <c r="AE964"/>
  <c r="AF964" s="1"/>
  <c r="AG964" s="1"/>
  <c r="AH964" s="1"/>
  <c r="AI964" s="1"/>
  <c r="AJ964" s="1"/>
  <c r="AK964" s="1"/>
  <c r="AL964" s="1"/>
  <c r="AM964" s="1"/>
  <c r="AN964" s="1"/>
  <c r="AO964" s="1"/>
  <c r="AP964" s="1"/>
  <c r="AQ964" s="1"/>
  <c r="AR964" s="1"/>
  <c r="AS964" s="1"/>
  <c r="AT964" s="1"/>
  <c r="AU964" s="1"/>
  <c r="AV964" s="1"/>
  <c r="AW964" s="1"/>
  <c r="AF522" i="44"/>
  <c r="AF545"/>
  <c r="AG373"/>
  <c r="T963"/>
  <c r="T773"/>
  <c r="BF237" i="42" s="1"/>
  <c r="AA953" i="30"/>
  <c r="AA763"/>
  <c r="Y227" i="42" s="1"/>
  <c r="U965" i="30"/>
  <c r="AS547"/>
  <c r="AS524"/>
  <c r="AT375"/>
  <c r="AT376" i="44"/>
  <c r="AS525"/>
  <c r="AS548"/>
  <c r="X950" i="30"/>
  <c r="X760"/>
  <c r="AK385" i="44"/>
  <c r="AJ534"/>
  <c r="AJ557"/>
  <c r="Q418" i="30"/>
  <c r="Q424" s="1"/>
  <c r="K48" i="33" s="1"/>
  <c r="AH557" i="30"/>
  <c r="AI385"/>
  <c r="AH534"/>
  <c r="AH579" s="1"/>
  <c r="AG521"/>
  <c r="AG544"/>
  <c r="AH372"/>
  <c r="S963"/>
  <c r="S773"/>
  <c r="Q237" i="42" s="1"/>
  <c r="AP379" i="44"/>
  <c r="AO551"/>
  <c r="AO528"/>
  <c r="AP527"/>
  <c r="AQ378"/>
  <c r="AP550"/>
  <c r="AQ526"/>
  <c r="AQ549"/>
  <c r="AR377"/>
  <c r="T965" i="30"/>
  <c r="T775"/>
  <c r="R239" i="42" s="1"/>
  <c r="T518" i="44"/>
  <c r="T785"/>
  <c r="T803" s="1"/>
  <c r="BF259" i="42" s="1"/>
  <c r="T739" i="44"/>
  <c r="T757" s="1"/>
  <c r="T716"/>
  <c r="T734" s="1"/>
  <c r="BF40" i="42"/>
  <c r="T693" i="44"/>
  <c r="T432"/>
  <c r="BF68" i="42" s="1"/>
  <c r="T541" i="44"/>
  <c r="T831"/>
  <c r="T849" s="1"/>
  <c r="BF261" i="42" s="1"/>
  <c r="T854" i="44"/>
  <c r="T872" s="1"/>
  <c r="BF262" i="42" s="1"/>
  <c r="T808" i="44"/>
  <c r="T826" s="1"/>
  <c r="BF260" i="42" s="1"/>
  <c r="T392" i="44"/>
  <c r="T434" s="1"/>
  <c r="BF73" i="42" s="1"/>
  <c r="T417" i="44" a="1"/>
  <c r="T417" s="1"/>
  <c r="T416" a="1"/>
  <c r="T416" s="1"/>
  <c r="T413" a="1"/>
  <c r="T413" s="1"/>
  <c r="T415" a="1"/>
  <c r="T415" s="1"/>
  <c r="T414" a="1"/>
  <c r="T414" s="1"/>
  <c r="T387"/>
  <c r="T410" s="1"/>
  <c r="Q963"/>
  <c r="Q773"/>
  <c r="BC237" i="42" s="1"/>
  <c r="U698" i="30"/>
  <c r="U836"/>
  <c r="S45" i="42"/>
  <c r="U721" i="30"/>
  <c r="U859"/>
  <c r="U546"/>
  <c r="U813"/>
  <c r="U523"/>
  <c r="U667" s="1"/>
  <c r="S187" i="42" s="1"/>
  <c r="U790" i="30"/>
  <c r="U744"/>
  <c r="U397"/>
  <c r="AK551"/>
  <c r="AK528"/>
  <c r="AL379"/>
  <c r="AM532" i="44"/>
  <c r="AM555"/>
  <c r="AN383"/>
  <c r="BG226" i="42"/>
  <c r="U780" i="44"/>
  <c r="O109" i="33" s="1"/>
  <c r="AB522" i="44"/>
  <c r="AB743"/>
  <c r="AB835"/>
  <c r="BN44" i="42"/>
  <c r="AB396" i="44"/>
  <c r="AB858"/>
  <c r="AB697"/>
  <c r="AB545"/>
  <c r="AB812"/>
  <c r="AB720"/>
  <c r="AB789"/>
  <c r="Y563"/>
  <c r="Z357" i="30"/>
  <c r="V362"/>
  <c r="V364" s="1"/>
  <c r="P33" i="33" s="1"/>
  <c r="AG575" i="44"/>
  <c r="V362"/>
  <c r="V364" s="1"/>
  <c r="P92" i="33" s="1"/>
  <c r="BC964" i="44"/>
  <c r="AI579"/>
  <c r="Z564" i="30"/>
  <c r="AL572"/>
  <c r="AC567"/>
  <c r="V574"/>
  <c r="T123" i="42" s="1"/>
  <c r="AV580" i="30"/>
  <c r="AP570"/>
  <c r="AA357"/>
  <c r="BA955"/>
  <c r="BC955" s="1"/>
  <c r="Z357" i="44"/>
  <c r="O95" i="33" l="1"/>
  <c r="BY70"/>
  <c r="U434" i="30"/>
  <c r="S73" i="42" s="1"/>
  <c r="U442" i="30"/>
  <c r="CO73" i="42" s="1"/>
  <c r="W562" i="30"/>
  <c r="U111" i="42" s="1"/>
  <c r="S39"/>
  <c r="U540" i="30"/>
  <c r="U663" s="1"/>
  <c r="S179" i="42" s="1"/>
  <c r="W761" i="30"/>
  <c r="U225" i="42" s="1"/>
  <c r="U517" i="30"/>
  <c r="U562" s="1"/>
  <c r="U433"/>
  <c r="S69" i="42" s="1"/>
  <c r="U830" i="30"/>
  <c r="U807"/>
  <c r="U391"/>
  <c r="U435" s="1"/>
  <c r="S74" i="42" s="1"/>
  <c r="U853" i="30"/>
  <c r="U738"/>
  <c r="U692"/>
  <c r="U951" s="1"/>
  <c r="U664" s="1"/>
  <c r="S180" i="42" s="1"/>
  <c r="U784" i="30"/>
  <c r="T374"/>
  <c r="T368"/>
  <c r="W368" i="44"/>
  <c r="W540" s="1"/>
  <c r="W668" s="1"/>
  <c r="BI188" i="42" s="1"/>
  <c r="W821" i="44"/>
  <c r="X422"/>
  <c r="R105" i="33" s="1"/>
  <c r="W752" i="44"/>
  <c r="W798"/>
  <c r="Q422" i="30"/>
  <c r="K46" i="33" s="1"/>
  <c r="O110"/>
  <c r="U605" i="44"/>
  <c r="O111" i="33" s="1"/>
  <c r="W554" i="44"/>
  <c r="W600"/>
  <c r="BI53" i="42"/>
  <c r="W531" i="44"/>
  <c r="W729"/>
  <c r="W867"/>
  <c r="W706"/>
  <c r="X425"/>
  <c r="R108" i="33" s="1"/>
  <c r="U681" i="30"/>
  <c r="CN179" i="42" s="1"/>
  <c r="U668" i="30"/>
  <c r="S188" i="42" s="1"/>
  <c r="W682" i="30"/>
  <c r="CP180" i="42" s="1"/>
  <c r="W669" i="30"/>
  <c r="U189" i="42" s="1"/>
  <c r="AA382" i="44"/>
  <c r="L94" i="33"/>
  <c r="O96"/>
  <c r="O114"/>
  <c r="AC588" i="44"/>
  <c r="AA588" i="30"/>
  <c r="H413" a="1"/>
  <c r="H416" a="1"/>
  <c r="H417" a="1"/>
  <c r="H415" a="1"/>
  <c r="H414" a="1"/>
  <c r="S872"/>
  <c r="Q262" i="42" s="1"/>
  <c r="S928" i="30"/>
  <c r="Q295" i="42" s="1"/>
  <c r="S826" i="30"/>
  <c r="Q260" i="42" s="1"/>
  <c r="S926" i="30"/>
  <c r="Q293" i="42" s="1"/>
  <c r="V872" i="30"/>
  <c r="T262" i="42" s="1"/>
  <c r="V928" i="30"/>
  <c r="T295" i="42" s="1"/>
  <c r="V803" i="30"/>
  <c r="T259" i="42" s="1"/>
  <c r="V925" i="30"/>
  <c r="T292" i="42" s="1"/>
  <c r="V849" i="30"/>
  <c r="T261" i="42" s="1"/>
  <c r="V927" i="30"/>
  <c r="T294" i="42" s="1"/>
  <c r="S849" i="30"/>
  <c r="Q261" i="42" s="1"/>
  <c r="S927" i="30"/>
  <c r="Q294" i="42" s="1"/>
  <c r="S803" i="30"/>
  <c r="Q259" i="42" s="1"/>
  <c r="S925" i="30"/>
  <c r="Q292" i="42" s="1"/>
  <c r="V826" i="30"/>
  <c r="T260" i="42" s="1"/>
  <c r="V926" i="30"/>
  <c r="T293" i="42" s="1"/>
  <c r="H362" i="30"/>
  <c r="H364" s="1"/>
  <c r="X423" i="44"/>
  <c r="R106" i="33" s="1"/>
  <c r="Y425" i="44"/>
  <c r="S108" i="33" s="1"/>
  <c r="Y424" i="44"/>
  <c r="S107" i="33" s="1"/>
  <c r="Y422" i="44"/>
  <c r="S105" i="33" s="1"/>
  <c r="H392" i="30"/>
  <c r="H693"/>
  <c r="H739"/>
  <c r="H757" s="1"/>
  <c r="F40" i="42"/>
  <c r="H785" i="30"/>
  <c r="H808"/>
  <c r="H716"/>
  <c r="H734" s="1"/>
  <c r="H518"/>
  <c r="H831"/>
  <c r="H854"/>
  <c r="H541"/>
  <c r="H416"/>
  <c r="H414"/>
  <c r="H387"/>
  <c r="H410" s="1"/>
  <c r="H415"/>
  <c r="H413"/>
  <c r="H417"/>
  <c r="U568"/>
  <c r="U680"/>
  <c r="CN178" i="42" s="1"/>
  <c r="U117"/>
  <c r="W592" i="30"/>
  <c r="Q425"/>
  <c r="K49" i="33" s="1"/>
  <c r="AB359" i="30"/>
  <c r="Q421"/>
  <c r="K45" i="33" s="1"/>
  <c r="AJ579" i="44"/>
  <c r="Y358" i="30"/>
  <c r="Y337" s="1"/>
  <c r="Y382" s="1"/>
  <c r="AU565"/>
  <c r="T360"/>
  <c r="T339" s="1"/>
  <c r="T380" s="1"/>
  <c r="AC357" i="44"/>
  <c r="AC336" s="1"/>
  <c r="X424"/>
  <c r="R107" i="33" s="1"/>
  <c r="AQ570" i="30"/>
  <c r="AU569" i="44"/>
  <c r="AW580" i="30"/>
  <c r="BA580" s="1"/>
  <c r="BC580" s="1"/>
  <c r="AK578" i="44"/>
  <c r="AJ577" i="30"/>
  <c r="AO571"/>
  <c r="AW565" i="44"/>
  <c r="BA565" s="1"/>
  <c r="BC565" s="1"/>
  <c r="V563"/>
  <c r="V587" s="1"/>
  <c r="W360"/>
  <c r="W339" s="1"/>
  <c r="W380" s="1"/>
  <c r="AQ571"/>
  <c r="AO573"/>
  <c r="AS569" i="30"/>
  <c r="AF567" i="44"/>
  <c r="Y421"/>
  <c r="S104" i="33" s="1"/>
  <c r="Q362" i="44"/>
  <c r="Q364" s="1"/>
  <c r="K92" i="33" s="1"/>
  <c r="AB356" i="44"/>
  <c r="AB335" s="1"/>
  <c r="AB367" s="1"/>
  <c r="X358" i="30"/>
  <c r="X337" s="1"/>
  <c r="X382" s="1"/>
  <c r="AH575" i="44"/>
  <c r="BA956"/>
  <c r="V563" i="30"/>
  <c r="V587" s="1"/>
  <c r="AA116" i="42"/>
  <c r="BE567" i="30"/>
  <c r="AC591"/>
  <c r="X113" i="42"/>
  <c r="Z588" i="30"/>
  <c r="Z336" i="44"/>
  <c r="AA336" i="30"/>
  <c r="BK112" i="42"/>
  <c r="Y581" i="44"/>
  <c r="Y587"/>
  <c r="AB338" i="30"/>
  <c r="AB374" s="1"/>
  <c r="AL528"/>
  <c r="AL551"/>
  <c r="AM379"/>
  <c r="U939"/>
  <c r="CN292" i="42" s="1"/>
  <c r="U931" i="30"/>
  <c r="S299" i="42" s="1"/>
  <c r="U932" i="30"/>
  <c r="S300" i="42" s="1"/>
  <c r="U940" i="30"/>
  <c r="CN293" i="42" s="1"/>
  <c r="U942" i="30"/>
  <c r="CN295" i="42" s="1"/>
  <c r="U934" i="30"/>
  <c r="S302" i="42" s="1"/>
  <c r="U957" i="30"/>
  <c r="U767"/>
  <c r="T418" i="44"/>
  <c r="T421" s="1"/>
  <c r="N104" i="33" s="1"/>
  <c r="T762" i="44"/>
  <c r="T952"/>
  <c r="T711"/>
  <c r="T970" s="1"/>
  <c r="BF130" i="42" s="1"/>
  <c r="AR549" i="44"/>
  <c r="AR526"/>
  <c r="AS377"/>
  <c r="AQ550"/>
  <c r="AQ527"/>
  <c r="AR378"/>
  <c r="AP528"/>
  <c r="AQ379"/>
  <c r="AP551"/>
  <c r="V224" i="42"/>
  <c r="AU376" i="44"/>
  <c r="AT548"/>
  <c r="AT525"/>
  <c r="AG522"/>
  <c r="AG545"/>
  <c r="AH373"/>
  <c r="Q432"/>
  <c r="BC68" i="42" s="1"/>
  <c r="Q541" i="44"/>
  <c r="Q518"/>
  <c r="Q716"/>
  <c r="Q734" s="1"/>
  <c r="Q854"/>
  <c r="Q872" s="1"/>
  <c r="BC262" i="42" s="1"/>
  <c r="Q831" i="44"/>
  <c r="Q849" s="1"/>
  <c r="BC261" i="42" s="1"/>
  <c r="Q739" i="44"/>
  <c r="Q757" s="1"/>
  <c r="Q785"/>
  <c r="Q803" s="1"/>
  <c r="BC259" i="42" s="1"/>
  <c r="Q693" i="44"/>
  <c r="BC40" i="42"/>
  <c r="Q808" i="44"/>
  <c r="Q826" s="1"/>
  <c r="BC260" i="42" s="1"/>
  <c r="Q392" i="44"/>
  <c r="Q434" s="1"/>
  <c r="BC73" i="42" s="1"/>
  <c r="Q417" i="44" a="1"/>
  <c r="Q417" s="1"/>
  <c r="Q387"/>
  <c r="Q410" s="1"/>
  <c r="Q416" a="1"/>
  <c r="Q416" s="1"/>
  <c r="Q413" a="1"/>
  <c r="Q413" s="1"/>
  <c r="Q414" a="1"/>
  <c r="Q414" s="1"/>
  <c r="Q415" a="1"/>
  <c r="Q415" s="1"/>
  <c r="O112" i="42"/>
  <c r="Q581" i="30"/>
  <c r="Q587"/>
  <c r="BJ112" i="42"/>
  <c r="X581" i="44"/>
  <c r="X587"/>
  <c r="Z760"/>
  <c r="Z950"/>
  <c r="U727" i="30"/>
  <c r="U819"/>
  <c r="U598"/>
  <c r="U796"/>
  <c r="U865"/>
  <c r="S51" i="42"/>
  <c r="U704" i="30"/>
  <c r="U842"/>
  <c r="U529"/>
  <c r="U552"/>
  <c r="U750"/>
  <c r="AA950"/>
  <c r="AA760"/>
  <c r="AA561"/>
  <c r="AV547" i="44"/>
  <c r="AW375"/>
  <c r="AV524"/>
  <c r="AD956" i="30"/>
  <c r="BE956"/>
  <c r="AE545"/>
  <c r="AF373"/>
  <c r="AE522"/>
  <c r="AE567" s="1"/>
  <c r="AN550"/>
  <c r="AN527"/>
  <c r="AO378"/>
  <c r="O226" i="42"/>
  <c r="Q780" i="30"/>
  <c r="K50" i="33" s="1"/>
  <c r="K55" s="1"/>
  <c r="W865" i="30"/>
  <c r="U51" i="42"/>
  <c r="W704" i="30"/>
  <c r="W727"/>
  <c r="W552"/>
  <c r="W796"/>
  <c r="W750"/>
  <c r="W529"/>
  <c r="W819"/>
  <c r="W598"/>
  <c r="W842"/>
  <c r="V418" i="44"/>
  <c r="V421" s="1"/>
  <c r="P104" i="33" s="1"/>
  <c r="V952" i="44"/>
  <c r="V762"/>
  <c r="V711"/>
  <c r="V970" s="1"/>
  <c r="BH130" i="42" s="1"/>
  <c r="W813" i="44"/>
  <c r="W940" s="1"/>
  <c r="CP300" i="42" s="1"/>
  <c r="W721" i="44"/>
  <c r="W790"/>
  <c r="W939" s="1"/>
  <c r="CP299" i="42" s="1"/>
  <c r="W744" i="44"/>
  <c r="W546"/>
  <c r="W681" s="1"/>
  <c r="CP188" i="42" s="1"/>
  <c r="W523" i="44"/>
  <c r="W680" s="1"/>
  <c r="CP187" i="42" s="1"/>
  <c r="BI45"/>
  <c r="W698" i="44"/>
  <c r="W397"/>
  <c r="W442" s="1"/>
  <c r="CQ74" i="42" s="1"/>
  <c r="W836" i="44"/>
  <c r="W941" s="1"/>
  <c r="CP301" i="42" s="1"/>
  <c r="W859" i="44"/>
  <c r="W942" s="1"/>
  <c r="CP302" i="42" s="1"/>
  <c r="V110"/>
  <c r="X585" i="30"/>
  <c r="AI530" i="44"/>
  <c r="AI553"/>
  <c r="AJ381"/>
  <c r="L111" i="33"/>
  <c r="BV129" s="1"/>
  <c r="BV137" s="1"/>
  <c r="BD132" i="42"/>
  <c r="AK532" i="30"/>
  <c r="AK555"/>
  <c r="AL383"/>
  <c r="V418"/>
  <c r="V421" s="1"/>
  <c r="P45" i="33" s="1"/>
  <c r="V952" i="30"/>
  <c r="V762"/>
  <c r="V924" s="1"/>
  <c r="T291" i="42" s="1"/>
  <c r="V711" i="30"/>
  <c r="V970" s="1"/>
  <c r="T130" i="42" s="1"/>
  <c r="Z950" i="30"/>
  <c r="Z760"/>
  <c r="Z561"/>
  <c r="AH381"/>
  <c r="AG530"/>
  <c r="AG553"/>
  <c r="AI566" i="44"/>
  <c r="AC564" i="30"/>
  <c r="Q423"/>
  <c r="K47" i="33" s="1"/>
  <c r="S563" i="30"/>
  <c r="AC357"/>
  <c r="Z336"/>
  <c r="AB752"/>
  <c r="AB600"/>
  <c r="AB706"/>
  <c r="AB554"/>
  <c r="AB821"/>
  <c r="AB844"/>
  <c r="AB531"/>
  <c r="AB867"/>
  <c r="Z53" i="42"/>
  <c r="AB798" i="30"/>
  <c r="AB729"/>
  <c r="AB956" i="44"/>
  <c r="BE956" s="1"/>
  <c r="AB766"/>
  <c r="BN230" i="42" s="1"/>
  <c r="AN555" i="44"/>
  <c r="AO383"/>
  <c r="AN532"/>
  <c r="U933" i="30"/>
  <c r="S301" i="42" s="1"/>
  <c r="U941" i="30"/>
  <c r="CN294" i="42" s="1"/>
  <c r="AH521" i="30"/>
  <c r="AH544"/>
  <c r="AI372"/>
  <c r="AJ385"/>
  <c r="AI534"/>
  <c r="AI557"/>
  <c r="AL385" i="44"/>
  <c r="AK534"/>
  <c r="AK557"/>
  <c r="AU375" i="30"/>
  <c r="AT547"/>
  <c r="AT524"/>
  <c r="AV543"/>
  <c r="AW371"/>
  <c r="AV520"/>
  <c r="AK372" i="44"/>
  <c r="AJ521"/>
  <c r="AJ544"/>
  <c r="AD542" i="30"/>
  <c r="AD519"/>
  <c r="AE370"/>
  <c r="AC763"/>
  <c r="AA227" i="42" s="1"/>
  <c r="AC953" i="30"/>
  <c r="BJ226" i="42"/>
  <c r="X780" i="44"/>
  <c r="R109" i="33" s="1"/>
  <c r="AJ533" i="30"/>
  <c r="AJ556"/>
  <c r="AK384"/>
  <c r="BK226" i="42"/>
  <c r="Y780" i="44"/>
  <c r="S109" i="33" s="1"/>
  <c r="AK367" i="44"/>
  <c r="AN367"/>
  <c r="AO367"/>
  <c r="AR367"/>
  <c r="AJ367"/>
  <c r="AM367"/>
  <c r="AC691"/>
  <c r="AC737"/>
  <c r="AI367"/>
  <c r="AF367"/>
  <c r="AT367"/>
  <c r="AC714"/>
  <c r="AC806"/>
  <c r="AV367"/>
  <c r="AC783"/>
  <c r="AC390"/>
  <c r="AP367"/>
  <c r="AC852"/>
  <c r="AC539"/>
  <c r="AC829"/>
  <c r="AE367"/>
  <c r="AU367"/>
  <c r="AH367"/>
  <c r="AQ367"/>
  <c r="AL367"/>
  <c r="BO38" i="42"/>
  <c r="AG367" i="44"/>
  <c r="AC516"/>
  <c r="AW367"/>
  <c r="AS367"/>
  <c r="AD367"/>
  <c r="AB855"/>
  <c r="AB694"/>
  <c r="AB740"/>
  <c r="AB832"/>
  <c r="AB809"/>
  <c r="BN41" i="42"/>
  <c r="AB542" i="44"/>
  <c r="AB717"/>
  <c r="AB519"/>
  <c r="AB786"/>
  <c r="AB393"/>
  <c r="BL110" i="42"/>
  <c r="AS376" i="30"/>
  <c r="AR548"/>
  <c r="AR525"/>
  <c r="AL556" i="44"/>
  <c r="AM384"/>
  <c r="AL533"/>
  <c r="AD953"/>
  <c r="AF370"/>
  <c r="AE542"/>
  <c r="AE519"/>
  <c r="O130" i="42"/>
  <c r="Y950" i="30"/>
  <c r="Y760"/>
  <c r="Y561"/>
  <c r="J52" i="33"/>
  <c r="N132" i="42"/>
  <c r="AP549" i="30"/>
  <c r="AP526"/>
  <c r="AQ377"/>
  <c r="S418"/>
  <c r="S425" s="1"/>
  <c r="M49" i="33" s="1"/>
  <c r="S952" i="30"/>
  <c r="S762"/>
  <c r="S924" s="1"/>
  <c r="Q291" i="42" s="1"/>
  <c r="S711" i="30"/>
  <c r="S970" s="1"/>
  <c r="Q130" i="42" s="1"/>
  <c r="AT367" i="30"/>
  <c r="AF367"/>
  <c r="AC691"/>
  <c r="AO367"/>
  <c r="AV367"/>
  <c r="AH367"/>
  <c r="AC714"/>
  <c r="AP367"/>
  <c r="AC852"/>
  <c r="AC516"/>
  <c r="AK367"/>
  <c r="AR367"/>
  <c r="AD367"/>
  <c r="AC539"/>
  <c r="AM367"/>
  <c r="AL367"/>
  <c r="AC806"/>
  <c r="AU367"/>
  <c r="AG367"/>
  <c r="AN367"/>
  <c r="AC829"/>
  <c r="AW367"/>
  <c r="AI367"/>
  <c r="AC737"/>
  <c r="AQ367"/>
  <c r="AA38" i="42"/>
  <c r="AJ367" i="30"/>
  <c r="AC783"/>
  <c r="AS367"/>
  <c r="AE367"/>
  <c r="AC390"/>
  <c r="W930"/>
  <c r="U298" i="42" s="1"/>
  <c r="W938" i="30"/>
  <c r="CP291" i="42" s="1"/>
  <c r="U231"/>
  <c r="AB567" i="44"/>
  <c r="AM577"/>
  <c r="AK573" i="30"/>
  <c r="T563" i="44"/>
  <c r="AP572"/>
  <c r="AG566" i="30"/>
  <c r="AS570" i="44"/>
  <c r="BA964" i="30"/>
  <c r="BC964" s="1"/>
  <c r="AI578"/>
  <c r="AA359" i="44"/>
  <c r="U361" i="30"/>
  <c r="AD564" i="44"/>
  <c r="AD567" i="30"/>
  <c r="AM572"/>
  <c r="W361"/>
  <c r="BY129" i="33" l="1"/>
  <c r="J36"/>
  <c r="BT128"/>
  <c r="BT137" s="1"/>
  <c r="S95"/>
  <c r="CC70"/>
  <c r="R95"/>
  <c r="CB70"/>
  <c r="AB432" i="30"/>
  <c r="Z68" i="42" s="1"/>
  <c r="AB441" i="30"/>
  <c r="CV68" i="42" s="1"/>
  <c r="T432" i="30"/>
  <c r="R68" i="42" s="1"/>
  <c r="T441" i="30"/>
  <c r="CN68" i="42" s="1"/>
  <c r="BM53"/>
  <c r="AA405" i="44"/>
  <c r="T836" i="30"/>
  <c r="T941" s="1"/>
  <c r="CM294" i="42" s="1"/>
  <c r="T523" i="30"/>
  <c r="T667" s="1"/>
  <c r="R187" i="42" s="1"/>
  <c r="W586" i="30"/>
  <c r="W853" i="44"/>
  <c r="W928" s="1"/>
  <c r="BI295" i="42" s="1"/>
  <c r="T813" i="30"/>
  <c r="T932" s="1"/>
  <c r="R300" i="42" s="1"/>
  <c r="R45"/>
  <c r="T721" i="30"/>
  <c r="U662"/>
  <c r="S178" i="42" s="1"/>
  <c r="U761" i="30"/>
  <c r="S225" i="42" s="1"/>
  <c r="W784" i="44"/>
  <c r="W925" s="1"/>
  <c r="BI292" i="42" s="1"/>
  <c r="W433" i="44"/>
  <c r="BI69" i="42" s="1"/>
  <c r="T397" i="30"/>
  <c r="T698"/>
  <c r="T957" s="1"/>
  <c r="T790"/>
  <c r="T931" s="1"/>
  <c r="R299" i="42" s="1"/>
  <c r="T546" i="30"/>
  <c r="T668" s="1"/>
  <c r="R188" i="42" s="1"/>
  <c r="T744" i="30"/>
  <c r="T859"/>
  <c r="T934" s="1"/>
  <c r="R302" i="42" s="1"/>
  <c r="W391" i="44"/>
  <c r="W435" s="1"/>
  <c r="BI74" i="42" s="1"/>
  <c r="W738" i="44"/>
  <c r="W830"/>
  <c r="W927" s="1"/>
  <c r="BI294" i="42" s="1"/>
  <c r="AB368" i="30"/>
  <c r="AB540" s="1"/>
  <c r="AB663" s="1"/>
  <c r="Z179" i="42" s="1"/>
  <c r="T807" i="30"/>
  <c r="R39" i="42"/>
  <c r="T738" i="30"/>
  <c r="T692"/>
  <c r="T830"/>
  <c r="T853"/>
  <c r="T517"/>
  <c r="T391"/>
  <c r="T435" s="1"/>
  <c r="R74" i="42" s="1"/>
  <c r="T433" i="30"/>
  <c r="R69" i="42" s="1"/>
  <c r="T540" i="30"/>
  <c r="T663" s="1"/>
  <c r="R179" i="42" s="1"/>
  <c r="T784" i="30"/>
  <c r="T715"/>
  <c r="W715" i="44"/>
  <c r="BI39" i="42"/>
  <c r="W807" i="44"/>
  <c r="W926" s="1"/>
  <c r="BI293" i="42" s="1"/>
  <c r="W692" i="44"/>
  <c r="W951" s="1"/>
  <c r="W669" s="1"/>
  <c r="BI189" i="42" s="1"/>
  <c r="W517" i="44"/>
  <c r="W562" s="1"/>
  <c r="AN577"/>
  <c r="AL578"/>
  <c r="W775"/>
  <c r="BI239" i="42" s="1"/>
  <c r="T425" i="44"/>
  <c r="N108" i="33" s="1"/>
  <c r="T112" i="42"/>
  <c r="AA706" i="44"/>
  <c r="AA965" s="1"/>
  <c r="BG132" i="42"/>
  <c r="AA867" i="44"/>
  <c r="W576"/>
  <c r="BI125" i="42" s="1"/>
  <c r="W965" i="44"/>
  <c r="AA531"/>
  <c r="AA844"/>
  <c r="AA554"/>
  <c r="AA798"/>
  <c r="V581"/>
  <c r="V582" s="1"/>
  <c r="V606" s="1"/>
  <c r="BH133" i="42" s="1"/>
  <c r="AA821" i="44"/>
  <c r="AA752"/>
  <c r="AA729"/>
  <c r="V425" i="30"/>
  <c r="P49" i="33" s="1"/>
  <c r="T681" i="30"/>
  <c r="CM179" i="42" s="1"/>
  <c r="T680" i="30"/>
  <c r="CM178" i="42" s="1"/>
  <c r="U682" i="30"/>
  <c r="CN180" i="42" s="1"/>
  <c r="U669" i="30"/>
  <c r="S189" i="42" s="1"/>
  <c r="U586" i="30"/>
  <c r="S111" i="42"/>
  <c r="AV565" i="30"/>
  <c r="O94" i="33"/>
  <c r="R96"/>
  <c r="R114"/>
  <c r="S96"/>
  <c r="S114"/>
  <c r="K35"/>
  <c r="AB564" i="44"/>
  <c r="AB588" s="1"/>
  <c r="T423"/>
  <c r="N106" i="33" s="1"/>
  <c r="V422" i="44"/>
  <c r="P105" i="33" s="1"/>
  <c r="V581" i="30"/>
  <c r="V582" s="1"/>
  <c r="V606" s="1"/>
  <c r="T133" i="42" s="1"/>
  <c r="BH112"/>
  <c r="H872" i="30"/>
  <c r="F262" i="42" s="1"/>
  <c r="H928" i="30"/>
  <c r="F295" i="42" s="1"/>
  <c r="H826" i="30"/>
  <c r="F260" i="42" s="1"/>
  <c r="H926" i="30"/>
  <c r="F293" i="42" s="1"/>
  <c r="H849" i="30"/>
  <c r="F261" i="42" s="1"/>
  <c r="H927" i="30"/>
  <c r="F294" i="42" s="1"/>
  <c r="H803" i="30"/>
  <c r="F259" i="42" s="1"/>
  <c r="H925" i="30"/>
  <c r="F292" i="42" s="1"/>
  <c r="AV569" i="44"/>
  <c r="V424"/>
  <c r="P107" i="33" s="1"/>
  <c r="V425" i="44"/>
  <c r="P108" i="33" s="1"/>
  <c r="H563" i="30"/>
  <c r="H587" s="1"/>
  <c r="V424"/>
  <c r="P48" i="33" s="1"/>
  <c r="T424" i="44"/>
  <c r="N107" i="33" s="1"/>
  <c r="T422" i="44"/>
  <c r="N105" i="33" s="1"/>
  <c r="H418" i="30"/>
  <c r="H425" s="1"/>
  <c r="H952"/>
  <c r="H762"/>
  <c r="H924" s="1"/>
  <c r="F291" i="42" s="1"/>
  <c r="H711" i="30"/>
  <c r="H970" s="1"/>
  <c r="F130" i="42" s="1"/>
  <c r="V423" i="30"/>
  <c r="P47" i="33" s="1"/>
  <c r="BC956" i="44"/>
  <c r="V423"/>
  <c r="P106" i="33" s="1"/>
  <c r="Q563" i="44"/>
  <c r="BC112" i="42" s="1"/>
  <c r="S117"/>
  <c r="U592" i="30"/>
  <c r="AG567" i="44"/>
  <c r="AE564"/>
  <c r="AI579" i="30"/>
  <c r="AH566"/>
  <c r="AB576"/>
  <c r="Z125" i="42" s="1"/>
  <c r="AG575" i="30"/>
  <c r="AK577"/>
  <c r="AB357" i="44"/>
  <c r="AB336" s="1"/>
  <c r="AP571" i="30"/>
  <c r="W361" i="44"/>
  <c r="W340" s="1"/>
  <c r="AJ578" i="30"/>
  <c r="AD564"/>
  <c r="AT569"/>
  <c r="AN572"/>
  <c r="U574"/>
  <c r="S123" i="42" s="1"/>
  <c r="T361" i="30"/>
  <c r="T340" s="1"/>
  <c r="T369" s="1"/>
  <c r="Y359"/>
  <c r="Y338" s="1"/>
  <c r="Y374" s="1"/>
  <c r="AQ572" i="44"/>
  <c r="AL573" i="30"/>
  <c r="AC561"/>
  <c r="AP539"/>
  <c r="AP516"/>
  <c r="AH539"/>
  <c r="AH516"/>
  <c r="AO539"/>
  <c r="AO516"/>
  <c r="AF516"/>
  <c r="AF539"/>
  <c r="AF519" i="44"/>
  <c r="AG370"/>
  <c r="AF542"/>
  <c r="AE953"/>
  <c r="AF953" s="1"/>
  <c r="AG953" s="1"/>
  <c r="AH953" s="1"/>
  <c r="AI953" s="1"/>
  <c r="AJ953" s="1"/>
  <c r="AK953" s="1"/>
  <c r="AL953" s="1"/>
  <c r="AM953" s="1"/>
  <c r="AN953" s="1"/>
  <c r="AO953" s="1"/>
  <c r="AP953" s="1"/>
  <c r="AQ953" s="1"/>
  <c r="AR953" s="1"/>
  <c r="AS953" s="1"/>
  <c r="AT953" s="1"/>
  <c r="AU953" s="1"/>
  <c r="AV953" s="1"/>
  <c r="AW953" s="1"/>
  <c r="AB953"/>
  <c r="BE953" s="1"/>
  <c r="AB763"/>
  <c r="BN227" i="42" s="1"/>
  <c r="AD539" i="44"/>
  <c r="AD516"/>
  <c r="AW516"/>
  <c r="AW539"/>
  <c r="AG539"/>
  <c r="AG516"/>
  <c r="AL516"/>
  <c r="AL539"/>
  <c r="AH516"/>
  <c r="AH539"/>
  <c r="AE516"/>
  <c r="AE539"/>
  <c r="AP539"/>
  <c r="AP516"/>
  <c r="AV539"/>
  <c r="AV516"/>
  <c r="AF516"/>
  <c r="AF539"/>
  <c r="AM516"/>
  <c r="AM539"/>
  <c r="AR539"/>
  <c r="AR516"/>
  <c r="AN516"/>
  <c r="AN539"/>
  <c r="AL384" i="30"/>
  <c r="AK556"/>
  <c r="AK533"/>
  <c r="AK521" i="44"/>
  <c r="AK544"/>
  <c r="AL372"/>
  <c r="AW520" i="30"/>
  <c r="AW543"/>
  <c r="AV375"/>
  <c r="AU547"/>
  <c r="AU524"/>
  <c r="AM385" i="44"/>
  <c r="AL534"/>
  <c r="AL557"/>
  <c r="AI521" i="30"/>
  <c r="AI544"/>
  <c r="AJ372"/>
  <c r="AO532" i="44"/>
  <c r="AO555"/>
  <c r="AP383"/>
  <c r="AB775" i="30"/>
  <c r="Z239" i="42" s="1"/>
  <c r="AB965" i="30"/>
  <c r="Q112" i="42"/>
  <c r="S581" i="30"/>
  <c r="S587"/>
  <c r="T226" i="42"/>
  <c r="V780" i="30"/>
  <c r="P50" i="33" s="1"/>
  <c r="P55" s="1"/>
  <c r="AL532" i="30"/>
  <c r="AL555"/>
  <c r="AM383"/>
  <c r="BH226" i="42"/>
  <c r="V780" i="44"/>
  <c r="P109" i="33" s="1"/>
  <c r="W963" i="30"/>
  <c r="W773"/>
  <c r="U237" i="42" s="1"/>
  <c r="X798" i="30"/>
  <c r="X821"/>
  <c r="V53" i="42"/>
  <c r="X531" i="30"/>
  <c r="X867"/>
  <c r="X600"/>
  <c r="X729"/>
  <c r="X844"/>
  <c r="X706"/>
  <c r="X752"/>
  <c r="X554"/>
  <c r="Y224" i="42"/>
  <c r="U963" i="30"/>
  <c r="U773"/>
  <c r="S237" i="42" s="1"/>
  <c r="X582" i="44"/>
  <c r="X606" s="1"/>
  <c r="BJ133" i="42" s="1"/>
  <c r="R110" i="33"/>
  <c r="X605" i="44"/>
  <c r="Q582" i="30"/>
  <c r="Q606" s="1"/>
  <c r="O133" i="42" s="1"/>
  <c r="K51" i="33"/>
  <c r="Q605" i="30"/>
  <c r="Q418" i="44"/>
  <c r="Q421" s="1"/>
  <c r="K104" i="33" s="1"/>
  <c r="Q952" i="44"/>
  <c r="Q762"/>
  <c r="Q711"/>
  <c r="Q970" s="1"/>
  <c r="AH522"/>
  <c r="AI373"/>
  <c r="AH545"/>
  <c r="AT377"/>
  <c r="AS549"/>
  <c r="AS526"/>
  <c r="U938" i="30"/>
  <c r="CN291" i="42" s="1"/>
  <c r="U930" i="30"/>
  <c r="S298" i="42" s="1"/>
  <c r="S231"/>
  <c r="AM551" i="30"/>
  <c r="AM528"/>
  <c r="AN379"/>
  <c r="AB698"/>
  <c r="AB859"/>
  <c r="AB523"/>
  <c r="Z45" i="42"/>
  <c r="AB836" i="30"/>
  <c r="AB546"/>
  <c r="AB744"/>
  <c r="AB790"/>
  <c r="AB721"/>
  <c r="AB813"/>
  <c r="AB397"/>
  <c r="S110" i="33"/>
  <c r="Y605" i="44"/>
  <c r="Y582"/>
  <c r="Y606" s="1"/>
  <c r="BK133" i="42" s="1"/>
  <c r="S422" i="30"/>
  <c r="M46" i="33" s="1"/>
  <c r="AP573" i="44"/>
  <c r="W340" i="30"/>
  <c r="W369" s="1"/>
  <c r="U340"/>
  <c r="U369" s="1"/>
  <c r="BF112" i="42"/>
  <c r="T581" i="44"/>
  <c r="T587"/>
  <c r="AS516" i="30"/>
  <c r="AS539"/>
  <c r="AJ516"/>
  <c r="AJ539"/>
  <c r="AQ516"/>
  <c r="AQ539"/>
  <c r="AI516"/>
  <c r="AI539"/>
  <c r="AG516"/>
  <c r="AG539"/>
  <c r="AR539"/>
  <c r="AR516"/>
  <c r="AA338" i="44"/>
  <c r="BN116" i="42"/>
  <c r="BE567" i="44"/>
  <c r="AB591"/>
  <c r="AE539" i="30"/>
  <c r="AE516"/>
  <c r="AW539"/>
  <c r="AW516"/>
  <c r="AN516"/>
  <c r="AN539"/>
  <c r="AU516"/>
  <c r="AU539"/>
  <c r="AL516"/>
  <c r="AL539"/>
  <c r="AM539"/>
  <c r="AM516"/>
  <c r="AD539"/>
  <c r="AD516"/>
  <c r="AK516"/>
  <c r="AK539"/>
  <c r="AV516"/>
  <c r="AV539"/>
  <c r="AC950"/>
  <c r="AC760"/>
  <c r="AT539"/>
  <c r="AT516"/>
  <c r="Q226" i="42"/>
  <c r="S780" i="30"/>
  <c r="M50" i="33" s="1"/>
  <c r="M55" s="1"/>
  <c r="AR377" i="30"/>
  <c r="AQ549"/>
  <c r="AQ526"/>
  <c r="W704" i="44"/>
  <c r="W819"/>
  <c r="W796"/>
  <c r="W750"/>
  <c r="W598"/>
  <c r="BI51" i="42"/>
  <c r="W865" i="44"/>
  <c r="W727"/>
  <c r="W842"/>
  <c r="W552"/>
  <c r="W529"/>
  <c r="W110" i="42"/>
  <c r="Y585" i="30"/>
  <c r="W224" i="42"/>
  <c r="AM533" i="44"/>
  <c r="AM556"/>
  <c r="AN384"/>
  <c r="AT376" i="30"/>
  <c r="AS548"/>
  <c r="AS525"/>
  <c r="AS539" i="44"/>
  <c r="AS516"/>
  <c r="AQ516"/>
  <c r="AQ539"/>
  <c r="AU539"/>
  <c r="AU516"/>
  <c r="AT539"/>
  <c r="AT516"/>
  <c r="AI539"/>
  <c r="AI516"/>
  <c r="AC950"/>
  <c r="AC760"/>
  <c r="AJ516"/>
  <c r="AJ539"/>
  <c r="AO516"/>
  <c r="AO539"/>
  <c r="AK516"/>
  <c r="AK539"/>
  <c r="AD953" i="30"/>
  <c r="BE953"/>
  <c r="AF370"/>
  <c r="AE542"/>
  <c r="AE519"/>
  <c r="AJ557"/>
  <c r="AJ534"/>
  <c r="AK385"/>
  <c r="AC336"/>
  <c r="AA113" i="42"/>
  <c r="BE564" i="30"/>
  <c r="AC588"/>
  <c r="AI381"/>
  <c r="AH530"/>
  <c r="AH553"/>
  <c r="X110" i="42"/>
  <c r="Z585" i="30"/>
  <c r="X224" i="42"/>
  <c r="AK381" i="44"/>
  <c r="AJ530"/>
  <c r="AJ553"/>
  <c r="W957"/>
  <c r="W682" s="1"/>
  <c r="CP189" i="42" s="1"/>
  <c r="W767" i="44"/>
  <c r="AO550" i="30"/>
  <c r="AO527"/>
  <c r="AP378"/>
  <c r="AF545"/>
  <c r="AF522"/>
  <c r="AG373"/>
  <c r="AE956"/>
  <c r="AF956" s="1"/>
  <c r="AG956" s="1"/>
  <c r="AH956" s="1"/>
  <c r="AI956" s="1"/>
  <c r="AJ956" s="1"/>
  <c r="AK956" s="1"/>
  <c r="AL956" s="1"/>
  <c r="AM956" s="1"/>
  <c r="AN956" s="1"/>
  <c r="AO956" s="1"/>
  <c r="AP956" s="1"/>
  <c r="AQ956" s="1"/>
  <c r="AR956" s="1"/>
  <c r="AS956" s="1"/>
  <c r="AT956" s="1"/>
  <c r="AU956" s="1"/>
  <c r="AV956" s="1"/>
  <c r="AW956" s="1"/>
  <c r="AW547" i="44"/>
  <c r="AW524"/>
  <c r="Y110" i="42"/>
  <c r="AA585" i="30"/>
  <c r="BL224" i="42"/>
  <c r="AB737" i="44"/>
  <c r="AB691"/>
  <c r="BN38" i="42"/>
  <c r="AB783" i="44"/>
  <c r="AB714"/>
  <c r="AB390"/>
  <c r="AB852"/>
  <c r="AB539"/>
  <c r="AB829"/>
  <c r="AB516"/>
  <c r="AB806"/>
  <c r="T552" i="30"/>
  <c r="T529"/>
  <c r="T704"/>
  <c r="T842"/>
  <c r="T727"/>
  <c r="T865"/>
  <c r="T598"/>
  <c r="T819"/>
  <c r="R51" i="42"/>
  <c r="T796" i="30"/>
  <c r="T750"/>
  <c r="AU525" i="44"/>
  <c r="AV376"/>
  <c r="AU548"/>
  <c r="Y531" i="30"/>
  <c r="Y798"/>
  <c r="Y706"/>
  <c r="W53" i="42"/>
  <c r="Y821" i="30"/>
  <c r="Y729"/>
  <c r="Y752"/>
  <c r="Y554"/>
  <c r="Y600"/>
  <c r="Y844"/>
  <c r="Y867"/>
  <c r="AQ528" i="44"/>
  <c r="AR379"/>
  <c r="AQ551"/>
  <c r="AR550"/>
  <c r="AR527"/>
  <c r="AS378"/>
  <c r="BF226" i="42"/>
  <c r="T780" i="44"/>
  <c r="N109" i="33" s="1"/>
  <c r="S424" i="30"/>
  <c r="M48" i="33" s="1"/>
  <c r="S421" i="30"/>
  <c r="M45" i="33" s="1"/>
  <c r="AR570" i="30"/>
  <c r="AC561" i="44"/>
  <c r="AJ566"/>
  <c r="AK579"/>
  <c r="Z358" i="30"/>
  <c r="V422"/>
  <c r="P46" i="33" s="1"/>
  <c r="S423" i="30"/>
  <c r="M47" i="33" s="1"/>
  <c r="AI575" i="44"/>
  <c r="W568"/>
  <c r="W574" i="30"/>
  <c r="U123" i="42" s="1"/>
  <c r="X359" i="30"/>
  <c r="AC358" i="44"/>
  <c r="AT570"/>
  <c r="AR571"/>
  <c r="AB360" i="30"/>
  <c r="AA358"/>
  <c r="Z358" i="44"/>
  <c r="P95" i="33" l="1"/>
  <c r="BZ70"/>
  <c r="N95"/>
  <c r="BX70"/>
  <c r="AB434" i="30"/>
  <c r="Z73" i="42" s="1"/>
  <c r="AB442" i="30"/>
  <c r="CV73" i="42" s="1"/>
  <c r="Y432" i="30"/>
  <c r="W68" i="42" s="1"/>
  <c r="Y441" i="30"/>
  <c r="CS68" i="42" s="1"/>
  <c r="T434" i="30"/>
  <c r="R73" i="42" s="1"/>
  <c r="T442" i="30"/>
  <c r="CN73" i="42" s="1"/>
  <c r="T933" i="30"/>
  <c r="R301" i="42" s="1"/>
  <c r="T942" i="30"/>
  <c r="CM295" i="42" s="1"/>
  <c r="T568" i="30"/>
  <c r="R117" i="42" s="1"/>
  <c r="AB830" i="30"/>
  <c r="AB715"/>
  <c r="AB807"/>
  <c r="T940"/>
  <c r="CM293" i="42" s="1"/>
  <c r="Z39"/>
  <c r="AB391" i="30"/>
  <c r="AB435" s="1"/>
  <c r="Z74" i="42" s="1"/>
  <c r="AB433" i="30"/>
  <c r="Z69" i="42" s="1"/>
  <c r="W667" i="44"/>
  <c r="BI187" i="42" s="1"/>
  <c r="AA576" i="44"/>
  <c r="T767" i="30"/>
  <c r="T930" s="1"/>
  <c r="R298" i="42" s="1"/>
  <c r="AB738" i="30"/>
  <c r="AB853"/>
  <c r="AB692"/>
  <c r="AB517"/>
  <c r="AB662" s="1"/>
  <c r="Z178" i="42" s="1"/>
  <c r="AB784" i="30"/>
  <c r="T939"/>
  <c r="CM292" i="42" s="1"/>
  <c r="W761" i="44"/>
  <c r="W924" s="1"/>
  <c r="BI291" i="42" s="1"/>
  <c r="T562" i="30"/>
  <c r="T662"/>
  <c r="R178" i="42" s="1"/>
  <c r="AA374" i="44"/>
  <c r="AA368"/>
  <c r="T951" i="30"/>
  <c r="T664" s="1"/>
  <c r="R180" i="42" s="1"/>
  <c r="T761" i="30"/>
  <c r="R225" i="42" s="1"/>
  <c r="Y368" i="30"/>
  <c r="Y433" s="1"/>
  <c r="W69" i="42" s="1"/>
  <c r="P110" i="33"/>
  <c r="AA775" i="44"/>
  <c r="BM239" i="42" s="1"/>
  <c r="V605" i="44"/>
  <c r="P111" i="33" s="1"/>
  <c r="T682" i="30"/>
  <c r="CM180" i="42" s="1"/>
  <c r="T669" i="30"/>
  <c r="R189" i="42" s="1"/>
  <c r="AB680" i="30"/>
  <c r="CU178" i="42" s="1"/>
  <c r="AB667" i="30"/>
  <c r="Z187" i="42" s="1"/>
  <c r="AB681" i="30"/>
  <c r="CU179" i="42" s="1"/>
  <c r="AB668" i="30"/>
  <c r="Z188" i="42" s="1"/>
  <c r="Q423" i="44"/>
  <c r="K106" i="33" s="1"/>
  <c r="W586" i="44"/>
  <c r="BI111" i="42"/>
  <c r="AB951" i="30"/>
  <c r="AB664" s="1"/>
  <c r="Z180" i="42" s="1"/>
  <c r="AB562" i="30"/>
  <c r="P35" i="33"/>
  <c r="S94"/>
  <c r="R94"/>
  <c r="N96"/>
  <c r="N114"/>
  <c r="P96"/>
  <c r="P114"/>
  <c r="Q424" i="44"/>
  <c r="K107" i="33" s="1"/>
  <c r="V605" i="30"/>
  <c r="P52" i="33" s="1"/>
  <c r="BN113" i="42"/>
  <c r="Q425" i="44"/>
  <c r="K108" i="33" s="1"/>
  <c r="Q422" i="44"/>
  <c r="K105" i="33" s="1"/>
  <c r="BE564" i="44"/>
  <c r="P51" i="33"/>
  <c r="M35"/>
  <c r="Q587" i="44"/>
  <c r="Q581"/>
  <c r="K110" i="33" s="1"/>
  <c r="F112" i="42"/>
  <c r="H581" i="30"/>
  <c r="H582" s="1"/>
  <c r="H606" s="1"/>
  <c r="F133" i="42" s="1"/>
  <c r="AI566" i="30"/>
  <c r="AL579" i="44"/>
  <c r="AU569" i="30"/>
  <c r="AW565"/>
  <c r="BA565" s="1"/>
  <c r="BC565" s="1"/>
  <c r="AK578"/>
  <c r="H424"/>
  <c r="H421"/>
  <c r="H423"/>
  <c r="H422"/>
  <c r="F226" i="42"/>
  <c r="H780" i="30"/>
  <c r="H605"/>
  <c r="F132" i="42" s="1"/>
  <c r="AB561" i="44"/>
  <c r="AB585" s="1"/>
  <c r="AO561" i="30"/>
  <c r="AH561"/>
  <c r="AP561"/>
  <c r="AR561"/>
  <c r="W369" i="44"/>
  <c r="BI40" i="42" s="1"/>
  <c r="W362" i="44"/>
  <c r="W364" s="1"/>
  <c r="Q92" i="33" s="1"/>
  <c r="AC358" i="30"/>
  <c r="AC337" s="1"/>
  <c r="AI561" i="44"/>
  <c r="AU561"/>
  <c r="AS561"/>
  <c r="AL561" i="30"/>
  <c r="AR572" i="44"/>
  <c r="T574" i="30"/>
  <c r="R123" i="42" s="1"/>
  <c r="AF567" i="30"/>
  <c r="AJ575" i="44"/>
  <c r="AH575" i="30"/>
  <c r="AO561" i="44"/>
  <c r="AM578"/>
  <c r="W574"/>
  <c r="BI123" i="42" s="1"/>
  <c r="AT561" i="30"/>
  <c r="AD561"/>
  <c r="AM561"/>
  <c r="AW561"/>
  <c r="AA360" i="44"/>
  <c r="AA339" s="1"/>
  <c r="AA380" s="1"/>
  <c r="AA403" s="1"/>
  <c r="AG561" i="30"/>
  <c r="U362"/>
  <c r="U364" s="1"/>
  <c r="O33" i="33" s="1"/>
  <c r="W362" i="30"/>
  <c r="W364" s="1"/>
  <c r="Q33" i="33" s="1"/>
  <c r="AS571" i="44"/>
  <c r="T362" i="30"/>
  <c r="T364" s="1"/>
  <c r="N33" i="33" s="1"/>
  <c r="X576" i="30"/>
  <c r="V125" i="42" s="1"/>
  <c r="AL577" i="30"/>
  <c r="AR561" i="44"/>
  <c r="AV561"/>
  <c r="AP561"/>
  <c r="AG561"/>
  <c r="AD561"/>
  <c r="AA337" i="30"/>
  <c r="X338"/>
  <c r="BI117" i="42"/>
  <c r="W592" i="44"/>
  <c r="Z337" i="30"/>
  <c r="BO110" i="42"/>
  <c r="AC585" i="44"/>
  <c r="AS550"/>
  <c r="AS527"/>
  <c r="AT378"/>
  <c r="AR551"/>
  <c r="AR528"/>
  <c r="AS379"/>
  <c r="Y965" i="30"/>
  <c r="Y775"/>
  <c r="W239" i="42" s="1"/>
  <c r="AV525" i="44"/>
  <c r="AW376"/>
  <c r="AV548"/>
  <c r="T773" i="30"/>
  <c r="R237" i="42" s="1"/>
  <c r="T963" i="30"/>
  <c r="AG522"/>
  <c r="AG545"/>
  <c r="AH373"/>
  <c r="BI231" i="42"/>
  <c r="W938" i="44"/>
  <c r="CP298" i="42" s="1"/>
  <c r="AK530" i="44"/>
  <c r="AL381"/>
  <c r="AK553"/>
  <c r="AI530" i="30"/>
  <c r="AI553"/>
  <c r="AJ381"/>
  <c r="AF519"/>
  <c r="AG370"/>
  <c r="AF542"/>
  <c r="BO224" i="42"/>
  <c r="AT525" i="30"/>
  <c r="AU376"/>
  <c r="AT548"/>
  <c r="AR549"/>
  <c r="AR526"/>
  <c r="AS377"/>
  <c r="AA224" i="42"/>
  <c r="U739" i="30"/>
  <c r="U757" s="1"/>
  <c r="U693"/>
  <c r="U716"/>
  <c r="U734" s="1"/>
  <c r="U785"/>
  <c r="S40" i="42"/>
  <c r="U808" i="30"/>
  <c r="U541"/>
  <c r="U518"/>
  <c r="U831"/>
  <c r="U854"/>
  <c r="U392"/>
  <c r="U387"/>
  <c r="U410" s="1"/>
  <c r="U414" a="1"/>
  <c r="U414" s="1"/>
  <c r="U415" a="1"/>
  <c r="U415" s="1"/>
  <c r="U413" a="1"/>
  <c r="U413" s="1"/>
  <c r="U416" a="1"/>
  <c r="U416" s="1"/>
  <c r="U417" a="1"/>
  <c r="U417" s="1"/>
  <c r="U40" i="42"/>
  <c r="W518" i="30"/>
  <c r="W854"/>
  <c r="W716"/>
  <c r="W734" s="1"/>
  <c r="W808"/>
  <c r="W541"/>
  <c r="W693"/>
  <c r="W739"/>
  <c r="W757" s="1"/>
  <c r="W785"/>
  <c r="W831"/>
  <c r="W392"/>
  <c r="W415" a="1"/>
  <c r="W415" s="1"/>
  <c r="W387"/>
  <c r="W410" s="1"/>
  <c r="W414" a="1"/>
  <c r="W414" s="1"/>
  <c r="W417" a="1"/>
  <c r="W417" s="1"/>
  <c r="W413" a="1"/>
  <c r="W413" s="1"/>
  <c r="W416" a="1"/>
  <c r="W416" s="1"/>
  <c r="AB933"/>
  <c r="Z301" i="42" s="1"/>
  <c r="AB941" i="30"/>
  <c r="CU294" i="42" s="1"/>
  <c r="AB957" i="30"/>
  <c r="AB767"/>
  <c r="BC130" i="42"/>
  <c r="T808" i="30"/>
  <c r="T716"/>
  <c r="T734" s="1"/>
  <c r="T831"/>
  <c r="T541"/>
  <c r="T785"/>
  <c r="T739"/>
  <c r="T757" s="1"/>
  <c r="T693"/>
  <c r="T518"/>
  <c r="T563" s="1"/>
  <c r="T587" s="1"/>
  <c r="R40" i="42"/>
  <c r="T854" i="30"/>
  <c r="T392"/>
  <c r="T413" a="1"/>
  <c r="T413" s="1"/>
  <c r="T414" a="1"/>
  <c r="T414" s="1"/>
  <c r="T415" a="1"/>
  <c r="T415" s="1"/>
  <c r="T417" a="1"/>
  <c r="T417" s="1"/>
  <c r="T387"/>
  <c r="T410" s="1"/>
  <c r="T416" a="1"/>
  <c r="T416" s="1"/>
  <c r="K52" i="33"/>
  <c r="O132" i="42"/>
  <c r="X965" i="30"/>
  <c r="X775"/>
  <c r="V239" i="42" s="1"/>
  <c r="AQ383" i="44"/>
  <c r="AP532"/>
  <c r="AP555"/>
  <c r="AM534"/>
  <c r="AM557"/>
  <c r="AN385"/>
  <c r="AM372"/>
  <c r="AL544"/>
  <c r="AL521"/>
  <c r="AA110" i="42"/>
  <c r="BE561" i="30"/>
  <c r="AC585"/>
  <c r="Y576"/>
  <c r="W125" i="42" s="1"/>
  <c r="AW569" i="44"/>
  <c r="BA569" s="1"/>
  <c r="BC569" s="1"/>
  <c r="BA956" i="30"/>
  <c r="BC956" s="1"/>
  <c r="AO572"/>
  <c r="AJ579"/>
  <c r="AE564"/>
  <c r="AK561" i="44"/>
  <c r="AJ561"/>
  <c r="AT561"/>
  <c r="AS570" i="30"/>
  <c r="AQ571"/>
  <c r="AK561"/>
  <c r="AU561"/>
  <c r="AE561"/>
  <c r="AI561"/>
  <c r="AJ561"/>
  <c r="AB568"/>
  <c r="AM573"/>
  <c r="Y360"/>
  <c r="AH567" i="44"/>
  <c r="AB358"/>
  <c r="AO577"/>
  <c r="AK566"/>
  <c r="AN561"/>
  <c r="AM561"/>
  <c r="AE561"/>
  <c r="AL561"/>
  <c r="AW561"/>
  <c r="BA953"/>
  <c r="BC953" s="1"/>
  <c r="AF564"/>
  <c r="Z337"/>
  <c r="AB339" i="30"/>
  <c r="AB380" s="1"/>
  <c r="AC337" i="44"/>
  <c r="AB760"/>
  <c r="AB950"/>
  <c r="BE950" s="1"/>
  <c r="AQ378" i="30"/>
  <c r="AP527"/>
  <c r="AP550"/>
  <c r="AK557"/>
  <c r="AL385"/>
  <c r="AK534"/>
  <c r="AK579" s="1"/>
  <c r="AE953"/>
  <c r="AF953" s="1"/>
  <c r="AG953" s="1"/>
  <c r="AH953" s="1"/>
  <c r="AI953" s="1"/>
  <c r="AJ953" s="1"/>
  <c r="AK953" s="1"/>
  <c r="AL953" s="1"/>
  <c r="AM953" s="1"/>
  <c r="AN953" s="1"/>
  <c r="AO953" s="1"/>
  <c r="AP953" s="1"/>
  <c r="AQ953" s="1"/>
  <c r="AR953" s="1"/>
  <c r="AS953" s="1"/>
  <c r="AT953" s="1"/>
  <c r="AU953" s="1"/>
  <c r="AV953" s="1"/>
  <c r="AW953" s="1"/>
  <c r="AD950" i="44"/>
  <c r="AN556"/>
  <c r="AO384"/>
  <c r="AN533"/>
  <c r="W963"/>
  <c r="W773"/>
  <c r="BI237" i="42" s="1"/>
  <c r="AD950" i="30"/>
  <c r="BE950"/>
  <c r="T582" i="44"/>
  <c r="T606" s="1"/>
  <c r="BF133" i="42" s="1"/>
  <c r="N110" i="33"/>
  <c r="T605" i="44"/>
  <c r="S111" i="33"/>
  <c r="CC129" s="1"/>
  <c r="BK132" i="42"/>
  <c r="AB932" i="30"/>
  <c r="Z300" i="42" s="1"/>
  <c r="AB940" i="30"/>
  <c r="CU293" i="42" s="1"/>
  <c r="AB939" i="30"/>
  <c r="CU292" i="42" s="1"/>
  <c r="AB931" i="30"/>
  <c r="Z299" i="42" s="1"/>
  <c r="AB942" i="30"/>
  <c r="CU295" i="42" s="1"/>
  <c r="AB934" i="30"/>
  <c r="Z302" i="42" s="1"/>
  <c r="AO379" i="30"/>
  <c r="AN528"/>
  <c r="AN551"/>
  <c r="AU377" i="44"/>
  <c r="AT526"/>
  <c r="AT549"/>
  <c r="Y698" i="30"/>
  <c r="W45" i="42"/>
  <c r="Y721" i="30"/>
  <c r="Y790"/>
  <c r="Y744"/>
  <c r="Y523"/>
  <c r="Y813"/>
  <c r="Y546"/>
  <c r="Y859"/>
  <c r="Y836"/>
  <c r="Y397"/>
  <c r="AI545" i="44"/>
  <c r="AJ373"/>
  <c r="AI522"/>
  <c r="BC226" i="42"/>
  <c r="Q780" i="44"/>
  <c r="K109" i="33" s="1"/>
  <c r="BJ132" i="42"/>
  <c r="R111" i="33"/>
  <c r="CB129" s="1"/>
  <c r="AN383" i="30"/>
  <c r="AM532"/>
  <c r="AM555"/>
  <c r="S582"/>
  <c r="S606" s="1"/>
  <c r="Q133" i="42" s="1"/>
  <c r="M51" i="33"/>
  <c r="S605" i="30"/>
  <c r="AJ544"/>
  <c r="AK372"/>
  <c r="AJ521"/>
  <c r="AW375"/>
  <c r="AV547"/>
  <c r="AV524"/>
  <c r="AL533"/>
  <c r="AM384"/>
  <c r="AL556"/>
  <c r="AG519" i="44"/>
  <c r="AH370"/>
  <c r="AG542"/>
  <c r="AQ573"/>
  <c r="AU570"/>
  <c r="AQ561"/>
  <c r="AV561" i="30"/>
  <c r="AN561"/>
  <c r="AQ561"/>
  <c r="AS561"/>
  <c r="AF561" i="44"/>
  <c r="AH561"/>
  <c r="AF561" i="30"/>
  <c r="BZ129" i="33" l="1"/>
  <c r="K36"/>
  <c r="BU128"/>
  <c r="P36"/>
  <c r="BZ128"/>
  <c r="K95"/>
  <c r="BU70"/>
  <c r="Y434" i="30"/>
  <c r="W73" i="42" s="1"/>
  <c r="Y442" i="30"/>
  <c r="CS73" i="42" s="1"/>
  <c r="AA546" i="44"/>
  <c r="AA681" s="1"/>
  <c r="CT188" i="42" s="1"/>
  <c r="AA441" i="44"/>
  <c r="CU69" i="42" s="1"/>
  <c r="BM125"/>
  <c r="AA600" i="44"/>
  <c r="Y853" i="30"/>
  <c r="T592"/>
  <c r="R231" i="42"/>
  <c r="T132"/>
  <c r="T938" i="30"/>
  <c r="CM291" i="42" s="1"/>
  <c r="AB761" i="30"/>
  <c r="Z225" i="42" s="1"/>
  <c r="AA790" i="44"/>
  <c r="AA939" s="1"/>
  <c r="CT299" i="42" s="1"/>
  <c r="Q582" i="44"/>
  <c r="Q606" s="1"/>
  <c r="BC133" i="42" s="1"/>
  <c r="AA859" i="44"/>
  <c r="AA942" s="1"/>
  <c r="CT302" i="42" s="1"/>
  <c r="Y784" i="30"/>
  <c r="AA698" i="44"/>
  <c r="AA957" s="1"/>
  <c r="AA682" s="1"/>
  <c r="CT189" i="42" s="1"/>
  <c r="Y692" i="30"/>
  <c r="Y951" s="1"/>
  <c r="Y664" s="1"/>
  <c r="W180" i="42" s="1"/>
  <c r="BI225"/>
  <c r="AA836" i="44"/>
  <c r="AA941" s="1"/>
  <c r="CT301" i="42" s="1"/>
  <c r="AA744" i="44"/>
  <c r="BM45" i="42"/>
  <c r="Y830" i="30"/>
  <c r="Y391"/>
  <c r="Y435" s="1"/>
  <c r="W74" i="42" s="1"/>
  <c r="Y807" i="30"/>
  <c r="BH132" i="42"/>
  <c r="AA813" i="44"/>
  <c r="AA940" s="1"/>
  <c r="CT300" i="42" s="1"/>
  <c r="AA721" i="44"/>
  <c r="AA397"/>
  <c r="AA442" s="1"/>
  <c r="CU74" i="42" s="1"/>
  <c r="AA523" i="44"/>
  <c r="Y540" i="30"/>
  <c r="Y663" s="1"/>
  <c r="W179" i="42" s="1"/>
  <c r="Y715" i="30"/>
  <c r="W39" i="42"/>
  <c r="Y517" i="30"/>
  <c r="Y738"/>
  <c r="R111" i="42"/>
  <c r="T586" i="30"/>
  <c r="X374"/>
  <c r="X368"/>
  <c r="BM39" i="42"/>
  <c r="AA517" i="44"/>
  <c r="AA692"/>
  <c r="AA830"/>
  <c r="AA927" s="1"/>
  <c r="BM294" i="42" s="1"/>
  <c r="AA784" i="44"/>
  <c r="AA925" s="1"/>
  <c r="BM292" i="42" s="1"/>
  <c r="AA738" i="44"/>
  <c r="AA433"/>
  <c r="BM69" i="42" s="1"/>
  <c r="AA807" i="44"/>
  <c r="AA926" s="1"/>
  <c r="BM293" i="42" s="1"/>
  <c r="AA715" i="44"/>
  <c r="AA540"/>
  <c r="AA668" s="1"/>
  <c r="BM188" i="42" s="1"/>
  <c r="AA853" i="44"/>
  <c r="AA928" s="1"/>
  <c r="BM295" i="42" s="1"/>
  <c r="AA391" i="44"/>
  <c r="AA435" s="1"/>
  <c r="BM74" i="42" s="1"/>
  <c r="AI567" i="44"/>
  <c r="BN110" i="42"/>
  <c r="Y681" i="30"/>
  <c r="CR179" i="42" s="1"/>
  <c r="Y668" i="30"/>
  <c r="W188" i="42" s="1"/>
  <c r="Y680" i="30"/>
  <c r="CR178" i="42" s="1"/>
  <c r="Y667" i="30"/>
  <c r="W187" i="42" s="1"/>
  <c r="AB682" i="30"/>
  <c r="CU180" i="42" s="1"/>
  <c r="AB669" i="30"/>
  <c r="Z189" i="42" s="1"/>
  <c r="AC382" i="44"/>
  <c r="Z382"/>
  <c r="Z382" i="30"/>
  <c r="Z867" s="1"/>
  <c r="AA382"/>
  <c r="AA752" s="1"/>
  <c r="Z111" i="42"/>
  <c r="AB586" i="30"/>
  <c r="Y662"/>
  <c r="W178" i="42" s="1"/>
  <c r="P94" i="33"/>
  <c r="N94"/>
  <c r="K96"/>
  <c r="K114"/>
  <c r="AN578" i="44"/>
  <c r="W739"/>
  <c r="W757" s="1"/>
  <c r="W416" a="1"/>
  <c r="W416" s="1"/>
  <c r="Q605"/>
  <c r="K111" i="33" s="1"/>
  <c r="BU129" s="1"/>
  <c r="BU137" s="1"/>
  <c r="W414" i="44" a="1"/>
  <c r="W414" s="1"/>
  <c r="W808"/>
  <c r="W826" s="1"/>
  <c r="BI260" i="42" s="1"/>
  <c r="W432" i="44"/>
  <c r="BI68" i="42" s="1"/>
  <c r="BE561" i="44"/>
  <c r="T872" i="30"/>
  <c r="R262" i="42" s="1"/>
  <c r="T928" i="30"/>
  <c r="R295" i="42" s="1"/>
  <c r="W803" i="30"/>
  <c r="U259" i="42" s="1"/>
  <c r="W925" i="30"/>
  <c r="U292" i="42" s="1"/>
  <c r="W826" i="30"/>
  <c r="U260" i="42" s="1"/>
  <c r="W926" i="30"/>
  <c r="U293" i="42" s="1"/>
  <c r="W872" i="30"/>
  <c r="U262" i="42" s="1"/>
  <c r="W928" i="30"/>
  <c r="U295" i="42" s="1"/>
  <c r="U872" i="30"/>
  <c r="S262" i="42" s="1"/>
  <c r="U928" i="30"/>
  <c r="S295" i="42" s="1"/>
  <c r="U826" i="30"/>
  <c r="S260" i="42" s="1"/>
  <c r="U926" i="30"/>
  <c r="S293" i="42" s="1"/>
  <c r="U803" i="30"/>
  <c r="S259" i="42" s="1"/>
  <c r="U925" i="30"/>
  <c r="S292" i="42" s="1"/>
  <c r="T803" i="30"/>
  <c r="R259" i="42" s="1"/>
  <c r="T925" i="30"/>
  <c r="R292" i="42" s="1"/>
  <c r="T849" i="30"/>
  <c r="R261" i="42" s="1"/>
  <c r="T927" i="30"/>
  <c r="R294" i="42" s="1"/>
  <c r="T826" i="30"/>
  <c r="R260" i="42" s="1"/>
  <c r="T926" i="30"/>
  <c r="R293" i="42" s="1"/>
  <c r="W849" i="30"/>
  <c r="U261" i="42" s="1"/>
  <c r="W927" i="30"/>
  <c r="U294" i="42" s="1"/>
  <c r="U849" i="30"/>
  <c r="S261" i="42" s="1"/>
  <c r="U927" i="30"/>
  <c r="S294" i="42" s="1"/>
  <c r="W417" i="44" a="1"/>
  <c r="W417" s="1"/>
  <c r="W785"/>
  <c r="W803" s="1"/>
  <c r="BI259" i="42" s="1"/>
  <c r="W854" i="44"/>
  <c r="W872" s="1"/>
  <c r="BI262" i="42" s="1"/>
  <c r="W518" i="44"/>
  <c r="AL566"/>
  <c r="AJ566" i="30"/>
  <c r="AA680" i="44"/>
  <c r="CT187" i="42" s="1"/>
  <c r="AV569" i="30"/>
  <c r="BA953"/>
  <c r="BC953" s="1"/>
  <c r="AC359" i="44"/>
  <c r="AC338" s="1"/>
  <c r="AC374" s="1"/>
  <c r="AC441" s="1"/>
  <c r="CW69" i="42" s="1"/>
  <c r="AB361" i="30"/>
  <c r="AB340" s="1"/>
  <c r="AB369" s="1"/>
  <c r="Z359" i="44"/>
  <c r="Z338" s="1"/>
  <c r="Z374" s="1"/>
  <c r="Z441" s="1"/>
  <c r="CT69" i="42" s="1"/>
  <c r="AC382" i="30"/>
  <c r="AC706" s="1"/>
  <c r="AC359"/>
  <c r="AC338" s="1"/>
  <c r="AC374" s="1"/>
  <c r="W387" i="44"/>
  <c r="W410" s="1"/>
  <c r="W415" a="1"/>
  <c r="W415" s="1"/>
  <c r="W413" a="1"/>
  <c r="W413" s="1"/>
  <c r="W392"/>
  <c r="W434" s="1"/>
  <c r="BI73" i="42" s="1"/>
  <c r="W716" i="44"/>
  <c r="W734" s="1"/>
  <c r="W693"/>
  <c r="W952" s="1"/>
  <c r="W541"/>
  <c r="W831"/>
  <c r="W849" s="1"/>
  <c r="BI261" i="42" s="1"/>
  <c r="AN573" i="30"/>
  <c r="AR571"/>
  <c r="AI575"/>
  <c r="AG567"/>
  <c r="AS572" i="44"/>
  <c r="AI370"/>
  <c r="AH542"/>
  <c r="AH519"/>
  <c r="M52" i="33"/>
  <c r="Q132" i="42"/>
  <c r="Y942" i="30"/>
  <c r="CR295" i="42" s="1"/>
  <c r="Y934" i="30"/>
  <c r="W302" i="42" s="1"/>
  <c r="Y932" i="30"/>
  <c r="W300" i="42" s="1"/>
  <c r="Y940" i="30"/>
  <c r="CR293" i="42" s="1"/>
  <c r="Y767" i="30"/>
  <c r="Y957"/>
  <c r="AO551"/>
  <c r="AO528"/>
  <c r="AP379"/>
  <c r="BN224" i="42"/>
  <c r="Z51"/>
  <c r="AB727" i="30"/>
  <c r="AB529"/>
  <c r="AB865"/>
  <c r="AB796"/>
  <c r="AB598"/>
  <c r="AB552"/>
  <c r="AB842"/>
  <c r="AB750"/>
  <c r="AB704"/>
  <c r="AB819"/>
  <c r="AB337" i="44"/>
  <c r="Y339" i="30"/>
  <c r="Y380" s="1"/>
  <c r="Z117" i="42"/>
  <c r="AB592" i="30"/>
  <c r="AN534" i="44"/>
  <c r="AN557"/>
  <c r="AO385"/>
  <c r="R112" i="42"/>
  <c r="T581" i="30"/>
  <c r="AB930"/>
  <c r="Z298" i="42" s="1"/>
  <c r="AB938" i="30"/>
  <c r="CU291" i="42" s="1"/>
  <c r="Z231"/>
  <c r="U418" i="30"/>
  <c r="U421" s="1"/>
  <c r="O45" i="33" s="1"/>
  <c r="U762" i="30"/>
  <c r="U924" s="1"/>
  <c r="S291" i="42" s="1"/>
  <c r="U952" i="30"/>
  <c r="U711"/>
  <c r="U970" s="1"/>
  <c r="S130" i="42" s="1"/>
  <c r="AS549" i="30"/>
  <c r="AS526"/>
  <c r="AT377"/>
  <c r="AU525"/>
  <c r="AV376"/>
  <c r="AU548"/>
  <c r="AH370"/>
  <c r="AG542"/>
  <c r="AG519"/>
  <c r="AT527" i="44"/>
  <c r="AU378"/>
  <c r="AT550"/>
  <c r="BA561"/>
  <c r="BC561" s="1"/>
  <c r="AL578" i="30"/>
  <c r="AM577"/>
  <c r="AT571" i="44"/>
  <c r="AA361"/>
  <c r="AP572" i="30"/>
  <c r="AM579" i="44"/>
  <c r="AP577"/>
  <c r="W563" i="30"/>
  <c r="U563"/>
  <c r="AK575" i="44"/>
  <c r="AV570"/>
  <c r="AR573"/>
  <c r="Z359" i="30"/>
  <c r="X360"/>
  <c r="AA359"/>
  <c r="AM533"/>
  <c r="AM556"/>
  <c r="AN384"/>
  <c r="AW547"/>
  <c r="AW524"/>
  <c r="AL372"/>
  <c r="AK521"/>
  <c r="AK544"/>
  <c r="AN555"/>
  <c r="AN532"/>
  <c r="AO383"/>
  <c r="AK373" i="44"/>
  <c r="AJ545"/>
  <c r="AJ522"/>
  <c r="Y933" i="30"/>
  <c r="W301" i="42" s="1"/>
  <c r="Y941" i="30"/>
  <c r="CR294" i="42" s="1"/>
  <c r="Y939" i="30"/>
  <c r="CR292" i="42" s="1"/>
  <c r="Y931" i="30"/>
  <c r="W299" i="42" s="1"/>
  <c r="AU526" i="44"/>
  <c r="AV377"/>
  <c r="AU549"/>
  <c r="BF132" i="42"/>
  <c r="N111" i="33"/>
  <c r="BX129" s="1"/>
  <c r="AA750" i="44"/>
  <c r="AA819"/>
  <c r="AA552"/>
  <c r="BM51" i="42"/>
  <c r="AA704" i="44"/>
  <c r="AA529"/>
  <c r="AA865"/>
  <c r="AA727"/>
  <c r="AA796"/>
  <c r="AA842"/>
  <c r="AE950" i="30"/>
  <c r="AF950" s="1"/>
  <c r="AG950" s="1"/>
  <c r="AH950" s="1"/>
  <c r="AI950" s="1"/>
  <c r="AJ950" s="1"/>
  <c r="AK950" s="1"/>
  <c r="AL950" s="1"/>
  <c r="AM950" s="1"/>
  <c r="AN950" s="1"/>
  <c r="AO950" s="1"/>
  <c r="AP950" s="1"/>
  <c r="AQ950" s="1"/>
  <c r="AR950" s="1"/>
  <c r="AS950" s="1"/>
  <c r="AT950" s="1"/>
  <c r="AU950" s="1"/>
  <c r="AV950" s="1"/>
  <c r="AW950" s="1"/>
  <c r="AO556" i="44"/>
  <c r="AP384"/>
  <c r="AO533"/>
  <c r="AE950"/>
  <c r="AF950" s="1"/>
  <c r="AG950" s="1"/>
  <c r="AH950" s="1"/>
  <c r="AI950" s="1"/>
  <c r="AJ950" s="1"/>
  <c r="AK950" s="1"/>
  <c r="AL950" s="1"/>
  <c r="AM950" s="1"/>
  <c r="AN950" s="1"/>
  <c r="AO950" s="1"/>
  <c r="AP950" s="1"/>
  <c r="AQ950" s="1"/>
  <c r="AR950" s="1"/>
  <c r="AS950" s="1"/>
  <c r="AT950" s="1"/>
  <c r="AU950" s="1"/>
  <c r="AV950" s="1"/>
  <c r="AW950" s="1"/>
  <c r="AM385" i="30"/>
  <c r="AL534"/>
  <c r="AL557"/>
  <c r="AQ550"/>
  <c r="AQ527"/>
  <c r="AR378"/>
  <c r="AM544" i="44"/>
  <c r="AN372"/>
  <c r="AM521"/>
  <c r="AQ555"/>
  <c r="AR383"/>
  <c r="AQ532"/>
  <c r="AQ577" s="1"/>
  <c r="T418" i="30"/>
  <c r="T424" s="1"/>
  <c r="N48" i="33" s="1"/>
  <c r="T952" i="30"/>
  <c r="T762"/>
  <c r="T924" s="1"/>
  <c r="R291" i="42" s="1"/>
  <c r="T711" i="30"/>
  <c r="T970" s="1"/>
  <c r="R130" i="42" s="1"/>
  <c r="W418" i="30"/>
  <c r="W425" s="1"/>
  <c r="Q49" i="33" s="1"/>
  <c r="W952" i="30"/>
  <c r="W762"/>
  <c r="W924" s="1"/>
  <c r="U291" i="42" s="1"/>
  <c r="W711" i="30"/>
  <c r="W970" s="1"/>
  <c r="U130" i="42" s="1"/>
  <c r="AJ553" i="30"/>
  <c r="AJ530"/>
  <c r="AK381"/>
  <c r="AL553" i="44"/>
  <c r="AM381"/>
  <c r="AL530"/>
  <c r="AH545" i="30"/>
  <c r="AH522"/>
  <c r="AI373"/>
  <c r="AW525" i="44"/>
  <c r="AW548"/>
  <c r="AS528"/>
  <c r="AS551"/>
  <c r="AT379"/>
  <c r="AG564"/>
  <c r="Y568" i="30"/>
  <c r="BA561"/>
  <c r="BC561" s="1"/>
  <c r="AT570"/>
  <c r="AF564"/>
  <c r="BZ137" i="33" l="1"/>
  <c r="M36"/>
  <c r="BW128"/>
  <c r="BW137" s="1"/>
  <c r="AA568" i="44"/>
  <c r="BM117" i="42" s="1"/>
  <c r="AC432" i="30"/>
  <c r="AA68" i="42" s="1"/>
  <c r="AC441" i="30"/>
  <c r="CW68" i="42" s="1"/>
  <c r="X432" i="30"/>
  <c r="V68" i="42" s="1"/>
  <c r="X441" i="30"/>
  <c r="CR68" i="42" s="1"/>
  <c r="AM566" i="44"/>
  <c r="Z554"/>
  <c r="Z405"/>
  <c r="AD382"/>
  <c r="AD531" s="1"/>
  <c r="AC405"/>
  <c r="AA767"/>
  <c r="BM231" i="42" s="1"/>
  <c r="V45"/>
  <c r="X790" i="30"/>
  <c r="X931" s="1"/>
  <c r="V299" i="42" s="1"/>
  <c r="AC798" i="44"/>
  <c r="Y761" i="30"/>
  <c r="W225" i="42" s="1"/>
  <c r="W563" i="44"/>
  <c r="W581" s="1"/>
  <c r="X813" i="30"/>
  <c r="X932" s="1"/>
  <c r="V300" i="42" s="1"/>
  <c r="X744" i="30"/>
  <c r="X721"/>
  <c r="Y562"/>
  <c r="W111" i="42" s="1"/>
  <c r="X397" i="30"/>
  <c r="X859"/>
  <c r="X934" s="1"/>
  <c r="V302" i="42" s="1"/>
  <c r="X546" i="30"/>
  <c r="X668" s="1"/>
  <c r="V188" i="42" s="1"/>
  <c r="X523" i="30"/>
  <c r="X667" s="1"/>
  <c r="V187" i="42" s="1"/>
  <c r="X836" i="30"/>
  <c r="X941" s="1"/>
  <c r="CQ294" i="42" s="1"/>
  <c r="X698" i="30"/>
  <c r="X957" s="1"/>
  <c r="AA667" i="44"/>
  <c r="BM187" i="42" s="1"/>
  <c r="AA562" i="44"/>
  <c r="X517" i="30"/>
  <c r="X853"/>
  <c r="X540"/>
  <c r="X663" s="1"/>
  <c r="V179" i="42" s="1"/>
  <c r="X433" i="30"/>
  <c r="V69" i="42" s="1"/>
  <c r="X715" i="30"/>
  <c r="X692"/>
  <c r="X738"/>
  <c r="X784"/>
  <c r="X391"/>
  <c r="X435" s="1"/>
  <c r="V74" i="42" s="1"/>
  <c r="X807" i="30"/>
  <c r="V39" i="42"/>
  <c r="X830" i="30"/>
  <c r="Z368" i="44"/>
  <c r="Z807" s="1"/>
  <c r="Z926" s="1"/>
  <c r="BL293" i="42" s="1"/>
  <c r="AC368" i="44"/>
  <c r="BO39" i="42" s="1"/>
  <c r="AC368" i="30"/>
  <c r="AA951" i="44"/>
  <c r="AA669" s="1"/>
  <c r="BM189" i="42" s="1"/>
  <c r="AA761" i="44"/>
  <c r="Z798" i="30"/>
  <c r="AA554"/>
  <c r="Z729"/>
  <c r="Z821" i="44"/>
  <c r="AC729"/>
  <c r="AL575"/>
  <c r="AA821" i="30"/>
  <c r="Z531"/>
  <c r="Z867" i="44"/>
  <c r="AC706"/>
  <c r="AC965" s="1"/>
  <c r="AA867" i="30"/>
  <c r="AA531"/>
  <c r="AA576" s="1"/>
  <c r="Y125" i="42" s="1"/>
  <c r="Y53"/>
  <c r="AA600" i="30"/>
  <c r="Z821"/>
  <c r="Z844"/>
  <c r="Z706"/>
  <c r="Z965" s="1"/>
  <c r="BL53" i="42"/>
  <c r="Z531" i="44"/>
  <c r="Z752"/>
  <c r="AC554"/>
  <c r="AC844"/>
  <c r="AC867"/>
  <c r="AA729" i="30"/>
  <c r="AA706"/>
  <c r="AA965" s="1"/>
  <c r="AA798"/>
  <c r="AA844"/>
  <c r="X53" i="42"/>
  <c r="Z554" i="30"/>
  <c r="Z752"/>
  <c r="Z600"/>
  <c r="Z729" i="44"/>
  <c r="Z798"/>
  <c r="Z844"/>
  <c r="Z706"/>
  <c r="Z965" s="1"/>
  <c r="BO53" i="42"/>
  <c r="AC752" i="44"/>
  <c r="AC821"/>
  <c r="AC531"/>
  <c r="AO578"/>
  <c r="X681" i="30"/>
  <c r="CQ179" i="42" s="1"/>
  <c r="X680" i="30"/>
  <c r="CQ178" i="42" s="1"/>
  <c r="Y682" i="30"/>
  <c r="CR180" i="42" s="1"/>
  <c r="Y669" i="30"/>
  <c r="W189" i="42" s="1"/>
  <c r="AB382" i="44"/>
  <c r="K94" i="33"/>
  <c r="BC132" i="42"/>
  <c r="U423" i="30"/>
  <c r="O47" i="33" s="1"/>
  <c r="W711" i="44"/>
  <c r="W970" s="1"/>
  <c r="BI130" i="42" s="1"/>
  <c r="AC844" i="30"/>
  <c r="U424"/>
  <c r="O48" i="33" s="1"/>
  <c r="AC554" i="30"/>
  <c r="AC867"/>
  <c r="AC531"/>
  <c r="AC576" s="1"/>
  <c r="AC600"/>
  <c r="AC729"/>
  <c r="T423"/>
  <c r="N47" i="33" s="1"/>
  <c r="W422" i="30"/>
  <c r="Q46" i="33" s="1"/>
  <c r="AA53" i="42"/>
  <c r="AD382" i="30"/>
  <c r="AD554" s="1"/>
  <c r="AC821"/>
  <c r="AC798"/>
  <c r="AC752"/>
  <c r="W418" i="44"/>
  <c r="W422" s="1"/>
  <c r="Q105" i="33" s="1"/>
  <c r="W762" i="44"/>
  <c r="BI226" i="42" s="1"/>
  <c r="W423" i="30"/>
  <c r="Q47" i="33" s="1"/>
  <c r="Y361" i="30"/>
  <c r="Y340" s="1"/>
  <c r="Y369" s="1"/>
  <c r="U422"/>
  <c r="O46" i="33" s="1"/>
  <c r="U425" i="30"/>
  <c r="O49" i="33" s="1"/>
  <c r="AO573" i="30"/>
  <c r="AS573" i="44"/>
  <c r="AW570"/>
  <c r="BA570" s="1"/>
  <c r="BC570" s="1"/>
  <c r="AH567" i="30"/>
  <c r="AJ575"/>
  <c r="T421"/>
  <c r="N45" i="33" s="1"/>
  <c r="AS571" i="30"/>
  <c r="AL579"/>
  <c r="AK566"/>
  <c r="AW569"/>
  <c r="BA569" s="1"/>
  <c r="BC569" s="1"/>
  <c r="AM578"/>
  <c r="AB359" i="44"/>
  <c r="AB338" s="1"/>
  <c r="AB374" s="1"/>
  <c r="AB441" s="1"/>
  <c r="CV69" i="42" s="1"/>
  <c r="Z360" i="44"/>
  <c r="Z339" s="1"/>
  <c r="Z380" s="1"/>
  <c r="Z403" s="1"/>
  <c r="AB362" i="30"/>
  <c r="AB364" s="1"/>
  <c r="V33" i="33" s="1"/>
  <c r="AC360" i="44"/>
  <c r="AC339" s="1"/>
  <c r="AC380" s="1"/>
  <c r="AC403" s="1"/>
  <c r="W117" i="42"/>
  <c r="Y592" i="30"/>
  <c r="AI545"/>
  <c r="AI522"/>
  <c r="AJ373"/>
  <c r="AM530" i="44"/>
  <c r="AN381"/>
  <c r="AM553"/>
  <c r="AL381" i="30"/>
  <c r="AK530"/>
  <c r="AK553"/>
  <c r="U226" i="42"/>
  <c r="W780" i="30"/>
  <c r="Q50" i="33" s="1"/>
  <c r="Q55" s="1"/>
  <c r="AS383" i="44"/>
  <c r="AR532"/>
  <c r="AR555"/>
  <c r="BL45" i="42"/>
  <c r="Z698" i="44"/>
  <c r="Z836"/>
  <c r="Z941" s="1"/>
  <c r="CS301" i="42" s="1"/>
  <c r="Z546" i="44"/>
  <c r="Z681" s="1"/>
  <c r="CS188" i="42" s="1"/>
  <c r="Z813" i="44"/>
  <c r="Z940" s="1"/>
  <c r="CS300" i="42" s="1"/>
  <c r="Z744" i="44"/>
  <c r="Z859"/>
  <c r="Z942" s="1"/>
  <c r="CS302" i="42" s="1"/>
  <c r="Z721" i="44"/>
  <c r="Z790"/>
  <c r="Z939" s="1"/>
  <c r="CS299" i="42" s="1"/>
  <c r="Z523" i="44"/>
  <c r="Z397"/>
  <c r="Z442" s="1"/>
  <c r="CT74" i="42" s="1"/>
  <c r="Z40"/>
  <c r="AB785" i="30"/>
  <c r="AB739"/>
  <c r="AB757" s="1"/>
  <c r="AB854"/>
  <c r="AB716"/>
  <c r="AB734" s="1"/>
  <c r="AB693"/>
  <c r="AB808"/>
  <c r="AB541"/>
  <c r="AB831"/>
  <c r="AB518"/>
  <c r="AB563" s="1"/>
  <c r="AB587" s="1"/>
  <c r="AB392"/>
  <c r="AB416" a="1"/>
  <c r="AB416" s="1"/>
  <c r="AB417" a="1"/>
  <c r="AB417" s="1"/>
  <c r="AB414" a="1"/>
  <c r="AB414" s="1"/>
  <c r="AB387"/>
  <c r="AB410" s="1"/>
  <c r="AB415" a="1"/>
  <c r="AB415" s="1"/>
  <c r="AB413" a="1"/>
  <c r="AB413" s="1"/>
  <c r="AC523" i="44"/>
  <c r="AC680" s="1"/>
  <c r="CV187" i="42" s="1"/>
  <c r="AC836" i="44"/>
  <c r="AC941" s="1"/>
  <c r="CV301" i="42" s="1"/>
  <c r="AC698" i="44"/>
  <c r="AC790"/>
  <c r="AC939" s="1"/>
  <c r="CV299" i="42" s="1"/>
  <c r="AC859" i="44"/>
  <c r="AC942" s="1"/>
  <c r="CV302" i="42" s="1"/>
  <c r="AC744" i="44"/>
  <c r="AC721"/>
  <c r="BO45" i="42"/>
  <c r="AC813" i="44"/>
  <c r="AC940" s="1"/>
  <c r="CV300" i="42" s="1"/>
  <c r="AC546" i="44"/>
  <c r="AC681" s="1"/>
  <c r="CV188" i="42" s="1"/>
  <c r="AC397" i="44"/>
  <c r="AC442" s="1"/>
  <c r="CW74" i="42" s="1"/>
  <c r="AM557" i="30"/>
  <c r="AN385"/>
  <c r="AM534"/>
  <c r="AM579" s="1"/>
  <c r="AP533" i="44"/>
  <c r="AP556"/>
  <c r="AQ384"/>
  <c r="AV549"/>
  <c r="AV526"/>
  <c r="AW377"/>
  <c r="AL373"/>
  <c r="AK522"/>
  <c r="AK545"/>
  <c r="AL544" i="30"/>
  <c r="AM372"/>
  <c r="AL521"/>
  <c r="AL566" s="1"/>
  <c r="AA338"/>
  <c r="Z338"/>
  <c r="U112" i="42"/>
  <c r="W581" i="30"/>
  <c r="W587"/>
  <c r="AH542"/>
  <c r="AH519"/>
  <c r="AI370"/>
  <c r="AV548"/>
  <c r="AV525"/>
  <c r="AW376"/>
  <c r="AT526"/>
  <c r="AU377"/>
  <c r="AT549"/>
  <c r="N51" i="33"/>
  <c r="T582" i="30"/>
  <c r="T606" s="1"/>
  <c r="R133" i="42" s="1"/>
  <c r="T605" i="30"/>
  <c r="AO557" i="44"/>
  <c r="AP385"/>
  <c r="AO534"/>
  <c r="AB963" i="30"/>
  <c r="AB773"/>
  <c r="Z237" i="42" s="1"/>
  <c r="AQ379" i="30"/>
  <c r="AP551"/>
  <c r="AP528"/>
  <c r="Y930"/>
  <c r="W298" i="42" s="1"/>
  <c r="Y938" i="30"/>
  <c r="CR291" i="42" s="1"/>
  <c r="W231"/>
  <c r="AJ370" i="44"/>
  <c r="AI542"/>
  <c r="AI519"/>
  <c r="W421" i="30"/>
  <c r="Q45" i="33" s="1"/>
  <c r="AQ572" i="30"/>
  <c r="AC360"/>
  <c r="BA950" i="44"/>
  <c r="BC950" s="1"/>
  <c r="BA950" i="30"/>
  <c r="BC950" s="1"/>
  <c r="AA574" i="44"/>
  <c r="AJ567"/>
  <c r="AN577" i="30"/>
  <c r="W424"/>
  <c r="Q48" i="33" s="1"/>
  <c r="T425" i="30"/>
  <c r="N49" i="33" s="1"/>
  <c r="AT572" i="44"/>
  <c r="AG564" i="30"/>
  <c r="AN579" i="44"/>
  <c r="AH564"/>
  <c r="AU379"/>
  <c r="AT551"/>
  <c r="AT528"/>
  <c r="R226" i="42"/>
  <c r="T780" i="30"/>
  <c r="N50" i="33" s="1"/>
  <c r="N55" s="1"/>
  <c r="AO372" i="44"/>
  <c r="AN521"/>
  <c r="AN544"/>
  <c r="AR550" i="30"/>
  <c r="AR527"/>
  <c r="AS378"/>
  <c r="AC721"/>
  <c r="AC790"/>
  <c r="AC523"/>
  <c r="AC744"/>
  <c r="AC836"/>
  <c r="AA45" i="42"/>
  <c r="AC813" i="30"/>
  <c r="AC698"/>
  <c r="AC859"/>
  <c r="AC546"/>
  <c r="AC397"/>
  <c r="AA963" i="44"/>
  <c r="AA773"/>
  <c r="BM237" i="42" s="1"/>
  <c r="AO555" i="30"/>
  <c r="AP383"/>
  <c r="AO532"/>
  <c r="AO384"/>
  <c r="AN533"/>
  <c r="AN556"/>
  <c r="X339"/>
  <c r="X380" s="1"/>
  <c r="S112" i="42"/>
  <c r="U581" i="30"/>
  <c r="U587"/>
  <c r="AA340" i="44"/>
  <c r="AA369" s="1"/>
  <c r="AU527"/>
  <c r="AV378"/>
  <c r="AU550"/>
  <c r="S226" i="42"/>
  <c r="U780" i="30"/>
  <c r="O50" i="33" s="1"/>
  <c r="O55" s="1"/>
  <c r="Y552" i="30"/>
  <c r="W51" i="42"/>
  <c r="Y750" i="30"/>
  <c r="Y842"/>
  <c r="Y598"/>
  <c r="Y796"/>
  <c r="Y704"/>
  <c r="Y819"/>
  <c r="Y865"/>
  <c r="Y529"/>
  <c r="Y727"/>
  <c r="AC965"/>
  <c r="AU571" i="44"/>
  <c r="T422" i="30"/>
  <c r="N46" i="33" s="1"/>
  <c r="AU570" i="30"/>
  <c r="AB574"/>
  <c r="Z123" i="42" s="1"/>
  <c r="Q95" i="33" l="1"/>
  <c r="CA70"/>
  <c r="AE382" i="44"/>
  <c r="AE531" s="1"/>
  <c r="AA592"/>
  <c r="AC434" i="30"/>
  <c r="AA73" i="42" s="1"/>
  <c r="AC442" i="30"/>
  <c r="CW73" i="42" s="1"/>
  <c r="X434" i="30"/>
  <c r="V73" i="42" s="1"/>
  <c r="X442" i="30"/>
  <c r="CR73" i="42" s="1"/>
  <c r="AO577" i="30"/>
  <c r="AC433" i="44"/>
  <c r="BO69" i="42" s="1"/>
  <c r="Y586" i="30"/>
  <c r="AD554" i="44"/>
  <c r="AD576" s="1"/>
  <c r="Z433"/>
  <c r="BL69" i="42" s="1"/>
  <c r="Z576" i="44"/>
  <c r="AB405"/>
  <c r="BM123" i="42"/>
  <c r="AA598" i="44"/>
  <c r="W587"/>
  <c r="AC807"/>
  <c r="AC926" s="1"/>
  <c r="BO293" i="42" s="1"/>
  <c r="X942" i="30"/>
  <c r="CQ295" i="42" s="1"/>
  <c r="AC738" i="44"/>
  <c r="AC517"/>
  <c r="AC784"/>
  <c r="AC925" s="1"/>
  <c r="BO292" i="42" s="1"/>
  <c r="AC830" i="44"/>
  <c r="AC927" s="1"/>
  <c r="BO294" i="42" s="1"/>
  <c r="AC540" i="44"/>
  <c r="AC668" s="1"/>
  <c r="BO188" i="42" s="1"/>
  <c r="AC391" i="44"/>
  <c r="AC435" s="1"/>
  <c r="BO74" i="42" s="1"/>
  <c r="X767" i="30"/>
  <c r="X938" s="1"/>
  <c r="CQ291" i="42" s="1"/>
  <c r="AA938" i="44"/>
  <c r="CT298" i="42" s="1"/>
  <c r="X939" i="30"/>
  <c r="CQ292" i="42" s="1"/>
  <c r="X940" i="30"/>
  <c r="CQ293" i="42" s="1"/>
  <c r="BI112"/>
  <c r="AT368" i="44"/>
  <c r="AT374" s="1"/>
  <c r="AT546" s="1"/>
  <c r="AV368"/>
  <c r="AV374" s="1"/>
  <c r="AV523" s="1"/>
  <c r="AM368"/>
  <c r="AM374" s="1"/>
  <c r="AM523" s="1"/>
  <c r="AG368"/>
  <c r="AG374" s="1"/>
  <c r="AG523" s="1"/>
  <c r="AL368"/>
  <c r="AL374" s="1"/>
  <c r="AL523" s="1"/>
  <c r="AN368"/>
  <c r="AN374" s="1"/>
  <c r="AN523" s="1"/>
  <c r="AE368"/>
  <c r="AE374" s="1"/>
  <c r="AE523" s="1"/>
  <c r="AC715"/>
  <c r="AF368"/>
  <c r="AF374" s="1"/>
  <c r="AF546" s="1"/>
  <c r="AC692"/>
  <c r="AC761" s="1"/>
  <c r="AP368"/>
  <c r="AP374" s="1"/>
  <c r="AP546" s="1"/>
  <c r="AS368"/>
  <c r="AS374" s="1"/>
  <c r="AS523" s="1"/>
  <c r="AR368"/>
  <c r="AR374" s="1"/>
  <c r="AR546" s="1"/>
  <c r="AQ368"/>
  <c r="AQ374" s="1"/>
  <c r="AQ523" s="1"/>
  <c r="AD368"/>
  <c r="AD374" s="1"/>
  <c r="AD546" s="1"/>
  <c r="AW368"/>
  <c r="AW374" s="1"/>
  <c r="AW523" s="1"/>
  <c r="AC853"/>
  <c r="AC928" s="1"/>
  <c r="BO295" i="42" s="1"/>
  <c r="AU368" i="44"/>
  <c r="AU374" s="1"/>
  <c r="AU523" s="1"/>
  <c r="AH368"/>
  <c r="AH374" s="1"/>
  <c r="AH523" s="1"/>
  <c r="AK368"/>
  <c r="AK374" s="1"/>
  <c r="AK523" s="1"/>
  <c r="AJ368"/>
  <c r="AJ374" s="1"/>
  <c r="AJ523" s="1"/>
  <c r="AI368"/>
  <c r="AI374" s="1"/>
  <c r="AI546" s="1"/>
  <c r="AO368"/>
  <c r="AO374" s="1"/>
  <c r="AO523" s="1"/>
  <c r="X568" i="30"/>
  <c r="V117" i="42" s="1"/>
  <c r="X933" i="30"/>
  <c r="V301" i="42" s="1"/>
  <c r="Z738" i="44"/>
  <c r="Z853"/>
  <c r="Z928" s="1"/>
  <c r="BL295" i="42" s="1"/>
  <c r="BL39"/>
  <c r="Z391" i="44"/>
  <c r="Z435" s="1"/>
  <c r="BL74" i="42" s="1"/>
  <c r="Z517" i="44"/>
  <c r="Z667" s="1"/>
  <c r="BL187" i="42" s="1"/>
  <c r="Z784" i="44"/>
  <c r="Z925" s="1"/>
  <c r="BL292" i="42" s="1"/>
  <c r="Z830" i="44"/>
  <c r="Z927" s="1"/>
  <c r="BL294" i="42" s="1"/>
  <c r="Z540" i="44"/>
  <c r="Z668" s="1"/>
  <c r="BL188" i="42" s="1"/>
  <c r="Z715" i="44"/>
  <c r="Z692"/>
  <c r="Z951" s="1"/>
  <c r="AA374" i="30"/>
  <c r="AA368"/>
  <c r="BM225" i="42"/>
  <c r="AA924" i="44"/>
  <c r="BM291" i="42" s="1"/>
  <c r="AK368" i="30"/>
  <c r="AJ368"/>
  <c r="AC692"/>
  <c r="AI368"/>
  <c r="AT368"/>
  <c r="AC853"/>
  <c r="AU368"/>
  <c r="AQ368"/>
  <c r="AS368"/>
  <c r="AR368"/>
  <c r="AC517"/>
  <c r="AC433"/>
  <c r="AA69" i="42" s="1"/>
  <c r="AW368" i="30"/>
  <c r="AF368"/>
  <c r="AC738"/>
  <c r="AA39" i="42"/>
  <c r="AC540" i="30"/>
  <c r="AC663" s="1"/>
  <c r="AA179" i="42" s="1"/>
  <c r="AG368" i="30"/>
  <c r="AH368"/>
  <c r="AC807"/>
  <c r="AC715"/>
  <c r="AN368"/>
  <c r="AP368"/>
  <c r="AL368"/>
  <c r="AC784"/>
  <c r="AO368"/>
  <c r="AE368"/>
  <c r="AD368"/>
  <c r="AC830"/>
  <c r="AV368"/>
  <c r="AM368"/>
  <c r="AC391"/>
  <c r="AC435" s="1"/>
  <c r="AA74" i="42" s="1"/>
  <c r="X662" i="30"/>
  <c r="V178" i="42" s="1"/>
  <c r="X562" i="30"/>
  <c r="Z374"/>
  <c r="Z368"/>
  <c r="X951"/>
  <c r="X664" s="1"/>
  <c r="V180" i="42" s="1"/>
  <c r="X761" i="30"/>
  <c r="V225" i="42" s="1"/>
  <c r="AA586" i="44"/>
  <c r="BM111" i="42"/>
  <c r="AB368" i="44"/>
  <c r="AB853" s="1"/>
  <c r="AB928" s="1"/>
  <c r="BN295" i="42" s="1"/>
  <c r="AB798" i="44"/>
  <c r="BN53" i="42"/>
  <c r="AB752" i="44"/>
  <c r="Z775"/>
  <c r="BL239" i="42" s="1"/>
  <c r="AB729" i="44"/>
  <c r="AB554"/>
  <c r="AB844"/>
  <c r="AC576"/>
  <c r="AC775"/>
  <c r="BO239" i="42" s="1"/>
  <c r="Z576" i="30"/>
  <c r="X125" i="42" s="1"/>
  <c r="AA775" i="30"/>
  <c r="Y239" i="42" s="1"/>
  <c r="Z775" i="30"/>
  <c r="X239" i="42" s="1"/>
  <c r="AB867" i="44"/>
  <c r="AB821"/>
  <c r="AB706"/>
  <c r="AB965" s="1"/>
  <c r="BE965" s="1"/>
  <c r="AB531"/>
  <c r="AB576" s="1"/>
  <c r="BN125" i="42" s="1"/>
  <c r="W424" i="44"/>
  <c r="Q107" i="33" s="1"/>
  <c r="AE382" i="30"/>
  <c r="AF382" s="1"/>
  <c r="AC681"/>
  <c r="CV179" i="42" s="1"/>
  <c r="AC668" i="30"/>
  <c r="AA188" i="42" s="1"/>
  <c r="AC680" i="30"/>
  <c r="CV178" i="42" s="1"/>
  <c r="AC667" i="30"/>
  <c r="AA187" i="42" s="1"/>
  <c r="X682" i="30"/>
  <c r="CQ180" i="42" s="1"/>
  <c r="X669" i="30"/>
  <c r="V189" i="42" s="1"/>
  <c r="AT540" i="44"/>
  <c r="AV517"/>
  <c r="AC667"/>
  <c r="BO187" i="42" s="1"/>
  <c r="AS540" i="44"/>
  <c r="O35" i="33"/>
  <c r="N35"/>
  <c r="W582" i="44"/>
  <c r="W606" s="1"/>
  <c r="BI133" i="42" s="1"/>
  <c r="Q35" i="33"/>
  <c r="W425" i="44"/>
  <c r="Q108" i="33" s="1"/>
  <c r="AC775" i="30"/>
  <c r="AA239" i="42" s="1"/>
  <c r="W421" i="44"/>
  <c r="Q104" i="33" s="1"/>
  <c r="W780" i="44"/>
  <c r="Q109" i="33" s="1"/>
  <c r="AD531" i="30"/>
  <c r="AD576" s="1"/>
  <c r="Q110" i="33"/>
  <c r="AB872" i="30"/>
  <c r="Z262" i="42" s="1"/>
  <c r="AB928" i="30"/>
  <c r="Z295" i="42" s="1"/>
  <c r="AB803" i="30"/>
  <c r="Z259" i="42" s="1"/>
  <c r="AB925" i="30"/>
  <c r="Z292" i="42" s="1"/>
  <c r="AB849" i="30"/>
  <c r="Z261" i="42" s="1"/>
  <c r="AB927" i="30"/>
  <c r="Z294" i="42" s="1"/>
  <c r="AB826" i="30"/>
  <c r="Z260" i="42" s="1"/>
  <c r="AB926" i="30"/>
  <c r="Z293" i="42" s="1"/>
  <c r="W423" i="44"/>
  <c r="Q106" i="33" s="1"/>
  <c r="W605" i="44"/>
  <c r="BI132" i="42" s="1"/>
  <c r="AK575" i="30"/>
  <c r="AI567"/>
  <c r="Z568" i="44"/>
  <c r="BL117" i="42" s="1"/>
  <c r="Z680" i="44"/>
  <c r="CS187" i="42" s="1"/>
  <c r="AO579" i="44"/>
  <c r="Z360" i="30"/>
  <c r="Z339" s="1"/>
  <c r="Z380" s="1"/>
  <c r="Y362"/>
  <c r="Y364" s="1"/>
  <c r="S33" i="33" s="1"/>
  <c r="X361" i="30"/>
  <c r="X340" s="1"/>
  <c r="X369" s="1"/>
  <c r="AV570"/>
  <c r="Y574"/>
  <c r="W123" i="42" s="1"/>
  <c r="AA362" i="44"/>
  <c r="AA364" s="1"/>
  <c r="U92" i="33" s="1"/>
  <c r="AC361" i="44"/>
  <c r="AC340" s="1"/>
  <c r="AC369" s="1"/>
  <c r="AN566"/>
  <c r="AV571"/>
  <c r="AP578"/>
  <c r="Y963" i="30"/>
  <c r="Y773"/>
  <c r="W237" i="42" s="1"/>
  <c r="AV527" i="44"/>
  <c r="AV550"/>
  <c r="AW378"/>
  <c r="AA785"/>
  <c r="AA803" s="1"/>
  <c r="BM259" i="42" s="1"/>
  <c r="AA716" i="44"/>
  <c r="AA734" s="1"/>
  <c r="AA808"/>
  <c r="AA826" s="1"/>
  <c r="BM260" i="42" s="1"/>
  <c r="AA693" i="44"/>
  <c r="BM40" i="42"/>
  <c r="AA432" i="44"/>
  <c r="BM68" i="42" s="1"/>
  <c r="AA739" i="44"/>
  <c r="AA757" s="1"/>
  <c r="AA831"/>
  <c r="AA849" s="1"/>
  <c r="BM261" i="42" s="1"/>
  <c r="AA854" i="44"/>
  <c r="AA872" s="1"/>
  <c r="BM262" i="42" s="1"/>
  <c r="AA518" i="44"/>
  <c r="AA541"/>
  <c r="AA392"/>
  <c r="AA434" s="1"/>
  <c r="BM73" i="42" s="1"/>
  <c r="AA387" i="44"/>
  <c r="AA410" s="1"/>
  <c r="AA413" a="1"/>
  <c r="AA413" s="1"/>
  <c r="AA414" a="1"/>
  <c r="AA414" s="1"/>
  <c r="AA415" a="1"/>
  <c r="AA415" s="1"/>
  <c r="AA416" a="1"/>
  <c r="AA416" s="1"/>
  <c r="AA417" a="1"/>
  <c r="AA417" s="1"/>
  <c r="X552" i="30"/>
  <c r="X865"/>
  <c r="X750"/>
  <c r="X598"/>
  <c r="X796"/>
  <c r="X727"/>
  <c r="V51" i="42"/>
  <c r="X819" i="30"/>
  <c r="X704"/>
  <c r="X529"/>
  <c r="X842"/>
  <c r="AC934"/>
  <c r="AA302" i="42" s="1"/>
  <c r="AC942" i="30"/>
  <c r="CV295" i="42" s="1"/>
  <c r="AC957" i="30"/>
  <c r="AC767"/>
  <c r="AC940"/>
  <c r="CV293" i="42" s="1"/>
  <c r="AC932" i="30"/>
  <c r="AA300" i="42" s="1"/>
  <c r="AC704" i="44"/>
  <c r="AC529"/>
  <c r="BO51" i="42"/>
  <c r="AC865" i="44"/>
  <c r="AC552"/>
  <c r="AD380"/>
  <c r="AC796"/>
  <c r="AC819"/>
  <c r="AC727"/>
  <c r="AC750"/>
  <c r="AC842"/>
  <c r="AO544"/>
  <c r="AP372"/>
  <c r="AO521"/>
  <c r="AO566" s="1"/>
  <c r="AU528"/>
  <c r="AV379"/>
  <c r="AU551"/>
  <c r="AA125" i="42"/>
  <c r="AK370" i="44"/>
  <c r="AJ542"/>
  <c r="AJ519"/>
  <c r="AR379" i="30"/>
  <c r="AQ528"/>
  <c r="AQ551"/>
  <c r="AE554" i="44"/>
  <c r="AF382"/>
  <c r="Y716" i="30"/>
  <c r="Y734" s="1"/>
  <c r="Y808"/>
  <c r="Y785"/>
  <c r="Y831"/>
  <c r="Y693"/>
  <c r="Y739"/>
  <c r="Y757" s="1"/>
  <c r="Y541"/>
  <c r="Y854"/>
  <c r="W40" i="42"/>
  <c r="Y518" i="30"/>
  <c r="Y392"/>
  <c r="Y417" a="1"/>
  <c r="Y417" s="1"/>
  <c r="Y414" a="1"/>
  <c r="Y414" s="1"/>
  <c r="Y413" a="1"/>
  <c r="Y413" s="1"/>
  <c r="Y416" a="1"/>
  <c r="Y416" s="1"/>
  <c r="Y387"/>
  <c r="Y410" s="1"/>
  <c r="Y415" a="1"/>
  <c r="Y415" s="1"/>
  <c r="AP534" i="44"/>
  <c r="AQ385"/>
  <c r="AP557"/>
  <c r="N52" i="33"/>
  <c r="R132" i="42"/>
  <c r="AU526" i="30"/>
  <c r="AV377"/>
  <c r="AU549"/>
  <c r="AW548"/>
  <c r="AW525"/>
  <c r="AN372"/>
  <c r="AM521"/>
  <c r="AM544"/>
  <c r="AW526" i="44"/>
  <c r="AW549"/>
  <c r="AC957"/>
  <c r="AC682" s="1"/>
  <c r="CV189" i="42" s="1"/>
  <c r="AC767" i="44"/>
  <c r="AL553" i="30"/>
  <c r="AM381"/>
  <c r="AL530"/>
  <c r="AN553" i="44"/>
  <c r="AO381"/>
  <c r="AN530"/>
  <c r="AJ545" i="30"/>
  <c r="AK373"/>
  <c r="AJ522"/>
  <c r="AB360" i="44"/>
  <c r="AN578" i="30"/>
  <c r="AC568"/>
  <c r="AR572"/>
  <c r="Z361" i="44"/>
  <c r="AT573"/>
  <c r="AI564"/>
  <c r="AP573" i="30"/>
  <c r="AH564"/>
  <c r="AA360"/>
  <c r="AK567" i="44"/>
  <c r="AC568"/>
  <c r="AR577"/>
  <c r="AD965" i="30"/>
  <c r="BE965"/>
  <c r="AD965" i="44"/>
  <c r="BN45" i="42"/>
  <c r="AB523" i="44"/>
  <c r="AB680" s="1"/>
  <c r="CU187" i="42" s="1"/>
  <c r="AB744" i="44"/>
  <c r="AB859"/>
  <c r="AB942" s="1"/>
  <c r="CU302" i="42" s="1"/>
  <c r="AB397" i="44"/>
  <c r="AB442" s="1"/>
  <c r="CV74" i="42" s="1"/>
  <c r="AB813" i="44"/>
  <c r="AB940" s="1"/>
  <c r="CU300" i="42" s="1"/>
  <c r="AB698" i="44"/>
  <c r="AB721"/>
  <c r="AB836"/>
  <c r="AB941" s="1"/>
  <c r="CU301" i="42" s="1"/>
  <c r="AB790" i="44"/>
  <c r="AB939" s="1"/>
  <c r="CU299" i="42" s="1"/>
  <c r="AB546" i="44"/>
  <c r="AB681" s="1"/>
  <c r="CU188" i="42" s="1"/>
  <c r="O51" i="33"/>
  <c r="U605" i="30"/>
  <c r="U582"/>
  <c r="U606" s="1"/>
  <c r="S133" i="42" s="1"/>
  <c r="AO556" i="30"/>
  <c r="AP384"/>
  <c r="AO533"/>
  <c r="AQ383"/>
  <c r="AP532"/>
  <c r="AP555"/>
  <c r="AC941"/>
  <c r="CV294" i="42" s="1"/>
  <c r="AC933" i="30"/>
  <c r="AA301" i="42" s="1"/>
  <c r="AC931" i="30"/>
  <c r="AA299" i="42" s="1"/>
  <c r="AC939" i="30"/>
  <c r="CV292" i="42" s="1"/>
  <c r="AS550" i="30"/>
  <c r="AS527"/>
  <c r="AT378"/>
  <c r="Z552" i="44"/>
  <c r="Z842"/>
  <c r="Z727"/>
  <c r="Z865"/>
  <c r="Z750"/>
  <c r="BL51" i="42"/>
  <c r="Z796" i="44"/>
  <c r="Z704"/>
  <c r="Z529"/>
  <c r="Z574" s="1"/>
  <c r="BL123" i="42" s="1"/>
  <c r="Z819" i="44"/>
  <c r="AC339" i="30"/>
  <c r="AC380" s="1"/>
  <c r="AJ370"/>
  <c r="AI519"/>
  <c r="AI542"/>
  <c r="W582"/>
  <c r="W606" s="1"/>
  <c r="U133" i="42" s="1"/>
  <c r="Q51" i="33"/>
  <c r="W605" i="30"/>
  <c r="AL545" i="44"/>
  <c r="AM373"/>
  <c r="AL522"/>
  <c r="AQ556"/>
  <c r="AR384"/>
  <c r="AQ533"/>
  <c r="AO385" i="30"/>
  <c r="AN534"/>
  <c r="AN557"/>
  <c r="AB418"/>
  <c r="AB422" s="1"/>
  <c r="V46" i="33" s="1"/>
  <c r="Z112" i="42"/>
  <c r="AB581" i="30"/>
  <c r="AB762"/>
  <c r="AB924" s="1"/>
  <c r="Z291" i="42" s="1"/>
  <c r="AB952" i="30"/>
  <c r="AB711"/>
  <c r="AB970" s="1"/>
  <c r="Z130" i="42" s="1"/>
  <c r="Z957" i="44"/>
  <c r="Z682" s="1"/>
  <c r="CS189" i="42" s="1"/>
  <c r="Z767" i="44"/>
  <c r="AT383"/>
  <c r="AS532"/>
  <c r="AS555"/>
  <c r="AU572"/>
  <c r="AT571" i="30"/>
  <c r="AM575" i="44"/>
  <c r="N36" i="33" l="1"/>
  <c r="BX128"/>
  <c r="BX137" s="1"/>
  <c r="AB425" i="30"/>
  <c r="V49" i="33" s="1"/>
  <c r="Z432" i="30"/>
  <c r="X68" i="42" s="1"/>
  <c r="Z441" i="30"/>
  <c r="CT68" i="42" s="1"/>
  <c r="AA432" i="30"/>
  <c r="Y68" i="42" s="1"/>
  <c r="AA441" i="30"/>
  <c r="CU68" i="42" s="1"/>
  <c r="V231"/>
  <c r="BL125"/>
  <c r="Z600" i="44"/>
  <c r="AB600"/>
  <c r="BO125" i="42"/>
  <c r="AC600" i="44"/>
  <c r="AL575" i="30"/>
  <c r="Z598" i="44"/>
  <c r="AV546"/>
  <c r="AV568" s="1"/>
  <c r="AW546"/>
  <c r="AG546"/>
  <c r="AG568" s="1"/>
  <c r="AK546"/>
  <c r="AA397" i="30"/>
  <c r="AS546" i="44"/>
  <c r="AP523"/>
  <c r="AP568" s="1"/>
  <c r="AI523"/>
  <c r="AI568" s="1"/>
  <c r="AN546"/>
  <c r="AN568" s="1"/>
  <c r="AU546"/>
  <c r="AU568" s="1"/>
  <c r="AA790" i="30"/>
  <c r="AA939" s="1"/>
  <c r="CT292" i="42" s="1"/>
  <c r="AQ546" i="44"/>
  <c r="AQ568" s="1"/>
  <c r="X930" i="30"/>
  <c r="V298" i="42" s="1"/>
  <c r="AK540" i="44"/>
  <c r="AJ567" i="30"/>
  <c r="AB784" i="44"/>
  <c r="AB925" s="1"/>
  <c r="BN292" i="42" s="1"/>
  <c r="AW540" i="44"/>
  <c r="AC562"/>
  <c r="BO111" i="42" s="1"/>
  <c r="AN540" i="44"/>
  <c r="Z721" i="30"/>
  <c r="AI517" i="44"/>
  <c r="AU517"/>
  <c r="AQ540"/>
  <c r="AC951"/>
  <c r="AD951" s="1"/>
  <c r="AG517"/>
  <c r="AA813" i="30"/>
  <c r="AA940" s="1"/>
  <c r="CT293" i="42" s="1"/>
  <c r="Z523" i="30"/>
  <c r="AI540" i="44"/>
  <c r="AK517"/>
  <c r="AU540"/>
  <c r="AW517"/>
  <c r="AQ517"/>
  <c r="AS517"/>
  <c r="AS562" s="1"/>
  <c r="AN517"/>
  <c r="AG540"/>
  <c r="AV540"/>
  <c r="AH546"/>
  <c r="AH568" s="1"/>
  <c r="AE546"/>
  <c r="AE568" s="1"/>
  <c r="AF517"/>
  <c r="AH517"/>
  <c r="AL540"/>
  <c r="AM546"/>
  <c r="AM568" s="1"/>
  <c r="AL546"/>
  <c r="AL568" s="1"/>
  <c r="AR523"/>
  <c r="AR568" s="1"/>
  <c r="AT523"/>
  <c r="AT568" s="1"/>
  <c r="AO517"/>
  <c r="AR517"/>
  <c r="AE540"/>
  <c r="AM540"/>
  <c r="AA744" i="30"/>
  <c r="AA546"/>
  <c r="Y45" i="42"/>
  <c r="Z813" i="30"/>
  <c r="Z932" s="1"/>
  <c r="X300" i="42" s="1"/>
  <c r="X592" i="30"/>
  <c r="AB517" i="44"/>
  <c r="AB433"/>
  <c r="BN69" i="42" s="1"/>
  <c r="AO546" i="44"/>
  <c r="AO568" s="1"/>
  <c r="AD523"/>
  <c r="AD568" s="1"/>
  <c r="AJ546"/>
  <c r="AJ568" s="1"/>
  <c r="AF523"/>
  <c r="AF568" s="1"/>
  <c r="AJ517"/>
  <c r="AD540"/>
  <c r="AP517"/>
  <c r="AE517"/>
  <c r="AE562" s="1"/>
  <c r="AL517"/>
  <c r="AL562" s="1"/>
  <c r="AM517"/>
  <c r="AT517"/>
  <c r="AT562" s="1"/>
  <c r="AO540"/>
  <c r="AJ540"/>
  <c r="AH540"/>
  <c r="AH562" s="1"/>
  <c r="AD517"/>
  <c r="AR540"/>
  <c r="AP540"/>
  <c r="AF540"/>
  <c r="AA523" i="30"/>
  <c r="AA568" s="1"/>
  <c r="Y117" i="42" s="1"/>
  <c r="AA721" i="30"/>
  <c r="AA859"/>
  <c r="AA942" s="1"/>
  <c r="CT295" i="42" s="1"/>
  <c r="AA698" i="30"/>
  <c r="AA767" s="1"/>
  <c r="AA836"/>
  <c r="AA933" s="1"/>
  <c r="Y301" i="42" s="1"/>
  <c r="Z859" i="30"/>
  <c r="Z934" s="1"/>
  <c r="X302" i="42" s="1"/>
  <c r="Z790" i="30"/>
  <c r="Z939" s="1"/>
  <c r="CS292" i="42" s="1"/>
  <c r="AE531" i="30"/>
  <c r="AB391" i="44"/>
  <c r="AB435" s="1"/>
  <c r="BN74" i="42" s="1"/>
  <c r="BN39"/>
  <c r="AB807" i="44"/>
  <c r="AB926" s="1"/>
  <c r="BN293" i="42" s="1"/>
  <c r="Z761" i="44"/>
  <c r="Z924" s="1"/>
  <c r="BL291" i="42" s="1"/>
  <c r="Z562" i="44"/>
  <c r="BL111" i="42" s="1"/>
  <c r="AM540" i="30"/>
  <c r="AM517"/>
  <c r="AM374"/>
  <c r="AE517"/>
  <c r="AE540"/>
  <c r="AE374"/>
  <c r="AP517"/>
  <c r="AP540"/>
  <c r="AP374"/>
  <c r="AH517"/>
  <c r="AH540"/>
  <c r="AH374"/>
  <c r="AW517"/>
  <c r="AW540"/>
  <c r="AW374"/>
  <c r="AC662"/>
  <c r="AA178" i="42" s="1"/>
  <c r="AC562" i="30"/>
  <c r="AS517"/>
  <c r="AS374"/>
  <c r="AS540"/>
  <c r="AS562" s="1"/>
  <c r="AU540"/>
  <c r="AU517"/>
  <c r="AU374"/>
  <c r="AT517"/>
  <c r="AT540"/>
  <c r="AT374"/>
  <c r="AC951"/>
  <c r="AC761"/>
  <c r="AA225" i="42" s="1"/>
  <c r="AK517" i="30"/>
  <c r="AK540"/>
  <c r="AK374"/>
  <c r="Z517"/>
  <c r="Z391"/>
  <c r="Z435" s="1"/>
  <c r="X74" i="42" s="1"/>
  <c r="Z433" i="30"/>
  <c r="X69" i="42" s="1"/>
  <c r="Z830" i="30"/>
  <c r="Z784"/>
  <c r="Z853"/>
  <c r="Z540"/>
  <c r="Z663" s="1"/>
  <c r="X179" i="42" s="1"/>
  <c r="Z692" i="30"/>
  <c r="Z715"/>
  <c r="Z807"/>
  <c r="Z738"/>
  <c r="X39" i="42"/>
  <c r="X586" i="30"/>
  <c r="V111" i="42"/>
  <c r="AV540" i="30"/>
  <c r="AV517"/>
  <c r="AV374"/>
  <c r="AD517"/>
  <c r="AD540"/>
  <c r="AD374"/>
  <c r="AO540"/>
  <c r="AO517"/>
  <c r="AO374"/>
  <c r="AL517"/>
  <c r="AL540"/>
  <c r="AL374"/>
  <c r="AN517"/>
  <c r="AN374"/>
  <c r="AN540"/>
  <c r="AN562" s="1"/>
  <c r="AG517"/>
  <c r="AG540"/>
  <c r="AG374"/>
  <c r="AF517"/>
  <c r="AF374"/>
  <c r="AF540"/>
  <c r="AF562" s="1"/>
  <c r="AR517"/>
  <c r="AR540"/>
  <c r="AR374"/>
  <c r="AQ540"/>
  <c r="AQ517"/>
  <c r="AQ374"/>
  <c r="AI540"/>
  <c r="AI517"/>
  <c r="AI374"/>
  <c r="AJ517"/>
  <c r="AJ374"/>
  <c r="AJ540"/>
  <c r="AJ562" s="1"/>
  <c r="AA784"/>
  <c r="AA517"/>
  <c r="AA830"/>
  <c r="AA715"/>
  <c r="AA807"/>
  <c r="AA391"/>
  <c r="AA435" s="1"/>
  <c r="Y74" i="42" s="1"/>
  <c r="AA853" i="30"/>
  <c r="Y39" i="42"/>
  <c r="AA692" i="30"/>
  <c r="AA738"/>
  <c r="AA433"/>
  <c r="Y69" i="42" s="1"/>
  <c r="AA540" i="30"/>
  <c r="AA663" s="1"/>
  <c r="Y179" i="42" s="1"/>
  <c r="Z397" i="30"/>
  <c r="X45" i="42"/>
  <c r="Z698" i="30"/>
  <c r="Z957" s="1"/>
  <c r="Z546"/>
  <c r="Z568" s="1"/>
  <c r="X117" i="42" s="1"/>
  <c r="Z744" i="30"/>
  <c r="Z836"/>
  <c r="Z941" s="1"/>
  <c r="CS294" i="42" s="1"/>
  <c r="AB738" i="44"/>
  <c r="AB715"/>
  <c r="AB830"/>
  <c r="AB927" s="1"/>
  <c r="BN294" i="42" s="1"/>
  <c r="AB540" i="44"/>
  <c r="AB668" s="1"/>
  <c r="BN188" i="42" s="1"/>
  <c r="AB692" i="44"/>
  <c r="AB951" s="1"/>
  <c r="AB669" s="1"/>
  <c r="BN189" i="42" s="1"/>
  <c r="AN575" i="44"/>
  <c r="AE554" i="30"/>
  <c r="BE576"/>
  <c r="AB775" i="44"/>
  <c r="BN239" i="42" s="1"/>
  <c r="AL567" i="44"/>
  <c r="AA680" i="30"/>
  <c r="CT178" i="42" s="1"/>
  <c r="AA667" i="30"/>
  <c r="Y187" i="42" s="1"/>
  <c r="Z681" i="30"/>
  <c r="CS179" i="42" s="1"/>
  <c r="Z668" i="30"/>
  <c r="X188" i="42" s="1"/>
  <c r="AC682" i="30"/>
  <c r="CV180" i="42" s="1"/>
  <c r="AC669" i="30"/>
  <c r="AA189" i="42" s="1"/>
  <c r="AA681" i="30"/>
  <c r="CT179" i="42" s="1"/>
  <c r="AA668" i="30"/>
  <c r="Y188" i="42" s="1"/>
  <c r="Z680" i="30"/>
  <c r="CS178" i="42" s="1"/>
  <c r="Z667" i="30"/>
  <c r="X187" i="42" s="1"/>
  <c r="AO562" i="44"/>
  <c r="AJ562"/>
  <c r="AO578" i="30"/>
  <c r="AG562" i="44"/>
  <c r="AV562"/>
  <c r="AB667"/>
  <c r="BN187" i="42" s="1"/>
  <c r="AC669" i="44"/>
  <c r="BO189" i="42" s="1"/>
  <c r="Z669" i="44"/>
  <c r="BL189" i="42" s="1"/>
  <c r="AC924" i="44"/>
  <c r="BO291" i="42" s="1"/>
  <c r="BO225"/>
  <c r="AC586" i="44"/>
  <c r="AW562"/>
  <c r="Q96" i="33"/>
  <c r="Q114"/>
  <c r="Q111"/>
  <c r="Y872" i="30"/>
  <c r="W262" i="42" s="1"/>
  <c r="Y928" i="30"/>
  <c r="W295" i="42" s="1"/>
  <c r="Y849" i="30"/>
  <c r="W261" i="42" s="1"/>
  <c r="Y927" i="30"/>
  <c r="W294" i="42" s="1"/>
  <c r="Y826" i="30"/>
  <c r="W260" i="42" s="1"/>
  <c r="Y926" i="30"/>
  <c r="W293" i="42" s="1"/>
  <c r="Y803" i="30"/>
  <c r="W259" i="42" s="1"/>
  <c r="Y925" i="30"/>
  <c r="W292" i="42" s="1"/>
  <c r="X574" i="30"/>
  <c r="V123" i="42" s="1"/>
  <c r="AQ578" i="44"/>
  <c r="Y563" i="30"/>
  <c r="Y581" s="1"/>
  <c r="AQ573"/>
  <c r="AJ564" i="44"/>
  <c r="BE576"/>
  <c r="Z592"/>
  <c r="AA563"/>
  <c r="BM112" i="42" s="1"/>
  <c r="AV572" i="44"/>
  <c r="AS577"/>
  <c r="AB421" i="30"/>
  <c r="V45" i="33" s="1"/>
  <c r="AN579" i="30"/>
  <c r="AB568" i="44"/>
  <c r="BE568" s="1"/>
  <c r="Z361" i="30"/>
  <c r="Z340" s="1"/>
  <c r="Z369" s="1"/>
  <c r="AI564"/>
  <c r="AC362" i="44"/>
  <c r="AC364" s="1"/>
  <c r="W92" i="33" s="1"/>
  <c r="AP577" i="30"/>
  <c r="AS568" i="44"/>
  <c r="AW571"/>
  <c r="BA571" s="1"/>
  <c r="BC571" s="1"/>
  <c r="AM566" i="30"/>
  <c r="AW570"/>
  <c r="BA570" s="1"/>
  <c r="BC570" s="1"/>
  <c r="AN373" i="44"/>
  <c r="AM545"/>
  <c r="AM522"/>
  <c r="Q52" i="33"/>
  <c r="U132" i="42"/>
  <c r="X739" i="30"/>
  <c r="X757" s="1"/>
  <c r="X854"/>
  <c r="X716"/>
  <c r="X734" s="1"/>
  <c r="X808"/>
  <c r="V40" i="42"/>
  <c r="X693" i="30"/>
  <c r="X831"/>
  <c r="X785"/>
  <c r="X541"/>
  <c r="X518"/>
  <c r="X392"/>
  <c r="X414" a="1"/>
  <c r="X414" s="1"/>
  <c r="X413" a="1"/>
  <c r="X413" s="1"/>
  <c r="X417" a="1"/>
  <c r="X417" s="1"/>
  <c r="X387"/>
  <c r="X410" s="1"/>
  <c r="X416" a="1"/>
  <c r="X416" s="1"/>
  <c r="X415" a="1"/>
  <c r="X415" s="1"/>
  <c r="O52" i="33"/>
  <c r="S132" i="42"/>
  <c r="AE965" i="44"/>
  <c r="AF965" s="1"/>
  <c r="AG965" s="1"/>
  <c r="AH965" s="1"/>
  <c r="AI965" s="1"/>
  <c r="AJ965" s="1"/>
  <c r="AK965" s="1"/>
  <c r="AL965" s="1"/>
  <c r="AM965" s="1"/>
  <c r="AN965" s="1"/>
  <c r="AO965" s="1"/>
  <c r="AP965" s="1"/>
  <c r="AQ965" s="1"/>
  <c r="AR965" s="1"/>
  <c r="AS965" s="1"/>
  <c r="AT965" s="1"/>
  <c r="AU965" s="1"/>
  <c r="AV965" s="1"/>
  <c r="AW965" s="1"/>
  <c r="AE965" i="30"/>
  <c r="AF965" s="1"/>
  <c r="AG965" s="1"/>
  <c r="AH965" s="1"/>
  <c r="AI965" s="1"/>
  <c r="AJ965" s="1"/>
  <c r="AK965" s="1"/>
  <c r="AL965" s="1"/>
  <c r="AM965" s="1"/>
  <c r="AN965" s="1"/>
  <c r="AO965" s="1"/>
  <c r="AP965" s="1"/>
  <c r="AQ965" s="1"/>
  <c r="AR965" s="1"/>
  <c r="AS965" s="1"/>
  <c r="AT965" s="1"/>
  <c r="AU965" s="1"/>
  <c r="AV965" s="1"/>
  <c r="AW965" s="1"/>
  <c r="AO530" i="44"/>
  <c r="AO553"/>
  <c r="AP381"/>
  <c r="AD957"/>
  <c r="AQ534"/>
  <c r="AQ557"/>
  <c r="AR385"/>
  <c r="AG382"/>
  <c r="AF554"/>
  <c r="AF531"/>
  <c r="AK519"/>
  <c r="AK542"/>
  <c r="AL370"/>
  <c r="AW379"/>
  <c r="AV551"/>
  <c r="AV528"/>
  <c r="AC773"/>
  <c r="BO237" i="42" s="1"/>
  <c r="AC963" i="44"/>
  <c r="AD957" i="30"/>
  <c r="AA418" i="44"/>
  <c r="AA421" s="1"/>
  <c r="U104" i="33" s="1"/>
  <c r="AB424" i="30"/>
  <c r="V48" i="33" s="1"/>
  <c r="AB423" i="30"/>
  <c r="V47" i="33" s="1"/>
  <c r="AU571" i="30"/>
  <c r="Z938" i="44"/>
  <c r="CS298" i="42" s="1"/>
  <c r="BL231"/>
  <c r="Z226"/>
  <c r="AB780" i="30"/>
  <c r="V50" i="33" s="1"/>
  <c r="V55" s="1"/>
  <c r="AC750" i="30"/>
  <c r="AC704"/>
  <c r="AC865"/>
  <c r="AC598"/>
  <c r="AC842"/>
  <c r="AC727"/>
  <c r="AC819"/>
  <c r="AC796"/>
  <c r="AA51" i="42"/>
  <c r="AC552" i="30"/>
  <c r="AC529"/>
  <c r="AD380"/>
  <c r="Z963" i="44"/>
  <c r="Z773"/>
  <c r="BL237" i="42" s="1"/>
  <c r="AU378" i="30"/>
  <c r="AT527"/>
  <c r="AT550"/>
  <c r="AT532" i="44"/>
  <c r="AU383"/>
  <c r="AT555"/>
  <c r="V51" i="33"/>
  <c r="AB605" i="30"/>
  <c r="AB582"/>
  <c r="AB606" s="1"/>
  <c r="Z133" i="42" s="1"/>
  <c r="AO557" i="30"/>
  <c r="AP385"/>
  <c r="AO534"/>
  <c r="AS384" i="44"/>
  <c r="AR533"/>
  <c r="AR556"/>
  <c r="Z750" i="30"/>
  <c r="Z598"/>
  <c r="Z796"/>
  <c r="Z552"/>
  <c r="Z865"/>
  <c r="Z704"/>
  <c r="Z529"/>
  <c r="Z842"/>
  <c r="Z727"/>
  <c r="X51" i="42"/>
  <c r="Z819" i="30"/>
  <c r="AJ542"/>
  <c r="AJ519"/>
  <c r="AK370"/>
  <c r="AC432" i="44"/>
  <c r="BO68" i="42" s="1"/>
  <c r="AC854" i="44"/>
  <c r="AC872" s="1"/>
  <c r="BO262" i="42" s="1"/>
  <c r="AC541" i="44"/>
  <c r="AC716"/>
  <c r="AC734" s="1"/>
  <c r="AC785"/>
  <c r="AC803" s="1"/>
  <c r="BO259" i="42" s="1"/>
  <c r="AD369" i="44"/>
  <c r="AC693"/>
  <c r="AC739"/>
  <c r="AC757" s="1"/>
  <c r="AC808"/>
  <c r="AC826" s="1"/>
  <c r="BO260" i="42" s="1"/>
  <c r="BO40"/>
  <c r="AC831" i="44"/>
  <c r="AC849" s="1"/>
  <c r="BO261" i="42" s="1"/>
  <c r="AC518" i="44"/>
  <c r="AC392"/>
  <c r="AC434" s="1"/>
  <c r="BO73" i="42" s="1"/>
  <c r="AC414" i="44" a="1"/>
  <c r="AC414" s="1"/>
  <c r="AC387"/>
  <c r="AC410" s="1"/>
  <c r="AC415" a="1"/>
  <c r="AC415" s="1"/>
  <c r="AC417" a="1"/>
  <c r="AC417" s="1"/>
  <c r="AC413" a="1"/>
  <c r="AC413" s="1"/>
  <c r="AC416" a="1"/>
  <c r="AC416" s="1"/>
  <c r="AQ532" i="30"/>
  <c r="AQ555"/>
  <c r="AR383"/>
  <c r="AQ384"/>
  <c r="AP556"/>
  <c r="AP533"/>
  <c r="AB957" i="44"/>
  <c r="AB767"/>
  <c r="BO117" i="42"/>
  <c r="AC592" i="44"/>
  <c r="AA339" i="30"/>
  <c r="AA380" s="1"/>
  <c r="Z340" i="44"/>
  <c r="Z369" s="1"/>
  <c r="AA117" i="42"/>
  <c r="AC592" i="30"/>
  <c r="AB339" i="44"/>
  <c r="AB380" s="1"/>
  <c r="AB403" s="1"/>
  <c r="AL373" i="30"/>
  <c r="AK522"/>
  <c r="AK545"/>
  <c r="AN381"/>
  <c r="AM553"/>
  <c r="AM530"/>
  <c r="BO231" i="42"/>
  <c r="AC938" i="44"/>
  <c r="CV298" i="42" s="1"/>
  <c r="AO372" i="30"/>
  <c r="AN521"/>
  <c r="AN544"/>
  <c r="AW377"/>
  <c r="AV549"/>
  <c r="AV526"/>
  <c r="Y418"/>
  <c r="Y424" s="1"/>
  <c r="S48" i="33" s="1"/>
  <c r="Y952" i="30"/>
  <c r="Y762"/>
  <c r="Y924" s="1"/>
  <c r="W291" i="42" s="1"/>
  <c r="Y711" i="30"/>
  <c r="Y970" s="1"/>
  <c r="W130" i="42" s="1"/>
  <c r="AS379" i="30"/>
  <c r="AR528"/>
  <c r="AR551"/>
  <c r="AQ372" i="44"/>
  <c r="AP544"/>
  <c r="AP521"/>
  <c r="AD552"/>
  <c r="AD529"/>
  <c r="AE380"/>
  <c r="AC930" i="30"/>
  <c r="AA298" i="42" s="1"/>
  <c r="AC938" i="30"/>
  <c r="CV291" i="42" s="1"/>
  <c r="AA231"/>
  <c r="X963" i="30"/>
  <c r="X773"/>
  <c r="V237" i="42" s="1"/>
  <c r="AA762" i="44"/>
  <c r="AA952"/>
  <c r="AA711"/>
  <c r="AA970" s="1"/>
  <c r="BM130" i="42" s="1"/>
  <c r="AW527" i="44"/>
  <c r="AW550"/>
  <c r="AG382" i="30"/>
  <c r="AF554"/>
  <c r="AF531"/>
  <c r="AK568" i="44"/>
  <c r="AC361" i="30"/>
  <c r="AS572"/>
  <c r="X362"/>
  <c r="X364" s="1"/>
  <c r="R33" i="33" s="1"/>
  <c r="AW568" i="44"/>
  <c r="AP579"/>
  <c r="AE576"/>
  <c r="AU573"/>
  <c r="AC574"/>
  <c r="AC598" s="1"/>
  <c r="CA129" i="33" l="1"/>
  <c r="O36"/>
  <c r="BY128"/>
  <c r="BY137" s="1"/>
  <c r="Q36"/>
  <c r="CA128"/>
  <c r="AA434" i="30"/>
  <c r="Y73" i="42" s="1"/>
  <c r="AA442" i="30"/>
  <c r="CU73" i="42" s="1"/>
  <c r="Z434" i="30"/>
  <c r="X73" i="42" s="1"/>
  <c r="Z442" i="30"/>
  <c r="CT73" i="42" s="1"/>
  <c r="Z940" i="30"/>
  <c r="CS293" i="42" s="1"/>
  <c r="AA931" i="30"/>
  <c r="Y299" i="42" s="1"/>
  <c r="AA932" i="30"/>
  <c r="Y300" i="42" s="1"/>
  <c r="AP562" i="44"/>
  <c r="AN562"/>
  <c r="AA934" i="30"/>
  <c r="Y302" i="42" s="1"/>
  <c r="Z931" i="30"/>
  <c r="X299" i="42" s="1"/>
  <c r="AQ562" i="44"/>
  <c r="AI562"/>
  <c r="AU562"/>
  <c r="AK562"/>
  <c r="AF562"/>
  <c r="AB562"/>
  <c r="BE562" s="1"/>
  <c r="AR562"/>
  <c r="AM562"/>
  <c r="AD562"/>
  <c r="AE576" i="30"/>
  <c r="Z942"/>
  <c r="CS295" i="42" s="1"/>
  <c r="Z767" i="30"/>
  <c r="Z930" s="1"/>
  <c r="X298" i="42" s="1"/>
  <c r="AA957" i="30"/>
  <c r="AA669" s="1"/>
  <c r="Y189" i="42" s="1"/>
  <c r="BL225"/>
  <c r="W112"/>
  <c r="Z933" i="30"/>
  <c r="X301" i="42" s="1"/>
  <c r="AA941" i="30"/>
  <c r="CT294" i="42" s="1"/>
  <c r="Z586" i="44"/>
  <c r="AB761"/>
  <c r="BN225" i="42" s="1"/>
  <c r="AI562" i="30"/>
  <c r="AL562"/>
  <c r="AK562"/>
  <c r="AU562"/>
  <c r="AH562"/>
  <c r="AP562"/>
  <c r="AE562"/>
  <c r="AA951"/>
  <c r="AA664" s="1"/>
  <c r="Y180" i="42" s="1"/>
  <c r="AA761" i="30"/>
  <c r="Y225" i="42" s="1"/>
  <c r="AJ546" i="30"/>
  <c r="AJ523"/>
  <c r="AI523"/>
  <c r="AI546"/>
  <c r="AR546"/>
  <c r="AR523"/>
  <c r="AF546"/>
  <c r="AF523"/>
  <c r="AG546"/>
  <c r="AG523"/>
  <c r="AN523"/>
  <c r="AN546"/>
  <c r="AL546"/>
  <c r="AL523"/>
  <c r="AD546"/>
  <c r="AD523"/>
  <c r="Z761"/>
  <c r="X225" i="42" s="1"/>
  <c r="Z951" i="30"/>
  <c r="AK546"/>
  <c r="AK523"/>
  <c r="AD951"/>
  <c r="AC664"/>
  <c r="AA180" i="42" s="1"/>
  <c r="AU523" i="30"/>
  <c r="AU546"/>
  <c r="AS546"/>
  <c r="AS523"/>
  <c r="AC586"/>
  <c r="AA111" i="42"/>
  <c r="AW546" i="30"/>
  <c r="AW523"/>
  <c r="AP546"/>
  <c r="AP523"/>
  <c r="AM523"/>
  <c r="AM546"/>
  <c r="AQ562"/>
  <c r="AR562"/>
  <c r="AG562"/>
  <c r="AO562"/>
  <c r="AD562"/>
  <c r="AV562"/>
  <c r="AT562"/>
  <c r="AA662"/>
  <c r="Y178" i="42" s="1"/>
  <c r="AA562" i="30"/>
  <c r="AQ546"/>
  <c r="AQ523"/>
  <c r="AO523"/>
  <c r="AO546"/>
  <c r="AV546"/>
  <c r="AV523"/>
  <c r="Z562"/>
  <c r="Z662"/>
  <c r="X178" i="42" s="1"/>
  <c r="AT546" i="30"/>
  <c r="AT523"/>
  <c r="AH523"/>
  <c r="AH546"/>
  <c r="AE523"/>
  <c r="AE546"/>
  <c r="AW562"/>
  <c r="AM562"/>
  <c r="BE951" i="44"/>
  <c r="AA682" i="30"/>
  <c r="CT180" i="42" s="1"/>
  <c r="Z682" i="30"/>
  <c r="CS180" i="42" s="1"/>
  <c r="Z669" i="30"/>
  <c r="X189" i="42" s="1"/>
  <c r="AE951" i="44"/>
  <c r="AF951" s="1"/>
  <c r="AG951" s="1"/>
  <c r="AH951" s="1"/>
  <c r="AI951" s="1"/>
  <c r="AJ951" s="1"/>
  <c r="AK951" s="1"/>
  <c r="AL951" s="1"/>
  <c r="AM951" s="1"/>
  <c r="AN951" s="1"/>
  <c r="AO951" s="1"/>
  <c r="AP951" s="1"/>
  <c r="AQ951" s="1"/>
  <c r="AR951" s="1"/>
  <c r="AS951" s="1"/>
  <c r="AT951" s="1"/>
  <c r="AU951" s="1"/>
  <c r="AV951" s="1"/>
  <c r="AW951" s="1"/>
  <c r="Q94" i="33"/>
  <c r="V35"/>
  <c r="Y587" i="30"/>
  <c r="BE568"/>
  <c r="AA422" i="44"/>
  <c r="U105" i="33" s="1"/>
  <c r="AA581" i="44"/>
  <c r="AA582" s="1"/>
  <c r="AA606" s="1"/>
  <c r="BM133" i="42" s="1"/>
  <c r="AO579" i="30"/>
  <c r="X849"/>
  <c r="V261" i="42" s="1"/>
  <c r="X927" i="30"/>
  <c r="V294" i="42" s="1"/>
  <c r="X803" i="30"/>
  <c r="V259" i="42" s="1"/>
  <c r="X925" i="30"/>
  <c r="V292" i="42" s="1"/>
  <c r="X826" i="30"/>
  <c r="V260" i="42" s="1"/>
  <c r="X926" i="30"/>
  <c r="V293" i="42" s="1"/>
  <c r="X872" i="30"/>
  <c r="V262" i="42" s="1"/>
  <c r="X928" i="30"/>
  <c r="V295" i="42" s="1"/>
  <c r="AA423" i="44"/>
  <c r="U106" i="33" s="1"/>
  <c r="AA587" i="44"/>
  <c r="BE957"/>
  <c r="AB682"/>
  <c r="CU189" i="42" s="1"/>
  <c r="AA424" i="44"/>
  <c r="U107" i="33" s="1"/>
  <c r="AA592" i="30"/>
  <c r="AK564" i="44"/>
  <c r="AQ579"/>
  <c r="AO575"/>
  <c r="X563" i="30"/>
  <c r="X587" s="1"/>
  <c r="Z592"/>
  <c r="AC563" i="44"/>
  <c r="BO112" i="42" s="1"/>
  <c r="AC574" i="30"/>
  <c r="AA123" i="42" s="1"/>
  <c r="BN117"/>
  <c r="AB592" i="44"/>
  <c r="Y425" i="30"/>
  <c r="S49" i="33" s="1"/>
  <c r="BA568" i="44"/>
  <c r="BC568" s="1"/>
  <c r="Y421" i="30"/>
  <c r="S45" i="33" s="1"/>
  <c r="AV571" i="30"/>
  <c r="AN566"/>
  <c r="AM575"/>
  <c r="AK567"/>
  <c r="AB361" i="44"/>
  <c r="AB340" s="1"/>
  <c r="AB369" s="1"/>
  <c r="AP578" i="30"/>
  <c r="AC340"/>
  <c r="AC369" s="1"/>
  <c r="AE529" i="44"/>
  <c r="AF380"/>
  <c r="AE552"/>
  <c r="AS528" i="30"/>
  <c r="AT379"/>
  <c r="AS551"/>
  <c r="W226" i="42"/>
  <c r="Y780" i="30"/>
  <c r="S50" i="33" s="1"/>
  <c r="S55" s="1"/>
  <c r="BO123" i="42"/>
  <c r="AG531" i="30"/>
  <c r="AH382"/>
  <c r="AG554"/>
  <c r="AQ544" i="44"/>
  <c r="AQ521"/>
  <c r="AR372"/>
  <c r="AP372" i="30"/>
  <c r="AO521"/>
  <c r="AO544"/>
  <c r="AM373"/>
  <c r="AL545"/>
  <c r="AL522"/>
  <c r="AB552" i="44"/>
  <c r="AB842"/>
  <c r="AB727"/>
  <c r="AB865"/>
  <c r="AB750"/>
  <c r="BN51" i="42"/>
  <c r="AB796" i="44"/>
  <c r="AB704"/>
  <c r="AB529"/>
  <c r="AB819"/>
  <c r="AR532" i="30"/>
  <c r="AR555"/>
  <c r="AS383"/>
  <c r="AC418" i="44"/>
  <c r="AC421" s="1"/>
  <c r="W104" i="33" s="1"/>
  <c r="Z132" i="42"/>
  <c r="V52" i="33"/>
  <c r="AD529" i="30"/>
  <c r="AE380"/>
  <c r="AD552"/>
  <c r="AC773"/>
  <c r="AA237" i="42" s="1"/>
  <c r="AC963" i="30"/>
  <c r="AE957"/>
  <c r="AF957" s="1"/>
  <c r="AG957" s="1"/>
  <c r="AH957" s="1"/>
  <c r="AI957" s="1"/>
  <c r="AJ957" s="1"/>
  <c r="AK957" s="1"/>
  <c r="AL957" s="1"/>
  <c r="AM957" s="1"/>
  <c r="AN957" s="1"/>
  <c r="AO957" s="1"/>
  <c r="AP957" s="1"/>
  <c r="AQ957" s="1"/>
  <c r="AR957" s="1"/>
  <c r="AS957" s="1"/>
  <c r="AT957" s="1"/>
  <c r="AU957" s="1"/>
  <c r="AV957" s="1"/>
  <c r="AW957" s="1"/>
  <c r="AD963" i="44"/>
  <c r="AW528"/>
  <c r="AW551"/>
  <c r="AG554"/>
  <c r="AG531"/>
  <c r="AH382"/>
  <c r="X418" i="30"/>
  <c r="X421" s="1"/>
  <c r="R45" i="33" s="1"/>
  <c r="AN522" i="44"/>
  <c r="AN545"/>
  <c r="AO373"/>
  <c r="AF576" i="30"/>
  <c r="AW572" i="44"/>
  <c r="BA572" s="1"/>
  <c r="BC572" s="1"/>
  <c r="AD574"/>
  <c r="AP566"/>
  <c r="AR573" i="30"/>
  <c r="Z362" i="44"/>
  <c r="Z364" s="1"/>
  <c r="T92" i="33" s="1"/>
  <c r="AA361" i="30"/>
  <c r="AQ577"/>
  <c r="AJ564"/>
  <c r="Z574"/>
  <c r="X123" i="42" s="1"/>
  <c r="AR578" i="44"/>
  <c r="AT577"/>
  <c r="AT572" i="30"/>
  <c r="AA425" i="44"/>
  <c r="U108" i="33" s="1"/>
  <c r="Y422" i="30"/>
  <c r="S46" i="33" s="1"/>
  <c r="Y423" i="30"/>
  <c r="S47" i="33" s="1"/>
  <c r="AV573" i="44"/>
  <c r="AF576"/>
  <c r="BA965" i="30"/>
  <c r="BC965" s="1"/>
  <c r="BA965" i="44"/>
  <c r="BC965" s="1"/>
  <c r="Z362" i="30"/>
  <c r="Z364" s="1"/>
  <c r="T33" i="33" s="1"/>
  <c r="AM567" i="44"/>
  <c r="BM226" i="42"/>
  <c r="AA780" i="44"/>
  <c r="U109" i="33" s="1"/>
  <c r="AW526" i="30"/>
  <c r="AW549"/>
  <c r="AN530"/>
  <c r="AN553"/>
  <c r="AO381"/>
  <c r="Z432" i="44"/>
  <c r="BL68" i="42" s="1"/>
  <c r="Z541" i="44"/>
  <c r="Z739"/>
  <c r="Z757" s="1"/>
  <c r="Z518"/>
  <c r="Z831"/>
  <c r="Z849" s="1"/>
  <c r="BL261" i="42" s="1"/>
  <c r="BL40"/>
  <c r="Z854" i="44"/>
  <c r="Z872" s="1"/>
  <c r="BL262" i="42" s="1"/>
  <c r="Z693" i="44"/>
  <c r="Z716"/>
  <c r="Z734" s="1"/>
  <c r="Z808"/>
  <c r="Z826" s="1"/>
  <c r="BL260" i="42" s="1"/>
  <c r="Z785" i="44"/>
  <c r="Z803" s="1"/>
  <c r="BL259" i="42" s="1"/>
  <c r="Z392" i="44"/>
  <c r="Z434" s="1"/>
  <c r="BL73" i="42" s="1"/>
  <c r="Z415" i="44" a="1"/>
  <c r="Z415" s="1"/>
  <c r="Z413" a="1"/>
  <c r="Z413" s="1"/>
  <c r="Z417" a="1"/>
  <c r="Z417" s="1"/>
  <c r="Z387"/>
  <c r="Z410" s="1"/>
  <c r="Z416" a="1"/>
  <c r="Z416" s="1"/>
  <c r="Z414" a="1"/>
  <c r="Z414" s="1"/>
  <c r="AA842" i="30"/>
  <c r="AA727"/>
  <c r="AA598"/>
  <c r="AA819"/>
  <c r="AA704"/>
  <c r="AA529"/>
  <c r="Y51" i="42"/>
  <c r="AA796" i="30"/>
  <c r="AA552"/>
  <c r="AA865"/>
  <c r="AA750"/>
  <c r="AB938" i="44"/>
  <c r="CU298" i="42" s="1"/>
  <c r="BN231"/>
  <c r="AQ533" i="30"/>
  <c r="AQ556"/>
  <c r="AR384"/>
  <c r="AC952" i="44"/>
  <c r="AC762"/>
  <c r="AC711"/>
  <c r="AC970" s="1"/>
  <c r="AE369"/>
  <c r="AD541"/>
  <c r="AD518"/>
  <c r="AD387"/>
  <c r="AK542" i="30"/>
  <c r="AK519"/>
  <c r="AL370"/>
  <c r="Z963"/>
  <c r="Z773"/>
  <c r="X237" i="42" s="1"/>
  <c r="AS533" i="44"/>
  <c r="AS556"/>
  <c r="AT384"/>
  <c r="AQ385" i="30"/>
  <c r="AP534"/>
  <c r="AP557"/>
  <c r="AU532" i="44"/>
  <c r="AU555"/>
  <c r="AV383"/>
  <c r="AV378" i="30"/>
  <c r="AU527"/>
  <c r="AU550"/>
  <c r="AM370" i="44"/>
  <c r="AL519"/>
  <c r="AL542"/>
  <c r="Y582" i="30"/>
  <c r="Y606" s="1"/>
  <c r="W133" i="42" s="1"/>
  <c r="Y605" i="30"/>
  <c r="S51" i="33"/>
  <c r="AR557" i="44"/>
  <c r="AS385"/>
  <c r="AR534"/>
  <c r="AE957"/>
  <c r="AF957" s="1"/>
  <c r="AG957" s="1"/>
  <c r="AH957" s="1"/>
  <c r="AI957" s="1"/>
  <c r="AJ957" s="1"/>
  <c r="AK957" s="1"/>
  <c r="AL957" s="1"/>
  <c r="AM957" s="1"/>
  <c r="AN957" s="1"/>
  <c r="AO957" s="1"/>
  <c r="AP957" s="1"/>
  <c r="AQ957" s="1"/>
  <c r="AR957" s="1"/>
  <c r="AS957" s="1"/>
  <c r="AT957" s="1"/>
  <c r="AU957" s="1"/>
  <c r="AV957" s="1"/>
  <c r="AW957" s="1"/>
  <c r="AP553"/>
  <c r="AQ381"/>
  <c r="AP530"/>
  <c r="X952" i="30"/>
  <c r="X762"/>
  <c r="X924" s="1"/>
  <c r="V291" i="42" s="1"/>
  <c r="X711" i="30"/>
  <c r="X970" s="1"/>
  <c r="V130" i="42" s="1"/>
  <c r="Z693" i="30"/>
  <c r="Z785"/>
  <c r="Z518"/>
  <c r="X40" i="42"/>
  <c r="Z854" i="30"/>
  <c r="Z716"/>
  <c r="Z734" s="1"/>
  <c r="Z541"/>
  <c r="Z739"/>
  <c r="Z757" s="1"/>
  <c r="Z831"/>
  <c r="Z808"/>
  <c r="Z392"/>
  <c r="Z416" a="1"/>
  <c r="Z416" s="1"/>
  <c r="Z417" a="1"/>
  <c r="Z417" s="1"/>
  <c r="Z415" a="1"/>
  <c r="Z415" s="1"/>
  <c r="Z387"/>
  <c r="Z410" s="1"/>
  <c r="Z413" a="1"/>
  <c r="Z413" s="1"/>
  <c r="Z414" a="1"/>
  <c r="Z414" s="1"/>
  <c r="AA930"/>
  <c r="Y298" i="42" s="1"/>
  <c r="Y231"/>
  <c r="AA938" i="30"/>
  <c r="CT291" i="42" s="1"/>
  <c r="CA137" i="33" l="1"/>
  <c r="V36"/>
  <c r="CF128"/>
  <c r="U95"/>
  <c r="CE70"/>
  <c r="AR579" i="44"/>
  <c r="Z938" i="30"/>
  <c r="CS291" i="42" s="1"/>
  <c r="BN111"/>
  <c r="BA562" i="44"/>
  <c r="BC562" s="1"/>
  <c r="X231" i="42"/>
  <c r="AB586" i="44"/>
  <c r="BE957" i="30"/>
  <c r="AB924" i="44"/>
  <c r="BN291" i="42" s="1"/>
  <c r="AC587" i="44"/>
  <c r="AN568" i="30"/>
  <c r="AI568"/>
  <c r="Z563" i="44"/>
  <c r="Z587" s="1"/>
  <c r="AO568" i="30"/>
  <c r="AP568"/>
  <c r="AW568"/>
  <c r="AS568"/>
  <c r="AT568"/>
  <c r="AU568"/>
  <c r="AA586"/>
  <c r="Y111" i="42"/>
  <c r="AE951" i="30"/>
  <c r="AF951" s="1"/>
  <c r="AG951" s="1"/>
  <c r="AH951" s="1"/>
  <c r="AI951" s="1"/>
  <c r="AJ951" s="1"/>
  <c r="AK951" s="1"/>
  <c r="AL951" s="1"/>
  <c r="AM951" s="1"/>
  <c r="AN951" s="1"/>
  <c r="AO951" s="1"/>
  <c r="AP951" s="1"/>
  <c r="AQ951" s="1"/>
  <c r="AR951" s="1"/>
  <c r="AS951" s="1"/>
  <c r="AT951" s="1"/>
  <c r="AU951" s="1"/>
  <c r="AV951" s="1"/>
  <c r="AW951" s="1"/>
  <c r="AV568"/>
  <c r="AQ568"/>
  <c r="BA562"/>
  <c r="BC562" s="1"/>
  <c r="AM568"/>
  <c r="Z586"/>
  <c r="BE562"/>
  <c r="X111" i="42"/>
  <c r="Z664" i="30"/>
  <c r="X180" i="42" s="1"/>
  <c r="BE951" i="30"/>
  <c r="AE568"/>
  <c r="AH568"/>
  <c r="AK568"/>
  <c r="AD568"/>
  <c r="AL568"/>
  <c r="AG568"/>
  <c r="AF568"/>
  <c r="AR568"/>
  <c r="AJ568"/>
  <c r="BA951" i="44"/>
  <c r="BC951" s="1"/>
  <c r="X424" i="30"/>
  <c r="R48" i="33" s="1"/>
  <c r="U110"/>
  <c r="U96"/>
  <c r="U114"/>
  <c r="X422" i="30"/>
  <c r="R46" i="33" s="1"/>
  <c r="AA605" i="44"/>
  <c r="U111" i="33" s="1"/>
  <c r="CE129" s="1"/>
  <c r="AP575" i="44"/>
  <c r="X425" i="30"/>
  <c r="R49" i="33" s="1"/>
  <c r="AC424" i="44"/>
  <c r="W107" i="33" s="1"/>
  <c r="X581" i="30"/>
  <c r="X582" s="1"/>
  <c r="X606" s="1"/>
  <c r="V133" i="42" s="1"/>
  <c r="S35" i="33"/>
  <c r="Z826" i="30"/>
  <c r="X260" i="42" s="1"/>
  <c r="Z926" i="30"/>
  <c r="X293" i="42" s="1"/>
  <c r="Z803" i="30"/>
  <c r="X259" i="42" s="1"/>
  <c r="Z925" i="30"/>
  <c r="X292" i="42" s="1"/>
  <c r="Z849" i="30"/>
  <c r="X261" i="42" s="1"/>
  <c r="Z927" i="30"/>
  <c r="X294" i="42" s="1"/>
  <c r="Z872" i="30"/>
  <c r="X262" i="42" s="1"/>
  <c r="Z928" i="30"/>
  <c r="X295" i="42" s="1"/>
  <c r="AC425" i="44"/>
  <c r="W108" i="33" s="1"/>
  <c r="V112" i="42"/>
  <c r="AC423" i="44"/>
  <c r="W106" i="33" s="1"/>
  <c r="AC581" i="44"/>
  <c r="W110" i="33" s="1"/>
  <c r="X423" i="30"/>
  <c r="R47" i="33" s="1"/>
  <c r="AC422" i="44"/>
  <c r="W105" i="33" s="1"/>
  <c r="AL564" i="44"/>
  <c r="AD563"/>
  <c r="AD581" s="1"/>
  <c r="AQ578" i="30"/>
  <c r="AA574"/>
  <c r="Y123" i="42" s="1"/>
  <c r="AR577" i="30"/>
  <c r="AB574" i="44"/>
  <c r="AL567" i="30"/>
  <c r="AO566"/>
  <c r="AC362"/>
  <c r="AC364" s="1"/>
  <c r="W33" i="33" s="1"/>
  <c r="AG576" i="44"/>
  <c r="Z418" i="30"/>
  <c r="Z421" s="1"/>
  <c r="T45" i="33" s="1"/>
  <c r="Z952" i="30"/>
  <c r="Z762"/>
  <c r="Z924" s="1"/>
  <c r="X291" i="42" s="1"/>
  <c r="Z711" i="30"/>
  <c r="Z970" s="1"/>
  <c r="X130" i="42" s="1"/>
  <c r="V226"/>
  <c r="X780" i="30"/>
  <c r="R50" i="33" s="1"/>
  <c r="R55" s="1"/>
  <c r="X605" i="30"/>
  <c r="AT385" i="44"/>
  <c r="AS534"/>
  <c r="AS557"/>
  <c r="BM132" i="42"/>
  <c r="AV527" i="30"/>
  <c r="AW378"/>
  <c r="AV550"/>
  <c r="AQ557"/>
  <c r="AR385"/>
  <c r="AQ534"/>
  <c r="AQ579" s="1"/>
  <c r="AL519"/>
  <c r="AM370"/>
  <c r="AL542"/>
  <c r="AF369" i="44"/>
  <c r="AE541"/>
  <c r="AE518"/>
  <c r="AE387"/>
  <c r="BO226" i="42"/>
  <c r="AC780" i="44"/>
  <c r="W109" i="33" s="1"/>
  <c r="AR556" i="30"/>
  <c r="AS384"/>
  <c r="AR533"/>
  <c r="AR578" s="1"/>
  <c r="Z418" i="44"/>
  <c r="Z421" s="1"/>
  <c r="T104" i="33" s="1"/>
  <c r="Z952" i="44"/>
  <c r="Z762"/>
  <c r="Z711"/>
  <c r="Z970" s="1"/>
  <c r="BL130" i="42" s="1"/>
  <c r="AB716" i="44"/>
  <c r="AB734" s="1"/>
  <c r="BN40" i="42"/>
  <c r="AB808" i="44"/>
  <c r="AB826" s="1"/>
  <c r="BN260" i="42" s="1"/>
  <c r="AB693" i="44"/>
  <c r="AB541"/>
  <c r="AB432"/>
  <c r="BN68" i="42" s="1"/>
  <c r="AB739" i="44"/>
  <c r="AB757" s="1"/>
  <c r="AB831"/>
  <c r="AB849" s="1"/>
  <c r="BN261" i="42" s="1"/>
  <c r="AB854" i="44"/>
  <c r="AB872" s="1"/>
  <c r="BN262" i="42" s="1"/>
  <c r="AB518" i="44"/>
  <c r="AB785"/>
  <c r="AB803" s="1"/>
  <c r="BN259" i="42" s="1"/>
  <c r="AB392" i="44"/>
  <c r="AB434" s="1"/>
  <c r="BN73" i="42" s="1"/>
  <c r="AB416" i="44" a="1"/>
  <c r="AB416" s="1"/>
  <c r="AB414" a="1"/>
  <c r="AB414" s="1"/>
  <c r="AB413" a="1"/>
  <c r="AB413" s="1"/>
  <c r="AB415" a="1"/>
  <c r="AB415" s="1"/>
  <c r="AB387"/>
  <c r="AB410" s="1"/>
  <c r="AB417" a="1"/>
  <c r="AB417" s="1"/>
  <c r="AA340" i="30"/>
  <c r="AA369" s="1"/>
  <c r="AE963" i="44"/>
  <c r="AF963" s="1"/>
  <c r="AG963" s="1"/>
  <c r="AH963" s="1"/>
  <c r="AI963" s="1"/>
  <c r="AJ963" s="1"/>
  <c r="AK963" s="1"/>
  <c r="AL963" s="1"/>
  <c r="AM963" s="1"/>
  <c r="AN963" s="1"/>
  <c r="AO963" s="1"/>
  <c r="AP963" s="1"/>
  <c r="AQ963" s="1"/>
  <c r="AR963" s="1"/>
  <c r="AS963" s="1"/>
  <c r="AT963" s="1"/>
  <c r="AU963" s="1"/>
  <c r="AV963" s="1"/>
  <c r="AW963" s="1"/>
  <c r="AE552" i="30"/>
  <c r="AE529"/>
  <c r="AF380"/>
  <c r="AS555"/>
  <c r="AT383"/>
  <c r="AS532"/>
  <c r="AS577" s="1"/>
  <c r="AN373"/>
  <c r="AM522"/>
  <c r="AM545"/>
  <c r="AS372" i="44"/>
  <c r="AR521"/>
  <c r="AR544"/>
  <c r="AH554" i="30"/>
  <c r="AH531"/>
  <c r="AI382"/>
  <c r="AU379"/>
  <c r="AT551"/>
  <c r="AT528"/>
  <c r="AC785"/>
  <c r="AC693"/>
  <c r="AC739"/>
  <c r="AC757" s="1"/>
  <c r="AC541"/>
  <c r="AC518"/>
  <c r="AC831"/>
  <c r="AC716"/>
  <c r="AC734" s="1"/>
  <c r="AD369"/>
  <c r="AC808"/>
  <c r="AC854"/>
  <c r="AA40" i="42"/>
  <c r="AC392" i="30"/>
  <c r="AC417" a="1"/>
  <c r="AC417" s="1"/>
  <c r="AC413" a="1"/>
  <c r="AC413" s="1"/>
  <c r="AC415" a="1"/>
  <c r="AC415" s="1"/>
  <c r="AC414" a="1"/>
  <c r="AC414" s="1"/>
  <c r="AC387"/>
  <c r="AC410" s="1"/>
  <c r="AC416" a="1"/>
  <c r="AC416" s="1"/>
  <c r="Z563"/>
  <c r="AE574" i="44"/>
  <c r="AQ530"/>
  <c r="AQ553"/>
  <c r="AR381"/>
  <c r="W132" i="42"/>
  <c r="S52" i="33"/>
  <c r="AN370" i="44"/>
  <c r="AM542"/>
  <c r="AM519"/>
  <c r="AV555"/>
  <c r="AW383"/>
  <c r="AV532"/>
  <c r="AV577" s="1"/>
  <c r="AT556"/>
  <c r="AU384"/>
  <c r="AT533"/>
  <c r="AT578" s="1"/>
  <c r="AD970"/>
  <c r="BO130" i="42"/>
  <c r="AD952" i="44"/>
  <c r="AA773" i="30"/>
  <c r="Y237" i="42" s="1"/>
  <c r="AA963" i="30"/>
  <c r="BE963" s="1"/>
  <c r="BL112" i="42"/>
  <c r="AO530" i="30"/>
  <c r="AP381"/>
  <c r="AO553"/>
  <c r="AO522" i="44"/>
  <c r="AP373"/>
  <c r="AO545"/>
  <c r="AH554"/>
  <c r="AH531"/>
  <c r="AI382"/>
  <c r="AD963" i="30"/>
  <c r="AB963" i="44"/>
  <c r="BE963" s="1"/>
  <c r="AB773"/>
  <c r="BN237" i="42" s="1"/>
  <c r="AP521" i="30"/>
  <c r="AQ372"/>
  <c r="AP544"/>
  <c r="AF529" i="44"/>
  <c r="AG380"/>
  <c r="AF552"/>
  <c r="BA957"/>
  <c r="BC957" s="1"/>
  <c r="AU572" i="30"/>
  <c r="AU577" i="44"/>
  <c r="AP579" i="30"/>
  <c r="AS578" i="44"/>
  <c r="AK564" i="30"/>
  <c r="AB362" i="44"/>
  <c r="AB364" s="1"/>
  <c r="V92" i="33" s="1"/>
  <c r="AN575" i="30"/>
  <c r="AW571"/>
  <c r="BA571" s="1"/>
  <c r="BC571" s="1"/>
  <c r="AN567" i="44"/>
  <c r="AW573"/>
  <c r="BA573" s="1"/>
  <c r="BC573" s="1"/>
  <c r="BA957" i="30"/>
  <c r="BC957" s="1"/>
  <c r="AD574"/>
  <c r="AQ566" i="44"/>
  <c r="AG576" i="30"/>
  <c r="AS573"/>
  <c r="S36" i="33" l="1"/>
  <c r="CC128"/>
  <c r="CC137" s="1"/>
  <c r="W95"/>
  <c r="CG70"/>
  <c r="BN123" i="42"/>
  <c r="AB598" i="44"/>
  <c r="Z581"/>
  <c r="Z582" s="1"/>
  <c r="Z606" s="1"/>
  <c r="BL133" i="42" s="1"/>
  <c r="BA951" i="30"/>
  <c r="BC951" s="1"/>
  <c r="BA568"/>
  <c r="BC568" s="1"/>
  <c r="Z424" i="44"/>
  <c r="T107" i="33" s="1"/>
  <c r="U94"/>
  <c r="W96"/>
  <c r="W114"/>
  <c r="BE574" i="30"/>
  <c r="R51" i="33"/>
  <c r="R35"/>
  <c r="Z425" i="30"/>
  <c r="T49" i="33" s="1"/>
  <c r="Z424" i="30"/>
  <c r="T48" i="33" s="1"/>
  <c r="Z423" i="44"/>
  <c r="T106" i="33" s="1"/>
  <c r="BE574" i="44"/>
  <c r="AC605"/>
  <c r="W111" i="33" s="1"/>
  <c r="CG129" s="1"/>
  <c r="Z423" i="30"/>
  <c r="T47" i="33" s="1"/>
  <c r="AC826" i="30"/>
  <c r="AA260" i="42" s="1"/>
  <c r="AC926" i="30"/>
  <c r="AA293" i="42" s="1"/>
  <c r="AC803" i="30"/>
  <c r="AA259" i="42" s="1"/>
  <c r="AC925" i="30"/>
  <c r="AA292" i="42" s="1"/>
  <c r="AC872" i="30"/>
  <c r="AA262" i="42" s="1"/>
  <c r="AC928" i="30"/>
  <c r="AA295" i="42" s="1"/>
  <c r="AC849" i="30"/>
  <c r="AA261" i="42" s="1"/>
  <c r="AC927" i="30"/>
  <c r="AA294" i="42" s="1"/>
  <c r="Z425" i="44"/>
  <c r="T108" i="33" s="1"/>
  <c r="Z422" i="44"/>
  <c r="T105" i="33" s="1"/>
  <c r="AC582" i="44"/>
  <c r="AC606" s="1"/>
  <c r="BO133" i="42" s="1"/>
  <c r="Z422" i="30"/>
  <c r="T46" i="33" s="1"/>
  <c r="AA362" i="30"/>
  <c r="AA364" s="1"/>
  <c r="U33" i="33" s="1"/>
  <c r="AB563" i="44"/>
  <c r="BN112" i="42" s="1"/>
  <c r="AH576" i="44"/>
  <c r="AQ575"/>
  <c r="AT573" i="30"/>
  <c r="AH576"/>
  <c r="AM567"/>
  <c r="AS579" i="44"/>
  <c r="AG552"/>
  <c r="AG529"/>
  <c r="AH380"/>
  <c r="AI531"/>
  <c r="AJ382"/>
  <c r="AI554"/>
  <c r="AQ373"/>
  <c r="AP522"/>
  <c r="AP545"/>
  <c r="AE952"/>
  <c r="AF952" s="1"/>
  <c r="AG952" s="1"/>
  <c r="AH952" s="1"/>
  <c r="AI952" s="1"/>
  <c r="AJ952" s="1"/>
  <c r="AK952" s="1"/>
  <c r="AL952" s="1"/>
  <c r="AM952" s="1"/>
  <c r="AN952" s="1"/>
  <c r="AO952" s="1"/>
  <c r="AP952" s="1"/>
  <c r="AQ952" s="1"/>
  <c r="AR952" s="1"/>
  <c r="AS952" s="1"/>
  <c r="AT952" s="1"/>
  <c r="AU952" s="1"/>
  <c r="AV952" s="1"/>
  <c r="AW952" s="1"/>
  <c r="AW532"/>
  <c r="AW555"/>
  <c r="AN542"/>
  <c r="AN519"/>
  <c r="AO370"/>
  <c r="X112" i="42"/>
  <c r="Z581" i="30"/>
  <c r="Z587"/>
  <c r="AC418"/>
  <c r="AC421" s="1"/>
  <c r="W45" i="33" s="1"/>
  <c r="AJ382" i="30"/>
  <c r="AI554"/>
  <c r="AI531"/>
  <c r="AN545"/>
  <c r="AN522"/>
  <c r="AO373"/>
  <c r="AT532"/>
  <c r="AT555"/>
  <c r="AU383"/>
  <c r="AA785"/>
  <c r="AA716"/>
  <c r="AA734" s="1"/>
  <c r="AA808"/>
  <c r="Y40" i="42"/>
  <c r="AA518" i="30"/>
  <c r="AA854"/>
  <c r="AA831"/>
  <c r="AA739"/>
  <c r="AA757" s="1"/>
  <c r="AA541"/>
  <c r="AA693"/>
  <c r="AA392"/>
  <c r="AA417" a="1"/>
  <c r="AA417" s="1"/>
  <c r="AA414" a="1"/>
  <c r="AA414" s="1"/>
  <c r="AA413" a="1"/>
  <c r="AA413" s="1"/>
  <c r="AA416" a="1"/>
  <c r="AA416" s="1"/>
  <c r="AA387"/>
  <c r="AA410" s="1"/>
  <c r="AA415" a="1"/>
  <c r="AA415" s="1"/>
  <c r="BL226" i="42"/>
  <c r="Z780" i="44"/>
  <c r="T109" i="33" s="1"/>
  <c r="AG369" i="44"/>
  <c r="AF541"/>
  <c r="AF518"/>
  <c r="AF387"/>
  <c r="AM542" i="30"/>
  <c r="AM519"/>
  <c r="AN370"/>
  <c r="AW527"/>
  <c r="AW550"/>
  <c r="AU385" i="44"/>
  <c r="AT534"/>
  <c r="AT557"/>
  <c r="AP566" i="30"/>
  <c r="AO575"/>
  <c r="AM564" i="44"/>
  <c r="AC424" i="30"/>
  <c r="W48" i="33" s="1"/>
  <c r="AC563" i="30"/>
  <c r="AR566" i="44"/>
  <c r="AE574" i="30"/>
  <c r="BA963" i="44"/>
  <c r="BC963" s="1"/>
  <c r="AE563"/>
  <c r="AQ544" i="30"/>
  <c r="AQ521"/>
  <c r="AR372"/>
  <c r="AE963"/>
  <c r="AF963" s="1"/>
  <c r="AG963" s="1"/>
  <c r="AH963" s="1"/>
  <c r="AI963" s="1"/>
  <c r="AJ963" s="1"/>
  <c r="AK963" s="1"/>
  <c r="AL963" s="1"/>
  <c r="AM963" s="1"/>
  <c r="AN963" s="1"/>
  <c r="AO963" s="1"/>
  <c r="AP963" s="1"/>
  <c r="AQ963" s="1"/>
  <c r="AR963" s="1"/>
  <c r="AS963" s="1"/>
  <c r="AT963" s="1"/>
  <c r="AU963" s="1"/>
  <c r="AV963" s="1"/>
  <c r="AW963" s="1"/>
  <c r="AP553"/>
  <c r="AP530"/>
  <c r="AQ381"/>
  <c r="AE970" i="44"/>
  <c r="AF970" s="1"/>
  <c r="AG970" s="1"/>
  <c r="AH970" s="1"/>
  <c r="AI970" s="1"/>
  <c r="AJ970" s="1"/>
  <c r="AK970" s="1"/>
  <c r="AL970" s="1"/>
  <c r="AM970" s="1"/>
  <c r="AN970" s="1"/>
  <c r="AO970" s="1"/>
  <c r="AP970" s="1"/>
  <c r="AQ970" s="1"/>
  <c r="AR970" s="1"/>
  <c r="AS970" s="1"/>
  <c r="AT970" s="1"/>
  <c r="AU970" s="1"/>
  <c r="AV970" s="1"/>
  <c r="AW970" s="1"/>
  <c r="AU533"/>
  <c r="AU556"/>
  <c r="AV384"/>
  <c r="AR530"/>
  <c r="AR553"/>
  <c r="AS381"/>
  <c r="AD518" i="30"/>
  <c r="AE369"/>
  <c r="AD541"/>
  <c r="AD387"/>
  <c r="AC952"/>
  <c r="AC762"/>
  <c r="AC924" s="1"/>
  <c r="AA291" i="42" s="1"/>
  <c r="AC711" i="30"/>
  <c r="AC970" s="1"/>
  <c r="AU551"/>
  <c r="AU528"/>
  <c r="AV379"/>
  <c r="AS521" i="44"/>
  <c r="AS544"/>
  <c r="AT372"/>
  <c r="AF529" i="30"/>
  <c r="AG380"/>
  <c r="AF552"/>
  <c r="AB418" i="44"/>
  <c r="AB425" s="1"/>
  <c r="V108" i="33" s="1"/>
  <c r="AB762" i="44"/>
  <c r="AB952"/>
  <c r="BE952" s="1"/>
  <c r="AB711"/>
  <c r="AB970" s="1"/>
  <c r="AT384" i="30"/>
  <c r="AS533"/>
  <c r="AS556"/>
  <c r="AR534"/>
  <c r="AR557"/>
  <c r="AS385"/>
  <c r="R52" i="33"/>
  <c r="V132" i="42"/>
  <c r="X226"/>
  <c r="Z780" i="30"/>
  <c r="T50" i="33" s="1"/>
  <c r="T55" s="1"/>
  <c r="AF574" i="44"/>
  <c r="AO567"/>
  <c r="AL564" i="30"/>
  <c r="AV572"/>
  <c r="R36" i="33" l="1"/>
  <c r="CB128"/>
  <c r="CB137" s="1"/>
  <c r="T95"/>
  <c r="CD70"/>
  <c r="BO132" i="42"/>
  <c r="Z605" i="44"/>
  <c r="BL132" i="42" s="1"/>
  <c r="T110" i="33"/>
  <c r="W94"/>
  <c r="T96"/>
  <c r="T114"/>
  <c r="T35"/>
  <c r="AC425" i="30"/>
  <c r="W49" i="33" s="1"/>
  <c r="AA849" i="30"/>
  <c r="Y261" i="42" s="1"/>
  <c r="AA927" i="30"/>
  <c r="Y294" i="42" s="1"/>
  <c r="AA826" i="30"/>
  <c r="Y260" i="42" s="1"/>
  <c r="AA926" i="30"/>
  <c r="Y293" i="42" s="1"/>
  <c r="AA803" i="30"/>
  <c r="Y259" i="42" s="1"/>
  <c r="AA925" i="30"/>
  <c r="Y292" i="42" s="1"/>
  <c r="AA872" i="30"/>
  <c r="Y262" i="42" s="1"/>
  <c r="AA928" i="30"/>
  <c r="Y295" i="42" s="1"/>
  <c r="AC423" i="30"/>
  <c r="W47" i="33" s="1"/>
  <c r="AB424" i="44"/>
  <c r="V107" i="33" s="1"/>
  <c r="AB581" i="44"/>
  <c r="BE581" s="1"/>
  <c r="AC422" i="30"/>
  <c r="W46" i="33" s="1"/>
  <c r="AP575" i="30"/>
  <c r="AW572"/>
  <c r="BA572" s="1"/>
  <c r="BC572" s="1"/>
  <c r="AM564"/>
  <c r="BE563" i="44"/>
  <c r="AB587"/>
  <c r="AP567"/>
  <c r="AG574"/>
  <c r="AR575"/>
  <c r="AT577" i="30"/>
  <c r="AN567"/>
  <c r="AI576"/>
  <c r="AW577" i="44"/>
  <c r="BA577" s="1"/>
  <c r="BC577" s="1"/>
  <c r="E87" i="33"/>
  <c r="AU384" i="30"/>
  <c r="AT533"/>
  <c r="AT556"/>
  <c r="AS557"/>
  <c r="AT385"/>
  <c r="AS534"/>
  <c r="AS579" s="1"/>
  <c r="BN130" i="42"/>
  <c r="BE970" i="44"/>
  <c r="BE582" s="1"/>
  <c r="Q87" i="33" s="1"/>
  <c r="BN226" i="42"/>
  <c r="AB780" i="44"/>
  <c r="V109" i="33" s="1"/>
  <c r="AH380" i="30"/>
  <c r="AG552"/>
  <c r="AG529"/>
  <c r="AT521" i="44"/>
  <c r="AT544"/>
  <c r="AU372"/>
  <c r="AA130" i="42"/>
  <c r="AD970" i="30"/>
  <c r="AD952"/>
  <c r="AV556" i="44"/>
  <c r="AW384"/>
  <c r="AV533"/>
  <c r="AV578" s="1"/>
  <c r="T111" i="33"/>
  <c r="CD129" s="1"/>
  <c r="AQ530" i="30"/>
  <c r="AQ553"/>
  <c r="AR381"/>
  <c r="AE581" i="44"/>
  <c r="AN519" i="30"/>
  <c r="AO370"/>
  <c r="AN542"/>
  <c r="AG518" i="44"/>
  <c r="AH369"/>
  <c r="AG541"/>
  <c r="AG387"/>
  <c r="AA418" i="30"/>
  <c r="AA421" s="1"/>
  <c r="U45" i="33" s="1"/>
  <c r="AO545" i="30"/>
  <c r="AP373"/>
  <c r="AO522"/>
  <c r="AQ545" i="44"/>
  <c r="AR373"/>
  <c r="AQ522"/>
  <c r="AJ531"/>
  <c r="AK382"/>
  <c r="AJ554"/>
  <c r="AH529"/>
  <c r="AI380"/>
  <c r="AH552"/>
  <c r="AR579" i="30"/>
  <c r="AS578"/>
  <c r="AB421" i="44"/>
  <c r="V104" i="33" s="1"/>
  <c r="AS566" i="44"/>
  <c r="AU573" i="30"/>
  <c r="AD563"/>
  <c r="AU578" i="44"/>
  <c r="BA970"/>
  <c r="BC970" s="1"/>
  <c r="BA963" i="30"/>
  <c r="BC963" s="1"/>
  <c r="AQ566"/>
  <c r="AB423" i="44"/>
  <c r="V106" i="33" s="1"/>
  <c r="AT579" i="44"/>
  <c r="AF563"/>
  <c r="AF581" s="1"/>
  <c r="AA425" i="30"/>
  <c r="U49" i="33" s="1"/>
  <c r="AA563" i="30"/>
  <c r="BE563" s="1"/>
  <c r="AN564" i="44"/>
  <c r="BA952"/>
  <c r="BC952" s="1"/>
  <c r="AV551" i="30"/>
  <c r="AV528"/>
  <c r="AW379"/>
  <c r="AA226" i="42"/>
  <c r="AC780" i="30"/>
  <c r="W50" i="33" s="1"/>
  <c r="W55" s="1"/>
  <c r="AF369" i="30"/>
  <c r="AE541"/>
  <c r="AE518"/>
  <c r="AE387"/>
  <c r="AS553" i="44"/>
  <c r="AT381"/>
  <c r="AS530"/>
  <c r="AR544" i="30"/>
  <c r="AS372"/>
  <c r="AR521"/>
  <c r="AA112" i="42"/>
  <c r="AC581" i="30"/>
  <c r="AC587"/>
  <c r="AV385" i="44"/>
  <c r="AU534"/>
  <c r="AU557"/>
  <c r="AA952" i="30"/>
  <c r="BE952" s="1"/>
  <c r="AA762"/>
  <c r="AA924" s="1"/>
  <c r="Y291" i="42" s="1"/>
  <c r="AA711" i="30"/>
  <c r="AA970" s="1"/>
  <c r="Y130" i="42" s="1"/>
  <c r="AU555" i="30"/>
  <c r="AU532"/>
  <c r="AV383"/>
  <c r="AJ531"/>
  <c r="AK382"/>
  <c r="AJ554"/>
  <c r="T51" i="33"/>
  <c r="Z605" i="30"/>
  <c r="Z582"/>
  <c r="Z606" s="1"/>
  <c r="X133" i="42" s="1"/>
  <c r="AO519" i="44"/>
  <c r="AO542"/>
  <c r="AP370"/>
  <c r="AF574" i="30"/>
  <c r="AB422" i="44"/>
  <c r="V105" i="33" s="1"/>
  <c r="AI576" i="44"/>
  <c r="V95" i="33" l="1"/>
  <c r="CF70"/>
  <c r="AB582" i="44"/>
  <c r="AB606" s="1"/>
  <c r="BN133" i="42" s="1"/>
  <c r="AQ567" i="44"/>
  <c r="AS575"/>
  <c r="AO567" i="30"/>
  <c r="AR566"/>
  <c r="T94" i="33"/>
  <c r="V96"/>
  <c r="V114"/>
  <c r="AA423" i="30"/>
  <c r="U47" i="33" s="1"/>
  <c r="W35"/>
  <c r="AA422" i="30"/>
  <c r="U46" i="33" s="1"/>
  <c r="AB605" i="44"/>
  <c r="V111" i="33" s="1"/>
  <c r="AA424" i="30"/>
  <c r="U48" i="33" s="1"/>
  <c r="V110"/>
  <c r="AO564" i="44"/>
  <c r="AU577" i="30"/>
  <c r="AU579" i="44"/>
  <c r="AT566"/>
  <c r="AE563" i="30"/>
  <c r="AE581" s="1"/>
  <c r="AV573"/>
  <c r="AT578"/>
  <c r="AL382"/>
  <c r="AK554"/>
  <c r="AK531"/>
  <c r="AW383"/>
  <c r="AV532"/>
  <c r="AV555"/>
  <c r="Y226" i="42"/>
  <c r="AA780" i="30"/>
  <c r="U50" i="33" s="1"/>
  <c r="U55" s="1"/>
  <c r="AV534" i="44"/>
  <c r="AV557"/>
  <c r="AW385"/>
  <c r="AC582" i="30"/>
  <c r="AC606" s="1"/>
  <c r="AA133" i="42" s="1"/>
  <c r="W51" i="33"/>
  <c r="AC605" i="30"/>
  <c r="AT553" i="44"/>
  <c r="AT530"/>
  <c r="AU381"/>
  <c r="AW528" i="30"/>
  <c r="AW551"/>
  <c r="Y112" i="42"/>
  <c r="AA581" i="30"/>
  <c r="BE581" s="1"/>
  <c r="AA587"/>
  <c r="AJ380" i="44"/>
  <c r="AI552"/>
  <c r="AI529"/>
  <c r="AR522"/>
  <c r="AR545"/>
  <c r="AS373"/>
  <c r="AO542" i="30"/>
  <c r="AO519"/>
  <c r="AP370"/>
  <c r="AR530"/>
  <c r="AR553"/>
  <c r="AS381"/>
  <c r="AW533" i="44"/>
  <c r="AW556"/>
  <c r="AE952" i="30"/>
  <c r="AF952" s="1"/>
  <c r="AG952" s="1"/>
  <c r="AH952" s="1"/>
  <c r="AI952" s="1"/>
  <c r="AJ952" s="1"/>
  <c r="AK952" s="1"/>
  <c r="AL952" s="1"/>
  <c r="AM952" s="1"/>
  <c r="AN952" s="1"/>
  <c r="AO952" s="1"/>
  <c r="AP952" s="1"/>
  <c r="AQ952" s="1"/>
  <c r="AR952" s="1"/>
  <c r="AS952" s="1"/>
  <c r="AT952" s="1"/>
  <c r="AU952" s="1"/>
  <c r="AV952" s="1"/>
  <c r="AW952" s="1"/>
  <c r="AE970"/>
  <c r="AF970" s="1"/>
  <c r="AG970" s="1"/>
  <c r="AH970" s="1"/>
  <c r="AI970" s="1"/>
  <c r="AJ970" s="1"/>
  <c r="AK970" s="1"/>
  <c r="AL970" s="1"/>
  <c r="AM970" s="1"/>
  <c r="AN970" s="1"/>
  <c r="AO970" s="1"/>
  <c r="AP970" s="1"/>
  <c r="AQ970" s="1"/>
  <c r="AR970" s="1"/>
  <c r="AS970" s="1"/>
  <c r="AT970" s="1"/>
  <c r="AU970" s="1"/>
  <c r="AV970" s="1"/>
  <c r="AW970" s="1"/>
  <c r="AI380"/>
  <c r="AH529"/>
  <c r="AH552"/>
  <c r="AU385"/>
  <c r="AT534"/>
  <c r="AT557"/>
  <c r="AU533"/>
  <c r="AU556"/>
  <c r="AV384"/>
  <c r="AJ576" i="44"/>
  <c r="AG563"/>
  <c r="AG581" s="1"/>
  <c r="AQ575" i="30"/>
  <c r="AG574"/>
  <c r="AQ370" i="44"/>
  <c r="AP519"/>
  <c r="AP542"/>
  <c r="T52" i="33"/>
  <c r="X132" i="42"/>
  <c r="AS521" i="30"/>
  <c r="AS544"/>
  <c r="AT372"/>
  <c r="AF518"/>
  <c r="AF541"/>
  <c r="AG369"/>
  <c r="AF387"/>
  <c r="AD581"/>
  <c r="AK531" i="44"/>
  <c r="AK554"/>
  <c r="AL382"/>
  <c r="AQ373" i="30"/>
  <c r="AP522"/>
  <c r="AP545"/>
  <c r="AI369" i="44"/>
  <c r="AH541"/>
  <c r="AH518"/>
  <c r="AH387"/>
  <c r="AU544"/>
  <c r="AV372"/>
  <c r="AU521"/>
  <c r="AJ576" i="30"/>
  <c r="AH574" i="44"/>
  <c r="AN564" i="30"/>
  <c r="BE970"/>
  <c r="CF129" i="33" l="1"/>
  <c r="CF137" s="1"/>
  <c r="T36"/>
  <c r="CD128"/>
  <c r="CD137" s="1"/>
  <c r="V94"/>
  <c r="U35"/>
  <c r="BN132" i="42"/>
  <c r="AH563" i="44"/>
  <c r="AH581" s="1"/>
  <c r="AP567" i="30"/>
  <c r="AK576" i="44"/>
  <c r="AV579"/>
  <c r="AV577" i="30"/>
  <c r="AK576"/>
  <c r="AU566" i="44"/>
  <c r="AF563" i="30"/>
  <c r="AF581" s="1"/>
  <c r="AH574"/>
  <c r="BA970"/>
  <c r="BC970" s="1"/>
  <c r="BA952"/>
  <c r="BC952" s="1"/>
  <c r="AR575"/>
  <c r="AO564"/>
  <c r="AR567" i="44"/>
  <c r="AW573" i="30"/>
  <c r="BA573" s="1"/>
  <c r="BC573" s="1"/>
  <c r="AT575" i="44"/>
  <c r="BE582" i="30"/>
  <c r="Q28" i="33" s="1"/>
  <c r="E28"/>
  <c r="AR370" i="44"/>
  <c r="AQ542"/>
  <c r="AQ519"/>
  <c r="AU534" i="30"/>
  <c r="AU557"/>
  <c r="AV385"/>
  <c r="AS530"/>
  <c r="AT381"/>
  <c r="AS553"/>
  <c r="AS545" i="44"/>
  <c r="AT373"/>
  <c r="AS522"/>
  <c r="AS567" s="1"/>
  <c r="W52" i="33"/>
  <c r="AA132" i="42"/>
  <c r="AW532" i="30"/>
  <c r="AW555"/>
  <c r="AJ369" i="44"/>
  <c r="AI541"/>
  <c r="AI518"/>
  <c r="AI387"/>
  <c r="AL531"/>
  <c r="AM382"/>
  <c r="AL554"/>
  <c r="AH369" i="30"/>
  <c r="AG518"/>
  <c r="AG541"/>
  <c r="AG387"/>
  <c r="AV544" i="44"/>
  <c r="AW372"/>
  <c r="AV521"/>
  <c r="AQ545" i="30"/>
  <c r="AQ522"/>
  <c r="AR373"/>
  <c r="AU372"/>
  <c r="AT521"/>
  <c r="AT544"/>
  <c r="AW384"/>
  <c r="AV533"/>
  <c r="AV556"/>
  <c r="AJ380"/>
  <c r="AI552"/>
  <c r="AI529"/>
  <c r="AP519"/>
  <c r="AP542"/>
  <c r="AQ370"/>
  <c r="AJ529" i="44"/>
  <c r="AJ552"/>
  <c r="AK380"/>
  <c r="U51" i="33"/>
  <c r="AA582" i="30"/>
  <c r="AA606" s="1"/>
  <c r="Y133" i="42" s="1"/>
  <c r="AA605" i="30"/>
  <c r="AU553" i="44"/>
  <c r="AU530"/>
  <c r="AV381"/>
  <c r="AW557"/>
  <c r="AW534"/>
  <c r="AL531" i="30"/>
  <c r="AL554"/>
  <c r="AM382"/>
  <c r="AS566"/>
  <c r="AP564" i="44"/>
  <c r="AU578" i="30"/>
  <c r="AT579"/>
  <c r="AW578" i="44"/>
  <c r="BA578" s="1"/>
  <c r="BC578" s="1"/>
  <c r="AI574"/>
  <c r="W36" i="33" l="1"/>
  <c r="CG128"/>
  <c r="CG137" s="1"/>
  <c r="AV566" i="44"/>
  <c r="AW579"/>
  <c r="BA579" s="1"/>
  <c r="BC579" s="1"/>
  <c r="AJ574"/>
  <c r="AI574" i="30"/>
  <c r="AV578"/>
  <c r="AQ567"/>
  <c r="AU579"/>
  <c r="AV553" i="44"/>
  <c r="AV530"/>
  <c r="AW381"/>
  <c r="AK529"/>
  <c r="AK552"/>
  <c r="AL380"/>
  <c r="AJ552" i="30"/>
  <c r="AK380"/>
  <c r="AJ529"/>
  <c r="AU521"/>
  <c r="AU544"/>
  <c r="AV372"/>
  <c r="AI369"/>
  <c r="AH541"/>
  <c r="AH518"/>
  <c r="AH387"/>
  <c r="AM531" i="44"/>
  <c r="AM554"/>
  <c r="AN382"/>
  <c r="AT522"/>
  <c r="AT545"/>
  <c r="AU373"/>
  <c r="AR542"/>
  <c r="AS370"/>
  <c r="AR519"/>
  <c r="AW577" i="30"/>
  <c r="BA577" s="1"/>
  <c r="BC577" s="1"/>
  <c r="AS575"/>
  <c r="AQ564" i="44"/>
  <c r="AM554" i="30"/>
  <c r="AN382"/>
  <c r="AM531"/>
  <c r="Y132" i="42"/>
  <c r="U52" i="33"/>
  <c r="AR370" i="30"/>
  <c r="AQ542"/>
  <c r="AQ519"/>
  <c r="AW533"/>
  <c r="AW556"/>
  <c r="AR545"/>
  <c r="AR522"/>
  <c r="AS373"/>
  <c r="AW521" i="44"/>
  <c r="AW544"/>
  <c r="AJ541"/>
  <c r="AK369"/>
  <c r="AJ518"/>
  <c r="AJ563" s="1"/>
  <c r="AJ581" s="1"/>
  <c r="AJ387"/>
  <c r="AU381" i="30"/>
  <c r="AT530"/>
  <c r="AT553"/>
  <c r="AV534"/>
  <c r="AV557"/>
  <c r="AW385"/>
  <c r="AL576"/>
  <c r="AU575" i="44"/>
  <c r="AP564" i="30"/>
  <c r="AT566"/>
  <c r="AG563"/>
  <c r="AL576" i="44"/>
  <c r="AI563"/>
  <c r="U36" i="33" l="1"/>
  <c r="CE128"/>
  <c r="CE137" s="1"/>
  <c r="AJ574" i="30"/>
  <c r="AM576"/>
  <c r="AR564" i="44"/>
  <c r="AV579" i="30"/>
  <c r="AT575"/>
  <c r="AW578"/>
  <c r="BA578" s="1"/>
  <c r="BC578" s="1"/>
  <c r="AT567" i="44"/>
  <c r="AU566" i="30"/>
  <c r="AK574" i="44"/>
  <c r="AV575"/>
  <c r="AW557" i="30"/>
  <c r="AW534"/>
  <c r="AI581" i="44"/>
  <c r="AG581" i="30"/>
  <c r="AU530"/>
  <c r="AU553"/>
  <c r="AV381"/>
  <c r="AS370"/>
  <c r="AR519"/>
  <c r="AR542"/>
  <c r="AN554"/>
  <c r="AN531"/>
  <c r="AO382"/>
  <c r="AO382" i="44"/>
  <c r="AN531"/>
  <c r="AN554"/>
  <c r="AI541" i="30"/>
  <c r="AJ369"/>
  <c r="AI518"/>
  <c r="AI563" s="1"/>
  <c r="AI581" s="1"/>
  <c r="AI387"/>
  <c r="AW530" i="44"/>
  <c r="AW553"/>
  <c r="AW566"/>
  <c r="BA566" s="1"/>
  <c r="BC566" s="1"/>
  <c r="AR567" i="30"/>
  <c r="AQ564"/>
  <c r="AM576" i="44"/>
  <c r="AH563" i="30"/>
  <c r="AH581" s="1"/>
  <c r="AL369" i="44"/>
  <c r="AK541"/>
  <c r="AK518"/>
  <c r="AK387"/>
  <c r="AS522" i="30"/>
  <c r="AS545"/>
  <c r="AT373"/>
  <c r="AS542" i="44"/>
  <c r="AS519"/>
  <c r="AT370"/>
  <c r="AU545"/>
  <c r="AU522"/>
  <c r="AV373"/>
  <c r="AW372" i="30"/>
  <c r="AV521"/>
  <c r="AV544"/>
  <c r="AK552"/>
  <c r="AL380"/>
  <c r="AK529"/>
  <c r="AL529" i="44"/>
  <c r="AL552"/>
  <c r="AM380"/>
  <c r="AK574" i="30" l="1"/>
  <c r="AN576"/>
  <c r="AW579"/>
  <c r="BA579" s="1"/>
  <c r="BC579" s="1"/>
  <c r="AV566"/>
  <c r="AS564" i="44"/>
  <c r="AS567" i="30"/>
  <c r="AK563" i="44"/>
  <c r="AK581" s="1"/>
  <c r="AW373"/>
  <c r="AV522"/>
  <c r="AV545"/>
  <c r="AT545" i="30"/>
  <c r="AT522"/>
  <c r="AU373"/>
  <c r="AM552" i="44"/>
  <c r="AN380"/>
  <c r="AM529"/>
  <c r="AM380" i="30"/>
  <c r="AL552"/>
  <c r="AL529"/>
  <c r="AW544"/>
  <c r="AW521"/>
  <c r="AT542" i="44"/>
  <c r="AT519"/>
  <c r="AU370"/>
  <c r="AP382" i="30"/>
  <c r="AO531"/>
  <c r="AO554"/>
  <c r="AV553"/>
  <c r="AV530"/>
  <c r="AW381"/>
  <c r="AL574" i="44"/>
  <c r="AU567"/>
  <c r="AW575"/>
  <c r="BA575" s="1"/>
  <c r="BC575" s="1"/>
  <c r="AN576"/>
  <c r="AR564" i="30"/>
  <c r="AU575"/>
  <c r="AL518" i="44"/>
  <c r="AL541"/>
  <c r="AM369"/>
  <c r="AL387"/>
  <c r="AJ541" i="30"/>
  <c r="AJ518"/>
  <c r="AK369"/>
  <c r="AJ387"/>
  <c r="AO531" i="44"/>
  <c r="AO554"/>
  <c r="AP382"/>
  <c r="AT370" i="30"/>
  <c r="AS542"/>
  <c r="AS519"/>
  <c r="AM574" i="44" l="1"/>
  <c r="AV575" i="30"/>
  <c r="AT564" i="44"/>
  <c r="AW566" i="30"/>
  <c r="BA566" s="1"/>
  <c r="BC566" s="1"/>
  <c r="AL574"/>
  <c r="AV567" i="44"/>
  <c r="AS564" i="30"/>
  <c r="AJ563"/>
  <c r="AJ581" s="1"/>
  <c r="AU370"/>
  <c r="AT542"/>
  <c r="AT519"/>
  <c r="AP554"/>
  <c r="AP531"/>
  <c r="AQ382"/>
  <c r="AP531" i="44"/>
  <c r="AQ382"/>
  <c r="AP554"/>
  <c r="AK518" i="30"/>
  <c r="AL369"/>
  <c r="AK541"/>
  <c r="AK387"/>
  <c r="AN369" i="44"/>
  <c r="AM518"/>
  <c r="AM541"/>
  <c r="AM387"/>
  <c r="AW530" i="30"/>
  <c r="AW553"/>
  <c r="AV370" i="44"/>
  <c r="AU519"/>
  <c r="AU542"/>
  <c r="AW545"/>
  <c r="AW522"/>
  <c r="AO576"/>
  <c r="AL563"/>
  <c r="AL581" s="1"/>
  <c r="AO576" i="30"/>
  <c r="AT567"/>
  <c r="AM552"/>
  <c r="AM529"/>
  <c r="AN380"/>
  <c r="AN552" i="44"/>
  <c r="AN529"/>
  <c r="AO380"/>
  <c r="AU545" i="30"/>
  <c r="AU522"/>
  <c r="AV373"/>
  <c r="AU567" l="1"/>
  <c r="AM574"/>
  <c r="AU564" i="44"/>
  <c r="AM563"/>
  <c r="AM581" s="1"/>
  <c r="AP576" i="30"/>
  <c r="AT564"/>
  <c r="AO552" i="44"/>
  <c r="AP380"/>
  <c r="AO529"/>
  <c r="AV545" i="30"/>
  <c r="AV522"/>
  <c r="AW373"/>
  <c r="AN529"/>
  <c r="AO380"/>
  <c r="AN552"/>
  <c r="AV519" i="44"/>
  <c r="AV542"/>
  <c r="AW370"/>
  <c r="AN518"/>
  <c r="AO369"/>
  <c r="AN541"/>
  <c r="AN387"/>
  <c r="AQ531"/>
  <c r="AQ554"/>
  <c r="AR382"/>
  <c r="AQ554" i="30"/>
  <c r="AR382"/>
  <c r="AQ531"/>
  <c r="AN574" i="44"/>
  <c r="AW567"/>
  <c r="BA567" s="1"/>
  <c r="BC567" s="1"/>
  <c r="AW575" i="30"/>
  <c r="BA575" s="1"/>
  <c r="BC575" s="1"/>
  <c r="AK563"/>
  <c r="AL518"/>
  <c r="AM369"/>
  <c r="AL541"/>
  <c r="AL387"/>
  <c r="AU542"/>
  <c r="AU519"/>
  <c r="AV370"/>
  <c r="AP576" i="44"/>
  <c r="AO574" l="1"/>
  <c r="AQ576" i="30"/>
  <c r="AU564"/>
  <c r="AV564" i="44"/>
  <c r="AN369" i="30"/>
  <c r="AM541"/>
  <c r="AM518"/>
  <c r="AM387"/>
  <c r="AK581"/>
  <c r="AW370"/>
  <c r="AV519"/>
  <c r="AV542"/>
  <c r="AS382"/>
  <c r="AR554"/>
  <c r="AR531"/>
  <c r="AR554" i="44"/>
  <c r="AS382"/>
  <c r="AR531"/>
  <c r="AL563" i="30"/>
  <c r="AL581" s="1"/>
  <c r="AQ576" i="44"/>
  <c r="AN563"/>
  <c r="AN581" s="1"/>
  <c r="AN574" i="30"/>
  <c r="AV567"/>
  <c r="AP369" i="44"/>
  <c r="AO518"/>
  <c r="AO541"/>
  <c r="AO387"/>
  <c r="AW519"/>
  <c r="AW542"/>
  <c r="AO529" i="30"/>
  <c r="AP380"/>
  <c r="AO552"/>
  <c r="AW545"/>
  <c r="AW522"/>
  <c r="AP529" i="44"/>
  <c r="AQ380"/>
  <c r="AP552"/>
  <c r="AR576" l="1"/>
  <c r="AO563"/>
  <c r="AO581" s="1"/>
  <c r="AR576" i="30"/>
  <c r="AV564"/>
  <c r="AQ529" i="44"/>
  <c r="AR380"/>
  <c r="AQ552"/>
  <c r="AP541"/>
  <c r="AQ369"/>
  <c r="AP518"/>
  <c r="AP387"/>
  <c r="AW519" i="30"/>
  <c r="AW542"/>
  <c r="AN541"/>
  <c r="AN518"/>
  <c r="AO369"/>
  <c r="AN387"/>
  <c r="AW567"/>
  <c r="BA567" s="1"/>
  <c r="BC567" s="1"/>
  <c r="AO574"/>
  <c r="AW564" i="44"/>
  <c r="BA564" s="1"/>
  <c r="BC564" s="1"/>
  <c r="AM563" i="30"/>
  <c r="AM581" s="1"/>
  <c r="AP552"/>
  <c r="AQ380"/>
  <c r="AP529"/>
  <c r="AS554" i="44"/>
  <c r="AS531"/>
  <c r="AT382"/>
  <c r="AS531" i="30"/>
  <c r="AT382"/>
  <c r="AS554"/>
  <c r="AP574" i="44"/>
  <c r="AP563" l="1"/>
  <c r="AP581" s="1"/>
  <c r="AP574" i="30"/>
  <c r="AS576" i="44"/>
  <c r="AW564" i="30"/>
  <c r="BA564" s="1"/>
  <c r="BC564" s="1"/>
  <c r="AO541"/>
  <c r="AO518"/>
  <c r="AP369"/>
  <c r="AO387"/>
  <c r="AT531"/>
  <c r="AT554"/>
  <c r="AU382"/>
  <c r="AT554" i="44"/>
  <c r="AT531"/>
  <c r="AU382"/>
  <c r="AR380" i="30"/>
  <c r="AQ552"/>
  <c r="AQ529"/>
  <c r="AQ518" i="44"/>
  <c r="AQ541"/>
  <c r="AR369"/>
  <c r="AQ387"/>
  <c r="AS576" i="30"/>
  <c r="AN563"/>
  <c r="AN581" s="1"/>
  <c r="AQ574" i="44"/>
  <c r="AR552"/>
  <c r="AR529"/>
  <c r="AS380"/>
  <c r="AR574" l="1"/>
  <c r="AQ563"/>
  <c r="AO563" i="30"/>
  <c r="AO581" s="1"/>
  <c r="AU531" i="44"/>
  <c r="AV382"/>
  <c r="AU554"/>
  <c r="AT380"/>
  <c r="AS529"/>
  <c r="AS552"/>
  <c r="AS380" i="30"/>
  <c r="AR552"/>
  <c r="AR529"/>
  <c r="AU531"/>
  <c r="AU554"/>
  <c r="AV382"/>
  <c r="AP518"/>
  <c r="AQ369"/>
  <c r="AP541"/>
  <c r="AP387"/>
  <c r="AQ581" i="44"/>
  <c r="AQ574" i="30"/>
  <c r="AT576" i="44"/>
  <c r="AT576" i="30"/>
  <c r="AR541" i="44"/>
  <c r="AR518"/>
  <c r="AS369"/>
  <c r="AR387"/>
  <c r="AR563" l="1"/>
  <c r="AR581" s="1"/>
  <c r="AU576" i="30"/>
  <c r="AQ541"/>
  <c r="AQ518"/>
  <c r="AR369"/>
  <c r="AQ387"/>
  <c r="AW382"/>
  <c r="AV554"/>
  <c r="AV531"/>
  <c r="AS541" i="44"/>
  <c r="AT369"/>
  <c r="AS518"/>
  <c r="AS387"/>
  <c r="AS552" i="30"/>
  <c r="AS529"/>
  <c r="AT380"/>
  <c r="AP563"/>
  <c r="AP581" s="1"/>
  <c r="AR574"/>
  <c r="AS574" i="44"/>
  <c r="AU576"/>
  <c r="AT529"/>
  <c r="AU380"/>
  <c r="AT552"/>
  <c r="AV531"/>
  <c r="AW382"/>
  <c r="AV554"/>
  <c r="AS563" l="1"/>
  <c r="AS581" s="1"/>
  <c r="AQ563" i="30"/>
  <c r="AQ581" s="1"/>
  <c r="AV380" i="44"/>
  <c r="AU552"/>
  <c r="AU529"/>
  <c r="AT552" i="30"/>
  <c r="AT529"/>
  <c r="AU380"/>
  <c r="AW531" i="44"/>
  <c r="AW554"/>
  <c r="AT518"/>
  <c r="AU369"/>
  <c r="AT541"/>
  <c r="AT387"/>
  <c r="AW531" i="30"/>
  <c r="AW554"/>
  <c r="AR518"/>
  <c r="AS369"/>
  <c r="AR541"/>
  <c r="AR387"/>
  <c r="AV576" i="44"/>
  <c r="AT574"/>
  <c r="AS574" i="30"/>
  <c r="AV576"/>
  <c r="AS541" l="1"/>
  <c r="AS518"/>
  <c r="AT369"/>
  <c r="AS387"/>
  <c r="AV369" i="44"/>
  <c r="AU518"/>
  <c r="AU541"/>
  <c r="AU387"/>
  <c r="AV529"/>
  <c r="AV552"/>
  <c r="AW380"/>
  <c r="AR563" i="30"/>
  <c r="AR581" s="1"/>
  <c r="AW576"/>
  <c r="BA576" s="1"/>
  <c r="BC576" s="1"/>
  <c r="AT563" i="44"/>
  <c r="AT581" s="1"/>
  <c r="AW576"/>
  <c r="BA576" s="1"/>
  <c r="BC576" s="1"/>
  <c r="AT574" i="30"/>
  <c r="AU574" i="44"/>
  <c r="AU529" i="30"/>
  <c r="AV380"/>
  <c r="AU552"/>
  <c r="AU563" i="44" l="1"/>
  <c r="AU581" s="1"/>
  <c r="AS563" i="30"/>
  <c r="AS581" s="1"/>
  <c r="AV529"/>
  <c r="AW380"/>
  <c r="AV552"/>
  <c r="AW552" i="44"/>
  <c r="AW529"/>
  <c r="AW369"/>
  <c r="AV541"/>
  <c r="AV518"/>
  <c r="AV387"/>
  <c r="AT541" i="30"/>
  <c r="AT518"/>
  <c r="AU369"/>
  <c r="AT387"/>
  <c r="AV574" i="44"/>
  <c r="AU574" i="30"/>
  <c r="AV563" i="44" l="1"/>
  <c r="AV581" s="1"/>
  <c r="AT563" i="30"/>
  <c r="AT581" s="1"/>
  <c r="AW574" i="44"/>
  <c r="BA574" s="1"/>
  <c r="BC574" s="1"/>
  <c r="AV574" i="30"/>
  <c r="AV369"/>
  <c r="AU518"/>
  <c r="AU541"/>
  <c r="AU387"/>
  <c r="AW518" i="44"/>
  <c r="AW541"/>
  <c r="AW387"/>
  <c r="AW529" i="30"/>
  <c r="AW552"/>
  <c r="AW574" l="1"/>
  <c r="BA574" s="1"/>
  <c r="BC574" s="1"/>
  <c r="AU563"/>
  <c r="AU581" s="1"/>
  <c r="AV541"/>
  <c r="AW369"/>
  <c r="AV518"/>
  <c r="AV563" s="1"/>
  <c r="AV581" s="1"/>
  <c r="AV387"/>
  <c r="AW563" i="44"/>
  <c r="AW581" l="1"/>
  <c r="BA581" s="1"/>
  <c r="BA563"/>
  <c r="BC563" s="1"/>
  <c r="AW541" i="30"/>
  <c r="AW518"/>
  <c r="AW387"/>
  <c r="AW563" l="1"/>
  <c r="AW581" s="1"/>
  <c r="BA581" s="1"/>
  <c r="BA582" i="44"/>
  <c r="BC581"/>
  <c r="BA563" i="30" l="1"/>
  <c r="BC563" s="1"/>
  <c r="BC582" i="44"/>
  <c r="U87" i="33" s="1"/>
  <c r="I87"/>
  <c r="BA582" i="30"/>
  <c r="BC581"/>
  <c r="BC582" l="1"/>
  <c r="U28" i="33" s="1"/>
  <c r="I28"/>
  <c r="BR11"/>
  <c r="BV10"/>
  <c r="BZ10"/>
  <c r="CC10"/>
  <c r="CG10"/>
  <c r="BR10"/>
  <c r="BV11"/>
  <c r="BW11"/>
  <c r="CF11"/>
  <c r="CG11"/>
  <c r="CE11"/>
  <c r="BO10"/>
  <c r="BS11"/>
  <c r="BW10"/>
  <c r="CA10"/>
  <c r="CD10"/>
  <c r="BN11"/>
  <c r="BS10"/>
  <c r="BZ11"/>
  <c r="CA11"/>
  <c r="CD11"/>
  <c r="BN10"/>
  <c r="BP11"/>
  <c r="BU11"/>
  <c r="BY10"/>
  <c r="CB10"/>
  <c r="BO11"/>
  <c r="BP10"/>
  <c r="BU10"/>
  <c r="BX11"/>
  <c r="CC11"/>
  <c r="CE10"/>
  <c r="BM11"/>
  <c r="BQ10"/>
  <c r="BT10"/>
  <c r="BX10"/>
  <c r="CB11"/>
  <c r="BM10"/>
  <c r="BQ11"/>
  <c r="BT11"/>
  <c r="BY11"/>
  <c r="CF10"/>
  <c r="BL10"/>
</calcChain>
</file>

<file path=xl/comments1.xml><?xml version="1.0" encoding="utf-8"?>
<comments xmlns="http://schemas.openxmlformats.org/spreadsheetml/2006/main">
  <authors>
    <author>Bruno</author>
  </authors>
  <commentList>
    <comment ref="C9" authorId="0">
      <text>
        <r>
          <rPr>
            <b/>
            <sz val="8"/>
            <color indexed="81"/>
            <rFont val="Tahoma"/>
            <family val="2"/>
          </rPr>
          <t>Bruno:</t>
        </r>
        <r>
          <rPr>
            <sz val="8"/>
            <color indexed="81"/>
            <rFont val="Tahoma"/>
            <family val="2"/>
          </rPr>
          <t xml:space="preserve">
From LTMS ref case, adjusted in years 2009-2014 based on Eskom peak demand gorwth forecast from adequacy reports.
See below for other LTMS growth scenarios.</t>
        </r>
      </text>
    </comment>
    <comment ref="G10" authorId="0">
      <text>
        <r>
          <rPr>
            <b/>
            <sz val="8"/>
            <color indexed="81"/>
            <rFont val="Tahoma"/>
            <family val="2"/>
          </rPr>
          <t>Bruno:</t>
        </r>
        <r>
          <rPr>
            <sz val="8"/>
            <color indexed="81"/>
            <rFont val="Tahoma"/>
            <family val="2"/>
          </rPr>
          <t xml:space="preserve">
From ESI stats 2006</t>
        </r>
      </text>
    </comment>
    <comment ref="G11" authorId="0">
      <text>
        <r>
          <rPr>
            <b/>
            <sz val="8"/>
            <color indexed="81"/>
            <rFont val="Tahoma"/>
            <family val="2"/>
          </rPr>
          <t>Bruno:</t>
        </r>
        <r>
          <rPr>
            <sz val="8"/>
            <color indexed="81"/>
            <rFont val="Tahoma"/>
            <family val="2"/>
          </rPr>
          <t xml:space="preserve">
we need to check this value.</t>
        </r>
      </text>
    </comment>
    <comment ref="G18" authorId="0">
      <text>
        <r>
          <rPr>
            <b/>
            <sz val="8"/>
            <color indexed="81"/>
            <rFont val="Tahoma"/>
            <family val="2"/>
          </rPr>
          <t>Bruno:</t>
        </r>
        <r>
          <rPr>
            <sz val="8"/>
            <color indexed="81"/>
            <rFont val="Tahoma"/>
            <family val="2"/>
          </rPr>
          <t xml:space="preserve">
From ESI stats 2006</t>
        </r>
      </text>
    </comment>
    <comment ref="G19" authorId="0">
      <text>
        <r>
          <rPr>
            <b/>
            <sz val="8"/>
            <color indexed="81"/>
            <rFont val="Tahoma"/>
            <family val="2"/>
          </rPr>
          <t>Bruno:</t>
        </r>
        <r>
          <rPr>
            <sz val="8"/>
            <color indexed="81"/>
            <rFont val="Tahoma"/>
            <family val="2"/>
          </rPr>
          <t xml:space="preserve">
this matches the ESI stats number</t>
        </r>
      </text>
    </comment>
    <comment ref="G22" authorId="0">
      <text>
        <r>
          <rPr>
            <b/>
            <sz val="8"/>
            <color indexed="81"/>
            <rFont val="Tahoma"/>
            <family val="2"/>
          </rPr>
          <t>Bruno:</t>
        </r>
        <r>
          <rPr>
            <sz val="8"/>
            <color indexed="81"/>
            <rFont val="Tahoma"/>
            <family val="2"/>
          </rPr>
          <t xml:space="preserve">
From ESI stats 2006</t>
        </r>
      </text>
    </comment>
    <comment ref="G23" authorId="0">
      <text>
        <r>
          <rPr>
            <b/>
            <sz val="8"/>
            <color indexed="81"/>
            <rFont val="Tahoma"/>
            <family val="2"/>
          </rPr>
          <t>Bruno:</t>
        </r>
        <r>
          <rPr>
            <sz val="8"/>
            <color indexed="81"/>
            <rFont val="Tahoma"/>
            <family val="2"/>
          </rPr>
          <t xml:space="preserve">
This doesn't match the ESI stats number because exports is assumed to be downstream of transmission</t>
        </r>
      </text>
    </comment>
    <comment ref="G26" authorId="0">
      <text>
        <r>
          <rPr>
            <b/>
            <sz val="8"/>
            <color indexed="81"/>
            <rFont val="Tahoma"/>
            <family val="2"/>
          </rPr>
          <t>Bruno:</t>
        </r>
        <r>
          <rPr>
            <sz val="8"/>
            <color indexed="81"/>
            <rFont val="Tahoma"/>
            <family val="2"/>
          </rPr>
          <t xml:space="preserve">
ESI stats 2006</t>
        </r>
      </text>
    </comment>
    <comment ref="G27" authorId="0">
      <text>
        <r>
          <rPr>
            <b/>
            <sz val="8"/>
            <color indexed="81"/>
            <rFont val="Tahoma"/>
            <family val="2"/>
          </rPr>
          <t>Bruno:</t>
        </r>
        <r>
          <rPr>
            <sz val="8"/>
            <color indexed="81"/>
            <rFont val="Tahoma"/>
            <family val="2"/>
          </rPr>
          <t xml:space="preserve">
Eskom generation medium term adequacy report.</t>
        </r>
      </text>
    </comment>
    <comment ref="G29" authorId="0">
      <text>
        <r>
          <rPr>
            <b/>
            <sz val="8"/>
            <color indexed="81"/>
            <rFont val="Tahoma"/>
            <family val="2"/>
          </rPr>
          <t>Bruno:</t>
        </r>
        <r>
          <rPr>
            <sz val="8"/>
            <color indexed="81"/>
            <rFont val="Tahoma"/>
            <family val="2"/>
          </rPr>
          <t xml:space="preserve">
slightly modified ESI stats 2006 data to account for transmission losses.</t>
        </r>
      </text>
    </comment>
    <comment ref="G33" authorId="0">
      <text>
        <r>
          <rPr>
            <b/>
            <sz val="8"/>
            <color indexed="81"/>
            <rFont val="Tahoma"/>
            <family val="2"/>
          </rPr>
          <t>Bruno:</t>
        </r>
        <r>
          <rPr>
            <sz val="8"/>
            <color indexed="81"/>
            <rFont val="Tahoma"/>
            <family val="2"/>
          </rPr>
          <t xml:space="preserve">
from ESI stats 2006</t>
        </r>
      </text>
    </comment>
    <comment ref="H35" authorId="0">
      <text>
        <r>
          <rPr>
            <b/>
            <sz val="8"/>
            <color indexed="81"/>
            <rFont val="Tahoma"/>
            <family val="2"/>
          </rPr>
          <t>Bruno:</t>
        </r>
        <r>
          <rPr>
            <sz val="8"/>
            <color indexed="81"/>
            <rFont val="Tahoma"/>
            <family val="2"/>
          </rPr>
          <t xml:space="preserve">
Historical taken from Eskom annual report 2009.</t>
        </r>
      </text>
    </comment>
    <comment ref="I35" authorId="0">
      <text>
        <r>
          <rPr>
            <b/>
            <sz val="8"/>
            <color indexed="81"/>
            <rFont val="Tahoma"/>
            <family val="2"/>
          </rPr>
          <t>Bruno:</t>
        </r>
        <r>
          <rPr>
            <sz val="8"/>
            <color indexed="81"/>
            <rFont val="Tahoma"/>
            <family val="2"/>
          </rPr>
          <t xml:space="preserve">
this is taken from the adequace report - but it doesn't match the annual report value.</t>
        </r>
      </text>
    </comment>
    <comment ref="C42" authorId="0">
      <text>
        <r>
          <rPr>
            <b/>
            <sz val="8"/>
            <color indexed="81"/>
            <rFont val="Tahoma"/>
            <family val="2"/>
          </rPr>
          <t>Bruno:</t>
        </r>
        <r>
          <rPr>
            <sz val="8"/>
            <color indexed="81"/>
            <rFont val="Tahoma"/>
            <family val="2"/>
          </rPr>
          <t xml:space="preserve">
From LTMS ref case, adjusted in years 2009-2014 based on Eskom peak demand gorwth forecast from adequacy reports.
See below for other LTMS growth scenarios.</t>
        </r>
      </text>
    </comment>
    <comment ref="C43" authorId="0">
      <text>
        <r>
          <rPr>
            <b/>
            <sz val="8"/>
            <color indexed="81"/>
            <rFont val="Tahoma"/>
            <family val="2"/>
          </rPr>
          <t>Bruno:</t>
        </r>
        <r>
          <rPr>
            <sz val="8"/>
            <color indexed="81"/>
            <rFont val="Tahoma"/>
            <family val="2"/>
          </rPr>
          <t xml:space="preserve">
From LTMS Industrial efficiency scenario, adjusted in years 2009-2014 based on Eskom peak demand growth forecast from adequacy reports.</t>
        </r>
      </text>
    </comment>
    <comment ref="E50" authorId="0">
      <text>
        <r>
          <rPr>
            <b/>
            <sz val="8"/>
            <color indexed="81"/>
            <rFont val="Tahoma"/>
            <family val="2"/>
          </rPr>
          <t>Bruno:</t>
        </r>
        <r>
          <rPr>
            <sz val="8"/>
            <color indexed="81"/>
            <rFont val="Tahoma"/>
            <family val="2"/>
          </rPr>
          <t xml:space="preserve">
Unresearched estimate</t>
        </r>
      </text>
    </comment>
    <comment ref="E51" authorId="0">
      <text>
        <r>
          <rPr>
            <b/>
            <sz val="8"/>
            <color indexed="81"/>
            <rFont val="Tahoma"/>
            <family val="2"/>
          </rPr>
          <t>Bruno:</t>
        </r>
        <r>
          <rPr>
            <sz val="8"/>
            <color indexed="81"/>
            <rFont val="Tahoma"/>
            <family val="2"/>
          </rPr>
          <t xml:space="preserve">
Unresearched estimate</t>
        </r>
      </text>
    </comment>
    <comment ref="C53" authorId="0">
      <text>
        <r>
          <rPr>
            <b/>
            <sz val="8"/>
            <color indexed="81"/>
            <rFont val="Tahoma"/>
            <family val="2"/>
          </rPr>
          <t>Bruno:</t>
        </r>
        <r>
          <rPr>
            <sz val="8"/>
            <color indexed="81"/>
            <rFont val="Tahoma"/>
            <family val="2"/>
          </rPr>
          <t xml:space="preserve">
make sure not to exceed maximum potential</t>
        </r>
      </text>
    </comment>
    <comment ref="E60" authorId="0">
      <text>
        <r>
          <rPr>
            <b/>
            <sz val="8"/>
            <color indexed="81"/>
            <rFont val="Tahoma"/>
            <family val="2"/>
          </rPr>
          <t>Bruno:</t>
        </r>
        <r>
          <rPr>
            <sz val="8"/>
            <color indexed="81"/>
            <rFont val="Tahoma"/>
            <family val="2"/>
          </rPr>
          <t xml:space="preserve">
0 if batteries not included</t>
        </r>
      </text>
    </comment>
    <comment ref="E62" authorId="0">
      <text>
        <r>
          <rPr>
            <b/>
            <sz val="8"/>
            <color indexed="81"/>
            <rFont val="Tahoma"/>
            <family val="2"/>
          </rPr>
          <t>Bruno:</t>
        </r>
        <r>
          <rPr>
            <sz val="8"/>
            <color indexed="81"/>
            <rFont val="Tahoma"/>
            <family val="2"/>
          </rPr>
          <t xml:space="preserve">
unresearched estimate</t>
        </r>
      </text>
    </comment>
    <comment ref="C64" authorId="0">
      <text>
        <r>
          <rPr>
            <b/>
            <sz val="8"/>
            <color indexed="81"/>
            <rFont val="Tahoma"/>
            <family val="2"/>
          </rPr>
          <t>Bruno:</t>
        </r>
        <r>
          <rPr>
            <sz val="8"/>
            <color indexed="81"/>
            <rFont val="Tahoma"/>
            <family val="2"/>
          </rPr>
          <t xml:space="preserve">
Make sure to exceed maximum potential.</t>
        </r>
      </text>
    </comment>
  </commentList>
</comments>
</file>

<file path=xl/comments2.xml><?xml version="1.0" encoding="utf-8"?>
<comments xmlns="http://schemas.openxmlformats.org/spreadsheetml/2006/main">
  <authors>
    <author>Bruno</author>
  </authors>
  <commentList>
    <comment ref="C2" authorId="0">
      <text>
        <r>
          <rPr>
            <b/>
            <sz val="8"/>
            <color indexed="81"/>
            <rFont val="Tahoma"/>
            <family val="2"/>
          </rPr>
          <t>Bruno:</t>
        </r>
        <r>
          <rPr>
            <sz val="8"/>
            <color indexed="81"/>
            <rFont val="Tahoma"/>
            <family val="2"/>
          </rPr>
          <t xml:space="preserve">
These parameters are defined for each plant type - the source data is in "TecnologyDataRaw".</t>
        </r>
      </text>
    </comment>
    <comment ref="H14" authorId="0">
      <text>
        <r>
          <rPr>
            <b/>
            <sz val="8"/>
            <color indexed="81"/>
            <rFont val="Tahoma"/>
            <family val="2"/>
          </rPr>
          <t>Bruno:</t>
        </r>
        <r>
          <rPr>
            <sz val="8"/>
            <color indexed="81"/>
            <rFont val="Tahoma"/>
            <family val="2"/>
          </rPr>
          <t xml:space="preserve">
The reason for having 2 wind technologies with different availability factors (of 0.25 and 0.3) is to have more detail in the specification of the wind potential for SA. These two values were set in conjunction with the PDF's using Kilian Agemann's wind map for SA.</t>
        </r>
      </text>
    </comment>
    <comment ref="K26" authorId="0">
      <text>
        <r>
          <rPr>
            <b/>
            <sz val="8"/>
            <color indexed="81"/>
            <rFont val="Tahoma"/>
            <family val="2"/>
          </rPr>
          <t>Bruno:</t>
        </r>
        <r>
          <rPr>
            <sz val="8"/>
            <color indexed="81"/>
            <rFont val="Tahoma"/>
            <family val="2"/>
          </rPr>
          <t xml:space="preserve">
NIRP3</t>
        </r>
      </text>
    </comment>
  </commentList>
</comments>
</file>

<file path=xl/comments3.xml><?xml version="1.0" encoding="utf-8"?>
<comments xmlns="http://schemas.openxmlformats.org/spreadsheetml/2006/main">
  <authors>
    <author>Bruno</author>
  </authors>
  <commentList>
    <comment ref="C8" authorId="0">
      <text>
        <r>
          <rPr>
            <b/>
            <sz val="8"/>
            <color indexed="81"/>
            <rFont val="Tahoma"/>
            <family val="2"/>
          </rPr>
          <t>Bruno:</t>
        </r>
        <r>
          <rPr>
            <sz val="8"/>
            <color indexed="81"/>
            <rFont val="Tahoma"/>
            <family val="2"/>
          </rPr>
          <t xml:space="preserve">
The de-mothballed plants are handled in the "retiring capacity" sheet.</t>
        </r>
      </text>
    </comment>
    <comment ref="B32" authorId="0">
      <text>
        <r>
          <rPr>
            <b/>
            <sz val="8"/>
            <color indexed="81"/>
            <rFont val="Tahoma"/>
            <family val="2"/>
          </rPr>
          <t>Bruno:</t>
        </r>
        <r>
          <rPr>
            <sz val="8"/>
            <color indexed="81"/>
            <rFont val="Tahoma"/>
            <family val="2"/>
          </rPr>
          <t xml:space="preserve">
Unresearched estimate</t>
        </r>
      </text>
    </comment>
    <comment ref="B91" authorId="0">
      <text>
        <r>
          <rPr>
            <b/>
            <sz val="8"/>
            <color indexed="81"/>
            <rFont val="Tahoma"/>
            <family val="2"/>
          </rPr>
          <t>Bruno:</t>
        </r>
        <r>
          <rPr>
            <sz val="8"/>
            <color indexed="81"/>
            <rFont val="Tahoma"/>
            <family val="2"/>
          </rPr>
          <t xml:space="preserve">
Unresearched estimate</t>
        </r>
      </text>
    </comment>
  </commentList>
</comments>
</file>

<file path=xl/comments4.xml><?xml version="1.0" encoding="utf-8"?>
<comments xmlns="http://schemas.openxmlformats.org/spreadsheetml/2006/main">
  <authors>
    <author>Bruno</author>
  </authors>
  <commentList>
    <comment ref="V8" authorId="0">
      <text>
        <r>
          <rPr>
            <b/>
            <sz val="8"/>
            <color indexed="81"/>
            <rFont val="Tahoma"/>
            <family val="2"/>
          </rPr>
          <t>Bruno:</t>
        </r>
        <r>
          <rPr>
            <sz val="8"/>
            <color indexed="81"/>
            <rFont val="Tahoma"/>
            <family val="2"/>
          </rPr>
          <t xml:space="preserve">
Data from Appendix 6 of NIRP3.</t>
        </r>
      </text>
    </comment>
    <comment ref="P39" authorId="0">
      <text>
        <r>
          <rPr>
            <b/>
            <sz val="8"/>
            <color indexed="81"/>
            <rFont val="Tahoma"/>
            <family val="2"/>
          </rPr>
          <t>Bruno:</t>
        </r>
        <r>
          <rPr>
            <sz val="8"/>
            <color indexed="81"/>
            <rFont val="Tahoma"/>
            <family val="2"/>
          </rPr>
          <t xml:space="preserve">
EIA figues adjusted down to local conditions</t>
        </r>
      </text>
    </comment>
    <comment ref="U39" authorId="0">
      <text>
        <r>
          <rPr>
            <b/>
            <sz val="8"/>
            <color indexed="81"/>
            <rFont val="Tahoma"/>
            <family val="2"/>
          </rPr>
          <t>Bruno:</t>
        </r>
        <r>
          <rPr>
            <sz val="8"/>
            <color indexed="81"/>
            <rFont val="Tahoma"/>
            <family val="2"/>
          </rPr>
          <t xml:space="preserve">
Eskom Adequacy report</t>
        </r>
      </text>
    </comment>
    <comment ref="D89" authorId="0">
      <text>
        <r>
          <rPr>
            <b/>
            <sz val="8"/>
            <color indexed="81"/>
            <rFont val="Tahoma"/>
            <family val="2"/>
          </rPr>
          <t>Bruno:</t>
        </r>
        <r>
          <rPr>
            <sz val="8"/>
            <color indexed="81"/>
            <rFont val="Tahoma"/>
            <family val="2"/>
          </rPr>
          <t xml:space="preserve">
appendix 6 of stage 4 report.</t>
        </r>
      </text>
    </comment>
  </commentList>
</comments>
</file>

<file path=xl/comments5.xml><?xml version="1.0" encoding="utf-8"?>
<comments xmlns="http://schemas.openxmlformats.org/spreadsheetml/2006/main">
  <authors>
    <author>Bruno</author>
  </authors>
  <commentList>
    <comment ref="B5" authorId="0">
      <text>
        <r>
          <rPr>
            <b/>
            <sz val="8"/>
            <color indexed="81"/>
            <rFont val="Tahoma"/>
            <family val="2"/>
          </rPr>
          <t>Bruno:</t>
        </r>
        <r>
          <rPr>
            <sz val="8"/>
            <color indexed="81"/>
            <rFont val="Tahoma"/>
            <family val="2"/>
          </rPr>
          <t xml:space="preserve">
NIRP 3 stage 4 report, table 2,7</t>
        </r>
      </text>
    </comment>
    <comment ref="D5" authorId="0">
      <text>
        <r>
          <rPr>
            <b/>
            <sz val="8"/>
            <color indexed="81"/>
            <rFont val="Tahoma"/>
            <family val="2"/>
          </rPr>
          <t>Bruno:</t>
        </r>
        <r>
          <rPr>
            <sz val="8"/>
            <color indexed="81"/>
            <rFont val="Tahoma"/>
            <family val="2"/>
          </rPr>
          <t xml:space="preserve">
NIRP 3 stage 4 report, table 2</t>
        </r>
      </text>
    </comment>
    <comment ref="E5" authorId="0">
      <text>
        <r>
          <rPr>
            <b/>
            <sz val="8"/>
            <color indexed="81"/>
            <rFont val="Tahoma"/>
            <family val="2"/>
          </rPr>
          <t>Bruno:</t>
        </r>
        <r>
          <rPr>
            <sz val="8"/>
            <color indexed="81"/>
            <rFont val="Tahoma"/>
            <family val="2"/>
          </rPr>
          <t xml:space="preserve">
ESI Stats 2006 (NERSA)</t>
        </r>
      </text>
    </comment>
    <comment ref="F5" authorId="0">
      <text>
        <r>
          <rPr>
            <b/>
            <sz val="8"/>
            <color indexed="81"/>
            <rFont val="Tahoma"/>
            <family val="2"/>
          </rPr>
          <t>Bruno:</t>
        </r>
        <r>
          <rPr>
            <sz val="8"/>
            <color indexed="81"/>
            <rFont val="Tahoma"/>
            <family val="2"/>
          </rPr>
          <t xml:space="preserve">
NIRP 3 stage 4 report, table 2</t>
        </r>
      </text>
    </comment>
    <comment ref="G5" authorId="0">
      <text>
        <r>
          <rPr>
            <b/>
            <sz val="8"/>
            <color indexed="81"/>
            <rFont val="Tahoma"/>
            <family val="2"/>
          </rPr>
          <t>Bruno:</t>
        </r>
        <r>
          <rPr>
            <sz val="8"/>
            <color indexed="81"/>
            <rFont val="Tahoma"/>
            <family val="2"/>
          </rPr>
          <t xml:space="preserve">
NIRP 3 stage 4 report, table 2
</t>
        </r>
      </text>
    </comment>
    <comment ref="H5" authorId="0">
      <text>
        <r>
          <rPr>
            <b/>
            <sz val="8"/>
            <color indexed="81"/>
            <rFont val="Tahoma"/>
            <family val="2"/>
          </rPr>
          <t>Bruno:</t>
        </r>
        <r>
          <rPr>
            <sz val="8"/>
            <color indexed="81"/>
            <rFont val="Tahoma"/>
            <family val="2"/>
          </rPr>
          <t xml:space="preserve">
NIRP 3 stage 4 report, table 2</t>
        </r>
      </text>
    </comment>
    <comment ref="N5" authorId="0">
      <text>
        <r>
          <rPr>
            <b/>
            <sz val="8"/>
            <color indexed="81"/>
            <rFont val="Tahoma"/>
            <family val="2"/>
          </rPr>
          <t>Bruno:</t>
        </r>
        <r>
          <rPr>
            <sz val="8"/>
            <color indexed="81"/>
            <rFont val="Tahoma"/>
            <family val="2"/>
          </rPr>
          <t xml:space="preserve">
Mostly from Table A-5 of Nirp3 stage 4 report.</t>
        </r>
      </text>
    </comment>
    <comment ref="O5" authorId="0">
      <text>
        <r>
          <rPr>
            <b/>
            <sz val="8"/>
            <color indexed="81"/>
            <rFont val="Tahoma"/>
            <family val="2"/>
          </rPr>
          <t>Bruno:</t>
        </r>
        <r>
          <rPr>
            <sz val="8"/>
            <color indexed="81"/>
            <rFont val="Tahoma"/>
            <family val="2"/>
          </rPr>
          <t xml:space="preserve">
NIRP 3 stage 4 report, table 2</t>
        </r>
      </text>
    </comment>
    <comment ref="P5" authorId="0">
      <text>
        <r>
          <rPr>
            <b/>
            <sz val="8"/>
            <color indexed="81"/>
            <rFont val="Tahoma"/>
            <family val="2"/>
          </rPr>
          <t>Bruno:</t>
        </r>
        <r>
          <rPr>
            <sz val="8"/>
            <color indexed="81"/>
            <rFont val="Tahoma"/>
            <family val="2"/>
          </rPr>
          <t xml:space="preserve">
NIRP 3 stage 4 report, table 3</t>
        </r>
      </text>
    </comment>
    <comment ref="R5" authorId="0">
      <text>
        <r>
          <rPr>
            <b/>
            <sz val="8"/>
            <color indexed="81"/>
            <rFont val="Tahoma"/>
            <family val="2"/>
          </rPr>
          <t>Bruno:</t>
        </r>
        <r>
          <rPr>
            <sz val="8"/>
            <color indexed="81"/>
            <rFont val="Tahoma"/>
            <family val="2"/>
          </rPr>
          <t xml:space="preserve">
ERC LTMS Model</t>
        </r>
      </text>
    </comment>
    <comment ref="C7" authorId="0">
      <text>
        <r>
          <rPr>
            <b/>
            <sz val="8"/>
            <color indexed="81"/>
            <rFont val="Tahoma"/>
            <family val="2"/>
          </rPr>
          <t>Bruno:</t>
        </r>
        <r>
          <rPr>
            <sz val="8"/>
            <color indexed="81"/>
            <rFont val="Tahoma"/>
            <family val="2"/>
          </rPr>
          <t xml:space="preserve">
Average efficiency.</t>
        </r>
      </text>
    </comment>
    <comment ref="C24" authorId="0">
      <text>
        <r>
          <rPr>
            <b/>
            <sz val="8"/>
            <color indexed="81"/>
            <rFont val="Tahoma"/>
            <family val="2"/>
          </rPr>
          <t>Bruno:</t>
        </r>
        <r>
          <rPr>
            <sz val="8"/>
            <color indexed="81"/>
            <rFont val="Tahoma"/>
            <family val="2"/>
          </rPr>
          <t xml:space="preserve">
efficiency adjusted upwards to account for the fact that the energy produced feeds directly into distribution (no transmission losses). This assumption could be reviewed.</t>
        </r>
      </text>
    </comment>
    <comment ref="G24" authorId="0">
      <text>
        <r>
          <rPr>
            <b/>
            <sz val="8"/>
            <color indexed="81"/>
            <rFont val="Tahoma"/>
            <family val="2"/>
          </rPr>
          <t>Bruno:</t>
        </r>
        <r>
          <rPr>
            <sz val="8"/>
            <color indexed="81"/>
            <rFont val="Tahoma"/>
            <family val="2"/>
          </rPr>
          <t xml:space="preserve">
Assumed that 3 out of 6 are reliably online at any point in time.</t>
        </r>
      </text>
    </comment>
    <comment ref="G25" authorId="0">
      <text>
        <r>
          <rPr>
            <b/>
            <sz val="8"/>
            <color indexed="81"/>
            <rFont val="Tahoma"/>
            <family val="2"/>
          </rPr>
          <t>Bruno:</t>
        </r>
        <r>
          <rPr>
            <sz val="8"/>
            <color indexed="81"/>
            <rFont val="Tahoma"/>
            <family val="2"/>
          </rPr>
          <t xml:space="preserve">
Assumed that 3 out of 7 are reliably available.</t>
        </r>
      </text>
    </comment>
    <comment ref="B29" authorId="0">
      <text>
        <r>
          <rPr>
            <b/>
            <sz val="8"/>
            <color indexed="81"/>
            <rFont val="Tahoma"/>
            <family val="2"/>
          </rPr>
          <t>Bruno:</t>
        </r>
        <r>
          <rPr>
            <sz val="8"/>
            <color indexed="81"/>
            <rFont val="Tahoma"/>
            <family val="2"/>
          </rPr>
          <t xml:space="preserve">
Efficiency scaled down to match coal consumption figures.</t>
        </r>
      </text>
    </comment>
    <comment ref="G32" authorId="0">
      <text>
        <r>
          <rPr>
            <b/>
            <sz val="8"/>
            <color indexed="81"/>
            <rFont val="Tahoma"/>
            <family val="2"/>
          </rPr>
          <t>Bruno:</t>
        </r>
        <r>
          <rPr>
            <sz val="8"/>
            <color indexed="81"/>
            <rFont val="Tahoma"/>
            <family val="2"/>
          </rPr>
          <t xml:space="preserve">
Atlantis and Mossel Bay (Angelig and Gourikwa) were updated from Eskom adequacy report website</t>
        </r>
      </text>
    </comment>
    <comment ref="M35" authorId="0">
      <text>
        <r>
          <rPr>
            <b/>
            <sz val="8"/>
            <color indexed="81"/>
            <rFont val="Tahoma"/>
            <family val="2"/>
          </rPr>
          <t>Bruno:</t>
        </r>
        <r>
          <rPr>
            <sz val="8"/>
            <color indexed="81"/>
            <rFont val="Tahoma"/>
            <family val="2"/>
          </rPr>
          <t xml:space="preserve">
Eskom's max target</t>
        </r>
      </text>
    </comment>
    <comment ref="N35" authorId="0">
      <text>
        <r>
          <rPr>
            <b/>
            <sz val="8"/>
            <color indexed="81"/>
            <rFont val="Tahoma"/>
            <family val="2"/>
          </rPr>
          <t>Bruno:</t>
        </r>
        <r>
          <rPr>
            <sz val="8"/>
            <color indexed="81"/>
            <rFont val="Tahoma"/>
            <family val="2"/>
          </rPr>
          <t xml:space="preserve">
Page 54 of NIRP3 stage 4 report.</t>
        </r>
      </text>
    </comment>
    <comment ref="M37" authorId="0">
      <text>
        <r>
          <rPr>
            <b/>
            <sz val="8"/>
            <color indexed="81"/>
            <rFont val="Tahoma"/>
            <family val="2"/>
          </rPr>
          <t>Bruno:</t>
        </r>
        <r>
          <rPr>
            <sz val="8"/>
            <color indexed="81"/>
            <rFont val="Tahoma"/>
            <family val="2"/>
          </rPr>
          <t xml:space="preserve">
Taken from SAPP Pool Plan Volume 2, table 5-2.</t>
        </r>
      </text>
    </comment>
    <comment ref="P40" authorId="0">
      <text>
        <r>
          <rPr>
            <b/>
            <sz val="8"/>
            <color indexed="81"/>
            <rFont val="Tahoma"/>
            <family val="2"/>
          </rPr>
          <t>Bruno:</t>
        </r>
        <r>
          <rPr>
            <sz val="8"/>
            <color indexed="81"/>
            <rFont val="Tahoma"/>
            <family val="2"/>
          </rPr>
          <t xml:space="preserve">
Dry year typically used for sensitivity/scenario.</t>
        </r>
      </text>
    </comment>
    <comment ref="Q40" authorId="0">
      <text>
        <r>
          <rPr>
            <b/>
            <sz val="8"/>
            <color indexed="81"/>
            <rFont val="Tahoma"/>
            <family val="2"/>
          </rPr>
          <t>Bruno:</t>
        </r>
        <r>
          <rPr>
            <sz val="8"/>
            <color indexed="81"/>
            <rFont val="Tahoma"/>
            <family val="2"/>
          </rPr>
          <t xml:space="preserve">
Average from SAPP Pool Plan Volume 2, table 5-2.</t>
        </r>
      </text>
    </comment>
    <comment ref="C44" authorId="0">
      <text>
        <r>
          <rPr>
            <b/>
            <sz val="8"/>
            <color indexed="81"/>
            <rFont val="Tahoma"/>
            <family val="2"/>
          </rPr>
          <t>Bruno:</t>
        </r>
        <r>
          <rPr>
            <sz val="8"/>
            <color indexed="81"/>
            <rFont val="Tahoma"/>
            <family val="2"/>
          </rPr>
          <t xml:space="preserve">
76% from SAPP Pool Plan Volume 2, Table 5-2. 3.95% are the transmission losses (taking power to the "storage pump") is taken as the national average transmission losses from ESI stats 2006.</t>
        </r>
      </text>
    </comment>
    <comment ref="E45" authorId="0">
      <text>
        <r>
          <rPr>
            <b/>
            <sz val="8"/>
            <color indexed="81"/>
            <rFont val="Tahoma"/>
            <family val="2"/>
          </rPr>
          <t>Bruno:</t>
        </r>
        <r>
          <rPr>
            <sz val="8"/>
            <color indexed="81"/>
            <rFont val="Tahoma"/>
            <family val="2"/>
          </rPr>
          <t xml:space="preserve">
From 2004, 2006 not being a typical year for Koeburg due to high outage rate.</t>
        </r>
      </text>
    </comment>
  </commentList>
</comments>
</file>

<file path=xl/sharedStrings.xml><?xml version="1.0" encoding="utf-8"?>
<sst xmlns="http://schemas.openxmlformats.org/spreadsheetml/2006/main" count="1626" uniqueCount="737">
  <si>
    <t>PM10</t>
  </si>
  <si>
    <t>% coal</t>
  </si>
  <si>
    <t>% gas</t>
  </si>
  <si>
    <t>Hydro</t>
  </si>
  <si>
    <t>Wind</t>
  </si>
  <si>
    <t>TOTAL</t>
  </si>
  <si>
    <t>other</t>
  </si>
  <si>
    <t>Unit Size</t>
  </si>
  <si>
    <t>Landfill gas</t>
  </si>
  <si>
    <t>Coal</t>
  </si>
  <si>
    <t>Nuclear</t>
  </si>
  <si>
    <t>Renewable</t>
  </si>
  <si>
    <t>Gas</t>
  </si>
  <si>
    <t>Liquid fuels</t>
  </si>
  <si>
    <t>Technology</t>
  </si>
  <si>
    <t>OCGT liquid fuels</t>
  </si>
  <si>
    <t>Units</t>
  </si>
  <si>
    <t>-</t>
  </si>
  <si>
    <t>gas</t>
  </si>
  <si>
    <t>coal</t>
  </si>
  <si>
    <t>diesel</t>
  </si>
  <si>
    <t>liquid fuels</t>
  </si>
  <si>
    <t>Biomass</t>
  </si>
  <si>
    <t>Imported electricity</t>
  </si>
  <si>
    <t>PWR nuclear</t>
  </si>
  <si>
    <t>PBMR</t>
  </si>
  <si>
    <t>Pumped storage</t>
  </si>
  <si>
    <t>IGCC</t>
  </si>
  <si>
    <t>GW</t>
  </si>
  <si>
    <t>MW</t>
  </si>
  <si>
    <t>Peak demand</t>
  </si>
  <si>
    <t>PJ</t>
  </si>
  <si>
    <t>GWh</t>
  </si>
  <si>
    <t>Camden</t>
  </si>
  <si>
    <t>New Capacity (GW)</t>
  </si>
  <si>
    <t>Total Capacity (GW)</t>
  </si>
  <si>
    <t>r</t>
  </si>
  <si>
    <t>% renewable</t>
  </si>
  <si>
    <t>Efficiency</t>
  </si>
  <si>
    <t>R/GJ</t>
  </si>
  <si>
    <t>Peak</t>
  </si>
  <si>
    <t>New/retiring Units</t>
  </si>
  <si>
    <t>Historical</t>
  </si>
  <si>
    <t>Availability</t>
  </si>
  <si>
    <t>years</t>
  </si>
  <si>
    <t>Arnot</t>
  </si>
  <si>
    <t>Gariep</t>
  </si>
  <si>
    <t>Grootvlei</t>
  </si>
  <si>
    <t>Hendrina</t>
  </si>
  <si>
    <t>Kendal</t>
  </si>
  <si>
    <t>Komati</t>
  </si>
  <si>
    <t>Kriel</t>
  </si>
  <si>
    <t>Lethabo</t>
  </si>
  <si>
    <t>Matimba</t>
  </si>
  <si>
    <t>Matla</t>
  </si>
  <si>
    <t>Palmiet</t>
  </si>
  <si>
    <t>Port Rex</t>
  </si>
  <si>
    <t>Acacia</t>
  </si>
  <si>
    <t>Tutuka</t>
  </si>
  <si>
    <t>Existing coal Large</t>
  </si>
  <si>
    <t>Existing coal Small</t>
  </si>
  <si>
    <t>Demand</t>
  </si>
  <si>
    <t>Reserve margin</t>
  </si>
  <si>
    <t>Reserve margin (AF)</t>
  </si>
  <si>
    <t>Fixed O&amp;M</t>
  </si>
  <si>
    <t>Variable O&amp;M</t>
  </si>
  <si>
    <t>Availability/Capacity</t>
  </si>
  <si>
    <t>Lifetime</t>
  </si>
  <si>
    <t>Fuel type</t>
  </si>
  <si>
    <t>R/kW</t>
  </si>
  <si>
    <t>R/MWh</t>
  </si>
  <si>
    <t>fraction</t>
  </si>
  <si>
    <t>Combined Cycle Gas Turbine</t>
  </si>
  <si>
    <t>Supercritical Coal</t>
  </si>
  <si>
    <t>Fluidised Bed Combustion Coal</t>
  </si>
  <si>
    <t>Integrated Gasification Combined Cycle Coal</t>
  </si>
  <si>
    <t>Nuclear Pressurised Water Reactor</t>
  </si>
  <si>
    <t>Nuclear Pebble-Bed Modular Reactor</t>
  </si>
  <si>
    <t>renewable</t>
  </si>
  <si>
    <t>Solar Photovoltaic</t>
  </si>
  <si>
    <t>Open-Cycle Gas Turbine diesel</t>
  </si>
  <si>
    <t>Solar Central Receiver</t>
  </si>
  <si>
    <t>Solar Parabolic Trough</t>
  </si>
  <si>
    <t>Fuel costs - R/MWh - BEFORE efficiency loss (these are calculated per tech below)</t>
  </si>
  <si>
    <t>coal for existing plants</t>
  </si>
  <si>
    <t>coal for new plants</t>
  </si>
  <si>
    <t>natural gas</t>
  </si>
  <si>
    <t>paraffin</t>
  </si>
  <si>
    <t>nuclear fuel PWR</t>
  </si>
  <si>
    <t>nuclear fuel PBMR</t>
  </si>
  <si>
    <t>fuelwood</t>
  </si>
  <si>
    <t>Actual fuel costs per plant - need to be discounted / levellised before using in levellising calculation</t>
  </si>
  <si>
    <t>Tech number</t>
  </si>
  <si>
    <t>plant efficiency</t>
  </si>
  <si>
    <t>cost per year in R/MWh out</t>
  </si>
  <si>
    <t>Open-Cycle Gas Turbine paraffin</t>
  </si>
  <si>
    <t>Wave</t>
  </si>
  <si>
    <t>Fuel Type</t>
  </si>
  <si>
    <t>Technology Type</t>
  </si>
  <si>
    <t>Import</t>
  </si>
  <si>
    <t>Export</t>
  </si>
  <si>
    <t>Supercritical coal</t>
  </si>
  <si>
    <t>Plant Description</t>
  </si>
  <si>
    <t>Capital cost</t>
  </si>
  <si>
    <t>Fuel Characteristics</t>
  </si>
  <si>
    <t>Existing coal large</t>
  </si>
  <si>
    <t>Existing coal small</t>
  </si>
  <si>
    <t>Hydro existing</t>
  </si>
  <si>
    <t xml:space="preserve">Wind 30% </t>
  </si>
  <si>
    <t>Wind 25%</t>
  </si>
  <si>
    <t>solar thermal central reciever</t>
  </si>
  <si>
    <t>solar thermal trough</t>
  </si>
  <si>
    <t>solar PV</t>
  </si>
  <si>
    <t>Pumped Storage</t>
  </si>
  <si>
    <t>Supercritical Coal with CCS</t>
  </si>
  <si>
    <t>Fluidised Bed Combustion Coal with CCS</t>
  </si>
  <si>
    <t>Integrated Gasification Combined Cycle Coal with CCS</t>
  </si>
  <si>
    <t>not used</t>
  </si>
  <si>
    <t>combined cycle gas</t>
  </si>
  <si>
    <t>Power plant types, fuel type and technology learning curves</t>
  </si>
  <si>
    <t>Micro hydro</t>
  </si>
  <si>
    <t>Technology learning indices: Note - these use overnight capital cost, and begin in 2008. So, the cost in year x per technology is the cost in 2008 times the index value.</t>
  </si>
  <si>
    <t>real discount rate:</t>
  </si>
  <si>
    <t>Plant lifetime</t>
  </si>
  <si>
    <t>Levellised costs of fuel - use these for levellised elec costs - this is the levellised cost of fuel over the plant's lifetime</t>
  </si>
  <si>
    <t>Capital costs with technology learning, assuming that learning begins in 2008</t>
  </si>
  <si>
    <t>Initial capital cost</t>
  </si>
  <si>
    <t>Levellised Electricity Cost</t>
  </si>
  <si>
    <t>Graph</t>
  </si>
  <si>
    <t>Costs</t>
  </si>
  <si>
    <t>1a) Annualised capital costs for all plants per year - per kW</t>
  </si>
  <si>
    <t>2) Fixed costs - R million</t>
  </si>
  <si>
    <t>3) Variable costs - R million</t>
  </si>
  <si>
    <t>4) Fuel costs - R million</t>
  </si>
  <si>
    <t>TOTAL (total annual cost / electricity out)</t>
  </si>
  <si>
    <t>6) Annual average cost of electricity generation - Rands /kWh</t>
  </si>
  <si>
    <t>5) Total annual electricity production costs - R million</t>
  </si>
  <si>
    <t>assume this works if we use the demand figure, since this is by definition the output?</t>
  </si>
  <si>
    <t>Environmental factors</t>
  </si>
  <si>
    <t>CO2</t>
  </si>
  <si>
    <t>CH4</t>
  </si>
  <si>
    <t>N2O</t>
  </si>
  <si>
    <t>SOx</t>
  </si>
  <si>
    <t>NOx</t>
  </si>
  <si>
    <t>CO</t>
  </si>
  <si>
    <t>NMVOCs</t>
  </si>
  <si>
    <t>Emission factors by fuel - Tons per TJ</t>
  </si>
  <si>
    <t>Plant description</t>
  </si>
  <si>
    <t>fuel type</t>
  </si>
  <si>
    <t>1) CO2 emissions - Mt</t>
  </si>
  <si>
    <t>Emission factors by plant output - Mt per GWh</t>
  </si>
  <si>
    <t>4) Total GHG emissions  - three above gases in Mt CO2-eq</t>
  </si>
  <si>
    <t>3) N2O emissions - Mt</t>
  </si>
  <si>
    <t>2) CH4 emissions - Mt</t>
  </si>
  <si>
    <t>5) SOx emissions</t>
  </si>
  <si>
    <t>(need to add if there is any, e.g. for diesel)</t>
  </si>
  <si>
    <t>Main Menu</t>
  </si>
  <si>
    <t>LOLP (peak hour)</t>
  </si>
  <si>
    <t>Forced Outage Rate</t>
  </si>
  <si>
    <t>Index</t>
  </si>
  <si>
    <t>Prob</t>
  </si>
  <si>
    <t>Power Out</t>
  </si>
  <si>
    <t>Total Units</t>
  </si>
  <si>
    <t>Renewable?</t>
  </si>
  <si>
    <t>6) NOx emissions</t>
  </si>
  <si>
    <t>7) CO emissions</t>
  </si>
  <si>
    <t>8) NMVOC emissions</t>
  </si>
  <si>
    <t>9) water use</t>
  </si>
  <si>
    <t>10) employment</t>
  </si>
  <si>
    <t>discount rate</t>
  </si>
  <si>
    <t>Discounted splits - to get direct investments from PV investment cost</t>
  </si>
  <si>
    <t>Direct inverstment splits - multiply these by PV costs to get simple investment requirement per year</t>
  </si>
  <si>
    <t>Investment splits with IDC</t>
  </si>
  <si>
    <t>TOTALs</t>
  </si>
  <si>
    <t>1/totals</t>
  </si>
  <si>
    <t>nirp 3</t>
  </si>
  <si>
    <t>nirp 3 - nirp assumption is that this is a fairly small plant - co-gen</t>
  </si>
  <si>
    <t>from NIRP 3, but have moved back one year for construction - nipr figs based on six-pack</t>
  </si>
  <si>
    <t>from NIRP - have assumed that the last year is commissioning</t>
  </si>
  <si>
    <t>from NIRP - have assumed a shorter construction phase</t>
  </si>
  <si>
    <t>from NIRP3 - same as ocgt</t>
  </si>
  <si>
    <t>from NIRP3 - no figs, had to assume</t>
  </si>
  <si>
    <t>derived from nirp 3 with some assumptions - 12% per year in 6 years, and remainder in prev 3 years</t>
  </si>
  <si>
    <t>all allocation to first year has been added to final year of construction to simplify IDC calculations</t>
  </si>
  <si>
    <t>Investment splits - dividing investment up between years in the lead time</t>
  </si>
  <si>
    <t>Investment splits for overnight costs - years - plant comes on line at end of year 0</t>
  </si>
  <si>
    <t>Simple investment split</t>
  </si>
  <si>
    <t>IDC investment split</t>
  </si>
  <si>
    <t>Allocation of splits to used power plants</t>
  </si>
  <si>
    <t>7b) Annual investment costs - no IDC</t>
  </si>
  <si>
    <t>7a) Annual investment costs - with IDC - actual investment costs: these are the non-discounted investment costs (overnight costs) split over the lead time with IDC, using ratios from NIRP3 - assume that investment is made until year zero, and that the plant operates from the beginning of year 1</t>
  </si>
  <si>
    <t>1) Defining the characteristics of individual plants</t>
  </si>
  <si>
    <t>Plant costs and other characteristics</t>
  </si>
  <si>
    <t>Investment during lead times for different plant types</t>
  </si>
  <si>
    <t>Fuel costs and characteristics</t>
  </si>
  <si>
    <t>coal price</t>
  </si>
  <si>
    <t>oil price</t>
  </si>
  <si>
    <t>emissions factors</t>
  </si>
  <si>
    <t>Electricity system costs - reference case</t>
  </si>
  <si>
    <t>Electricity system costs - scenario</t>
  </si>
  <si>
    <t>Comparison of electricity system costs between reference case and scenario</t>
  </si>
  <si>
    <t>Comparison of electricity system capacity and output between reference case and scenario</t>
  </si>
  <si>
    <t>Environmental impacts (emissions etc) - reference case</t>
  </si>
  <si>
    <t>Environmental impacts (emissions etc) - scenario</t>
  </si>
  <si>
    <t>Comparison of environmental impacts between reference case and scenario</t>
  </si>
  <si>
    <t>3) Complete tables and graphs - all outputs</t>
  </si>
  <si>
    <t>Complete tables and graphs</t>
  </si>
  <si>
    <t>Total installed capacity</t>
  </si>
  <si>
    <t>Reference</t>
  </si>
  <si>
    <t>Scenario</t>
  </si>
  <si>
    <t>Electricity sent out</t>
  </si>
  <si>
    <t>percentage utilisation of power plants by technology</t>
  </si>
  <si>
    <t>Percentage utilisation of rated capacity - used for dispatch calculations - (renewables such as wind assumed at 100% - this is mainly relevant for peaking and mid-merit plants)</t>
  </si>
  <si>
    <t xml:space="preserve"> -</t>
  </si>
  <si>
    <t>Technology Category</t>
  </si>
  <si>
    <t>technology types, fuel type, technology category and technology learning indices</t>
  </si>
  <si>
    <t>(if not used, value is 0)</t>
  </si>
  <si>
    <t>tie-avoiding fraction (can be used later to ranke certain renewables in front, etc)</t>
  </si>
  <si>
    <t>(estimate - needs fixing)</t>
  </si>
  <si>
    <t>Costs for dispatch order / peaking - short-run marginal cost (fuel and variable operating cost only) - fuel cost for year, not levellised as above</t>
  </si>
  <si>
    <t>Ranking by groups (other, nuclear, renewables, coal) - amended costs</t>
  </si>
  <si>
    <t>plant type</t>
  </si>
  <si>
    <t>nuclear</t>
  </si>
  <si>
    <t>factors for categories:</t>
  </si>
  <si>
    <t>Dispatch order (ranked costs above, with small fractions added to all plants to avoid ties) - Pumped storage ranked 1st - assume use of PS is fixed - use for second pass</t>
  </si>
  <si>
    <t>Ranking by groups - ranking - use for first pass</t>
  </si>
  <si>
    <t>Maximum % of rated capacity dispatched</t>
  </si>
  <si>
    <t>Minimum plant output</t>
  </si>
  <si>
    <t>Minimum capacity allocation</t>
  </si>
  <si>
    <t>Additional plant output to get to max (max-min)</t>
  </si>
  <si>
    <t>Contribution from plants</t>
  </si>
  <si>
    <t>Cumulative total</t>
  </si>
  <si>
    <t>Maximum capacity allocation</t>
  </si>
  <si>
    <t>Minimum ranked by the group ranking</t>
  </si>
  <si>
    <t>Maximum ranked by marginal cost</t>
  </si>
  <si>
    <t>DISPATCH</t>
  </si>
  <si>
    <t>tech type</t>
  </si>
  <si>
    <t>Electricity demand, peak demand, import and export energy and capacity</t>
  </si>
  <si>
    <t>Electricity demand, peak demand</t>
  </si>
  <si>
    <t>Imports and exports of electricity, capacity</t>
  </si>
  <si>
    <t>Demand for distribution (domestic demand before transmission - see wiki)</t>
  </si>
  <si>
    <t>pumped storage energy consumption (=pumped storage output for year / efficiency)</t>
  </si>
  <si>
    <t>exports</t>
  </si>
  <si>
    <t>imports</t>
  </si>
  <si>
    <t>Demand to be dispatched</t>
  </si>
  <si>
    <t>Electricity sent out per plant (GWh)</t>
  </si>
  <si>
    <t>Capacity factors</t>
  </si>
  <si>
    <t>AVERAGE for total system</t>
  </si>
  <si>
    <t>Interruptible load</t>
  </si>
  <si>
    <t>(2005 costs = made up)</t>
  </si>
  <si>
    <t>(note - this excludes the costs of elec for pumped storage)</t>
  </si>
  <si>
    <t>Total annual electricity production costs</t>
  </si>
  <si>
    <t>Average annual electricity cost (R/kWh)</t>
  </si>
  <si>
    <t>Annual investment costs</t>
  </si>
  <si>
    <t>Annual investment requirement</t>
  </si>
  <si>
    <t>Individual plant costs - for display</t>
  </si>
  <si>
    <t>Technology:</t>
  </si>
  <si>
    <t>1) Electricity cost components</t>
  </si>
  <si>
    <t>Annualised capital cost</t>
  </si>
  <si>
    <t>Fuel cost</t>
  </si>
  <si>
    <t>2) Annual investment requirement</t>
  </si>
  <si>
    <t>Individual plant comparisons - capacity and output</t>
  </si>
  <si>
    <t xml:space="preserve">Technology: </t>
  </si>
  <si>
    <t xml:space="preserve">Technology 1: </t>
  </si>
  <si>
    <t xml:space="preserve">Technology 2: </t>
  </si>
  <si>
    <t>Inidividual plant comparisons - for display</t>
  </si>
  <si>
    <t>techology 2:</t>
  </si>
  <si>
    <t>techology 1:</t>
  </si>
  <si>
    <t>Individual plant comparisons</t>
  </si>
  <si>
    <t>for scenario comparison:</t>
  </si>
  <si>
    <t>technology:</t>
  </si>
  <si>
    <t>Comparison</t>
  </si>
  <si>
    <t>Technology 1:</t>
  </si>
  <si>
    <t>Technology 2:</t>
  </si>
  <si>
    <t>Individual plant costs</t>
  </si>
  <si>
    <t>tech 1</t>
  </si>
  <si>
    <t>tech 2</t>
  </si>
  <si>
    <t>3) for scenario comparison</t>
  </si>
  <si>
    <t>Individual technology costs comparisons</t>
  </si>
  <si>
    <t>Individual technology comparison</t>
  </si>
  <si>
    <t>Title</t>
  </si>
  <si>
    <t>GHGs per technology Mt CO2-eq</t>
  </si>
  <si>
    <t>CO emissions</t>
  </si>
  <si>
    <t>NMVOC emissions</t>
  </si>
  <si>
    <t>SOx emissions</t>
  </si>
  <si>
    <t>NOx emissions</t>
  </si>
  <si>
    <t>Other emissions - Mt</t>
  </si>
  <si>
    <t>Individual plant comparisons - for display</t>
  </si>
  <si>
    <t>Individual technology comparisons</t>
  </si>
  <si>
    <t>GHG emissions</t>
  </si>
  <si>
    <t>Individual technologies comparison</t>
  </si>
  <si>
    <t>technology 1</t>
  </si>
  <si>
    <t>technology 2</t>
  </si>
  <si>
    <t>technology 1:</t>
  </si>
  <si>
    <t>technology 2:</t>
  </si>
  <si>
    <t>title:</t>
  </si>
  <si>
    <t>Reference electricity system non-GHG emissions</t>
  </si>
  <si>
    <t>Scenario electricity system non-GHG emissions</t>
  </si>
  <si>
    <t>Comparing technologies in the reference and the scenario cases</t>
  </si>
  <si>
    <t>Scenario plant comparison</t>
  </si>
  <si>
    <t>Comparison - same technology, different scenarios</t>
  </si>
  <si>
    <t>ref</t>
  </si>
  <si>
    <t>scen</t>
  </si>
  <si>
    <t>Unmet demand</t>
  </si>
  <si>
    <t>Loss of load probability</t>
  </si>
  <si>
    <t>Reliability Indicators</t>
  </si>
  <si>
    <t>Peak demand and reserve margin calculations</t>
  </si>
  <si>
    <t>% liquid fuels</t>
  </si>
  <si>
    <t>% nuclear</t>
  </si>
  <si>
    <t>Electricity sent out by fuel type indicator - excludes imports, pumped storage</t>
  </si>
  <si>
    <t>Existing and retiring capacity table</t>
  </si>
  <si>
    <t>any changes to the power sector which we do not want users to be able to change from the main table can be put in here, including power station retirements and new capacity which is not mutable</t>
  </si>
  <si>
    <t>New Capacity retirement - to 2050 (GW)</t>
  </si>
  <si>
    <t>post-period decommissioning and cost calcs - to 2050</t>
  </si>
  <si>
    <t>replacement capacity for retired plants for post period cost calculation</t>
  </si>
  <si>
    <t>historical</t>
  </si>
  <si>
    <t>planned</t>
  </si>
  <si>
    <t>replacement for small coal and large coal is supercritical</t>
  </si>
  <si>
    <t>held costant, shift to supercritical estimated</t>
  </si>
  <si>
    <t>1b) Annualised capital costs of new capacity - R million</t>
  </si>
  <si>
    <t>Discounted costs</t>
  </si>
  <si>
    <t>2031-2050</t>
  </si>
  <si>
    <t>discounted to 2030</t>
  </si>
  <si>
    <t>discounted to 2009</t>
  </si>
  <si>
    <t>2010-2050</t>
  </si>
  <si>
    <t>2010-2030</t>
  </si>
  <si>
    <t>Wind PDF 1</t>
  </si>
  <si>
    <t>mean</t>
  </si>
  <si>
    <t>Wind PDF 2</t>
  </si>
  <si>
    <t>Wind 1</t>
  </si>
  <si>
    <t>Wind 2</t>
  </si>
  <si>
    <t>Electricity System Capacity</t>
  </si>
  <si>
    <t>Electricity Sent Out</t>
  </si>
  <si>
    <t>Capacity and output of individual technology in reference and scenario</t>
  </si>
  <si>
    <t>New Units</t>
  </si>
  <si>
    <t>reference</t>
  </si>
  <si>
    <t>scenario</t>
  </si>
  <si>
    <t>Unit Size MW</t>
  </si>
  <si>
    <t>Threshold</t>
  </si>
  <si>
    <t>Other indicators (full list below)</t>
  </si>
  <si>
    <t>All Indicators</t>
  </si>
  <si>
    <t>% renewable electricity (out)</t>
  </si>
  <si>
    <t>% nuclear electricity (out)</t>
  </si>
  <si>
    <t>% coal electricity (out)</t>
  </si>
  <si>
    <t>Percentage of domestic production (excludes pumped storage)</t>
  </si>
  <si>
    <t>% liquid fuels electricity (out)</t>
  </si>
  <si>
    <t>% gas electricity (out)</t>
  </si>
  <si>
    <t>Total production cost (Rm)</t>
  </si>
  <si>
    <t>Average cost (R/kWh)</t>
  </si>
  <si>
    <t>2010-2030:</t>
  </si>
  <si>
    <t>Net Present Value (R billions)</t>
  </si>
  <si>
    <t>2010-2050:</t>
  </si>
  <si>
    <t>Electricity demand (TWh)</t>
  </si>
  <si>
    <t>Reserve (AF) - domestic capacity only</t>
  </si>
  <si>
    <t>Reserve (AF) - including interruptible supply</t>
  </si>
  <si>
    <t>Reserve (AF) - including imported capacity</t>
  </si>
  <si>
    <t>Reserve (AF) - including interruptible supply and imported capacity</t>
  </si>
  <si>
    <t>Net imported capacity at peak</t>
  </si>
  <si>
    <t>Interuptible load (2010+ values set by user, previous valuse set historically)</t>
  </si>
  <si>
    <t>interruptibe load (2005-2009 only)</t>
  </si>
  <si>
    <t>Available domestic capacity at peak (AF)</t>
  </si>
  <si>
    <t>Peak capacities etc (GW)</t>
  </si>
  <si>
    <t>percent</t>
  </si>
  <si>
    <t>TWh</t>
  </si>
  <si>
    <t>Mt CO2-eq</t>
  </si>
  <si>
    <t>R million</t>
  </si>
  <si>
    <t>R / kWh</t>
  </si>
  <si>
    <t>Annual investment requirement - with IDC</t>
  </si>
  <si>
    <t>Annual investment requirement - without IDC</t>
  </si>
  <si>
    <t>South African Existing system</t>
  </si>
  <si>
    <t>Large/small Threshold:</t>
  </si>
  <si>
    <t>Name of Station</t>
  </si>
  <si>
    <t>Heat rate</t>
  </si>
  <si>
    <t>Variable Costs</t>
  </si>
  <si>
    <t>Output 2006</t>
  </si>
  <si>
    <t>Fixed Costs</t>
  </si>
  <si>
    <t># units</t>
  </si>
  <si>
    <t>Max unit capacity</t>
  </si>
  <si>
    <t>Plant Category</t>
  </si>
  <si>
    <t>Total Cap</t>
  </si>
  <si>
    <t>Planned Outage Rate</t>
  </si>
  <si>
    <t>Forced Outage rate</t>
  </si>
  <si>
    <t>Fuel Costs</t>
  </si>
  <si>
    <t>Year online</t>
  </si>
  <si>
    <t>Retire. yr (NIRP)</t>
  </si>
  <si>
    <t>Life</t>
  </si>
  <si>
    <t>Retire. yr (model)</t>
  </si>
  <si>
    <t>Life (model)</t>
  </si>
  <si>
    <t>Retire. yr (SNAPP)</t>
  </si>
  <si>
    <t>(Btu/kWh)</t>
  </si>
  <si>
    <t xml:space="preserve"> (R/MWh)</t>
  </si>
  <si>
    <t>(De-) Mothballed Coal</t>
  </si>
  <si>
    <t>Eskom Coal</t>
  </si>
  <si>
    <t>Duvha</t>
  </si>
  <si>
    <t>Majuba Dry</t>
  </si>
  <si>
    <t>Majuba Wet</t>
  </si>
  <si>
    <t>Non-Eskom Coal</t>
  </si>
  <si>
    <t>Kelvin "A"</t>
  </si>
  <si>
    <t>Kelvin "B"</t>
  </si>
  <si>
    <t>Pretoria West</t>
  </si>
  <si>
    <t>Rooiwal</t>
  </si>
  <si>
    <t>Sasol SSF</t>
  </si>
  <si>
    <t xml:space="preserve">Atlantis </t>
  </si>
  <si>
    <t>Mossel Bay</t>
  </si>
  <si>
    <t>Cahora Bassa</t>
  </si>
  <si>
    <t>Mini Hydros</t>
  </si>
  <si>
    <t>Vanderkloof</t>
  </si>
  <si>
    <t>dry year:</t>
  </si>
  <si>
    <t>Drakensberg</t>
  </si>
  <si>
    <t>Steenbras</t>
  </si>
  <si>
    <t>BHP Bayside</t>
  </si>
  <si>
    <t>BHP Hillside</t>
  </si>
  <si>
    <t>Mozal 1</t>
  </si>
  <si>
    <t>Mozal 2</t>
  </si>
  <si>
    <t>Skorpion</t>
  </si>
  <si>
    <t>DMP1</t>
  </si>
  <si>
    <t>DMP2</t>
  </si>
  <si>
    <t>Interruptible</t>
  </si>
  <si>
    <t>Average Calorific value</t>
  </si>
  <si>
    <t>MJ/kg</t>
  </si>
  <si>
    <t>Total Coal consumed</t>
  </si>
  <si>
    <t>Mt</t>
  </si>
  <si>
    <t>Total coal consumed</t>
  </si>
  <si>
    <t>Net Elc produced from Coal</t>
  </si>
  <si>
    <t>Overall Efficiency</t>
  </si>
  <si>
    <t>Average efficiency 2006-2008</t>
  </si>
  <si>
    <t>eps</t>
  </si>
  <si>
    <t>LOLP</t>
  </si>
  <si>
    <t>rationale - this method compensates for some of the problems with the other methods - the rationale is that local content will inflate at local PPI, whereas imported content will inflate at foreign PPI. The rationale for the USD/EURO split is that there will be different components from different countries</t>
  </si>
  <si>
    <t>1) assume a local and imported content ratio</t>
  </si>
  <si>
    <t>e.g. 40% local</t>
  </si>
  <si>
    <t>2) split figure up into two parts</t>
  </si>
  <si>
    <t>3) translate the local component into rands, translate the imported component into a ratio of USD and Euros, at the exchange rates prevailing in that year - all still nominal</t>
  </si>
  <si>
    <t>4) inflate the relevant components to 2008 currency</t>
  </si>
  <si>
    <t>5) translate at 2008 exchange rates into rands</t>
  </si>
  <si>
    <t>Inflation - PPIs</t>
  </si>
  <si>
    <t>Exchange Rates - nominal South African cents</t>
  </si>
  <si>
    <t>Exchange rates - 3-year moving averages 2003-2008 (using mid 2009 value for 2009) - use these to avoid impact of odd years</t>
  </si>
  <si>
    <t>US PPI - source: federal bureau of labour statistics</t>
  </si>
  <si>
    <t>Euro PPI, source: http://sdw.ecb.europa.eu</t>
  </si>
  <si>
    <t>UK PPI - source: http://www.statistics.gov.uk</t>
  </si>
  <si>
    <t>South Africa PPI - source: stats South Africa</t>
  </si>
  <si>
    <t>Euro</t>
  </si>
  <si>
    <t>USD</t>
  </si>
  <si>
    <t>GBP</t>
  </si>
  <si>
    <t>rands</t>
  </si>
  <si>
    <t>now - mid 2009</t>
  </si>
  <si>
    <t>Cost converter - overnight costs to PV costs, costs in different currencies to 2008 Rands</t>
  </si>
  <si>
    <t>instructions: enter stuff in the pink areas - all columns other than the costs (e,f,g) have lists - do not copy over these</t>
  </si>
  <si>
    <t>discount rate:</t>
  </si>
  <si>
    <t>USD/euro split - %USD</t>
  </si>
  <si>
    <t>% of local content:</t>
  </si>
  <si>
    <t>In 2008 Rands:</t>
  </si>
  <si>
    <t>capital cost converted</t>
  </si>
  <si>
    <t>Capital cost - overnight</t>
  </si>
  <si>
    <t>Capital cost - Present value</t>
  </si>
  <si>
    <t>Technology type</t>
  </si>
  <si>
    <t>currency</t>
  </si>
  <si>
    <t>year</t>
  </si>
  <si>
    <t>Present value or overnight cost?</t>
  </si>
  <si>
    <t>currency/kW</t>
  </si>
  <si>
    <t>currency/MWh</t>
  </si>
  <si>
    <t>PV/overnight ratio</t>
  </si>
  <si>
    <t>2008 R/kW</t>
  </si>
  <si>
    <t>2008 R/MWh</t>
  </si>
  <si>
    <t>Euros</t>
  </si>
  <si>
    <t>Overnight</t>
  </si>
  <si>
    <t>Present Value</t>
  </si>
  <si>
    <t>local content conversion</t>
  </si>
  <si>
    <t>forex conversion</t>
  </si>
  <si>
    <t>Currency conversion - to 2008 Rands - see next sheet for rationale / methodology</t>
  </si>
  <si>
    <t>local content in 2008 Rands</t>
  </si>
  <si>
    <t>USD fraction - nominal</t>
  </si>
  <si>
    <t>2008 rands</t>
  </si>
  <si>
    <t>Euro fraction - nominal</t>
  </si>
  <si>
    <t>INFLATION</t>
  </si>
  <si>
    <t>currency column</t>
  </si>
  <si>
    <t>Calculating Overnight to PV ratios and back</t>
  </si>
  <si>
    <t>Investment splits - years - plant comes on line at end of year 0 - derived from NIRP 3 plus assumptions for the rest</t>
  </si>
  <si>
    <t>Discounted splits - assume total investment without IDC = 1, then  the total WITH IDC would be the total discounted simple investment splits, as below (each year is the simple investment, plus the total interest for that year): the total of these is the PV/overnight ratio at the specified discount rate</t>
  </si>
  <si>
    <t>Currencies:</t>
  </si>
  <si>
    <t>Years</t>
  </si>
  <si>
    <t>Lookup currency</t>
  </si>
  <si>
    <t>Lookup PPI</t>
  </si>
  <si>
    <t>PV or Overnight</t>
  </si>
  <si>
    <t>US Dollars</t>
  </si>
  <si>
    <t>Rands</t>
  </si>
  <si>
    <t>UK Pounds</t>
  </si>
  <si>
    <t>References</t>
  </si>
  <si>
    <t>EIA 2009 - elc market module tbl 8.2</t>
  </si>
  <si>
    <t>NIRP 3 report 4 table 7</t>
  </si>
  <si>
    <t>Electricity demand Upstream of distribution</t>
  </si>
  <si>
    <t>National Average Distribution Losses</t>
  </si>
  <si>
    <t>National Average Transmission Losses</t>
  </si>
  <si>
    <t>National Electricity Demand (Distribution)</t>
  </si>
  <si>
    <t>Domestic Peak demand</t>
  </si>
  <si>
    <t>Carbon tax</t>
  </si>
  <si>
    <t>Lookup string</t>
  </si>
  <si>
    <t>Heat Rate</t>
  </si>
  <si>
    <t>FOR</t>
  </si>
  <si>
    <t>POR</t>
  </si>
  <si>
    <t>Selected? (1/0)</t>
  </si>
  <si>
    <t>NIRP 3 report 4 table 7 &amp; Agg data (ExistingCap)</t>
  </si>
  <si>
    <t>Eskom forecast of peak demand growth</t>
  </si>
  <si>
    <t>Eskom forecast of peak on their system</t>
  </si>
  <si>
    <t>Peak demand growth Check</t>
  </si>
  <si>
    <t>National Electricity Demand Growth IND eff (LTMS)</t>
  </si>
  <si>
    <t>National Electricity Demand Growth REF (LTMS)</t>
  </si>
  <si>
    <t>Demand reduction opportunities</t>
  </si>
  <si>
    <t>kW</t>
  </si>
  <si>
    <t>'000</t>
  </si>
  <si>
    <t>Electricity energy subtracted per unit per year</t>
  </si>
  <si>
    <t>Investment Cost per unit (over and above elc unit)</t>
  </si>
  <si>
    <t>Rm</t>
  </si>
  <si>
    <t>R/unit</t>
  </si>
  <si>
    <t>Power subtracted from peak demand per unit</t>
  </si>
  <si>
    <t>Total power subtracted</t>
  </si>
  <si>
    <t>Total energy subtracted</t>
  </si>
  <si>
    <t>Total units installed</t>
  </si>
  <si>
    <t>MWh</t>
  </si>
  <si>
    <t>High income Solar water heaters</t>
  </si>
  <si>
    <t>Number of units installed each year (replacing elc)</t>
  </si>
  <si>
    <t>Photovoltaics</t>
  </si>
  <si>
    <t>Size of home installation</t>
  </si>
  <si>
    <t>Number of units installed each year</t>
  </si>
  <si>
    <t>Total Capacity installed</t>
  </si>
  <si>
    <t>Total energy demand subtracted</t>
  </si>
  <si>
    <t>Total peak power demand subtracted</t>
  </si>
  <si>
    <t>National Electricity peak Demand (Distribution)</t>
  </si>
  <si>
    <t>National average load factor (before demand reduction)</t>
  </si>
  <si>
    <t>National electricity demand (distribution with reduction)</t>
  </si>
  <si>
    <t>National peak demand (distribution with reduction)</t>
  </si>
  <si>
    <t>National average load factor (with demand reduction)</t>
  </si>
  <si>
    <t>Electricity peak demand upstream of distribution</t>
  </si>
  <si>
    <t>Baseline demand projections downstream of distribution</t>
  </si>
  <si>
    <t>Demand reduction</t>
  </si>
  <si>
    <t>Upstream of distribution</t>
  </si>
  <si>
    <t>Upstream of transmission</t>
  </si>
  <si>
    <t>Imports</t>
  </si>
  <si>
    <t>Import capacity</t>
  </si>
  <si>
    <t>Exported electricity</t>
  </si>
  <si>
    <t>Peak Demand on generation system</t>
  </si>
  <si>
    <t>Exports</t>
  </si>
  <si>
    <t>Conversions and approximations:</t>
  </si>
  <si>
    <t>a) converting a coal price in Rands/ton to a coal price in Rands/GJ</t>
  </si>
  <si>
    <t>b) converting a diesel price in cents / litre into a diesel price in R/GJ</t>
  </si>
  <si>
    <t xml:space="preserve"> The average calorific value of coal which Eskom uses is:</t>
  </si>
  <si>
    <t>The calorific value of diesel (net) is:</t>
  </si>
  <si>
    <t>GJ per ton</t>
  </si>
  <si>
    <t>GJ/ton</t>
  </si>
  <si>
    <t>Option to use:</t>
  </si>
  <si>
    <t>enter your own time series</t>
  </si>
  <si>
    <t xml:space="preserve">Therefore 1 ton of coal contains </t>
  </si>
  <si>
    <t>GJ</t>
  </si>
  <si>
    <t>There are:</t>
  </si>
  <si>
    <t>ERC forecast, based on NIRP 3 and other sources</t>
  </si>
  <si>
    <t xml:space="preserve">thus a coal price of </t>
  </si>
  <si>
    <t>R/ton</t>
  </si>
  <si>
    <t>litres in a ton of diesel</t>
  </si>
  <si>
    <t>specify by % growth</t>
  </si>
  <si>
    <t xml:space="preserve">would be a price of </t>
  </si>
  <si>
    <t>R per GJ</t>
  </si>
  <si>
    <t>Therefore, 1 litre contains</t>
  </si>
  <si>
    <t xml:space="preserve">Thus, a price of </t>
  </si>
  <si>
    <t>cents/litre</t>
  </si>
  <si>
    <t xml:space="preserve">Would be </t>
  </si>
  <si>
    <t>Rands/GJ</t>
  </si>
  <si>
    <t>A note on units - all values are entered in 2008 Rands per GJ. There is a conversion table underneath to help you convert between different energy units. After costs are entered, these are translated into R/MWh BEFORE efficiency, and then the efficiency for each technology is applied to calculate the R/MWh cost for electricity production</t>
  </si>
  <si>
    <t>1) ERC forecast</t>
  </si>
  <si>
    <t>summary: in 2008 R/GJ</t>
  </si>
  <si>
    <t>NIRP 3 average, compared to 2008 average for electricity coal from South Africa Coal Journal, 10% escalates with oil price</t>
  </si>
  <si>
    <t>NIRP 3 10% escalates with oil price</t>
  </si>
  <si>
    <t>NIRP 3 for 2008, linked to oil price for diesel projection</t>
  </si>
  <si>
    <t>BFP plus wholesale margin, then escalate with oil price acc ratio between oil price and BFP</t>
  </si>
  <si>
    <t>same as above</t>
  </si>
  <si>
    <t>MIT study</t>
  </si>
  <si>
    <t>historical values:</t>
  </si>
  <si>
    <t>% growth rates during period:</t>
  </si>
  <si>
    <t>resulting values</t>
  </si>
  <si>
    <t>2) % growth by table:</t>
  </si>
  <si>
    <t>2009-2015</t>
  </si>
  <si>
    <t>2016-2020</t>
  </si>
  <si>
    <t>2021-2025</t>
  </si>
  <si>
    <t>2026-2030</t>
  </si>
  <si>
    <t>2030+</t>
  </si>
  <si>
    <t>3) enter time series</t>
  </si>
  <si>
    <t>Prices which will be used in the model:</t>
  </si>
  <si>
    <t>convert costs to Rands/MWh before efficiency</t>
  </si>
  <si>
    <t>R/GJ to R/MWh:</t>
  </si>
  <si>
    <t>Capital cost (2008)</t>
  </si>
  <si>
    <t>Technology learning? (Y/N)</t>
  </si>
  <si>
    <t>Y</t>
  </si>
  <si>
    <t>N</t>
  </si>
  <si>
    <t>(do not delete)</t>
  </si>
  <si>
    <t>Applied or not applied learning rates</t>
  </si>
  <si>
    <t>Existing capacity</t>
  </si>
  <si>
    <t>Retiring capacity - negative numbers</t>
  </si>
  <si>
    <t>2) The Investment Plan</t>
  </si>
  <si>
    <t>The investment plan - reference case</t>
  </si>
  <si>
    <t>The investment plan - scenario</t>
  </si>
  <si>
    <t>Technology Parameters used in cost calculations</t>
  </si>
  <si>
    <t>Referenced Technology Data</t>
  </si>
  <si>
    <t>Investment Plan: Reference Scenario</t>
  </si>
  <si>
    <t>Investment Plan: Alternative Scenario</t>
  </si>
  <si>
    <t>Environmental Impacts</t>
  </si>
  <si>
    <t>Reference Scenario Calculations</t>
  </si>
  <si>
    <t>Alternative Scenario Calculations</t>
  </si>
  <si>
    <t xml:space="preserve">Average Existing Coal power stations efficiency </t>
  </si>
  <si>
    <t>(From Eskom Annual report 2008)</t>
  </si>
  <si>
    <t>Currency and inflation conversion method</t>
  </si>
  <si>
    <t>Loss of Load Probability Calculation Parameters</t>
  </si>
  <si>
    <t>Number of Simulations</t>
  </si>
  <si>
    <t>Instructions for Basic Users</t>
  </si>
  <si>
    <t>This spreadsheet tool is for computing the costs and emissions implications of an investment plan of electricity generation over the period 2010-2030 for South Africa, given cost and technical assumptions about technology options.</t>
  </si>
  <si>
    <t>Instructions for more experienced users</t>
  </si>
  <si>
    <t>A more experienced user would follow the same process as above but could in addition manipulate the following parameters:</t>
  </si>
  <si>
    <t>Check Electricity Demand assumptions over study period in "Elec Demand"</t>
  </si>
  <si>
    <t>Look for the green cells, more instructions given on each sheet</t>
  </si>
  <si>
    <t>Check Fuel Costs assumptions over study period in "Fuel Costs"</t>
  </si>
  <si>
    <t>The discount rate in "Tech Parameters"</t>
  </si>
  <si>
    <t>Choosing a different reference for technology options in "Technology Data Raw"</t>
  </si>
  <si>
    <t>Instructions for advanced users</t>
  </si>
  <si>
    <t>Advanced users also follow the same process but can in addition manipulate the following parameters:</t>
  </si>
  <si>
    <t>In Purple cells</t>
  </si>
  <si>
    <t>in blue cells</t>
  </si>
  <si>
    <t>Check that there are no errors/surprises in the relative costs of technologies by looking at the "Cost Curves"</t>
  </si>
  <si>
    <t>Specify an investment plan for the SA Electricity Generation system over study period for a reference scenario (e.g. NIRP3) in "Investment Plan"</t>
  </si>
  <si>
    <t>Design an alternative scenario and see cost implications of alternative scenario in comparison to reference scenario by reviewing the comprehensive list of indicators, also in "Investment Plan"</t>
  </si>
  <si>
    <t>Specify a different demand scenario in "Elec Demand"</t>
  </si>
  <si>
    <t>Specify different availability and pdf for wind options in "Tech Parameters"</t>
  </si>
  <si>
    <t>Specify new technologies in "Tech Parameters" and "Technology data raw"</t>
  </si>
  <si>
    <t>Specify a different retirement schedule for existing capacity in "RetiringCapacity"</t>
  </si>
  <si>
    <t>Specify different LOLP parameters in "LOLP_parameters"</t>
  </si>
  <si>
    <t>Review Graphs of costs in "Costs Graphs"</t>
  </si>
  <si>
    <t>Review Graphs of emissions in "Environmental Impacts"</t>
  </si>
  <si>
    <t>Source tables for graphs are foung in "Output Tables"</t>
  </si>
  <si>
    <t>Once you have a suitable scenario save the file. If other scenarios are required, save file under a different name.</t>
  </si>
  <si>
    <t>Specify different penetrations of solar water heaters and photovoltaics in "Elec Demand"</t>
  </si>
  <si>
    <t>Specify different cost and savings parameters for solar water heaters and photovoltaics</t>
  </si>
  <si>
    <t>Note there is currently no check on maximum capacity installed for different techs, so it is for the user to make sure that the system doesn't go beyond what the potential is</t>
  </si>
  <si>
    <t>Choose an option in this cell:</t>
  </si>
  <si>
    <t>CO2 tax</t>
  </si>
  <si>
    <t>tax level (Rands/ton)</t>
  </si>
  <si>
    <t>total tax (R millions)</t>
  </si>
  <si>
    <t>CO2 tax (R/ton)</t>
  </si>
  <si>
    <t>Apply CO2 tax?</t>
  </si>
  <si>
    <t>Discounted carbon tax - assume same level for 2031-2050 as for 2030, as for above discounting</t>
  </si>
  <si>
    <t>without CO2 tax</t>
  </si>
  <si>
    <t>with CO2 tax</t>
  </si>
  <si>
    <t>including CO2 tax:</t>
  </si>
  <si>
    <t>carbon tax</t>
  </si>
  <si>
    <t>total with carbon tax, for average cost calculation</t>
  </si>
  <si>
    <t>total with carbon tax</t>
  </si>
  <si>
    <t>Average an elec cost with carbon tax</t>
  </si>
  <si>
    <t>Capacity and output</t>
  </si>
  <si>
    <t>Capacity utilisation</t>
  </si>
  <si>
    <t>Costs Graphs - Reference</t>
  </si>
  <si>
    <t>Costs Graphs - Scenario</t>
  </si>
  <si>
    <t>Alternative demand projection 1</t>
  </si>
  <si>
    <t>Alternative demand projection 2</t>
  </si>
  <si>
    <t>Alternative demand projection 3</t>
  </si>
  <si>
    <t>choose:</t>
  </si>
  <si>
    <t>Instructions: You can specify new / alternative technologies in rows 9 to 19. Specify the name of the technology in column B, and choose the technology type from a list in column C. The power plant characteristics are automatically looked up in the 'Tech Parameters' sheet.  You can enter your own parameters there. You can also change the discount rate in cell C27, and switch technology learning on or off in cell I27.</t>
  </si>
  <si>
    <t>Show? (Y/N)</t>
  </si>
  <si>
    <t>Table</t>
  </si>
  <si>
    <t>Instructions: change setting in column B to Y or N to show the levellised cost of specific technologies</t>
  </si>
  <si>
    <t>Instructions: enter "Y" in cell D36 to apply a CO2 tax, and enter the yearly tax per ton of CO2 in row 38</t>
  </si>
  <si>
    <t>include SWH?</t>
  </si>
  <si>
    <t>include PV?</t>
  </si>
  <si>
    <t>Total additional annual cost (assuming capex is over one year only)</t>
  </si>
  <si>
    <t>Demand reduction  (PV and SWH)</t>
  </si>
  <si>
    <t>Reference electricity system costs and average electricity cost</t>
  </si>
  <si>
    <t>Scenario electricity system costs and average electricity cost</t>
  </si>
  <si>
    <t>Scenario annual investment requirement</t>
  </si>
  <si>
    <t>Reference annual investment requirement</t>
  </si>
  <si>
    <t>assume 0 SOx for new coal - assume FGD</t>
  </si>
  <si>
    <t>Instructions: choose, in cell B12, either the ERC forecast for fule prices (all expressed in R/GJ), your own forecast, which you specify by entering a % growth rate in the table starting in J34 (the % is the growth rate for each year in the five-year period in each column), or specify your own time series in rows 53 to 60.</t>
  </si>
  <si>
    <t>To covert fuel prices - coal and liquid fuels - use the calculators below - enter a coal price in R/ton in cell G12, and the R/GJ value will be below in cel G13. For liquid fuels, enter a price in cents/litre in N14, and the R/GJ will appear below.</t>
  </si>
  <si>
    <t>Choose one of the following options, in the purple cell below:</t>
  </si>
  <si>
    <t>The LTMS growth forecast is a baseline forecast (business as usual), whereas the Ind eff forecast is a scenario based on the implementation of an industrial energy efficiency programme</t>
  </si>
  <si>
    <t>Instructions: choose an electricity demand growth forecast in cell C8. You can specify your own forecast in rows 43 to 45. You will still have to choose which forecast you want to use in cell C8. Specify whether to include Solar Water Heaters (which will reduce demand and increase cost), and distributed grid-connected PV in cells D5 and D6. Set the parameters for these two options in rows 52 and 63.</t>
  </si>
  <si>
    <t>Components for a specific technology</t>
  </si>
  <si>
    <t>Fixed O and M</t>
  </si>
  <si>
    <t>Variable O and M</t>
  </si>
  <si>
    <t>Total</t>
  </si>
  <si>
    <t>To look at a breakdown of levellised costs for a specific technology, choose the technology in cell M2</t>
  </si>
  <si>
    <t>custom graph:</t>
  </si>
  <si>
    <t>left axis:</t>
  </si>
  <si>
    <t>right axis:</t>
  </si>
  <si>
    <t>formatting:</t>
  </si>
  <si>
    <t>row 1%?</t>
  </si>
  <si>
    <t>row 2%?</t>
  </si>
  <si>
    <t>Indicator graph - choose indicator:</t>
  </si>
  <si>
    <t>Instructions: click on the buttons to the left to switch between "ref" - reference case, "scen" - scenario case, and "comp" - a comparison between the cases. Change the number of units in the table below to change the number of power plants built in each year - unit sizes are in column B - see results in the graphs to the right. Select the reserve margin indicator in cell A31. Select which other indicators to view in cells A34 to 36, or view all indicators in rows 39 to 53. To see any of these indicators graphically, select the indicator in cells Y8 and Y9 - indicator will be plotted on graph below. Scroll right to see total system capacity, total output, and to plot capacity, output and utilisation for individual technologies</t>
  </si>
  <si>
    <t>Unit size MW</t>
  </si>
  <si>
    <t>emissions:</t>
  </si>
  <si>
    <t>CO2 emissions per kWh (without network losses)</t>
  </si>
  <si>
    <t>GHG emissions intensity (without network losses)</t>
  </si>
  <si>
    <t>kg/kWh</t>
  </si>
  <si>
    <t>Minimum % of rated capacity dispatched</t>
  </si>
  <si>
    <t>Minimum plant output: = total capacity x availability x hours in year x minimum unitilisation defined in table by technology type in the 'tech parameters' sheet</t>
  </si>
  <si>
    <t>Additional plant output to get to max (max-min)  = same as above for max, then subtract minimum</t>
  </si>
  <si>
    <t>Minimum ranked by the group ranking - the minimum costs above ranked by group ranking - nuclear, ocgt etc dispatched first, coal last etc</t>
  </si>
  <si>
    <t>Maximum ranked by marginal cost - the remainder ranked by marginal cost, to make up rest of power to be dispatched</t>
  </si>
  <si>
    <t>Levelised cost   for individual plants:</t>
  </si>
  <si>
    <t>add carbon tax to short run marginal cost</t>
  </si>
  <si>
    <t>Last LOLP update</t>
  </si>
  <si>
    <t>LOLP (peak hour including imports)</t>
  </si>
  <si>
    <t>Total with Imports</t>
  </si>
  <si>
    <t>Total new (GW)</t>
  </si>
  <si>
    <t>Peak Demand</t>
  </si>
  <si>
    <t>Have a look at and become familiar with the relative costs of technologies by looking at the "Cost Curves"</t>
  </si>
  <si>
    <t>The investment plan must satisify the minimum reliability criteria, of high enough reserve margin (15%-25%) and low LOLP (&lt;1%)</t>
  </si>
  <si>
    <t>Check Technology options and parameters in "Tech Parameters". There is the option of adding new technologies from the technology types available, and including/excluding tech learning.</t>
  </si>
  <si>
    <t>Investment Cost per kW</t>
  </si>
  <si>
    <t>Electricity demand Upstream of Transmission excl. exports, PS input</t>
  </si>
  <si>
    <t>Electricity peak demand upstream of transmission excl. exports, PS input</t>
  </si>
  <si>
    <t>Peak Demand on national system incl exports</t>
  </si>
  <si>
    <t>Energy dispatched upstream of transmission (excl. PS input)</t>
  </si>
  <si>
    <t>Load Factor (demand)</t>
  </si>
  <si>
    <t>Nuclear and Coal Scenario</t>
  </si>
  <si>
    <t>ERC estimate based on EIA, IEA2008, NIRP3</t>
  </si>
  <si>
    <t>Energy reserve margin (incl. net exports)</t>
  </si>
  <si>
    <t>Renewable Scenario</t>
  </si>
  <si>
    <t>scroll right for electricity sent out, individual technology comparison, and indicator comparison</t>
  </si>
  <si>
    <t>Comparing indicators</t>
  </si>
  <si>
    <t>Indicator:</t>
  </si>
  <si>
    <t>Indicator series</t>
  </si>
  <si>
    <t>format</t>
  </si>
  <si>
    <t>Alternative scenario indicator / reference secnario indicator</t>
  </si>
  <si>
    <t>(useful for comparing e.g. costs or GHG emissions to the baseline)</t>
  </si>
  <si>
    <t>alt / ref</t>
  </si>
  <si>
    <t>LOLP last updated:</t>
  </si>
  <si>
    <t>19/11/2009 11:21:49 AM</t>
  </si>
  <si>
    <t>19/11/2009 11:22:00 AM</t>
  </si>
  <si>
    <t>About SNAPP</t>
  </si>
  <si>
    <t>SNAPP was developed by the Energy Research Centre, University of Cape Town, Cape Town, South Africa. If you have any comments, questions or suggestions, email andrew.marquard@uct.ac.za or brunomerven@gmail.com</t>
  </si>
</sst>
</file>

<file path=xl/styles.xml><?xml version="1.0" encoding="utf-8"?>
<styleSheet xmlns="http://schemas.openxmlformats.org/spreadsheetml/2006/main">
  <numFmts count="12">
    <numFmt numFmtId="6" formatCode="&quot;R&quot;\ #,##0;[Red]&quot;R&quot;\ \-#,##0"/>
    <numFmt numFmtId="8" formatCode="&quot;R&quot;\ #,##0.00;[Red]&quot;R&quot;\ \-#,##0.00"/>
    <numFmt numFmtId="43" formatCode="_ * #,##0.00_ ;_ * \-#,##0.00_ ;_ * &quot;-&quot;??_ ;_ @_ "/>
    <numFmt numFmtId="164" formatCode="_(* #,##0.00_);_(* \(#,##0.00\);_(* &quot;-&quot;??_);_(@_)"/>
    <numFmt numFmtId="165" formatCode="0.0%"/>
    <numFmt numFmtId="166" formatCode="0.0"/>
    <numFmt numFmtId="167" formatCode="0.0000"/>
    <numFmt numFmtId="168" formatCode="_(* #,##0_);_(* \(#,##0\);_(* &quot;-&quot;??_);_(@_)"/>
    <numFmt numFmtId="169" formatCode="0.000"/>
    <numFmt numFmtId="170" formatCode="_(* #,##0.0_);_(* \(#,##0.0\);_(* &quot;-&quot;??_);_(@_)"/>
    <numFmt numFmtId="171" formatCode="0.00000"/>
    <numFmt numFmtId="172" formatCode="_(* #,##0.000_);_(* \(#,##0.000\);_(* &quot;-&quot;??_);_(@_)"/>
  </numFmts>
  <fonts count="41">
    <font>
      <sz val="10"/>
      <name val="Arial"/>
    </font>
    <font>
      <sz val="10"/>
      <name val="Arial"/>
      <family val="2"/>
    </font>
    <font>
      <sz val="8"/>
      <name val="Arial"/>
      <family val="2"/>
    </font>
    <font>
      <b/>
      <sz val="10"/>
      <name val="Arial"/>
      <family val="2"/>
    </font>
    <font>
      <u/>
      <sz val="7.5"/>
      <color indexed="12"/>
      <name val="Arial"/>
      <family val="2"/>
    </font>
    <font>
      <b/>
      <u/>
      <sz val="10"/>
      <name val="Arial"/>
      <family val="2"/>
    </font>
    <font>
      <sz val="10"/>
      <name val="Arial"/>
      <family val="2"/>
    </font>
    <font>
      <i/>
      <sz val="10"/>
      <name val="Arial"/>
      <family val="2"/>
    </font>
    <font>
      <b/>
      <sz val="12"/>
      <name val="Arial"/>
      <family val="2"/>
    </font>
    <font>
      <b/>
      <i/>
      <sz val="10"/>
      <name val="Arial"/>
      <family val="2"/>
    </font>
    <font>
      <sz val="10"/>
      <name val="Tahoma"/>
      <family val="2"/>
    </font>
    <font>
      <b/>
      <sz val="8"/>
      <name val="Arial"/>
      <family val="2"/>
    </font>
    <font>
      <b/>
      <sz val="11"/>
      <name val="Arial"/>
      <family val="2"/>
    </font>
    <font>
      <u/>
      <sz val="10"/>
      <color indexed="12"/>
      <name val="Arial"/>
      <family val="2"/>
    </font>
    <font>
      <b/>
      <sz val="8"/>
      <color indexed="81"/>
      <name val="Tahoma"/>
      <family val="2"/>
    </font>
    <font>
      <sz val="8"/>
      <color indexed="81"/>
      <name val="Tahoma"/>
      <family val="2"/>
    </font>
    <font>
      <sz val="10"/>
      <name val="Arial"/>
      <family val="2"/>
    </font>
    <font>
      <i/>
      <sz val="8"/>
      <name val="Arial"/>
      <family val="2"/>
    </font>
    <font>
      <sz val="10"/>
      <name val="Arial"/>
      <family val="2"/>
    </font>
    <font>
      <sz val="10"/>
      <name val="Arial"/>
      <family val="2"/>
    </font>
    <font>
      <sz val="9"/>
      <name val="Arial"/>
      <family val="2"/>
    </font>
    <font>
      <b/>
      <sz val="9"/>
      <name val="Arial"/>
      <family val="2"/>
    </font>
    <font>
      <sz val="11"/>
      <color theme="1"/>
      <name val="Calibri"/>
      <family val="2"/>
      <scheme val="minor"/>
    </font>
    <font>
      <sz val="11"/>
      <color rgb="FF9C0006"/>
      <name val="Calibri"/>
      <family val="2"/>
      <scheme val="minor"/>
    </font>
    <font>
      <b/>
      <sz val="11"/>
      <color rgb="FFFA7D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sz val="11"/>
      <color rgb="FF9C6500"/>
      <name val="Calibri"/>
      <family val="2"/>
      <scheme val="minor"/>
    </font>
    <font>
      <b/>
      <sz val="11"/>
      <color theme="1"/>
      <name val="Calibri"/>
      <family val="2"/>
      <scheme val="minor"/>
    </font>
    <font>
      <i/>
      <sz val="11"/>
      <color theme="1"/>
      <name val="Calibri"/>
      <family val="2"/>
      <scheme val="minor"/>
    </font>
    <font>
      <b/>
      <sz val="10"/>
      <color rgb="FFFFC000"/>
      <name val="Arial"/>
      <family val="2"/>
    </font>
    <font>
      <sz val="10"/>
      <color rgb="FFFFC000"/>
      <name val="Arial"/>
      <family val="2"/>
    </font>
    <font>
      <sz val="11"/>
      <color theme="1"/>
      <name val="Verdana"/>
      <family val="2"/>
    </font>
    <font>
      <sz val="11"/>
      <name val="Calibri"/>
      <family val="2"/>
      <scheme val="minor"/>
    </font>
    <font>
      <b/>
      <sz val="11"/>
      <name val="Calibri"/>
      <family val="2"/>
      <scheme val="minor"/>
    </font>
    <font>
      <b/>
      <sz val="11"/>
      <color rgb="FF3F3F76"/>
      <name val="Calibri"/>
      <family val="2"/>
      <scheme val="minor"/>
    </font>
    <font>
      <sz val="10"/>
      <color rgb="FF000000"/>
      <name val="Calibri"/>
      <family val="2"/>
    </font>
    <font>
      <sz val="10"/>
      <color theme="6" tint="-0.499984740745262"/>
      <name val="Arial"/>
      <family val="2"/>
    </font>
    <font>
      <b/>
      <sz val="10.5"/>
      <color rgb="FF000000"/>
      <name val="Calibri"/>
      <family val="2"/>
    </font>
  </fonts>
  <fills count="21">
    <fill>
      <patternFill patternType="none"/>
    </fill>
    <fill>
      <patternFill patternType="gray125"/>
    </fill>
    <fill>
      <patternFill patternType="solid">
        <fgColor theme="7" tint="0.39994506668294322"/>
        <bgColor indexed="64"/>
      </patternFill>
    </fill>
    <fill>
      <patternFill patternType="solid">
        <fgColor rgb="FFFFC7CE"/>
      </patternFill>
    </fill>
    <fill>
      <patternFill patternType="solid">
        <fgColor theme="6" tint="0.39994506668294322"/>
        <bgColor indexed="64"/>
      </patternFill>
    </fill>
    <fill>
      <patternFill patternType="solid">
        <fgColor theme="6" tint="0.59996337778862885"/>
        <bgColor indexed="64"/>
      </patternFill>
    </fill>
    <fill>
      <patternFill patternType="solid">
        <fgColor rgb="FFF2F2F2"/>
      </patternFill>
    </fill>
    <fill>
      <patternFill patternType="solid">
        <fgColor rgb="FFFFCC99"/>
      </patternFill>
    </fill>
    <fill>
      <patternFill patternType="solid">
        <fgColor theme="8" tint="0.59996337778862885"/>
        <bgColor indexed="64"/>
      </patternFill>
    </fill>
    <fill>
      <patternFill patternType="solid">
        <fgColor theme="8" tint="0.39994506668294322"/>
        <bgColor indexed="64"/>
      </patternFill>
    </fill>
    <fill>
      <patternFill patternType="solid">
        <fgColor rgb="FFFFEB9C"/>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
      <patternFill patternType="solid">
        <fgColor theme="9" tint="0.79998168889431442"/>
        <bgColor indexed="64"/>
      </patternFill>
    </fill>
    <fill>
      <patternFill patternType="solid">
        <fgColor rgb="FF92D050"/>
        <bgColor indexed="64"/>
      </patternFill>
    </fill>
    <fill>
      <patternFill patternType="solid">
        <fgColor theme="6"/>
        <bgColor indexed="64"/>
      </patternFill>
    </fill>
    <fill>
      <patternFill patternType="solid">
        <fgColor theme="7" tint="0.39997558519241921"/>
        <bgColor indexed="64"/>
      </patternFill>
    </fill>
    <fill>
      <patternFill patternType="solid">
        <fgColor theme="6" tint="0.39997558519241921"/>
        <bgColor indexed="64"/>
      </patternFill>
    </fill>
    <fill>
      <patternFill patternType="solid">
        <fgColor theme="6" tint="0.59999389629810485"/>
        <bgColor indexed="64"/>
      </patternFill>
    </fill>
    <fill>
      <patternFill patternType="solid">
        <fgColor theme="0"/>
        <bgColor indexed="64"/>
      </patternFill>
    </fill>
  </fills>
  <borders count="35">
    <border>
      <left/>
      <right/>
      <top/>
      <bottom/>
      <diagonal/>
    </border>
    <border>
      <left/>
      <right/>
      <top/>
      <bottom style="thin">
        <color indexed="64"/>
      </bottom>
      <diagonal/>
    </border>
    <border>
      <left/>
      <right/>
      <top style="thin">
        <color indexed="64"/>
      </top>
      <bottom/>
      <diagonal/>
    </border>
    <border>
      <left/>
      <right/>
      <top/>
      <bottom style="double">
        <color indexed="64"/>
      </bottom>
      <diagonal/>
    </border>
    <border>
      <left/>
      <right/>
      <top style="thin">
        <color indexed="64"/>
      </top>
      <bottom style="double">
        <color indexed="64"/>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7" tint="-0.24994659260841701"/>
      </left>
      <right style="thin">
        <color theme="7" tint="-0.24994659260841701"/>
      </right>
      <top style="thin">
        <color theme="7" tint="-0.24994659260841701"/>
      </top>
      <bottom style="thin">
        <color theme="7" tint="-0.24994659260841701"/>
      </bottom>
      <diagonal/>
    </border>
    <border>
      <left style="thin">
        <color theme="6" tint="-0.499984740745262"/>
      </left>
      <right style="thin">
        <color theme="6" tint="-0.499984740745262"/>
      </right>
      <top style="thin">
        <color theme="6" tint="-0.499984740745262"/>
      </top>
      <bottom style="thin">
        <color theme="6" tint="-0.499984740745262"/>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84740745262"/>
      </bottom>
      <diagonal/>
    </border>
    <border>
      <left style="thin">
        <color theme="8" tint="-0.499984740745262"/>
      </left>
      <right style="thin">
        <color theme="8" tint="-0.499984740745262"/>
      </right>
      <top style="thin">
        <color theme="8" tint="-0.499984740745262"/>
      </top>
      <bottom style="thin">
        <color theme="8" tint="-0.499984740745262"/>
      </bottom>
      <diagonal/>
    </border>
    <border>
      <left style="thin">
        <color rgb="FFB0C4DE"/>
      </left>
      <right style="thin">
        <color rgb="FFB0C4DE"/>
      </right>
      <top style="thin">
        <color rgb="FFB0C4DE"/>
      </top>
      <bottom style="thin">
        <color rgb="FFB0C4DE"/>
      </bottom>
      <diagonal/>
    </border>
    <border>
      <left style="thin">
        <color indexed="64"/>
      </left>
      <right style="thin">
        <color rgb="FF7F7F7F"/>
      </right>
      <top style="thin">
        <color indexed="64"/>
      </top>
      <bottom style="thin">
        <color rgb="FF7F7F7F"/>
      </bottom>
      <diagonal/>
    </border>
    <border>
      <left style="thin">
        <color rgb="FF7F7F7F"/>
      </left>
      <right style="thin">
        <color rgb="FF7F7F7F"/>
      </right>
      <top style="thin">
        <color indexed="64"/>
      </top>
      <bottom style="thin">
        <color rgb="FF7F7F7F"/>
      </bottom>
      <diagonal/>
    </border>
    <border>
      <left style="thin">
        <color rgb="FF7F7F7F"/>
      </left>
      <right style="thin">
        <color indexed="64"/>
      </right>
      <top style="thin">
        <color indexed="64"/>
      </top>
      <bottom style="thin">
        <color rgb="FF7F7F7F"/>
      </bottom>
      <diagonal/>
    </border>
    <border>
      <left style="thin">
        <color indexed="64"/>
      </left>
      <right style="thin">
        <color rgb="FF7F7F7F"/>
      </right>
      <top style="thin">
        <color rgb="FF7F7F7F"/>
      </top>
      <bottom style="thin">
        <color rgb="FF7F7F7F"/>
      </bottom>
      <diagonal/>
    </border>
    <border>
      <left style="thin">
        <color rgb="FF7F7F7F"/>
      </left>
      <right style="thin">
        <color indexed="64"/>
      </right>
      <top style="thin">
        <color rgb="FF7F7F7F"/>
      </top>
      <bottom style="thin">
        <color rgb="FF7F7F7F"/>
      </bottom>
      <diagonal/>
    </border>
    <border>
      <left style="thin">
        <color indexed="64"/>
      </left>
      <right style="thin">
        <color rgb="FF7F7F7F"/>
      </right>
      <top style="thin">
        <color rgb="FF7F7F7F"/>
      </top>
      <bottom style="thin">
        <color indexed="64"/>
      </bottom>
      <diagonal/>
    </border>
    <border>
      <left style="thin">
        <color rgb="FF7F7F7F"/>
      </left>
      <right style="thin">
        <color rgb="FF7F7F7F"/>
      </right>
      <top style="thin">
        <color rgb="FF7F7F7F"/>
      </top>
      <bottom style="thin">
        <color indexed="64"/>
      </bottom>
      <diagonal/>
    </border>
    <border>
      <left style="thin">
        <color rgb="FF7F7F7F"/>
      </left>
      <right style="thin">
        <color indexed="64"/>
      </right>
      <top style="thin">
        <color rgb="FF7F7F7F"/>
      </top>
      <bottom style="thin">
        <color indexed="64"/>
      </bottom>
      <diagonal/>
    </border>
    <border>
      <left style="thin">
        <color rgb="FFB0C4DE"/>
      </left>
      <right style="thin">
        <color rgb="FFB0C4DE"/>
      </right>
      <top style="thin">
        <color rgb="FFB0C4DE"/>
      </top>
      <bottom/>
      <diagonal/>
    </border>
    <border>
      <left style="thin">
        <color rgb="FFB0C4DE"/>
      </left>
      <right style="thin">
        <color rgb="FFB0C4DE"/>
      </right>
      <top style="thin">
        <color indexed="64"/>
      </top>
      <bottom style="thin">
        <color rgb="FFB0C4DE"/>
      </bottom>
      <diagonal/>
    </border>
    <border>
      <left style="medium">
        <color theme="5"/>
      </left>
      <right/>
      <top style="medium">
        <color theme="5"/>
      </top>
      <bottom style="medium">
        <color theme="5"/>
      </bottom>
      <diagonal/>
    </border>
    <border>
      <left/>
      <right/>
      <top style="medium">
        <color theme="5"/>
      </top>
      <bottom style="medium">
        <color theme="5"/>
      </bottom>
      <diagonal/>
    </border>
    <border>
      <left/>
      <right style="medium">
        <color theme="5"/>
      </right>
      <top style="medium">
        <color theme="5"/>
      </top>
      <bottom style="medium">
        <color theme="5"/>
      </bottom>
      <diagonal/>
    </border>
  </borders>
  <cellStyleXfs count="19">
    <xf numFmtId="0" fontId="0" fillId="0" borderId="0"/>
    <xf numFmtId="171" fontId="1" fillId="2" borderId="15" applyNumberFormat="0" applyFont="0" applyAlignment="0"/>
    <xf numFmtId="0" fontId="23" fillId="3" borderId="0" applyNumberFormat="0" applyBorder="0" applyAlignment="0" applyProtection="0"/>
    <xf numFmtId="0" fontId="1" fillId="4" borderId="16" applyNumberFormat="0" applyFont="0" applyAlignment="0"/>
    <xf numFmtId="0" fontId="2" fillId="5" borderId="16" applyNumberFormat="0" applyFont="0" applyAlignment="0"/>
    <xf numFmtId="0" fontId="24" fillId="6" borderId="17" applyNumberFormat="0" applyAlignment="0" applyProtection="0"/>
    <xf numFmtId="164" fontId="1" fillId="0" borderId="0" applyFont="0" applyFill="0" applyBorder="0" applyAlignment="0" applyProtection="0"/>
    <xf numFmtId="170" fontId="6" fillId="0" borderId="0" applyFont="0" applyFill="0" applyBorder="0" applyAlignment="0" applyProtection="0"/>
    <xf numFmtId="0" fontId="25" fillId="0" borderId="18" applyNumberFormat="0" applyFill="0" applyAlignment="0" applyProtection="0"/>
    <xf numFmtId="0" fontId="26" fillId="0" borderId="19" applyNumberFormat="0" applyFill="0" applyAlignment="0" applyProtection="0"/>
    <xf numFmtId="0" fontId="27" fillId="0" borderId="0" applyNumberFormat="0" applyFill="0" applyBorder="0" applyAlignment="0" applyProtection="0"/>
    <xf numFmtId="0" fontId="4" fillId="0" borderId="0" applyNumberFormat="0" applyFill="0" applyBorder="0" applyAlignment="0" applyProtection="0">
      <alignment vertical="top"/>
      <protection locked="0"/>
    </xf>
    <xf numFmtId="0" fontId="28" fillId="7" borderId="17" applyNumberFormat="0" applyAlignment="0" applyProtection="0"/>
    <xf numFmtId="0" fontId="1" fillId="8" borderId="20" applyNumberFormat="0" applyFont="0" applyAlignment="0"/>
    <xf numFmtId="0" fontId="1" fillId="9" borderId="20" applyNumberFormat="0" applyFont="0" applyAlignment="0"/>
    <xf numFmtId="0" fontId="29" fillId="10" borderId="0" applyNumberFormat="0" applyBorder="0" applyAlignment="0" applyProtection="0"/>
    <xf numFmtId="0" fontId="1" fillId="0" borderId="0"/>
    <xf numFmtId="9" fontId="1" fillId="0" borderId="0" applyFont="0" applyFill="0" applyBorder="0" applyAlignment="0" applyProtection="0"/>
    <xf numFmtId="9" fontId="6" fillId="0" borderId="0" applyFont="0" applyFill="0" applyBorder="0" applyAlignment="0" applyProtection="0"/>
  </cellStyleXfs>
  <cellXfs count="345">
    <xf numFmtId="0" fontId="0" fillId="0" borderId="0" xfId="0"/>
    <xf numFmtId="0" fontId="0" fillId="0" borderId="0" xfId="0" applyAlignment="1"/>
    <xf numFmtId="0" fontId="4" fillId="0" borderId="0" xfId="11" applyAlignment="1" applyProtection="1"/>
    <xf numFmtId="0" fontId="3" fillId="0" borderId="0" xfId="0" applyFont="1" applyAlignment="1"/>
    <xf numFmtId="0" fontId="3" fillId="0" borderId="0" xfId="0" applyFont="1"/>
    <xf numFmtId="4" fontId="0" fillId="0" borderId="0" xfId="0" applyNumberFormat="1"/>
    <xf numFmtId="165" fontId="0" fillId="0" borderId="0" xfId="17" applyNumberFormat="1" applyFont="1" applyAlignment="1"/>
    <xf numFmtId="1" fontId="0" fillId="0" borderId="0" xfId="0" applyNumberFormat="1"/>
    <xf numFmtId="0" fontId="0" fillId="0" borderId="0" xfId="0" applyAlignment="1">
      <alignment wrapText="1"/>
    </xf>
    <xf numFmtId="168" fontId="0" fillId="0" borderId="0" xfId="6" applyNumberFormat="1" applyFont="1"/>
    <xf numFmtId="9" fontId="0" fillId="0" borderId="0" xfId="0" applyNumberFormat="1"/>
    <xf numFmtId="0" fontId="1" fillId="0" borderId="0" xfId="0" applyFont="1"/>
    <xf numFmtId="164" fontId="0" fillId="0" borderId="0" xfId="6" applyNumberFormat="1" applyFont="1"/>
    <xf numFmtId="2" fontId="0" fillId="0" borderId="0" xfId="0" applyNumberFormat="1"/>
    <xf numFmtId="0" fontId="0" fillId="0" borderId="0" xfId="0" applyFont="1" applyAlignment="1"/>
    <xf numFmtId="165" fontId="0" fillId="0" borderId="0" xfId="17" applyNumberFormat="1" applyFont="1"/>
    <xf numFmtId="0" fontId="1" fillId="0" borderId="0" xfId="16"/>
    <xf numFmtId="0" fontId="30" fillId="0" borderId="0" xfId="0" applyFont="1"/>
    <xf numFmtId="0" fontId="3" fillId="0" borderId="0" xfId="16" applyFont="1"/>
    <xf numFmtId="164" fontId="0" fillId="0" borderId="0" xfId="6" applyFont="1"/>
    <xf numFmtId="168" fontId="3" fillId="0" borderId="0" xfId="0" applyNumberFormat="1" applyFont="1"/>
    <xf numFmtId="0" fontId="0" fillId="0" borderId="0" xfId="0" applyFill="1"/>
    <xf numFmtId="0" fontId="1" fillId="0" borderId="0" xfId="0" applyFont="1" applyAlignment="1"/>
    <xf numFmtId="10" fontId="0" fillId="0" borderId="0" xfId="0" applyNumberFormat="1"/>
    <xf numFmtId="168" fontId="0" fillId="0" borderId="0" xfId="0" applyNumberFormat="1"/>
    <xf numFmtId="11" fontId="0" fillId="0" borderId="0" xfId="0" applyNumberFormat="1"/>
    <xf numFmtId="9" fontId="0" fillId="0" borderId="0" xfId="17" applyFont="1"/>
    <xf numFmtId="0" fontId="3" fillId="0" borderId="0" xfId="0" applyNumberFormat="1" applyFont="1"/>
    <xf numFmtId="168" fontId="1" fillId="0" borderId="0" xfId="6" applyNumberFormat="1" applyFont="1"/>
    <xf numFmtId="0" fontId="0" fillId="0" borderId="0" xfId="0" applyNumberFormat="1"/>
    <xf numFmtId="10" fontId="0" fillId="0" borderId="0" xfId="17" applyNumberFormat="1" applyFont="1"/>
    <xf numFmtId="2" fontId="0" fillId="0" borderId="0" xfId="17" applyNumberFormat="1" applyFont="1"/>
    <xf numFmtId="0" fontId="8" fillId="0" borderId="0" xfId="0" applyFont="1"/>
    <xf numFmtId="8" fontId="0" fillId="0" borderId="0" xfId="0" applyNumberFormat="1"/>
    <xf numFmtId="0" fontId="7" fillId="0" borderId="0" xfId="0" applyFont="1"/>
    <xf numFmtId="0" fontId="0" fillId="11" borderId="0" xfId="0" applyFill="1"/>
    <xf numFmtId="0" fontId="1" fillId="0" borderId="0" xfId="0" applyFont="1" applyFill="1"/>
    <xf numFmtId="0" fontId="0" fillId="0" borderId="0" xfId="17" applyNumberFormat="1" applyFont="1"/>
    <xf numFmtId="0" fontId="3" fillId="0" borderId="0" xfId="0" applyFont="1" applyFill="1"/>
    <xf numFmtId="0" fontId="3" fillId="0" borderId="0" xfId="0" applyFont="1" applyAlignment="1">
      <alignment textRotation="180"/>
    </xf>
    <xf numFmtId="0" fontId="0" fillId="12" borderId="0" xfId="0" applyFill="1"/>
    <xf numFmtId="0" fontId="1" fillId="12" borderId="0" xfId="0" applyFont="1" applyFill="1"/>
    <xf numFmtId="0" fontId="0" fillId="13" borderId="0" xfId="0" applyFill="1"/>
    <xf numFmtId="0" fontId="1" fillId="13" borderId="0" xfId="0" applyFont="1" applyFill="1"/>
    <xf numFmtId="0" fontId="9" fillId="0" borderId="0" xfId="0" applyFont="1"/>
    <xf numFmtId="0" fontId="5" fillId="0" borderId="0" xfId="0" applyFont="1" applyFill="1" applyAlignment="1"/>
    <xf numFmtId="0" fontId="0" fillId="0" borderId="0" xfId="0" applyNumberFormat="1" applyFill="1"/>
    <xf numFmtId="8" fontId="0" fillId="0" borderId="0" xfId="0" applyNumberFormat="1" applyFill="1"/>
    <xf numFmtId="8" fontId="1" fillId="0" borderId="0" xfId="0" applyNumberFormat="1" applyFont="1"/>
    <xf numFmtId="6" fontId="0" fillId="0" borderId="0" xfId="0" applyNumberFormat="1"/>
    <xf numFmtId="167" fontId="0" fillId="0" borderId="0" xfId="0" applyNumberFormat="1"/>
    <xf numFmtId="0" fontId="31" fillId="0" borderId="0" xfId="0" applyFont="1"/>
    <xf numFmtId="171" fontId="0" fillId="0" borderId="0" xfId="0" applyNumberFormat="1"/>
    <xf numFmtId="0" fontId="0" fillId="0" borderId="0" xfId="0" applyFill="1" applyAlignment="1"/>
    <xf numFmtId="168" fontId="0" fillId="0" borderId="0" xfId="0" applyNumberFormat="1" applyFill="1"/>
    <xf numFmtId="0" fontId="10" fillId="0" borderId="0" xfId="0" applyFont="1"/>
    <xf numFmtId="0" fontId="2" fillId="0" borderId="0" xfId="0" applyFont="1" applyFill="1"/>
    <xf numFmtId="0" fontId="11" fillId="0" borderId="0" xfId="0" applyFont="1" applyFill="1"/>
    <xf numFmtId="0" fontId="2" fillId="0" borderId="0" xfId="0" applyFont="1"/>
    <xf numFmtId="0" fontId="11" fillId="0" borderId="0" xfId="0" applyFont="1" applyFill="1" applyAlignment="1">
      <alignment textRotation="90"/>
    </xf>
    <xf numFmtId="1" fontId="2" fillId="0" borderId="0" xfId="0" applyNumberFormat="1" applyFont="1" applyFill="1"/>
    <xf numFmtId="9" fontId="0" fillId="0" borderId="0" xfId="17" applyFont="1" applyFill="1"/>
    <xf numFmtId="9" fontId="0" fillId="0" borderId="0" xfId="0" applyNumberFormat="1" applyFill="1"/>
    <xf numFmtId="172" fontId="0" fillId="0" borderId="0" xfId="6" applyNumberFormat="1" applyFont="1"/>
    <xf numFmtId="0" fontId="12" fillId="0" borderId="0" xfId="0" applyFont="1"/>
    <xf numFmtId="0" fontId="13" fillId="0" borderId="0" xfId="11" applyFont="1" applyAlignment="1" applyProtection="1"/>
    <xf numFmtId="43" fontId="0" fillId="0" borderId="0" xfId="0" applyNumberFormat="1"/>
    <xf numFmtId="0" fontId="3" fillId="13" borderId="0" xfId="0" applyFont="1" applyFill="1"/>
    <xf numFmtId="172" fontId="0" fillId="0" borderId="0" xfId="0" applyNumberFormat="1"/>
    <xf numFmtId="0" fontId="0" fillId="14" borderId="0" xfId="0" applyFill="1"/>
    <xf numFmtId="9" fontId="2" fillId="0" borderId="0" xfId="17" applyFont="1" applyFill="1"/>
    <xf numFmtId="0" fontId="32" fillId="0" borderId="0" xfId="0" applyFont="1" applyFill="1" applyAlignment="1">
      <alignment textRotation="180"/>
    </xf>
    <xf numFmtId="170" fontId="0" fillId="0" borderId="0" xfId="6" applyNumberFormat="1" applyFont="1"/>
    <xf numFmtId="170" fontId="33" fillId="0" borderId="0" xfId="6" applyNumberFormat="1" applyFont="1"/>
    <xf numFmtId="168" fontId="32" fillId="0" borderId="0" xfId="0" applyNumberFormat="1" applyFont="1"/>
    <xf numFmtId="164" fontId="33" fillId="0" borderId="0" xfId="6" applyFont="1" applyFill="1"/>
    <xf numFmtId="0" fontId="33" fillId="0" borderId="0" xfId="0" applyFont="1"/>
    <xf numFmtId="168" fontId="33" fillId="0" borderId="0" xfId="0" applyNumberFormat="1" applyFont="1"/>
    <xf numFmtId="6" fontId="0" fillId="0" borderId="0" xfId="0" applyNumberFormat="1" applyFill="1"/>
    <xf numFmtId="6" fontId="3" fillId="0" borderId="0" xfId="0" applyNumberFormat="1" applyFont="1"/>
    <xf numFmtId="0" fontId="1" fillId="0" borderId="0" xfId="0" applyFont="1" applyAlignment="1">
      <alignment horizontal="right"/>
    </xf>
    <xf numFmtId="164" fontId="3" fillId="0" borderId="0" xfId="0" applyNumberFormat="1" applyFont="1"/>
    <xf numFmtId="1" fontId="0" fillId="0" borderId="0" xfId="17" applyNumberFormat="1" applyFont="1"/>
    <xf numFmtId="0" fontId="11" fillId="0" borderId="0" xfId="0" applyFont="1" applyFill="1" applyAlignment="1">
      <alignment wrapText="1"/>
    </xf>
    <xf numFmtId="165" fontId="2" fillId="0" borderId="0" xfId="17" applyNumberFormat="1" applyFont="1"/>
    <xf numFmtId="1" fontId="2" fillId="0" borderId="0" xfId="0" applyNumberFormat="1" applyFont="1"/>
    <xf numFmtId="2" fontId="2" fillId="0" borderId="0" xfId="0" applyNumberFormat="1" applyFont="1"/>
    <xf numFmtId="6" fontId="2" fillId="0" borderId="0" xfId="0" applyNumberFormat="1" applyFont="1"/>
    <xf numFmtId="170" fontId="3" fillId="0" borderId="0" xfId="0" applyNumberFormat="1" applyFont="1"/>
    <xf numFmtId="165" fontId="2" fillId="0" borderId="0" xfId="17" applyNumberFormat="1" applyFont="1" applyFill="1"/>
    <xf numFmtId="0" fontId="2" fillId="0" borderId="0" xfId="17" applyNumberFormat="1" applyFont="1" applyFill="1"/>
    <xf numFmtId="0" fontId="11" fillId="0" borderId="0" xfId="0" applyFont="1"/>
    <xf numFmtId="0" fontId="25" fillId="0" borderId="18" xfId="8" applyAlignment="1">
      <alignment horizontal="left"/>
    </xf>
    <xf numFmtId="0" fontId="26" fillId="0" borderId="0" xfId="9" applyBorder="1" applyAlignment="1">
      <alignment horizontal="left"/>
    </xf>
    <xf numFmtId="0" fontId="27" fillId="0" borderId="0" xfId="10" applyBorder="1" applyAlignment="1">
      <alignment horizontal="center" vertical="center" wrapText="1"/>
    </xf>
    <xf numFmtId="0" fontId="27" fillId="0" borderId="1" xfId="10" applyBorder="1" applyAlignment="1">
      <alignment horizontal="center" vertical="center" wrapText="1"/>
    </xf>
    <xf numFmtId="0" fontId="27" fillId="0" borderId="1" xfId="10" applyFill="1" applyBorder="1" applyAlignment="1">
      <alignment horizontal="center" vertical="center" wrapText="1"/>
    </xf>
    <xf numFmtId="0" fontId="27" fillId="0" borderId="0" xfId="10" applyFill="1" applyBorder="1" applyAlignment="1">
      <alignment horizontal="center" vertical="center" wrapText="1"/>
    </xf>
    <xf numFmtId="165" fontId="22" fillId="0" borderId="0" xfId="17" applyNumberFormat="1" applyFont="1"/>
    <xf numFmtId="168" fontId="22" fillId="0" borderId="0" xfId="6" applyNumberFormat="1" applyFont="1"/>
    <xf numFmtId="9" fontId="22" fillId="0" borderId="0" xfId="17" applyFont="1"/>
    <xf numFmtId="2" fontId="22" fillId="0" borderId="0" xfId="17" applyNumberFormat="1" applyFont="1"/>
    <xf numFmtId="1" fontId="22" fillId="0" borderId="0" xfId="17" applyNumberFormat="1" applyFont="1"/>
    <xf numFmtId="10" fontId="22" fillId="0" borderId="0" xfId="17" applyNumberFormat="1" applyFont="1"/>
    <xf numFmtId="164" fontId="22" fillId="0" borderId="0" xfId="6" applyFont="1"/>
    <xf numFmtId="0" fontId="3" fillId="0" borderId="2" xfId="0" applyFont="1" applyBorder="1"/>
    <xf numFmtId="165" fontId="3" fillId="0" borderId="2" xfId="17" applyNumberFormat="1" applyFont="1" applyBorder="1"/>
    <xf numFmtId="165" fontId="30" fillId="0" borderId="2" xfId="17" applyNumberFormat="1" applyFont="1" applyBorder="1"/>
    <xf numFmtId="164" fontId="30" fillId="0" borderId="2" xfId="6" applyNumberFormat="1" applyFont="1" applyBorder="1"/>
    <xf numFmtId="168" fontId="30" fillId="0" borderId="2" xfId="6" applyNumberFormat="1" applyFont="1" applyBorder="1"/>
    <xf numFmtId="168" fontId="30" fillId="0" borderId="2" xfId="0" applyNumberFormat="1" applyFont="1" applyBorder="1"/>
    <xf numFmtId="0" fontId="30" fillId="0" borderId="2" xfId="0" applyFont="1" applyBorder="1"/>
    <xf numFmtId="10" fontId="30" fillId="0" borderId="2" xfId="17" applyNumberFormat="1" applyFont="1" applyBorder="1"/>
    <xf numFmtId="164" fontId="30" fillId="0" borderId="2" xfId="0" applyNumberFormat="1" applyFont="1" applyBorder="1"/>
    <xf numFmtId="0" fontId="3" fillId="0" borderId="3" xfId="0" applyFont="1" applyBorder="1"/>
    <xf numFmtId="165" fontId="3" fillId="0" borderId="3" xfId="17" applyNumberFormat="1" applyFont="1" applyBorder="1"/>
    <xf numFmtId="165" fontId="30" fillId="0" borderId="3" xfId="17" applyNumberFormat="1" applyFont="1" applyBorder="1"/>
    <xf numFmtId="164" fontId="30" fillId="0" borderId="3" xfId="6" applyNumberFormat="1" applyFont="1" applyBorder="1"/>
    <xf numFmtId="168" fontId="30" fillId="0" borderId="3" xfId="6" applyNumberFormat="1" applyFont="1" applyBorder="1"/>
    <xf numFmtId="168" fontId="30" fillId="0" borderId="3" xfId="0" applyNumberFormat="1" applyFont="1" applyBorder="1"/>
    <xf numFmtId="0" fontId="30" fillId="0" borderId="3" xfId="0" applyFont="1" applyBorder="1"/>
    <xf numFmtId="10" fontId="30" fillId="0" borderId="3" xfId="17" applyNumberFormat="1" applyFont="1" applyBorder="1"/>
    <xf numFmtId="164" fontId="30" fillId="0" borderId="3" xfId="6" applyFont="1" applyBorder="1"/>
    <xf numFmtId="3" fontId="0" fillId="0" borderId="0" xfId="0" applyNumberFormat="1"/>
    <xf numFmtId="164" fontId="22" fillId="0" borderId="0" xfId="17" applyNumberFormat="1" applyFont="1"/>
    <xf numFmtId="0" fontId="3" fillId="0" borderId="4" xfId="0" applyFont="1" applyBorder="1"/>
    <xf numFmtId="10" fontId="30" fillId="0" borderId="4" xfId="17" applyNumberFormat="1" applyFont="1" applyBorder="1"/>
    <xf numFmtId="2" fontId="30" fillId="0" borderId="4" xfId="17" applyNumberFormat="1" applyFont="1" applyBorder="1"/>
    <xf numFmtId="0" fontId="30" fillId="0" borderId="4" xfId="0" applyFont="1" applyBorder="1"/>
    <xf numFmtId="1" fontId="30" fillId="0" borderId="4" xfId="0" applyNumberFormat="1" applyFont="1" applyBorder="1"/>
    <xf numFmtId="164" fontId="30" fillId="0" borderId="4" xfId="17" applyNumberFormat="1" applyFont="1" applyBorder="1"/>
    <xf numFmtId="10" fontId="22" fillId="11" borderId="0" xfId="17" applyNumberFormat="1" applyFont="1" applyFill="1"/>
    <xf numFmtId="0" fontId="23" fillId="11" borderId="0" xfId="2" applyFill="1"/>
    <xf numFmtId="164" fontId="22" fillId="0" borderId="0" xfId="6" applyFont="1" applyAlignment="1">
      <alignment horizontal="right"/>
    </xf>
    <xf numFmtId="0" fontId="23" fillId="3" borderId="0" xfId="2"/>
    <xf numFmtId="168" fontId="3" fillId="0" borderId="4" xfId="0" applyNumberFormat="1" applyFont="1" applyBorder="1"/>
    <xf numFmtId="166" fontId="30" fillId="0" borderId="4" xfId="17" applyNumberFormat="1" applyFont="1" applyBorder="1"/>
    <xf numFmtId="9" fontId="30" fillId="0" borderId="4" xfId="0" applyNumberFormat="1" applyFont="1" applyBorder="1"/>
    <xf numFmtId="10" fontId="30" fillId="0" borderId="2" xfId="0" applyNumberFormat="1" applyFont="1" applyBorder="1"/>
    <xf numFmtId="2" fontId="30" fillId="0" borderId="2" xfId="17" applyNumberFormat="1" applyFont="1" applyBorder="1"/>
    <xf numFmtId="168" fontId="3" fillId="0" borderId="5" xfId="0" applyNumberFormat="1" applyFont="1" applyBorder="1"/>
    <xf numFmtId="1" fontId="30" fillId="0" borderId="2" xfId="0" applyNumberFormat="1" applyFont="1" applyBorder="1"/>
    <xf numFmtId="9" fontId="30" fillId="0" borderId="4" xfId="17" applyFont="1" applyBorder="1"/>
    <xf numFmtId="1" fontId="30" fillId="0" borderId="4" xfId="17" applyNumberFormat="1" applyFont="1" applyBorder="1"/>
    <xf numFmtId="165" fontId="30" fillId="0" borderId="4" xfId="17" applyNumberFormat="1" applyFont="1" applyBorder="1"/>
    <xf numFmtId="164" fontId="30" fillId="0" borderId="4" xfId="6" applyFont="1" applyBorder="1"/>
    <xf numFmtId="0" fontId="30" fillId="0" borderId="4" xfId="0" applyFont="1" applyBorder="1" applyAlignment="1">
      <alignment wrapText="1"/>
    </xf>
    <xf numFmtId="2" fontId="30" fillId="0" borderId="4" xfId="6" applyNumberFormat="1" applyFont="1" applyBorder="1" applyAlignment="1">
      <alignment wrapText="1"/>
    </xf>
    <xf numFmtId="164" fontId="22" fillId="0" borderId="0" xfId="7" applyNumberFormat="1" applyFont="1"/>
    <xf numFmtId="168" fontId="22" fillId="0" borderId="0" xfId="7" applyNumberFormat="1" applyFont="1"/>
    <xf numFmtId="165" fontId="30" fillId="0" borderId="0" xfId="18" applyNumberFormat="1" applyFont="1"/>
    <xf numFmtId="165" fontId="3" fillId="0" borderId="0" xfId="16" applyNumberFormat="1" applyFont="1"/>
    <xf numFmtId="0" fontId="34" fillId="0" borderId="21" xfId="0" applyFont="1" applyBorder="1" applyAlignment="1">
      <alignment horizontal="right" wrapText="1"/>
    </xf>
    <xf numFmtId="9" fontId="16" fillId="11" borderId="0" xfId="17" applyFont="1" applyFill="1"/>
    <xf numFmtId="9" fontId="16" fillId="15" borderId="0" xfId="17" applyFont="1" applyFill="1"/>
    <xf numFmtId="168" fontId="3" fillId="0" borderId="0" xfId="6" applyNumberFormat="1" applyFont="1"/>
    <xf numFmtId="168" fontId="33" fillId="0" borderId="0" xfId="6" applyNumberFormat="1" applyFont="1"/>
    <xf numFmtId="168" fontId="0" fillId="0" borderId="0" xfId="6" applyNumberFormat="1" applyFont="1" applyFill="1"/>
    <xf numFmtId="0" fontId="0" fillId="0" borderId="0" xfId="0" applyFont="1" applyAlignment="1">
      <alignment wrapText="1"/>
    </xf>
    <xf numFmtId="164" fontId="29" fillId="10" borderId="0" xfId="15" applyNumberFormat="1"/>
    <xf numFmtId="10" fontId="29" fillId="10" borderId="0" xfId="15" applyNumberFormat="1"/>
    <xf numFmtId="168" fontId="29" fillId="10" borderId="0" xfId="15" applyNumberFormat="1"/>
    <xf numFmtId="0" fontId="3" fillId="0" borderId="0" xfId="0" applyFont="1" applyAlignment="1">
      <alignment horizontal="left" wrapText="1"/>
    </xf>
    <xf numFmtId="0" fontId="29" fillId="10" borderId="0" xfId="15"/>
    <xf numFmtId="9" fontId="23" fillId="3" borderId="0" xfId="2" applyNumberFormat="1"/>
    <xf numFmtId="165" fontId="29" fillId="10" borderId="0" xfId="15" applyNumberFormat="1"/>
    <xf numFmtId="2" fontId="29" fillId="10" borderId="0" xfId="15" applyNumberFormat="1"/>
    <xf numFmtId="165" fontId="1" fillId="0" borderId="0" xfId="17" applyNumberFormat="1" applyFont="1"/>
    <xf numFmtId="10" fontId="1" fillId="0" borderId="0" xfId="0" applyNumberFormat="1" applyFont="1"/>
    <xf numFmtId="168" fontId="35" fillId="0" borderId="0" xfId="15" applyNumberFormat="1" applyFont="1" applyFill="1"/>
    <xf numFmtId="10" fontId="35" fillId="0" borderId="0" xfId="15" applyNumberFormat="1" applyFont="1" applyFill="1"/>
    <xf numFmtId="169" fontId="0" fillId="0" borderId="0" xfId="0" applyNumberFormat="1" applyFill="1"/>
    <xf numFmtId="165" fontId="35" fillId="0" borderId="0" xfId="17" applyNumberFormat="1" applyFont="1" applyFill="1"/>
    <xf numFmtId="0" fontId="1" fillId="0" borderId="0" xfId="0" quotePrefix="1" applyFont="1"/>
    <xf numFmtId="172" fontId="1" fillId="0" borderId="0" xfId="6" applyNumberFormat="1" applyFont="1"/>
    <xf numFmtId="164" fontId="35" fillId="0" borderId="0" xfId="15" applyNumberFormat="1" applyFont="1" applyFill="1"/>
    <xf numFmtId="168" fontId="35" fillId="0" borderId="0" xfId="6" applyNumberFormat="1" applyFont="1" applyFill="1"/>
    <xf numFmtId="172" fontId="35" fillId="0" borderId="0" xfId="15" applyNumberFormat="1" applyFont="1" applyFill="1"/>
    <xf numFmtId="170" fontId="35" fillId="0" borderId="0" xfId="15" applyNumberFormat="1" applyFont="1" applyFill="1"/>
    <xf numFmtId="172" fontId="23" fillId="3" borderId="0" xfId="2" applyNumberFormat="1"/>
    <xf numFmtId="0" fontId="3" fillId="0" borderId="0" xfId="0" applyFont="1" applyAlignment="1">
      <alignment textRotation="90" wrapText="1"/>
    </xf>
    <xf numFmtId="0" fontId="17" fillId="0" borderId="0" xfId="0" applyFont="1"/>
    <xf numFmtId="0" fontId="2" fillId="0" borderId="0" xfId="6" applyNumberFormat="1" applyFont="1"/>
    <xf numFmtId="0" fontId="2" fillId="0" borderId="0" xfId="0" applyNumberFormat="1" applyFont="1"/>
    <xf numFmtId="0" fontId="1" fillId="0" borderId="0" xfId="0" applyFont="1" applyFill="1" applyAlignment="1"/>
    <xf numFmtId="0" fontId="1" fillId="4" borderId="16" xfId="3" applyFont="1" applyAlignment="1"/>
    <xf numFmtId="0" fontId="2" fillId="4" borderId="16" xfId="3" applyFont="1"/>
    <xf numFmtId="0" fontId="2" fillId="5" borderId="16" xfId="4" applyFont="1"/>
    <xf numFmtId="0" fontId="19" fillId="5" borderId="16" xfId="4" applyFont="1"/>
    <xf numFmtId="0" fontId="19" fillId="4" borderId="16" xfId="3" applyFont="1"/>
    <xf numFmtId="0" fontId="19" fillId="8" borderId="20" xfId="13" applyFont="1"/>
    <xf numFmtId="165" fontId="3" fillId="9" borderId="20" xfId="14" applyNumberFormat="1" applyFont="1"/>
    <xf numFmtId="0" fontId="19" fillId="9" borderId="20" xfId="14" applyFont="1"/>
    <xf numFmtId="2" fontId="0" fillId="0" borderId="0" xfId="0" applyNumberFormat="1" applyFill="1"/>
    <xf numFmtId="0" fontId="0" fillId="0" borderId="2" xfId="0" applyBorder="1"/>
    <xf numFmtId="0" fontId="0" fillId="0" borderId="6" xfId="0" applyBorder="1"/>
    <xf numFmtId="0" fontId="3" fillId="0" borderId="7" xfId="0" applyFont="1" applyBorder="1"/>
    <xf numFmtId="0" fontId="3" fillId="0" borderId="0" xfId="0" applyFont="1" applyBorder="1"/>
    <xf numFmtId="0" fontId="3" fillId="0" borderId="8" xfId="0" applyFont="1" applyBorder="1"/>
    <xf numFmtId="2" fontId="0" fillId="0" borderId="7" xfId="0" applyNumberFormat="1" applyFill="1" applyBorder="1"/>
    <xf numFmtId="2" fontId="0" fillId="0" borderId="0" xfId="0" applyNumberFormat="1" applyFill="1" applyBorder="1"/>
    <xf numFmtId="2" fontId="0" fillId="0" borderId="8" xfId="0" applyNumberFormat="1" applyFill="1" applyBorder="1"/>
    <xf numFmtId="0" fontId="0" fillId="0" borderId="8" xfId="0" applyFill="1" applyBorder="1"/>
    <xf numFmtId="0" fontId="0" fillId="0" borderId="7" xfId="0" applyFill="1" applyBorder="1"/>
    <xf numFmtId="0" fontId="0" fillId="0" borderId="0" xfId="0" applyFill="1" applyBorder="1"/>
    <xf numFmtId="0" fontId="0" fillId="0" borderId="9" xfId="0" applyFill="1" applyBorder="1"/>
    <xf numFmtId="0" fontId="0" fillId="0" borderId="1" xfId="0" applyFill="1" applyBorder="1"/>
    <xf numFmtId="0" fontId="0" fillId="0" borderId="10" xfId="0" applyFill="1" applyBorder="1"/>
    <xf numFmtId="0" fontId="3" fillId="0" borderId="11" xfId="0" applyFont="1" applyBorder="1"/>
    <xf numFmtId="0" fontId="1" fillId="9" borderId="20" xfId="14" applyFont="1"/>
    <xf numFmtId="3" fontId="19" fillId="9" borderId="20" xfId="14" applyNumberFormat="1" applyFont="1"/>
    <xf numFmtId="168" fontId="19" fillId="9" borderId="20" xfId="14" applyNumberFormat="1" applyFont="1"/>
    <xf numFmtId="0" fontId="36" fillId="0" borderId="22" xfId="5" applyFont="1" applyFill="1" applyBorder="1"/>
    <xf numFmtId="0" fontId="36" fillId="0" borderId="23" xfId="5" applyFont="1" applyFill="1" applyBorder="1"/>
    <xf numFmtId="0" fontId="36" fillId="0" borderId="24" xfId="5" applyFont="1" applyFill="1" applyBorder="1"/>
    <xf numFmtId="2" fontId="36" fillId="0" borderId="25" xfId="5" applyNumberFormat="1" applyFont="1" applyFill="1" applyBorder="1"/>
    <xf numFmtId="2" fontId="36" fillId="0" borderId="17" xfId="5" applyNumberFormat="1" applyFont="1" applyFill="1" applyBorder="1"/>
    <xf numFmtId="2" fontId="36" fillId="0" borderId="26" xfId="5" applyNumberFormat="1" applyFont="1" applyFill="1" applyBorder="1"/>
    <xf numFmtId="0" fontId="36" fillId="0" borderId="25" xfId="5" applyFont="1" applyFill="1" applyBorder="1"/>
    <xf numFmtId="0" fontId="36" fillId="0" borderId="17" xfId="5" applyFont="1" applyFill="1" applyBorder="1"/>
    <xf numFmtId="0" fontId="36" fillId="0" borderId="26" xfId="5" applyFont="1" applyFill="1" applyBorder="1"/>
    <xf numFmtId="0" fontId="36" fillId="0" borderId="27" xfId="5" applyFont="1" applyFill="1" applyBorder="1"/>
    <xf numFmtId="0" fontId="36" fillId="0" borderId="28" xfId="5" applyFont="1" applyFill="1" applyBorder="1"/>
    <xf numFmtId="0" fontId="36" fillId="0" borderId="29" xfId="5" applyFont="1" applyFill="1" applyBorder="1"/>
    <xf numFmtId="169" fontId="36" fillId="0" borderId="25" xfId="5" applyNumberFormat="1" applyFont="1" applyFill="1" applyBorder="1"/>
    <xf numFmtId="169" fontId="36" fillId="0" borderId="17" xfId="5" applyNumberFormat="1" applyFont="1" applyFill="1" applyBorder="1"/>
    <xf numFmtId="169" fontId="36" fillId="0" borderId="26" xfId="5" applyNumberFormat="1" applyFont="1" applyFill="1" applyBorder="1"/>
    <xf numFmtId="0" fontId="37" fillId="0" borderId="17" xfId="12" applyFont="1" applyFill="1"/>
    <xf numFmtId="169" fontId="24" fillId="0" borderId="17" xfId="5" applyNumberFormat="1" applyFill="1"/>
    <xf numFmtId="171" fontId="19" fillId="2" borderId="15" xfId="1" applyNumberFormat="1" applyFont="1"/>
    <xf numFmtId="0" fontId="19" fillId="2" borderId="15" xfId="1" applyNumberFormat="1" applyFont="1"/>
    <xf numFmtId="170" fontId="29" fillId="10" borderId="0" xfId="15" applyNumberFormat="1"/>
    <xf numFmtId="168" fontId="16" fillId="0" borderId="0" xfId="6" applyNumberFormat="1" applyFont="1" applyFill="1"/>
    <xf numFmtId="168" fontId="23" fillId="3" borderId="17" xfId="2" applyNumberFormat="1" applyBorder="1"/>
    <xf numFmtId="1" fontId="23" fillId="3" borderId="17" xfId="2" applyNumberFormat="1" applyBorder="1"/>
    <xf numFmtId="164" fontId="23" fillId="3" borderId="17" xfId="2" applyNumberFormat="1" applyBorder="1"/>
    <xf numFmtId="168" fontId="24" fillId="0" borderId="17" xfId="5" applyNumberFormat="1" applyFill="1"/>
    <xf numFmtId="164" fontId="24" fillId="0" borderId="17" xfId="5" applyNumberFormat="1" applyFill="1"/>
    <xf numFmtId="9" fontId="22" fillId="0" borderId="0" xfId="17" applyFont="1" applyFill="1"/>
    <xf numFmtId="9" fontId="0" fillId="0" borderId="0" xfId="17" applyNumberFormat="1" applyFont="1" applyFill="1"/>
    <xf numFmtId="0" fontId="29" fillId="0" borderId="0" xfId="15" applyFill="1"/>
    <xf numFmtId="9" fontId="29" fillId="0" borderId="0" xfId="15" applyNumberFormat="1" applyFill="1"/>
    <xf numFmtId="3" fontId="0" fillId="0" borderId="0" xfId="0" applyNumberFormat="1" applyFill="1"/>
    <xf numFmtId="165" fontId="29" fillId="0" borderId="0" xfId="15" applyNumberFormat="1" applyFill="1"/>
    <xf numFmtId="10" fontId="29" fillId="0" borderId="0" xfId="15" applyNumberFormat="1" applyFill="1"/>
    <xf numFmtId="10" fontId="0" fillId="0" borderId="0" xfId="0" applyNumberFormat="1" applyFill="1"/>
    <xf numFmtId="9" fontId="23" fillId="0" borderId="0" xfId="2" applyNumberFormat="1" applyFill="1"/>
    <xf numFmtId="9" fontId="29" fillId="0" borderId="0" xfId="17" applyNumberFormat="1" applyFont="1" applyFill="1"/>
    <xf numFmtId="9" fontId="24" fillId="0" borderId="17" xfId="5" applyNumberFormat="1" applyFill="1"/>
    <xf numFmtId="1" fontId="24" fillId="0" borderId="17" xfId="5" applyNumberFormat="1" applyFill="1"/>
    <xf numFmtId="10" fontId="24" fillId="0" borderId="17" xfId="5" applyNumberFormat="1" applyFill="1"/>
    <xf numFmtId="165" fontId="16" fillId="9" borderId="20" xfId="14" applyNumberFormat="1" applyFont="1"/>
    <xf numFmtId="2" fontId="0" fillId="0" borderId="11" xfId="0" applyNumberFormat="1" applyBorder="1"/>
    <xf numFmtId="2" fontId="0" fillId="0" borderId="2" xfId="0" applyNumberFormat="1" applyBorder="1"/>
    <xf numFmtId="2" fontId="0" fillId="0" borderId="6" xfId="0" applyNumberFormat="1" applyBorder="1"/>
    <xf numFmtId="2" fontId="0" fillId="0" borderId="7" xfId="0" applyNumberFormat="1" applyBorder="1"/>
    <xf numFmtId="2" fontId="0" fillId="0" borderId="0" xfId="0" applyNumberFormat="1" applyBorder="1"/>
    <xf numFmtId="2" fontId="0" fillId="0" borderId="8" xfId="0" applyNumberFormat="1" applyBorder="1"/>
    <xf numFmtId="2" fontId="0" fillId="0" borderId="9" xfId="0" applyNumberFormat="1" applyBorder="1"/>
    <xf numFmtId="2" fontId="0" fillId="0" borderId="1" xfId="0" applyNumberFormat="1" applyBorder="1"/>
    <xf numFmtId="2" fontId="0" fillId="0" borderId="10" xfId="0" applyNumberFormat="1" applyBorder="1"/>
    <xf numFmtId="2" fontId="0" fillId="0" borderId="11" xfId="0" applyNumberFormat="1" applyFill="1" applyBorder="1"/>
    <xf numFmtId="2" fontId="0" fillId="0" borderId="2" xfId="0" applyNumberFormat="1" applyFill="1" applyBorder="1"/>
    <xf numFmtId="2" fontId="0" fillId="0" borderId="6" xfId="0" applyNumberFormat="1" applyFill="1" applyBorder="1"/>
    <xf numFmtId="2" fontId="0" fillId="0" borderId="9" xfId="0" applyNumberFormat="1" applyFill="1" applyBorder="1"/>
    <xf numFmtId="2" fontId="0" fillId="0" borderId="1" xfId="0" applyNumberFormat="1" applyFill="1" applyBorder="1"/>
    <xf numFmtId="2" fontId="0" fillId="0" borderId="10" xfId="0" applyNumberFormat="1" applyFill="1" applyBorder="1"/>
    <xf numFmtId="0" fontId="30" fillId="0" borderId="0" xfId="0" applyFont="1" applyFill="1"/>
    <xf numFmtId="0" fontId="34" fillId="0" borderId="30" xfId="0" applyFont="1" applyBorder="1" applyAlignment="1">
      <alignment horizontal="right" wrapText="1"/>
    </xf>
    <xf numFmtId="0" fontId="0" fillId="0" borderId="11" xfId="0" applyFill="1" applyBorder="1"/>
    <xf numFmtId="0" fontId="0" fillId="0" borderId="2" xfId="0" applyFill="1" applyBorder="1"/>
    <xf numFmtId="0" fontId="34" fillId="0" borderId="31" xfId="0" applyFont="1" applyFill="1" applyBorder="1" applyAlignment="1">
      <alignment horizontal="right" wrapText="1"/>
    </xf>
    <xf numFmtId="4" fontId="0" fillId="0" borderId="6" xfId="0" applyNumberFormat="1" applyFill="1" applyBorder="1"/>
    <xf numFmtId="0" fontId="34" fillId="0" borderId="21" xfId="0" applyFont="1" applyFill="1" applyBorder="1" applyAlignment="1">
      <alignment horizontal="right" wrapText="1"/>
    </xf>
    <xf numFmtId="4" fontId="0" fillId="0" borderId="8" xfId="0" applyNumberFormat="1" applyFill="1" applyBorder="1"/>
    <xf numFmtId="4" fontId="0" fillId="0" borderId="0" xfId="0" applyNumberFormat="1" applyFill="1" applyBorder="1"/>
    <xf numFmtId="4" fontId="0" fillId="0" borderId="10" xfId="0" applyNumberFormat="1" applyFill="1" applyBorder="1"/>
    <xf numFmtId="0" fontId="0" fillId="0" borderId="12" xfId="0" applyBorder="1"/>
    <xf numFmtId="0" fontId="3" fillId="0" borderId="13" xfId="0" applyFont="1" applyBorder="1"/>
    <xf numFmtId="0" fontId="0" fillId="0" borderId="13" xfId="0" applyBorder="1"/>
    <xf numFmtId="0" fontId="3" fillId="0" borderId="14" xfId="0" applyFont="1" applyBorder="1"/>
    <xf numFmtId="2" fontId="0" fillId="0" borderId="0" xfId="0" applyNumberFormat="1" applyFont="1" applyAlignment="1"/>
    <xf numFmtId="0" fontId="38" fillId="0" borderId="0" xfId="0" applyFont="1"/>
    <xf numFmtId="0" fontId="25" fillId="0" borderId="18" xfId="8"/>
    <xf numFmtId="0" fontId="26" fillId="0" borderId="19" xfId="9"/>
    <xf numFmtId="164" fontId="29" fillId="2" borderId="15" xfId="1" applyNumberFormat="1" applyFont="1"/>
    <xf numFmtId="0" fontId="25" fillId="0" borderId="18" xfId="8" applyFill="1"/>
    <xf numFmtId="0" fontId="25" fillId="2" borderId="15" xfId="1" applyNumberFormat="1" applyFont="1"/>
    <xf numFmtId="0" fontId="26" fillId="4" borderId="16" xfId="3" applyFont="1"/>
    <xf numFmtId="0" fontId="25" fillId="9" borderId="20" xfId="14" applyFont="1"/>
    <xf numFmtId="0" fontId="4" fillId="9" borderId="20" xfId="14" applyFont="1" applyAlignment="1"/>
    <xf numFmtId="0" fontId="1" fillId="4" borderId="16" xfId="3" applyFont="1"/>
    <xf numFmtId="0" fontId="3" fillId="5" borderId="16" xfId="4" applyFont="1"/>
    <xf numFmtId="165" fontId="29" fillId="0" borderId="0" xfId="14" applyNumberFormat="1" applyFont="1" applyFill="1" applyBorder="1"/>
    <xf numFmtId="165" fontId="1" fillId="0" borderId="0" xfId="14" applyNumberFormat="1" applyFont="1" applyFill="1" applyBorder="1"/>
    <xf numFmtId="0" fontId="3" fillId="2" borderId="15" xfId="1" applyNumberFormat="1" applyFont="1"/>
    <xf numFmtId="165" fontId="19" fillId="2" borderId="15" xfId="1" applyNumberFormat="1" applyFont="1"/>
    <xf numFmtId="10" fontId="18" fillId="2" borderId="15" xfId="1" applyNumberFormat="1" applyFont="1"/>
    <xf numFmtId="9" fontId="23" fillId="3" borderId="20" xfId="2" applyNumberFormat="1" applyBorder="1"/>
    <xf numFmtId="0" fontId="1" fillId="2" borderId="15" xfId="1" applyNumberFormat="1" applyFont="1"/>
    <xf numFmtId="164" fontId="19" fillId="2" borderId="15" xfId="1" applyNumberFormat="1" applyFont="1"/>
    <xf numFmtId="3" fontId="19" fillId="2" borderId="15" xfId="1" applyNumberFormat="1" applyFont="1"/>
    <xf numFmtId="168" fontId="19" fillId="2" borderId="15" xfId="1" applyNumberFormat="1" applyFont="1"/>
    <xf numFmtId="170" fontId="19" fillId="2" borderId="15" xfId="1" applyNumberFormat="1" applyFont="1"/>
    <xf numFmtId="9" fontId="19" fillId="2" borderId="15" xfId="1" applyNumberFormat="1" applyFont="1"/>
    <xf numFmtId="2" fontId="19" fillId="2" borderId="15" xfId="1" applyNumberFormat="1" applyFont="1"/>
    <xf numFmtId="0" fontId="1" fillId="0" borderId="0" xfId="0" applyFont="1" applyFill="1" applyBorder="1"/>
    <xf numFmtId="16" fontId="0" fillId="0" borderId="0" xfId="0" applyNumberFormat="1"/>
    <xf numFmtId="3" fontId="1" fillId="9" borderId="20" xfId="14" applyNumberFormat="1" applyFont="1"/>
    <xf numFmtId="0" fontId="23" fillId="3" borderId="32" xfId="2" applyBorder="1"/>
    <xf numFmtId="0" fontId="23" fillId="3" borderId="33" xfId="2" applyBorder="1"/>
    <xf numFmtId="0" fontId="23" fillId="3" borderId="34" xfId="2" applyBorder="1"/>
    <xf numFmtId="165" fontId="0" fillId="0" borderId="0" xfId="17" applyNumberFormat="1" applyFont="1" applyFill="1"/>
    <xf numFmtId="0" fontId="21" fillId="0" borderId="0" xfId="0" applyFont="1"/>
    <xf numFmtId="0" fontId="20" fillId="16" borderId="0" xfId="0" applyFont="1" applyFill="1"/>
    <xf numFmtId="0" fontId="0" fillId="16" borderId="0" xfId="0" applyFill="1"/>
    <xf numFmtId="0" fontId="33" fillId="0" borderId="0" xfId="0" applyFont="1" applyFill="1"/>
    <xf numFmtId="1" fontId="2" fillId="0" borderId="0" xfId="6" applyNumberFormat="1" applyFont="1"/>
    <xf numFmtId="0" fontId="0" fillId="17" borderId="0" xfId="0" applyFill="1"/>
    <xf numFmtId="0" fontId="39" fillId="18" borderId="0" xfId="0" applyFont="1" applyFill="1"/>
    <xf numFmtId="0" fontId="40" fillId="0" borderId="0" xfId="0" applyFont="1" applyAlignment="1">
      <alignment horizontal="center" readingOrder="1"/>
    </xf>
    <xf numFmtId="0" fontId="40" fillId="0" borderId="0" xfId="0" applyFont="1" applyAlignment="1">
      <alignment horizontal="left" readingOrder="1"/>
    </xf>
    <xf numFmtId="0" fontId="0" fillId="18" borderId="0" xfId="0" applyFill="1"/>
    <xf numFmtId="0" fontId="1" fillId="0" borderId="0" xfId="0" applyNumberFormat="1" applyFont="1"/>
    <xf numFmtId="0" fontId="0" fillId="19" borderId="0" xfId="0" applyFill="1"/>
    <xf numFmtId="0" fontId="2" fillId="5" borderId="0" xfId="4" applyFont="1" applyBorder="1"/>
    <xf numFmtId="166" fontId="36" fillId="0" borderId="25" xfId="5" applyNumberFormat="1" applyFont="1" applyFill="1" applyBorder="1"/>
    <xf numFmtId="10" fontId="2" fillId="0" borderId="0" xfId="17" applyNumberFormat="1" applyFont="1" applyFill="1"/>
    <xf numFmtId="22" fontId="1" fillId="0" borderId="0" xfId="0" applyNumberFormat="1" applyFont="1" applyAlignment="1"/>
    <xf numFmtId="22" fontId="3" fillId="0" borderId="0" xfId="0" applyNumberFormat="1" applyFont="1" applyAlignment="1">
      <alignment horizontal="center"/>
    </xf>
    <xf numFmtId="0" fontId="2" fillId="20" borderId="16" xfId="3" applyFont="1" applyFill="1"/>
    <xf numFmtId="0" fontId="0" fillId="9" borderId="20" xfId="14" applyFont="1"/>
    <xf numFmtId="168" fontId="35" fillId="9" borderId="20" xfId="14" applyNumberFormat="1" applyFont="1"/>
    <xf numFmtId="10" fontId="1" fillId="2" borderId="15" xfId="1" applyNumberFormat="1" applyFont="1"/>
    <xf numFmtId="10" fontId="35" fillId="2" borderId="15" xfId="1" applyNumberFormat="1" applyFont="1"/>
    <xf numFmtId="170" fontId="3" fillId="0" borderId="0" xfId="0" applyNumberFormat="1" applyFont="1" applyAlignment="1"/>
    <xf numFmtId="2" fontId="2" fillId="0" borderId="0" xfId="3" applyNumberFormat="1" applyFont="1" applyFill="1" applyBorder="1"/>
    <xf numFmtId="0" fontId="1" fillId="0" borderId="0" xfId="0" applyFont="1" applyAlignment="1">
      <alignment wrapText="1"/>
    </xf>
    <xf numFmtId="166" fontId="0" fillId="0" borderId="0" xfId="0" applyNumberFormat="1"/>
    <xf numFmtId="0" fontId="2" fillId="0" borderId="16" xfId="4" applyFont="1" applyFill="1"/>
    <xf numFmtId="0" fontId="2" fillId="19" borderId="0" xfId="4" applyFont="1" applyFill="1" applyBorder="1"/>
    <xf numFmtId="166" fontId="7" fillId="0" borderId="0" xfId="0" applyNumberFormat="1" applyFont="1"/>
    <xf numFmtId="0" fontId="2" fillId="0" borderId="0" xfId="3" applyFont="1" applyFill="1" applyBorder="1"/>
    <xf numFmtId="0" fontId="2" fillId="0" borderId="0" xfId="0" applyFont="1" applyFill="1" applyBorder="1"/>
    <xf numFmtId="22" fontId="0" fillId="0" borderId="0" xfId="0" applyNumberFormat="1" applyAlignment="1">
      <alignment horizontal="left"/>
    </xf>
  </cellXfs>
  <cellStyles count="19">
    <cellStyle name="Advanced user input" xfId="1"/>
    <cellStyle name="Bad" xfId="2" builtinId="27"/>
    <cellStyle name="Basic User Data Input" xfId="3"/>
    <cellStyle name="Basic User Selection" xfId="4"/>
    <cellStyle name="Calculation" xfId="5" builtinId="22"/>
    <cellStyle name="Comma" xfId="6" builtinId="3"/>
    <cellStyle name="Comma 2" xfId="7"/>
    <cellStyle name="Heading 1" xfId="8" builtinId="16"/>
    <cellStyle name="Heading 2" xfId="9" builtinId="17"/>
    <cellStyle name="Heading 4" xfId="10" builtinId="19"/>
    <cellStyle name="Hyperlink" xfId="11" builtinId="8"/>
    <cellStyle name="Input" xfId="12" builtinId="20"/>
    <cellStyle name="Interm selection" xfId="13"/>
    <cellStyle name="Intermediate/scenario user input" xfId="14"/>
    <cellStyle name="Neutral" xfId="15" builtinId="28"/>
    <cellStyle name="Normal" xfId="0" builtinId="0"/>
    <cellStyle name="Normal 2" xfId="16"/>
    <cellStyle name="Percent" xfId="17" builtinId="5"/>
    <cellStyle name="Percent 2" xfId="18"/>
  </cellStyles>
  <dxfs count="10">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rgb="FF92D050"/>
        </patternFill>
      </fill>
    </dxf>
    <dxf>
      <fill>
        <patternFill>
          <bgColor rgb="FFFF0000"/>
        </patternFill>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0.13129291705669671"/>
          <c:y val="3.4121145013123425E-2"/>
          <c:w val="0.58826878108767744"/>
          <c:h val="0.84349494774691558"/>
        </c:manualLayout>
      </c:layout>
      <c:lineChart>
        <c:grouping val="standard"/>
        <c:ser>
          <c:idx val="1"/>
          <c:order val="1"/>
          <c:tx>
            <c:strRef>
              <c:f>'Tech Parameters'!$F$120</c:f>
              <c:strCache>
                <c:ptCount val="1"/>
                <c:pt idx="0">
                  <c:v>PWR nuclear</c:v>
                </c:pt>
              </c:strCache>
            </c:strRef>
          </c:tx>
          <c:marker>
            <c:symbol val="none"/>
          </c:marker>
          <c:cat>
            <c:numRef>
              <c:f>'Tech Parameters'!$G$118:$AC$118</c:f>
              <c:numCache>
                <c:formatCode>General</c:formatCode>
                <c:ptCount val="23"/>
                <c:pt idx="0">
                  <c:v>2008</c:v>
                </c:pt>
                <c:pt idx="1">
                  <c:v>2009</c:v>
                </c:pt>
                <c:pt idx="2">
                  <c:v>2010</c:v>
                </c:pt>
                <c:pt idx="3">
                  <c:v>2011</c:v>
                </c:pt>
                <c:pt idx="4">
                  <c:v>2012</c:v>
                </c:pt>
                <c:pt idx="5">
                  <c:v>2013</c:v>
                </c:pt>
                <c:pt idx="6">
                  <c:v>2014</c:v>
                </c:pt>
                <c:pt idx="7">
                  <c:v>2015</c:v>
                </c:pt>
                <c:pt idx="8">
                  <c:v>2016</c:v>
                </c:pt>
                <c:pt idx="9">
                  <c:v>2017</c:v>
                </c:pt>
                <c:pt idx="10">
                  <c:v>2018</c:v>
                </c:pt>
                <c:pt idx="11">
                  <c:v>2019</c:v>
                </c:pt>
                <c:pt idx="12">
                  <c:v>2020</c:v>
                </c:pt>
                <c:pt idx="13">
                  <c:v>2021</c:v>
                </c:pt>
                <c:pt idx="14">
                  <c:v>2022</c:v>
                </c:pt>
                <c:pt idx="15">
                  <c:v>2023</c:v>
                </c:pt>
                <c:pt idx="16">
                  <c:v>2024</c:v>
                </c:pt>
                <c:pt idx="17">
                  <c:v>2025</c:v>
                </c:pt>
                <c:pt idx="18">
                  <c:v>2026</c:v>
                </c:pt>
                <c:pt idx="19">
                  <c:v>2027</c:v>
                </c:pt>
                <c:pt idx="20">
                  <c:v>2028</c:v>
                </c:pt>
                <c:pt idx="21">
                  <c:v>2029</c:v>
                </c:pt>
                <c:pt idx="22">
                  <c:v>2030</c:v>
                </c:pt>
              </c:numCache>
            </c:numRef>
          </c:cat>
          <c:val>
            <c:numRef>
              <c:f>'Tech Parameters'!$G$120:$AC$120</c:f>
              <c:numCache>
                <c:formatCode>"R"\ #,##0.00;[Red]"R"\ \-#,##0.00</c:formatCode>
                <c:ptCount val="23"/>
                <c:pt idx="0">
                  <c:v>688.06052079193375</c:v>
                </c:pt>
                <c:pt idx="1">
                  <c:v>689.07289464885764</c:v>
                </c:pt>
                <c:pt idx="2">
                  <c:v>689.33745699382848</c:v>
                </c:pt>
                <c:pt idx="3">
                  <c:v>689.59890504217776</c:v>
                </c:pt>
                <c:pt idx="4">
                  <c:v>689.85677951158777</c:v>
                </c:pt>
                <c:pt idx="5">
                  <c:v>690.1105744522456</c:v>
                </c:pt>
                <c:pt idx="6">
                  <c:v>690.35973257639773</c:v>
                </c:pt>
                <c:pt idx="7">
                  <c:v>690.60364012084051</c:v>
                </c:pt>
                <c:pt idx="8">
                  <c:v>690.84162119564257</c:v>
                </c:pt>
                <c:pt idx="9">
                  <c:v>691.07293156771925</c:v>
                </c:pt>
                <c:pt idx="10">
                  <c:v>691.29675182274707</c:v>
                </c:pt>
                <c:pt idx="11">
                  <c:v>691.51217984325001</c:v>
                </c:pt>
                <c:pt idx="12">
                  <c:v>691.71822253447522</c:v>
                </c:pt>
                <c:pt idx="13">
                  <c:v>691.91378672283827</c:v>
                </c:pt>
                <c:pt idx="14">
                  <c:v>692.09766914419322</c:v>
                </c:pt>
                <c:pt idx="15">
                  <c:v>692.26854543090997</c:v>
                </c:pt>
                <c:pt idx="16">
                  <c:v>692.42495799764072</c:v>
                </c:pt>
                <c:pt idx="17">
                  <c:v>692.56530271564372</c:v>
                </c:pt>
                <c:pt idx="18">
                  <c:v>692.68781425451903</c:v>
                </c:pt>
                <c:pt idx="19">
                  <c:v>692.7905499580994</c:v>
                </c:pt>
                <c:pt idx="20">
                  <c:v>692.87137210790945</c:v>
                </c:pt>
                <c:pt idx="21">
                  <c:v>692.92792841295125</c:v>
                </c:pt>
                <c:pt idx="22">
                  <c:v>692.95763054844952</c:v>
                </c:pt>
              </c:numCache>
            </c:numRef>
          </c:val>
        </c:ser>
        <c:ser>
          <c:idx val="2"/>
          <c:order val="2"/>
          <c:tx>
            <c:strRef>
              <c:f>'Tech Parameters'!$F$121</c:f>
              <c:strCache>
                <c:ptCount val="1"/>
                <c:pt idx="0">
                  <c:v>Hydro</c:v>
                </c:pt>
              </c:strCache>
            </c:strRef>
          </c:tx>
          <c:marker>
            <c:symbol val="none"/>
          </c:marker>
          <c:cat>
            <c:numRef>
              <c:f>'Tech Parameters'!$G$118:$AC$118</c:f>
              <c:numCache>
                <c:formatCode>General</c:formatCode>
                <c:ptCount val="23"/>
                <c:pt idx="0">
                  <c:v>2008</c:v>
                </c:pt>
                <c:pt idx="1">
                  <c:v>2009</c:v>
                </c:pt>
                <c:pt idx="2">
                  <c:v>2010</c:v>
                </c:pt>
                <c:pt idx="3">
                  <c:v>2011</c:v>
                </c:pt>
                <c:pt idx="4">
                  <c:v>2012</c:v>
                </c:pt>
                <c:pt idx="5">
                  <c:v>2013</c:v>
                </c:pt>
                <c:pt idx="6">
                  <c:v>2014</c:v>
                </c:pt>
                <c:pt idx="7">
                  <c:v>2015</c:v>
                </c:pt>
                <c:pt idx="8">
                  <c:v>2016</c:v>
                </c:pt>
                <c:pt idx="9">
                  <c:v>2017</c:v>
                </c:pt>
                <c:pt idx="10">
                  <c:v>2018</c:v>
                </c:pt>
                <c:pt idx="11">
                  <c:v>2019</c:v>
                </c:pt>
                <c:pt idx="12">
                  <c:v>2020</c:v>
                </c:pt>
                <c:pt idx="13">
                  <c:v>2021</c:v>
                </c:pt>
                <c:pt idx="14">
                  <c:v>2022</c:v>
                </c:pt>
                <c:pt idx="15">
                  <c:v>2023</c:v>
                </c:pt>
                <c:pt idx="16">
                  <c:v>2024</c:v>
                </c:pt>
                <c:pt idx="17">
                  <c:v>2025</c:v>
                </c:pt>
                <c:pt idx="18">
                  <c:v>2026</c:v>
                </c:pt>
                <c:pt idx="19">
                  <c:v>2027</c:v>
                </c:pt>
                <c:pt idx="20">
                  <c:v>2028</c:v>
                </c:pt>
                <c:pt idx="21">
                  <c:v>2029</c:v>
                </c:pt>
                <c:pt idx="22">
                  <c:v>2030</c:v>
                </c:pt>
              </c:numCache>
            </c:numRef>
          </c:cat>
          <c:val>
            <c:numRef>
              <c:f>'Tech Parameters'!$G$121:$AC$121</c:f>
              <c:numCache>
                <c:formatCode>"R"\ #,##0.00;[Red]"R"\ \-#,##0.00</c:formatCode>
                <c:ptCount val="23"/>
                <c:pt idx="0">
                  <c:v>98.616567997651174</c:v>
                </c:pt>
                <c:pt idx="1">
                  <c:v>98.616567997651174</c:v>
                </c:pt>
                <c:pt idx="2">
                  <c:v>98.616567997651174</c:v>
                </c:pt>
                <c:pt idx="3">
                  <c:v>98.616567997651174</c:v>
                </c:pt>
                <c:pt idx="4">
                  <c:v>98.616567997651174</c:v>
                </c:pt>
                <c:pt idx="5">
                  <c:v>98.616567997651174</c:v>
                </c:pt>
                <c:pt idx="6">
                  <c:v>98.616567997651174</c:v>
                </c:pt>
                <c:pt idx="7">
                  <c:v>98.616567997651174</c:v>
                </c:pt>
                <c:pt idx="8">
                  <c:v>98.616567997651174</c:v>
                </c:pt>
                <c:pt idx="9">
                  <c:v>98.616567997651174</c:v>
                </c:pt>
                <c:pt idx="10">
                  <c:v>98.616567997651174</c:v>
                </c:pt>
                <c:pt idx="11">
                  <c:v>98.616567997651174</c:v>
                </c:pt>
                <c:pt idx="12">
                  <c:v>98.616567997651174</c:v>
                </c:pt>
                <c:pt idx="13">
                  <c:v>98.616567997651174</c:v>
                </c:pt>
                <c:pt idx="14">
                  <c:v>98.616567997651174</c:v>
                </c:pt>
                <c:pt idx="15">
                  <c:v>98.616567997651174</c:v>
                </c:pt>
                <c:pt idx="16">
                  <c:v>98.616567997651174</c:v>
                </c:pt>
                <c:pt idx="17">
                  <c:v>98.616567997651174</c:v>
                </c:pt>
                <c:pt idx="18">
                  <c:v>98.616567997651174</c:v>
                </c:pt>
                <c:pt idx="19">
                  <c:v>98.616567997651174</c:v>
                </c:pt>
                <c:pt idx="20">
                  <c:v>98.616567997651174</c:v>
                </c:pt>
                <c:pt idx="21">
                  <c:v>98.616567997651174</c:v>
                </c:pt>
                <c:pt idx="22">
                  <c:v>98.616567997651174</c:v>
                </c:pt>
              </c:numCache>
            </c:numRef>
          </c:val>
        </c:ser>
        <c:ser>
          <c:idx val="3"/>
          <c:order val="3"/>
          <c:tx>
            <c:strRef>
              <c:f>'Tech Parameters'!$F$122</c:f>
              <c:strCache>
                <c:ptCount val="1"/>
                <c:pt idx="0">
                  <c:v>Landfill gas</c:v>
                </c:pt>
              </c:strCache>
            </c:strRef>
          </c:tx>
          <c:marker>
            <c:symbol val="none"/>
          </c:marker>
          <c:cat>
            <c:numRef>
              <c:f>'Tech Parameters'!$G$118:$AC$118</c:f>
              <c:numCache>
                <c:formatCode>General</c:formatCode>
                <c:ptCount val="23"/>
                <c:pt idx="0">
                  <c:v>2008</c:v>
                </c:pt>
                <c:pt idx="1">
                  <c:v>2009</c:v>
                </c:pt>
                <c:pt idx="2">
                  <c:v>2010</c:v>
                </c:pt>
                <c:pt idx="3">
                  <c:v>2011</c:v>
                </c:pt>
                <c:pt idx="4">
                  <c:v>2012</c:v>
                </c:pt>
                <c:pt idx="5">
                  <c:v>2013</c:v>
                </c:pt>
                <c:pt idx="6">
                  <c:v>2014</c:v>
                </c:pt>
                <c:pt idx="7">
                  <c:v>2015</c:v>
                </c:pt>
                <c:pt idx="8">
                  <c:v>2016</c:v>
                </c:pt>
                <c:pt idx="9">
                  <c:v>2017</c:v>
                </c:pt>
                <c:pt idx="10">
                  <c:v>2018</c:v>
                </c:pt>
                <c:pt idx="11">
                  <c:v>2019</c:v>
                </c:pt>
                <c:pt idx="12">
                  <c:v>2020</c:v>
                </c:pt>
                <c:pt idx="13">
                  <c:v>2021</c:v>
                </c:pt>
                <c:pt idx="14">
                  <c:v>2022</c:v>
                </c:pt>
                <c:pt idx="15">
                  <c:v>2023</c:v>
                </c:pt>
                <c:pt idx="16">
                  <c:v>2024</c:v>
                </c:pt>
                <c:pt idx="17">
                  <c:v>2025</c:v>
                </c:pt>
                <c:pt idx="18">
                  <c:v>2026</c:v>
                </c:pt>
                <c:pt idx="19">
                  <c:v>2027</c:v>
                </c:pt>
                <c:pt idx="20">
                  <c:v>2028</c:v>
                </c:pt>
                <c:pt idx="21">
                  <c:v>2029</c:v>
                </c:pt>
                <c:pt idx="22">
                  <c:v>2030</c:v>
                </c:pt>
              </c:numCache>
            </c:numRef>
          </c:cat>
          <c:val>
            <c:numRef>
              <c:f>'Tech Parameters'!$G$122:$AC$122</c:f>
              <c:numCache>
                <c:formatCode>"R"\ #,##0.00;[Red]"R"\ \-#,##0.00</c:formatCode>
                <c:ptCount val="23"/>
                <c:pt idx="0">
                  <c:v>437.01622660473356</c:v>
                </c:pt>
                <c:pt idx="1">
                  <c:v>437.01622660473356</c:v>
                </c:pt>
                <c:pt idx="2">
                  <c:v>437.01622660473356</c:v>
                </c:pt>
                <c:pt idx="3">
                  <c:v>437.01622660473356</c:v>
                </c:pt>
                <c:pt idx="4">
                  <c:v>437.01622660473356</c:v>
                </c:pt>
                <c:pt idx="5">
                  <c:v>437.01622660473356</c:v>
                </c:pt>
                <c:pt idx="6">
                  <c:v>437.01622660473356</c:v>
                </c:pt>
                <c:pt idx="7">
                  <c:v>437.01622660473356</c:v>
                </c:pt>
                <c:pt idx="8">
                  <c:v>437.01622660473356</c:v>
                </c:pt>
                <c:pt idx="9">
                  <c:v>437.01622660473356</c:v>
                </c:pt>
                <c:pt idx="10">
                  <c:v>437.01622660473356</c:v>
                </c:pt>
                <c:pt idx="11">
                  <c:v>437.01622660473356</c:v>
                </c:pt>
                <c:pt idx="12">
                  <c:v>437.01622660473356</c:v>
                </c:pt>
                <c:pt idx="13">
                  <c:v>437.01622660473356</c:v>
                </c:pt>
                <c:pt idx="14">
                  <c:v>437.01622660473356</c:v>
                </c:pt>
                <c:pt idx="15">
                  <c:v>437.01622660473356</c:v>
                </c:pt>
                <c:pt idx="16">
                  <c:v>437.01622660473356</c:v>
                </c:pt>
                <c:pt idx="17">
                  <c:v>437.01622660473356</c:v>
                </c:pt>
                <c:pt idx="18">
                  <c:v>437.01622660473356</c:v>
                </c:pt>
                <c:pt idx="19">
                  <c:v>437.01622660473356</c:v>
                </c:pt>
                <c:pt idx="20">
                  <c:v>437.01622660473356</c:v>
                </c:pt>
                <c:pt idx="21">
                  <c:v>437.01622660473356</c:v>
                </c:pt>
                <c:pt idx="22">
                  <c:v>437.01622660473356</c:v>
                </c:pt>
              </c:numCache>
            </c:numRef>
          </c:val>
        </c:ser>
        <c:ser>
          <c:idx val="4"/>
          <c:order val="4"/>
          <c:tx>
            <c:strRef>
              <c:f>'Tech Parameters'!$F$123</c:f>
              <c:strCache>
                <c:ptCount val="1"/>
                <c:pt idx="0">
                  <c:v>Biomass</c:v>
                </c:pt>
              </c:strCache>
            </c:strRef>
          </c:tx>
          <c:marker>
            <c:symbol val="none"/>
          </c:marker>
          <c:cat>
            <c:numRef>
              <c:f>'Tech Parameters'!$G$118:$AC$118</c:f>
              <c:numCache>
                <c:formatCode>General</c:formatCode>
                <c:ptCount val="23"/>
                <c:pt idx="0">
                  <c:v>2008</c:v>
                </c:pt>
                <c:pt idx="1">
                  <c:v>2009</c:v>
                </c:pt>
                <c:pt idx="2">
                  <c:v>2010</c:v>
                </c:pt>
                <c:pt idx="3">
                  <c:v>2011</c:v>
                </c:pt>
                <c:pt idx="4">
                  <c:v>2012</c:v>
                </c:pt>
                <c:pt idx="5">
                  <c:v>2013</c:v>
                </c:pt>
                <c:pt idx="6">
                  <c:v>2014</c:v>
                </c:pt>
                <c:pt idx="7">
                  <c:v>2015</c:v>
                </c:pt>
                <c:pt idx="8">
                  <c:v>2016</c:v>
                </c:pt>
                <c:pt idx="9">
                  <c:v>2017</c:v>
                </c:pt>
                <c:pt idx="10">
                  <c:v>2018</c:v>
                </c:pt>
                <c:pt idx="11">
                  <c:v>2019</c:v>
                </c:pt>
                <c:pt idx="12">
                  <c:v>2020</c:v>
                </c:pt>
                <c:pt idx="13">
                  <c:v>2021</c:v>
                </c:pt>
                <c:pt idx="14">
                  <c:v>2022</c:v>
                </c:pt>
                <c:pt idx="15">
                  <c:v>2023</c:v>
                </c:pt>
                <c:pt idx="16">
                  <c:v>2024</c:v>
                </c:pt>
                <c:pt idx="17">
                  <c:v>2025</c:v>
                </c:pt>
                <c:pt idx="18">
                  <c:v>2026</c:v>
                </c:pt>
                <c:pt idx="19">
                  <c:v>2027</c:v>
                </c:pt>
                <c:pt idx="20">
                  <c:v>2028</c:v>
                </c:pt>
                <c:pt idx="21">
                  <c:v>2029</c:v>
                </c:pt>
                <c:pt idx="22">
                  <c:v>2030</c:v>
                </c:pt>
              </c:numCache>
            </c:numRef>
          </c:cat>
          <c:val>
            <c:numRef>
              <c:f>'Tech Parameters'!$G$123:$AC$123</c:f>
              <c:numCache>
                <c:formatCode>"R"\ #,##0.00;[Red]"R"\ \-#,##0.00</c:formatCode>
                <c:ptCount val="23"/>
                <c:pt idx="0">
                  <c:v>558.91130187856629</c:v>
                </c:pt>
                <c:pt idx="1">
                  <c:v>558.91130187856629</c:v>
                </c:pt>
                <c:pt idx="2">
                  <c:v>558.91130187856629</c:v>
                </c:pt>
                <c:pt idx="3">
                  <c:v>558.91130187856629</c:v>
                </c:pt>
                <c:pt idx="4">
                  <c:v>558.91130187856629</c:v>
                </c:pt>
                <c:pt idx="5">
                  <c:v>558.91130187856629</c:v>
                </c:pt>
                <c:pt idx="6">
                  <c:v>558.91130187856629</c:v>
                </c:pt>
                <c:pt idx="7">
                  <c:v>558.91130187856629</c:v>
                </c:pt>
                <c:pt idx="8">
                  <c:v>558.91130187856629</c:v>
                </c:pt>
                <c:pt idx="9">
                  <c:v>558.91130187856629</c:v>
                </c:pt>
                <c:pt idx="10">
                  <c:v>558.91130187856629</c:v>
                </c:pt>
                <c:pt idx="11">
                  <c:v>558.91130187856629</c:v>
                </c:pt>
                <c:pt idx="12">
                  <c:v>558.91130187856629</c:v>
                </c:pt>
                <c:pt idx="13">
                  <c:v>558.91130187856629</c:v>
                </c:pt>
                <c:pt idx="14">
                  <c:v>558.91130187856629</c:v>
                </c:pt>
                <c:pt idx="15">
                  <c:v>558.91130187856629</c:v>
                </c:pt>
                <c:pt idx="16">
                  <c:v>558.91130187856629</c:v>
                </c:pt>
                <c:pt idx="17">
                  <c:v>558.91130187856629</c:v>
                </c:pt>
                <c:pt idx="18">
                  <c:v>558.91130187856629</c:v>
                </c:pt>
                <c:pt idx="19">
                  <c:v>558.91130187856629</c:v>
                </c:pt>
                <c:pt idx="20">
                  <c:v>558.91130187856629</c:v>
                </c:pt>
                <c:pt idx="21">
                  <c:v>558.91130187856629</c:v>
                </c:pt>
                <c:pt idx="22">
                  <c:v>558.91130187856629</c:v>
                </c:pt>
              </c:numCache>
            </c:numRef>
          </c:val>
        </c:ser>
        <c:ser>
          <c:idx val="5"/>
          <c:order val="5"/>
          <c:tx>
            <c:strRef>
              <c:f>'Tech Parameters'!$F$124</c:f>
              <c:strCache>
                <c:ptCount val="1"/>
                <c:pt idx="0">
                  <c:v>Supercritical coal</c:v>
                </c:pt>
              </c:strCache>
            </c:strRef>
          </c:tx>
          <c:marker>
            <c:symbol val="none"/>
          </c:marker>
          <c:cat>
            <c:numRef>
              <c:f>'Tech Parameters'!$G$118:$AC$118</c:f>
              <c:numCache>
                <c:formatCode>General</c:formatCode>
                <c:ptCount val="23"/>
                <c:pt idx="0">
                  <c:v>2008</c:v>
                </c:pt>
                <c:pt idx="1">
                  <c:v>2009</c:v>
                </c:pt>
                <c:pt idx="2">
                  <c:v>2010</c:v>
                </c:pt>
                <c:pt idx="3">
                  <c:v>2011</c:v>
                </c:pt>
                <c:pt idx="4">
                  <c:v>2012</c:v>
                </c:pt>
                <c:pt idx="5">
                  <c:v>2013</c:v>
                </c:pt>
                <c:pt idx="6">
                  <c:v>2014</c:v>
                </c:pt>
                <c:pt idx="7">
                  <c:v>2015</c:v>
                </c:pt>
                <c:pt idx="8">
                  <c:v>2016</c:v>
                </c:pt>
                <c:pt idx="9">
                  <c:v>2017</c:v>
                </c:pt>
                <c:pt idx="10">
                  <c:v>2018</c:v>
                </c:pt>
                <c:pt idx="11">
                  <c:v>2019</c:v>
                </c:pt>
                <c:pt idx="12">
                  <c:v>2020</c:v>
                </c:pt>
                <c:pt idx="13">
                  <c:v>2021</c:v>
                </c:pt>
                <c:pt idx="14">
                  <c:v>2022</c:v>
                </c:pt>
                <c:pt idx="15">
                  <c:v>2023</c:v>
                </c:pt>
                <c:pt idx="16">
                  <c:v>2024</c:v>
                </c:pt>
                <c:pt idx="17">
                  <c:v>2025</c:v>
                </c:pt>
                <c:pt idx="18">
                  <c:v>2026</c:v>
                </c:pt>
                <c:pt idx="19">
                  <c:v>2027</c:v>
                </c:pt>
                <c:pt idx="20">
                  <c:v>2028</c:v>
                </c:pt>
                <c:pt idx="21">
                  <c:v>2029</c:v>
                </c:pt>
                <c:pt idx="22">
                  <c:v>2030</c:v>
                </c:pt>
              </c:numCache>
            </c:numRef>
          </c:cat>
          <c:val>
            <c:numRef>
              <c:f>'Tech Parameters'!$G$124:$AC$124</c:f>
              <c:numCache>
                <c:formatCode>"R"\ #,##0.00;[Red]"R"\ \-#,##0.00</c:formatCode>
                <c:ptCount val="23"/>
                <c:pt idx="0">
                  <c:v>418.09827627044751</c:v>
                </c:pt>
                <c:pt idx="1">
                  <c:v>416.4888654229249</c:v>
                </c:pt>
                <c:pt idx="2">
                  <c:v>414.91344516598139</c:v>
                </c:pt>
                <c:pt idx="3">
                  <c:v>414.41780248858265</c:v>
                </c:pt>
                <c:pt idx="4">
                  <c:v>413.91573371611605</c:v>
                </c:pt>
                <c:pt idx="5">
                  <c:v>413.40659623907464</c:v>
                </c:pt>
                <c:pt idx="6">
                  <c:v>412.88968318700103</c:v>
                </c:pt>
                <c:pt idx="7">
                  <c:v>412.36421700239197</c:v>
                </c:pt>
                <c:pt idx="8">
                  <c:v>411.82934237199396</c:v>
                </c:pt>
                <c:pt idx="9">
                  <c:v>411.28411845122793</c:v>
                </c:pt>
                <c:pt idx="10">
                  <c:v>410.7275103110573</c:v>
                </c:pt>
                <c:pt idx="11">
                  <c:v>410.15837952954143</c:v>
                </c:pt>
                <c:pt idx="12">
                  <c:v>409.57547384254593</c:v>
                </c:pt>
                <c:pt idx="13">
                  <c:v>408.97741575952273</c:v>
                </c:pt>
                <c:pt idx="14">
                  <c:v>408.36269004086915</c:v>
                </c:pt>
                <c:pt idx="15">
                  <c:v>407.72962992302217</c:v>
                </c:pt>
                <c:pt idx="16">
                  <c:v>407.17017481242823</c:v>
                </c:pt>
                <c:pt idx="17">
                  <c:v>406.58853507881025</c:v>
                </c:pt>
                <c:pt idx="18">
                  <c:v>405.98249225986586</c:v>
                </c:pt>
                <c:pt idx="19">
                  <c:v>405.34960604706231</c:v>
                </c:pt>
                <c:pt idx="20">
                  <c:v>404.68719210101364</c:v>
                </c:pt>
                <c:pt idx="21">
                  <c:v>403.99229764839549</c:v>
                </c:pt>
                <c:pt idx="22">
                  <c:v>403.2616746385508</c:v>
                </c:pt>
              </c:numCache>
            </c:numRef>
          </c:val>
        </c:ser>
        <c:ser>
          <c:idx val="6"/>
          <c:order val="6"/>
          <c:tx>
            <c:strRef>
              <c:f>'Tech Parameters'!$F$125</c:f>
              <c:strCache>
                <c:ptCount val="1"/>
                <c:pt idx="0">
                  <c:v>Wind 30% </c:v>
                </c:pt>
              </c:strCache>
            </c:strRef>
          </c:tx>
          <c:marker>
            <c:symbol val="none"/>
          </c:marker>
          <c:cat>
            <c:numRef>
              <c:f>'Tech Parameters'!$G$118:$AC$118</c:f>
              <c:numCache>
                <c:formatCode>General</c:formatCode>
                <c:ptCount val="23"/>
                <c:pt idx="0">
                  <c:v>2008</c:v>
                </c:pt>
                <c:pt idx="1">
                  <c:v>2009</c:v>
                </c:pt>
                <c:pt idx="2">
                  <c:v>2010</c:v>
                </c:pt>
                <c:pt idx="3">
                  <c:v>2011</c:v>
                </c:pt>
                <c:pt idx="4">
                  <c:v>2012</c:v>
                </c:pt>
                <c:pt idx="5">
                  <c:v>2013</c:v>
                </c:pt>
                <c:pt idx="6">
                  <c:v>2014</c:v>
                </c:pt>
                <c:pt idx="7">
                  <c:v>2015</c:v>
                </c:pt>
                <c:pt idx="8">
                  <c:v>2016</c:v>
                </c:pt>
                <c:pt idx="9">
                  <c:v>2017</c:v>
                </c:pt>
                <c:pt idx="10">
                  <c:v>2018</c:v>
                </c:pt>
                <c:pt idx="11">
                  <c:v>2019</c:v>
                </c:pt>
                <c:pt idx="12">
                  <c:v>2020</c:v>
                </c:pt>
                <c:pt idx="13">
                  <c:v>2021</c:v>
                </c:pt>
                <c:pt idx="14">
                  <c:v>2022</c:v>
                </c:pt>
                <c:pt idx="15">
                  <c:v>2023</c:v>
                </c:pt>
                <c:pt idx="16">
                  <c:v>2024</c:v>
                </c:pt>
                <c:pt idx="17">
                  <c:v>2025</c:v>
                </c:pt>
                <c:pt idx="18">
                  <c:v>2026</c:v>
                </c:pt>
                <c:pt idx="19">
                  <c:v>2027</c:v>
                </c:pt>
                <c:pt idx="20">
                  <c:v>2028</c:v>
                </c:pt>
                <c:pt idx="21">
                  <c:v>2029</c:v>
                </c:pt>
                <c:pt idx="22">
                  <c:v>2030</c:v>
                </c:pt>
              </c:numCache>
            </c:numRef>
          </c:cat>
          <c:val>
            <c:numRef>
              <c:f>'Tech Parameters'!$G$125:$AC$125</c:f>
              <c:numCache>
                <c:formatCode>"R"\ #,##0.00;[Red]"R"\ \-#,##0.00</c:formatCode>
                <c:ptCount val="23"/>
                <c:pt idx="0">
                  <c:v>830.23696213536357</c:v>
                </c:pt>
                <c:pt idx="1">
                  <c:v>811.88544744737158</c:v>
                </c:pt>
                <c:pt idx="2">
                  <c:v>793.53393275937981</c:v>
                </c:pt>
                <c:pt idx="3">
                  <c:v>775.18241807138781</c:v>
                </c:pt>
                <c:pt idx="4">
                  <c:v>756.83090338339582</c:v>
                </c:pt>
                <c:pt idx="5">
                  <c:v>740.31454016420298</c:v>
                </c:pt>
                <c:pt idx="6">
                  <c:v>723.79817694501014</c:v>
                </c:pt>
                <c:pt idx="7">
                  <c:v>707.2818137258173</c:v>
                </c:pt>
                <c:pt idx="8">
                  <c:v>690.76545050662457</c:v>
                </c:pt>
                <c:pt idx="9">
                  <c:v>678.87366898880589</c:v>
                </c:pt>
                <c:pt idx="10">
                  <c:v>666.98188747098698</c:v>
                </c:pt>
                <c:pt idx="11">
                  <c:v>655.0901059531684</c:v>
                </c:pt>
                <c:pt idx="12">
                  <c:v>643.19832443534949</c:v>
                </c:pt>
                <c:pt idx="13">
                  <c:v>631.30654291753069</c:v>
                </c:pt>
                <c:pt idx="14">
                  <c:v>628.15871839810814</c:v>
                </c:pt>
                <c:pt idx="15">
                  <c:v>625.01089387868547</c:v>
                </c:pt>
                <c:pt idx="16">
                  <c:v>621.86306935926291</c:v>
                </c:pt>
                <c:pt idx="17">
                  <c:v>618.71524483984035</c:v>
                </c:pt>
                <c:pt idx="18">
                  <c:v>615.56742032041757</c:v>
                </c:pt>
                <c:pt idx="19">
                  <c:v>612.41959580099513</c:v>
                </c:pt>
                <c:pt idx="20">
                  <c:v>609.27177128157246</c:v>
                </c:pt>
                <c:pt idx="21">
                  <c:v>606.12394676214979</c:v>
                </c:pt>
                <c:pt idx="22">
                  <c:v>602.97612224272723</c:v>
                </c:pt>
              </c:numCache>
            </c:numRef>
          </c:val>
        </c:ser>
        <c:ser>
          <c:idx val="7"/>
          <c:order val="7"/>
          <c:tx>
            <c:strRef>
              <c:f>'Tech Parameters'!$F$126</c:f>
              <c:strCache>
                <c:ptCount val="1"/>
                <c:pt idx="0">
                  <c:v>Wind 25%</c:v>
                </c:pt>
              </c:strCache>
            </c:strRef>
          </c:tx>
          <c:marker>
            <c:symbol val="none"/>
          </c:marker>
          <c:cat>
            <c:numRef>
              <c:f>'Tech Parameters'!$G$118:$AC$118</c:f>
              <c:numCache>
                <c:formatCode>General</c:formatCode>
                <c:ptCount val="23"/>
                <c:pt idx="0">
                  <c:v>2008</c:v>
                </c:pt>
                <c:pt idx="1">
                  <c:v>2009</c:v>
                </c:pt>
                <c:pt idx="2">
                  <c:v>2010</c:v>
                </c:pt>
                <c:pt idx="3">
                  <c:v>2011</c:v>
                </c:pt>
                <c:pt idx="4">
                  <c:v>2012</c:v>
                </c:pt>
                <c:pt idx="5">
                  <c:v>2013</c:v>
                </c:pt>
                <c:pt idx="6">
                  <c:v>2014</c:v>
                </c:pt>
                <c:pt idx="7">
                  <c:v>2015</c:v>
                </c:pt>
                <c:pt idx="8">
                  <c:v>2016</c:v>
                </c:pt>
                <c:pt idx="9">
                  <c:v>2017</c:v>
                </c:pt>
                <c:pt idx="10">
                  <c:v>2018</c:v>
                </c:pt>
                <c:pt idx="11">
                  <c:v>2019</c:v>
                </c:pt>
                <c:pt idx="12">
                  <c:v>2020</c:v>
                </c:pt>
                <c:pt idx="13">
                  <c:v>2021</c:v>
                </c:pt>
                <c:pt idx="14">
                  <c:v>2022</c:v>
                </c:pt>
                <c:pt idx="15">
                  <c:v>2023</c:v>
                </c:pt>
                <c:pt idx="16">
                  <c:v>2024</c:v>
                </c:pt>
                <c:pt idx="17">
                  <c:v>2025</c:v>
                </c:pt>
                <c:pt idx="18">
                  <c:v>2026</c:v>
                </c:pt>
                <c:pt idx="19">
                  <c:v>2027</c:v>
                </c:pt>
                <c:pt idx="20">
                  <c:v>2028</c:v>
                </c:pt>
                <c:pt idx="21">
                  <c:v>2029</c:v>
                </c:pt>
                <c:pt idx="22">
                  <c:v>2030</c:v>
                </c:pt>
              </c:numCache>
            </c:numRef>
          </c:cat>
          <c:val>
            <c:numRef>
              <c:f>'Tech Parameters'!$G$126:$AC$126</c:f>
              <c:numCache>
                <c:formatCode>"R"\ #,##0.00;[Red]"R"\ \-#,##0.00</c:formatCode>
                <c:ptCount val="23"/>
                <c:pt idx="0">
                  <c:v>996.28435456243619</c:v>
                </c:pt>
                <c:pt idx="1">
                  <c:v>974.26253693684578</c:v>
                </c:pt>
                <c:pt idx="2">
                  <c:v>952.24071931125559</c:v>
                </c:pt>
                <c:pt idx="3">
                  <c:v>930.21890168566529</c:v>
                </c:pt>
                <c:pt idx="4">
                  <c:v>908.19708406007487</c:v>
                </c:pt>
                <c:pt idx="5">
                  <c:v>888.37744819704358</c:v>
                </c:pt>
                <c:pt idx="6">
                  <c:v>868.55781233401217</c:v>
                </c:pt>
                <c:pt idx="7">
                  <c:v>848.73817647098065</c:v>
                </c:pt>
                <c:pt idx="8">
                  <c:v>828.91854060794947</c:v>
                </c:pt>
                <c:pt idx="9">
                  <c:v>814.64840278656698</c:v>
                </c:pt>
                <c:pt idx="10">
                  <c:v>800.37826496518437</c:v>
                </c:pt>
                <c:pt idx="11">
                  <c:v>786.10812714380199</c:v>
                </c:pt>
                <c:pt idx="12">
                  <c:v>771.83798932241939</c:v>
                </c:pt>
                <c:pt idx="13">
                  <c:v>757.56785150103678</c:v>
                </c:pt>
                <c:pt idx="14">
                  <c:v>753.79046207772967</c:v>
                </c:pt>
                <c:pt idx="15">
                  <c:v>750.01307265442244</c:v>
                </c:pt>
                <c:pt idx="16">
                  <c:v>746.23568323111544</c:v>
                </c:pt>
                <c:pt idx="17">
                  <c:v>742.45829380780845</c:v>
                </c:pt>
                <c:pt idx="18">
                  <c:v>738.68090438450099</c:v>
                </c:pt>
                <c:pt idx="19">
                  <c:v>734.90351496119399</c:v>
                </c:pt>
                <c:pt idx="20">
                  <c:v>731.12612553788688</c:v>
                </c:pt>
                <c:pt idx="21">
                  <c:v>727.34873611457965</c:v>
                </c:pt>
                <c:pt idx="22">
                  <c:v>723.57134669127254</c:v>
                </c:pt>
              </c:numCache>
            </c:numRef>
          </c:val>
        </c:ser>
        <c:ser>
          <c:idx val="8"/>
          <c:order val="8"/>
          <c:tx>
            <c:strRef>
              <c:f>'Tech Parameters'!$F$127</c:f>
              <c:strCache>
                <c:ptCount val="1"/>
                <c:pt idx="0">
                  <c:v>solar thermal central reciever</c:v>
                </c:pt>
              </c:strCache>
            </c:strRef>
          </c:tx>
          <c:marker>
            <c:symbol val="none"/>
          </c:marker>
          <c:cat>
            <c:numRef>
              <c:f>'Tech Parameters'!$G$118:$AC$118</c:f>
              <c:numCache>
                <c:formatCode>General</c:formatCode>
                <c:ptCount val="23"/>
                <c:pt idx="0">
                  <c:v>2008</c:v>
                </c:pt>
                <c:pt idx="1">
                  <c:v>2009</c:v>
                </c:pt>
                <c:pt idx="2">
                  <c:v>2010</c:v>
                </c:pt>
                <c:pt idx="3">
                  <c:v>2011</c:v>
                </c:pt>
                <c:pt idx="4">
                  <c:v>2012</c:v>
                </c:pt>
                <c:pt idx="5">
                  <c:v>2013</c:v>
                </c:pt>
                <c:pt idx="6">
                  <c:v>2014</c:v>
                </c:pt>
                <c:pt idx="7">
                  <c:v>2015</c:v>
                </c:pt>
                <c:pt idx="8">
                  <c:v>2016</c:v>
                </c:pt>
                <c:pt idx="9">
                  <c:v>2017</c:v>
                </c:pt>
                <c:pt idx="10">
                  <c:v>2018</c:v>
                </c:pt>
                <c:pt idx="11">
                  <c:v>2019</c:v>
                </c:pt>
                <c:pt idx="12">
                  <c:v>2020</c:v>
                </c:pt>
                <c:pt idx="13">
                  <c:v>2021</c:v>
                </c:pt>
                <c:pt idx="14">
                  <c:v>2022</c:v>
                </c:pt>
                <c:pt idx="15">
                  <c:v>2023</c:v>
                </c:pt>
                <c:pt idx="16">
                  <c:v>2024</c:v>
                </c:pt>
                <c:pt idx="17">
                  <c:v>2025</c:v>
                </c:pt>
                <c:pt idx="18">
                  <c:v>2026</c:v>
                </c:pt>
                <c:pt idx="19">
                  <c:v>2027</c:v>
                </c:pt>
                <c:pt idx="20">
                  <c:v>2028</c:v>
                </c:pt>
                <c:pt idx="21">
                  <c:v>2029</c:v>
                </c:pt>
                <c:pt idx="22">
                  <c:v>2030</c:v>
                </c:pt>
              </c:numCache>
            </c:numRef>
          </c:cat>
          <c:val>
            <c:numRef>
              <c:f>'Tech Parameters'!$G$127:$AC$127</c:f>
              <c:numCache>
                <c:formatCode>"R"\ #,##0.00;[Red]"R"\ \-#,##0.00</c:formatCode>
                <c:ptCount val="23"/>
                <c:pt idx="0">
                  <c:v>1451.6374198947865</c:v>
                </c:pt>
                <c:pt idx="1">
                  <c:v>1417.5993286840003</c:v>
                </c:pt>
                <c:pt idx="2">
                  <c:v>1383.5612374732143</c:v>
                </c:pt>
                <c:pt idx="3">
                  <c:v>1349.5231462624281</c:v>
                </c:pt>
                <c:pt idx="4">
                  <c:v>1315.4850550516419</c:v>
                </c:pt>
                <c:pt idx="5">
                  <c:v>1281.4469638408557</c:v>
                </c:pt>
                <c:pt idx="6">
                  <c:v>1247.4088726300697</c:v>
                </c:pt>
                <c:pt idx="7">
                  <c:v>1213.370781419284</c:v>
                </c:pt>
                <c:pt idx="8">
                  <c:v>1179.3326902084975</c:v>
                </c:pt>
                <c:pt idx="9">
                  <c:v>1152.1022172398691</c:v>
                </c:pt>
                <c:pt idx="10">
                  <c:v>1124.8717442712402</c:v>
                </c:pt>
                <c:pt idx="11">
                  <c:v>1097.6412713026114</c:v>
                </c:pt>
                <c:pt idx="12">
                  <c:v>1070.4107983339823</c:v>
                </c:pt>
                <c:pt idx="13">
                  <c:v>1043.1803253653534</c:v>
                </c:pt>
                <c:pt idx="14">
                  <c:v>1015.9498523967245</c:v>
                </c:pt>
                <c:pt idx="15">
                  <c:v>988.71937942809552</c:v>
                </c:pt>
                <c:pt idx="16">
                  <c:v>961.4889064594671</c:v>
                </c:pt>
                <c:pt idx="17">
                  <c:v>936.5924740310063</c:v>
                </c:pt>
                <c:pt idx="18">
                  <c:v>911.69604160254562</c:v>
                </c:pt>
                <c:pt idx="19">
                  <c:v>886.79960917408482</c:v>
                </c:pt>
                <c:pt idx="20">
                  <c:v>861.90317674562402</c:v>
                </c:pt>
                <c:pt idx="21">
                  <c:v>837.00674431716357</c:v>
                </c:pt>
                <c:pt idx="22">
                  <c:v>812.11031188870277</c:v>
                </c:pt>
              </c:numCache>
            </c:numRef>
          </c:val>
        </c:ser>
        <c:ser>
          <c:idx val="9"/>
          <c:order val="9"/>
          <c:tx>
            <c:strRef>
              <c:f>'Tech Parameters'!$F$128</c:f>
              <c:strCache>
                <c:ptCount val="1"/>
                <c:pt idx="0">
                  <c:v>solar thermal trough</c:v>
                </c:pt>
              </c:strCache>
            </c:strRef>
          </c:tx>
          <c:marker>
            <c:symbol val="none"/>
          </c:marker>
          <c:cat>
            <c:numRef>
              <c:f>'Tech Parameters'!$G$118:$AC$118</c:f>
              <c:numCache>
                <c:formatCode>General</c:formatCode>
                <c:ptCount val="23"/>
                <c:pt idx="0">
                  <c:v>2008</c:v>
                </c:pt>
                <c:pt idx="1">
                  <c:v>2009</c:v>
                </c:pt>
                <c:pt idx="2">
                  <c:v>2010</c:v>
                </c:pt>
                <c:pt idx="3">
                  <c:v>2011</c:v>
                </c:pt>
                <c:pt idx="4">
                  <c:v>2012</c:v>
                </c:pt>
                <c:pt idx="5">
                  <c:v>2013</c:v>
                </c:pt>
                <c:pt idx="6">
                  <c:v>2014</c:v>
                </c:pt>
                <c:pt idx="7">
                  <c:v>2015</c:v>
                </c:pt>
                <c:pt idx="8">
                  <c:v>2016</c:v>
                </c:pt>
                <c:pt idx="9">
                  <c:v>2017</c:v>
                </c:pt>
                <c:pt idx="10">
                  <c:v>2018</c:v>
                </c:pt>
                <c:pt idx="11">
                  <c:v>2019</c:v>
                </c:pt>
                <c:pt idx="12">
                  <c:v>2020</c:v>
                </c:pt>
                <c:pt idx="13">
                  <c:v>2021</c:v>
                </c:pt>
                <c:pt idx="14">
                  <c:v>2022</c:v>
                </c:pt>
                <c:pt idx="15">
                  <c:v>2023</c:v>
                </c:pt>
                <c:pt idx="16">
                  <c:v>2024</c:v>
                </c:pt>
                <c:pt idx="17">
                  <c:v>2025</c:v>
                </c:pt>
                <c:pt idx="18">
                  <c:v>2026</c:v>
                </c:pt>
                <c:pt idx="19">
                  <c:v>2027</c:v>
                </c:pt>
                <c:pt idx="20">
                  <c:v>2028</c:v>
                </c:pt>
                <c:pt idx="21">
                  <c:v>2029</c:v>
                </c:pt>
                <c:pt idx="22">
                  <c:v>2030</c:v>
                </c:pt>
              </c:numCache>
            </c:numRef>
          </c:cat>
          <c:val>
            <c:numRef>
              <c:f>'Tech Parameters'!$G$128:$AC$128</c:f>
              <c:numCache>
                <c:formatCode>"R"\ #,##0.00;[Red]"R"\ \-#,##0.00</c:formatCode>
                <c:ptCount val="23"/>
                <c:pt idx="0">
                  <c:v>1496.6943056264579</c:v>
                </c:pt>
                <c:pt idx="1">
                  <c:v>1471.1657372183683</c:v>
                </c:pt>
                <c:pt idx="2">
                  <c:v>1445.6371688102786</c:v>
                </c:pt>
                <c:pt idx="3">
                  <c:v>1420.108600402189</c:v>
                </c:pt>
                <c:pt idx="4">
                  <c:v>1394.5800319940995</c:v>
                </c:pt>
                <c:pt idx="5">
                  <c:v>1369.05146358601</c:v>
                </c:pt>
                <c:pt idx="6">
                  <c:v>1343.5228951779202</c:v>
                </c:pt>
                <c:pt idx="7">
                  <c:v>1317.9943267698309</c:v>
                </c:pt>
                <c:pt idx="8">
                  <c:v>1292.4657583617413</c:v>
                </c:pt>
                <c:pt idx="9">
                  <c:v>1270.7664752148653</c:v>
                </c:pt>
                <c:pt idx="10">
                  <c:v>1249.067192067989</c:v>
                </c:pt>
                <c:pt idx="11">
                  <c:v>1227.3679089211132</c:v>
                </c:pt>
                <c:pt idx="12">
                  <c:v>1205.6686257742367</c:v>
                </c:pt>
                <c:pt idx="13">
                  <c:v>1183.9693426273609</c:v>
                </c:pt>
                <c:pt idx="14">
                  <c:v>1162.2700594804842</c:v>
                </c:pt>
                <c:pt idx="15">
                  <c:v>1140.5707763336084</c:v>
                </c:pt>
                <c:pt idx="16">
                  <c:v>1118.8714931867326</c:v>
                </c:pt>
                <c:pt idx="17">
                  <c:v>1097.7921895583384</c:v>
                </c:pt>
                <c:pt idx="18">
                  <c:v>1076.7128859299446</c:v>
                </c:pt>
                <c:pt idx="19">
                  <c:v>1055.6335823015506</c:v>
                </c:pt>
                <c:pt idx="20">
                  <c:v>1034.5542786731567</c:v>
                </c:pt>
                <c:pt idx="21">
                  <c:v>1013.4749750447625</c:v>
                </c:pt>
                <c:pt idx="22">
                  <c:v>992.3956714163686</c:v>
                </c:pt>
              </c:numCache>
            </c:numRef>
          </c:val>
        </c:ser>
        <c:ser>
          <c:idx val="11"/>
          <c:order val="11"/>
          <c:tx>
            <c:strRef>
              <c:f>'Tech Parameters'!$F$130</c:f>
              <c:strCache>
                <c:ptCount val="1"/>
                <c:pt idx="0">
                  <c:v>combined cycle gas</c:v>
                </c:pt>
              </c:strCache>
            </c:strRef>
          </c:tx>
          <c:marker>
            <c:symbol val="none"/>
          </c:marker>
          <c:cat>
            <c:numRef>
              <c:f>'Tech Parameters'!$G$118:$AC$118</c:f>
              <c:numCache>
                <c:formatCode>General</c:formatCode>
                <c:ptCount val="23"/>
                <c:pt idx="0">
                  <c:v>2008</c:v>
                </c:pt>
                <c:pt idx="1">
                  <c:v>2009</c:v>
                </c:pt>
                <c:pt idx="2">
                  <c:v>2010</c:v>
                </c:pt>
                <c:pt idx="3">
                  <c:v>2011</c:v>
                </c:pt>
                <c:pt idx="4">
                  <c:v>2012</c:v>
                </c:pt>
                <c:pt idx="5">
                  <c:v>2013</c:v>
                </c:pt>
                <c:pt idx="6">
                  <c:v>2014</c:v>
                </c:pt>
                <c:pt idx="7">
                  <c:v>2015</c:v>
                </c:pt>
                <c:pt idx="8">
                  <c:v>2016</c:v>
                </c:pt>
                <c:pt idx="9">
                  <c:v>2017</c:v>
                </c:pt>
                <c:pt idx="10">
                  <c:v>2018</c:v>
                </c:pt>
                <c:pt idx="11">
                  <c:v>2019</c:v>
                </c:pt>
                <c:pt idx="12">
                  <c:v>2020</c:v>
                </c:pt>
                <c:pt idx="13">
                  <c:v>2021</c:v>
                </c:pt>
                <c:pt idx="14">
                  <c:v>2022</c:v>
                </c:pt>
                <c:pt idx="15">
                  <c:v>2023</c:v>
                </c:pt>
                <c:pt idx="16">
                  <c:v>2024</c:v>
                </c:pt>
                <c:pt idx="17">
                  <c:v>2025</c:v>
                </c:pt>
                <c:pt idx="18">
                  <c:v>2026</c:v>
                </c:pt>
                <c:pt idx="19">
                  <c:v>2027</c:v>
                </c:pt>
                <c:pt idx="20">
                  <c:v>2028</c:v>
                </c:pt>
                <c:pt idx="21">
                  <c:v>2029</c:v>
                </c:pt>
                <c:pt idx="22">
                  <c:v>2030</c:v>
                </c:pt>
              </c:numCache>
            </c:numRef>
          </c:cat>
          <c:val>
            <c:numRef>
              <c:f>'Tech Parameters'!$G$130:$AC$130</c:f>
              <c:numCache>
                <c:formatCode>"R"\ #,##0.00;[Red]"R"\ \-#,##0.00</c:formatCode>
                <c:ptCount val="23"/>
                <c:pt idx="0">
                  <c:v>587.17363751053961</c:v>
                </c:pt>
                <c:pt idx="1">
                  <c:v>588.05697735712704</c:v>
                </c:pt>
                <c:pt idx="2">
                  <c:v>604.05925836657377</c:v>
                </c:pt>
                <c:pt idx="3">
                  <c:v>619.80067247782381</c:v>
                </c:pt>
                <c:pt idx="4">
                  <c:v>635.25513300105763</c:v>
                </c:pt>
                <c:pt idx="5">
                  <c:v>650.39394457747335</c:v>
                </c:pt>
                <c:pt idx="6">
                  <c:v>665.59689772131117</c:v>
                </c:pt>
                <c:pt idx="7">
                  <c:v>680.41791563949914</c:v>
                </c:pt>
                <c:pt idx="8">
                  <c:v>694.81880480947234</c:v>
                </c:pt>
                <c:pt idx="9">
                  <c:v>708.75755235640929</c:v>
                </c:pt>
                <c:pt idx="10">
                  <c:v>722.18794411800627</c:v>
                </c:pt>
                <c:pt idx="11">
                  <c:v>735.05914451572949</c:v>
                </c:pt>
                <c:pt idx="12">
                  <c:v>747.31523441319132</c:v>
                </c:pt>
                <c:pt idx="13">
                  <c:v>758.8947027603657</c:v>
                </c:pt>
                <c:pt idx="14">
                  <c:v>769.72988740222399</c:v>
                </c:pt>
                <c:pt idx="15">
                  <c:v>779.74635996823451</c:v>
                </c:pt>
                <c:pt idx="16">
                  <c:v>788.86224925081228</c:v>
                </c:pt>
                <c:pt idx="17">
                  <c:v>796.98749692161459</c:v>
                </c:pt>
                <c:pt idx="18">
                  <c:v>804.02303881946318</c:v>
                </c:pt>
                <c:pt idx="19">
                  <c:v>809.859904367063</c:v>
                </c:pt>
                <c:pt idx="20">
                  <c:v>814.37822592938949</c:v>
                </c:pt>
                <c:pt idx="21">
                  <c:v>817.44614910791472</c:v>
                </c:pt>
                <c:pt idx="22">
                  <c:v>818.91863406425909</c:v>
                </c:pt>
              </c:numCache>
            </c:numRef>
          </c:val>
        </c:ser>
        <c:ser>
          <c:idx val="12"/>
          <c:order val="12"/>
          <c:tx>
            <c:strRef>
              <c:f>'Tech Parameters'!$F$131</c:f>
              <c:strCache>
                <c:ptCount val="1"/>
                <c:pt idx="0">
                  <c:v>PBMR</c:v>
                </c:pt>
              </c:strCache>
            </c:strRef>
          </c:tx>
          <c:marker>
            <c:symbol val="none"/>
          </c:marker>
          <c:cat>
            <c:numRef>
              <c:f>'Tech Parameters'!$G$118:$AC$118</c:f>
              <c:numCache>
                <c:formatCode>General</c:formatCode>
                <c:ptCount val="23"/>
                <c:pt idx="0">
                  <c:v>2008</c:v>
                </c:pt>
                <c:pt idx="1">
                  <c:v>2009</c:v>
                </c:pt>
                <c:pt idx="2">
                  <c:v>2010</c:v>
                </c:pt>
                <c:pt idx="3">
                  <c:v>2011</c:v>
                </c:pt>
                <c:pt idx="4">
                  <c:v>2012</c:v>
                </c:pt>
                <c:pt idx="5">
                  <c:v>2013</c:v>
                </c:pt>
                <c:pt idx="6">
                  <c:v>2014</c:v>
                </c:pt>
                <c:pt idx="7">
                  <c:v>2015</c:v>
                </c:pt>
                <c:pt idx="8">
                  <c:v>2016</c:v>
                </c:pt>
                <c:pt idx="9">
                  <c:v>2017</c:v>
                </c:pt>
                <c:pt idx="10">
                  <c:v>2018</c:v>
                </c:pt>
                <c:pt idx="11">
                  <c:v>2019</c:v>
                </c:pt>
                <c:pt idx="12">
                  <c:v>2020</c:v>
                </c:pt>
                <c:pt idx="13">
                  <c:v>2021</c:v>
                </c:pt>
                <c:pt idx="14">
                  <c:v>2022</c:v>
                </c:pt>
                <c:pt idx="15">
                  <c:v>2023</c:v>
                </c:pt>
                <c:pt idx="16">
                  <c:v>2024</c:v>
                </c:pt>
                <c:pt idx="17">
                  <c:v>2025</c:v>
                </c:pt>
                <c:pt idx="18">
                  <c:v>2026</c:v>
                </c:pt>
                <c:pt idx="19">
                  <c:v>2027</c:v>
                </c:pt>
                <c:pt idx="20">
                  <c:v>2028</c:v>
                </c:pt>
                <c:pt idx="21">
                  <c:v>2029</c:v>
                </c:pt>
                <c:pt idx="22">
                  <c:v>2030</c:v>
                </c:pt>
              </c:numCache>
            </c:numRef>
          </c:cat>
          <c:val>
            <c:numRef>
              <c:f>'Tech Parameters'!$G$131:$AC$131</c:f>
              <c:numCache>
                <c:formatCode>"R"\ #,##0.00;[Red]"R"\ \-#,##0.00</c:formatCode>
                <c:ptCount val="23"/>
                <c:pt idx="0">
                  <c:v>554.69775003908808</c:v>
                </c:pt>
                <c:pt idx="1">
                  <c:v>555.02430195507884</c:v>
                </c:pt>
                <c:pt idx="2">
                  <c:v>555.10963934309848</c:v>
                </c:pt>
                <c:pt idx="3">
                  <c:v>555.1939721817397</c:v>
                </c:pt>
                <c:pt idx="4">
                  <c:v>555.27715232462367</c:v>
                </c:pt>
                <c:pt idx="5">
                  <c:v>555.35901657227657</c:v>
                </c:pt>
                <c:pt idx="6">
                  <c:v>555.43938516562787</c:v>
                </c:pt>
                <c:pt idx="7">
                  <c:v>555.51806012885186</c:v>
                </c:pt>
                <c:pt idx="8">
                  <c:v>555.59482344648848</c:v>
                </c:pt>
                <c:pt idx="9">
                  <c:v>555.66943505826964</c:v>
                </c:pt>
                <c:pt idx="10">
                  <c:v>555.74163065342157</c:v>
                </c:pt>
                <c:pt idx="11">
                  <c:v>555.81111924439244</c:v>
                </c:pt>
                <c:pt idx="12">
                  <c:v>555.87758049794547</c:v>
                </c:pt>
                <c:pt idx="13">
                  <c:v>555.94066179935635</c:v>
                </c:pt>
                <c:pt idx="14">
                  <c:v>555.99997502302347</c:v>
                </c:pt>
                <c:pt idx="15">
                  <c:v>556.05509298013305</c:v>
                </c:pt>
                <c:pt idx="16">
                  <c:v>556.10554551108453</c:v>
                </c:pt>
                <c:pt idx="17">
                  <c:v>556.15081518715294</c:v>
                </c:pt>
                <c:pt idx="18">
                  <c:v>556.19033258231002</c:v>
                </c:pt>
                <c:pt idx="19">
                  <c:v>556.22347107222197</c:v>
                </c:pt>
                <c:pt idx="20">
                  <c:v>556.24954111314059</c:v>
                </c:pt>
                <c:pt idx="21">
                  <c:v>556.26778394867654</c:v>
                </c:pt>
                <c:pt idx="22">
                  <c:v>556.27736468724424</c:v>
                </c:pt>
              </c:numCache>
            </c:numRef>
          </c:val>
        </c:ser>
        <c:ser>
          <c:idx val="13"/>
          <c:order val="13"/>
          <c:tx>
            <c:strRef>
              <c:f>'Tech Parameters'!$F$132</c:f>
              <c:strCache>
                <c:ptCount val="1"/>
                <c:pt idx="0">
                  <c:v>IGCC</c:v>
                </c:pt>
              </c:strCache>
            </c:strRef>
          </c:tx>
          <c:marker>
            <c:symbol val="none"/>
          </c:marker>
          <c:cat>
            <c:numRef>
              <c:f>'Tech Parameters'!$G$118:$AC$118</c:f>
              <c:numCache>
                <c:formatCode>General</c:formatCode>
                <c:ptCount val="23"/>
                <c:pt idx="0">
                  <c:v>2008</c:v>
                </c:pt>
                <c:pt idx="1">
                  <c:v>2009</c:v>
                </c:pt>
                <c:pt idx="2">
                  <c:v>2010</c:v>
                </c:pt>
                <c:pt idx="3">
                  <c:v>2011</c:v>
                </c:pt>
                <c:pt idx="4">
                  <c:v>2012</c:v>
                </c:pt>
                <c:pt idx="5">
                  <c:v>2013</c:v>
                </c:pt>
                <c:pt idx="6">
                  <c:v>2014</c:v>
                </c:pt>
                <c:pt idx="7">
                  <c:v>2015</c:v>
                </c:pt>
                <c:pt idx="8">
                  <c:v>2016</c:v>
                </c:pt>
                <c:pt idx="9">
                  <c:v>2017</c:v>
                </c:pt>
                <c:pt idx="10">
                  <c:v>2018</c:v>
                </c:pt>
                <c:pt idx="11">
                  <c:v>2019</c:v>
                </c:pt>
                <c:pt idx="12">
                  <c:v>2020</c:v>
                </c:pt>
                <c:pt idx="13">
                  <c:v>2021</c:v>
                </c:pt>
                <c:pt idx="14">
                  <c:v>2022</c:v>
                </c:pt>
                <c:pt idx="15">
                  <c:v>2023</c:v>
                </c:pt>
                <c:pt idx="16">
                  <c:v>2024</c:v>
                </c:pt>
                <c:pt idx="17">
                  <c:v>2025</c:v>
                </c:pt>
                <c:pt idx="18">
                  <c:v>2026</c:v>
                </c:pt>
                <c:pt idx="19">
                  <c:v>2027</c:v>
                </c:pt>
                <c:pt idx="20">
                  <c:v>2028</c:v>
                </c:pt>
                <c:pt idx="21">
                  <c:v>2029</c:v>
                </c:pt>
                <c:pt idx="22">
                  <c:v>2030</c:v>
                </c:pt>
              </c:numCache>
            </c:numRef>
          </c:cat>
          <c:val>
            <c:numRef>
              <c:f>'Tech Parameters'!$G$132:$AC$132</c:f>
              <c:numCache>
                <c:formatCode>"R"\ #,##0.00;[Red]"R"\ \-#,##0.00</c:formatCode>
                <c:ptCount val="23"/>
                <c:pt idx="0">
                  <c:v>468.6831628417649</c:v>
                </c:pt>
                <c:pt idx="1">
                  <c:v>469.00699710961749</c:v>
                </c:pt>
                <c:pt idx="2">
                  <c:v>469.36321480425545</c:v>
                </c:pt>
                <c:pt idx="3">
                  <c:v>469.71386681477566</c:v>
                </c:pt>
                <c:pt idx="4">
                  <c:v>470.05839657276636</c:v>
                </c:pt>
                <c:pt idx="5">
                  <c:v>470.39619185297477</c:v>
                </c:pt>
                <c:pt idx="6">
                  <c:v>470.72657920762265</c:v>
                </c:pt>
                <c:pt idx="7">
                  <c:v>471.04881784415375</c:v>
                </c:pt>
                <c:pt idx="8">
                  <c:v>471.36209289075668</c:v>
                </c:pt>
                <c:pt idx="9">
                  <c:v>471.66550798843832</c:v>
                </c:pt>
                <c:pt idx="10">
                  <c:v>471.95807714230671</c:v>
                </c:pt>
                <c:pt idx="11">
                  <c:v>472.23871575798057</c:v>
                </c:pt>
                <c:pt idx="12">
                  <c:v>472.50623078164028</c:v>
                </c:pt>
                <c:pt idx="13">
                  <c:v>472.75930985408456</c:v>
                </c:pt>
                <c:pt idx="14">
                  <c:v>472.99650938019181</c:v>
                </c:pt>
                <c:pt idx="15">
                  <c:v>473.21624140532833</c:v>
                </c:pt>
                <c:pt idx="16">
                  <c:v>473.4167591793971</c:v>
                </c:pt>
                <c:pt idx="17">
                  <c:v>473.59614127729128</c:v>
                </c:pt>
                <c:pt idx="18">
                  <c:v>473.75227413139339</c:v>
                </c:pt>
                <c:pt idx="19">
                  <c:v>473.88283281732436</c:v>
                </c:pt>
                <c:pt idx="20">
                  <c:v>473.98525991826693</c:v>
                </c:pt>
                <c:pt idx="21">
                  <c:v>474.05674227572229</c:v>
                </c:pt>
                <c:pt idx="22">
                  <c:v>474.09418541534183</c:v>
                </c:pt>
              </c:numCache>
            </c:numRef>
          </c:val>
        </c:ser>
        <c:ser>
          <c:idx val="14"/>
          <c:order val="14"/>
          <c:tx>
            <c:strRef>
              <c:f>'Tech Parameters'!$F$133</c:f>
              <c:strCache>
                <c:ptCount val="1"/>
                <c:pt idx="0">
                  <c:v>-</c:v>
                </c:pt>
              </c:strCache>
            </c:strRef>
          </c:tx>
          <c:marker>
            <c:symbol val="none"/>
          </c:marker>
          <c:cat>
            <c:numRef>
              <c:f>'Tech Parameters'!$G$118:$AC$118</c:f>
              <c:numCache>
                <c:formatCode>General</c:formatCode>
                <c:ptCount val="23"/>
                <c:pt idx="0">
                  <c:v>2008</c:v>
                </c:pt>
                <c:pt idx="1">
                  <c:v>2009</c:v>
                </c:pt>
                <c:pt idx="2">
                  <c:v>2010</c:v>
                </c:pt>
                <c:pt idx="3">
                  <c:v>2011</c:v>
                </c:pt>
                <c:pt idx="4">
                  <c:v>2012</c:v>
                </c:pt>
                <c:pt idx="5">
                  <c:v>2013</c:v>
                </c:pt>
                <c:pt idx="6">
                  <c:v>2014</c:v>
                </c:pt>
                <c:pt idx="7">
                  <c:v>2015</c:v>
                </c:pt>
                <c:pt idx="8">
                  <c:v>2016</c:v>
                </c:pt>
                <c:pt idx="9">
                  <c:v>2017</c:v>
                </c:pt>
                <c:pt idx="10">
                  <c:v>2018</c:v>
                </c:pt>
                <c:pt idx="11">
                  <c:v>2019</c:v>
                </c:pt>
                <c:pt idx="12">
                  <c:v>2020</c:v>
                </c:pt>
                <c:pt idx="13">
                  <c:v>2021</c:v>
                </c:pt>
                <c:pt idx="14">
                  <c:v>2022</c:v>
                </c:pt>
                <c:pt idx="15">
                  <c:v>2023</c:v>
                </c:pt>
                <c:pt idx="16">
                  <c:v>2024</c:v>
                </c:pt>
                <c:pt idx="17">
                  <c:v>2025</c:v>
                </c:pt>
                <c:pt idx="18">
                  <c:v>2026</c:v>
                </c:pt>
                <c:pt idx="19">
                  <c:v>2027</c:v>
                </c:pt>
                <c:pt idx="20">
                  <c:v>2028</c:v>
                </c:pt>
                <c:pt idx="21">
                  <c:v>2029</c:v>
                </c:pt>
                <c:pt idx="22">
                  <c:v>2030</c:v>
                </c:pt>
              </c:numCache>
            </c:numRef>
          </c:cat>
          <c:val>
            <c:numRef>
              <c:f>'Tech Parameters'!$G$133:$AC$133</c:f>
              <c:numCache>
                <c:formatCode>"R"\ #,##0.00;[Red]"R"\ \-#,##0.00</c:formatCode>
                <c:ptCount val="23"/>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numCache>
            </c:numRef>
          </c:val>
        </c:ser>
        <c:marker val="1"/>
        <c:axId val="97823360"/>
        <c:axId val="97841920"/>
      </c:lineChart>
      <c:lineChart>
        <c:grouping val="standard"/>
        <c:ser>
          <c:idx val="0"/>
          <c:order val="0"/>
          <c:tx>
            <c:strRef>
              <c:f>'Tech Parameters'!$F$119</c:f>
              <c:strCache>
                <c:ptCount val="1"/>
                <c:pt idx="0">
                  <c:v>OCGT liquid fuels</c:v>
                </c:pt>
              </c:strCache>
            </c:strRef>
          </c:tx>
          <c:marker>
            <c:symbol val="none"/>
          </c:marker>
          <c:cat>
            <c:numRef>
              <c:f>'Tech Parameters'!$G$118:$AC$118</c:f>
              <c:numCache>
                <c:formatCode>General</c:formatCode>
                <c:ptCount val="23"/>
                <c:pt idx="0">
                  <c:v>2008</c:v>
                </c:pt>
                <c:pt idx="1">
                  <c:v>2009</c:v>
                </c:pt>
                <c:pt idx="2">
                  <c:v>2010</c:v>
                </c:pt>
                <c:pt idx="3">
                  <c:v>2011</c:v>
                </c:pt>
                <c:pt idx="4">
                  <c:v>2012</c:v>
                </c:pt>
                <c:pt idx="5">
                  <c:v>2013</c:v>
                </c:pt>
                <c:pt idx="6">
                  <c:v>2014</c:v>
                </c:pt>
                <c:pt idx="7">
                  <c:v>2015</c:v>
                </c:pt>
                <c:pt idx="8">
                  <c:v>2016</c:v>
                </c:pt>
                <c:pt idx="9">
                  <c:v>2017</c:v>
                </c:pt>
                <c:pt idx="10">
                  <c:v>2018</c:v>
                </c:pt>
                <c:pt idx="11">
                  <c:v>2019</c:v>
                </c:pt>
                <c:pt idx="12">
                  <c:v>2020</c:v>
                </c:pt>
                <c:pt idx="13">
                  <c:v>2021</c:v>
                </c:pt>
                <c:pt idx="14">
                  <c:v>2022</c:v>
                </c:pt>
                <c:pt idx="15">
                  <c:v>2023</c:v>
                </c:pt>
                <c:pt idx="16">
                  <c:v>2024</c:v>
                </c:pt>
                <c:pt idx="17">
                  <c:v>2025</c:v>
                </c:pt>
                <c:pt idx="18">
                  <c:v>2026</c:v>
                </c:pt>
                <c:pt idx="19">
                  <c:v>2027</c:v>
                </c:pt>
                <c:pt idx="20">
                  <c:v>2028</c:v>
                </c:pt>
                <c:pt idx="21">
                  <c:v>2029</c:v>
                </c:pt>
                <c:pt idx="22">
                  <c:v>2030</c:v>
                </c:pt>
              </c:numCache>
            </c:numRef>
          </c:cat>
          <c:val>
            <c:numRef>
              <c:f>'Tech Parameters'!$G$119:$AC$119</c:f>
              <c:numCache>
                <c:formatCode>"R"\ #,##0.00;[Red]"R"\ \-#,##0.00</c:formatCode>
                <c:ptCount val="23"/>
                <c:pt idx="0">
                  <c:v>2302.7967414157279</c:v>
                </c:pt>
                <c:pt idx="1">
                  <c:v>2299.4042938808329</c:v>
                </c:pt>
                <c:pt idx="2">
                  <c:v>2376.7304107856526</c:v>
                </c:pt>
                <c:pt idx="3">
                  <c:v>2452.848354297585</c:v>
                </c:pt>
                <c:pt idx="4">
                  <c:v>2527.6373070773407</c:v>
                </c:pt>
                <c:pt idx="5">
                  <c:v>2600.9643700517036</c:v>
                </c:pt>
                <c:pt idx="6">
                  <c:v>2672.6833542401328</c:v>
                </c:pt>
                <c:pt idx="7">
                  <c:v>2742.6334517640344</c:v>
                </c:pt>
                <c:pt idx="8">
                  <c:v>2810.6377739569584</c:v>
                </c:pt>
                <c:pt idx="9">
                  <c:v>2876.5017432858053</c:v>
                </c:pt>
                <c:pt idx="10">
                  <c:v>2940.0113244641661</c:v>
                </c:pt>
                <c:pt idx="11">
                  <c:v>3000.9310786769947</c:v>
                </c:pt>
                <c:pt idx="12">
                  <c:v>3059.0020232277366</c:v>
                </c:pt>
                <c:pt idx="13">
                  <c:v>3113.9392771501834</c:v>
                </c:pt>
                <c:pt idx="14">
                  <c:v>3165.4294713815057</c:v>
                </c:pt>
                <c:pt idx="15">
                  <c:v>3213.1278999525907</c:v>
                </c:pt>
                <c:pt idx="16">
                  <c:v>3256.6553862974142</c:v>
                </c:pt>
                <c:pt idx="17">
                  <c:v>3295.5948361933515</c:v>
                </c:pt>
                <c:pt idx="18">
                  <c:v>3329.4874459955122</c:v>
                </c:pt>
                <c:pt idx="19">
                  <c:v>3357.8285316945203</c:v>
                </c:pt>
                <c:pt idx="20">
                  <c:v>3380.0629408800596</c:v>
                </c:pt>
                <c:pt idx="21">
                  <c:v>3395.5800059007834</c:v>
                </c:pt>
                <c:pt idx="22">
                  <c:v>3403.7079923402098</c:v>
                </c:pt>
              </c:numCache>
            </c:numRef>
          </c:val>
        </c:ser>
        <c:ser>
          <c:idx val="10"/>
          <c:order val="10"/>
          <c:tx>
            <c:strRef>
              <c:f>'Tech Parameters'!$F$129</c:f>
              <c:strCache>
                <c:ptCount val="1"/>
                <c:pt idx="0">
                  <c:v>solar PV</c:v>
                </c:pt>
              </c:strCache>
            </c:strRef>
          </c:tx>
          <c:marker>
            <c:symbol val="none"/>
          </c:marker>
          <c:cat>
            <c:numRef>
              <c:f>'Tech Parameters'!$G$118:$AC$118</c:f>
              <c:numCache>
                <c:formatCode>General</c:formatCode>
                <c:ptCount val="23"/>
                <c:pt idx="0">
                  <c:v>2008</c:v>
                </c:pt>
                <c:pt idx="1">
                  <c:v>2009</c:v>
                </c:pt>
                <c:pt idx="2">
                  <c:v>2010</c:v>
                </c:pt>
                <c:pt idx="3">
                  <c:v>2011</c:v>
                </c:pt>
                <c:pt idx="4">
                  <c:v>2012</c:v>
                </c:pt>
                <c:pt idx="5">
                  <c:v>2013</c:v>
                </c:pt>
                <c:pt idx="6">
                  <c:v>2014</c:v>
                </c:pt>
                <c:pt idx="7">
                  <c:v>2015</c:v>
                </c:pt>
                <c:pt idx="8">
                  <c:v>2016</c:v>
                </c:pt>
                <c:pt idx="9">
                  <c:v>2017</c:v>
                </c:pt>
                <c:pt idx="10">
                  <c:v>2018</c:v>
                </c:pt>
                <c:pt idx="11">
                  <c:v>2019</c:v>
                </c:pt>
                <c:pt idx="12">
                  <c:v>2020</c:v>
                </c:pt>
                <c:pt idx="13">
                  <c:v>2021</c:v>
                </c:pt>
                <c:pt idx="14">
                  <c:v>2022</c:v>
                </c:pt>
                <c:pt idx="15">
                  <c:v>2023</c:v>
                </c:pt>
                <c:pt idx="16">
                  <c:v>2024</c:v>
                </c:pt>
                <c:pt idx="17">
                  <c:v>2025</c:v>
                </c:pt>
                <c:pt idx="18">
                  <c:v>2026</c:v>
                </c:pt>
                <c:pt idx="19">
                  <c:v>2027</c:v>
                </c:pt>
                <c:pt idx="20">
                  <c:v>2028</c:v>
                </c:pt>
                <c:pt idx="21">
                  <c:v>2029</c:v>
                </c:pt>
                <c:pt idx="22">
                  <c:v>2030</c:v>
                </c:pt>
              </c:numCache>
            </c:numRef>
          </c:cat>
          <c:val>
            <c:numRef>
              <c:f>'Tech Parameters'!$G$129:$AC$129</c:f>
              <c:numCache>
                <c:formatCode>"R"\ #,##0.00;[Red]"R"\ \-#,##0.00</c:formatCode>
                <c:ptCount val="23"/>
                <c:pt idx="0">
                  <c:v>3313.7971166486163</c:v>
                </c:pt>
                <c:pt idx="1">
                  <c:v>3019.9075330592368</c:v>
                </c:pt>
                <c:pt idx="2">
                  <c:v>2726.01794946986</c:v>
                </c:pt>
                <c:pt idx="3">
                  <c:v>2565.3583104409995</c:v>
                </c:pt>
                <c:pt idx="4">
                  <c:v>2404.6986714121394</c:v>
                </c:pt>
                <c:pt idx="5">
                  <c:v>2244.0390323832798</c:v>
                </c:pt>
                <c:pt idx="6">
                  <c:v>2046.4276763777825</c:v>
                </c:pt>
                <c:pt idx="7">
                  <c:v>1848.8163203722836</c:v>
                </c:pt>
                <c:pt idx="8">
                  <c:v>1740.7887790892783</c:v>
                </c:pt>
                <c:pt idx="9">
                  <c:v>1632.7612378062727</c:v>
                </c:pt>
                <c:pt idx="10">
                  <c:v>1524.7336965232676</c:v>
                </c:pt>
                <c:pt idx="11">
                  <c:v>1436.1511126712032</c:v>
                </c:pt>
                <c:pt idx="12">
                  <c:v>1347.5685288191382</c:v>
                </c:pt>
                <c:pt idx="13">
                  <c:v>1258.9859449670741</c:v>
                </c:pt>
                <c:pt idx="14">
                  <c:v>1204.5076558980547</c:v>
                </c:pt>
                <c:pt idx="15">
                  <c:v>1150.0293668290349</c:v>
                </c:pt>
                <c:pt idx="16">
                  <c:v>1095.5510777600155</c:v>
                </c:pt>
                <c:pt idx="17">
                  <c:v>1041.0727886909956</c:v>
                </c:pt>
                <c:pt idx="18">
                  <c:v>1041.0727886909956</c:v>
                </c:pt>
                <c:pt idx="19">
                  <c:v>1041.0727886909956</c:v>
                </c:pt>
                <c:pt idx="20">
                  <c:v>1041.0727886909956</c:v>
                </c:pt>
                <c:pt idx="21">
                  <c:v>1041.0727886909956</c:v>
                </c:pt>
                <c:pt idx="22">
                  <c:v>1041.0727886909956</c:v>
                </c:pt>
              </c:numCache>
            </c:numRef>
          </c:val>
        </c:ser>
        <c:marker val="1"/>
        <c:axId val="97843840"/>
        <c:axId val="98451840"/>
      </c:lineChart>
      <c:catAx>
        <c:axId val="97823360"/>
        <c:scaling>
          <c:orientation val="minMax"/>
        </c:scaling>
        <c:axPos val="b"/>
        <c:title>
          <c:tx>
            <c:rich>
              <a:bodyPr/>
              <a:lstStyle/>
              <a:p>
                <a:pPr>
                  <a:defRPr lang="en-ZA" sz="1000" b="0" i="0" u="none" strike="noStrike" baseline="0">
                    <a:solidFill>
                      <a:srgbClr val="000000"/>
                    </a:solidFill>
                    <a:latin typeface="Calibri"/>
                    <a:ea typeface="Calibri"/>
                    <a:cs typeface="Calibri"/>
                  </a:defRPr>
                </a:pPr>
                <a:r>
                  <a:rPr lang="en-ZA"/>
                  <a:t>Years</a:t>
                </a:r>
              </a:p>
            </c:rich>
          </c:tx>
        </c:title>
        <c:numFmt formatCode="General" sourceLinked="1"/>
        <c:tickLblPos val="nextTo"/>
        <c:txPr>
          <a:bodyPr rot="-5400000" vert="horz"/>
          <a:lstStyle/>
          <a:p>
            <a:pPr>
              <a:defRPr lang="en-ZA" sz="1000" b="0" i="0" u="none" strike="noStrike" baseline="0">
                <a:solidFill>
                  <a:srgbClr val="000000"/>
                </a:solidFill>
                <a:latin typeface="Calibri"/>
                <a:ea typeface="Calibri"/>
                <a:cs typeface="Calibri"/>
              </a:defRPr>
            </a:pPr>
            <a:endParaRPr lang="en-US"/>
          </a:p>
        </c:txPr>
        <c:crossAx val="97841920"/>
        <c:crosses val="autoZero"/>
        <c:auto val="1"/>
        <c:lblAlgn val="ctr"/>
        <c:lblOffset val="100"/>
      </c:catAx>
      <c:valAx>
        <c:axId val="97841920"/>
        <c:scaling>
          <c:orientation val="minMax"/>
        </c:scaling>
        <c:axPos val="l"/>
        <c:majorGridlines/>
        <c:title>
          <c:tx>
            <c:rich>
              <a:bodyPr/>
              <a:lstStyle/>
              <a:p>
                <a:pPr>
                  <a:defRPr lang="en-ZA" sz="1000" b="0" i="0" u="none" strike="noStrike" baseline="0">
                    <a:solidFill>
                      <a:srgbClr val="000000"/>
                    </a:solidFill>
                    <a:latin typeface="Calibri"/>
                    <a:ea typeface="Calibri"/>
                    <a:cs typeface="Calibri"/>
                  </a:defRPr>
                </a:pPr>
                <a:r>
                  <a:rPr lang="en-ZA"/>
                  <a:t>Levlized cost  (2008 R/MWh)</a:t>
                </a:r>
              </a:p>
            </c:rich>
          </c:tx>
        </c:title>
        <c:numFmt formatCode="&quot;R&quot;\ #,##0.00;[Red]&quot;R&quot;\ \-#,##0.00"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97823360"/>
        <c:crosses val="autoZero"/>
        <c:crossBetween val="between"/>
      </c:valAx>
      <c:catAx>
        <c:axId val="97843840"/>
        <c:scaling>
          <c:orientation val="minMax"/>
        </c:scaling>
        <c:delete val="1"/>
        <c:axPos val="b"/>
        <c:numFmt formatCode="General" sourceLinked="1"/>
        <c:tickLblPos val="none"/>
        <c:crossAx val="98451840"/>
        <c:crosses val="autoZero"/>
        <c:auto val="1"/>
        <c:lblAlgn val="ctr"/>
        <c:lblOffset val="100"/>
      </c:catAx>
      <c:valAx>
        <c:axId val="98451840"/>
        <c:scaling>
          <c:orientation val="minMax"/>
        </c:scaling>
        <c:axPos val="r"/>
        <c:title>
          <c:tx>
            <c:rich>
              <a:bodyPr rot="5400000" vert="horz"/>
              <a:lstStyle/>
              <a:p>
                <a:pPr algn="ctr">
                  <a:defRPr lang="en-ZA" sz="1200" b="0" i="0" u="none" strike="noStrike" baseline="0">
                    <a:solidFill>
                      <a:srgbClr val="000000"/>
                    </a:solidFill>
                    <a:latin typeface="Calibri"/>
                    <a:ea typeface="Calibri"/>
                    <a:cs typeface="Calibri"/>
                  </a:defRPr>
                </a:pPr>
                <a:r>
                  <a:rPr lang="en-ZA"/>
                  <a:t>Levlized cost  (2008 R/MWh) for OCGT and solar PV</a:t>
                </a:r>
              </a:p>
            </c:rich>
          </c:tx>
        </c:title>
        <c:numFmt formatCode="&quot;R&quot;\ #,##0.00;[Red]&quot;R&quot;\ \-#,##0.00"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97843840"/>
        <c:crosses val="max"/>
        <c:crossBetween val="between"/>
      </c:valAx>
    </c:plotArea>
    <c:legend>
      <c:legendPos val="r"/>
      <c:layout>
        <c:manualLayout>
          <c:xMode val="edge"/>
          <c:yMode val="edge"/>
          <c:x val="0.81635702182796643"/>
          <c:y val="1.6727384076990377E-2"/>
          <c:w val="0.18364297817203246"/>
          <c:h val="0.98257270341207348"/>
        </c:manualLayout>
      </c:layout>
      <c:txPr>
        <a:bodyPr/>
        <a:lstStyle/>
        <a:p>
          <a:pPr>
            <a:defRPr lang="en-ZA" sz="845" b="0" i="0" u="none" strike="noStrike" baseline="0">
              <a:solidFill>
                <a:srgbClr val="000000"/>
              </a:solidFill>
              <a:latin typeface="Calibri"/>
              <a:ea typeface="Calibri"/>
              <a:cs typeface="Calibri"/>
            </a:defRPr>
          </a:pPr>
          <a:endParaRPr lang="en-US"/>
        </a:p>
      </c:txPr>
    </c:legend>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322" l="0.70000000000000062" r="0.70000000000000062" t="0.75000000000000322"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en-ZA"/>
  <c:chart>
    <c:plotArea>
      <c:layout/>
      <c:areaChart>
        <c:grouping val="stacked"/>
        <c:ser>
          <c:idx val="0"/>
          <c:order val="0"/>
          <c:tx>
            <c:strRef>
              <c:f>'Tech Parameters'!$H$139</c:f>
              <c:strCache>
                <c:ptCount val="1"/>
                <c:pt idx="0">
                  <c:v>Annualised capital cost</c:v>
                </c:pt>
              </c:strCache>
            </c:strRef>
          </c:tx>
          <c:cat>
            <c:numRef>
              <c:f>'Tech Parameters'!$I$138:$AC$138</c:f>
              <c:numCache>
                <c:formatCode>General</c:formatCode>
                <c:ptCount val="21"/>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numCache>
            </c:numRef>
          </c:cat>
          <c:val>
            <c:numRef>
              <c:f>'Tech Parameters'!$I$139:$AC$139</c:f>
              <c:numCache>
                <c:formatCode>General</c:formatCode>
                <c:ptCount val="21"/>
                <c:pt idx="0">
                  <c:v>12.073033447397876</c:v>
                </c:pt>
                <c:pt idx="1">
                  <c:v>12.003648197700187</c:v>
                </c:pt>
                <c:pt idx="2">
                  <c:v>11.9342629480025</c:v>
                </c:pt>
                <c:pt idx="3">
                  <c:v>11.864877698304811</c:v>
                </c:pt>
                <c:pt idx="4">
                  <c:v>11.83662798949932</c:v>
                </c:pt>
                <c:pt idx="5">
                  <c:v>11.80837828069383</c:v>
                </c:pt>
                <c:pt idx="6">
                  <c:v>11.780128571888344</c:v>
                </c:pt>
                <c:pt idx="7">
                  <c:v>11.751878863082858</c:v>
                </c:pt>
                <c:pt idx="8">
                  <c:v>11.72362915427737</c:v>
                </c:pt>
                <c:pt idx="9">
                  <c:v>11.695379445471882</c:v>
                </c:pt>
                <c:pt idx="10">
                  <c:v>11.667129736666398</c:v>
                </c:pt>
                <c:pt idx="11">
                  <c:v>11.638880027860909</c:v>
                </c:pt>
                <c:pt idx="12">
                  <c:v>11.610630319055421</c:v>
                </c:pt>
                <c:pt idx="13">
                  <c:v>11.582380610249931</c:v>
                </c:pt>
                <c:pt idx="14">
                  <c:v>11.554130901444445</c:v>
                </c:pt>
                <c:pt idx="15">
                  <c:v>11.525881192638955</c:v>
                </c:pt>
                <c:pt idx="16">
                  <c:v>11.497631483833466</c:v>
                </c:pt>
                <c:pt idx="17">
                  <c:v>11.46938177502798</c:v>
                </c:pt>
                <c:pt idx="18">
                  <c:v>11.441132066222492</c:v>
                </c:pt>
                <c:pt idx="19">
                  <c:v>11.412882357417004</c:v>
                </c:pt>
                <c:pt idx="20">
                  <c:v>11.384632648611518</c:v>
                </c:pt>
              </c:numCache>
            </c:numRef>
          </c:val>
        </c:ser>
        <c:ser>
          <c:idx val="1"/>
          <c:order val="1"/>
          <c:tx>
            <c:strRef>
              <c:f>'Tech Parameters'!$H$140</c:f>
              <c:strCache>
                <c:ptCount val="1"/>
                <c:pt idx="0">
                  <c:v>Fixed O and M</c:v>
                </c:pt>
              </c:strCache>
            </c:strRef>
          </c:tx>
          <c:cat>
            <c:numRef>
              <c:f>'Tech Parameters'!$I$138:$AC$138</c:f>
              <c:numCache>
                <c:formatCode>General</c:formatCode>
                <c:ptCount val="21"/>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numCache>
            </c:numRef>
          </c:cat>
          <c:val>
            <c:numRef>
              <c:f>'Tech Parameters'!$I$140:$AC$140</c:f>
              <c:numCache>
                <c:formatCode>General</c:formatCode>
                <c:ptCount val="21"/>
                <c:pt idx="0">
                  <c:v>1.3167835826814906</c:v>
                </c:pt>
                <c:pt idx="1">
                  <c:v>1.3167835826814906</c:v>
                </c:pt>
                <c:pt idx="2">
                  <c:v>1.3167835826814906</c:v>
                </c:pt>
                <c:pt idx="3">
                  <c:v>1.3167835826814906</c:v>
                </c:pt>
                <c:pt idx="4">
                  <c:v>1.3167835826814906</c:v>
                </c:pt>
                <c:pt idx="5">
                  <c:v>1.3167835826814906</c:v>
                </c:pt>
                <c:pt idx="6">
                  <c:v>1.3167835826814906</c:v>
                </c:pt>
                <c:pt idx="7">
                  <c:v>1.3167835826814906</c:v>
                </c:pt>
                <c:pt idx="8">
                  <c:v>1.3167835826814906</c:v>
                </c:pt>
                <c:pt idx="9">
                  <c:v>1.3167835826814906</c:v>
                </c:pt>
                <c:pt idx="10">
                  <c:v>1.3167835826814906</c:v>
                </c:pt>
                <c:pt idx="11">
                  <c:v>1.3167835826814906</c:v>
                </c:pt>
                <c:pt idx="12">
                  <c:v>1.3167835826814906</c:v>
                </c:pt>
                <c:pt idx="13">
                  <c:v>1.3167835826814906</c:v>
                </c:pt>
                <c:pt idx="14">
                  <c:v>1.3167835826814906</c:v>
                </c:pt>
                <c:pt idx="15">
                  <c:v>1.3167835826814906</c:v>
                </c:pt>
                <c:pt idx="16">
                  <c:v>1.3167835826814906</c:v>
                </c:pt>
                <c:pt idx="17">
                  <c:v>1.3167835826814906</c:v>
                </c:pt>
                <c:pt idx="18">
                  <c:v>1.3167835826814906</c:v>
                </c:pt>
                <c:pt idx="19">
                  <c:v>1.3167835826814906</c:v>
                </c:pt>
                <c:pt idx="20">
                  <c:v>1.3167835826814906</c:v>
                </c:pt>
              </c:numCache>
            </c:numRef>
          </c:val>
        </c:ser>
        <c:ser>
          <c:idx val="2"/>
          <c:order val="2"/>
          <c:tx>
            <c:strRef>
              <c:f>'Tech Parameters'!$H$141</c:f>
              <c:strCache>
                <c:ptCount val="1"/>
                <c:pt idx="0">
                  <c:v>Variable O and M</c:v>
                </c:pt>
              </c:strCache>
            </c:strRef>
          </c:tx>
          <c:cat>
            <c:numRef>
              <c:f>'Tech Parameters'!$I$138:$AC$138</c:f>
              <c:numCache>
                <c:formatCode>General</c:formatCode>
                <c:ptCount val="21"/>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numCache>
            </c:numRef>
          </c:cat>
          <c:val>
            <c:numRef>
              <c:f>'Tech Parameters'!$I$141:$AC$141</c:f>
              <c:numCache>
                <c:formatCode>General</c:formatCode>
                <c:ptCount val="21"/>
                <c:pt idx="0">
                  <c:v>1.7267182536446881</c:v>
                </c:pt>
                <c:pt idx="1">
                  <c:v>1.7267182536446881</c:v>
                </c:pt>
                <c:pt idx="2">
                  <c:v>1.7267182536446881</c:v>
                </c:pt>
                <c:pt idx="3">
                  <c:v>1.7267182536446881</c:v>
                </c:pt>
                <c:pt idx="4">
                  <c:v>1.7267182536446881</c:v>
                </c:pt>
                <c:pt idx="5">
                  <c:v>1.7267182536446881</c:v>
                </c:pt>
                <c:pt idx="6">
                  <c:v>1.7267182536446881</c:v>
                </c:pt>
                <c:pt idx="7">
                  <c:v>1.7267182536446881</c:v>
                </c:pt>
                <c:pt idx="8">
                  <c:v>1.7267182536446881</c:v>
                </c:pt>
                <c:pt idx="9">
                  <c:v>1.7267182536446881</c:v>
                </c:pt>
                <c:pt idx="10">
                  <c:v>1.7267182536446881</c:v>
                </c:pt>
                <c:pt idx="11">
                  <c:v>1.7267182536446881</c:v>
                </c:pt>
                <c:pt idx="12">
                  <c:v>1.7267182536446881</c:v>
                </c:pt>
                <c:pt idx="13">
                  <c:v>1.7267182536446881</c:v>
                </c:pt>
                <c:pt idx="14">
                  <c:v>1.7267182536446881</c:v>
                </c:pt>
                <c:pt idx="15">
                  <c:v>1.7267182536446881</c:v>
                </c:pt>
                <c:pt idx="16">
                  <c:v>1.7267182536446881</c:v>
                </c:pt>
                <c:pt idx="17">
                  <c:v>1.7267182536446881</c:v>
                </c:pt>
                <c:pt idx="18">
                  <c:v>1.7267182536446881</c:v>
                </c:pt>
                <c:pt idx="19">
                  <c:v>1.7267182536446881</c:v>
                </c:pt>
                <c:pt idx="20">
                  <c:v>1.7267182536446881</c:v>
                </c:pt>
              </c:numCache>
            </c:numRef>
          </c:val>
        </c:ser>
        <c:ser>
          <c:idx val="3"/>
          <c:order val="3"/>
          <c:tx>
            <c:strRef>
              <c:f>'Tech Parameters'!$H$142</c:f>
              <c:strCache>
                <c:ptCount val="1"/>
                <c:pt idx="0">
                  <c:v>Fuel cost</c:v>
                </c:pt>
              </c:strCache>
            </c:strRef>
          </c:tx>
          <c:cat>
            <c:numRef>
              <c:f>'Tech Parameters'!$I$138:$AC$138</c:f>
              <c:numCache>
                <c:formatCode>General</c:formatCode>
                <c:ptCount val="21"/>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numCache>
            </c:numRef>
          </c:cat>
          <c:val>
            <c:numRef>
              <c:f>'Tech Parameters'!$I$142:$AC$142</c:f>
              <c:numCache>
                <c:formatCode>General</c:formatCode>
                <c:ptCount val="21"/>
                <c:pt idx="0">
                  <c:v>45.289390552933327</c:v>
                </c:pt>
                <c:pt idx="1">
                  <c:v>46.932917213756028</c:v>
                </c:pt>
                <c:pt idx="2">
                  <c:v>48.547748515777087</c:v>
                </c:pt>
                <c:pt idx="3">
                  <c:v>50.131014923116346</c:v>
                </c:pt>
                <c:pt idx="4">
                  <c:v>51.679559946305616</c:v>
                </c:pt>
                <c:pt idx="5">
                  <c:v>53.189911446929912</c:v>
                </c:pt>
                <c:pt idx="6">
                  <c:v>54.658250072732713</c:v>
                </c:pt>
                <c:pt idx="7">
                  <c:v>56.080374536231901</c:v>
                </c:pt>
                <c:pt idx="8">
                  <c:v>57.45166342119709</c:v>
                </c:pt>
                <c:pt idx="9">
                  <c:v>58.767033169774891</c:v>
                </c:pt>
                <c:pt idx="10">
                  <c:v>60.020891868326565</c:v>
                </c:pt>
                <c:pt idx="11">
                  <c:v>61.207088411849483</c:v>
                </c:pt>
                <c:pt idx="12">
                  <c:v>62.318856584840809</c:v>
                </c:pt>
                <c:pt idx="13">
                  <c:v>63.348753550247338</c:v>
                </c:pt>
                <c:pt idx="14">
                  <c:v>64.288592187310613</c:v>
                </c:pt>
                <c:pt idx="15">
                  <c:v>65.129366663196322</c:v>
                </c:pt>
                <c:pt idx="16">
                  <c:v>65.861170561786679</c:v>
                </c:pt>
                <c:pt idx="17">
                  <c:v>66.473106825352147</c:v>
                </c:pt>
                <c:pt idx="18">
                  <c:v>66.953188690390277</c:v>
                </c:pt>
                <c:pt idx="19">
                  <c:v>67.288230717048293</c:v>
                </c:pt>
                <c:pt idx="20">
                  <c:v>67.463728921488212</c:v>
                </c:pt>
              </c:numCache>
            </c:numRef>
          </c:val>
        </c:ser>
        <c:axId val="98458624"/>
        <c:axId val="98505472"/>
      </c:areaChart>
      <c:catAx>
        <c:axId val="98458624"/>
        <c:scaling>
          <c:orientation val="minMax"/>
        </c:scaling>
        <c:axPos val="b"/>
        <c:numFmt formatCode="General" sourceLinked="1"/>
        <c:tickLblPos val="nextTo"/>
        <c:txPr>
          <a:bodyPr/>
          <a:lstStyle/>
          <a:p>
            <a:pPr>
              <a:defRPr lang="en-ZA"/>
            </a:pPr>
            <a:endParaRPr lang="en-US"/>
          </a:p>
        </c:txPr>
        <c:crossAx val="98505472"/>
        <c:crosses val="autoZero"/>
        <c:auto val="1"/>
        <c:lblAlgn val="ctr"/>
        <c:lblOffset val="100"/>
      </c:catAx>
      <c:valAx>
        <c:axId val="98505472"/>
        <c:scaling>
          <c:orientation val="minMax"/>
        </c:scaling>
        <c:axPos val="l"/>
        <c:majorGridlines/>
        <c:numFmt formatCode="General" sourceLinked="1"/>
        <c:tickLblPos val="nextTo"/>
        <c:txPr>
          <a:bodyPr/>
          <a:lstStyle/>
          <a:p>
            <a:pPr>
              <a:defRPr lang="en-ZA"/>
            </a:pPr>
            <a:endParaRPr lang="en-US"/>
          </a:p>
        </c:txPr>
        <c:crossAx val="98458624"/>
        <c:crosses val="autoZero"/>
        <c:crossBetween val="midCat"/>
      </c:valAx>
    </c:plotArea>
    <c:legend>
      <c:legendPos val="r"/>
      <c:txPr>
        <a:bodyPr/>
        <a:lstStyle/>
        <a:p>
          <a:pPr>
            <a:defRPr lang="en-ZA"/>
          </a:pPr>
          <a:endParaRPr lang="en-US"/>
        </a:p>
      </c:txPr>
    </c:legend>
    <c:plotVisOnly val="1"/>
  </c:chart>
  <c:printSettings>
    <c:headerFooter/>
    <c:pageMargins b="0.75000000000000078" l="0.70000000000000062" r="0.70000000000000062" t="0.75000000000000078"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9.4464577407943326E-2"/>
          <c:y val="3.3777505219269234E-2"/>
          <c:w val="0.87625301758642216"/>
          <c:h val="0.58632498796479116"/>
        </c:manualLayout>
      </c:layout>
      <c:lineChart>
        <c:grouping val="standard"/>
        <c:ser>
          <c:idx val="0"/>
          <c:order val="0"/>
          <c:tx>
            <c:strRef>
              <c:f>'Cost Curves'!$AA$6</c:f>
              <c:strCache>
                <c:ptCount val="1"/>
                <c:pt idx="0">
                  <c:v>Existing coal Large</c:v>
                </c:pt>
              </c:strCache>
            </c:strRef>
          </c:tx>
          <c:marker>
            <c:symbol val="none"/>
          </c:marker>
          <c:cat>
            <c:numRef>
              <c:f>'Cost Curves'!$AB$5:$AV$5</c:f>
              <c:numCache>
                <c:formatCode>General</c:formatCode>
                <c:ptCount val="21"/>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numCache>
            </c:numRef>
          </c:cat>
          <c:val>
            <c:numRef>
              <c:f>'Cost Curves'!$AB$6:$AV$6</c:f>
              <c:numCache>
                <c:formatCode>General</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ser>
        <c:ser>
          <c:idx val="1"/>
          <c:order val="1"/>
          <c:tx>
            <c:strRef>
              <c:f>'Cost Curves'!$AA$7</c:f>
              <c:strCache>
                <c:ptCount val="1"/>
                <c:pt idx="0">
                  <c:v>Existing coal Small</c:v>
                </c:pt>
              </c:strCache>
            </c:strRef>
          </c:tx>
          <c:marker>
            <c:symbol val="none"/>
          </c:marker>
          <c:cat>
            <c:numRef>
              <c:f>'Cost Curves'!$AB$5:$AV$5</c:f>
              <c:numCache>
                <c:formatCode>General</c:formatCode>
                <c:ptCount val="21"/>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numCache>
            </c:numRef>
          </c:cat>
          <c:val>
            <c:numRef>
              <c:f>'Cost Curves'!$AB$7:$AV$7</c:f>
              <c:numCache>
                <c:formatCode>General</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ser>
        <c:ser>
          <c:idx val="2"/>
          <c:order val="2"/>
          <c:tx>
            <c:strRef>
              <c:f>'Cost Curves'!$AA$8</c:f>
              <c:strCache>
                <c:ptCount val="1"/>
                <c:pt idx="0">
                  <c:v>OCGT liquid fuels</c:v>
                </c:pt>
              </c:strCache>
            </c:strRef>
          </c:tx>
          <c:marker>
            <c:symbol val="none"/>
          </c:marker>
          <c:cat>
            <c:numRef>
              <c:f>'Cost Curves'!$AB$5:$AV$5</c:f>
              <c:numCache>
                <c:formatCode>General</c:formatCode>
                <c:ptCount val="21"/>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numCache>
            </c:numRef>
          </c:cat>
          <c:val>
            <c:numRef>
              <c:f>'Cost Curves'!$AB$8:$AV$8</c:f>
              <c:numCache>
                <c:formatCode>General</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ser>
        <c:ser>
          <c:idx val="3"/>
          <c:order val="3"/>
          <c:tx>
            <c:strRef>
              <c:f>'Cost Curves'!$AA$9</c:f>
              <c:strCache>
                <c:ptCount val="1"/>
                <c:pt idx="0">
                  <c:v>PWR nuclear</c:v>
                </c:pt>
              </c:strCache>
            </c:strRef>
          </c:tx>
          <c:marker>
            <c:symbol val="none"/>
          </c:marker>
          <c:cat>
            <c:numRef>
              <c:f>'Cost Curves'!$AB$5:$AV$5</c:f>
              <c:numCache>
                <c:formatCode>General</c:formatCode>
                <c:ptCount val="21"/>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numCache>
            </c:numRef>
          </c:cat>
          <c:val>
            <c:numRef>
              <c:f>'Cost Curves'!$AB$9:$AV$9</c:f>
              <c:numCache>
                <c:formatCode>General</c:formatCode>
                <c:ptCount val="21"/>
                <c:pt idx="0">
                  <c:v>68.933745699382854</c:v>
                </c:pt>
                <c:pt idx="1">
                  <c:v>68.959890504217782</c:v>
                </c:pt>
                <c:pt idx="2">
                  <c:v>68.985677951158777</c:v>
                </c:pt>
                <c:pt idx="3">
                  <c:v>69.011057445224566</c:v>
                </c:pt>
                <c:pt idx="4">
                  <c:v>69.035973257639768</c:v>
                </c:pt>
                <c:pt idx="5">
                  <c:v>69.060364012084051</c:v>
                </c:pt>
                <c:pt idx="6">
                  <c:v>69.084162119564255</c:v>
                </c:pt>
                <c:pt idx="7">
                  <c:v>69.107293156771931</c:v>
                </c:pt>
                <c:pt idx="8">
                  <c:v>69.12967518227471</c:v>
                </c:pt>
                <c:pt idx="9">
                  <c:v>69.151217984325001</c:v>
                </c:pt>
                <c:pt idx="10">
                  <c:v>69.171822253447516</c:v>
                </c:pt>
                <c:pt idx="11">
                  <c:v>69.191378672283832</c:v>
                </c:pt>
                <c:pt idx="12">
                  <c:v>69.209766914419319</c:v>
                </c:pt>
                <c:pt idx="13">
                  <c:v>69.226854543090994</c:v>
                </c:pt>
                <c:pt idx="14">
                  <c:v>69.242495799764072</c:v>
                </c:pt>
                <c:pt idx="15">
                  <c:v>69.256530271564372</c:v>
                </c:pt>
                <c:pt idx="16">
                  <c:v>69.268781425451905</c:v>
                </c:pt>
                <c:pt idx="17">
                  <c:v>69.279054995809943</c:v>
                </c:pt>
                <c:pt idx="18">
                  <c:v>69.287137210790945</c:v>
                </c:pt>
                <c:pt idx="19">
                  <c:v>69.292792841295125</c:v>
                </c:pt>
                <c:pt idx="20">
                  <c:v>69.295763054844954</c:v>
                </c:pt>
              </c:numCache>
            </c:numRef>
          </c:val>
        </c:ser>
        <c:ser>
          <c:idx val="4"/>
          <c:order val="4"/>
          <c:tx>
            <c:strRef>
              <c:f>'Cost Curves'!$AA$10</c:f>
              <c:strCache>
                <c:ptCount val="1"/>
                <c:pt idx="0">
                  <c:v>Hydro</c:v>
                </c:pt>
              </c:strCache>
            </c:strRef>
          </c:tx>
          <c:marker>
            <c:symbol val="none"/>
          </c:marker>
          <c:cat>
            <c:numRef>
              <c:f>'Cost Curves'!$AB$5:$AV$5</c:f>
              <c:numCache>
                <c:formatCode>General</c:formatCode>
                <c:ptCount val="21"/>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numCache>
            </c:numRef>
          </c:cat>
          <c:val>
            <c:numRef>
              <c:f>'Cost Curves'!$AB$10:$AV$10</c:f>
              <c:numCache>
                <c:formatCode>General</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ser>
        <c:ser>
          <c:idx val="5"/>
          <c:order val="5"/>
          <c:tx>
            <c:strRef>
              <c:f>'Cost Curves'!$AA$11</c:f>
              <c:strCache>
                <c:ptCount val="1"/>
                <c:pt idx="0">
                  <c:v>Landfill gas</c:v>
                </c:pt>
              </c:strCache>
            </c:strRef>
          </c:tx>
          <c:marker>
            <c:symbol val="none"/>
          </c:marker>
          <c:cat>
            <c:numRef>
              <c:f>'Cost Curves'!$AB$5:$AV$5</c:f>
              <c:numCache>
                <c:formatCode>General</c:formatCode>
                <c:ptCount val="21"/>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numCache>
            </c:numRef>
          </c:cat>
          <c:val>
            <c:numRef>
              <c:f>'Cost Curves'!$AB$11:$AV$11</c:f>
              <c:numCache>
                <c:formatCode>General</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ser>
        <c:ser>
          <c:idx val="6"/>
          <c:order val="6"/>
          <c:tx>
            <c:strRef>
              <c:f>'Cost Curves'!$AA$12</c:f>
              <c:strCache>
                <c:ptCount val="1"/>
                <c:pt idx="0">
                  <c:v>Biomass</c:v>
                </c:pt>
              </c:strCache>
            </c:strRef>
          </c:tx>
          <c:marker>
            <c:symbol val="none"/>
          </c:marker>
          <c:cat>
            <c:numRef>
              <c:f>'Cost Curves'!$AB$5:$AV$5</c:f>
              <c:numCache>
                <c:formatCode>General</c:formatCode>
                <c:ptCount val="21"/>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numCache>
            </c:numRef>
          </c:cat>
          <c:val>
            <c:numRef>
              <c:f>'Cost Curves'!$AB$12:$AV$12</c:f>
              <c:numCache>
                <c:formatCode>General</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ser>
        <c:ser>
          <c:idx val="7"/>
          <c:order val="7"/>
          <c:tx>
            <c:strRef>
              <c:f>'Cost Curves'!$AA$13</c:f>
              <c:strCache>
                <c:ptCount val="1"/>
                <c:pt idx="0">
                  <c:v>Supercritical coal</c:v>
                </c:pt>
              </c:strCache>
            </c:strRef>
          </c:tx>
          <c:marker>
            <c:symbol val="none"/>
          </c:marker>
          <c:cat>
            <c:numRef>
              <c:f>'Cost Curves'!$AB$5:$AV$5</c:f>
              <c:numCache>
                <c:formatCode>General</c:formatCode>
                <c:ptCount val="21"/>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numCache>
            </c:numRef>
          </c:cat>
          <c:val>
            <c:numRef>
              <c:f>'Cost Curves'!$AB$13:$AV$13</c:f>
              <c:numCache>
                <c:formatCode>General</c:formatCode>
                <c:ptCount val="21"/>
                <c:pt idx="0">
                  <c:v>41.49134451659814</c:v>
                </c:pt>
                <c:pt idx="1">
                  <c:v>41.441780248858265</c:v>
                </c:pt>
                <c:pt idx="2">
                  <c:v>41.391573371611607</c:v>
                </c:pt>
                <c:pt idx="3">
                  <c:v>41.340659623907463</c:v>
                </c:pt>
                <c:pt idx="4">
                  <c:v>41.2889683187001</c:v>
                </c:pt>
                <c:pt idx="5">
                  <c:v>41.236421700239198</c:v>
                </c:pt>
                <c:pt idx="6">
                  <c:v>41.182934237199397</c:v>
                </c:pt>
                <c:pt idx="7">
                  <c:v>41.128411845122791</c:v>
                </c:pt>
                <c:pt idx="8">
                  <c:v>41.072751031105732</c:v>
                </c:pt>
                <c:pt idx="9">
                  <c:v>41.015837952954143</c:v>
                </c:pt>
                <c:pt idx="10">
                  <c:v>40.957547384254596</c:v>
                </c:pt>
                <c:pt idx="11">
                  <c:v>40.897741575952274</c:v>
                </c:pt>
                <c:pt idx="12">
                  <c:v>40.836269004086915</c:v>
                </c:pt>
                <c:pt idx="13">
                  <c:v>40.772962992302219</c:v>
                </c:pt>
                <c:pt idx="14">
                  <c:v>40.71701748124282</c:v>
                </c:pt>
                <c:pt idx="15">
                  <c:v>40.658853507881027</c:v>
                </c:pt>
                <c:pt idx="16">
                  <c:v>40.598249225986585</c:v>
                </c:pt>
                <c:pt idx="17">
                  <c:v>40.534960604706228</c:v>
                </c:pt>
                <c:pt idx="18">
                  <c:v>40.468719210101362</c:v>
                </c:pt>
                <c:pt idx="19">
                  <c:v>40.399229764839546</c:v>
                </c:pt>
                <c:pt idx="20">
                  <c:v>40.326167463855079</c:v>
                </c:pt>
              </c:numCache>
            </c:numRef>
          </c:val>
        </c:ser>
        <c:ser>
          <c:idx val="8"/>
          <c:order val="8"/>
          <c:tx>
            <c:strRef>
              <c:f>'Cost Curves'!$AA$14</c:f>
              <c:strCache>
                <c:ptCount val="1"/>
                <c:pt idx="0">
                  <c:v>Wind 30% </c:v>
                </c:pt>
              </c:strCache>
            </c:strRef>
          </c:tx>
          <c:marker>
            <c:symbol val="none"/>
          </c:marker>
          <c:cat>
            <c:numRef>
              <c:f>'Cost Curves'!$AB$5:$AV$5</c:f>
              <c:numCache>
                <c:formatCode>General</c:formatCode>
                <c:ptCount val="21"/>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numCache>
            </c:numRef>
          </c:cat>
          <c:val>
            <c:numRef>
              <c:f>'Cost Curves'!$AB$14:$AV$14</c:f>
              <c:numCache>
                <c:formatCode>General</c:formatCode>
                <c:ptCount val="21"/>
                <c:pt idx="0">
                  <c:v>79.353393275937975</c:v>
                </c:pt>
                <c:pt idx="1">
                  <c:v>77.518241807138779</c:v>
                </c:pt>
                <c:pt idx="2">
                  <c:v>75.683090338339582</c:v>
                </c:pt>
                <c:pt idx="3">
                  <c:v>74.031454016420298</c:v>
                </c:pt>
                <c:pt idx="4">
                  <c:v>72.379817694501014</c:v>
                </c:pt>
                <c:pt idx="5">
                  <c:v>70.72818137258173</c:v>
                </c:pt>
                <c:pt idx="6">
                  <c:v>69.07654505066246</c:v>
                </c:pt>
                <c:pt idx="7">
                  <c:v>67.887366898880586</c:v>
                </c:pt>
                <c:pt idx="8">
                  <c:v>66.698188747098698</c:v>
                </c:pt>
                <c:pt idx="9">
                  <c:v>65.509010595316838</c:v>
                </c:pt>
                <c:pt idx="10">
                  <c:v>64.319832443534949</c:v>
                </c:pt>
                <c:pt idx="11">
                  <c:v>63.130654291753068</c:v>
                </c:pt>
                <c:pt idx="12">
                  <c:v>62.815871839810811</c:v>
                </c:pt>
                <c:pt idx="13">
                  <c:v>62.501089387868547</c:v>
                </c:pt>
                <c:pt idx="14">
                  <c:v>62.186306935926289</c:v>
                </c:pt>
                <c:pt idx="15">
                  <c:v>61.871524483984032</c:v>
                </c:pt>
                <c:pt idx="16">
                  <c:v>61.556742032041754</c:v>
                </c:pt>
                <c:pt idx="17">
                  <c:v>61.241959580099511</c:v>
                </c:pt>
                <c:pt idx="18">
                  <c:v>60.927177128157247</c:v>
                </c:pt>
                <c:pt idx="19">
                  <c:v>60.612394676214976</c:v>
                </c:pt>
                <c:pt idx="20">
                  <c:v>60.297612224272726</c:v>
                </c:pt>
              </c:numCache>
            </c:numRef>
          </c:val>
        </c:ser>
        <c:ser>
          <c:idx val="9"/>
          <c:order val="9"/>
          <c:tx>
            <c:strRef>
              <c:f>'Cost Curves'!$AA$15</c:f>
              <c:strCache>
                <c:ptCount val="1"/>
                <c:pt idx="0">
                  <c:v>Wind 25%</c:v>
                </c:pt>
              </c:strCache>
            </c:strRef>
          </c:tx>
          <c:marker>
            <c:symbol val="none"/>
          </c:marker>
          <c:cat>
            <c:numRef>
              <c:f>'Cost Curves'!$AB$5:$AV$5</c:f>
              <c:numCache>
                <c:formatCode>General</c:formatCode>
                <c:ptCount val="21"/>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numCache>
            </c:numRef>
          </c:cat>
          <c:val>
            <c:numRef>
              <c:f>'Cost Curves'!$AB$15:$AV$15</c:f>
              <c:numCache>
                <c:formatCode>General</c:formatCode>
                <c:ptCount val="21"/>
                <c:pt idx="0">
                  <c:v>95.224071931125565</c:v>
                </c:pt>
                <c:pt idx="1">
                  <c:v>93.021890168566529</c:v>
                </c:pt>
                <c:pt idx="2">
                  <c:v>90.819708406007493</c:v>
                </c:pt>
                <c:pt idx="3">
                  <c:v>88.837744819704355</c:v>
                </c:pt>
                <c:pt idx="4">
                  <c:v>86.855781233401217</c:v>
                </c:pt>
                <c:pt idx="5">
                  <c:v>84.873817647098065</c:v>
                </c:pt>
                <c:pt idx="6">
                  <c:v>82.891854060794941</c:v>
                </c:pt>
                <c:pt idx="7">
                  <c:v>81.464840278656695</c:v>
                </c:pt>
                <c:pt idx="8">
                  <c:v>80.037826496518434</c:v>
                </c:pt>
                <c:pt idx="9">
                  <c:v>78.610812714380202</c:v>
                </c:pt>
                <c:pt idx="10">
                  <c:v>77.183798932241942</c:v>
                </c:pt>
                <c:pt idx="11">
                  <c:v>75.756785150103681</c:v>
                </c:pt>
                <c:pt idx="12">
                  <c:v>75.379046207772973</c:v>
                </c:pt>
                <c:pt idx="13">
                  <c:v>75.00130726544225</c:v>
                </c:pt>
                <c:pt idx="14">
                  <c:v>74.623568323111542</c:v>
                </c:pt>
                <c:pt idx="15">
                  <c:v>74.245829380780847</c:v>
                </c:pt>
                <c:pt idx="16">
                  <c:v>73.868090438450096</c:v>
                </c:pt>
                <c:pt idx="17">
                  <c:v>73.490351496119402</c:v>
                </c:pt>
                <c:pt idx="18">
                  <c:v>73.112612553788694</c:v>
                </c:pt>
                <c:pt idx="19">
                  <c:v>72.734873611457971</c:v>
                </c:pt>
                <c:pt idx="20">
                  <c:v>72.357134669127248</c:v>
                </c:pt>
              </c:numCache>
            </c:numRef>
          </c:val>
        </c:ser>
        <c:ser>
          <c:idx val="10"/>
          <c:order val="10"/>
          <c:tx>
            <c:strRef>
              <c:f>'Cost Curves'!$AA$16</c:f>
              <c:strCache>
                <c:ptCount val="1"/>
                <c:pt idx="0">
                  <c:v>solar thermal central reciever</c:v>
                </c:pt>
              </c:strCache>
            </c:strRef>
          </c:tx>
          <c:marker>
            <c:symbol val="none"/>
          </c:marker>
          <c:cat>
            <c:numRef>
              <c:f>'Cost Curves'!$AB$5:$AV$5</c:f>
              <c:numCache>
                <c:formatCode>General</c:formatCode>
                <c:ptCount val="21"/>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numCache>
            </c:numRef>
          </c:cat>
          <c:val>
            <c:numRef>
              <c:f>'Cost Curves'!$AB$16:$AV$16</c:f>
              <c:numCache>
                <c:formatCode>General</c:formatCode>
                <c:ptCount val="21"/>
                <c:pt idx="0">
                  <c:v>138.35612374732142</c:v>
                </c:pt>
                <c:pt idx="1">
                  <c:v>134.95231462624281</c:v>
                </c:pt>
                <c:pt idx="2">
                  <c:v>131.5485055051642</c:v>
                </c:pt>
                <c:pt idx="3">
                  <c:v>128.14469638408556</c:v>
                </c:pt>
                <c:pt idx="4">
                  <c:v>124.74088726300697</c:v>
                </c:pt>
                <c:pt idx="5">
                  <c:v>121.3370781419284</c:v>
                </c:pt>
                <c:pt idx="6">
                  <c:v>117.93326902084975</c:v>
                </c:pt>
                <c:pt idx="7">
                  <c:v>115.2102217239869</c:v>
                </c:pt>
                <c:pt idx="8">
                  <c:v>112.48717442712402</c:v>
                </c:pt>
                <c:pt idx="9">
                  <c:v>109.76412713026113</c:v>
                </c:pt>
                <c:pt idx="10">
                  <c:v>107.04107983339823</c:v>
                </c:pt>
                <c:pt idx="11">
                  <c:v>104.31803253653534</c:v>
                </c:pt>
                <c:pt idx="12">
                  <c:v>101.59498523967245</c:v>
                </c:pt>
                <c:pt idx="13">
                  <c:v>98.871937942809552</c:v>
                </c:pt>
                <c:pt idx="14">
                  <c:v>96.148890645946707</c:v>
                </c:pt>
                <c:pt idx="15">
                  <c:v>93.659247403100636</c:v>
                </c:pt>
                <c:pt idx="16">
                  <c:v>91.169604160254565</c:v>
                </c:pt>
                <c:pt idx="17">
                  <c:v>88.679960917408479</c:v>
                </c:pt>
                <c:pt idx="18">
                  <c:v>86.190317674562408</c:v>
                </c:pt>
                <c:pt idx="19">
                  <c:v>83.700674431716351</c:v>
                </c:pt>
                <c:pt idx="20">
                  <c:v>81.21103118887028</c:v>
                </c:pt>
              </c:numCache>
            </c:numRef>
          </c:val>
        </c:ser>
        <c:ser>
          <c:idx val="11"/>
          <c:order val="11"/>
          <c:tx>
            <c:strRef>
              <c:f>'Cost Curves'!$AA$17</c:f>
              <c:strCache>
                <c:ptCount val="1"/>
                <c:pt idx="0">
                  <c:v>solar thermal trough</c:v>
                </c:pt>
              </c:strCache>
            </c:strRef>
          </c:tx>
          <c:marker>
            <c:symbol val="none"/>
          </c:marker>
          <c:cat>
            <c:numRef>
              <c:f>'Cost Curves'!$AB$5:$AV$5</c:f>
              <c:numCache>
                <c:formatCode>General</c:formatCode>
                <c:ptCount val="21"/>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numCache>
            </c:numRef>
          </c:cat>
          <c:val>
            <c:numRef>
              <c:f>'Cost Curves'!$AB$17:$AV$17</c:f>
              <c:numCache>
                <c:formatCode>General</c:formatCode>
                <c:ptCount val="21"/>
                <c:pt idx="0">
                  <c:v>144.56371688102786</c:v>
                </c:pt>
                <c:pt idx="1">
                  <c:v>142.01086004021892</c:v>
                </c:pt>
                <c:pt idx="2">
                  <c:v>139.45800319940994</c:v>
                </c:pt>
                <c:pt idx="3">
                  <c:v>136.905146358601</c:v>
                </c:pt>
                <c:pt idx="4">
                  <c:v>134.35228951779203</c:v>
                </c:pt>
                <c:pt idx="5">
                  <c:v>131.79943267698309</c:v>
                </c:pt>
                <c:pt idx="6">
                  <c:v>129.24657583617415</c:v>
                </c:pt>
                <c:pt idx="7">
                  <c:v>127.07664752148654</c:v>
                </c:pt>
                <c:pt idx="8">
                  <c:v>124.9067192067989</c:v>
                </c:pt>
                <c:pt idx="9">
                  <c:v>122.73679089211132</c:v>
                </c:pt>
                <c:pt idx="10">
                  <c:v>120.56686257742368</c:v>
                </c:pt>
                <c:pt idx="11">
                  <c:v>118.3969342627361</c:v>
                </c:pt>
                <c:pt idx="12">
                  <c:v>116.22700594804842</c:v>
                </c:pt>
                <c:pt idx="13">
                  <c:v>114.05707763336083</c:v>
                </c:pt>
                <c:pt idx="14">
                  <c:v>111.88714931867325</c:v>
                </c:pt>
                <c:pt idx="15">
                  <c:v>109.77921895583384</c:v>
                </c:pt>
                <c:pt idx="16">
                  <c:v>107.67128859299446</c:v>
                </c:pt>
                <c:pt idx="17">
                  <c:v>105.56335823015506</c:v>
                </c:pt>
                <c:pt idx="18">
                  <c:v>103.45542786731566</c:v>
                </c:pt>
                <c:pt idx="19">
                  <c:v>101.34749750447625</c:v>
                </c:pt>
                <c:pt idx="20">
                  <c:v>99.239567141636854</c:v>
                </c:pt>
              </c:numCache>
            </c:numRef>
          </c:val>
        </c:ser>
        <c:ser>
          <c:idx val="12"/>
          <c:order val="12"/>
          <c:tx>
            <c:strRef>
              <c:f>'Cost Curves'!$AA$18</c:f>
              <c:strCache>
                <c:ptCount val="1"/>
                <c:pt idx="0">
                  <c:v>solar PV</c:v>
                </c:pt>
              </c:strCache>
            </c:strRef>
          </c:tx>
          <c:marker>
            <c:symbol val="none"/>
          </c:marker>
          <c:cat>
            <c:numRef>
              <c:f>'Cost Curves'!$AB$5:$AV$5</c:f>
              <c:numCache>
                <c:formatCode>General</c:formatCode>
                <c:ptCount val="21"/>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numCache>
            </c:numRef>
          </c:cat>
          <c:val>
            <c:numRef>
              <c:f>'Cost Curves'!$AB$18:$AV$18</c:f>
              <c:numCache>
                <c:formatCode>General</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ser>
        <c:ser>
          <c:idx val="13"/>
          <c:order val="13"/>
          <c:tx>
            <c:strRef>
              <c:f>'Cost Curves'!$AA$19</c:f>
              <c:strCache>
                <c:ptCount val="1"/>
                <c:pt idx="0">
                  <c:v>combined cycle gas</c:v>
                </c:pt>
              </c:strCache>
            </c:strRef>
          </c:tx>
          <c:marker>
            <c:symbol val="none"/>
          </c:marker>
          <c:cat>
            <c:numRef>
              <c:f>'Cost Curves'!$AB$5:$AV$5</c:f>
              <c:numCache>
                <c:formatCode>General</c:formatCode>
                <c:ptCount val="21"/>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numCache>
            </c:numRef>
          </c:cat>
          <c:val>
            <c:numRef>
              <c:f>'Cost Curves'!$AB$19:$AV$19</c:f>
              <c:numCache>
                <c:formatCode>General</c:formatCode>
                <c:ptCount val="21"/>
                <c:pt idx="0">
                  <c:v>60.405925836657374</c:v>
                </c:pt>
                <c:pt idx="1">
                  <c:v>61.98006724778238</c:v>
                </c:pt>
                <c:pt idx="2">
                  <c:v>63.525513300105764</c:v>
                </c:pt>
                <c:pt idx="3">
                  <c:v>65.039394457747335</c:v>
                </c:pt>
                <c:pt idx="4">
                  <c:v>66.559689772131122</c:v>
                </c:pt>
                <c:pt idx="5">
                  <c:v>68.041791563949914</c:v>
                </c:pt>
                <c:pt idx="6">
                  <c:v>69.48188048094724</c:v>
                </c:pt>
                <c:pt idx="7">
                  <c:v>70.875755235640924</c:v>
                </c:pt>
                <c:pt idx="8">
                  <c:v>72.21879441180063</c:v>
                </c:pt>
                <c:pt idx="9">
                  <c:v>73.505914451572949</c:v>
                </c:pt>
                <c:pt idx="10">
                  <c:v>74.731523441319126</c:v>
                </c:pt>
                <c:pt idx="11">
                  <c:v>75.889470276036576</c:v>
                </c:pt>
                <c:pt idx="12">
                  <c:v>76.972988740222405</c:v>
                </c:pt>
                <c:pt idx="13">
                  <c:v>77.974635996823451</c:v>
                </c:pt>
                <c:pt idx="14">
                  <c:v>78.886224925081223</c:v>
                </c:pt>
                <c:pt idx="15">
                  <c:v>79.698749692161456</c:v>
                </c:pt>
                <c:pt idx="16">
                  <c:v>80.402303881946324</c:v>
                </c:pt>
                <c:pt idx="17">
                  <c:v>80.985990436706302</c:v>
                </c:pt>
                <c:pt idx="18">
                  <c:v>81.437822592938943</c:v>
                </c:pt>
                <c:pt idx="19">
                  <c:v>81.744614910791469</c:v>
                </c:pt>
                <c:pt idx="20">
                  <c:v>81.891863406425912</c:v>
                </c:pt>
              </c:numCache>
            </c:numRef>
          </c:val>
        </c:ser>
        <c:ser>
          <c:idx val="14"/>
          <c:order val="14"/>
          <c:tx>
            <c:strRef>
              <c:f>'Cost Curves'!$AA$20</c:f>
              <c:strCache>
                <c:ptCount val="1"/>
                <c:pt idx="0">
                  <c:v>PBMR</c:v>
                </c:pt>
              </c:strCache>
            </c:strRef>
          </c:tx>
          <c:marker>
            <c:symbol val="none"/>
          </c:marker>
          <c:cat>
            <c:numRef>
              <c:f>'Cost Curves'!$AB$5:$AV$5</c:f>
              <c:numCache>
                <c:formatCode>General</c:formatCode>
                <c:ptCount val="21"/>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numCache>
            </c:numRef>
          </c:cat>
          <c:val>
            <c:numRef>
              <c:f>'Cost Curves'!$AB$20:$AV$20</c:f>
              <c:numCache>
                <c:formatCode>General</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ser>
        <c:ser>
          <c:idx val="15"/>
          <c:order val="15"/>
          <c:tx>
            <c:strRef>
              <c:f>'Cost Curves'!$AA$21</c:f>
              <c:strCache>
                <c:ptCount val="1"/>
                <c:pt idx="0">
                  <c:v>IGCC</c:v>
                </c:pt>
              </c:strCache>
            </c:strRef>
          </c:tx>
          <c:marker>
            <c:symbol val="none"/>
          </c:marker>
          <c:cat>
            <c:numRef>
              <c:f>'Cost Curves'!$AB$5:$AV$5</c:f>
              <c:numCache>
                <c:formatCode>General</c:formatCode>
                <c:ptCount val="21"/>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numCache>
            </c:numRef>
          </c:cat>
          <c:val>
            <c:numRef>
              <c:f>'Cost Curves'!$AB$21:$AV$21</c:f>
              <c:numCache>
                <c:formatCode>General</c:formatCode>
                <c:ptCount val="21"/>
                <c:pt idx="0">
                  <c:v>46.936321480425548</c:v>
                </c:pt>
                <c:pt idx="1">
                  <c:v>46.971386681477568</c:v>
                </c:pt>
                <c:pt idx="2">
                  <c:v>47.005839657276638</c:v>
                </c:pt>
                <c:pt idx="3">
                  <c:v>47.039619185297475</c:v>
                </c:pt>
                <c:pt idx="4">
                  <c:v>47.072657920762268</c:v>
                </c:pt>
                <c:pt idx="5">
                  <c:v>47.104881784415376</c:v>
                </c:pt>
                <c:pt idx="6">
                  <c:v>47.136209289075666</c:v>
                </c:pt>
                <c:pt idx="7">
                  <c:v>47.166550798843829</c:v>
                </c:pt>
                <c:pt idx="8">
                  <c:v>47.195807714230668</c:v>
                </c:pt>
                <c:pt idx="9">
                  <c:v>47.223871575798057</c:v>
                </c:pt>
                <c:pt idx="10">
                  <c:v>47.250623078164026</c:v>
                </c:pt>
                <c:pt idx="11">
                  <c:v>47.275930985408458</c:v>
                </c:pt>
                <c:pt idx="12">
                  <c:v>47.299650938019184</c:v>
                </c:pt>
                <c:pt idx="13">
                  <c:v>47.321624140532833</c:v>
                </c:pt>
                <c:pt idx="14">
                  <c:v>47.34167591793971</c:v>
                </c:pt>
                <c:pt idx="15">
                  <c:v>47.359614127729131</c:v>
                </c:pt>
                <c:pt idx="16">
                  <c:v>47.375227413139342</c:v>
                </c:pt>
                <c:pt idx="17">
                  <c:v>47.388283281732434</c:v>
                </c:pt>
                <c:pt idx="18">
                  <c:v>47.398525991826695</c:v>
                </c:pt>
                <c:pt idx="19">
                  <c:v>47.405674227572227</c:v>
                </c:pt>
                <c:pt idx="20">
                  <c:v>47.40941854153418</c:v>
                </c:pt>
              </c:numCache>
            </c:numRef>
          </c:val>
        </c:ser>
        <c:ser>
          <c:idx val="16"/>
          <c:order val="16"/>
          <c:tx>
            <c:strRef>
              <c:f>'Cost Curves'!$AA$22</c:f>
              <c:strCache>
                <c:ptCount val="1"/>
                <c:pt idx="0">
                  <c:v>-</c:v>
                </c:pt>
              </c:strCache>
            </c:strRef>
          </c:tx>
          <c:marker>
            <c:symbol val="none"/>
          </c:marker>
          <c:cat>
            <c:numRef>
              <c:f>'Cost Curves'!$AB$5:$AV$5</c:f>
              <c:numCache>
                <c:formatCode>General</c:formatCode>
                <c:ptCount val="21"/>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numCache>
            </c:numRef>
          </c:cat>
          <c:val>
            <c:numRef>
              <c:f>'Cost Curves'!$AB$22:$AV$22</c:f>
              <c:numCache>
                <c:formatCode>General</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ser>
        <c:ser>
          <c:idx val="17"/>
          <c:order val="17"/>
          <c:tx>
            <c:strRef>
              <c:f>'Cost Curves'!$AA$23</c:f>
              <c:strCache>
                <c:ptCount val="1"/>
                <c:pt idx="0">
                  <c:v>-</c:v>
                </c:pt>
              </c:strCache>
            </c:strRef>
          </c:tx>
          <c:marker>
            <c:symbol val="none"/>
          </c:marker>
          <c:cat>
            <c:numRef>
              <c:f>'Cost Curves'!$AB$5:$AV$5</c:f>
              <c:numCache>
                <c:formatCode>General</c:formatCode>
                <c:ptCount val="21"/>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numCache>
            </c:numRef>
          </c:cat>
          <c:val>
            <c:numRef>
              <c:f>'Cost Curves'!$AB$23:$AV$23</c:f>
              <c:numCache>
                <c:formatCode>General</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ser>
        <c:ser>
          <c:idx val="18"/>
          <c:order val="18"/>
          <c:tx>
            <c:strRef>
              <c:f>'Cost Curves'!$AA$24</c:f>
              <c:strCache>
                <c:ptCount val="1"/>
                <c:pt idx="0">
                  <c:v>-</c:v>
                </c:pt>
              </c:strCache>
            </c:strRef>
          </c:tx>
          <c:marker>
            <c:symbol val="none"/>
          </c:marker>
          <c:cat>
            <c:numRef>
              <c:f>'Cost Curves'!$AB$5:$AV$5</c:f>
              <c:numCache>
                <c:formatCode>General</c:formatCode>
                <c:ptCount val="21"/>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numCache>
            </c:numRef>
          </c:cat>
          <c:val>
            <c:numRef>
              <c:f>'Cost Curves'!$AB$24:$AV$24</c:f>
              <c:numCache>
                <c:formatCode>General</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ser>
        <c:ser>
          <c:idx val="19"/>
          <c:order val="19"/>
          <c:tx>
            <c:strRef>
              <c:f>'Cost Curves'!$AA$25</c:f>
              <c:strCache>
                <c:ptCount val="1"/>
                <c:pt idx="0">
                  <c:v>Pumped storage</c:v>
                </c:pt>
              </c:strCache>
            </c:strRef>
          </c:tx>
          <c:marker>
            <c:symbol val="none"/>
          </c:marker>
          <c:cat>
            <c:numRef>
              <c:f>'Cost Curves'!$AB$5:$AV$5</c:f>
              <c:numCache>
                <c:formatCode>General</c:formatCode>
                <c:ptCount val="21"/>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numCache>
            </c:numRef>
          </c:cat>
          <c:val>
            <c:numRef>
              <c:f>'Cost Curves'!$AB$25:$AV$25</c:f>
              <c:numCache>
                <c:formatCode>General</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ser>
        <c:marker val="1"/>
        <c:axId val="98988800"/>
        <c:axId val="98990336"/>
      </c:lineChart>
      <c:catAx>
        <c:axId val="98988800"/>
        <c:scaling>
          <c:orientation val="minMax"/>
        </c:scaling>
        <c:axPos val="b"/>
        <c:numFmt formatCode="General" sourceLinked="1"/>
        <c:tickLblPos val="nextTo"/>
        <c:txPr>
          <a:bodyPr/>
          <a:lstStyle/>
          <a:p>
            <a:pPr>
              <a:defRPr lang="en-ZA"/>
            </a:pPr>
            <a:endParaRPr lang="en-US"/>
          </a:p>
        </c:txPr>
        <c:crossAx val="98990336"/>
        <c:crosses val="autoZero"/>
        <c:auto val="1"/>
        <c:lblAlgn val="ctr"/>
        <c:lblOffset val="100"/>
      </c:catAx>
      <c:valAx>
        <c:axId val="98990336"/>
        <c:scaling>
          <c:orientation val="minMax"/>
        </c:scaling>
        <c:axPos val="l"/>
        <c:majorGridlines/>
        <c:title>
          <c:tx>
            <c:rich>
              <a:bodyPr rot="-5400000" vert="horz"/>
              <a:lstStyle/>
              <a:p>
                <a:pPr>
                  <a:defRPr lang="en-ZA"/>
                </a:pPr>
                <a:r>
                  <a:rPr lang="en-US"/>
                  <a:t>cents/kWh</a:t>
                </a:r>
              </a:p>
            </c:rich>
          </c:tx>
        </c:title>
        <c:numFmt formatCode="General" sourceLinked="1"/>
        <c:tickLblPos val="nextTo"/>
        <c:txPr>
          <a:bodyPr/>
          <a:lstStyle/>
          <a:p>
            <a:pPr>
              <a:defRPr lang="en-ZA"/>
            </a:pPr>
            <a:endParaRPr lang="en-US"/>
          </a:p>
        </c:txPr>
        <c:crossAx val="98988800"/>
        <c:crosses val="autoZero"/>
        <c:crossBetween val="between"/>
      </c:valAx>
    </c:plotArea>
    <c:legend>
      <c:legendPos val="b"/>
      <c:layout>
        <c:manualLayout>
          <c:xMode val="edge"/>
          <c:yMode val="edge"/>
          <c:x val="3.6832052619928599E-2"/>
          <c:y val="0.73129565842402544"/>
          <c:w val="0.96316799553129051"/>
          <c:h val="0.25045054270896039"/>
        </c:manualLayout>
      </c:layout>
      <c:txPr>
        <a:bodyPr/>
        <a:lstStyle/>
        <a:p>
          <a:pPr>
            <a:defRPr lang="en-ZA"/>
          </a:pPr>
          <a:endParaRPr lang="en-US"/>
        </a:p>
      </c:txPr>
    </c:legend>
    <c:plotVisOnly val="1"/>
    <c:dispBlanksAs val="gap"/>
  </c:chart>
  <c:printSettings>
    <c:headerFooter/>
    <c:pageMargins b="0.75000000000000078" l="0.70000000000000062" r="0.70000000000000062" t="0.75000000000000078"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lang val="en-ZA"/>
  <c:chart>
    <c:plotArea>
      <c:layout/>
      <c:areaChart>
        <c:grouping val="stacked"/>
        <c:ser>
          <c:idx val="0"/>
          <c:order val="0"/>
          <c:tx>
            <c:strRef>
              <c:f>'Tech Parameters'!$H$139</c:f>
              <c:strCache>
                <c:ptCount val="1"/>
                <c:pt idx="0">
                  <c:v>Annualised capital cost</c:v>
                </c:pt>
              </c:strCache>
            </c:strRef>
          </c:tx>
          <c:cat>
            <c:numRef>
              <c:f>'Tech Parameters'!$I$138:$AC$138</c:f>
              <c:numCache>
                <c:formatCode>General</c:formatCode>
                <c:ptCount val="21"/>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numCache>
            </c:numRef>
          </c:cat>
          <c:val>
            <c:numRef>
              <c:f>'Tech Parameters'!$I$139:$AC$139</c:f>
              <c:numCache>
                <c:formatCode>General</c:formatCode>
                <c:ptCount val="21"/>
                <c:pt idx="0">
                  <c:v>12.073033447397876</c:v>
                </c:pt>
                <c:pt idx="1">
                  <c:v>12.003648197700187</c:v>
                </c:pt>
                <c:pt idx="2">
                  <c:v>11.9342629480025</c:v>
                </c:pt>
                <c:pt idx="3">
                  <c:v>11.864877698304811</c:v>
                </c:pt>
                <c:pt idx="4">
                  <c:v>11.83662798949932</c:v>
                </c:pt>
                <c:pt idx="5">
                  <c:v>11.80837828069383</c:v>
                </c:pt>
                <c:pt idx="6">
                  <c:v>11.780128571888344</c:v>
                </c:pt>
                <c:pt idx="7">
                  <c:v>11.751878863082858</c:v>
                </c:pt>
                <c:pt idx="8">
                  <c:v>11.72362915427737</c:v>
                </c:pt>
                <c:pt idx="9">
                  <c:v>11.695379445471882</c:v>
                </c:pt>
                <c:pt idx="10">
                  <c:v>11.667129736666398</c:v>
                </c:pt>
                <c:pt idx="11">
                  <c:v>11.638880027860909</c:v>
                </c:pt>
                <c:pt idx="12">
                  <c:v>11.610630319055421</c:v>
                </c:pt>
                <c:pt idx="13">
                  <c:v>11.582380610249931</c:v>
                </c:pt>
                <c:pt idx="14">
                  <c:v>11.554130901444445</c:v>
                </c:pt>
                <c:pt idx="15">
                  <c:v>11.525881192638955</c:v>
                </c:pt>
                <c:pt idx="16">
                  <c:v>11.497631483833466</c:v>
                </c:pt>
                <c:pt idx="17">
                  <c:v>11.46938177502798</c:v>
                </c:pt>
                <c:pt idx="18">
                  <c:v>11.441132066222492</c:v>
                </c:pt>
                <c:pt idx="19">
                  <c:v>11.412882357417004</c:v>
                </c:pt>
                <c:pt idx="20">
                  <c:v>11.384632648611518</c:v>
                </c:pt>
              </c:numCache>
            </c:numRef>
          </c:val>
        </c:ser>
        <c:ser>
          <c:idx val="1"/>
          <c:order val="1"/>
          <c:tx>
            <c:strRef>
              <c:f>'Tech Parameters'!$H$140</c:f>
              <c:strCache>
                <c:ptCount val="1"/>
                <c:pt idx="0">
                  <c:v>Fixed O and M</c:v>
                </c:pt>
              </c:strCache>
            </c:strRef>
          </c:tx>
          <c:cat>
            <c:numRef>
              <c:f>'Tech Parameters'!$I$138:$AC$138</c:f>
              <c:numCache>
                <c:formatCode>General</c:formatCode>
                <c:ptCount val="21"/>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numCache>
            </c:numRef>
          </c:cat>
          <c:val>
            <c:numRef>
              <c:f>'Tech Parameters'!$I$140:$AC$140</c:f>
              <c:numCache>
                <c:formatCode>General</c:formatCode>
                <c:ptCount val="21"/>
                <c:pt idx="0">
                  <c:v>1.3167835826814906</c:v>
                </c:pt>
                <c:pt idx="1">
                  <c:v>1.3167835826814906</c:v>
                </c:pt>
                <c:pt idx="2">
                  <c:v>1.3167835826814906</c:v>
                </c:pt>
                <c:pt idx="3">
                  <c:v>1.3167835826814906</c:v>
                </c:pt>
                <c:pt idx="4">
                  <c:v>1.3167835826814906</c:v>
                </c:pt>
                <c:pt idx="5">
                  <c:v>1.3167835826814906</c:v>
                </c:pt>
                <c:pt idx="6">
                  <c:v>1.3167835826814906</c:v>
                </c:pt>
                <c:pt idx="7">
                  <c:v>1.3167835826814906</c:v>
                </c:pt>
                <c:pt idx="8">
                  <c:v>1.3167835826814906</c:v>
                </c:pt>
                <c:pt idx="9">
                  <c:v>1.3167835826814906</c:v>
                </c:pt>
                <c:pt idx="10">
                  <c:v>1.3167835826814906</c:v>
                </c:pt>
                <c:pt idx="11">
                  <c:v>1.3167835826814906</c:v>
                </c:pt>
                <c:pt idx="12">
                  <c:v>1.3167835826814906</c:v>
                </c:pt>
                <c:pt idx="13">
                  <c:v>1.3167835826814906</c:v>
                </c:pt>
                <c:pt idx="14">
                  <c:v>1.3167835826814906</c:v>
                </c:pt>
                <c:pt idx="15">
                  <c:v>1.3167835826814906</c:v>
                </c:pt>
                <c:pt idx="16">
                  <c:v>1.3167835826814906</c:v>
                </c:pt>
                <c:pt idx="17">
                  <c:v>1.3167835826814906</c:v>
                </c:pt>
                <c:pt idx="18">
                  <c:v>1.3167835826814906</c:v>
                </c:pt>
                <c:pt idx="19">
                  <c:v>1.3167835826814906</c:v>
                </c:pt>
                <c:pt idx="20">
                  <c:v>1.3167835826814906</c:v>
                </c:pt>
              </c:numCache>
            </c:numRef>
          </c:val>
        </c:ser>
        <c:ser>
          <c:idx val="2"/>
          <c:order val="2"/>
          <c:tx>
            <c:strRef>
              <c:f>'Tech Parameters'!$H$141</c:f>
              <c:strCache>
                <c:ptCount val="1"/>
                <c:pt idx="0">
                  <c:v>Variable O and M</c:v>
                </c:pt>
              </c:strCache>
            </c:strRef>
          </c:tx>
          <c:cat>
            <c:numRef>
              <c:f>'Tech Parameters'!$I$138:$AC$138</c:f>
              <c:numCache>
                <c:formatCode>General</c:formatCode>
                <c:ptCount val="21"/>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numCache>
            </c:numRef>
          </c:cat>
          <c:val>
            <c:numRef>
              <c:f>'Tech Parameters'!$I$141:$AC$141</c:f>
              <c:numCache>
                <c:formatCode>General</c:formatCode>
                <c:ptCount val="21"/>
                <c:pt idx="0">
                  <c:v>1.7267182536446881</c:v>
                </c:pt>
                <c:pt idx="1">
                  <c:v>1.7267182536446881</c:v>
                </c:pt>
                <c:pt idx="2">
                  <c:v>1.7267182536446881</c:v>
                </c:pt>
                <c:pt idx="3">
                  <c:v>1.7267182536446881</c:v>
                </c:pt>
                <c:pt idx="4">
                  <c:v>1.7267182536446881</c:v>
                </c:pt>
                <c:pt idx="5">
                  <c:v>1.7267182536446881</c:v>
                </c:pt>
                <c:pt idx="6">
                  <c:v>1.7267182536446881</c:v>
                </c:pt>
                <c:pt idx="7">
                  <c:v>1.7267182536446881</c:v>
                </c:pt>
                <c:pt idx="8">
                  <c:v>1.7267182536446881</c:v>
                </c:pt>
                <c:pt idx="9">
                  <c:v>1.7267182536446881</c:v>
                </c:pt>
                <c:pt idx="10">
                  <c:v>1.7267182536446881</c:v>
                </c:pt>
                <c:pt idx="11">
                  <c:v>1.7267182536446881</c:v>
                </c:pt>
                <c:pt idx="12">
                  <c:v>1.7267182536446881</c:v>
                </c:pt>
                <c:pt idx="13">
                  <c:v>1.7267182536446881</c:v>
                </c:pt>
                <c:pt idx="14">
                  <c:v>1.7267182536446881</c:v>
                </c:pt>
                <c:pt idx="15">
                  <c:v>1.7267182536446881</c:v>
                </c:pt>
                <c:pt idx="16">
                  <c:v>1.7267182536446881</c:v>
                </c:pt>
                <c:pt idx="17">
                  <c:v>1.7267182536446881</c:v>
                </c:pt>
                <c:pt idx="18">
                  <c:v>1.7267182536446881</c:v>
                </c:pt>
                <c:pt idx="19">
                  <c:v>1.7267182536446881</c:v>
                </c:pt>
                <c:pt idx="20">
                  <c:v>1.7267182536446881</c:v>
                </c:pt>
              </c:numCache>
            </c:numRef>
          </c:val>
        </c:ser>
        <c:ser>
          <c:idx val="3"/>
          <c:order val="3"/>
          <c:tx>
            <c:strRef>
              <c:f>'Tech Parameters'!$H$142</c:f>
              <c:strCache>
                <c:ptCount val="1"/>
                <c:pt idx="0">
                  <c:v>Fuel cost</c:v>
                </c:pt>
              </c:strCache>
            </c:strRef>
          </c:tx>
          <c:cat>
            <c:numRef>
              <c:f>'Tech Parameters'!$I$138:$AC$138</c:f>
              <c:numCache>
                <c:formatCode>General</c:formatCode>
                <c:ptCount val="21"/>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numCache>
            </c:numRef>
          </c:cat>
          <c:val>
            <c:numRef>
              <c:f>'Tech Parameters'!$I$142:$AC$142</c:f>
              <c:numCache>
                <c:formatCode>General</c:formatCode>
                <c:ptCount val="21"/>
                <c:pt idx="0">
                  <c:v>45.289390552933327</c:v>
                </c:pt>
                <c:pt idx="1">
                  <c:v>46.932917213756028</c:v>
                </c:pt>
                <c:pt idx="2">
                  <c:v>48.547748515777087</c:v>
                </c:pt>
                <c:pt idx="3">
                  <c:v>50.131014923116346</c:v>
                </c:pt>
                <c:pt idx="4">
                  <c:v>51.679559946305616</c:v>
                </c:pt>
                <c:pt idx="5">
                  <c:v>53.189911446929912</c:v>
                </c:pt>
                <c:pt idx="6">
                  <c:v>54.658250072732713</c:v>
                </c:pt>
                <c:pt idx="7">
                  <c:v>56.080374536231901</c:v>
                </c:pt>
                <c:pt idx="8">
                  <c:v>57.45166342119709</c:v>
                </c:pt>
                <c:pt idx="9">
                  <c:v>58.767033169774891</c:v>
                </c:pt>
                <c:pt idx="10">
                  <c:v>60.020891868326565</c:v>
                </c:pt>
                <c:pt idx="11">
                  <c:v>61.207088411849483</c:v>
                </c:pt>
                <c:pt idx="12">
                  <c:v>62.318856584840809</c:v>
                </c:pt>
                <c:pt idx="13">
                  <c:v>63.348753550247338</c:v>
                </c:pt>
                <c:pt idx="14">
                  <c:v>64.288592187310613</c:v>
                </c:pt>
                <c:pt idx="15">
                  <c:v>65.129366663196322</c:v>
                </c:pt>
                <c:pt idx="16">
                  <c:v>65.861170561786679</c:v>
                </c:pt>
                <c:pt idx="17">
                  <c:v>66.473106825352147</c:v>
                </c:pt>
                <c:pt idx="18">
                  <c:v>66.953188690390277</c:v>
                </c:pt>
                <c:pt idx="19">
                  <c:v>67.288230717048293</c:v>
                </c:pt>
                <c:pt idx="20">
                  <c:v>67.463728921488212</c:v>
                </c:pt>
              </c:numCache>
            </c:numRef>
          </c:val>
        </c:ser>
        <c:axId val="99012608"/>
        <c:axId val="99014144"/>
      </c:areaChart>
      <c:catAx>
        <c:axId val="99012608"/>
        <c:scaling>
          <c:orientation val="minMax"/>
        </c:scaling>
        <c:axPos val="b"/>
        <c:numFmt formatCode="General" sourceLinked="1"/>
        <c:tickLblPos val="nextTo"/>
        <c:txPr>
          <a:bodyPr/>
          <a:lstStyle/>
          <a:p>
            <a:pPr>
              <a:defRPr lang="en-ZA"/>
            </a:pPr>
            <a:endParaRPr lang="en-US"/>
          </a:p>
        </c:txPr>
        <c:crossAx val="99014144"/>
        <c:crosses val="autoZero"/>
        <c:auto val="1"/>
        <c:lblAlgn val="ctr"/>
        <c:lblOffset val="100"/>
      </c:catAx>
      <c:valAx>
        <c:axId val="99014144"/>
        <c:scaling>
          <c:orientation val="minMax"/>
        </c:scaling>
        <c:axPos val="l"/>
        <c:majorGridlines/>
        <c:title>
          <c:tx>
            <c:rich>
              <a:bodyPr rot="-5400000" vert="horz"/>
              <a:lstStyle/>
              <a:p>
                <a:pPr>
                  <a:defRPr lang="en-ZA"/>
                </a:pPr>
                <a:r>
                  <a:rPr lang="en-US"/>
                  <a:t>cents/kWh</a:t>
                </a:r>
              </a:p>
            </c:rich>
          </c:tx>
        </c:title>
        <c:numFmt formatCode="General" sourceLinked="1"/>
        <c:tickLblPos val="nextTo"/>
        <c:txPr>
          <a:bodyPr/>
          <a:lstStyle/>
          <a:p>
            <a:pPr>
              <a:defRPr lang="en-ZA"/>
            </a:pPr>
            <a:endParaRPr lang="en-US"/>
          </a:p>
        </c:txPr>
        <c:crossAx val="99012608"/>
        <c:crosses val="autoZero"/>
        <c:crossBetween val="midCat"/>
      </c:valAx>
    </c:plotArea>
    <c:legend>
      <c:legendPos val="b"/>
      <c:txPr>
        <a:bodyPr/>
        <a:lstStyle/>
        <a:p>
          <a:pPr>
            <a:defRPr lang="en-ZA"/>
          </a:pPr>
          <a:endParaRPr lang="en-US"/>
        </a:p>
      </c:txPr>
    </c:legend>
    <c:plotVisOnly val="1"/>
  </c:chart>
  <c:printSettings>
    <c:headerFooter/>
    <c:pageMargins b="0.750000000000001" l="0.70000000000000062" r="0.70000000000000062" t="0.750000000000001"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lang val="en-ZA"/>
  <c:chart>
    <c:autoTitleDeleted val="1"/>
    <c:plotArea>
      <c:layout/>
      <c:barChart>
        <c:barDir val="col"/>
        <c:grouping val="clustered"/>
        <c:ser>
          <c:idx val="0"/>
          <c:order val="0"/>
          <c:tx>
            <c:strRef>
              <c:f>'Cost Curves'!$AB$28</c:f>
              <c:strCache>
                <c:ptCount val="1"/>
                <c:pt idx="0">
                  <c:v>CO2</c:v>
                </c:pt>
              </c:strCache>
            </c:strRef>
          </c:tx>
          <c:cat>
            <c:strRef>
              <c:f>'Cost Curves'!$AA$29:$AA$48</c:f>
              <c:strCache>
                <c:ptCount val="20"/>
                <c:pt idx="0">
                  <c:v>Existing coal Large</c:v>
                </c:pt>
                <c:pt idx="1">
                  <c:v>Existing coal Small</c:v>
                </c:pt>
                <c:pt idx="2">
                  <c:v>OCGT liquid fuels</c:v>
                </c:pt>
                <c:pt idx="3">
                  <c:v>PWR nuclear</c:v>
                </c:pt>
                <c:pt idx="4">
                  <c:v>Hydro</c:v>
                </c:pt>
                <c:pt idx="5">
                  <c:v>Landfill gas</c:v>
                </c:pt>
                <c:pt idx="6">
                  <c:v>Biomass</c:v>
                </c:pt>
                <c:pt idx="7">
                  <c:v>Supercritical coal</c:v>
                </c:pt>
                <c:pt idx="8">
                  <c:v>Wind 30% </c:v>
                </c:pt>
                <c:pt idx="9">
                  <c:v>Wind 25%</c:v>
                </c:pt>
                <c:pt idx="10">
                  <c:v>solar thermal central reciever</c:v>
                </c:pt>
                <c:pt idx="11">
                  <c:v>solar thermal trough</c:v>
                </c:pt>
                <c:pt idx="12">
                  <c:v>solar PV</c:v>
                </c:pt>
                <c:pt idx="13">
                  <c:v>combined cycle gas</c:v>
                </c:pt>
                <c:pt idx="14">
                  <c:v>PBMR</c:v>
                </c:pt>
                <c:pt idx="15">
                  <c:v>IGCC</c:v>
                </c:pt>
                <c:pt idx="16">
                  <c:v>-</c:v>
                </c:pt>
                <c:pt idx="17">
                  <c:v>-</c:v>
                </c:pt>
                <c:pt idx="18">
                  <c:v>-</c:v>
                </c:pt>
                <c:pt idx="19">
                  <c:v>Pumped storage</c:v>
                </c:pt>
              </c:strCache>
            </c:strRef>
          </c:cat>
          <c:val>
            <c:numRef>
              <c:f>'Cost Curves'!$AB$29:$AB$48</c:f>
              <c:numCache>
                <c:formatCode>General</c:formatCode>
                <c:ptCount val="20"/>
                <c:pt idx="0">
                  <c:v>0.99266773354162985</c:v>
                </c:pt>
                <c:pt idx="1">
                  <c:v>1.2278972513319131</c:v>
                </c:pt>
                <c:pt idx="2">
                  <c:v>0.84469738348500012</c:v>
                </c:pt>
                <c:pt idx="3">
                  <c:v>0</c:v>
                </c:pt>
                <c:pt idx="4">
                  <c:v>0</c:v>
                </c:pt>
                <c:pt idx="5">
                  <c:v>0</c:v>
                </c:pt>
                <c:pt idx="6">
                  <c:v>0</c:v>
                </c:pt>
                <c:pt idx="7">
                  <c:v>0.93420250000000005</c:v>
                </c:pt>
                <c:pt idx="8">
                  <c:v>0</c:v>
                </c:pt>
                <c:pt idx="9">
                  <c:v>0</c:v>
                </c:pt>
                <c:pt idx="10">
                  <c:v>0</c:v>
                </c:pt>
                <c:pt idx="11">
                  <c:v>0</c:v>
                </c:pt>
                <c:pt idx="12">
                  <c:v>0</c:v>
                </c:pt>
                <c:pt idx="13">
                  <c:v>0.42589885799999994</c:v>
                </c:pt>
                <c:pt idx="14">
                  <c:v>0</c:v>
                </c:pt>
                <c:pt idx="15">
                  <c:v>0.89003096874999987</c:v>
                </c:pt>
                <c:pt idx="16">
                  <c:v>0</c:v>
                </c:pt>
                <c:pt idx="17">
                  <c:v>0</c:v>
                </c:pt>
                <c:pt idx="18">
                  <c:v>0</c:v>
                </c:pt>
                <c:pt idx="19">
                  <c:v>0</c:v>
                </c:pt>
              </c:numCache>
            </c:numRef>
          </c:val>
        </c:ser>
        <c:axId val="99006336"/>
        <c:axId val="99114368"/>
      </c:barChart>
      <c:catAx>
        <c:axId val="99006336"/>
        <c:scaling>
          <c:orientation val="minMax"/>
        </c:scaling>
        <c:axPos val="b"/>
        <c:tickLblPos val="nextTo"/>
        <c:txPr>
          <a:bodyPr/>
          <a:lstStyle/>
          <a:p>
            <a:pPr>
              <a:defRPr lang="en-ZA"/>
            </a:pPr>
            <a:endParaRPr lang="en-US"/>
          </a:p>
        </c:txPr>
        <c:crossAx val="99114368"/>
        <c:crosses val="autoZero"/>
        <c:auto val="1"/>
        <c:lblAlgn val="ctr"/>
        <c:lblOffset val="100"/>
      </c:catAx>
      <c:valAx>
        <c:axId val="99114368"/>
        <c:scaling>
          <c:orientation val="minMax"/>
        </c:scaling>
        <c:axPos val="l"/>
        <c:majorGridlines/>
        <c:title>
          <c:tx>
            <c:rich>
              <a:bodyPr rot="-5400000" vert="horz"/>
              <a:lstStyle/>
              <a:p>
                <a:pPr>
                  <a:defRPr lang="en-ZA"/>
                </a:pPr>
                <a:r>
                  <a:rPr lang="en-US"/>
                  <a:t>kg CO2 per kWh without network losses</a:t>
                </a:r>
              </a:p>
            </c:rich>
          </c:tx>
        </c:title>
        <c:numFmt formatCode="General" sourceLinked="1"/>
        <c:tickLblPos val="nextTo"/>
        <c:txPr>
          <a:bodyPr/>
          <a:lstStyle/>
          <a:p>
            <a:pPr>
              <a:defRPr lang="en-ZA"/>
            </a:pPr>
            <a:endParaRPr lang="en-US"/>
          </a:p>
        </c:txPr>
        <c:crossAx val="99006336"/>
        <c:crosses val="autoZero"/>
        <c:crossBetween val="between"/>
      </c:valAx>
    </c:plotArea>
    <c:plotVisOnly val="1"/>
  </c:chart>
  <c:printSettings>
    <c:headerFooter/>
    <c:pageMargins b="0.75000000000000078" l="0.70000000000000062" r="0.70000000000000062" t="0.75000000000000078"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050" b="1" i="0" u="none" strike="noStrike" baseline="0">
                <a:solidFill>
                  <a:srgbClr val="000000"/>
                </a:solidFill>
                <a:latin typeface="Calibri"/>
                <a:ea typeface="Calibri"/>
                <a:cs typeface="Calibri"/>
              </a:defRPr>
            </a:pPr>
            <a:r>
              <a:rPr lang="en-ZA"/>
              <a:t>Electricity system capacity - reference</a:t>
            </a:r>
          </a:p>
        </c:rich>
      </c:tx>
      <c:layout>
        <c:manualLayout>
          <c:xMode val="edge"/>
          <c:yMode val="edge"/>
          <c:x val="0.19495004541326083"/>
          <c:y val="5.4422547086012017E-3"/>
        </c:manualLayout>
      </c:layout>
      <c:overlay val="1"/>
    </c:title>
    <c:plotArea>
      <c:layout>
        <c:manualLayout>
          <c:layoutTarget val="inner"/>
          <c:xMode val="edge"/>
          <c:yMode val="edge"/>
          <c:x val="0.13495076058272057"/>
          <c:y val="5.1979645401467496E-2"/>
          <c:w val="0.80755075915238117"/>
          <c:h val="0.50813412609138142"/>
        </c:manualLayout>
      </c:layout>
      <c:areaChart>
        <c:grouping val="stacked"/>
        <c:ser>
          <c:idx val="0"/>
          <c:order val="0"/>
          <c:tx>
            <c:strRef>
              <c:f>'Ref scen Calcs'!$C$8</c:f>
              <c:strCache>
                <c:ptCount val="1"/>
                <c:pt idx="0">
                  <c:v>Existing coal Large</c:v>
                </c:pt>
              </c:strCache>
            </c:strRef>
          </c:tx>
          <c:cat>
            <c:numRef>
              <c:f>'Ref scen Calcs'!$D$7:$AC$7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'Ref scen Calcs'!$D$8:$AC$8</c:f>
              <c:numCache>
                <c:formatCode>General</c:formatCode>
                <c:ptCount val="26"/>
                <c:pt idx="0">
                  <c:v>30.471</c:v>
                </c:pt>
                <c:pt idx="1">
                  <c:v>30.471</c:v>
                </c:pt>
                <c:pt idx="2">
                  <c:v>30.471</c:v>
                </c:pt>
                <c:pt idx="3">
                  <c:v>30.471</c:v>
                </c:pt>
                <c:pt idx="4">
                  <c:v>30.471</c:v>
                </c:pt>
                <c:pt idx="5" formatCode="_(* #,##0.0_);_(* \(#,##0.0\);_(* &quot;-&quot;??_);_(@_)">
                  <c:v>30.471</c:v>
                </c:pt>
                <c:pt idx="6" formatCode="_(* #,##0.0_);_(* \(#,##0.0\);_(* &quot;-&quot;??_);_(@_)">
                  <c:v>30.471</c:v>
                </c:pt>
                <c:pt idx="7" formatCode="_(* #,##0.0_);_(* \(#,##0.0\);_(* &quot;-&quot;??_);_(@_)">
                  <c:v>30.471</c:v>
                </c:pt>
                <c:pt idx="8" formatCode="_(* #,##0.0_);_(* \(#,##0.0\);_(* &quot;-&quot;??_);_(@_)">
                  <c:v>30.471</c:v>
                </c:pt>
                <c:pt idx="9" formatCode="_(* #,##0.0_);_(* \(#,##0.0\);_(* &quot;-&quot;??_);_(@_)">
                  <c:v>30.471</c:v>
                </c:pt>
                <c:pt idx="10" formatCode="_(* #,##0.0_);_(* \(#,##0.0\);_(* &quot;-&quot;??_);_(@_)">
                  <c:v>30.471</c:v>
                </c:pt>
                <c:pt idx="11" formatCode="_(* #,##0.0_);_(* \(#,##0.0\);_(* &quot;-&quot;??_);_(@_)">
                  <c:v>30.471</c:v>
                </c:pt>
                <c:pt idx="12" formatCode="_(* #,##0.0_);_(* \(#,##0.0\);_(* &quot;-&quot;??_);_(@_)">
                  <c:v>30.471</c:v>
                </c:pt>
                <c:pt idx="13" formatCode="_(* #,##0.0_);_(* \(#,##0.0\);_(* &quot;-&quot;??_);_(@_)">
                  <c:v>30.471</c:v>
                </c:pt>
                <c:pt idx="14" formatCode="_(* #,##0.0_);_(* \(#,##0.0\);_(* &quot;-&quot;??_);_(@_)">
                  <c:v>30.471</c:v>
                </c:pt>
                <c:pt idx="15" formatCode="_(* #,##0.0_);_(* \(#,##0.0\);_(* &quot;-&quot;??_);_(@_)">
                  <c:v>30.471</c:v>
                </c:pt>
                <c:pt idx="16" formatCode="_(* #,##0.0_);_(* \(#,##0.0\);_(* &quot;-&quot;??_);_(@_)">
                  <c:v>30.471</c:v>
                </c:pt>
                <c:pt idx="17" formatCode="_(* #,##0.0_);_(* \(#,##0.0\);_(* &quot;-&quot;??_);_(@_)">
                  <c:v>30.471</c:v>
                </c:pt>
                <c:pt idx="18" formatCode="_(* #,##0.0_);_(* \(#,##0.0\);_(* &quot;-&quot;??_);_(@_)">
                  <c:v>30.471</c:v>
                </c:pt>
                <c:pt idx="19" formatCode="_(* #,##0.0_);_(* \(#,##0.0\);_(* &quot;-&quot;??_);_(@_)">
                  <c:v>29.331</c:v>
                </c:pt>
                <c:pt idx="20" formatCode="_(* #,##0.0_);_(* \(#,##0.0\);_(* &quot;-&quot;??_);_(@_)">
                  <c:v>28.190999999999999</c:v>
                </c:pt>
                <c:pt idx="21" formatCode="_(* #,##0.0_);_(* \(#,##0.0\);_(* &quot;-&quot;??_);_(@_)">
                  <c:v>26.765999999999998</c:v>
                </c:pt>
                <c:pt idx="22" formatCode="_(* #,##0.0_);_(* \(#,##0.0\);_(* &quot;-&quot;??_);_(@_)">
                  <c:v>25.340999999999998</c:v>
                </c:pt>
                <c:pt idx="23" formatCode="_(* #,##0.0_);_(* \(#,##0.0\);_(* &quot;-&quot;??_);_(@_)">
                  <c:v>23.615999999999996</c:v>
                </c:pt>
                <c:pt idx="24" formatCode="_(* #,##0.0_);_(* \(#,##0.0\);_(* &quot;-&quot;??_);_(@_)">
                  <c:v>20.165999999999997</c:v>
                </c:pt>
                <c:pt idx="25" formatCode="_(* #,##0.0_);_(* \(#,##0.0\);_(* &quot;-&quot;??_);_(@_)">
                  <c:v>18.440999999999995</c:v>
                </c:pt>
              </c:numCache>
            </c:numRef>
          </c:val>
        </c:ser>
        <c:ser>
          <c:idx val="1"/>
          <c:order val="1"/>
          <c:tx>
            <c:strRef>
              <c:f>'Ref scen Calcs'!$C$9</c:f>
              <c:strCache>
                <c:ptCount val="1"/>
                <c:pt idx="0">
                  <c:v>Existing coal Small</c:v>
                </c:pt>
              </c:strCache>
            </c:strRef>
          </c:tx>
          <c:cat>
            <c:numRef>
              <c:f>'Ref scen Calcs'!$D$7:$AC$7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'Ref scen Calcs'!$D$9:$AC$9</c:f>
              <c:numCache>
                <c:formatCode>0.00</c:formatCode>
                <c:ptCount val="26"/>
                <c:pt idx="0">
                  <c:v>5.434444444444444</c:v>
                </c:pt>
                <c:pt idx="1">
                  <c:v>5.434444444444444</c:v>
                </c:pt>
                <c:pt idx="2">
                  <c:v>5.434444444444444</c:v>
                </c:pt>
                <c:pt idx="3">
                  <c:v>5.434444444444444</c:v>
                </c:pt>
                <c:pt idx="4">
                  <c:v>5.434444444444444</c:v>
                </c:pt>
                <c:pt idx="5" formatCode="_(* #,##0.0_);_(* \(#,##0.0\);_(* &quot;-&quot;??_);_(@_)">
                  <c:v>6.1174444444444438</c:v>
                </c:pt>
                <c:pt idx="6" formatCode="_(* #,##0.0_);_(* \(#,##0.0\);_(* &quot;-&quot;??_);_(@_)">
                  <c:v>6.5214444444444437</c:v>
                </c:pt>
                <c:pt idx="7" formatCode="_(* #,##0.0_);_(* \(#,##0.0\);_(* &quot;-&quot;??_);_(@_)">
                  <c:v>6.5214444444444437</c:v>
                </c:pt>
                <c:pt idx="8" formatCode="_(* #,##0.0_);_(* \(#,##0.0\);_(* &quot;-&quot;??_);_(@_)">
                  <c:v>6.5214444444444437</c:v>
                </c:pt>
                <c:pt idx="9" formatCode="_(* #,##0.0_);_(* \(#,##0.0\);_(* &quot;-&quot;??_);_(@_)">
                  <c:v>6.5214444444444437</c:v>
                </c:pt>
                <c:pt idx="10" formatCode="_(* #,##0.0_);_(* \(#,##0.0\);_(* &quot;-&quot;??_);_(@_)">
                  <c:v>6.5214444444444437</c:v>
                </c:pt>
                <c:pt idx="11" formatCode="_(* #,##0.0_);_(* \(#,##0.0\);_(* &quot;-&quot;??_);_(@_)">
                  <c:v>6.4839444444444441</c:v>
                </c:pt>
                <c:pt idx="12" formatCode="_(* #,##0.0_);_(* \(#,##0.0\);_(* &quot;-&quot;??_);_(@_)">
                  <c:v>6.4464444444444444</c:v>
                </c:pt>
                <c:pt idx="13" formatCode="_(* #,##0.0_);_(* \(#,##0.0\);_(* &quot;-&quot;??_);_(@_)">
                  <c:v>6.3964444444444446</c:v>
                </c:pt>
                <c:pt idx="14" formatCode="_(* #,##0.0_);_(* \(#,##0.0\);_(* &quot;-&quot;??_);_(@_)">
                  <c:v>6.3464444444444448</c:v>
                </c:pt>
                <c:pt idx="15" formatCode="_(* #,##0.0_);_(* \(#,##0.0\);_(* &quot;-&quot;??_);_(@_)">
                  <c:v>5.3964444444444446</c:v>
                </c:pt>
                <c:pt idx="16" formatCode="_(* #,##0.0_);_(* \(#,##0.0\);_(* &quot;-&quot;??_);_(@_)">
                  <c:v>4.4464444444444444</c:v>
                </c:pt>
                <c:pt idx="17" formatCode="_(* #,##0.0_);_(* \(#,##0.0\);_(* &quot;-&quot;??_);_(@_)">
                  <c:v>4.4464444444444444</c:v>
                </c:pt>
                <c:pt idx="18" formatCode="_(* #,##0.0_);_(* \(#,##0.0\);_(* &quot;-&quot;??_);_(@_)">
                  <c:v>4.4464444444444444</c:v>
                </c:pt>
                <c:pt idx="19" formatCode="_(* #,##0.0_);_(* \(#,##0.0\);_(* &quot;-&quot;??_);_(@_)">
                  <c:v>4.4464444444444444</c:v>
                </c:pt>
                <c:pt idx="20" formatCode="_(* #,##0.0_);_(* \(#,##0.0\);_(* &quot;-&quot;??_);_(@_)">
                  <c:v>4.0087222222222225</c:v>
                </c:pt>
                <c:pt idx="21" formatCode="_(* #,##0.0_);_(* \(#,##0.0\);_(* &quot;-&quot;??_);_(@_)">
                  <c:v>3.5710000000000002</c:v>
                </c:pt>
                <c:pt idx="22" formatCode="_(* #,##0.0_);_(* \(#,##0.0\);_(* &quot;-&quot;??_);_(@_)">
                  <c:v>3.5710000000000002</c:v>
                </c:pt>
                <c:pt idx="23" formatCode="_(* #,##0.0_);_(* \(#,##0.0\);_(* &quot;-&quot;??_);_(@_)">
                  <c:v>3.5710000000000002</c:v>
                </c:pt>
                <c:pt idx="24" formatCode="_(* #,##0.0_);_(* \(#,##0.0\);_(* &quot;-&quot;??_);_(@_)">
                  <c:v>3.5710000000000002</c:v>
                </c:pt>
                <c:pt idx="25" formatCode="_(* #,##0.0_);_(* \(#,##0.0\);_(* &quot;-&quot;??_);_(@_)">
                  <c:v>3.5710000000000002</c:v>
                </c:pt>
              </c:numCache>
            </c:numRef>
          </c:val>
        </c:ser>
        <c:ser>
          <c:idx val="2"/>
          <c:order val="2"/>
          <c:tx>
            <c:strRef>
              <c:f>'Ref scen Calcs'!$C$10</c:f>
              <c:strCache>
                <c:ptCount val="1"/>
                <c:pt idx="0">
                  <c:v>OCGT liquid fuels</c:v>
                </c:pt>
              </c:strCache>
            </c:strRef>
          </c:tx>
          <c:cat>
            <c:numRef>
              <c:f>'Ref scen Calcs'!$D$7:$AC$7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'Ref scen Calcs'!$D$10:$AC$10</c:f>
              <c:numCache>
                <c:formatCode>General</c:formatCode>
                <c:ptCount val="26"/>
                <c:pt idx="0" formatCode="0.0">
                  <c:v>2.4</c:v>
                </c:pt>
                <c:pt idx="1">
                  <c:v>2.4</c:v>
                </c:pt>
                <c:pt idx="2">
                  <c:v>2.4</c:v>
                </c:pt>
                <c:pt idx="3">
                  <c:v>2.4</c:v>
                </c:pt>
                <c:pt idx="4">
                  <c:v>2.4</c:v>
                </c:pt>
                <c:pt idx="5" formatCode="_(* #,##0.0_);_(* \(#,##0.0\);_(* &quot;-&quot;??_);_(@_)">
                  <c:v>2.4</c:v>
                </c:pt>
                <c:pt idx="6" formatCode="_(* #,##0.0_);_(* \(#,##0.0\);_(* &quot;-&quot;??_);_(@_)">
                  <c:v>3.48</c:v>
                </c:pt>
                <c:pt idx="7" formatCode="_(* #,##0.0_);_(* \(#,##0.0\);_(* &quot;-&quot;??_);_(@_)">
                  <c:v>3.48</c:v>
                </c:pt>
                <c:pt idx="8" formatCode="_(* #,##0.0_);_(* \(#,##0.0\);_(* &quot;-&quot;??_);_(@_)">
                  <c:v>3.48</c:v>
                </c:pt>
                <c:pt idx="9" formatCode="_(* #,##0.0_);_(* \(#,##0.0\);_(* &quot;-&quot;??_);_(@_)">
                  <c:v>3.48</c:v>
                </c:pt>
                <c:pt idx="10" formatCode="_(* #,##0.0_);_(* \(#,##0.0\);_(* &quot;-&quot;??_);_(@_)">
                  <c:v>3.48</c:v>
                </c:pt>
                <c:pt idx="11" formatCode="_(* #,##0.0_);_(* \(#,##0.0\);_(* &quot;-&quot;??_);_(@_)">
                  <c:v>3.48</c:v>
                </c:pt>
                <c:pt idx="12" formatCode="_(* #,##0.0_);_(* \(#,##0.0\);_(* &quot;-&quot;??_);_(@_)">
                  <c:v>3.48</c:v>
                </c:pt>
                <c:pt idx="13" formatCode="_(* #,##0.0_);_(* \(#,##0.0\);_(* &quot;-&quot;??_);_(@_)">
                  <c:v>3.48</c:v>
                </c:pt>
                <c:pt idx="14" formatCode="_(* #,##0.0_);_(* \(#,##0.0\);_(* &quot;-&quot;??_);_(@_)">
                  <c:v>3.48</c:v>
                </c:pt>
                <c:pt idx="15" formatCode="_(* #,##0.0_);_(* \(#,##0.0\);_(* &quot;-&quot;??_);_(@_)">
                  <c:v>3.48</c:v>
                </c:pt>
                <c:pt idx="16" formatCode="_(* #,##0.0_);_(* \(#,##0.0\);_(* &quot;-&quot;??_);_(@_)">
                  <c:v>3.48</c:v>
                </c:pt>
                <c:pt idx="17" formatCode="_(* #,##0.0_);_(* \(#,##0.0\);_(* &quot;-&quot;??_);_(@_)">
                  <c:v>3.48</c:v>
                </c:pt>
                <c:pt idx="18" formatCode="_(* #,##0.0_);_(* \(#,##0.0\);_(* &quot;-&quot;??_);_(@_)">
                  <c:v>4.2</c:v>
                </c:pt>
                <c:pt idx="19" formatCode="_(* #,##0.0_);_(* \(#,##0.0\);_(* &quot;-&quot;??_);_(@_)">
                  <c:v>4.2</c:v>
                </c:pt>
                <c:pt idx="20" formatCode="_(* #,##0.0_);_(* \(#,##0.0\);_(* &quot;-&quot;??_);_(@_)">
                  <c:v>4.2</c:v>
                </c:pt>
                <c:pt idx="21" formatCode="_(* #,##0.0_);_(* \(#,##0.0\);_(* &quot;-&quot;??_);_(@_)">
                  <c:v>4.92</c:v>
                </c:pt>
                <c:pt idx="22" formatCode="_(* #,##0.0_);_(* \(#,##0.0\);_(* &quot;-&quot;??_);_(@_)">
                  <c:v>4.92</c:v>
                </c:pt>
                <c:pt idx="23" formatCode="_(* #,##0.0_);_(* \(#,##0.0\);_(* &quot;-&quot;??_);_(@_)">
                  <c:v>4.92</c:v>
                </c:pt>
                <c:pt idx="24" formatCode="_(* #,##0.0_);_(* \(#,##0.0\);_(* &quot;-&quot;??_);_(@_)">
                  <c:v>5.64</c:v>
                </c:pt>
                <c:pt idx="25" formatCode="_(* #,##0.0_);_(* \(#,##0.0\);_(* &quot;-&quot;??_);_(@_)">
                  <c:v>5.4689999999999994</c:v>
                </c:pt>
              </c:numCache>
            </c:numRef>
          </c:val>
        </c:ser>
        <c:ser>
          <c:idx val="3"/>
          <c:order val="3"/>
          <c:tx>
            <c:strRef>
              <c:f>'Ref scen Calcs'!$C$11</c:f>
              <c:strCache>
                <c:ptCount val="1"/>
                <c:pt idx="0">
                  <c:v>PWR nuclear</c:v>
                </c:pt>
              </c:strCache>
            </c:strRef>
          </c:tx>
          <c:cat>
            <c:numRef>
              <c:f>'Ref scen Calcs'!$D$7:$AC$7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'Ref scen Calcs'!$D$11:$AC$11</c:f>
              <c:numCache>
                <c:formatCode>General</c:formatCode>
                <c:ptCount val="26"/>
                <c:pt idx="0">
                  <c:v>1.8</c:v>
                </c:pt>
                <c:pt idx="1">
                  <c:v>1.8</c:v>
                </c:pt>
                <c:pt idx="2">
                  <c:v>1.8</c:v>
                </c:pt>
                <c:pt idx="3">
                  <c:v>1.8</c:v>
                </c:pt>
                <c:pt idx="4">
                  <c:v>1.8</c:v>
                </c:pt>
                <c:pt idx="5" formatCode="_(* #,##0.0_);_(* \(#,##0.0\);_(* &quot;-&quot;??_);_(@_)">
                  <c:v>1.8</c:v>
                </c:pt>
                <c:pt idx="6" formatCode="_(* #,##0.0_);_(* \(#,##0.0\);_(* &quot;-&quot;??_);_(@_)">
                  <c:v>1.8</c:v>
                </c:pt>
                <c:pt idx="7" formatCode="_(* #,##0.0_);_(* \(#,##0.0\);_(* &quot;-&quot;??_);_(@_)">
                  <c:v>1.8</c:v>
                </c:pt>
                <c:pt idx="8" formatCode="_(* #,##0.0_);_(* \(#,##0.0\);_(* &quot;-&quot;??_);_(@_)">
                  <c:v>1.8</c:v>
                </c:pt>
                <c:pt idx="9" formatCode="_(* #,##0.0_);_(* \(#,##0.0\);_(* &quot;-&quot;??_);_(@_)">
                  <c:v>1.8</c:v>
                </c:pt>
                <c:pt idx="10" formatCode="_(* #,##0.0_);_(* \(#,##0.0\);_(* &quot;-&quot;??_);_(@_)">
                  <c:v>1.8</c:v>
                </c:pt>
                <c:pt idx="11" formatCode="_(* #,##0.0_);_(* \(#,##0.0\);_(* &quot;-&quot;??_);_(@_)">
                  <c:v>1.8</c:v>
                </c:pt>
                <c:pt idx="12" formatCode="_(* #,##0.0_);_(* \(#,##0.0\);_(* &quot;-&quot;??_);_(@_)">
                  <c:v>1.8</c:v>
                </c:pt>
                <c:pt idx="13" formatCode="_(* #,##0.0_);_(* \(#,##0.0\);_(* &quot;-&quot;??_);_(@_)">
                  <c:v>1.8</c:v>
                </c:pt>
                <c:pt idx="14" formatCode="_(* #,##0.0_);_(* \(#,##0.0\);_(* &quot;-&quot;??_);_(@_)">
                  <c:v>1.8</c:v>
                </c:pt>
                <c:pt idx="15" formatCode="_(* #,##0.0_);_(* \(#,##0.0\);_(* &quot;-&quot;??_);_(@_)">
                  <c:v>1.8</c:v>
                </c:pt>
                <c:pt idx="16" formatCode="_(* #,##0.0_);_(* \(#,##0.0\);_(* &quot;-&quot;??_);_(@_)">
                  <c:v>1.8</c:v>
                </c:pt>
                <c:pt idx="17" formatCode="_(* #,##0.0_);_(* \(#,##0.0\);_(* &quot;-&quot;??_);_(@_)">
                  <c:v>1.8</c:v>
                </c:pt>
                <c:pt idx="18" formatCode="_(* #,##0.0_);_(* \(#,##0.0\);_(* &quot;-&quot;??_);_(@_)">
                  <c:v>1.8</c:v>
                </c:pt>
                <c:pt idx="19" formatCode="_(* #,##0.0_);_(* \(#,##0.0\);_(* &quot;-&quot;??_);_(@_)">
                  <c:v>1.8</c:v>
                </c:pt>
                <c:pt idx="20" formatCode="_(* #,##0.0_);_(* \(#,##0.0\);_(* &quot;-&quot;??_);_(@_)">
                  <c:v>1.8</c:v>
                </c:pt>
                <c:pt idx="21" formatCode="_(* #,##0.0_);_(* \(#,##0.0\);_(* &quot;-&quot;??_);_(@_)">
                  <c:v>1.8</c:v>
                </c:pt>
                <c:pt idx="22" formatCode="_(* #,##0.0_);_(* \(#,##0.0\);_(* &quot;-&quot;??_);_(@_)">
                  <c:v>1.8</c:v>
                </c:pt>
                <c:pt idx="23" formatCode="_(* #,##0.0_);_(* \(#,##0.0\);_(* &quot;-&quot;??_);_(@_)">
                  <c:v>1.8</c:v>
                </c:pt>
                <c:pt idx="24" formatCode="_(* #,##0.0_);_(* \(#,##0.0\);_(* &quot;-&quot;??_);_(@_)">
                  <c:v>1.8</c:v>
                </c:pt>
                <c:pt idx="25" formatCode="_(* #,##0.0_);_(* \(#,##0.0\);_(* &quot;-&quot;??_);_(@_)">
                  <c:v>1.8</c:v>
                </c:pt>
              </c:numCache>
            </c:numRef>
          </c:val>
        </c:ser>
        <c:ser>
          <c:idx val="4"/>
          <c:order val="4"/>
          <c:tx>
            <c:strRef>
              <c:f>'Ref scen Calcs'!$C$12</c:f>
              <c:strCache>
                <c:ptCount val="1"/>
                <c:pt idx="0">
                  <c:v>Hydro</c:v>
                </c:pt>
              </c:strCache>
            </c:strRef>
          </c:tx>
          <c:cat>
            <c:numRef>
              <c:f>'Ref scen Calcs'!$D$7:$AC$7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'Ref scen Calcs'!$D$12:$AC$12</c:f>
              <c:numCache>
                <c:formatCode>General</c:formatCode>
                <c:ptCount val="26"/>
                <c:pt idx="0">
                  <c:v>0.66500000000000004</c:v>
                </c:pt>
                <c:pt idx="1">
                  <c:v>0.66500000000000004</c:v>
                </c:pt>
                <c:pt idx="2">
                  <c:v>0.66500000000000004</c:v>
                </c:pt>
                <c:pt idx="3">
                  <c:v>0.66500000000000004</c:v>
                </c:pt>
                <c:pt idx="4">
                  <c:v>0.66500000000000004</c:v>
                </c:pt>
                <c:pt idx="5" formatCode="_(* #,##0.0_);_(* \(#,##0.0\);_(* &quot;-&quot;??_);_(@_)">
                  <c:v>0.66500000000000004</c:v>
                </c:pt>
                <c:pt idx="6" formatCode="_(* #,##0.0_);_(* \(#,##0.0\);_(* &quot;-&quot;??_);_(@_)">
                  <c:v>0.66500000000000004</c:v>
                </c:pt>
                <c:pt idx="7" formatCode="_(* #,##0.0_);_(* \(#,##0.0\);_(* &quot;-&quot;??_);_(@_)">
                  <c:v>0.66500000000000004</c:v>
                </c:pt>
                <c:pt idx="8" formatCode="_(* #,##0.0_);_(* \(#,##0.0\);_(* &quot;-&quot;??_);_(@_)">
                  <c:v>0.66500000000000004</c:v>
                </c:pt>
                <c:pt idx="9" formatCode="_(* #,##0.0_);_(* \(#,##0.0\);_(* &quot;-&quot;??_);_(@_)">
                  <c:v>0.66500000000000004</c:v>
                </c:pt>
                <c:pt idx="10" formatCode="_(* #,##0.0_);_(* \(#,##0.0\);_(* &quot;-&quot;??_);_(@_)">
                  <c:v>0.66500000000000004</c:v>
                </c:pt>
                <c:pt idx="11" formatCode="_(* #,##0.0_);_(* \(#,##0.0\);_(* &quot;-&quot;??_);_(@_)">
                  <c:v>0.66500000000000004</c:v>
                </c:pt>
                <c:pt idx="12" formatCode="_(* #,##0.0_);_(* \(#,##0.0\);_(* &quot;-&quot;??_);_(@_)">
                  <c:v>0.66500000000000004</c:v>
                </c:pt>
                <c:pt idx="13" formatCode="_(* #,##0.0_);_(* \(#,##0.0\);_(* &quot;-&quot;??_);_(@_)">
                  <c:v>0.66500000000000004</c:v>
                </c:pt>
                <c:pt idx="14" formatCode="_(* #,##0.0_);_(* \(#,##0.0\);_(* &quot;-&quot;??_);_(@_)">
                  <c:v>0.66500000000000004</c:v>
                </c:pt>
                <c:pt idx="15" formatCode="_(* #,##0.0_);_(* \(#,##0.0\);_(* &quot;-&quot;??_);_(@_)">
                  <c:v>0.66500000000000004</c:v>
                </c:pt>
                <c:pt idx="16" formatCode="_(* #,##0.0_);_(* \(#,##0.0\);_(* &quot;-&quot;??_);_(@_)">
                  <c:v>0.66500000000000004</c:v>
                </c:pt>
                <c:pt idx="17" formatCode="_(* #,##0.0_);_(* \(#,##0.0\);_(* &quot;-&quot;??_);_(@_)">
                  <c:v>0.66500000000000004</c:v>
                </c:pt>
                <c:pt idx="18" formatCode="_(* #,##0.0_);_(* \(#,##0.0\);_(* &quot;-&quot;??_);_(@_)">
                  <c:v>0.66500000000000004</c:v>
                </c:pt>
                <c:pt idx="19" formatCode="_(* #,##0.0_);_(* \(#,##0.0\);_(* &quot;-&quot;??_);_(@_)">
                  <c:v>0.66500000000000004</c:v>
                </c:pt>
                <c:pt idx="20" formatCode="_(* #,##0.0_);_(* \(#,##0.0\);_(* &quot;-&quot;??_);_(@_)">
                  <c:v>0.66500000000000004</c:v>
                </c:pt>
                <c:pt idx="21" formatCode="_(* #,##0.0_);_(* \(#,##0.0\);_(* &quot;-&quot;??_);_(@_)">
                  <c:v>0.66500000000000004</c:v>
                </c:pt>
                <c:pt idx="22" formatCode="_(* #,##0.0_);_(* \(#,##0.0\);_(* &quot;-&quot;??_);_(@_)">
                  <c:v>0.66500000000000004</c:v>
                </c:pt>
                <c:pt idx="23" formatCode="_(* #,##0.0_);_(* \(#,##0.0\);_(* &quot;-&quot;??_);_(@_)">
                  <c:v>0.66500000000000004</c:v>
                </c:pt>
                <c:pt idx="24" formatCode="_(* #,##0.0_);_(* \(#,##0.0\);_(* &quot;-&quot;??_);_(@_)">
                  <c:v>0.66500000000000004</c:v>
                </c:pt>
                <c:pt idx="25" formatCode="_(* #,##0.0_);_(* \(#,##0.0\);_(* &quot;-&quot;??_);_(@_)">
                  <c:v>0.66500000000000004</c:v>
                </c:pt>
              </c:numCache>
            </c:numRef>
          </c:val>
        </c:ser>
        <c:ser>
          <c:idx val="5"/>
          <c:order val="5"/>
          <c:tx>
            <c:strRef>
              <c:f>'Ref scen Calcs'!$C$13</c:f>
              <c:strCache>
                <c:ptCount val="1"/>
                <c:pt idx="0">
                  <c:v>Landfill gas</c:v>
                </c:pt>
              </c:strCache>
            </c:strRef>
          </c:tx>
          <c:cat>
            <c:numRef>
              <c:f>'Ref scen Calcs'!$D$7:$AC$7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'Ref scen Calcs'!$D$13:$AC$13</c:f>
              <c:numCache>
                <c:formatCode>General</c:formatCode>
                <c:ptCount val="26"/>
                <c:pt idx="0">
                  <c:v>7.0000000000000007E-2</c:v>
                </c:pt>
                <c:pt idx="1">
                  <c:v>7.0000000000000007E-2</c:v>
                </c:pt>
                <c:pt idx="2">
                  <c:v>7.0000000000000007E-2</c:v>
                </c:pt>
                <c:pt idx="3">
                  <c:v>7.0000000000000007E-2</c:v>
                </c:pt>
                <c:pt idx="4">
                  <c:v>7.0000000000000007E-2</c:v>
                </c:pt>
                <c:pt idx="5" formatCode="_(* #,##0.0_);_(* \(#,##0.0\);_(* &quot;-&quot;??_);_(@_)">
                  <c:v>7.0000000000000007E-2</c:v>
                </c:pt>
                <c:pt idx="6" formatCode="_(* #,##0.0_);_(* \(#,##0.0\);_(* &quot;-&quot;??_);_(@_)">
                  <c:v>7.0000000000000007E-2</c:v>
                </c:pt>
                <c:pt idx="7" formatCode="_(* #,##0.0_);_(* \(#,##0.0\);_(* &quot;-&quot;??_);_(@_)">
                  <c:v>7.0000000000000007E-2</c:v>
                </c:pt>
                <c:pt idx="8" formatCode="_(* #,##0.0_);_(* \(#,##0.0\);_(* &quot;-&quot;??_);_(@_)">
                  <c:v>7.0000000000000007E-2</c:v>
                </c:pt>
                <c:pt idx="9" formatCode="_(* #,##0.0_);_(* \(#,##0.0\);_(* &quot;-&quot;??_);_(@_)">
                  <c:v>7.0000000000000007E-2</c:v>
                </c:pt>
                <c:pt idx="10" formatCode="_(* #,##0.0_);_(* \(#,##0.0\);_(* &quot;-&quot;??_);_(@_)">
                  <c:v>7.0000000000000007E-2</c:v>
                </c:pt>
                <c:pt idx="11" formatCode="_(* #,##0.0_);_(* \(#,##0.0\);_(* &quot;-&quot;??_);_(@_)">
                  <c:v>7.0000000000000007E-2</c:v>
                </c:pt>
                <c:pt idx="12" formatCode="_(* #,##0.0_);_(* \(#,##0.0\);_(* &quot;-&quot;??_);_(@_)">
                  <c:v>7.0000000000000007E-2</c:v>
                </c:pt>
                <c:pt idx="13" formatCode="_(* #,##0.0_);_(* \(#,##0.0\);_(* &quot;-&quot;??_);_(@_)">
                  <c:v>7.0000000000000007E-2</c:v>
                </c:pt>
                <c:pt idx="14" formatCode="_(* #,##0.0_);_(* \(#,##0.0\);_(* &quot;-&quot;??_);_(@_)">
                  <c:v>7.0000000000000007E-2</c:v>
                </c:pt>
                <c:pt idx="15" formatCode="_(* #,##0.0_);_(* \(#,##0.0\);_(* &quot;-&quot;??_);_(@_)">
                  <c:v>7.0000000000000007E-2</c:v>
                </c:pt>
                <c:pt idx="16" formatCode="_(* #,##0.0_);_(* \(#,##0.0\);_(* &quot;-&quot;??_);_(@_)">
                  <c:v>7.0000000000000007E-2</c:v>
                </c:pt>
                <c:pt idx="17" formatCode="_(* #,##0.0_);_(* \(#,##0.0\);_(* &quot;-&quot;??_);_(@_)">
                  <c:v>7.0000000000000007E-2</c:v>
                </c:pt>
                <c:pt idx="18" formatCode="_(* #,##0.0_);_(* \(#,##0.0\);_(* &quot;-&quot;??_);_(@_)">
                  <c:v>7.0000000000000007E-2</c:v>
                </c:pt>
                <c:pt idx="19" formatCode="_(* #,##0.0_);_(* \(#,##0.0\);_(* &quot;-&quot;??_);_(@_)">
                  <c:v>7.0000000000000007E-2</c:v>
                </c:pt>
                <c:pt idx="20" formatCode="_(* #,##0.0_);_(* \(#,##0.0\);_(* &quot;-&quot;??_);_(@_)">
                  <c:v>7.0000000000000007E-2</c:v>
                </c:pt>
                <c:pt idx="21" formatCode="_(* #,##0.0_);_(* \(#,##0.0\);_(* &quot;-&quot;??_);_(@_)">
                  <c:v>7.0000000000000007E-2</c:v>
                </c:pt>
                <c:pt idx="22" formatCode="_(* #,##0.0_);_(* \(#,##0.0\);_(* &quot;-&quot;??_);_(@_)">
                  <c:v>7.0000000000000007E-2</c:v>
                </c:pt>
                <c:pt idx="23" formatCode="_(* #,##0.0_);_(* \(#,##0.0\);_(* &quot;-&quot;??_);_(@_)">
                  <c:v>7.0000000000000007E-2</c:v>
                </c:pt>
                <c:pt idx="24" formatCode="_(* #,##0.0_);_(* \(#,##0.0\);_(* &quot;-&quot;??_);_(@_)">
                  <c:v>7.0000000000000007E-2</c:v>
                </c:pt>
                <c:pt idx="25" formatCode="_(* #,##0.0_);_(* \(#,##0.0\);_(* &quot;-&quot;??_);_(@_)">
                  <c:v>7.0000000000000007E-2</c:v>
                </c:pt>
              </c:numCache>
            </c:numRef>
          </c:val>
        </c:ser>
        <c:ser>
          <c:idx val="6"/>
          <c:order val="6"/>
          <c:tx>
            <c:strRef>
              <c:f>'Ref scen Calcs'!$C$14</c:f>
              <c:strCache>
                <c:ptCount val="1"/>
                <c:pt idx="0">
                  <c:v>Biomass</c:v>
                </c:pt>
              </c:strCache>
            </c:strRef>
          </c:tx>
          <c:cat>
            <c:numRef>
              <c:f>'Ref scen Calcs'!$D$7:$AC$7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'Ref scen Calcs'!$D$14:$AC$14</c:f>
              <c:numCache>
                <c:formatCode>General</c:formatCode>
                <c:ptCount val="26"/>
                <c:pt idx="0">
                  <c:v>0.19</c:v>
                </c:pt>
                <c:pt idx="1">
                  <c:v>0.19</c:v>
                </c:pt>
                <c:pt idx="2">
                  <c:v>0.19</c:v>
                </c:pt>
                <c:pt idx="3">
                  <c:v>0.19</c:v>
                </c:pt>
                <c:pt idx="4">
                  <c:v>0.19</c:v>
                </c:pt>
                <c:pt idx="5" formatCode="_(* #,##0.0_);_(* \(#,##0.0\);_(* &quot;-&quot;??_);_(@_)">
                  <c:v>0.19</c:v>
                </c:pt>
                <c:pt idx="6" formatCode="_(* #,##0.0_);_(* \(#,##0.0\);_(* &quot;-&quot;??_);_(@_)">
                  <c:v>0.19</c:v>
                </c:pt>
                <c:pt idx="7" formatCode="_(* #,##0.0_);_(* \(#,##0.0\);_(* &quot;-&quot;??_);_(@_)">
                  <c:v>0.19</c:v>
                </c:pt>
                <c:pt idx="8" formatCode="_(* #,##0.0_);_(* \(#,##0.0\);_(* &quot;-&quot;??_);_(@_)">
                  <c:v>0.19</c:v>
                </c:pt>
                <c:pt idx="9" formatCode="_(* #,##0.0_);_(* \(#,##0.0\);_(* &quot;-&quot;??_);_(@_)">
                  <c:v>0.19</c:v>
                </c:pt>
                <c:pt idx="10" formatCode="_(* #,##0.0_);_(* \(#,##0.0\);_(* &quot;-&quot;??_);_(@_)">
                  <c:v>0.19</c:v>
                </c:pt>
                <c:pt idx="11" formatCode="_(* #,##0.0_);_(* \(#,##0.0\);_(* &quot;-&quot;??_);_(@_)">
                  <c:v>0.19</c:v>
                </c:pt>
                <c:pt idx="12" formatCode="_(* #,##0.0_);_(* \(#,##0.0\);_(* &quot;-&quot;??_);_(@_)">
                  <c:v>0.19</c:v>
                </c:pt>
                <c:pt idx="13" formatCode="_(* #,##0.0_);_(* \(#,##0.0\);_(* &quot;-&quot;??_);_(@_)">
                  <c:v>0.19</c:v>
                </c:pt>
                <c:pt idx="14" formatCode="_(* #,##0.0_);_(* \(#,##0.0\);_(* &quot;-&quot;??_);_(@_)">
                  <c:v>0.19</c:v>
                </c:pt>
                <c:pt idx="15" formatCode="_(* #,##0.0_);_(* \(#,##0.0\);_(* &quot;-&quot;??_);_(@_)">
                  <c:v>0.19</c:v>
                </c:pt>
                <c:pt idx="16" formatCode="_(* #,##0.0_);_(* \(#,##0.0\);_(* &quot;-&quot;??_);_(@_)">
                  <c:v>0.19</c:v>
                </c:pt>
                <c:pt idx="17" formatCode="_(* #,##0.0_);_(* \(#,##0.0\);_(* &quot;-&quot;??_);_(@_)">
                  <c:v>0.19</c:v>
                </c:pt>
                <c:pt idx="18" formatCode="_(* #,##0.0_);_(* \(#,##0.0\);_(* &quot;-&quot;??_);_(@_)">
                  <c:v>0.19</c:v>
                </c:pt>
                <c:pt idx="19" formatCode="_(* #,##0.0_);_(* \(#,##0.0\);_(* &quot;-&quot;??_);_(@_)">
                  <c:v>0.19</c:v>
                </c:pt>
                <c:pt idx="20" formatCode="_(* #,##0.0_);_(* \(#,##0.0\);_(* &quot;-&quot;??_);_(@_)">
                  <c:v>0.19</c:v>
                </c:pt>
                <c:pt idx="21" formatCode="_(* #,##0.0_);_(* \(#,##0.0\);_(* &quot;-&quot;??_);_(@_)">
                  <c:v>0.19</c:v>
                </c:pt>
                <c:pt idx="22" formatCode="_(* #,##0.0_);_(* \(#,##0.0\);_(* &quot;-&quot;??_);_(@_)">
                  <c:v>0.19</c:v>
                </c:pt>
                <c:pt idx="23" formatCode="_(* #,##0.0_);_(* \(#,##0.0\);_(* &quot;-&quot;??_);_(@_)">
                  <c:v>0.19</c:v>
                </c:pt>
                <c:pt idx="24" formatCode="_(* #,##0.0_);_(* \(#,##0.0\);_(* &quot;-&quot;??_);_(@_)">
                  <c:v>0.19</c:v>
                </c:pt>
                <c:pt idx="25" formatCode="_(* #,##0.0_);_(* \(#,##0.0\);_(* &quot;-&quot;??_);_(@_)">
                  <c:v>0.19</c:v>
                </c:pt>
              </c:numCache>
            </c:numRef>
          </c:val>
        </c:ser>
        <c:ser>
          <c:idx val="7"/>
          <c:order val="7"/>
          <c:tx>
            <c:strRef>
              <c:f>'Ref scen Calcs'!$C$15</c:f>
              <c:strCache>
                <c:ptCount val="1"/>
                <c:pt idx="0">
                  <c:v>Supercritical coal</c:v>
                </c:pt>
              </c:strCache>
            </c:strRef>
          </c:tx>
          <c:cat>
            <c:numRef>
              <c:f>'Ref scen Calcs'!$D$7:$AC$7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'Ref scen Calcs'!$D$15:$AC$15</c:f>
              <c:numCache>
                <c:formatCode>General</c:formatCode>
                <c:ptCount val="26"/>
                <c:pt idx="0">
                  <c:v>0</c:v>
                </c:pt>
                <c:pt idx="1">
                  <c:v>0</c:v>
                </c:pt>
                <c:pt idx="2">
                  <c:v>0</c:v>
                </c:pt>
                <c:pt idx="3">
                  <c:v>0</c:v>
                </c:pt>
                <c:pt idx="4">
                  <c:v>0</c:v>
                </c:pt>
                <c:pt idx="5" formatCode="_(* #,##0.0_);_(* \(#,##0.0\);_(* &quot;-&quot;??_);_(@_)">
                  <c:v>0</c:v>
                </c:pt>
                <c:pt idx="6" formatCode="_(* #,##0.0_);_(* \(#,##0.0\);_(* &quot;-&quot;??_);_(@_)">
                  <c:v>0</c:v>
                </c:pt>
                <c:pt idx="7" formatCode="_(* #,##0.0_);_(* \(#,##0.0\);_(* &quot;-&quot;??_);_(@_)">
                  <c:v>0.79400000000000004</c:v>
                </c:pt>
                <c:pt idx="8" formatCode="_(* #,##0.0_);_(* \(#,##0.0\);_(* &quot;-&quot;??_);_(@_)">
                  <c:v>2.3820000000000001</c:v>
                </c:pt>
                <c:pt idx="9" formatCode="_(* #,##0.0_);_(* \(#,##0.0\);_(* &quot;-&quot;??_);_(@_)">
                  <c:v>4.7640000000000002</c:v>
                </c:pt>
                <c:pt idx="10" formatCode="_(* #,##0.0_);_(* \(#,##0.0\);_(* &quot;-&quot;??_);_(@_)">
                  <c:v>7.1460000000000008</c:v>
                </c:pt>
                <c:pt idx="11" formatCode="_(* #,##0.0_);_(* \(#,##0.0\);_(* &quot;-&quot;??_);_(@_)">
                  <c:v>8.7340000000000018</c:v>
                </c:pt>
                <c:pt idx="12" formatCode="_(* #,##0.0_);_(* \(#,##0.0\);_(* &quot;-&quot;??_);_(@_)">
                  <c:v>10.322000000000003</c:v>
                </c:pt>
                <c:pt idx="13" formatCode="_(* #,##0.0_);_(* \(#,##0.0\);_(* &quot;-&quot;??_);_(@_)">
                  <c:v>12.704000000000002</c:v>
                </c:pt>
                <c:pt idx="14" formatCode="_(* #,##0.0_);_(* \(#,##0.0\);_(* &quot;-&quot;??_);_(@_)">
                  <c:v>15.086000000000002</c:v>
                </c:pt>
                <c:pt idx="15" formatCode="_(* #,##0.0_);_(* \(#,##0.0\);_(* &quot;-&quot;??_);_(@_)">
                  <c:v>17.468000000000004</c:v>
                </c:pt>
                <c:pt idx="16" formatCode="_(* #,##0.0_);_(* \(#,##0.0\);_(* &quot;-&quot;??_);_(@_)">
                  <c:v>20.644000000000005</c:v>
                </c:pt>
                <c:pt idx="17" formatCode="_(* #,##0.0_);_(* \(#,##0.0\);_(* &quot;-&quot;??_);_(@_)">
                  <c:v>23.820000000000007</c:v>
                </c:pt>
                <c:pt idx="18" formatCode="_(* #,##0.0_);_(* \(#,##0.0\);_(* &quot;-&quot;??_);_(@_)">
                  <c:v>26.202000000000009</c:v>
                </c:pt>
                <c:pt idx="19" formatCode="_(* #,##0.0_);_(* \(#,##0.0\);_(* &quot;-&quot;??_);_(@_)">
                  <c:v>29.378000000000007</c:v>
                </c:pt>
                <c:pt idx="20" formatCode="_(* #,##0.0_);_(* \(#,##0.0\);_(* &quot;-&quot;??_);_(@_)">
                  <c:v>32.554000000000009</c:v>
                </c:pt>
                <c:pt idx="21" formatCode="_(* #,##0.0_);_(* \(#,##0.0\);_(* &quot;-&quot;??_);_(@_)">
                  <c:v>36.524000000000008</c:v>
                </c:pt>
                <c:pt idx="22" formatCode="_(* #,##0.0_);_(* \(#,##0.0\);_(* &quot;-&quot;??_);_(@_)">
                  <c:v>40.494000000000007</c:v>
                </c:pt>
                <c:pt idx="23" formatCode="_(* #,##0.0_);_(* \(#,##0.0\);_(* &quot;-&quot;??_);_(@_)">
                  <c:v>44.464000000000006</c:v>
                </c:pt>
                <c:pt idx="24" formatCode="_(* #,##0.0_);_(* \(#,##0.0\);_(* &quot;-&quot;??_);_(@_)">
                  <c:v>49.228000000000009</c:v>
                </c:pt>
                <c:pt idx="25" formatCode="_(* #,##0.0_);_(* \(#,##0.0\);_(* &quot;-&quot;??_);_(@_)">
                  <c:v>53.992000000000012</c:v>
                </c:pt>
              </c:numCache>
            </c:numRef>
          </c:val>
        </c:ser>
        <c:ser>
          <c:idx val="8"/>
          <c:order val="8"/>
          <c:tx>
            <c:strRef>
              <c:f>'Ref scen Calcs'!$C$16</c:f>
              <c:strCache>
                <c:ptCount val="1"/>
                <c:pt idx="0">
                  <c:v>Wind 30% </c:v>
                </c:pt>
              </c:strCache>
            </c:strRef>
          </c:tx>
          <c:cat>
            <c:numRef>
              <c:f>'Ref scen Calcs'!$D$7:$AC$7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'Ref scen Calcs'!$D$16:$AC$16</c:f>
              <c:numCache>
                <c:formatCode>General</c:formatCode>
                <c:ptCount val="26"/>
                <c:pt idx="0">
                  <c:v>0</c:v>
                </c:pt>
                <c:pt idx="1">
                  <c:v>0</c:v>
                </c:pt>
                <c:pt idx="2">
                  <c:v>0</c:v>
                </c:pt>
                <c:pt idx="3">
                  <c:v>0</c:v>
                </c:pt>
                <c:pt idx="4">
                  <c:v>0</c:v>
                </c:pt>
                <c:pt idx="5" formatCode="_(* #,##0.0_);_(* \(#,##0.0\);_(* &quot;-&quot;??_);_(@_)">
                  <c:v>0.1</c:v>
                </c:pt>
                <c:pt idx="6" formatCode="_(* #,##0.0_);_(* \(#,##0.0\);_(* &quot;-&quot;??_);_(@_)">
                  <c:v>0.1</c:v>
                </c:pt>
                <c:pt idx="7" formatCode="_(* #,##0.0_);_(* \(#,##0.0\);_(* &quot;-&quot;??_);_(@_)">
                  <c:v>0.1</c:v>
                </c:pt>
                <c:pt idx="8" formatCode="_(* #,##0.0_);_(* \(#,##0.0\);_(* &quot;-&quot;??_);_(@_)">
                  <c:v>0.1</c:v>
                </c:pt>
                <c:pt idx="9" formatCode="_(* #,##0.0_);_(* \(#,##0.0\);_(* &quot;-&quot;??_);_(@_)">
                  <c:v>0.1</c:v>
                </c:pt>
                <c:pt idx="10" formatCode="_(* #,##0.0_);_(* \(#,##0.0\);_(* &quot;-&quot;??_);_(@_)">
                  <c:v>0.1</c:v>
                </c:pt>
                <c:pt idx="11" formatCode="_(* #,##0.0_);_(* \(#,##0.0\);_(* &quot;-&quot;??_);_(@_)">
                  <c:v>0.1</c:v>
                </c:pt>
                <c:pt idx="12" formatCode="_(* #,##0.0_);_(* \(#,##0.0\);_(* &quot;-&quot;??_);_(@_)">
                  <c:v>0.1</c:v>
                </c:pt>
                <c:pt idx="13" formatCode="_(* #,##0.0_);_(* \(#,##0.0\);_(* &quot;-&quot;??_);_(@_)">
                  <c:v>0.1</c:v>
                </c:pt>
                <c:pt idx="14" formatCode="_(* #,##0.0_);_(* \(#,##0.0\);_(* &quot;-&quot;??_);_(@_)">
                  <c:v>0.1</c:v>
                </c:pt>
                <c:pt idx="15" formatCode="_(* #,##0.0_);_(* \(#,##0.0\);_(* &quot;-&quot;??_);_(@_)">
                  <c:v>0.1</c:v>
                </c:pt>
                <c:pt idx="16" formatCode="_(* #,##0.0_);_(* \(#,##0.0\);_(* &quot;-&quot;??_);_(@_)">
                  <c:v>0.1</c:v>
                </c:pt>
                <c:pt idx="17" formatCode="_(* #,##0.0_);_(* \(#,##0.0\);_(* &quot;-&quot;??_);_(@_)">
                  <c:v>0.1</c:v>
                </c:pt>
                <c:pt idx="18" formatCode="_(* #,##0.0_);_(* \(#,##0.0\);_(* &quot;-&quot;??_);_(@_)">
                  <c:v>0.1</c:v>
                </c:pt>
                <c:pt idx="19" formatCode="_(* #,##0.0_);_(* \(#,##0.0\);_(* &quot;-&quot;??_);_(@_)">
                  <c:v>0.1</c:v>
                </c:pt>
                <c:pt idx="20" formatCode="_(* #,##0.0_);_(* \(#,##0.0\);_(* &quot;-&quot;??_);_(@_)">
                  <c:v>0.1</c:v>
                </c:pt>
                <c:pt idx="21" formatCode="_(* #,##0.0_);_(* \(#,##0.0\);_(* &quot;-&quot;??_);_(@_)">
                  <c:v>0.1</c:v>
                </c:pt>
                <c:pt idx="22" formatCode="_(* #,##0.0_);_(* \(#,##0.0\);_(* &quot;-&quot;??_);_(@_)">
                  <c:v>0.1</c:v>
                </c:pt>
                <c:pt idx="23" formatCode="_(* #,##0.0_);_(* \(#,##0.0\);_(* &quot;-&quot;??_);_(@_)">
                  <c:v>0.1</c:v>
                </c:pt>
                <c:pt idx="24" formatCode="_(* #,##0.0_);_(* \(#,##0.0\);_(* &quot;-&quot;??_);_(@_)">
                  <c:v>0.1</c:v>
                </c:pt>
                <c:pt idx="25" formatCode="_(* #,##0.0_);_(* \(#,##0.0\);_(* &quot;-&quot;??_);_(@_)">
                  <c:v>0</c:v>
                </c:pt>
              </c:numCache>
            </c:numRef>
          </c:val>
        </c:ser>
        <c:ser>
          <c:idx val="9"/>
          <c:order val="9"/>
          <c:tx>
            <c:strRef>
              <c:f>'Ref scen Calcs'!$C$17</c:f>
              <c:strCache>
                <c:ptCount val="1"/>
                <c:pt idx="0">
                  <c:v>Wind 25%</c:v>
                </c:pt>
              </c:strCache>
            </c:strRef>
          </c:tx>
          <c:cat>
            <c:numRef>
              <c:f>'Ref scen Calcs'!$D$7:$AC$7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'Ref scen Calcs'!$D$17:$AC$17</c:f>
              <c:numCache>
                <c:formatCode>General</c:formatCode>
                <c:ptCount val="26"/>
                <c:pt idx="0">
                  <c:v>0</c:v>
                </c:pt>
                <c:pt idx="1">
                  <c:v>0</c:v>
                </c:pt>
                <c:pt idx="2">
                  <c:v>0</c:v>
                </c:pt>
                <c:pt idx="3">
                  <c:v>0</c:v>
                </c:pt>
                <c:pt idx="4">
                  <c:v>0</c:v>
                </c:pt>
                <c:pt idx="5" formatCode="_(* #,##0.0_);_(* \(#,##0.0\);_(* &quot;-&quot;??_);_(@_)">
                  <c:v>0</c:v>
                </c:pt>
                <c:pt idx="6" formatCode="_(* #,##0.0_);_(* \(#,##0.0\);_(* &quot;-&quot;??_);_(@_)">
                  <c:v>0</c:v>
                </c:pt>
                <c:pt idx="7" formatCode="_(* #,##0.0_);_(* \(#,##0.0\);_(* &quot;-&quot;??_);_(@_)">
                  <c:v>0</c:v>
                </c:pt>
                <c:pt idx="8" formatCode="_(* #,##0.0_);_(* \(#,##0.0\);_(* &quot;-&quot;??_);_(@_)">
                  <c:v>0</c:v>
                </c:pt>
                <c:pt idx="9" formatCode="_(* #,##0.0_);_(* \(#,##0.0\);_(* &quot;-&quot;??_);_(@_)">
                  <c:v>0</c:v>
                </c:pt>
                <c:pt idx="10" formatCode="_(* #,##0.0_);_(* \(#,##0.0\);_(* &quot;-&quot;??_);_(@_)">
                  <c:v>0</c:v>
                </c:pt>
                <c:pt idx="11" formatCode="_(* #,##0.0_);_(* \(#,##0.0\);_(* &quot;-&quot;??_);_(@_)">
                  <c:v>0</c:v>
                </c:pt>
                <c:pt idx="12" formatCode="_(* #,##0.0_);_(* \(#,##0.0\);_(* &quot;-&quot;??_);_(@_)">
                  <c:v>0</c:v>
                </c:pt>
                <c:pt idx="13" formatCode="_(* #,##0.0_);_(* \(#,##0.0\);_(* &quot;-&quot;??_);_(@_)">
                  <c:v>0</c:v>
                </c:pt>
                <c:pt idx="14" formatCode="_(* #,##0.0_);_(* \(#,##0.0\);_(* &quot;-&quot;??_);_(@_)">
                  <c:v>0</c:v>
                </c:pt>
                <c:pt idx="15" formatCode="_(* #,##0.0_);_(* \(#,##0.0\);_(* &quot;-&quot;??_);_(@_)">
                  <c:v>0</c:v>
                </c:pt>
                <c:pt idx="16" formatCode="_(* #,##0.0_);_(* \(#,##0.0\);_(* &quot;-&quot;??_);_(@_)">
                  <c:v>0</c:v>
                </c:pt>
                <c:pt idx="17" formatCode="_(* #,##0.0_);_(* \(#,##0.0\);_(* &quot;-&quot;??_);_(@_)">
                  <c:v>0</c:v>
                </c:pt>
                <c:pt idx="18" formatCode="_(* #,##0.0_);_(* \(#,##0.0\);_(* &quot;-&quot;??_);_(@_)">
                  <c:v>0</c:v>
                </c:pt>
                <c:pt idx="19" formatCode="_(* #,##0.0_);_(* \(#,##0.0\);_(* &quot;-&quot;??_);_(@_)">
                  <c:v>0</c:v>
                </c:pt>
                <c:pt idx="20" formatCode="_(* #,##0.0_);_(* \(#,##0.0\);_(* &quot;-&quot;??_);_(@_)">
                  <c:v>0</c:v>
                </c:pt>
                <c:pt idx="21" formatCode="_(* #,##0.0_);_(* \(#,##0.0\);_(* &quot;-&quot;??_);_(@_)">
                  <c:v>0</c:v>
                </c:pt>
                <c:pt idx="22" formatCode="_(* #,##0.0_);_(* \(#,##0.0\);_(* &quot;-&quot;??_);_(@_)">
                  <c:v>0</c:v>
                </c:pt>
                <c:pt idx="23" formatCode="_(* #,##0.0_);_(* \(#,##0.0\);_(* &quot;-&quot;??_);_(@_)">
                  <c:v>0</c:v>
                </c:pt>
                <c:pt idx="24" formatCode="_(* #,##0.0_);_(* \(#,##0.0\);_(* &quot;-&quot;??_);_(@_)">
                  <c:v>0</c:v>
                </c:pt>
                <c:pt idx="25" formatCode="_(* #,##0.0_);_(* \(#,##0.0\);_(* &quot;-&quot;??_);_(@_)">
                  <c:v>0</c:v>
                </c:pt>
              </c:numCache>
            </c:numRef>
          </c:val>
        </c:ser>
        <c:ser>
          <c:idx val="10"/>
          <c:order val="10"/>
          <c:tx>
            <c:strRef>
              <c:f>'Ref scen Calcs'!$C$18</c:f>
              <c:strCache>
                <c:ptCount val="1"/>
                <c:pt idx="0">
                  <c:v>solar thermal central reciever</c:v>
                </c:pt>
              </c:strCache>
            </c:strRef>
          </c:tx>
          <c:cat>
            <c:numRef>
              <c:f>'Ref scen Calcs'!$D$7:$AC$7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'Ref scen Calcs'!$D$18:$AC$18</c:f>
              <c:numCache>
                <c:formatCode>General</c:formatCode>
                <c:ptCount val="26"/>
                <c:pt idx="0">
                  <c:v>0</c:v>
                </c:pt>
                <c:pt idx="1">
                  <c:v>0</c:v>
                </c:pt>
                <c:pt idx="2">
                  <c:v>0</c:v>
                </c:pt>
                <c:pt idx="3">
                  <c:v>0</c:v>
                </c:pt>
                <c:pt idx="4">
                  <c:v>0</c:v>
                </c:pt>
                <c:pt idx="5" formatCode="_(* #,##0.0_);_(* \(#,##0.0\);_(* &quot;-&quot;??_);_(@_)">
                  <c:v>0</c:v>
                </c:pt>
                <c:pt idx="6" formatCode="_(* #,##0.0_);_(* \(#,##0.0\);_(* &quot;-&quot;??_);_(@_)">
                  <c:v>0</c:v>
                </c:pt>
                <c:pt idx="7" formatCode="_(* #,##0.0_);_(* \(#,##0.0\);_(* &quot;-&quot;??_);_(@_)">
                  <c:v>0</c:v>
                </c:pt>
                <c:pt idx="8" formatCode="_(* #,##0.0_);_(* \(#,##0.0\);_(* &quot;-&quot;??_);_(@_)">
                  <c:v>0</c:v>
                </c:pt>
                <c:pt idx="9" formatCode="_(* #,##0.0_);_(* \(#,##0.0\);_(* &quot;-&quot;??_);_(@_)">
                  <c:v>0</c:v>
                </c:pt>
                <c:pt idx="10" formatCode="_(* #,##0.0_);_(* \(#,##0.0\);_(* &quot;-&quot;??_);_(@_)">
                  <c:v>0</c:v>
                </c:pt>
                <c:pt idx="11" formatCode="_(* #,##0.0_);_(* \(#,##0.0\);_(* &quot;-&quot;??_);_(@_)">
                  <c:v>0</c:v>
                </c:pt>
                <c:pt idx="12" formatCode="_(* #,##0.0_);_(* \(#,##0.0\);_(* &quot;-&quot;??_);_(@_)">
                  <c:v>0</c:v>
                </c:pt>
                <c:pt idx="13" formatCode="_(* #,##0.0_);_(* \(#,##0.0\);_(* &quot;-&quot;??_);_(@_)">
                  <c:v>0</c:v>
                </c:pt>
                <c:pt idx="14" formatCode="_(* #,##0.0_);_(* \(#,##0.0\);_(* &quot;-&quot;??_);_(@_)">
                  <c:v>0</c:v>
                </c:pt>
                <c:pt idx="15" formatCode="_(* #,##0.0_);_(* \(#,##0.0\);_(* &quot;-&quot;??_);_(@_)">
                  <c:v>0</c:v>
                </c:pt>
                <c:pt idx="16" formatCode="_(* #,##0.0_);_(* \(#,##0.0\);_(* &quot;-&quot;??_);_(@_)">
                  <c:v>0</c:v>
                </c:pt>
                <c:pt idx="17" formatCode="_(* #,##0.0_);_(* \(#,##0.0\);_(* &quot;-&quot;??_);_(@_)">
                  <c:v>0</c:v>
                </c:pt>
                <c:pt idx="18" formatCode="_(* #,##0.0_);_(* \(#,##0.0\);_(* &quot;-&quot;??_);_(@_)">
                  <c:v>0</c:v>
                </c:pt>
                <c:pt idx="19" formatCode="_(* #,##0.0_);_(* \(#,##0.0\);_(* &quot;-&quot;??_);_(@_)">
                  <c:v>0</c:v>
                </c:pt>
                <c:pt idx="20" formatCode="_(* #,##0.0_);_(* \(#,##0.0\);_(* &quot;-&quot;??_);_(@_)">
                  <c:v>0</c:v>
                </c:pt>
                <c:pt idx="21" formatCode="_(* #,##0.0_);_(* \(#,##0.0\);_(* &quot;-&quot;??_);_(@_)">
                  <c:v>0</c:v>
                </c:pt>
                <c:pt idx="22" formatCode="_(* #,##0.0_);_(* \(#,##0.0\);_(* &quot;-&quot;??_);_(@_)">
                  <c:v>0</c:v>
                </c:pt>
                <c:pt idx="23" formatCode="_(* #,##0.0_);_(* \(#,##0.0\);_(* &quot;-&quot;??_);_(@_)">
                  <c:v>0</c:v>
                </c:pt>
                <c:pt idx="24" formatCode="_(* #,##0.0_);_(* \(#,##0.0\);_(* &quot;-&quot;??_);_(@_)">
                  <c:v>0</c:v>
                </c:pt>
                <c:pt idx="25" formatCode="_(* #,##0.0_);_(* \(#,##0.0\);_(* &quot;-&quot;??_);_(@_)">
                  <c:v>0</c:v>
                </c:pt>
              </c:numCache>
            </c:numRef>
          </c:val>
        </c:ser>
        <c:ser>
          <c:idx val="11"/>
          <c:order val="11"/>
          <c:tx>
            <c:strRef>
              <c:f>'Ref scen Calcs'!$C$19</c:f>
              <c:strCache>
                <c:ptCount val="1"/>
                <c:pt idx="0">
                  <c:v>solar thermal trough</c:v>
                </c:pt>
              </c:strCache>
            </c:strRef>
          </c:tx>
          <c:cat>
            <c:numRef>
              <c:f>'Ref scen Calcs'!$D$7:$AC$7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'Ref scen Calcs'!$D$19:$AC$19</c:f>
              <c:numCache>
                <c:formatCode>General</c:formatCode>
                <c:ptCount val="26"/>
                <c:pt idx="0">
                  <c:v>0</c:v>
                </c:pt>
                <c:pt idx="1">
                  <c:v>0</c:v>
                </c:pt>
                <c:pt idx="2">
                  <c:v>0</c:v>
                </c:pt>
                <c:pt idx="3">
                  <c:v>0</c:v>
                </c:pt>
                <c:pt idx="4">
                  <c:v>0</c:v>
                </c:pt>
                <c:pt idx="5" formatCode="_(* #,##0.0_);_(* \(#,##0.0\);_(* &quot;-&quot;??_);_(@_)">
                  <c:v>0</c:v>
                </c:pt>
                <c:pt idx="6" formatCode="_(* #,##0.0_);_(* \(#,##0.0\);_(* &quot;-&quot;??_);_(@_)">
                  <c:v>0</c:v>
                </c:pt>
                <c:pt idx="7" formatCode="_(* #,##0.0_);_(* \(#,##0.0\);_(* &quot;-&quot;??_);_(@_)">
                  <c:v>0</c:v>
                </c:pt>
                <c:pt idx="8" formatCode="_(* #,##0.0_);_(* \(#,##0.0\);_(* &quot;-&quot;??_);_(@_)">
                  <c:v>0</c:v>
                </c:pt>
                <c:pt idx="9" formatCode="_(* #,##0.0_);_(* \(#,##0.0\);_(* &quot;-&quot;??_);_(@_)">
                  <c:v>0</c:v>
                </c:pt>
                <c:pt idx="10" formatCode="_(* #,##0.0_);_(* \(#,##0.0\);_(* &quot;-&quot;??_);_(@_)">
                  <c:v>0</c:v>
                </c:pt>
                <c:pt idx="11" formatCode="_(* #,##0.0_);_(* \(#,##0.0\);_(* &quot;-&quot;??_);_(@_)">
                  <c:v>0</c:v>
                </c:pt>
                <c:pt idx="12" formatCode="_(* #,##0.0_);_(* \(#,##0.0\);_(* &quot;-&quot;??_);_(@_)">
                  <c:v>0</c:v>
                </c:pt>
                <c:pt idx="13" formatCode="_(* #,##0.0_);_(* \(#,##0.0\);_(* &quot;-&quot;??_);_(@_)">
                  <c:v>0</c:v>
                </c:pt>
                <c:pt idx="14" formatCode="_(* #,##0.0_);_(* \(#,##0.0\);_(* &quot;-&quot;??_);_(@_)">
                  <c:v>0</c:v>
                </c:pt>
                <c:pt idx="15" formatCode="_(* #,##0.0_);_(* \(#,##0.0\);_(* &quot;-&quot;??_);_(@_)">
                  <c:v>0</c:v>
                </c:pt>
                <c:pt idx="16" formatCode="_(* #,##0.0_);_(* \(#,##0.0\);_(* &quot;-&quot;??_);_(@_)">
                  <c:v>0</c:v>
                </c:pt>
                <c:pt idx="17" formatCode="_(* #,##0.0_);_(* \(#,##0.0\);_(* &quot;-&quot;??_);_(@_)">
                  <c:v>0</c:v>
                </c:pt>
                <c:pt idx="18" formatCode="_(* #,##0.0_);_(* \(#,##0.0\);_(* &quot;-&quot;??_);_(@_)">
                  <c:v>0</c:v>
                </c:pt>
                <c:pt idx="19" formatCode="_(* #,##0.0_);_(* \(#,##0.0\);_(* &quot;-&quot;??_);_(@_)">
                  <c:v>0</c:v>
                </c:pt>
                <c:pt idx="20" formatCode="_(* #,##0.0_);_(* \(#,##0.0\);_(* &quot;-&quot;??_);_(@_)">
                  <c:v>0</c:v>
                </c:pt>
                <c:pt idx="21" formatCode="_(* #,##0.0_);_(* \(#,##0.0\);_(* &quot;-&quot;??_);_(@_)">
                  <c:v>0</c:v>
                </c:pt>
                <c:pt idx="22" formatCode="_(* #,##0.0_);_(* \(#,##0.0\);_(* &quot;-&quot;??_);_(@_)">
                  <c:v>0</c:v>
                </c:pt>
                <c:pt idx="23" formatCode="_(* #,##0.0_);_(* \(#,##0.0\);_(* &quot;-&quot;??_);_(@_)">
                  <c:v>0</c:v>
                </c:pt>
                <c:pt idx="24" formatCode="_(* #,##0.0_);_(* \(#,##0.0\);_(* &quot;-&quot;??_);_(@_)">
                  <c:v>0</c:v>
                </c:pt>
                <c:pt idx="25" formatCode="_(* #,##0.0_);_(* \(#,##0.0\);_(* &quot;-&quot;??_);_(@_)">
                  <c:v>0</c:v>
                </c:pt>
              </c:numCache>
            </c:numRef>
          </c:val>
        </c:ser>
        <c:ser>
          <c:idx val="12"/>
          <c:order val="12"/>
          <c:tx>
            <c:strRef>
              <c:f>'Ref scen Calcs'!$C$20</c:f>
              <c:strCache>
                <c:ptCount val="1"/>
                <c:pt idx="0">
                  <c:v>solar PV</c:v>
                </c:pt>
              </c:strCache>
            </c:strRef>
          </c:tx>
          <c:cat>
            <c:numRef>
              <c:f>'Ref scen Calcs'!$D$7:$AC$7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'Ref scen Calcs'!$D$20:$AC$20</c:f>
              <c:numCache>
                <c:formatCode>General</c:formatCode>
                <c:ptCount val="26"/>
                <c:pt idx="0">
                  <c:v>0</c:v>
                </c:pt>
                <c:pt idx="1">
                  <c:v>0</c:v>
                </c:pt>
                <c:pt idx="2">
                  <c:v>0</c:v>
                </c:pt>
                <c:pt idx="3">
                  <c:v>0</c:v>
                </c:pt>
                <c:pt idx="4">
                  <c:v>0</c:v>
                </c:pt>
                <c:pt idx="5" formatCode="_(* #,##0.0_);_(* \(#,##0.0\);_(* &quot;-&quot;??_);_(@_)">
                  <c:v>0</c:v>
                </c:pt>
                <c:pt idx="6" formatCode="_(* #,##0.0_);_(* \(#,##0.0\);_(* &quot;-&quot;??_);_(@_)">
                  <c:v>0</c:v>
                </c:pt>
                <c:pt idx="7" formatCode="_(* #,##0.0_);_(* \(#,##0.0\);_(* &quot;-&quot;??_);_(@_)">
                  <c:v>0</c:v>
                </c:pt>
                <c:pt idx="8" formatCode="_(* #,##0.0_);_(* \(#,##0.0\);_(* &quot;-&quot;??_);_(@_)">
                  <c:v>0</c:v>
                </c:pt>
                <c:pt idx="9" formatCode="_(* #,##0.0_);_(* \(#,##0.0\);_(* &quot;-&quot;??_);_(@_)">
                  <c:v>0</c:v>
                </c:pt>
                <c:pt idx="10" formatCode="_(* #,##0.0_);_(* \(#,##0.0\);_(* &quot;-&quot;??_);_(@_)">
                  <c:v>0</c:v>
                </c:pt>
                <c:pt idx="11" formatCode="_(* #,##0.0_);_(* \(#,##0.0\);_(* &quot;-&quot;??_);_(@_)">
                  <c:v>0</c:v>
                </c:pt>
                <c:pt idx="12" formatCode="_(* #,##0.0_);_(* \(#,##0.0\);_(* &quot;-&quot;??_);_(@_)">
                  <c:v>0</c:v>
                </c:pt>
                <c:pt idx="13" formatCode="_(* #,##0.0_);_(* \(#,##0.0\);_(* &quot;-&quot;??_);_(@_)">
                  <c:v>0</c:v>
                </c:pt>
                <c:pt idx="14" formatCode="_(* #,##0.0_);_(* \(#,##0.0\);_(* &quot;-&quot;??_);_(@_)">
                  <c:v>0</c:v>
                </c:pt>
                <c:pt idx="15" formatCode="_(* #,##0.0_);_(* \(#,##0.0\);_(* &quot;-&quot;??_);_(@_)">
                  <c:v>0</c:v>
                </c:pt>
                <c:pt idx="16" formatCode="_(* #,##0.0_);_(* \(#,##0.0\);_(* &quot;-&quot;??_);_(@_)">
                  <c:v>0</c:v>
                </c:pt>
                <c:pt idx="17" formatCode="_(* #,##0.0_);_(* \(#,##0.0\);_(* &quot;-&quot;??_);_(@_)">
                  <c:v>0</c:v>
                </c:pt>
                <c:pt idx="18" formatCode="_(* #,##0.0_);_(* \(#,##0.0\);_(* &quot;-&quot;??_);_(@_)">
                  <c:v>0</c:v>
                </c:pt>
                <c:pt idx="19" formatCode="_(* #,##0.0_);_(* \(#,##0.0\);_(* &quot;-&quot;??_);_(@_)">
                  <c:v>0</c:v>
                </c:pt>
                <c:pt idx="20" formatCode="_(* #,##0.0_);_(* \(#,##0.0\);_(* &quot;-&quot;??_);_(@_)">
                  <c:v>0</c:v>
                </c:pt>
                <c:pt idx="21" formatCode="_(* #,##0.0_);_(* \(#,##0.0\);_(* &quot;-&quot;??_);_(@_)">
                  <c:v>0</c:v>
                </c:pt>
                <c:pt idx="22" formatCode="_(* #,##0.0_);_(* \(#,##0.0\);_(* &quot;-&quot;??_);_(@_)">
                  <c:v>0</c:v>
                </c:pt>
                <c:pt idx="23" formatCode="_(* #,##0.0_);_(* \(#,##0.0\);_(* &quot;-&quot;??_);_(@_)">
                  <c:v>0</c:v>
                </c:pt>
                <c:pt idx="24" formatCode="_(* #,##0.0_);_(* \(#,##0.0\);_(* &quot;-&quot;??_);_(@_)">
                  <c:v>0</c:v>
                </c:pt>
                <c:pt idx="25" formatCode="_(* #,##0.0_);_(* \(#,##0.0\);_(* &quot;-&quot;??_);_(@_)">
                  <c:v>0</c:v>
                </c:pt>
              </c:numCache>
            </c:numRef>
          </c:val>
        </c:ser>
        <c:ser>
          <c:idx val="13"/>
          <c:order val="13"/>
          <c:tx>
            <c:strRef>
              <c:f>'Ref scen Calcs'!$C$21</c:f>
              <c:strCache>
                <c:ptCount val="1"/>
                <c:pt idx="0">
                  <c:v>combined cycle gas</c:v>
                </c:pt>
              </c:strCache>
            </c:strRef>
          </c:tx>
          <c:cat>
            <c:numRef>
              <c:f>'Ref scen Calcs'!$D$7:$AC$7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'Ref scen Calcs'!$D$21:$AC$21</c:f>
              <c:numCache>
                <c:formatCode>General</c:formatCode>
                <c:ptCount val="26"/>
                <c:pt idx="0">
                  <c:v>0</c:v>
                </c:pt>
                <c:pt idx="1">
                  <c:v>0</c:v>
                </c:pt>
                <c:pt idx="2">
                  <c:v>0</c:v>
                </c:pt>
                <c:pt idx="3">
                  <c:v>0</c:v>
                </c:pt>
                <c:pt idx="4">
                  <c:v>0</c:v>
                </c:pt>
                <c:pt idx="5" formatCode="_(* #,##0.0_);_(* \(#,##0.0\);_(* &quot;-&quot;??_);_(@_)">
                  <c:v>0</c:v>
                </c:pt>
                <c:pt idx="6" formatCode="_(* #,##0.0_);_(* \(#,##0.0\);_(* &quot;-&quot;??_);_(@_)">
                  <c:v>0</c:v>
                </c:pt>
                <c:pt idx="7" formatCode="_(* #,##0.0_);_(* \(#,##0.0\);_(* &quot;-&quot;??_);_(@_)">
                  <c:v>0</c:v>
                </c:pt>
                <c:pt idx="8" formatCode="_(* #,##0.0_);_(* \(#,##0.0\);_(* &quot;-&quot;??_);_(@_)">
                  <c:v>0</c:v>
                </c:pt>
                <c:pt idx="9" formatCode="_(* #,##0.0_);_(* \(#,##0.0\);_(* &quot;-&quot;??_);_(@_)">
                  <c:v>0</c:v>
                </c:pt>
                <c:pt idx="10" formatCode="_(* #,##0.0_);_(* \(#,##0.0\);_(* &quot;-&quot;??_);_(@_)">
                  <c:v>0</c:v>
                </c:pt>
                <c:pt idx="11" formatCode="_(* #,##0.0_);_(* \(#,##0.0\);_(* &quot;-&quot;??_);_(@_)">
                  <c:v>0</c:v>
                </c:pt>
                <c:pt idx="12" formatCode="_(* #,##0.0_);_(* \(#,##0.0\);_(* &quot;-&quot;??_);_(@_)">
                  <c:v>0</c:v>
                </c:pt>
                <c:pt idx="13" formatCode="_(* #,##0.0_);_(* \(#,##0.0\);_(* &quot;-&quot;??_);_(@_)">
                  <c:v>0</c:v>
                </c:pt>
                <c:pt idx="14" formatCode="_(* #,##0.0_);_(* \(#,##0.0\);_(* &quot;-&quot;??_);_(@_)">
                  <c:v>0</c:v>
                </c:pt>
                <c:pt idx="15" formatCode="_(* #,##0.0_);_(* \(#,##0.0\);_(* &quot;-&quot;??_);_(@_)">
                  <c:v>0</c:v>
                </c:pt>
                <c:pt idx="16" formatCode="_(* #,##0.0_);_(* \(#,##0.0\);_(* &quot;-&quot;??_);_(@_)">
                  <c:v>0</c:v>
                </c:pt>
                <c:pt idx="17" formatCode="_(* #,##0.0_);_(* \(#,##0.0\);_(* &quot;-&quot;??_);_(@_)">
                  <c:v>0</c:v>
                </c:pt>
                <c:pt idx="18" formatCode="_(* #,##0.0_);_(* \(#,##0.0\);_(* &quot;-&quot;??_);_(@_)">
                  <c:v>0</c:v>
                </c:pt>
                <c:pt idx="19" formatCode="_(* #,##0.0_);_(* \(#,##0.0\);_(* &quot;-&quot;??_);_(@_)">
                  <c:v>0</c:v>
                </c:pt>
                <c:pt idx="20" formatCode="_(* #,##0.0_);_(* \(#,##0.0\);_(* &quot;-&quot;??_);_(@_)">
                  <c:v>0</c:v>
                </c:pt>
                <c:pt idx="21" formatCode="_(* #,##0.0_);_(* \(#,##0.0\);_(* &quot;-&quot;??_);_(@_)">
                  <c:v>0</c:v>
                </c:pt>
                <c:pt idx="22" formatCode="_(* #,##0.0_);_(* \(#,##0.0\);_(* &quot;-&quot;??_);_(@_)">
                  <c:v>0</c:v>
                </c:pt>
                <c:pt idx="23" formatCode="_(* #,##0.0_);_(* \(#,##0.0\);_(* &quot;-&quot;??_);_(@_)">
                  <c:v>0</c:v>
                </c:pt>
                <c:pt idx="24" formatCode="_(* #,##0.0_);_(* \(#,##0.0\);_(* &quot;-&quot;??_);_(@_)">
                  <c:v>0</c:v>
                </c:pt>
                <c:pt idx="25" formatCode="_(* #,##0.0_);_(* \(#,##0.0\);_(* &quot;-&quot;??_);_(@_)">
                  <c:v>0</c:v>
                </c:pt>
              </c:numCache>
            </c:numRef>
          </c:val>
        </c:ser>
        <c:ser>
          <c:idx val="14"/>
          <c:order val="14"/>
          <c:tx>
            <c:strRef>
              <c:f>'Ref scen Calcs'!$C$22</c:f>
              <c:strCache>
                <c:ptCount val="1"/>
                <c:pt idx="0">
                  <c:v>PBMR</c:v>
                </c:pt>
              </c:strCache>
            </c:strRef>
          </c:tx>
          <c:cat>
            <c:numRef>
              <c:f>'Ref scen Calcs'!$D$7:$AC$7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'Ref scen Calcs'!$D$22:$AC$22</c:f>
              <c:numCache>
                <c:formatCode>General</c:formatCode>
                <c:ptCount val="26"/>
                <c:pt idx="0">
                  <c:v>0</c:v>
                </c:pt>
                <c:pt idx="1">
                  <c:v>0</c:v>
                </c:pt>
                <c:pt idx="2">
                  <c:v>0</c:v>
                </c:pt>
                <c:pt idx="3">
                  <c:v>0</c:v>
                </c:pt>
                <c:pt idx="4">
                  <c:v>0</c:v>
                </c:pt>
                <c:pt idx="5" formatCode="_(* #,##0.0_);_(* \(#,##0.0\);_(* &quot;-&quot;??_);_(@_)">
                  <c:v>0</c:v>
                </c:pt>
                <c:pt idx="6" formatCode="_(* #,##0.0_);_(* \(#,##0.0\);_(* &quot;-&quot;??_);_(@_)">
                  <c:v>0</c:v>
                </c:pt>
                <c:pt idx="7" formatCode="_(* #,##0.0_);_(* \(#,##0.0\);_(* &quot;-&quot;??_);_(@_)">
                  <c:v>0</c:v>
                </c:pt>
                <c:pt idx="8" formatCode="_(* #,##0.0_);_(* \(#,##0.0\);_(* &quot;-&quot;??_);_(@_)">
                  <c:v>0</c:v>
                </c:pt>
                <c:pt idx="9" formatCode="_(* #,##0.0_);_(* \(#,##0.0\);_(* &quot;-&quot;??_);_(@_)">
                  <c:v>0</c:v>
                </c:pt>
                <c:pt idx="10" formatCode="_(* #,##0.0_);_(* \(#,##0.0\);_(* &quot;-&quot;??_);_(@_)">
                  <c:v>0</c:v>
                </c:pt>
                <c:pt idx="11" formatCode="_(* #,##0.0_);_(* \(#,##0.0\);_(* &quot;-&quot;??_);_(@_)">
                  <c:v>0</c:v>
                </c:pt>
                <c:pt idx="12" formatCode="_(* #,##0.0_);_(* \(#,##0.0\);_(* &quot;-&quot;??_);_(@_)">
                  <c:v>0</c:v>
                </c:pt>
                <c:pt idx="13" formatCode="_(* #,##0.0_);_(* \(#,##0.0\);_(* &quot;-&quot;??_);_(@_)">
                  <c:v>0</c:v>
                </c:pt>
                <c:pt idx="14" formatCode="_(* #,##0.0_);_(* \(#,##0.0\);_(* &quot;-&quot;??_);_(@_)">
                  <c:v>0</c:v>
                </c:pt>
                <c:pt idx="15" formatCode="_(* #,##0.0_);_(* \(#,##0.0\);_(* &quot;-&quot;??_);_(@_)">
                  <c:v>0</c:v>
                </c:pt>
                <c:pt idx="16" formatCode="_(* #,##0.0_);_(* \(#,##0.0\);_(* &quot;-&quot;??_);_(@_)">
                  <c:v>0</c:v>
                </c:pt>
                <c:pt idx="17" formatCode="_(* #,##0.0_);_(* \(#,##0.0\);_(* &quot;-&quot;??_);_(@_)">
                  <c:v>0</c:v>
                </c:pt>
                <c:pt idx="18" formatCode="_(* #,##0.0_);_(* \(#,##0.0\);_(* &quot;-&quot;??_);_(@_)">
                  <c:v>0</c:v>
                </c:pt>
                <c:pt idx="19" formatCode="_(* #,##0.0_);_(* \(#,##0.0\);_(* &quot;-&quot;??_);_(@_)">
                  <c:v>0</c:v>
                </c:pt>
                <c:pt idx="20" formatCode="_(* #,##0.0_);_(* \(#,##0.0\);_(* &quot;-&quot;??_);_(@_)">
                  <c:v>0</c:v>
                </c:pt>
                <c:pt idx="21" formatCode="_(* #,##0.0_);_(* \(#,##0.0\);_(* &quot;-&quot;??_);_(@_)">
                  <c:v>0</c:v>
                </c:pt>
                <c:pt idx="22" formatCode="_(* #,##0.0_);_(* \(#,##0.0\);_(* &quot;-&quot;??_);_(@_)">
                  <c:v>0</c:v>
                </c:pt>
                <c:pt idx="23" formatCode="_(* #,##0.0_);_(* \(#,##0.0\);_(* &quot;-&quot;??_);_(@_)">
                  <c:v>0</c:v>
                </c:pt>
                <c:pt idx="24" formatCode="_(* #,##0.0_);_(* \(#,##0.0\);_(* &quot;-&quot;??_);_(@_)">
                  <c:v>0</c:v>
                </c:pt>
                <c:pt idx="25" formatCode="_(* #,##0.0_);_(* \(#,##0.0\);_(* &quot;-&quot;??_);_(@_)">
                  <c:v>0</c:v>
                </c:pt>
              </c:numCache>
            </c:numRef>
          </c:val>
        </c:ser>
        <c:ser>
          <c:idx val="15"/>
          <c:order val="15"/>
          <c:tx>
            <c:strRef>
              <c:f>'Ref scen Calcs'!$C$23</c:f>
              <c:strCache>
                <c:ptCount val="1"/>
                <c:pt idx="0">
                  <c:v>IGCC</c:v>
                </c:pt>
              </c:strCache>
            </c:strRef>
          </c:tx>
          <c:cat>
            <c:numRef>
              <c:f>'Ref scen Calcs'!$D$7:$AC$7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'Ref scen Calcs'!$D$23:$AC$23</c:f>
              <c:numCache>
                <c:formatCode>General</c:formatCode>
                <c:ptCount val="26"/>
                <c:pt idx="0">
                  <c:v>0</c:v>
                </c:pt>
                <c:pt idx="1">
                  <c:v>0</c:v>
                </c:pt>
                <c:pt idx="2">
                  <c:v>0</c:v>
                </c:pt>
                <c:pt idx="3">
                  <c:v>0</c:v>
                </c:pt>
                <c:pt idx="4">
                  <c:v>0</c:v>
                </c:pt>
                <c:pt idx="5" formatCode="_(* #,##0.0_);_(* \(#,##0.0\);_(* &quot;-&quot;??_);_(@_)">
                  <c:v>0</c:v>
                </c:pt>
                <c:pt idx="6" formatCode="_(* #,##0.0_);_(* \(#,##0.0\);_(* &quot;-&quot;??_);_(@_)">
                  <c:v>0</c:v>
                </c:pt>
                <c:pt idx="7" formatCode="_(* #,##0.0_);_(* \(#,##0.0\);_(* &quot;-&quot;??_);_(@_)">
                  <c:v>0</c:v>
                </c:pt>
                <c:pt idx="8" formatCode="_(* #,##0.0_);_(* \(#,##0.0\);_(* &quot;-&quot;??_);_(@_)">
                  <c:v>0</c:v>
                </c:pt>
                <c:pt idx="9" formatCode="_(* #,##0.0_);_(* \(#,##0.0\);_(* &quot;-&quot;??_);_(@_)">
                  <c:v>0</c:v>
                </c:pt>
                <c:pt idx="10" formatCode="_(* #,##0.0_);_(* \(#,##0.0\);_(* &quot;-&quot;??_);_(@_)">
                  <c:v>0</c:v>
                </c:pt>
                <c:pt idx="11" formatCode="_(* #,##0.0_);_(* \(#,##0.0\);_(* &quot;-&quot;??_);_(@_)">
                  <c:v>0</c:v>
                </c:pt>
                <c:pt idx="12" formatCode="_(* #,##0.0_);_(* \(#,##0.0\);_(* &quot;-&quot;??_);_(@_)">
                  <c:v>0</c:v>
                </c:pt>
                <c:pt idx="13" formatCode="_(* #,##0.0_);_(* \(#,##0.0\);_(* &quot;-&quot;??_);_(@_)">
                  <c:v>0</c:v>
                </c:pt>
                <c:pt idx="14" formatCode="_(* #,##0.0_);_(* \(#,##0.0\);_(* &quot;-&quot;??_);_(@_)">
                  <c:v>0</c:v>
                </c:pt>
                <c:pt idx="15" formatCode="_(* #,##0.0_);_(* \(#,##0.0\);_(* &quot;-&quot;??_);_(@_)">
                  <c:v>0</c:v>
                </c:pt>
                <c:pt idx="16" formatCode="_(* #,##0.0_);_(* \(#,##0.0\);_(* &quot;-&quot;??_);_(@_)">
                  <c:v>0</c:v>
                </c:pt>
                <c:pt idx="17" formatCode="_(* #,##0.0_);_(* \(#,##0.0\);_(* &quot;-&quot;??_);_(@_)">
                  <c:v>0</c:v>
                </c:pt>
                <c:pt idx="18" formatCode="_(* #,##0.0_);_(* \(#,##0.0\);_(* &quot;-&quot;??_);_(@_)">
                  <c:v>0</c:v>
                </c:pt>
                <c:pt idx="19" formatCode="_(* #,##0.0_);_(* \(#,##0.0\);_(* &quot;-&quot;??_);_(@_)">
                  <c:v>0</c:v>
                </c:pt>
                <c:pt idx="20" formatCode="_(* #,##0.0_);_(* \(#,##0.0\);_(* &quot;-&quot;??_);_(@_)">
                  <c:v>0</c:v>
                </c:pt>
                <c:pt idx="21" formatCode="_(* #,##0.0_);_(* \(#,##0.0\);_(* &quot;-&quot;??_);_(@_)">
                  <c:v>0</c:v>
                </c:pt>
                <c:pt idx="22" formatCode="_(* #,##0.0_);_(* \(#,##0.0\);_(* &quot;-&quot;??_);_(@_)">
                  <c:v>0</c:v>
                </c:pt>
                <c:pt idx="23" formatCode="_(* #,##0.0_);_(* \(#,##0.0\);_(* &quot;-&quot;??_);_(@_)">
                  <c:v>0</c:v>
                </c:pt>
                <c:pt idx="24" formatCode="_(* #,##0.0_);_(* \(#,##0.0\);_(* &quot;-&quot;??_);_(@_)">
                  <c:v>0</c:v>
                </c:pt>
                <c:pt idx="25" formatCode="_(* #,##0.0_);_(* \(#,##0.0\);_(* &quot;-&quot;??_);_(@_)">
                  <c:v>0</c:v>
                </c:pt>
              </c:numCache>
            </c:numRef>
          </c:val>
        </c:ser>
        <c:ser>
          <c:idx val="16"/>
          <c:order val="16"/>
          <c:tx>
            <c:strRef>
              <c:f>'Ref scen Calcs'!$C$24</c:f>
              <c:strCache>
                <c:ptCount val="1"/>
                <c:pt idx="0">
                  <c:v>-</c:v>
                </c:pt>
              </c:strCache>
            </c:strRef>
          </c:tx>
          <c:cat>
            <c:numRef>
              <c:f>'Ref scen Calcs'!$D$7:$AC$7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'Ref scen Calcs'!$D$24:$AC$24</c:f>
              <c:numCache>
                <c:formatCode>General</c:formatCode>
                <c:ptCount val="26"/>
                <c:pt idx="0">
                  <c:v>0</c:v>
                </c:pt>
                <c:pt idx="1">
                  <c:v>0</c:v>
                </c:pt>
                <c:pt idx="2">
                  <c:v>0</c:v>
                </c:pt>
                <c:pt idx="3">
                  <c:v>0</c:v>
                </c:pt>
                <c:pt idx="4">
                  <c:v>0</c:v>
                </c:pt>
                <c:pt idx="5" formatCode="_(* #,##0.0_);_(* \(#,##0.0\);_(* &quot;-&quot;??_);_(@_)">
                  <c:v>0</c:v>
                </c:pt>
                <c:pt idx="6" formatCode="_(* #,##0.0_);_(* \(#,##0.0\);_(* &quot;-&quot;??_);_(@_)">
                  <c:v>0</c:v>
                </c:pt>
                <c:pt idx="7" formatCode="_(* #,##0.0_);_(* \(#,##0.0\);_(* &quot;-&quot;??_);_(@_)">
                  <c:v>0</c:v>
                </c:pt>
                <c:pt idx="8" formatCode="_(* #,##0.0_);_(* \(#,##0.0\);_(* &quot;-&quot;??_);_(@_)">
                  <c:v>0</c:v>
                </c:pt>
                <c:pt idx="9" formatCode="_(* #,##0.0_);_(* \(#,##0.0\);_(* &quot;-&quot;??_);_(@_)">
                  <c:v>0</c:v>
                </c:pt>
                <c:pt idx="10" formatCode="_(* #,##0.0_);_(* \(#,##0.0\);_(* &quot;-&quot;??_);_(@_)">
                  <c:v>0</c:v>
                </c:pt>
                <c:pt idx="11" formatCode="_(* #,##0.0_);_(* \(#,##0.0\);_(* &quot;-&quot;??_);_(@_)">
                  <c:v>0</c:v>
                </c:pt>
                <c:pt idx="12" formatCode="_(* #,##0.0_);_(* \(#,##0.0\);_(* &quot;-&quot;??_);_(@_)">
                  <c:v>0</c:v>
                </c:pt>
                <c:pt idx="13" formatCode="_(* #,##0.0_);_(* \(#,##0.0\);_(* &quot;-&quot;??_);_(@_)">
                  <c:v>0</c:v>
                </c:pt>
                <c:pt idx="14" formatCode="_(* #,##0.0_);_(* \(#,##0.0\);_(* &quot;-&quot;??_);_(@_)">
                  <c:v>0</c:v>
                </c:pt>
                <c:pt idx="15" formatCode="_(* #,##0.0_);_(* \(#,##0.0\);_(* &quot;-&quot;??_);_(@_)">
                  <c:v>0</c:v>
                </c:pt>
                <c:pt idx="16" formatCode="_(* #,##0.0_);_(* \(#,##0.0\);_(* &quot;-&quot;??_);_(@_)">
                  <c:v>0</c:v>
                </c:pt>
                <c:pt idx="17" formatCode="_(* #,##0.0_);_(* \(#,##0.0\);_(* &quot;-&quot;??_);_(@_)">
                  <c:v>0</c:v>
                </c:pt>
                <c:pt idx="18" formatCode="_(* #,##0.0_);_(* \(#,##0.0\);_(* &quot;-&quot;??_);_(@_)">
                  <c:v>0</c:v>
                </c:pt>
                <c:pt idx="19" formatCode="_(* #,##0.0_);_(* \(#,##0.0\);_(* &quot;-&quot;??_);_(@_)">
                  <c:v>0</c:v>
                </c:pt>
                <c:pt idx="20" formatCode="_(* #,##0.0_);_(* \(#,##0.0\);_(* &quot;-&quot;??_);_(@_)">
                  <c:v>0</c:v>
                </c:pt>
                <c:pt idx="21" formatCode="_(* #,##0.0_);_(* \(#,##0.0\);_(* &quot;-&quot;??_);_(@_)">
                  <c:v>0</c:v>
                </c:pt>
                <c:pt idx="22" formatCode="_(* #,##0.0_);_(* \(#,##0.0\);_(* &quot;-&quot;??_);_(@_)">
                  <c:v>0</c:v>
                </c:pt>
                <c:pt idx="23" formatCode="_(* #,##0.0_);_(* \(#,##0.0\);_(* &quot;-&quot;??_);_(@_)">
                  <c:v>0</c:v>
                </c:pt>
                <c:pt idx="24" formatCode="_(* #,##0.0_);_(* \(#,##0.0\);_(* &quot;-&quot;??_);_(@_)">
                  <c:v>0</c:v>
                </c:pt>
                <c:pt idx="25" formatCode="_(* #,##0.0_);_(* \(#,##0.0\);_(* &quot;-&quot;??_);_(@_)">
                  <c:v>0</c:v>
                </c:pt>
              </c:numCache>
            </c:numRef>
          </c:val>
        </c:ser>
        <c:ser>
          <c:idx val="17"/>
          <c:order val="17"/>
          <c:tx>
            <c:strRef>
              <c:f>'Ref scen Calcs'!$C$25</c:f>
              <c:strCache>
                <c:ptCount val="1"/>
                <c:pt idx="0">
                  <c:v>-</c:v>
                </c:pt>
              </c:strCache>
            </c:strRef>
          </c:tx>
          <c:cat>
            <c:numRef>
              <c:f>'Ref scen Calcs'!$D$7:$AC$7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'Ref scen Calcs'!$D$25:$AC$25</c:f>
              <c:numCache>
                <c:formatCode>General</c:formatCode>
                <c:ptCount val="26"/>
                <c:pt idx="0">
                  <c:v>0</c:v>
                </c:pt>
                <c:pt idx="1">
                  <c:v>0</c:v>
                </c:pt>
                <c:pt idx="2">
                  <c:v>0</c:v>
                </c:pt>
                <c:pt idx="3">
                  <c:v>0</c:v>
                </c:pt>
                <c:pt idx="4">
                  <c:v>0</c:v>
                </c:pt>
                <c:pt idx="5" formatCode="_(* #,##0.0_);_(* \(#,##0.0\);_(* &quot;-&quot;??_);_(@_)">
                  <c:v>0</c:v>
                </c:pt>
                <c:pt idx="6" formatCode="_(* #,##0.0_);_(* \(#,##0.0\);_(* &quot;-&quot;??_);_(@_)">
                  <c:v>0</c:v>
                </c:pt>
                <c:pt idx="7" formatCode="_(* #,##0.0_);_(* \(#,##0.0\);_(* &quot;-&quot;??_);_(@_)">
                  <c:v>0</c:v>
                </c:pt>
                <c:pt idx="8" formatCode="_(* #,##0.0_);_(* \(#,##0.0\);_(* &quot;-&quot;??_);_(@_)">
                  <c:v>0</c:v>
                </c:pt>
                <c:pt idx="9" formatCode="_(* #,##0.0_);_(* \(#,##0.0\);_(* &quot;-&quot;??_);_(@_)">
                  <c:v>0</c:v>
                </c:pt>
                <c:pt idx="10" formatCode="_(* #,##0.0_);_(* \(#,##0.0\);_(* &quot;-&quot;??_);_(@_)">
                  <c:v>0</c:v>
                </c:pt>
                <c:pt idx="11" formatCode="_(* #,##0.0_);_(* \(#,##0.0\);_(* &quot;-&quot;??_);_(@_)">
                  <c:v>0</c:v>
                </c:pt>
                <c:pt idx="12" formatCode="_(* #,##0.0_);_(* \(#,##0.0\);_(* &quot;-&quot;??_);_(@_)">
                  <c:v>0</c:v>
                </c:pt>
                <c:pt idx="13" formatCode="_(* #,##0.0_);_(* \(#,##0.0\);_(* &quot;-&quot;??_);_(@_)">
                  <c:v>0</c:v>
                </c:pt>
                <c:pt idx="14" formatCode="_(* #,##0.0_);_(* \(#,##0.0\);_(* &quot;-&quot;??_);_(@_)">
                  <c:v>0</c:v>
                </c:pt>
                <c:pt idx="15" formatCode="_(* #,##0.0_);_(* \(#,##0.0\);_(* &quot;-&quot;??_);_(@_)">
                  <c:v>0</c:v>
                </c:pt>
                <c:pt idx="16" formatCode="_(* #,##0.0_);_(* \(#,##0.0\);_(* &quot;-&quot;??_);_(@_)">
                  <c:v>0</c:v>
                </c:pt>
                <c:pt idx="17" formatCode="_(* #,##0.0_);_(* \(#,##0.0\);_(* &quot;-&quot;??_);_(@_)">
                  <c:v>0</c:v>
                </c:pt>
                <c:pt idx="18" formatCode="_(* #,##0.0_);_(* \(#,##0.0\);_(* &quot;-&quot;??_);_(@_)">
                  <c:v>0</c:v>
                </c:pt>
                <c:pt idx="19" formatCode="_(* #,##0.0_);_(* \(#,##0.0\);_(* &quot;-&quot;??_);_(@_)">
                  <c:v>0</c:v>
                </c:pt>
                <c:pt idx="20" formatCode="_(* #,##0.0_);_(* \(#,##0.0\);_(* &quot;-&quot;??_);_(@_)">
                  <c:v>0</c:v>
                </c:pt>
                <c:pt idx="21" formatCode="_(* #,##0.0_);_(* \(#,##0.0\);_(* &quot;-&quot;??_);_(@_)">
                  <c:v>0</c:v>
                </c:pt>
                <c:pt idx="22" formatCode="_(* #,##0.0_);_(* \(#,##0.0\);_(* &quot;-&quot;??_);_(@_)">
                  <c:v>0</c:v>
                </c:pt>
                <c:pt idx="23" formatCode="_(* #,##0.0_);_(* \(#,##0.0\);_(* &quot;-&quot;??_);_(@_)">
                  <c:v>0</c:v>
                </c:pt>
                <c:pt idx="24" formatCode="_(* #,##0.0_);_(* \(#,##0.0\);_(* &quot;-&quot;??_);_(@_)">
                  <c:v>0</c:v>
                </c:pt>
                <c:pt idx="25" formatCode="_(* #,##0.0_);_(* \(#,##0.0\);_(* &quot;-&quot;??_);_(@_)">
                  <c:v>0</c:v>
                </c:pt>
              </c:numCache>
            </c:numRef>
          </c:val>
        </c:ser>
        <c:ser>
          <c:idx val="18"/>
          <c:order val="18"/>
          <c:tx>
            <c:strRef>
              <c:f>'Ref scen Calcs'!$C$26</c:f>
              <c:strCache>
                <c:ptCount val="1"/>
                <c:pt idx="0">
                  <c:v>-</c:v>
                </c:pt>
              </c:strCache>
            </c:strRef>
          </c:tx>
          <c:cat>
            <c:numRef>
              <c:f>'Ref scen Calcs'!$D$7:$AC$7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'Ref scen Calcs'!$D$26:$AC$26</c:f>
              <c:numCache>
                <c:formatCode>General</c:formatCode>
                <c:ptCount val="26"/>
                <c:pt idx="0">
                  <c:v>0</c:v>
                </c:pt>
                <c:pt idx="1">
                  <c:v>0</c:v>
                </c:pt>
                <c:pt idx="2">
                  <c:v>0</c:v>
                </c:pt>
                <c:pt idx="3">
                  <c:v>0</c:v>
                </c:pt>
                <c:pt idx="4">
                  <c:v>0</c:v>
                </c:pt>
                <c:pt idx="5" formatCode="_(* #,##0.0_);_(* \(#,##0.0\);_(* &quot;-&quot;??_);_(@_)">
                  <c:v>0</c:v>
                </c:pt>
                <c:pt idx="6" formatCode="_(* #,##0.0_);_(* \(#,##0.0\);_(* &quot;-&quot;??_);_(@_)">
                  <c:v>0</c:v>
                </c:pt>
                <c:pt idx="7" formatCode="_(* #,##0.0_);_(* \(#,##0.0\);_(* &quot;-&quot;??_);_(@_)">
                  <c:v>0</c:v>
                </c:pt>
                <c:pt idx="8" formatCode="_(* #,##0.0_);_(* \(#,##0.0\);_(* &quot;-&quot;??_);_(@_)">
                  <c:v>0</c:v>
                </c:pt>
                <c:pt idx="9" formatCode="_(* #,##0.0_);_(* \(#,##0.0\);_(* &quot;-&quot;??_);_(@_)">
                  <c:v>0</c:v>
                </c:pt>
                <c:pt idx="10" formatCode="_(* #,##0.0_);_(* \(#,##0.0\);_(* &quot;-&quot;??_);_(@_)">
                  <c:v>0</c:v>
                </c:pt>
                <c:pt idx="11" formatCode="_(* #,##0.0_);_(* \(#,##0.0\);_(* &quot;-&quot;??_);_(@_)">
                  <c:v>0</c:v>
                </c:pt>
                <c:pt idx="12" formatCode="_(* #,##0.0_);_(* \(#,##0.0\);_(* &quot;-&quot;??_);_(@_)">
                  <c:v>0</c:v>
                </c:pt>
                <c:pt idx="13" formatCode="_(* #,##0.0_);_(* \(#,##0.0\);_(* &quot;-&quot;??_);_(@_)">
                  <c:v>0</c:v>
                </c:pt>
                <c:pt idx="14" formatCode="_(* #,##0.0_);_(* \(#,##0.0\);_(* &quot;-&quot;??_);_(@_)">
                  <c:v>0</c:v>
                </c:pt>
                <c:pt idx="15" formatCode="_(* #,##0.0_);_(* \(#,##0.0\);_(* &quot;-&quot;??_);_(@_)">
                  <c:v>0</c:v>
                </c:pt>
                <c:pt idx="16" formatCode="_(* #,##0.0_);_(* \(#,##0.0\);_(* &quot;-&quot;??_);_(@_)">
                  <c:v>0</c:v>
                </c:pt>
                <c:pt idx="17" formatCode="_(* #,##0.0_);_(* \(#,##0.0\);_(* &quot;-&quot;??_);_(@_)">
                  <c:v>0</c:v>
                </c:pt>
                <c:pt idx="18" formatCode="_(* #,##0.0_);_(* \(#,##0.0\);_(* &quot;-&quot;??_);_(@_)">
                  <c:v>0</c:v>
                </c:pt>
                <c:pt idx="19" formatCode="_(* #,##0.0_);_(* \(#,##0.0\);_(* &quot;-&quot;??_);_(@_)">
                  <c:v>0</c:v>
                </c:pt>
                <c:pt idx="20" formatCode="_(* #,##0.0_);_(* \(#,##0.0\);_(* &quot;-&quot;??_);_(@_)">
                  <c:v>0</c:v>
                </c:pt>
                <c:pt idx="21" formatCode="_(* #,##0.0_);_(* \(#,##0.0\);_(* &quot;-&quot;??_);_(@_)">
                  <c:v>0</c:v>
                </c:pt>
                <c:pt idx="22" formatCode="_(* #,##0.0_);_(* \(#,##0.0\);_(* &quot;-&quot;??_);_(@_)">
                  <c:v>0</c:v>
                </c:pt>
                <c:pt idx="23" formatCode="_(* #,##0.0_);_(* \(#,##0.0\);_(* &quot;-&quot;??_);_(@_)">
                  <c:v>0</c:v>
                </c:pt>
                <c:pt idx="24" formatCode="_(* #,##0.0_);_(* \(#,##0.0\);_(* &quot;-&quot;??_);_(@_)">
                  <c:v>0</c:v>
                </c:pt>
                <c:pt idx="25" formatCode="_(* #,##0.0_);_(* \(#,##0.0\);_(* &quot;-&quot;??_);_(@_)">
                  <c:v>0</c:v>
                </c:pt>
              </c:numCache>
            </c:numRef>
          </c:val>
        </c:ser>
        <c:ser>
          <c:idx val="19"/>
          <c:order val="19"/>
          <c:tx>
            <c:strRef>
              <c:f>'Ref scen Calcs'!$C$27</c:f>
              <c:strCache>
                <c:ptCount val="1"/>
                <c:pt idx="0">
                  <c:v>Pumped storage</c:v>
                </c:pt>
              </c:strCache>
            </c:strRef>
          </c:tx>
          <c:cat>
            <c:numRef>
              <c:f>'Ref scen Calcs'!$D$7:$AC$7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'Ref scen Calcs'!$D$27:$AC$27</c:f>
              <c:numCache>
                <c:formatCode>General</c:formatCode>
                <c:ptCount val="26"/>
                <c:pt idx="0">
                  <c:v>1.5799999999999998</c:v>
                </c:pt>
                <c:pt idx="1">
                  <c:v>1.5799999999999998</c:v>
                </c:pt>
                <c:pt idx="2">
                  <c:v>1.5799999999999998</c:v>
                </c:pt>
                <c:pt idx="3">
                  <c:v>1.5799999999999998</c:v>
                </c:pt>
                <c:pt idx="4">
                  <c:v>1.5799999999999998</c:v>
                </c:pt>
                <c:pt idx="5" formatCode="_(* #,##0.0_);_(* \(#,##0.0\);_(* &quot;-&quot;??_);_(@_)">
                  <c:v>1.5799999999999998</c:v>
                </c:pt>
                <c:pt idx="6" formatCode="_(* #,##0.0_);_(* \(#,##0.0\);_(* &quot;-&quot;??_);_(@_)">
                  <c:v>1.5799999999999998</c:v>
                </c:pt>
                <c:pt idx="7" formatCode="_(* #,##0.0_);_(* \(#,##0.0\);_(* &quot;-&quot;??_);_(@_)">
                  <c:v>1.5799999999999998</c:v>
                </c:pt>
                <c:pt idx="8" formatCode="_(* #,##0.0_);_(* \(#,##0.0\);_(* &quot;-&quot;??_);_(@_)">
                  <c:v>2.246</c:v>
                </c:pt>
                <c:pt idx="9" formatCode="_(* #,##0.0_);_(* \(#,##0.0\);_(* &quot;-&quot;??_);_(@_)">
                  <c:v>2.9119999999999999</c:v>
                </c:pt>
                <c:pt idx="10" formatCode="_(* #,##0.0_);_(* \(#,##0.0\);_(* &quot;-&quot;??_);_(@_)">
                  <c:v>2.9119999999999999</c:v>
                </c:pt>
                <c:pt idx="11" formatCode="_(* #,##0.0_);_(* \(#,##0.0\);_(* &quot;-&quot;??_);_(@_)">
                  <c:v>2.9119999999999999</c:v>
                </c:pt>
                <c:pt idx="12" formatCode="_(* #,##0.0_);_(* \(#,##0.0\);_(* &quot;-&quot;??_);_(@_)">
                  <c:v>2.9119999999999999</c:v>
                </c:pt>
                <c:pt idx="13" formatCode="_(* #,##0.0_);_(* \(#,##0.0\);_(* &quot;-&quot;??_);_(@_)">
                  <c:v>2.9119999999999999</c:v>
                </c:pt>
                <c:pt idx="14" formatCode="_(* #,##0.0_);_(* \(#,##0.0\);_(* &quot;-&quot;??_);_(@_)">
                  <c:v>2.9119999999999999</c:v>
                </c:pt>
                <c:pt idx="15" formatCode="_(* #,##0.0_);_(* \(#,##0.0\);_(* &quot;-&quot;??_);_(@_)">
                  <c:v>2.9119999999999999</c:v>
                </c:pt>
                <c:pt idx="16" formatCode="_(* #,##0.0_);_(* \(#,##0.0\);_(* &quot;-&quot;??_);_(@_)">
                  <c:v>2.9119999999999999</c:v>
                </c:pt>
                <c:pt idx="17" formatCode="_(* #,##0.0_);_(* \(#,##0.0\);_(* &quot;-&quot;??_);_(@_)">
                  <c:v>2.9119999999999999</c:v>
                </c:pt>
                <c:pt idx="18" formatCode="_(* #,##0.0_);_(* \(#,##0.0\);_(* &quot;-&quot;??_);_(@_)">
                  <c:v>2.9119999999999999</c:v>
                </c:pt>
                <c:pt idx="19" formatCode="_(* #,##0.0_);_(* \(#,##0.0\);_(* &quot;-&quot;??_);_(@_)">
                  <c:v>2.9119999999999999</c:v>
                </c:pt>
                <c:pt idx="20" formatCode="_(* #,##0.0_);_(* \(#,##0.0\);_(* &quot;-&quot;??_);_(@_)">
                  <c:v>2.9119999999999999</c:v>
                </c:pt>
                <c:pt idx="21" formatCode="_(* #,##0.0_);_(* \(#,##0.0\);_(* &quot;-&quot;??_);_(@_)">
                  <c:v>2.9119999999999999</c:v>
                </c:pt>
                <c:pt idx="22" formatCode="_(* #,##0.0_);_(* \(#,##0.0\);_(* &quot;-&quot;??_);_(@_)">
                  <c:v>2.9119999999999999</c:v>
                </c:pt>
                <c:pt idx="23" formatCode="_(* #,##0.0_);_(* \(#,##0.0\);_(* &quot;-&quot;??_);_(@_)">
                  <c:v>2.9119999999999999</c:v>
                </c:pt>
                <c:pt idx="24" formatCode="_(* #,##0.0_);_(* \(#,##0.0\);_(* &quot;-&quot;??_);_(@_)">
                  <c:v>2.9119999999999999</c:v>
                </c:pt>
                <c:pt idx="25" formatCode="_(* #,##0.0_);_(* \(#,##0.0\);_(* &quot;-&quot;??_);_(@_)">
                  <c:v>2.9119999999999999</c:v>
                </c:pt>
              </c:numCache>
            </c:numRef>
          </c:val>
        </c:ser>
        <c:axId val="99580544"/>
        <c:axId val="99594624"/>
      </c:areaChart>
      <c:catAx>
        <c:axId val="99580544"/>
        <c:scaling>
          <c:orientation val="minMax"/>
        </c:scaling>
        <c:axPos val="b"/>
        <c:numFmt formatCode="General" sourceLinked="1"/>
        <c:tickLblPos val="nextTo"/>
        <c:txPr>
          <a:bodyPr rot="-5400000" vert="horz"/>
          <a:lstStyle/>
          <a:p>
            <a:pPr>
              <a:defRPr lang="en-ZA" sz="1000" b="0" i="0" u="none" strike="noStrike" baseline="0">
                <a:solidFill>
                  <a:srgbClr val="000000"/>
                </a:solidFill>
                <a:latin typeface="Calibri"/>
                <a:ea typeface="Calibri"/>
                <a:cs typeface="Calibri"/>
              </a:defRPr>
            </a:pPr>
            <a:endParaRPr lang="en-US"/>
          </a:p>
        </c:txPr>
        <c:crossAx val="99594624"/>
        <c:crosses val="autoZero"/>
        <c:auto val="1"/>
        <c:lblAlgn val="ctr"/>
        <c:lblOffset val="100"/>
      </c:catAx>
      <c:valAx>
        <c:axId val="99594624"/>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GW</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99580544"/>
        <c:crosses val="autoZero"/>
        <c:crossBetween val="midCat"/>
      </c:valAx>
    </c:plotArea>
    <c:legend>
      <c:legendPos val="b"/>
      <c:layout>
        <c:manualLayout>
          <c:xMode val="edge"/>
          <c:yMode val="edge"/>
          <c:x val="6.7815228818468637E-3"/>
          <c:y val="0.66146389445105214"/>
          <c:w val="0.97586074220286501"/>
          <c:h val="0.32220954216287062"/>
        </c:manualLayout>
      </c:layout>
      <c:txPr>
        <a:bodyPr/>
        <a:lstStyle/>
        <a:p>
          <a:pPr>
            <a:defRPr lang="en-ZA" sz="845" b="0" i="0" u="none" strike="noStrike" baseline="0">
              <a:solidFill>
                <a:srgbClr val="000000"/>
              </a:solidFill>
              <a:latin typeface="Calibri"/>
              <a:ea typeface="Calibri"/>
              <a:cs typeface="Calibri"/>
            </a:defRPr>
          </a:pPr>
          <a:endParaRPr lang="en-US"/>
        </a:p>
      </c:txPr>
    </c:legend>
    <c:plotVisOnly val="1"/>
    <c:dispBlanksAs val="zero"/>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244" l="0.70000000000000062" r="0.70000000000000062" t="0.75000000000000244"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050" b="1" i="0" u="none" strike="noStrike" baseline="0">
                <a:solidFill>
                  <a:srgbClr val="000000"/>
                </a:solidFill>
                <a:latin typeface="Calibri"/>
                <a:ea typeface="Calibri"/>
                <a:cs typeface="Calibri"/>
              </a:defRPr>
            </a:pPr>
            <a:r>
              <a:rPr lang="en-ZA"/>
              <a:t>Electricity sent out - reference</a:t>
            </a:r>
          </a:p>
        </c:rich>
      </c:tx>
      <c:overlay val="1"/>
    </c:title>
    <c:plotArea>
      <c:layout>
        <c:manualLayout>
          <c:layoutTarget val="inner"/>
          <c:xMode val="edge"/>
          <c:yMode val="edge"/>
          <c:x val="0.2107610110380039"/>
          <c:y val="7.3868967817871958E-2"/>
          <c:w val="0.72509430841692735"/>
          <c:h val="0.47989137196000836"/>
        </c:manualLayout>
      </c:layout>
      <c:areaChart>
        <c:grouping val="stacked"/>
        <c:ser>
          <c:idx val="0"/>
          <c:order val="0"/>
          <c:tx>
            <c:strRef>
              <c:f>'Output tables'!$A$38</c:f>
              <c:strCache>
                <c:ptCount val="1"/>
                <c:pt idx="0">
                  <c:v>Existing coal Large</c:v>
                </c:pt>
              </c:strCache>
            </c:strRef>
          </c:tx>
          <c:cat>
            <c:numRef>
              <c:f>'Output tables'!$B$37:$AA$37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tables'!$B$38:$AA$38</c:f>
              <c:numCache>
                <c:formatCode>General</c:formatCode>
                <c:ptCount val="26"/>
                <c:pt idx="0">
                  <c:v>205861.53782111834</c:v>
                </c:pt>
                <c:pt idx="1">
                  <c:v>205861.53782111834</c:v>
                </c:pt>
                <c:pt idx="2">
                  <c:v>212643.1167461767</c:v>
                </c:pt>
                <c:pt idx="3">
                  <c:v>215005.43490868001</c:v>
                </c:pt>
                <c:pt idx="4">
                  <c:v>215005.43490868001</c:v>
                </c:pt>
                <c:pt idx="5">
                  <c:v>220081.30595977066</c:v>
                </c:pt>
                <c:pt idx="6">
                  <c:v>223929.15444342568</c:v>
                </c:pt>
                <c:pt idx="7">
                  <c:v>228206.35414744783</c:v>
                </c:pt>
                <c:pt idx="8">
                  <c:v>232179.28100439603</c:v>
                </c:pt>
                <c:pt idx="9">
                  <c:v>232379.04948696808</c:v>
                </c:pt>
                <c:pt idx="10">
                  <c:v>232379.04948696808</c:v>
                </c:pt>
                <c:pt idx="11">
                  <c:v>232379.04948696808</c:v>
                </c:pt>
                <c:pt idx="12">
                  <c:v>232379.04948696808</c:v>
                </c:pt>
                <c:pt idx="13">
                  <c:v>232379.04948696808</c:v>
                </c:pt>
                <c:pt idx="14">
                  <c:v>232379.04948696808</c:v>
                </c:pt>
                <c:pt idx="15">
                  <c:v>232379.04948696808</c:v>
                </c:pt>
                <c:pt idx="16">
                  <c:v>232379.04948696808</c:v>
                </c:pt>
                <c:pt idx="17">
                  <c:v>232379.04948696808</c:v>
                </c:pt>
                <c:pt idx="18">
                  <c:v>232379.04948696808</c:v>
                </c:pt>
                <c:pt idx="19">
                  <c:v>223685.13998563425</c:v>
                </c:pt>
                <c:pt idx="20">
                  <c:v>214991.23048430041</c:v>
                </c:pt>
                <c:pt idx="21">
                  <c:v>204123.84360763311</c:v>
                </c:pt>
                <c:pt idx="22">
                  <c:v>193256.45673096576</c:v>
                </c:pt>
                <c:pt idx="23">
                  <c:v>180101.19893289483</c:v>
                </c:pt>
                <c:pt idx="24">
                  <c:v>153790.68333675293</c:v>
                </c:pt>
                <c:pt idx="25">
                  <c:v>140635.42553868194</c:v>
                </c:pt>
              </c:numCache>
            </c:numRef>
          </c:val>
        </c:ser>
        <c:ser>
          <c:idx val="1"/>
          <c:order val="1"/>
          <c:tx>
            <c:strRef>
              <c:f>'Output tables'!$A$39</c:f>
              <c:strCache>
                <c:ptCount val="1"/>
                <c:pt idx="0">
                  <c:v>Existing coal Small</c:v>
                </c:pt>
              </c:strCache>
            </c:strRef>
          </c:tx>
          <c:cat>
            <c:numRef>
              <c:f>'Output tables'!$B$37:$AA$37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tables'!$B$39:$AA$39</c:f>
              <c:numCache>
                <c:formatCode>General</c:formatCode>
                <c:ptCount val="26"/>
                <c:pt idx="0">
                  <c:v>11481.108051601606</c:v>
                </c:pt>
                <c:pt idx="1">
                  <c:v>11481.108051601606</c:v>
                </c:pt>
                <c:pt idx="2">
                  <c:v>11481.108051601606</c:v>
                </c:pt>
                <c:pt idx="3">
                  <c:v>11481.108051601606</c:v>
                </c:pt>
                <c:pt idx="4">
                  <c:v>11481.108051601606</c:v>
                </c:pt>
                <c:pt idx="5">
                  <c:v>12924.051645819456</c:v>
                </c:pt>
                <c:pt idx="6">
                  <c:v>13777.564401403659</c:v>
                </c:pt>
                <c:pt idx="7">
                  <c:v>13777.564401403659</c:v>
                </c:pt>
                <c:pt idx="8">
                  <c:v>13777.564401403659</c:v>
                </c:pt>
                <c:pt idx="9">
                  <c:v>13777.564401403659</c:v>
                </c:pt>
                <c:pt idx="10">
                  <c:v>13777.564401403659</c:v>
                </c:pt>
                <c:pt idx="11">
                  <c:v>13698.339826318494</c:v>
                </c:pt>
                <c:pt idx="12">
                  <c:v>13619.115251233326</c:v>
                </c:pt>
                <c:pt idx="13">
                  <c:v>13513.482484453105</c:v>
                </c:pt>
                <c:pt idx="14">
                  <c:v>13407.84971767288</c:v>
                </c:pt>
                <c:pt idx="15">
                  <c:v>11400.827148848637</c:v>
                </c:pt>
                <c:pt idx="16">
                  <c:v>9393.8045800243945</c:v>
                </c:pt>
                <c:pt idx="17">
                  <c:v>9393.8045800243945</c:v>
                </c:pt>
                <c:pt idx="18">
                  <c:v>9393.8045800243945</c:v>
                </c:pt>
                <c:pt idx="19">
                  <c:v>9393.8045800243945</c:v>
                </c:pt>
                <c:pt idx="20">
                  <c:v>8469.0483917339716</c:v>
                </c:pt>
                <c:pt idx="21">
                  <c:v>7544.2922034435505</c:v>
                </c:pt>
                <c:pt idx="22">
                  <c:v>7544.2922034435505</c:v>
                </c:pt>
                <c:pt idx="23">
                  <c:v>7544.2922034435505</c:v>
                </c:pt>
                <c:pt idx="24">
                  <c:v>7544.2922034435505</c:v>
                </c:pt>
                <c:pt idx="25">
                  <c:v>7544.2922034435505</c:v>
                </c:pt>
              </c:numCache>
            </c:numRef>
          </c:val>
        </c:ser>
        <c:ser>
          <c:idx val="2"/>
          <c:order val="2"/>
          <c:tx>
            <c:strRef>
              <c:f>'Output tables'!$A$40</c:f>
              <c:strCache>
                <c:ptCount val="1"/>
                <c:pt idx="0">
                  <c:v>OCGT liquid fuels</c:v>
                </c:pt>
              </c:strCache>
            </c:strRef>
          </c:tx>
          <c:cat>
            <c:numRef>
              <c:f>'Output tables'!$B$37:$AA$37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tables'!$B$40:$AA$40</c:f>
              <c:numCache>
                <c:formatCode>General</c:formatCode>
                <c:ptCount val="26"/>
                <c:pt idx="0">
                  <c:v>651.77077055999985</c:v>
                </c:pt>
                <c:pt idx="1">
                  <c:v>651.77077055999985</c:v>
                </c:pt>
                <c:pt idx="2">
                  <c:v>651.77077055999985</c:v>
                </c:pt>
                <c:pt idx="3">
                  <c:v>651.77077055999985</c:v>
                </c:pt>
                <c:pt idx="4">
                  <c:v>651.77077055999985</c:v>
                </c:pt>
                <c:pt idx="5">
                  <c:v>651.77077055999985</c:v>
                </c:pt>
                <c:pt idx="6">
                  <c:v>945.06761731199981</c:v>
                </c:pt>
                <c:pt idx="7">
                  <c:v>945.06761731199981</c:v>
                </c:pt>
                <c:pt idx="8">
                  <c:v>945.06761731199981</c:v>
                </c:pt>
                <c:pt idx="9">
                  <c:v>945.06761731199981</c:v>
                </c:pt>
                <c:pt idx="10">
                  <c:v>945.06761731199981</c:v>
                </c:pt>
                <c:pt idx="11">
                  <c:v>945.06761731199981</c:v>
                </c:pt>
                <c:pt idx="12">
                  <c:v>945.06761731199981</c:v>
                </c:pt>
                <c:pt idx="13">
                  <c:v>945.06761731199981</c:v>
                </c:pt>
                <c:pt idx="14">
                  <c:v>945.06761731199981</c:v>
                </c:pt>
                <c:pt idx="15">
                  <c:v>945.06761731199981</c:v>
                </c:pt>
                <c:pt idx="16">
                  <c:v>945.06761731199981</c:v>
                </c:pt>
                <c:pt idx="17">
                  <c:v>945.06761731199981</c:v>
                </c:pt>
                <c:pt idx="18">
                  <c:v>1140.59884848</c:v>
                </c:pt>
                <c:pt idx="19">
                  <c:v>1140.59884848</c:v>
                </c:pt>
                <c:pt idx="20">
                  <c:v>1140.59884848</c:v>
                </c:pt>
                <c:pt idx="21">
                  <c:v>1336.1300796479998</c:v>
                </c:pt>
                <c:pt idx="22">
                  <c:v>1336.1300796479998</c:v>
                </c:pt>
                <c:pt idx="23">
                  <c:v>1336.1300796479998</c:v>
                </c:pt>
                <c:pt idx="24">
                  <c:v>1531.6613108159995</c:v>
                </c:pt>
                <c:pt idx="25">
                  <c:v>1485.2226434135996</c:v>
                </c:pt>
              </c:numCache>
            </c:numRef>
          </c:val>
        </c:ser>
        <c:ser>
          <c:idx val="3"/>
          <c:order val="3"/>
          <c:tx>
            <c:strRef>
              <c:f>'Output tables'!$A$41</c:f>
              <c:strCache>
                <c:ptCount val="1"/>
                <c:pt idx="0">
                  <c:v>PWR nuclear</c:v>
                </c:pt>
              </c:strCache>
            </c:strRef>
          </c:tx>
          <c:cat>
            <c:numRef>
              <c:f>'Output tables'!$B$37:$AA$37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tables'!$B$41:$AA$41</c:f>
              <c:numCache>
                <c:formatCode>General</c:formatCode>
                <c:ptCount val="26"/>
                <c:pt idx="0">
                  <c:v>13197.815999999999</c:v>
                </c:pt>
                <c:pt idx="1">
                  <c:v>13197.815999999999</c:v>
                </c:pt>
                <c:pt idx="2">
                  <c:v>13197.815999999999</c:v>
                </c:pt>
                <c:pt idx="3">
                  <c:v>13197.815999999999</c:v>
                </c:pt>
                <c:pt idx="4">
                  <c:v>13197.815999999999</c:v>
                </c:pt>
                <c:pt idx="5">
                  <c:v>13197.815999999999</c:v>
                </c:pt>
                <c:pt idx="6">
                  <c:v>13197.815999999999</c:v>
                </c:pt>
                <c:pt idx="7">
                  <c:v>13197.815999999999</c:v>
                </c:pt>
                <c:pt idx="8">
                  <c:v>13197.815999999999</c:v>
                </c:pt>
                <c:pt idx="9">
                  <c:v>13197.815999999999</c:v>
                </c:pt>
                <c:pt idx="10">
                  <c:v>13197.815999999999</c:v>
                </c:pt>
                <c:pt idx="11">
                  <c:v>13197.815999999999</c:v>
                </c:pt>
                <c:pt idx="12">
                  <c:v>13197.815999999999</c:v>
                </c:pt>
                <c:pt idx="13">
                  <c:v>13197.815999999999</c:v>
                </c:pt>
                <c:pt idx="14">
                  <c:v>13197.815999999999</c:v>
                </c:pt>
                <c:pt idx="15">
                  <c:v>13197.815999999999</c:v>
                </c:pt>
                <c:pt idx="16">
                  <c:v>13197.815999999999</c:v>
                </c:pt>
                <c:pt idx="17">
                  <c:v>13197.815999999999</c:v>
                </c:pt>
                <c:pt idx="18">
                  <c:v>13197.815999999999</c:v>
                </c:pt>
                <c:pt idx="19">
                  <c:v>13197.815999999999</c:v>
                </c:pt>
                <c:pt idx="20">
                  <c:v>13197.815999999999</c:v>
                </c:pt>
                <c:pt idx="21">
                  <c:v>13197.815999999999</c:v>
                </c:pt>
                <c:pt idx="22">
                  <c:v>13197.815999999999</c:v>
                </c:pt>
                <c:pt idx="23">
                  <c:v>13197.815999999999</c:v>
                </c:pt>
                <c:pt idx="24">
                  <c:v>13197.815999999999</c:v>
                </c:pt>
                <c:pt idx="25">
                  <c:v>13197.815999999999</c:v>
                </c:pt>
              </c:numCache>
            </c:numRef>
          </c:val>
        </c:ser>
        <c:ser>
          <c:idx val="4"/>
          <c:order val="4"/>
          <c:tx>
            <c:strRef>
              <c:f>'Output tables'!$A$42</c:f>
              <c:strCache>
                <c:ptCount val="1"/>
                <c:pt idx="0">
                  <c:v>Hydro</c:v>
                </c:pt>
              </c:strCache>
            </c:strRef>
          </c:tx>
          <c:cat>
            <c:numRef>
              <c:f>'Output tables'!$B$37:$AA$37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tables'!$B$42:$AA$42</c:f>
              <c:numCache>
                <c:formatCode>General</c:formatCode>
                <c:ptCount val="26"/>
                <c:pt idx="0">
                  <c:v>878.42652000000021</c:v>
                </c:pt>
                <c:pt idx="1">
                  <c:v>878.42652000000021</c:v>
                </c:pt>
                <c:pt idx="2">
                  <c:v>878.42652000000021</c:v>
                </c:pt>
                <c:pt idx="3">
                  <c:v>878.42652000000021</c:v>
                </c:pt>
                <c:pt idx="4">
                  <c:v>878.42652000000021</c:v>
                </c:pt>
                <c:pt idx="5">
                  <c:v>878.42652000000021</c:v>
                </c:pt>
                <c:pt idx="6">
                  <c:v>878.42652000000021</c:v>
                </c:pt>
                <c:pt idx="7">
                  <c:v>878.42652000000021</c:v>
                </c:pt>
                <c:pt idx="8">
                  <c:v>878.42652000000021</c:v>
                </c:pt>
                <c:pt idx="9">
                  <c:v>878.42652000000021</c:v>
                </c:pt>
                <c:pt idx="10">
                  <c:v>878.42652000000021</c:v>
                </c:pt>
                <c:pt idx="11">
                  <c:v>878.42652000000021</c:v>
                </c:pt>
                <c:pt idx="12">
                  <c:v>878.42652000000021</c:v>
                </c:pt>
                <c:pt idx="13">
                  <c:v>878.42652000000021</c:v>
                </c:pt>
                <c:pt idx="14">
                  <c:v>878.42652000000021</c:v>
                </c:pt>
                <c:pt idx="15">
                  <c:v>878.42652000000021</c:v>
                </c:pt>
                <c:pt idx="16">
                  <c:v>878.42652000000021</c:v>
                </c:pt>
                <c:pt idx="17">
                  <c:v>878.42652000000021</c:v>
                </c:pt>
                <c:pt idx="18">
                  <c:v>878.42652000000021</c:v>
                </c:pt>
                <c:pt idx="19">
                  <c:v>878.42652000000021</c:v>
                </c:pt>
                <c:pt idx="20">
                  <c:v>878.42652000000021</c:v>
                </c:pt>
                <c:pt idx="21">
                  <c:v>878.42652000000021</c:v>
                </c:pt>
                <c:pt idx="22">
                  <c:v>878.42652000000021</c:v>
                </c:pt>
                <c:pt idx="23">
                  <c:v>878.42652000000021</c:v>
                </c:pt>
                <c:pt idx="24">
                  <c:v>878.42652000000021</c:v>
                </c:pt>
                <c:pt idx="25">
                  <c:v>878.42652000000021</c:v>
                </c:pt>
              </c:numCache>
            </c:numRef>
          </c:val>
        </c:ser>
        <c:ser>
          <c:idx val="5"/>
          <c:order val="5"/>
          <c:tx>
            <c:strRef>
              <c:f>'Output tables'!$A$43</c:f>
              <c:strCache>
                <c:ptCount val="1"/>
                <c:pt idx="0">
                  <c:v>Landfill gas</c:v>
                </c:pt>
              </c:strCache>
            </c:strRef>
          </c:tx>
          <c:cat>
            <c:numRef>
              <c:f>'Output tables'!$B$37:$AA$37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tables'!$B$43:$AA$43</c:f>
              <c:numCache>
                <c:formatCode>General</c:formatCode>
                <c:ptCount val="26"/>
                <c:pt idx="0">
                  <c:v>524.66925000000003</c:v>
                </c:pt>
                <c:pt idx="1">
                  <c:v>524.66925000000003</c:v>
                </c:pt>
                <c:pt idx="2">
                  <c:v>524.66925000000003</c:v>
                </c:pt>
                <c:pt idx="3">
                  <c:v>524.66925000000003</c:v>
                </c:pt>
                <c:pt idx="4">
                  <c:v>524.66925000000003</c:v>
                </c:pt>
                <c:pt idx="5">
                  <c:v>524.66925000000003</c:v>
                </c:pt>
                <c:pt idx="6">
                  <c:v>524.66925000000003</c:v>
                </c:pt>
                <c:pt idx="7">
                  <c:v>524.66925000000003</c:v>
                </c:pt>
                <c:pt idx="8">
                  <c:v>524.66925000000003</c:v>
                </c:pt>
                <c:pt idx="9">
                  <c:v>524.66925000000003</c:v>
                </c:pt>
                <c:pt idx="10">
                  <c:v>524.66925000000003</c:v>
                </c:pt>
                <c:pt idx="11">
                  <c:v>524.66925000000003</c:v>
                </c:pt>
                <c:pt idx="12">
                  <c:v>524.66925000000003</c:v>
                </c:pt>
                <c:pt idx="13">
                  <c:v>524.66925000000003</c:v>
                </c:pt>
                <c:pt idx="14">
                  <c:v>524.66925000000003</c:v>
                </c:pt>
                <c:pt idx="15">
                  <c:v>524.66925000000003</c:v>
                </c:pt>
                <c:pt idx="16">
                  <c:v>524.66925000000003</c:v>
                </c:pt>
                <c:pt idx="17">
                  <c:v>524.66925000000003</c:v>
                </c:pt>
                <c:pt idx="18">
                  <c:v>524.66925000000003</c:v>
                </c:pt>
                <c:pt idx="19">
                  <c:v>524.66925000000003</c:v>
                </c:pt>
                <c:pt idx="20">
                  <c:v>524.66925000000003</c:v>
                </c:pt>
                <c:pt idx="21">
                  <c:v>524.66925000000003</c:v>
                </c:pt>
                <c:pt idx="22">
                  <c:v>524.66925000000003</c:v>
                </c:pt>
                <c:pt idx="23">
                  <c:v>524.66925000000003</c:v>
                </c:pt>
                <c:pt idx="24">
                  <c:v>524.66925000000003</c:v>
                </c:pt>
                <c:pt idx="25">
                  <c:v>524.66925000000003</c:v>
                </c:pt>
              </c:numCache>
            </c:numRef>
          </c:val>
        </c:ser>
        <c:ser>
          <c:idx val="6"/>
          <c:order val="6"/>
          <c:tx>
            <c:strRef>
              <c:f>'Output tables'!$A$44</c:f>
              <c:strCache>
                <c:ptCount val="1"/>
                <c:pt idx="0">
                  <c:v>Biomass</c:v>
                </c:pt>
              </c:strCache>
            </c:strRef>
          </c:tx>
          <c:cat>
            <c:numRef>
              <c:f>'Output tables'!$B$37:$AA$37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tables'!$B$44:$AA$44</c:f>
              <c:numCache>
                <c:formatCode>General</c:formatCode>
                <c:ptCount val="26"/>
                <c:pt idx="0">
                  <c:v>1502.121000000029</c:v>
                </c:pt>
                <c:pt idx="1">
                  <c:v>1502.1209999999999</c:v>
                </c:pt>
                <c:pt idx="2">
                  <c:v>1502.1209999999999</c:v>
                </c:pt>
                <c:pt idx="3">
                  <c:v>1502.1209999999999</c:v>
                </c:pt>
                <c:pt idx="4">
                  <c:v>1502.1209999999999</c:v>
                </c:pt>
                <c:pt idx="5">
                  <c:v>1502.1209999999999</c:v>
                </c:pt>
                <c:pt idx="6">
                  <c:v>1502.1209999999999</c:v>
                </c:pt>
                <c:pt idx="7">
                  <c:v>1502.1209999999999</c:v>
                </c:pt>
                <c:pt idx="8">
                  <c:v>1502.1209999999999</c:v>
                </c:pt>
                <c:pt idx="9">
                  <c:v>1502.1209999999999</c:v>
                </c:pt>
                <c:pt idx="10">
                  <c:v>1502.1209999999999</c:v>
                </c:pt>
                <c:pt idx="11">
                  <c:v>1502.1209999999999</c:v>
                </c:pt>
                <c:pt idx="12">
                  <c:v>1502.1209999999999</c:v>
                </c:pt>
                <c:pt idx="13">
                  <c:v>1502.1209999999999</c:v>
                </c:pt>
                <c:pt idx="14">
                  <c:v>1502.1209999999999</c:v>
                </c:pt>
                <c:pt idx="15">
                  <c:v>1502.1209999999999</c:v>
                </c:pt>
                <c:pt idx="16">
                  <c:v>1502.1209999999999</c:v>
                </c:pt>
                <c:pt idx="17">
                  <c:v>1502.1209999999999</c:v>
                </c:pt>
                <c:pt idx="18">
                  <c:v>1502.1209999999999</c:v>
                </c:pt>
                <c:pt idx="19">
                  <c:v>1502.1209999999999</c:v>
                </c:pt>
                <c:pt idx="20">
                  <c:v>1502.1209999999999</c:v>
                </c:pt>
                <c:pt idx="21">
                  <c:v>1502.1209999999999</c:v>
                </c:pt>
                <c:pt idx="22">
                  <c:v>1502.1209999999999</c:v>
                </c:pt>
                <c:pt idx="23">
                  <c:v>1502.1209999999999</c:v>
                </c:pt>
                <c:pt idx="24">
                  <c:v>1502.1209999999999</c:v>
                </c:pt>
                <c:pt idx="25">
                  <c:v>1502.1209999999999</c:v>
                </c:pt>
              </c:numCache>
            </c:numRef>
          </c:val>
        </c:ser>
        <c:ser>
          <c:idx val="7"/>
          <c:order val="7"/>
          <c:tx>
            <c:strRef>
              <c:f>'Output tables'!$A$45</c:f>
              <c:strCache>
                <c:ptCount val="1"/>
                <c:pt idx="0">
                  <c:v>Supercritical coal</c:v>
                </c:pt>
              </c:strCache>
            </c:strRef>
          </c:tx>
          <c:cat>
            <c:numRef>
              <c:f>'Output tables'!$B$37:$AA$37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tables'!$B$45:$AA$45</c:f>
              <c:numCache>
                <c:formatCode>General</c:formatCode>
                <c:ptCount val="26"/>
                <c:pt idx="0">
                  <c:v>0</c:v>
                </c:pt>
                <c:pt idx="1">
                  <c:v>0</c:v>
                </c:pt>
                <c:pt idx="2">
                  <c:v>0</c:v>
                </c:pt>
                <c:pt idx="3">
                  <c:v>0</c:v>
                </c:pt>
                <c:pt idx="4">
                  <c:v>0</c:v>
                </c:pt>
                <c:pt idx="5">
                  <c:v>0</c:v>
                </c:pt>
                <c:pt idx="6">
                  <c:v>0</c:v>
                </c:pt>
                <c:pt idx="7">
                  <c:v>1693.7365830000003</c:v>
                </c:pt>
                <c:pt idx="8">
                  <c:v>5081.2097490000015</c:v>
                </c:pt>
                <c:pt idx="9">
                  <c:v>13787.838002241275</c:v>
                </c:pt>
                <c:pt idx="10">
                  <c:v>22109.866176129231</c:v>
                </c:pt>
                <c:pt idx="11">
                  <c:v>30973.848045042821</c:v>
                </c:pt>
                <c:pt idx="12">
                  <c:v>39693.39423489997</c:v>
                </c:pt>
                <c:pt idx="13">
                  <c:v>48912.77667558215</c:v>
                </c:pt>
                <c:pt idx="14">
                  <c:v>58560.11668383942</c:v>
                </c:pt>
                <c:pt idx="15">
                  <c:v>70157.919939841871</c:v>
                </c:pt>
                <c:pt idx="16">
                  <c:v>82258.573337745125</c:v>
                </c:pt>
                <c:pt idx="17">
                  <c:v>92501.989315475454</c:v>
                </c:pt>
                <c:pt idx="18">
                  <c:v>103258.67878333401</c:v>
                </c:pt>
                <c:pt idx="19">
                  <c:v>123284.62132491726</c:v>
                </c:pt>
                <c:pt idx="20">
                  <c:v>144735.49546189455</c:v>
                </c:pt>
                <c:pt idx="21">
                  <c:v>169111.17186129716</c:v>
                </c:pt>
                <c:pt idx="22">
                  <c:v>193300.59446743844</c:v>
                </c:pt>
                <c:pt idx="23">
                  <c:v>220195.14662336902</c:v>
                </c:pt>
                <c:pt idx="24">
                  <c:v>260340.97143911308</c:v>
                </c:pt>
                <c:pt idx="25">
                  <c:v>284022.13653434324</c:v>
                </c:pt>
              </c:numCache>
            </c:numRef>
          </c:val>
        </c:ser>
        <c:ser>
          <c:idx val="8"/>
          <c:order val="8"/>
          <c:tx>
            <c:strRef>
              <c:f>'Output tables'!$A$46</c:f>
              <c:strCache>
                <c:ptCount val="1"/>
                <c:pt idx="0">
                  <c:v>Wind 30% </c:v>
                </c:pt>
              </c:strCache>
            </c:strRef>
          </c:tx>
          <c:cat>
            <c:numRef>
              <c:f>'Output tables'!$B$37:$AA$37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tables'!$B$46:$AA$46</c:f>
              <c:numCache>
                <c:formatCode>General</c:formatCode>
                <c:ptCount val="26"/>
                <c:pt idx="0">
                  <c:v>0</c:v>
                </c:pt>
                <c:pt idx="1">
                  <c:v>0</c:v>
                </c:pt>
                <c:pt idx="2">
                  <c:v>0</c:v>
                </c:pt>
                <c:pt idx="3">
                  <c:v>0</c:v>
                </c:pt>
                <c:pt idx="4">
                  <c:v>0</c:v>
                </c:pt>
                <c:pt idx="5">
                  <c:v>262.8</c:v>
                </c:pt>
                <c:pt idx="6">
                  <c:v>262.8</c:v>
                </c:pt>
                <c:pt idx="7">
                  <c:v>262.8</c:v>
                </c:pt>
                <c:pt idx="8">
                  <c:v>262.8</c:v>
                </c:pt>
                <c:pt idx="9">
                  <c:v>262.8</c:v>
                </c:pt>
                <c:pt idx="10">
                  <c:v>262.8</c:v>
                </c:pt>
                <c:pt idx="11">
                  <c:v>262.8</c:v>
                </c:pt>
                <c:pt idx="12">
                  <c:v>262.8</c:v>
                </c:pt>
                <c:pt idx="13">
                  <c:v>262.8</c:v>
                </c:pt>
                <c:pt idx="14">
                  <c:v>262.8</c:v>
                </c:pt>
                <c:pt idx="15">
                  <c:v>262.8</c:v>
                </c:pt>
                <c:pt idx="16">
                  <c:v>262.8</c:v>
                </c:pt>
                <c:pt idx="17">
                  <c:v>262.8</c:v>
                </c:pt>
                <c:pt idx="18">
                  <c:v>262.8</c:v>
                </c:pt>
                <c:pt idx="19">
                  <c:v>262.8</c:v>
                </c:pt>
                <c:pt idx="20">
                  <c:v>262.8</c:v>
                </c:pt>
                <c:pt idx="21">
                  <c:v>262.8</c:v>
                </c:pt>
                <c:pt idx="22">
                  <c:v>262.8</c:v>
                </c:pt>
                <c:pt idx="23">
                  <c:v>262.8</c:v>
                </c:pt>
                <c:pt idx="24">
                  <c:v>262.8</c:v>
                </c:pt>
                <c:pt idx="25">
                  <c:v>0</c:v>
                </c:pt>
              </c:numCache>
            </c:numRef>
          </c:val>
        </c:ser>
        <c:ser>
          <c:idx val="9"/>
          <c:order val="9"/>
          <c:tx>
            <c:strRef>
              <c:f>'Output tables'!$A$47</c:f>
              <c:strCache>
                <c:ptCount val="1"/>
                <c:pt idx="0">
                  <c:v>Wind 25%</c:v>
                </c:pt>
              </c:strCache>
            </c:strRef>
          </c:tx>
          <c:cat>
            <c:numRef>
              <c:f>'Output tables'!$B$37:$AA$37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tables'!$B$47:$AA$47</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0"/>
          <c:order val="10"/>
          <c:tx>
            <c:strRef>
              <c:f>'Output tables'!$A$48</c:f>
              <c:strCache>
                <c:ptCount val="1"/>
                <c:pt idx="0">
                  <c:v>solar thermal central reciever</c:v>
                </c:pt>
              </c:strCache>
            </c:strRef>
          </c:tx>
          <c:cat>
            <c:numRef>
              <c:f>'Output tables'!$B$37:$AA$37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tables'!$B$48:$AA$48</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1"/>
          <c:order val="11"/>
          <c:tx>
            <c:strRef>
              <c:f>'Output tables'!$A$49</c:f>
              <c:strCache>
                <c:ptCount val="1"/>
                <c:pt idx="0">
                  <c:v>solar thermal trough</c:v>
                </c:pt>
              </c:strCache>
            </c:strRef>
          </c:tx>
          <c:cat>
            <c:numRef>
              <c:f>'Output tables'!$B$37:$AA$37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tables'!$B$49:$AA$49</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2"/>
          <c:order val="12"/>
          <c:tx>
            <c:strRef>
              <c:f>'Output tables'!$A$50</c:f>
              <c:strCache>
                <c:ptCount val="1"/>
                <c:pt idx="0">
                  <c:v>solar PV</c:v>
                </c:pt>
              </c:strCache>
            </c:strRef>
          </c:tx>
          <c:cat>
            <c:numRef>
              <c:f>'Output tables'!$B$37:$AA$37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tables'!$B$50:$AA$50</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3"/>
          <c:order val="13"/>
          <c:tx>
            <c:strRef>
              <c:f>'Output tables'!$A$51</c:f>
              <c:strCache>
                <c:ptCount val="1"/>
                <c:pt idx="0">
                  <c:v>combined cycle gas</c:v>
                </c:pt>
              </c:strCache>
            </c:strRef>
          </c:tx>
          <c:cat>
            <c:numRef>
              <c:f>'Output tables'!$B$37:$AA$37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tables'!$B$51:$AA$51</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4"/>
          <c:order val="14"/>
          <c:tx>
            <c:strRef>
              <c:f>'Output tables'!$A$52</c:f>
              <c:strCache>
                <c:ptCount val="1"/>
                <c:pt idx="0">
                  <c:v>PBMR</c:v>
                </c:pt>
              </c:strCache>
            </c:strRef>
          </c:tx>
          <c:cat>
            <c:numRef>
              <c:f>'Output tables'!$B$37:$AA$37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tables'!$B$52:$AA$52</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5"/>
          <c:order val="15"/>
          <c:tx>
            <c:strRef>
              <c:f>'Output tables'!$A$53</c:f>
              <c:strCache>
                <c:ptCount val="1"/>
                <c:pt idx="0">
                  <c:v>IGCC</c:v>
                </c:pt>
              </c:strCache>
            </c:strRef>
          </c:tx>
          <c:cat>
            <c:numRef>
              <c:f>'Output tables'!$B$37:$AA$37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tables'!$B$53:$AA$53</c:f>
              <c:numCache>
                <c:formatCode>General</c:formatCode>
                <c:ptCount val="26"/>
                <c:pt idx="0">
                  <c:v>0</c:v>
                </c:pt>
                <c:pt idx="1">
                  <c:v>2.9103830456733704E-11</c:v>
                </c:pt>
                <c:pt idx="2">
                  <c:v>0</c:v>
                </c:pt>
                <c:pt idx="3">
                  <c:v>2.9103830456733704E-11</c:v>
                </c:pt>
                <c:pt idx="4">
                  <c:v>2.9103830456733704E-11</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6"/>
          <c:order val="16"/>
          <c:tx>
            <c:strRef>
              <c:f>'Output tables'!$A$54</c:f>
              <c:strCache>
                <c:ptCount val="1"/>
                <c:pt idx="0">
                  <c:v>-</c:v>
                </c:pt>
              </c:strCache>
            </c:strRef>
          </c:tx>
          <c:cat>
            <c:numRef>
              <c:f>'Output tables'!$B$37:$AA$37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tables'!$B$54:$AA$54</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7"/>
          <c:order val="17"/>
          <c:tx>
            <c:strRef>
              <c:f>'Output tables'!$A$55</c:f>
              <c:strCache>
                <c:ptCount val="1"/>
                <c:pt idx="0">
                  <c:v>-</c:v>
                </c:pt>
              </c:strCache>
            </c:strRef>
          </c:tx>
          <c:cat>
            <c:numRef>
              <c:f>'Output tables'!$B$37:$AA$37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tables'!$B$55:$AA$55</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8"/>
          <c:order val="18"/>
          <c:tx>
            <c:strRef>
              <c:f>'Output tables'!$A$56</c:f>
              <c:strCache>
                <c:ptCount val="1"/>
                <c:pt idx="0">
                  <c:v>-</c:v>
                </c:pt>
              </c:strCache>
            </c:strRef>
          </c:tx>
          <c:cat>
            <c:numRef>
              <c:f>'Output tables'!$B$37:$AA$37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tables'!$B$56:$AA$56</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9"/>
          <c:order val="19"/>
          <c:tx>
            <c:strRef>
              <c:f>'Output tables'!$A$57</c:f>
              <c:strCache>
                <c:ptCount val="1"/>
                <c:pt idx="0">
                  <c:v>Pumped storage</c:v>
                </c:pt>
              </c:strCache>
            </c:strRef>
          </c:tx>
          <c:cat>
            <c:numRef>
              <c:f>'Output tables'!$B$37:$AA$37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tables'!$B$57:$AA$57</c:f>
              <c:numCache>
                <c:formatCode>General</c:formatCode>
                <c:ptCount val="26"/>
                <c:pt idx="0">
                  <c:v>3096.0000000000005</c:v>
                </c:pt>
                <c:pt idx="1">
                  <c:v>3096.0000000000005</c:v>
                </c:pt>
                <c:pt idx="2">
                  <c:v>3096.0000000000005</c:v>
                </c:pt>
                <c:pt idx="3">
                  <c:v>3096.0000000000005</c:v>
                </c:pt>
                <c:pt idx="4">
                  <c:v>3096.0000000000005</c:v>
                </c:pt>
                <c:pt idx="5">
                  <c:v>3096.0000000000005</c:v>
                </c:pt>
                <c:pt idx="6">
                  <c:v>3096.0000000000005</c:v>
                </c:pt>
                <c:pt idx="7">
                  <c:v>3096.0000000000005</c:v>
                </c:pt>
                <c:pt idx="8">
                  <c:v>4401.0227848101276</c:v>
                </c:pt>
                <c:pt idx="9">
                  <c:v>5706.0455696202544</c:v>
                </c:pt>
                <c:pt idx="10">
                  <c:v>5706.0455696202544</c:v>
                </c:pt>
                <c:pt idx="11">
                  <c:v>5706.0455696202544</c:v>
                </c:pt>
                <c:pt idx="12">
                  <c:v>5706.0455696202544</c:v>
                </c:pt>
                <c:pt idx="13">
                  <c:v>5706.0455696202544</c:v>
                </c:pt>
                <c:pt idx="14">
                  <c:v>5706.0455696202544</c:v>
                </c:pt>
                <c:pt idx="15">
                  <c:v>5706.0455696202544</c:v>
                </c:pt>
                <c:pt idx="16">
                  <c:v>5706.0455696202544</c:v>
                </c:pt>
                <c:pt idx="17">
                  <c:v>5706.0455696202544</c:v>
                </c:pt>
                <c:pt idx="18">
                  <c:v>5706.0455696202544</c:v>
                </c:pt>
                <c:pt idx="19">
                  <c:v>5706.0455696202544</c:v>
                </c:pt>
                <c:pt idx="20">
                  <c:v>5706.0455696202544</c:v>
                </c:pt>
                <c:pt idx="21">
                  <c:v>5706.0455696202544</c:v>
                </c:pt>
                <c:pt idx="22">
                  <c:v>5706.0455696202544</c:v>
                </c:pt>
                <c:pt idx="23">
                  <c:v>5706.0455696202544</c:v>
                </c:pt>
                <c:pt idx="24">
                  <c:v>5706.0455696202544</c:v>
                </c:pt>
                <c:pt idx="25">
                  <c:v>5706.0455696202544</c:v>
                </c:pt>
              </c:numCache>
            </c:numRef>
          </c:val>
        </c:ser>
        <c:axId val="104812544"/>
        <c:axId val="104814080"/>
      </c:areaChart>
      <c:catAx>
        <c:axId val="104812544"/>
        <c:scaling>
          <c:orientation val="minMax"/>
        </c:scaling>
        <c:axPos val="b"/>
        <c:numFmt formatCode="General" sourceLinked="1"/>
        <c:tickLblPos val="nextTo"/>
        <c:txPr>
          <a:bodyPr rot="-5400000" vert="horz"/>
          <a:lstStyle/>
          <a:p>
            <a:pPr>
              <a:defRPr lang="en-ZA" sz="1000" b="0" i="0" u="none" strike="noStrike" baseline="0">
                <a:solidFill>
                  <a:srgbClr val="000000"/>
                </a:solidFill>
                <a:latin typeface="Calibri"/>
                <a:ea typeface="Calibri"/>
                <a:cs typeface="Calibri"/>
              </a:defRPr>
            </a:pPr>
            <a:endParaRPr lang="en-US"/>
          </a:p>
        </c:txPr>
        <c:crossAx val="104814080"/>
        <c:crosses val="autoZero"/>
        <c:auto val="1"/>
        <c:lblAlgn val="ctr"/>
        <c:lblOffset val="100"/>
      </c:catAx>
      <c:valAx>
        <c:axId val="104814080"/>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GWh</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4812544"/>
        <c:crosses val="autoZero"/>
        <c:crossBetween val="midCat"/>
      </c:valAx>
    </c:plotArea>
    <c:legend>
      <c:legendPos val="b"/>
      <c:layout>
        <c:manualLayout>
          <c:xMode val="edge"/>
          <c:yMode val="edge"/>
          <c:x val="9.3619530435408004E-3"/>
          <c:y val="0.64294084626704995"/>
          <c:w val="0.99063804695645918"/>
          <c:h val="0.35705874915924607"/>
        </c:manualLayout>
      </c:layout>
      <c:txPr>
        <a:bodyPr/>
        <a:lstStyle/>
        <a:p>
          <a:pPr>
            <a:defRPr lang="en-ZA" sz="845" b="0" i="0" u="none" strike="noStrike" baseline="0">
              <a:solidFill>
                <a:srgbClr val="000000"/>
              </a:solidFill>
              <a:latin typeface="Calibri"/>
              <a:ea typeface="Calibri"/>
              <a:cs typeface="Calibri"/>
            </a:defRPr>
          </a:pPr>
          <a:endParaRPr lang="en-US"/>
        </a:p>
      </c:txPr>
    </c:legend>
    <c:plotVisOnly val="1"/>
    <c:dispBlanksAs val="zero"/>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2" l="0.70000000000000062" r="0.70000000000000062" t="0.750000000000002"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lang val="en-ZA"/>
  <c:chart>
    <c:plotArea>
      <c:layout/>
      <c:barChart>
        <c:barDir val="col"/>
        <c:grouping val="clustered"/>
        <c:ser>
          <c:idx val="0"/>
          <c:order val="0"/>
          <c:tx>
            <c:strRef>
              <c:f>'Output tables'!$A$66</c:f>
              <c:strCache>
                <c:ptCount val="1"/>
                <c:pt idx="0">
                  <c:v>Supercritical coal capacity</c:v>
                </c:pt>
              </c:strCache>
            </c:strRef>
          </c:tx>
          <c:spPr>
            <a:solidFill>
              <a:schemeClr val="accent3">
                <a:lumMod val="60000"/>
                <a:lumOff val="40000"/>
              </a:schemeClr>
            </a:solidFill>
          </c:spPr>
          <c:cat>
            <c:numRef>
              <c:f>'Output tables'!$B$65:$AA$65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tables'!$B$66:$AA$66</c:f>
              <c:numCache>
                <c:formatCode>General</c:formatCode>
                <c:ptCount val="26"/>
                <c:pt idx="0">
                  <c:v>0</c:v>
                </c:pt>
                <c:pt idx="1">
                  <c:v>0</c:v>
                </c:pt>
                <c:pt idx="2">
                  <c:v>0</c:v>
                </c:pt>
                <c:pt idx="3">
                  <c:v>0</c:v>
                </c:pt>
                <c:pt idx="4">
                  <c:v>0</c:v>
                </c:pt>
                <c:pt idx="5">
                  <c:v>0</c:v>
                </c:pt>
                <c:pt idx="6">
                  <c:v>0</c:v>
                </c:pt>
                <c:pt idx="7">
                  <c:v>0.79400000000000004</c:v>
                </c:pt>
                <c:pt idx="8">
                  <c:v>2.3820000000000001</c:v>
                </c:pt>
                <c:pt idx="9">
                  <c:v>4.7640000000000002</c:v>
                </c:pt>
                <c:pt idx="10">
                  <c:v>7.1460000000000008</c:v>
                </c:pt>
                <c:pt idx="11">
                  <c:v>8.7340000000000018</c:v>
                </c:pt>
                <c:pt idx="12">
                  <c:v>10.322000000000003</c:v>
                </c:pt>
                <c:pt idx="13">
                  <c:v>12.704000000000002</c:v>
                </c:pt>
                <c:pt idx="14">
                  <c:v>15.086000000000002</c:v>
                </c:pt>
                <c:pt idx="15">
                  <c:v>17.468000000000004</c:v>
                </c:pt>
                <c:pt idx="16">
                  <c:v>20.644000000000005</c:v>
                </c:pt>
                <c:pt idx="17">
                  <c:v>23.820000000000007</c:v>
                </c:pt>
                <c:pt idx="18">
                  <c:v>26.202000000000009</c:v>
                </c:pt>
                <c:pt idx="19">
                  <c:v>29.378000000000007</c:v>
                </c:pt>
                <c:pt idx="20">
                  <c:v>32.554000000000009</c:v>
                </c:pt>
                <c:pt idx="21">
                  <c:v>36.524000000000008</c:v>
                </c:pt>
                <c:pt idx="22">
                  <c:v>40.494000000000007</c:v>
                </c:pt>
                <c:pt idx="23">
                  <c:v>44.464000000000006</c:v>
                </c:pt>
                <c:pt idx="24">
                  <c:v>49.228000000000009</c:v>
                </c:pt>
                <c:pt idx="25">
                  <c:v>53.992000000000012</c:v>
                </c:pt>
              </c:numCache>
            </c:numRef>
          </c:val>
        </c:ser>
        <c:ser>
          <c:idx val="1"/>
          <c:order val="1"/>
          <c:tx>
            <c:strRef>
              <c:f>'Output tables'!$A$67</c:f>
              <c:strCache>
                <c:ptCount val="1"/>
                <c:pt idx="0">
                  <c:v>Existing coal Large capacity</c:v>
                </c:pt>
              </c:strCache>
            </c:strRef>
          </c:tx>
          <c:cat>
            <c:numRef>
              <c:f>'Output tables'!$B$65:$AA$65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tables'!$B$67:$AA$67</c:f>
              <c:numCache>
                <c:formatCode>General</c:formatCode>
                <c:ptCount val="26"/>
                <c:pt idx="0">
                  <c:v>30.471</c:v>
                </c:pt>
                <c:pt idx="1">
                  <c:v>30.471</c:v>
                </c:pt>
                <c:pt idx="2">
                  <c:v>30.471</c:v>
                </c:pt>
                <c:pt idx="3">
                  <c:v>30.471</c:v>
                </c:pt>
                <c:pt idx="4">
                  <c:v>30.471</c:v>
                </c:pt>
                <c:pt idx="5">
                  <c:v>30.471</c:v>
                </c:pt>
                <c:pt idx="6">
                  <c:v>30.471</c:v>
                </c:pt>
                <c:pt idx="7">
                  <c:v>30.471</c:v>
                </c:pt>
                <c:pt idx="8">
                  <c:v>30.471</c:v>
                </c:pt>
                <c:pt idx="9">
                  <c:v>30.471</c:v>
                </c:pt>
                <c:pt idx="10">
                  <c:v>30.471</c:v>
                </c:pt>
                <c:pt idx="11">
                  <c:v>30.471</c:v>
                </c:pt>
                <c:pt idx="12">
                  <c:v>30.471</c:v>
                </c:pt>
                <c:pt idx="13">
                  <c:v>30.471</c:v>
                </c:pt>
                <c:pt idx="14">
                  <c:v>30.471</c:v>
                </c:pt>
                <c:pt idx="15">
                  <c:v>30.471</c:v>
                </c:pt>
                <c:pt idx="16">
                  <c:v>30.471</c:v>
                </c:pt>
                <c:pt idx="17">
                  <c:v>30.471</c:v>
                </c:pt>
                <c:pt idx="18">
                  <c:v>30.471</c:v>
                </c:pt>
                <c:pt idx="19">
                  <c:v>29.331</c:v>
                </c:pt>
                <c:pt idx="20">
                  <c:v>28.190999999999999</c:v>
                </c:pt>
                <c:pt idx="21">
                  <c:v>26.765999999999998</c:v>
                </c:pt>
                <c:pt idx="22">
                  <c:v>25.340999999999998</c:v>
                </c:pt>
                <c:pt idx="23">
                  <c:v>23.615999999999996</c:v>
                </c:pt>
                <c:pt idx="24">
                  <c:v>20.165999999999997</c:v>
                </c:pt>
                <c:pt idx="25">
                  <c:v>18.440999999999995</c:v>
                </c:pt>
              </c:numCache>
            </c:numRef>
          </c:val>
        </c:ser>
        <c:axId val="104924672"/>
        <c:axId val="104926208"/>
      </c:barChart>
      <c:lineChart>
        <c:grouping val="standard"/>
        <c:ser>
          <c:idx val="2"/>
          <c:order val="2"/>
          <c:tx>
            <c:strRef>
              <c:f>'Output tables'!$A$68</c:f>
              <c:strCache>
                <c:ptCount val="1"/>
                <c:pt idx="0">
                  <c:v>Supercritical coal output</c:v>
                </c:pt>
              </c:strCache>
            </c:strRef>
          </c:tx>
          <c:marker>
            <c:symbol val="none"/>
          </c:marker>
          <c:cat>
            <c:numRef>
              <c:f>'Output tables'!$B$65:$AA$65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tables'!$B$68:$AA$68</c:f>
              <c:numCache>
                <c:formatCode>General</c:formatCode>
                <c:ptCount val="26"/>
                <c:pt idx="0">
                  <c:v>0</c:v>
                </c:pt>
                <c:pt idx="1">
                  <c:v>0</c:v>
                </c:pt>
                <c:pt idx="2">
                  <c:v>0</c:v>
                </c:pt>
                <c:pt idx="3">
                  <c:v>0</c:v>
                </c:pt>
                <c:pt idx="4">
                  <c:v>0</c:v>
                </c:pt>
                <c:pt idx="5">
                  <c:v>0</c:v>
                </c:pt>
                <c:pt idx="6">
                  <c:v>0</c:v>
                </c:pt>
                <c:pt idx="7">
                  <c:v>1693.7365830000003</c:v>
                </c:pt>
                <c:pt idx="8">
                  <c:v>5081.2097490000015</c:v>
                </c:pt>
                <c:pt idx="9">
                  <c:v>13787.838002241275</c:v>
                </c:pt>
                <c:pt idx="10">
                  <c:v>22109.866176129231</c:v>
                </c:pt>
                <c:pt idx="11">
                  <c:v>30973.848045042821</c:v>
                </c:pt>
                <c:pt idx="12">
                  <c:v>39693.39423489997</c:v>
                </c:pt>
                <c:pt idx="13">
                  <c:v>48912.77667558215</c:v>
                </c:pt>
                <c:pt idx="14">
                  <c:v>58560.11668383942</c:v>
                </c:pt>
                <c:pt idx="15">
                  <c:v>70157.919939841871</c:v>
                </c:pt>
                <c:pt idx="16">
                  <c:v>82258.573337745125</c:v>
                </c:pt>
                <c:pt idx="17">
                  <c:v>92501.989315475454</c:v>
                </c:pt>
                <c:pt idx="18">
                  <c:v>103258.67878333401</c:v>
                </c:pt>
                <c:pt idx="19">
                  <c:v>123284.62132491726</c:v>
                </c:pt>
                <c:pt idx="20">
                  <c:v>144735.49546189455</c:v>
                </c:pt>
                <c:pt idx="21">
                  <c:v>169111.17186129716</c:v>
                </c:pt>
                <c:pt idx="22">
                  <c:v>193300.59446743844</c:v>
                </c:pt>
                <c:pt idx="23">
                  <c:v>220195.14662336902</c:v>
                </c:pt>
                <c:pt idx="24">
                  <c:v>260340.97143911308</c:v>
                </c:pt>
                <c:pt idx="25">
                  <c:v>284022.13653434324</c:v>
                </c:pt>
              </c:numCache>
            </c:numRef>
          </c:val>
        </c:ser>
        <c:ser>
          <c:idx val="3"/>
          <c:order val="3"/>
          <c:tx>
            <c:strRef>
              <c:f>'Output tables'!$A$69</c:f>
              <c:strCache>
                <c:ptCount val="1"/>
                <c:pt idx="0">
                  <c:v>Existing coal Large output</c:v>
                </c:pt>
              </c:strCache>
            </c:strRef>
          </c:tx>
          <c:spPr>
            <a:ln>
              <a:solidFill>
                <a:schemeClr val="accent2">
                  <a:lumMod val="75000"/>
                </a:schemeClr>
              </a:solidFill>
            </a:ln>
          </c:spPr>
          <c:marker>
            <c:symbol val="none"/>
          </c:marker>
          <c:cat>
            <c:numRef>
              <c:f>'Output tables'!$B$65:$AA$65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tables'!$B$69:$AA$69</c:f>
              <c:numCache>
                <c:formatCode>General</c:formatCode>
                <c:ptCount val="26"/>
                <c:pt idx="0">
                  <c:v>205861.53782111834</c:v>
                </c:pt>
                <c:pt idx="1">
                  <c:v>205861.53782111834</c:v>
                </c:pt>
                <c:pt idx="2">
                  <c:v>212643.1167461767</c:v>
                </c:pt>
                <c:pt idx="3">
                  <c:v>215005.43490868001</c:v>
                </c:pt>
                <c:pt idx="4">
                  <c:v>215005.43490868001</c:v>
                </c:pt>
                <c:pt idx="5">
                  <c:v>220081.30595977066</c:v>
                </c:pt>
                <c:pt idx="6">
                  <c:v>223929.15444342568</c:v>
                </c:pt>
                <c:pt idx="7">
                  <c:v>228206.35414744783</c:v>
                </c:pt>
                <c:pt idx="8">
                  <c:v>232179.28100439603</c:v>
                </c:pt>
                <c:pt idx="9">
                  <c:v>232379.04948696808</c:v>
                </c:pt>
                <c:pt idx="10">
                  <c:v>232379.04948696808</c:v>
                </c:pt>
                <c:pt idx="11">
                  <c:v>232379.04948696808</c:v>
                </c:pt>
                <c:pt idx="12">
                  <c:v>232379.04948696808</c:v>
                </c:pt>
                <c:pt idx="13">
                  <c:v>232379.04948696808</c:v>
                </c:pt>
                <c:pt idx="14">
                  <c:v>232379.04948696808</c:v>
                </c:pt>
                <c:pt idx="15">
                  <c:v>232379.04948696808</c:v>
                </c:pt>
                <c:pt idx="16">
                  <c:v>232379.04948696808</c:v>
                </c:pt>
                <c:pt idx="17">
                  <c:v>232379.04948696808</c:v>
                </c:pt>
                <c:pt idx="18">
                  <c:v>232379.04948696808</c:v>
                </c:pt>
                <c:pt idx="19">
                  <c:v>223685.13998563425</c:v>
                </c:pt>
                <c:pt idx="20">
                  <c:v>214991.23048430041</c:v>
                </c:pt>
                <c:pt idx="21">
                  <c:v>204123.84360763311</c:v>
                </c:pt>
                <c:pt idx="22">
                  <c:v>193256.45673096576</c:v>
                </c:pt>
                <c:pt idx="23">
                  <c:v>180101.19893289483</c:v>
                </c:pt>
                <c:pt idx="24">
                  <c:v>153790.68333675293</c:v>
                </c:pt>
                <c:pt idx="25">
                  <c:v>140635.42553868194</c:v>
                </c:pt>
              </c:numCache>
            </c:numRef>
          </c:val>
        </c:ser>
        <c:marker val="1"/>
        <c:axId val="104936576"/>
        <c:axId val="104938112"/>
      </c:lineChart>
      <c:catAx>
        <c:axId val="104924672"/>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04926208"/>
        <c:crosses val="autoZero"/>
        <c:auto val="1"/>
        <c:lblAlgn val="ctr"/>
        <c:lblOffset val="100"/>
      </c:catAx>
      <c:valAx>
        <c:axId val="104926208"/>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GW</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4924672"/>
        <c:crosses val="autoZero"/>
        <c:crossBetween val="between"/>
      </c:valAx>
      <c:catAx>
        <c:axId val="104936576"/>
        <c:scaling>
          <c:orientation val="minMax"/>
        </c:scaling>
        <c:delete val="1"/>
        <c:axPos val="b"/>
        <c:numFmt formatCode="General" sourceLinked="1"/>
        <c:tickLblPos val="none"/>
        <c:crossAx val="104938112"/>
        <c:crosses val="autoZero"/>
        <c:auto val="1"/>
        <c:lblAlgn val="ctr"/>
        <c:lblOffset val="100"/>
      </c:catAx>
      <c:valAx>
        <c:axId val="104938112"/>
        <c:scaling>
          <c:orientation val="minMax"/>
        </c:scaling>
        <c:axPos val="r"/>
        <c:title>
          <c:tx>
            <c:rich>
              <a:bodyPr/>
              <a:lstStyle/>
              <a:p>
                <a:pPr>
                  <a:defRPr lang="en-ZA" sz="1000" b="1" i="0" u="none" strike="noStrike" baseline="0">
                    <a:solidFill>
                      <a:srgbClr val="000000"/>
                    </a:solidFill>
                    <a:latin typeface="Calibri"/>
                    <a:ea typeface="Calibri"/>
                    <a:cs typeface="Calibri"/>
                  </a:defRPr>
                </a:pPr>
                <a:r>
                  <a:rPr lang="en-ZA"/>
                  <a:t>GWh</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4936576"/>
        <c:crosses val="max"/>
        <c:crossBetween val="between"/>
      </c:valAx>
    </c:plotArea>
    <c:legend>
      <c:legendPos val="b"/>
      <c:txPr>
        <a:bodyPr/>
        <a:lstStyle/>
        <a:p>
          <a:pPr>
            <a:defRPr lang="en-ZA" sz="845" b="0" i="0" u="none" strike="noStrike" baseline="0">
              <a:solidFill>
                <a:srgbClr val="000000"/>
              </a:solidFill>
              <a:latin typeface="Calibri"/>
              <a:ea typeface="Calibri"/>
              <a:cs typeface="Calibri"/>
            </a:defRPr>
          </a:pPr>
          <a:endParaRPr lang="en-US"/>
        </a:p>
      </c:txPr>
    </c:legend>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178" l="0.70000000000000062" r="0.70000000000000062" t="0.75000000000000178"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lang val="en-ZA"/>
  <c:chart>
    <c:plotArea>
      <c:layout/>
      <c:lineChart>
        <c:grouping val="standard"/>
        <c:ser>
          <c:idx val="0"/>
          <c:order val="0"/>
          <c:tx>
            <c:strRef>
              <c:f>'Output tables'!$A$73</c:f>
              <c:strCache>
                <c:ptCount val="1"/>
                <c:pt idx="0">
                  <c:v>Supercritical coal capacity utilisation</c:v>
                </c:pt>
              </c:strCache>
            </c:strRef>
          </c:tx>
          <c:marker>
            <c:symbol val="none"/>
          </c:marker>
          <c:cat>
            <c:numRef>
              <c:f>'Output tables'!$B$72:$AA$72</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tables'!$B$73:$AA$73</c:f>
              <c:numCache>
                <c:formatCode>0%</c:formatCode>
                <c:ptCount val="26"/>
                <c:pt idx="0">
                  <c:v>0</c:v>
                </c:pt>
                <c:pt idx="1">
                  <c:v>0</c:v>
                </c:pt>
                <c:pt idx="2">
                  <c:v>0</c:v>
                </c:pt>
                <c:pt idx="3">
                  <c:v>0</c:v>
                </c:pt>
                <c:pt idx="4">
                  <c:v>0</c:v>
                </c:pt>
                <c:pt idx="5">
                  <c:v>0</c:v>
                </c:pt>
                <c:pt idx="6">
                  <c:v>0</c:v>
                </c:pt>
                <c:pt idx="7">
                  <c:v>0.24351250000000005</c:v>
                </c:pt>
                <c:pt idx="8">
                  <c:v>0.24351250000000005</c:v>
                </c:pt>
                <c:pt idx="9">
                  <c:v>0.3303849936702129</c:v>
                </c:pt>
                <c:pt idx="10">
                  <c:v>0.35319861825386922</c:v>
                </c:pt>
                <c:pt idx="11">
                  <c:v>0.40483482967736983</c:v>
                </c:pt>
                <c:pt idx="12">
                  <c:v>0.43898560235861828</c:v>
                </c:pt>
                <c:pt idx="13">
                  <c:v>0.43951907316055977</c:v>
                </c:pt>
                <c:pt idx="14">
                  <c:v>0.44312241992060902</c:v>
                </c:pt>
                <c:pt idx="15">
                  <c:v>0.45848952200031956</c:v>
                </c:pt>
                <c:pt idx="16">
                  <c:v>0.4548657284400362</c:v>
                </c:pt>
                <c:pt idx="17">
                  <c:v>0.44330763314027305</c:v>
                </c:pt>
                <c:pt idx="18">
                  <c:v>0.44987101782521904</c:v>
                </c:pt>
                <c:pt idx="19">
                  <c:v>0.4790519065027275</c:v>
                </c:pt>
                <c:pt idx="20">
                  <c:v>0.5075356894252504</c:v>
                </c:pt>
                <c:pt idx="21">
                  <c:v>0.5285546023072123</c:v>
                </c:pt>
                <c:pt idx="22">
                  <c:v>0.54492709802049255</c:v>
                </c:pt>
                <c:pt idx="23">
                  <c:v>0.56532098468292691</c:v>
                </c:pt>
                <c:pt idx="24">
                  <c:v>0.60370701586633002</c:v>
                </c:pt>
                <c:pt idx="25">
                  <c:v>0.60050782200767261</c:v>
                </c:pt>
              </c:numCache>
            </c:numRef>
          </c:val>
        </c:ser>
        <c:ser>
          <c:idx val="1"/>
          <c:order val="1"/>
          <c:tx>
            <c:strRef>
              <c:f>'Output tables'!$A$74</c:f>
              <c:strCache>
                <c:ptCount val="1"/>
                <c:pt idx="0">
                  <c:v>Existing coal Large capacity utilisation</c:v>
                </c:pt>
              </c:strCache>
            </c:strRef>
          </c:tx>
          <c:marker>
            <c:symbol val="none"/>
          </c:marker>
          <c:cat>
            <c:numRef>
              <c:f>'Output tables'!$B$72:$AA$72</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tables'!$B$74:$AA$74</c:f>
              <c:numCache>
                <c:formatCode>0%</c:formatCode>
                <c:ptCount val="26"/>
                <c:pt idx="0">
                  <c:v>0.77123086050198464</c:v>
                </c:pt>
                <c:pt idx="1">
                  <c:v>0.77123086050198464</c:v>
                </c:pt>
                <c:pt idx="2">
                  <c:v>0.79663707773562631</c:v>
                </c:pt>
                <c:pt idx="3">
                  <c:v>0.80548716546221288</c:v>
                </c:pt>
                <c:pt idx="4">
                  <c:v>0.80548716546221288</c:v>
                </c:pt>
                <c:pt idx="5">
                  <c:v>0.82450319167071895</c:v>
                </c:pt>
                <c:pt idx="6">
                  <c:v>0.83891860665566464</c:v>
                </c:pt>
                <c:pt idx="7">
                  <c:v>0.85494252468904797</c:v>
                </c:pt>
                <c:pt idx="8">
                  <c:v>0.86982652794204074</c:v>
                </c:pt>
                <c:pt idx="9">
                  <c:v>0.87057493204096037</c:v>
                </c:pt>
                <c:pt idx="10">
                  <c:v>0.87057493204096037</c:v>
                </c:pt>
                <c:pt idx="11">
                  <c:v>0.87057493204096037</c:v>
                </c:pt>
                <c:pt idx="12">
                  <c:v>0.87057493204096037</c:v>
                </c:pt>
                <c:pt idx="13">
                  <c:v>0.87057493204096037</c:v>
                </c:pt>
                <c:pt idx="14">
                  <c:v>0.87057493204096037</c:v>
                </c:pt>
                <c:pt idx="15">
                  <c:v>0.87057493204096037</c:v>
                </c:pt>
                <c:pt idx="16">
                  <c:v>0.87057493204096037</c:v>
                </c:pt>
                <c:pt idx="17">
                  <c:v>0.87057493204096037</c:v>
                </c:pt>
                <c:pt idx="18">
                  <c:v>0.87057493204096037</c:v>
                </c:pt>
                <c:pt idx="19">
                  <c:v>0.87057493204096037</c:v>
                </c:pt>
                <c:pt idx="20">
                  <c:v>0.87057493204096048</c:v>
                </c:pt>
                <c:pt idx="21">
                  <c:v>0.87057493204096048</c:v>
                </c:pt>
                <c:pt idx="22">
                  <c:v>0.87057493204096037</c:v>
                </c:pt>
                <c:pt idx="23">
                  <c:v>0.87057493204096048</c:v>
                </c:pt>
                <c:pt idx="24">
                  <c:v>0.87057493204096048</c:v>
                </c:pt>
                <c:pt idx="25">
                  <c:v>0.87057493204096037</c:v>
                </c:pt>
              </c:numCache>
            </c:numRef>
          </c:val>
        </c:ser>
        <c:marker val="1"/>
        <c:axId val="104844288"/>
        <c:axId val="104968960"/>
      </c:lineChart>
      <c:catAx>
        <c:axId val="104844288"/>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04968960"/>
        <c:crosses val="autoZero"/>
        <c:auto val="1"/>
        <c:lblAlgn val="ctr"/>
        <c:lblOffset val="100"/>
      </c:catAx>
      <c:valAx>
        <c:axId val="104968960"/>
        <c:scaling>
          <c:orientation val="minMax"/>
        </c:scaling>
        <c:axPos val="l"/>
        <c:majorGridlines/>
        <c:numFmt formatCode="0%"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4844288"/>
        <c:crosses val="autoZero"/>
        <c:crossBetween val="between"/>
      </c:valAx>
    </c:plotArea>
    <c:legend>
      <c:legendPos val="b"/>
      <c:txPr>
        <a:bodyPr/>
        <a:lstStyle/>
        <a:p>
          <a:pPr>
            <a:defRPr lang="en-ZA" sz="845" b="0" i="0" u="none" strike="noStrike" baseline="0">
              <a:solidFill>
                <a:srgbClr val="000000"/>
              </a:solidFill>
              <a:latin typeface="Calibri"/>
              <a:ea typeface="Calibri"/>
              <a:cs typeface="Calibri"/>
            </a:defRPr>
          </a:pPr>
          <a:endParaRPr lang="en-US"/>
        </a:p>
      </c:txPr>
    </c:legend>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178" l="0.70000000000000062" r="0.70000000000000062" t="0.75000000000000178"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050" b="1" i="0" u="none" strike="noStrike" baseline="0">
                <a:solidFill>
                  <a:srgbClr val="000000"/>
                </a:solidFill>
                <a:latin typeface="Calibri"/>
                <a:ea typeface="Calibri"/>
                <a:cs typeface="Calibri"/>
              </a:defRPr>
            </a:pPr>
            <a:r>
              <a:rPr lang="en-ZA"/>
              <a:t>Electricity system capacity - scenario</a:t>
            </a:r>
          </a:p>
        </c:rich>
      </c:tx>
      <c:layout>
        <c:manualLayout>
          <c:xMode val="edge"/>
          <c:yMode val="edge"/>
          <c:x val="0.20753901730025681"/>
          <c:y val="5.5555733018159753E-3"/>
        </c:manualLayout>
      </c:layout>
      <c:overlay val="1"/>
    </c:title>
    <c:plotArea>
      <c:layout>
        <c:manualLayout>
          <c:layoutTarget val="inner"/>
          <c:xMode val="edge"/>
          <c:yMode val="edge"/>
          <c:x val="0.13777827480423241"/>
          <c:y val="5.2609349822976853E-2"/>
          <c:w val="0.82140935804797377"/>
          <c:h val="0.49352832599992941"/>
        </c:manualLayout>
      </c:layout>
      <c:areaChart>
        <c:grouping val="stacked"/>
        <c:ser>
          <c:idx val="0"/>
          <c:order val="0"/>
          <c:tx>
            <c:strRef>
              <c:f>'Output tables'!$A$9</c:f>
              <c:strCache>
                <c:ptCount val="1"/>
                <c:pt idx="0">
                  <c:v>Existing coal Large</c:v>
                </c:pt>
              </c:strCache>
            </c:strRef>
          </c:tx>
          <c:cat>
            <c:numRef>
              <c:f>'Output tables'!$AP$8:$BO$8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tables'!$AP$9:$BO$9</c:f>
              <c:numCache>
                <c:formatCode>General</c:formatCode>
                <c:ptCount val="26"/>
                <c:pt idx="0">
                  <c:v>30.471</c:v>
                </c:pt>
                <c:pt idx="1">
                  <c:v>30.471</c:v>
                </c:pt>
                <c:pt idx="2">
                  <c:v>30.471</c:v>
                </c:pt>
                <c:pt idx="3">
                  <c:v>30.471</c:v>
                </c:pt>
                <c:pt idx="4">
                  <c:v>30.471</c:v>
                </c:pt>
                <c:pt idx="5">
                  <c:v>30.471</c:v>
                </c:pt>
                <c:pt idx="6">
                  <c:v>30.471</c:v>
                </c:pt>
                <c:pt idx="7">
                  <c:v>30.471</c:v>
                </c:pt>
                <c:pt idx="8">
                  <c:v>30.471</c:v>
                </c:pt>
                <c:pt idx="9">
                  <c:v>30.471</c:v>
                </c:pt>
                <c:pt idx="10">
                  <c:v>30.471</c:v>
                </c:pt>
                <c:pt idx="11">
                  <c:v>30.471</c:v>
                </c:pt>
                <c:pt idx="12">
                  <c:v>30.471</c:v>
                </c:pt>
                <c:pt idx="13">
                  <c:v>30.471</c:v>
                </c:pt>
                <c:pt idx="14">
                  <c:v>30.471</c:v>
                </c:pt>
                <c:pt idx="15">
                  <c:v>30.471</c:v>
                </c:pt>
                <c:pt idx="16">
                  <c:v>30.471</c:v>
                </c:pt>
                <c:pt idx="17">
                  <c:v>30.471</c:v>
                </c:pt>
                <c:pt idx="18">
                  <c:v>30.471</c:v>
                </c:pt>
                <c:pt idx="19">
                  <c:v>29.331</c:v>
                </c:pt>
                <c:pt idx="20">
                  <c:v>28.190999999999999</c:v>
                </c:pt>
                <c:pt idx="21">
                  <c:v>26.765999999999998</c:v>
                </c:pt>
                <c:pt idx="22">
                  <c:v>25.340999999999998</c:v>
                </c:pt>
                <c:pt idx="23">
                  <c:v>23.615999999999996</c:v>
                </c:pt>
                <c:pt idx="24">
                  <c:v>20.165999999999997</c:v>
                </c:pt>
                <c:pt idx="25">
                  <c:v>18.440999999999995</c:v>
                </c:pt>
              </c:numCache>
            </c:numRef>
          </c:val>
        </c:ser>
        <c:ser>
          <c:idx val="1"/>
          <c:order val="1"/>
          <c:tx>
            <c:strRef>
              <c:f>'Output tables'!$A$10</c:f>
              <c:strCache>
                <c:ptCount val="1"/>
                <c:pt idx="0">
                  <c:v>Existing coal Small</c:v>
                </c:pt>
              </c:strCache>
            </c:strRef>
          </c:tx>
          <c:cat>
            <c:numRef>
              <c:f>'Output tables'!$AP$8:$BO$8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tables'!$AP$10:$BO$10</c:f>
              <c:numCache>
                <c:formatCode>General</c:formatCode>
                <c:ptCount val="26"/>
                <c:pt idx="0">
                  <c:v>5.434444444444444</c:v>
                </c:pt>
                <c:pt idx="1">
                  <c:v>5.434444444444444</c:v>
                </c:pt>
                <c:pt idx="2">
                  <c:v>5.434444444444444</c:v>
                </c:pt>
                <c:pt idx="3">
                  <c:v>5.434444444444444</c:v>
                </c:pt>
                <c:pt idx="4">
                  <c:v>5.434444444444444</c:v>
                </c:pt>
                <c:pt idx="5">
                  <c:v>6.1174444444444438</c:v>
                </c:pt>
                <c:pt idx="6">
                  <c:v>6.5214444444444437</c:v>
                </c:pt>
                <c:pt idx="7">
                  <c:v>6.5214444444444437</c:v>
                </c:pt>
                <c:pt idx="8">
                  <c:v>6.5214444444444437</c:v>
                </c:pt>
                <c:pt idx="9">
                  <c:v>6.5214444444444437</c:v>
                </c:pt>
                <c:pt idx="10">
                  <c:v>6.5214444444444437</c:v>
                </c:pt>
                <c:pt idx="11">
                  <c:v>6.4839444444444441</c:v>
                </c:pt>
                <c:pt idx="12">
                  <c:v>6.4464444444444444</c:v>
                </c:pt>
                <c:pt idx="13">
                  <c:v>6.3964444444444446</c:v>
                </c:pt>
                <c:pt idx="14">
                  <c:v>6.3464444444444448</c:v>
                </c:pt>
                <c:pt idx="15">
                  <c:v>5.3964444444444446</c:v>
                </c:pt>
                <c:pt idx="16">
                  <c:v>4.4464444444444444</c:v>
                </c:pt>
                <c:pt idx="17">
                  <c:v>4.4464444444444444</c:v>
                </c:pt>
                <c:pt idx="18">
                  <c:v>4.4464444444444444</c:v>
                </c:pt>
                <c:pt idx="19">
                  <c:v>4.4464444444444444</c:v>
                </c:pt>
                <c:pt idx="20">
                  <c:v>4.0087222222222225</c:v>
                </c:pt>
                <c:pt idx="21">
                  <c:v>3.5710000000000002</c:v>
                </c:pt>
                <c:pt idx="22">
                  <c:v>3.5710000000000002</c:v>
                </c:pt>
                <c:pt idx="23">
                  <c:v>3.5710000000000002</c:v>
                </c:pt>
                <c:pt idx="24">
                  <c:v>3.5710000000000002</c:v>
                </c:pt>
                <c:pt idx="25">
                  <c:v>3.5710000000000002</c:v>
                </c:pt>
              </c:numCache>
            </c:numRef>
          </c:val>
        </c:ser>
        <c:ser>
          <c:idx val="2"/>
          <c:order val="2"/>
          <c:tx>
            <c:strRef>
              <c:f>'Output tables'!$A$11</c:f>
              <c:strCache>
                <c:ptCount val="1"/>
                <c:pt idx="0">
                  <c:v>OCGT liquid fuels</c:v>
                </c:pt>
              </c:strCache>
            </c:strRef>
          </c:tx>
          <c:cat>
            <c:numRef>
              <c:f>'Output tables'!$AP$8:$BO$8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tables'!$AP$11:$BO$11</c:f>
              <c:numCache>
                <c:formatCode>General</c:formatCode>
                <c:ptCount val="26"/>
                <c:pt idx="0">
                  <c:v>2.4</c:v>
                </c:pt>
                <c:pt idx="1">
                  <c:v>2.4</c:v>
                </c:pt>
                <c:pt idx="2">
                  <c:v>2.4</c:v>
                </c:pt>
                <c:pt idx="3">
                  <c:v>2.4</c:v>
                </c:pt>
                <c:pt idx="4">
                  <c:v>2.4</c:v>
                </c:pt>
                <c:pt idx="5">
                  <c:v>2.4</c:v>
                </c:pt>
                <c:pt idx="6">
                  <c:v>3.48</c:v>
                </c:pt>
                <c:pt idx="7">
                  <c:v>3.48</c:v>
                </c:pt>
                <c:pt idx="8">
                  <c:v>3.48</c:v>
                </c:pt>
                <c:pt idx="9">
                  <c:v>3.48</c:v>
                </c:pt>
                <c:pt idx="10">
                  <c:v>3.48</c:v>
                </c:pt>
                <c:pt idx="11">
                  <c:v>3.48</c:v>
                </c:pt>
                <c:pt idx="12">
                  <c:v>3.48</c:v>
                </c:pt>
                <c:pt idx="13">
                  <c:v>3.48</c:v>
                </c:pt>
                <c:pt idx="14">
                  <c:v>3.48</c:v>
                </c:pt>
                <c:pt idx="15">
                  <c:v>3.48</c:v>
                </c:pt>
                <c:pt idx="16">
                  <c:v>3.48</c:v>
                </c:pt>
                <c:pt idx="17">
                  <c:v>3.48</c:v>
                </c:pt>
                <c:pt idx="18">
                  <c:v>3.48</c:v>
                </c:pt>
                <c:pt idx="19">
                  <c:v>3.48</c:v>
                </c:pt>
                <c:pt idx="20">
                  <c:v>3.48</c:v>
                </c:pt>
                <c:pt idx="21">
                  <c:v>4.2</c:v>
                </c:pt>
                <c:pt idx="22">
                  <c:v>4.2</c:v>
                </c:pt>
                <c:pt idx="23">
                  <c:v>4.2</c:v>
                </c:pt>
                <c:pt idx="24">
                  <c:v>5.16</c:v>
                </c:pt>
                <c:pt idx="25">
                  <c:v>5.9489999999999998</c:v>
                </c:pt>
              </c:numCache>
            </c:numRef>
          </c:val>
        </c:ser>
        <c:ser>
          <c:idx val="3"/>
          <c:order val="3"/>
          <c:tx>
            <c:strRef>
              <c:f>'Output tables'!$A$12</c:f>
              <c:strCache>
                <c:ptCount val="1"/>
                <c:pt idx="0">
                  <c:v>PWR nuclear</c:v>
                </c:pt>
              </c:strCache>
            </c:strRef>
          </c:tx>
          <c:cat>
            <c:numRef>
              <c:f>'Output tables'!$AP$8:$BO$8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tables'!$AP$12:$BO$12</c:f>
              <c:numCache>
                <c:formatCode>General</c:formatCode>
                <c:ptCount val="26"/>
                <c:pt idx="0">
                  <c:v>1.8</c:v>
                </c:pt>
                <c:pt idx="1">
                  <c:v>1.8</c:v>
                </c:pt>
                <c:pt idx="2">
                  <c:v>1.8</c:v>
                </c:pt>
                <c:pt idx="3">
                  <c:v>1.8</c:v>
                </c:pt>
                <c:pt idx="4">
                  <c:v>1.8</c:v>
                </c:pt>
                <c:pt idx="5">
                  <c:v>1.8</c:v>
                </c:pt>
                <c:pt idx="6">
                  <c:v>1.8</c:v>
                </c:pt>
                <c:pt idx="7">
                  <c:v>1.8</c:v>
                </c:pt>
                <c:pt idx="8">
                  <c:v>1.8</c:v>
                </c:pt>
                <c:pt idx="9">
                  <c:v>1.8</c:v>
                </c:pt>
                <c:pt idx="10">
                  <c:v>1.8</c:v>
                </c:pt>
                <c:pt idx="11">
                  <c:v>1.8</c:v>
                </c:pt>
                <c:pt idx="12">
                  <c:v>1.8</c:v>
                </c:pt>
                <c:pt idx="13">
                  <c:v>1.8</c:v>
                </c:pt>
                <c:pt idx="14">
                  <c:v>1.8</c:v>
                </c:pt>
                <c:pt idx="15">
                  <c:v>1.8</c:v>
                </c:pt>
                <c:pt idx="16">
                  <c:v>1.8</c:v>
                </c:pt>
                <c:pt idx="17">
                  <c:v>1.8</c:v>
                </c:pt>
                <c:pt idx="18">
                  <c:v>1.8</c:v>
                </c:pt>
                <c:pt idx="19">
                  <c:v>1.8</c:v>
                </c:pt>
                <c:pt idx="20">
                  <c:v>1.8</c:v>
                </c:pt>
                <c:pt idx="21">
                  <c:v>1.8</c:v>
                </c:pt>
                <c:pt idx="22">
                  <c:v>1.8</c:v>
                </c:pt>
                <c:pt idx="23">
                  <c:v>1.8</c:v>
                </c:pt>
                <c:pt idx="24">
                  <c:v>1.8</c:v>
                </c:pt>
                <c:pt idx="25">
                  <c:v>1.8</c:v>
                </c:pt>
              </c:numCache>
            </c:numRef>
          </c:val>
        </c:ser>
        <c:ser>
          <c:idx val="4"/>
          <c:order val="4"/>
          <c:tx>
            <c:strRef>
              <c:f>'Output tables'!$A$13</c:f>
              <c:strCache>
                <c:ptCount val="1"/>
                <c:pt idx="0">
                  <c:v>Hydro</c:v>
                </c:pt>
              </c:strCache>
            </c:strRef>
          </c:tx>
          <c:cat>
            <c:numRef>
              <c:f>'Output tables'!$AP$8:$BO$8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tables'!$AP$13:$BO$13</c:f>
              <c:numCache>
                <c:formatCode>General</c:formatCode>
                <c:ptCount val="26"/>
                <c:pt idx="0">
                  <c:v>0.66500000000000004</c:v>
                </c:pt>
                <c:pt idx="1">
                  <c:v>0.66500000000000004</c:v>
                </c:pt>
                <c:pt idx="2">
                  <c:v>0.66500000000000004</c:v>
                </c:pt>
                <c:pt idx="3">
                  <c:v>0.66500000000000004</c:v>
                </c:pt>
                <c:pt idx="4">
                  <c:v>0.66500000000000004</c:v>
                </c:pt>
                <c:pt idx="5">
                  <c:v>0.66500000000000004</c:v>
                </c:pt>
                <c:pt idx="6">
                  <c:v>0.66500000000000004</c:v>
                </c:pt>
                <c:pt idx="7">
                  <c:v>0.66500000000000004</c:v>
                </c:pt>
                <c:pt idx="8">
                  <c:v>0.66500000000000004</c:v>
                </c:pt>
                <c:pt idx="9">
                  <c:v>0.66500000000000004</c:v>
                </c:pt>
                <c:pt idx="10">
                  <c:v>0.66500000000000004</c:v>
                </c:pt>
                <c:pt idx="11">
                  <c:v>0.66500000000000004</c:v>
                </c:pt>
                <c:pt idx="12">
                  <c:v>0.66500000000000004</c:v>
                </c:pt>
                <c:pt idx="13">
                  <c:v>0.66500000000000004</c:v>
                </c:pt>
                <c:pt idx="14">
                  <c:v>0.66500000000000004</c:v>
                </c:pt>
                <c:pt idx="15">
                  <c:v>0.66500000000000004</c:v>
                </c:pt>
                <c:pt idx="16">
                  <c:v>0.66500000000000004</c:v>
                </c:pt>
                <c:pt idx="17">
                  <c:v>0.66500000000000004</c:v>
                </c:pt>
                <c:pt idx="18">
                  <c:v>0.66500000000000004</c:v>
                </c:pt>
                <c:pt idx="19">
                  <c:v>0.66500000000000004</c:v>
                </c:pt>
                <c:pt idx="20">
                  <c:v>0.66500000000000004</c:v>
                </c:pt>
                <c:pt idx="21">
                  <c:v>0.66500000000000004</c:v>
                </c:pt>
                <c:pt idx="22">
                  <c:v>0.66500000000000004</c:v>
                </c:pt>
                <c:pt idx="23">
                  <c:v>0.66500000000000004</c:v>
                </c:pt>
                <c:pt idx="24">
                  <c:v>0.66500000000000004</c:v>
                </c:pt>
                <c:pt idx="25">
                  <c:v>0.66500000000000004</c:v>
                </c:pt>
              </c:numCache>
            </c:numRef>
          </c:val>
        </c:ser>
        <c:ser>
          <c:idx val="5"/>
          <c:order val="5"/>
          <c:tx>
            <c:strRef>
              <c:f>'Output tables'!$A$14</c:f>
              <c:strCache>
                <c:ptCount val="1"/>
                <c:pt idx="0">
                  <c:v>Landfill gas</c:v>
                </c:pt>
              </c:strCache>
            </c:strRef>
          </c:tx>
          <c:cat>
            <c:numRef>
              <c:f>'Output tables'!$AP$8:$BO$8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tables'!$AP$14:$BO$14</c:f>
              <c:numCache>
                <c:formatCode>General</c:formatCode>
                <c:ptCount val="26"/>
                <c:pt idx="0">
                  <c:v>7.0000000000000007E-2</c:v>
                </c:pt>
                <c:pt idx="1">
                  <c:v>7.0000000000000007E-2</c:v>
                </c:pt>
                <c:pt idx="2">
                  <c:v>7.0000000000000007E-2</c:v>
                </c:pt>
                <c:pt idx="3">
                  <c:v>7.0000000000000007E-2</c:v>
                </c:pt>
                <c:pt idx="4">
                  <c:v>7.0000000000000007E-2</c:v>
                </c:pt>
                <c:pt idx="5">
                  <c:v>7.0000000000000007E-2</c:v>
                </c:pt>
                <c:pt idx="6">
                  <c:v>7.0000000000000007E-2</c:v>
                </c:pt>
                <c:pt idx="7">
                  <c:v>7.0000000000000007E-2</c:v>
                </c:pt>
                <c:pt idx="8">
                  <c:v>7.0000000000000007E-2</c:v>
                </c:pt>
                <c:pt idx="9">
                  <c:v>7.0000000000000007E-2</c:v>
                </c:pt>
                <c:pt idx="10">
                  <c:v>7.0000000000000007E-2</c:v>
                </c:pt>
                <c:pt idx="11">
                  <c:v>7.0000000000000007E-2</c:v>
                </c:pt>
                <c:pt idx="12">
                  <c:v>7.0000000000000007E-2</c:v>
                </c:pt>
                <c:pt idx="13">
                  <c:v>7.0000000000000007E-2</c:v>
                </c:pt>
                <c:pt idx="14">
                  <c:v>7.0000000000000007E-2</c:v>
                </c:pt>
                <c:pt idx="15">
                  <c:v>7.0000000000000007E-2</c:v>
                </c:pt>
                <c:pt idx="16">
                  <c:v>7.0000000000000007E-2</c:v>
                </c:pt>
                <c:pt idx="17">
                  <c:v>7.0000000000000007E-2</c:v>
                </c:pt>
                <c:pt idx="18">
                  <c:v>7.0000000000000007E-2</c:v>
                </c:pt>
                <c:pt idx="19">
                  <c:v>7.0000000000000007E-2</c:v>
                </c:pt>
                <c:pt idx="20">
                  <c:v>7.0000000000000007E-2</c:v>
                </c:pt>
                <c:pt idx="21">
                  <c:v>7.0000000000000007E-2</c:v>
                </c:pt>
                <c:pt idx="22">
                  <c:v>7.0000000000000007E-2</c:v>
                </c:pt>
                <c:pt idx="23">
                  <c:v>7.0000000000000007E-2</c:v>
                </c:pt>
                <c:pt idx="24">
                  <c:v>7.0000000000000007E-2</c:v>
                </c:pt>
                <c:pt idx="25">
                  <c:v>7.0000000000000007E-2</c:v>
                </c:pt>
              </c:numCache>
            </c:numRef>
          </c:val>
        </c:ser>
        <c:ser>
          <c:idx val="6"/>
          <c:order val="6"/>
          <c:tx>
            <c:strRef>
              <c:f>'Output tables'!$A$15</c:f>
              <c:strCache>
                <c:ptCount val="1"/>
                <c:pt idx="0">
                  <c:v>Biomass</c:v>
                </c:pt>
              </c:strCache>
            </c:strRef>
          </c:tx>
          <c:cat>
            <c:numRef>
              <c:f>'Output tables'!$AP$8:$BO$8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tables'!$AP$15:$BO$15</c:f>
              <c:numCache>
                <c:formatCode>General</c:formatCode>
                <c:ptCount val="26"/>
                <c:pt idx="0">
                  <c:v>0.19</c:v>
                </c:pt>
                <c:pt idx="1">
                  <c:v>0.19</c:v>
                </c:pt>
                <c:pt idx="2">
                  <c:v>0.19</c:v>
                </c:pt>
                <c:pt idx="3">
                  <c:v>0.19</c:v>
                </c:pt>
                <c:pt idx="4">
                  <c:v>0.19</c:v>
                </c:pt>
                <c:pt idx="5">
                  <c:v>0.19</c:v>
                </c:pt>
                <c:pt idx="6">
                  <c:v>0.19</c:v>
                </c:pt>
                <c:pt idx="7">
                  <c:v>0.19</c:v>
                </c:pt>
                <c:pt idx="8">
                  <c:v>0.19</c:v>
                </c:pt>
                <c:pt idx="9">
                  <c:v>0.19</c:v>
                </c:pt>
                <c:pt idx="10">
                  <c:v>0.19</c:v>
                </c:pt>
                <c:pt idx="11">
                  <c:v>0.19</c:v>
                </c:pt>
                <c:pt idx="12">
                  <c:v>0.19</c:v>
                </c:pt>
                <c:pt idx="13">
                  <c:v>0.19</c:v>
                </c:pt>
                <c:pt idx="14">
                  <c:v>0.19</c:v>
                </c:pt>
                <c:pt idx="15">
                  <c:v>0.19</c:v>
                </c:pt>
                <c:pt idx="16">
                  <c:v>0.19</c:v>
                </c:pt>
                <c:pt idx="17">
                  <c:v>0.19</c:v>
                </c:pt>
                <c:pt idx="18">
                  <c:v>0.19</c:v>
                </c:pt>
                <c:pt idx="19">
                  <c:v>0.19</c:v>
                </c:pt>
                <c:pt idx="20">
                  <c:v>0.19</c:v>
                </c:pt>
                <c:pt idx="21">
                  <c:v>0.19</c:v>
                </c:pt>
                <c:pt idx="22">
                  <c:v>0.19</c:v>
                </c:pt>
                <c:pt idx="23">
                  <c:v>0.19</c:v>
                </c:pt>
                <c:pt idx="24">
                  <c:v>0.19</c:v>
                </c:pt>
                <c:pt idx="25">
                  <c:v>0.19</c:v>
                </c:pt>
              </c:numCache>
            </c:numRef>
          </c:val>
        </c:ser>
        <c:ser>
          <c:idx val="7"/>
          <c:order val="7"/>
          <c:tx>
            <c:strRef>
              <c:f>'Output tables'!$A$16</c:f>
              <c:strCache>
                <c:ptCount val="1"/>
                <c:pt idx="0">
                  <c:v>Supercritical coal</c:v>
                </c:pt>
              </c:strCache>
            </c:strRef>
          </c:tx>
          <c:cat>
            <c:numRef>
              <c:f>'Output tables'!$AP$8:$BO$8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tables'!$AP$16:$BO$16</c:f>
              <c:numCache>
                <c:formatCode>General</c:formatCode>
                <c:ptCount val="26"/>
                <c:pt idx="0">
                  <c:v>0</c:v>
                </c:pt>
                <c:pt idx="1">
                  <c:v>0</c:v>
                </c:pt>
                <c:pt idx="2">
                  <c:v>0</c:v>
                </c:pt>
                <c:pt idx="3">
                  <c:v>0</c:v>
                </c:pt>
                <c:pt idx="4">
                  <c:v>0</c:v>
                </c:pt>
                <c:pt idx="5">
                  <c:v>0</c:v>
                </c:pt>
                <c:pt idx="6">
                  <c:v>0</c:v>
                </c:pt>
                <c:pt idx="7">
                  <c:v>0.79400000000000004</c:v>
                </c:pt>
                <c:pt idx="8">
                  <c:v>2.3820000000000001</c:v>
                </c:pt>
                <c:pt idx="9">
                  <c:v>4.7640000000000002</c:v>
                </c:pt>
                <c:pt idx="10">
                  <c:v>7.1460000000000008</c:v>
                </c:pt>
                <c:pt idx="11">
                  <c:v>8.7340000000000018</c:v>
                </c:pt>
                <c:pt idx="12">
                  <c:v>9.5280000000000022</c:v>
                </c:pt>
                <c:pt idx="13">
                  <c:v>9.5280000000000022</c:v>
                </c:pt>
                <c:pt idx="14">
                  <c:v>9.5280000000000022</c:v>
                </c:pt>
                <c:pt idx="15">
                  <c:v>9.5280000000000022</c:v>
                </c:pt>
                <c:pt idx="16">
                  <c:v>9.5280000000000022</c:v>
                </c:pt>
                <c:pt idx="17">
                  <c:v>9.5280000000000022</c:v>
                </c:pt>
                <c:pt idx="18">
                  <c:v>9.5280000000000022</c:v>
                </c:pt>
                <c:pt idx="19">
                  <c:v>9.5280000000000022</c:v>
                </c:pt>
                <c:pt idx="20">
                  <c:v>9.5280000000000022</c:v>
                </c:pt>
                <c:pt idx="21">
                  <c:v>9.5280000000000022</c:v>
                </c:pt>
                <c:pt idx="22">
                  <c:v>9.5280000000000022</c:v>
                </c:pt>
                <c:pt idx="23">
                  <c:v>9.5280000000000022</c:v>
                </c:pt>
                <c:pt idx="24">
                  <c:v>9.5280000000000022</c:v>
                </c:pt>
                <c:pt idx="25">
                  <c:v>9.5280000000000022</c:v>
                </c:pt>
              </c:numCache>
            </c:numRef>
          </c:val>
        </c:ser>
        <c:ser>
          <c:idx val="8"/>
          <c:order val="8"/>
          <c:tx>
            <c:strRef>
              <c:f>'Output tables'!$A$17</c:f>
              <c:strCache>
                <c:ptCount val="1"/>
                <c:pt idx="0">
                  <c:v>Wind 30% </c:v>
                </c:pt>
              </c:strCache>
            </c:strRef>
          </c:tx>
          <c:cat>
            <c:numRef>
              <c:f>'Output tables'!$AP$8:$BO$8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tables'!$AP$17:$BO$17</c:f>
              <c:numCache>
                <c:formatCode>General</c:formatCode>
                <c:ptCount val="26"/>
                <c:pt idx="0">
                  <c:v>0</c:v>
                </c:pt>
                <c:pt idx="1">
                  <c:v>0</c:v>
                </c:pt>
                <c:pt idx="2">
                  <c:v>0</c:v>
                </c:pt>
                <c:pt idx="3">
                  <c:v>0</c:v>
                </c:pt>
                <c:pt idx="4">
                  <c:v>0</c:v>
                </c:pt>
                <c:pt idx="5">
                  <c:v>0.1</c:v>
                </c:pt>
                <c:pt idx="6">
                  <c:v>0.30000000000000004</c:v>
                </c:pt>
                <c:pt idx="7">
                  <c:v>0.5</c:v>
                </c:pt>
                <c:pt idx="8">
                  <c:v>0.9</c:v>
                </c:pt>
                <c:pt idx="9">
                  <c:v>1.3</c:v>
                </c:pt>
                <c:pt idx="10">
                  <c:v>2.1</c:v>
                </c:pt>
                <c:pt idx="11">
                  <c:v>2.9000000000000004</c:v>
                </c:pt>
                <c:pt idx="12">
                  <c:v>3.9000000000000004</c:v>
                </c:pt>
                <c:pt idx="13">
                  <c:v>4.9000000000000004</c:v>
                </c:pt>
                <c:pt idx="14">
                  <c:v>6.4</c:v>
                </c:pt>
                <c:pt idx="15">
                  <c:v>7.9</c:v>
                </c:pt>
                <c:pt idx="16">
                  <c:v>9.9</c:v>
                </c:pt>
                <c:pt idx="17">
                  <c:v>9.9</c:v>
                </c:pt>
                <c:pt idx="18">
                  <c:v>9.9</c:v>
                </c:pt>
                <c:pt idx="19">
                  <c:v>9.9</c:v>
                </c:pt>
                <c:pt idx="20">
                  <c:v>9.9</c:v>
                </c:pt>
                <c:pt idx="21">
                  <c:v>9.9</c:v>
                </c:pt>
                <c:pt idx="22">
                  <c:v>9.9</c:v>
                </c:pt>
                <c:pt idx="23">
                  <c:v>9.9</c:v>
                </c:pt>
                <c:pt idx="24">
                  <c:v>9.9</c:v>
                </c:pt>
                <c:pt idx="25">
                  <c:v>9.8000000000000007</c:v>
                </c:pt>
              </c:numCache>
            </c:numRef>
          </c:val>
        </c:ser>
        <c:ser>
          <c:idx val="9"/>
          <c:order val="9"/>
          <c:tx>
            <c:strRef>
              <c:f>'Output tables'!$A$18</c:f>
              <c:strCache>
                <c:ptCount val="1"/>
                <c:pt idx="0">
                  <c:v>Wind 25%</c:v>
                </c:pt>
              </c:strCache>
            </c:strRef>
          </c:tx>
          <c:cat>
            <c:numRef>
              <c:f>'Output tables'!$AP$8:$BO$8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tables'!$AP$18:$BO$18</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1</c:v>
                </c:pt>
                <c:pt idx="18">
                  <c:v>2</c:v>
                </c:pt>
                <c:pt idx="19">
                  <c:v>3</c:v>
                </c:pt>
                <c:pt idx="20">
                  <c:v>4</c:v>
                </c:pt>
                <c:pt idx="21">
                  <c:v>5</c:v>
                </c:pt>
                <c:pt idx="22">
                  <c:v>6</c:v>
                </c:pt>
                <c:pt idx="23">
                  <c:v>7</c:v>
                </c:pt>
                <c:pt idx="24">
                  <c:v>8</c:v>
                </c:pt>
                <c:pt idx="25">
                  <c:v>9</c:v>
                </c:pt>
              </c:numCache>
            </c:numRef>
          </c:val>
        </c:ser>
        <c:ser>
          <c:idx val="10"/>
          <c:order val="10"/>
          <c:tx>
            <c:strRef>
              <c:f>'Output tables'!$A$19</c:f>
              <c:strCache>
                <c:ptCount val="1"/>
                <c:pt idx="0">
                  <c:v>solar thermal central reciever</c:v>
                </c:pt>
              </c:strCache>
            </c:strRef>
          </c:tx>
          <c:cat>
            <c:numRef>
              <c:f>'Output tables'!$AP$8:$BO$8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tables'!$AP$19:$BO$19</c:f>
              <c:numCache>
                <c:formatCode>General</c:formatCode>
                <c:ptCount val="26"/>
                <c:pt idx="0">
                  <c:v>0</c:v>
                </c:pt>
                <c:pt idx="1">
                  <c:v>0</c:v>
                </c:pt>
                <c:pt idx="2">
                  <c:v>0</c:v>
                </c:pt>
                <c:pt idx="3">
                  <c:v>0</c:v>
                </c:pt>
                <c:pt idx="4">
                  <c:v>0</c:v>
                </c:pt>
                <c:pt idx="5">
                  <c:v>0</c:v>
                </c:pt>
                <c:pt idx="6">
                  <c:v>0</c:v>
                </c:pt>
                <c:pt idx="7">
                  <c:v>0</c:v>
                </c:pt>
                <c:pt idx="8">
                  <c:v>0</c:v>
                </c:pt>
                <c:pt idx="9">
                  <c:v>0</c:v>
                </c:pt>
                <c:pt idx="10">
                  <c:v>0.1</c:v>
                </c:pt>
                <c:pt idx="11">
                  <c:v>0.30000000000000004</c:v>
                </c:pt>
                <c:pt idx="12">
                  <c:v>0.70000000000000007</c:v>
                </c:pt>
                <c:pt idx="13">
                  <c:v>1.5</c:v>
                </c:pt>
                <c:pt idx="14">
                  <c:v>2.7</c:v>
                </c:pt>
                <c:pt idx="15">
                  <c:v>4.3000000000000007</c:v>
                </c:pt>
                <c:pt idx="16">
                  <c:v>6.3000000000000007</c:v>
                </c:pt>
                <c:pt idx="17">
                  <c:v>8.3000000000000007</c:v>
                </c:pt>
                <c:pt idx="18">
                  <c:v>11.3</c:v>
                </c:pt>
                <c:pt idx="19">
                  <c:v>14.3</c:v>
                </c:pt>
                <c:pt idx="20">
                  <c:v>17.3</c:v>
                </c:pt>
                <c:pt idx="21">
                  <c:v>20.3</c:v>
                </c:pt>
                <c:pt idx="22">
                  <c:v>23.3</c:v>
                </c:pt>
                <c:pt idx="23">
                  <c:v>26.3</c:v>
                </c:pt>
                <c:pt idx="24">
                  <c:v>29.3</c:v>
                </c:pt>
                <c:pt idx="25">
                  <c:v>32.299999999999997</c:v>
                </c:pt>
              </c:numCache>
            </c:numRef>
          </c:val>
        </c:ser>
        <c:ser>
          <c:idx val="11"/>
          <c:order val="11"/>
          <c:tx>
            <c:strRef>
              <c:f>'Output tables'!$A$20</c:f>
              <c:strCache>
                <c:ptCount val="1"/>
                <c:pt idx="0">
                  <c:v>solar thermal trough</c:v>
                </c:pt>
              </c:strCache>
            </c:strRef>
          </c:tx>
          <c:cat>
            <c:numRef>
              <c:f>'Output tables'!$AP$8:$BO$8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tables'!$AP$20:$BO$20</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2"/>
          <c:order val="12"/>
          <c:tx>
            <c:strRef>
              <c:f>'Output tables'!$A$21</c:f>
              <c:strCache>
                <c:ptCount val="1"/>
                <c:pt idx="0">
                  <c:v>solar PV</c:v>
                </c:pt>
              </c:strCache>
            </c:strRef>
          </c:tx>
          <c:cat>
            <c:numRef>
              <c:f>'Output tables'!$AP$8:$BO$8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tables'!$AP$21:$BO$21</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3"/>
          <c:order val="13"/>
          <c:tx>
            <c:strRef>
              <c:f>'Output tables'!$A$22</c:f>
              <c:strCache>
                <c:ptCount val="1"/>
                <c:pt idx="0">
                  <c:v>combined cycle gas</c:v>
                </c:pt>
              </c:strCache>
            </c:strRef>
          </c:tx>
          <c:cat>
            <c:numRef>
              <c:f>'Output tables'!$AP$8:$BO$8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tables'!$AP$22:$BO$22</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0.77400000000000002</c:v>
                </c:pt>
                <c:pt idx="23">
                  <c:v>1.9350000000000001</c:v>
                </c:pt>
                <c:pt idx="24">
                  <c:v>3.0960000000000001</c:v>
                </c:pt>
                <c:pt idx="25">
                  <c:v>3.0960000000000001</c:v>
                </c:pt>
              </c:numCache>
            </c:numRef>
          </c:val>
        </c:ser>
        <c:ser>
          <c:idx val="14"/>
          <c:order val="14"/>
          <c:tx>
            <c:strRef>
              <c:f>'Output tables'!$A$23</c:f>
              <c:strCache>
                <c:ptCount val="1"/>
                <c:pt idx="0">
                  <c:v>PBMR</c:v>
                </c:pt>
              </c:strCache>
            </c:strRef>
          </c:tx>
          <c:cat>
            <c:numRef>
              <c:f>'Output tables'!$AP$8:$BO$8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tables'!$AP$23:$BO$23</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5"/>
          <c:order val="15"/>
          <c:tx>
            <c:strRef>
              <c:f>'Output tables'!$A$24</c:f>
              <c:strCache>
                <c:ptCount val="1"/>
                <c:pt idx="0">
                  <c:v>IGCC</c:v>
                </c:pt>
              </c:strCache>
            </c:strRef>
          </c:tx>
          <c:cat>
            <c:numRef>
              <c:f>'Output tables'!$AP$8:$BO$8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tables'!$AP$24:$BO$24</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0.55000000000000004</c:v>
                </c:pt>
                <c:pt idx="25">
                  <c:v>1.1000000000000001</c:v>
                </c:pt>
              </c:numCache>
            </c:numRef>
          </c:val>
        </c:ser>
        <c:ser>
          <c:idx val="16"/>
          <c:order val="16"/>
          <c:tx>
            <c:strRef>
              <c:f>'Output tables'!$A$25</c:f>
              <c:strCache>
                <c:ptCount val="1"/>
                <c:pt idx="0">
                  <c:v>-</c:v>
                </c:pt>
              </c:strCache>
            </c:strRef>
          </c:tx>
          <c:cat>
            <c:numRef>
              <c:f>'Output tables'!$AP$8:$BO$8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tables'!$AP$25:$BO$25</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7"/>
          <c:order val="17"/>
          <c:tx>
            <c:strRef>
              <c:f>'Output tables'!$A$26</c:f>
              <c:strCache>
                <c:ptCount val="1"/>
                <c:pt idx="0">
                  <c:v>-</c:v>
                </c:pt>
              </c:strCache>
            </c:strRef>
          </c:tx>
          <c:cat>
            <c:numRef>
              <c:f>'Output tables'!$AP$8:$BO$8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tables'!$AP$26:$BO$26</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8"/>
          <c:order val="18"/>
          <c:tx>
            <c:strRef>
              <c:f>'Output tables'!$A$27</c:f>
              <c:strCache>
                <c:ptCount val="1"/>
                <c:pt idx="0">
                  <c:v>-</c:v>
                </c:pt>
              </c:strCache>
            </c:strRef>
          </c:tx>
          <c:cat>
            <c:numRef>
              <c:f>'Output tables'!$AP$8:$BO$8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tables'!$AP$27:$BO$27</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9"/>
          <c:order val="19"/>
          <c:tx>
            <c:strRef>
              <c:f>'Output tables'!$A$28</c:f>
              <c:strCache>
                <c:ptCount val="1"/>
                <c:pt idx="0">
                  <c:v>Pumped storage</c:v>
                </c:pt>
              </c:strCache>
            </c:strRef>
          </c:tx>
          <c:cat>
            <c:numRef>
              <c:f>'Output tables'!$AP$8:$BO$8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tables'!$AP$28:$BO$28</c:f>
              <c:numCache>
                <c:formatCode>General</c:formatCode>
                <c:ptCount val="26"/>
                <c:pt idx="0">
                  <c:v>1.5799999999999998</c:v>
                </c:pt>
                <c:pt idx="1">
                  <c:v>1.5799999999999998</c:v>
                </c:pt>
                <c:pt idx="2">
                  <c:v>1.5799999999999998</c:v>
                </c:pt>
                <c:pt idx="3">
                  <c:v>1.5799999999999998</c:v>
                </c:pt>
                <c:pt idx="4">
                  <c:v>1.5799999999999998</c:v>
                </c:pt>
                <c:pt idx="5">
                  <c:v>1.5799999999999998</c:v>
                </c:pt>
                <c:pt idx="6">
                  <c:v>1.5799999999999998</c:v>
                </c:pt>
                <c:pt idx="7">
                  <c:v>1.5799999999999998</c:v>
                </c:pt>
                <c:pt idx="8">
                  <c:v>2.246</c:v>
                </c:pt>
                <c:pt idx="9">
                  <c:v>2.9119999999999999</c:v>
                </c:pt>
                <c:pt idx="10">
                  <c:v>3.5779999999999998</c:v>
                </c:pt>
                <c:pt idx="11">
                  <c:v>4.2439999999999998</c:v>
                </c:pt>
                <c:pt idx="12">
                  <c:v>4.2439999999999998</c:v>
                </c:pt>
                <c:pt idx="13">
                  <c:v>4.2439999999999998</c:v>
                </c:pt>
                <c:pt idx="14">
                  <c:v>4.2439999999999998</c:v>
                </c:pt>
                <c:pt idx="15">
                  <c:v>4.2439999999999998</c:v>
                </c:pt>
                <c:pt idx="16">
                  <c:v>4.2439999999999998</c:v>
                </c:pt>
                <c:pt idx="17">
                  <c:v>4.2439999999999998</c:v>
                </c:pt>
                <c:pt idx="18">
                  <c:v>4.2439999999999998</c:v>
                </c:pt>
                <c:pt idx="19">
                  <c:v>4.2439999999999998</c:v>
                </c:pt>
                <c:pt idx="20">
                  <c:v>4.2439999999999998</c:v>
                </c:pt>
                <c:pt idx="21">
                  <c:v>4.2439999999999998</c:v>
                </c:pt>
                <c:pt idx="22">
                  <c:v>4.2439999999999998</c:v>
                </c:pt>
                <c:pt idx="23">
                  <c:v>4.2439999999999998</c:v>
                </c:pt>
                <c:pt idx="24">
                  <c:v>4.2439999999999998</c:v>
                </c:pt>
                <c:pt idx="25">
                  <c:v>4.2439999999999998</c:v>
                </c:pt>
              </c:numCache>
            </c:numRef>
          </c:val>
        </c:ser>
        <c:axId val="105012608"/>
        <c:axId val="105034880"/>
      </c:areaChart>
      <c:catAx>
        <c:axId val="105012608"/>
        <c:scaling>
          <c:orientation val="minMax"/>
        </c:scaling>
        <c:axPos val="b"/>
        <c:numFmt formatCode="General" sourceLinked="1"/>
        <c:tickLblPos val="nextTo"/>
        <c:txPr>
          <a:bodyPr rot="-5400000" vert="horz"/>
          <a:lstStyle/>
          <a:p>
            <a:pPr>
              <a:defRPr lang="en-ZA" sz="1000" b="0" i="0" u="none" strike="noStrike" baseline="0">
                <a:solidFill>
                  <a:srgbClr val="000000"/>
                </a:solidFill>
                <a:latin typeface="Calibri"/>
                <a:ea typeface="Calibri"/>
                <a:cs typeface="Calibri"/>
              </a:defRPr>
            </a:pPr>
            <a:endParaRPr lang="en-US"/>
          </a:p>
        </c:txPr>
        <c:crossAx val="105034880"/>
        <c:crosses val="autoZero"/>
        <c:auto val="1"/>
        <c:lblAlgn val="ctr"/>
        <c:lblOffset val="100"/>
      </c:catAx>
      <c:valAx>
        <c:axId val="105034880"/>
        <c:scaling>
          <c:orientation val="minMax"/>
        </c:scaling>
        <c:axPos val="l"/>
        <c:majorGridlines/>
        <c:title>
          <c:tx>
            <c:rich>
              <a:bodyPr/>
              <a:lstStyle/>
              <a:p>
                <a:pPr>
                  <a:defRPr lang="en-ZA" sz="1000" b="0" i="0" u="none" strike="noStrike" baseline="0">
                    <a:solidFill>
                      <a:srgbClr val="000000"/>
                    </a:solidFill>
                    <a:latin typeface="Calibri"/>
                    <a:ea typeface="Calibri"/>
                    <a:cs typeface="Calibri"/>
                  </a:defRPr>
                </a:pPr>
                <a:r>
                  <a:rPr lang="en-ZA"/>
                  <a:t>GW</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5012608"/>
        <c:crosses val="autoZero"/>
        <c:crossBetween val="midCat"/>
      </c:valAx>
    </c:plotArea>
    <c:legend>
      <c:legendPos val="b"/>
      <c:layout>
        <c:manualLayout>
          <c:xMode val="edge"/>
          <c:yMode val="edge"/>
          <c:x val="1.4082070386363015E-2"/>
          <c:y val="0.64993733795445963"/>
          <c:w val="0.95688200265289503"/>
          <c:h val="0.32673939084186487"/>
        </c:manualLayout>
      </c:layout>
      <c:txPr>
        <a:bodyPr/>
        <a:lstStyle/>
        <a:p>
          <a:pPr>
            <a:defRPr lang="en-ZA" sz="845" b="0" i="0" u="none" strike="noStrike" baseline="0">
              <a:solidFill>
                <a:srgbClr val="000000"/>
              </a:solidFill>
              <a:latin typeface="Calibri"/>
              <a:ea typeface="Calibri"/>
              <a:cs typeface="Calibri"/>
            </a:defRPr>
          </a:pPr>
          <a:endParaRPr lang="en-US"/>
        </a:p>
      </c:txPr>
    </c:legend>
    <c:plotVisOnly val="1"/>
    <c:dispBlanksAs val="zero"/>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233" l="0.70000000000000062" r="0.70000000000000062" t="0.75000000000000233"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050" b="1" i="0" u="none" strike="noStrike" baseline="0">
                <a:solidFill>
                  <a:srgbClr val="000000"/>
                </a:solidFill>
                <a:latin typeface="Calibri"/>
                <a:ea typeface="Calibri"/>
                <a:cs typeface="Calibri"/>
              </a:defRPr>
            </a:pPr>
            <a:r>
              <a:rPr lang="en-ZA"/>
              <a:t>Electricity sent out - scenario</a:t>
            </a:r>
          </a:p>
        </c:rich>
      </c:tx>
      <c:overlay val="1"/>
    </c:title>
    <c:plotArea>
      <c:layout>
        <c:manualLayout>
          <c:layoutTarget val="inner"/>
          <c:xMode val="edge"/>
          <c:yMode val="edge"/>
          <c:x val="0.21528132759663379"/>
          <c:y val="7.3868967817871986E-2"/>
          <c:w val="0.72552126743406353"/>
          <c:h val="0.44392479717013883"/>
        </c:manualLayout>
      </c:layout>
      <c:areaChart>
        <c:grouping val="stacked"/>
        <c:ser>
          <c:idx val="0"/>
          <c:order val="0"/>
          <c:tx>
            <c:strRef>
              <c:f>'Output tables'!$A$38</c:f>
              <c:strCache>
                <c:ptCount val="1"/>
                <c:pt idx="0">
                  <c:v>Existing coal Large</c:v>
                </c:pt>
              </c:strCache>
            </c:strRef>
          </c:tx>
          <c:cat>
            <c:numRef>
              <c:f>'Output tables'!$AP$37:$BO$37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tables'!$AP$38:$BO$38</c:f>
              <c:numCache>
                <c:formatCode>General</c:formatCode>
                <c:ptCount val="26"/>
                <c:pt idx="0">
                  <c:v>205861.53782111834</c:v>
                </c:pt>
                <c:pt idx="1">
                  <c:v>205861.53782111834</c:v>
                </c:pt>
                <c:pt idx="2">
                  <c:v>212643.1167461767</c:v>
                </c:pt>
                <c:pt idx="3">
                  <c:v>215005.43490868001</c:v>
                </c:pt>
                <c:pt idx="4">
                  <c:v>215005.43490868001</c:v>
                </c:pt>
                <c:pt idx="5">
                  <c:v>220081.30595977066</c:v>
                </c:pt>
                <c:pt idx="6">
                  <c:v>223403.5544434257</c:v>
                </c:pt>
                <c:pt idx="7">
                  <c:v>227155.15414744781</c:v>
                </c:pt>
                <c:pt idx="8">
                  <c:v>230076.88100439601</c:v>
                </c:pt>
                <c:pt idx="9">
                  <c:v>232379.04948696808</c:v>
                </c:pt>
                <c:pt idx="10">
                  <c:v>232379.04948696808</c:v>
                </c:pt>
                <c:pt idx="11">
                  <c:v>232379.04948696808</c:v>
                </c:pt>
                <c:pt idx="12">
                  <c:v>232379.04948696808</c:v>
                </c:pt>
                <c:pt idx="13">
                  <c:v>232379.04948696808</c:v>
                </c:pt>
                <c:pt idx="14">
                  <c:v>232379.04948696808</c:v>
                </c:pt>
                <c:pt idx="15">
                  <c:v>232379.04948696808</c:v>
                </c:pt>
                <c:pt idx="16">
                  <c:v>232379.04948696808</c:v>
                </c:pt>
                <c:pt idx="17">
                  <c:v>232379.04948696808</c:v>
                </c:pt>
                <c:pt idx="18">
                  <c:v>226946.67778472271</c:v>
                </c:pt>
                <c:pt idx="19">
                  <c:v>220320.71082497219</c:v>
                </c:pt>
                <c:pt idx="20">
                  <c:v>214991.23048430041</c:v>
                </c:pt>
                <c:pt idx="21">
                  <c:v>204123.84360763311</c:v>
                </c:pt>
                <c:pt idx="22">
                  <c:v>193256.45673096576</c:v>
                </c:pt>
                <c:pt idx="23">
                  <c:v>180101.19893289483</c:v>
                </c:pt>
                <c:pt idx="24">
                  <c:v>153790.68333675293</c:v>
                </c:pt>
                <c:pt idx="25">
                  <c:v>140635.42553868194</c:v>
                </c:pt>
              </c:numCache>
            </c:numRef>
          </c:val>
        </c:ser>
        <c:ser>
          <c:idx val="1"/>
          <c:order val="1"/>
          <c:tx>
            <c:strRef>
              <c:f>'Output tables'!$A$39</c:f>
              <c:strCache>
                <c:ptCount val="1"/>
                <c:pt idx="0">
                  <c:v>Existing coal Small</c:v>
                </c:pt>
              </c:strCache>
            </c:strRef>
          </c:tx>
          <c:cat>
            <c:numRef>
              <c:f>'Output tables'!$AP$37:$BO$37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tables'!$AP$39:$BO$39</c:f>
              <c:numCache>
                <c:formatCode>General</c:formatCode>
                <c:ptCount val="26"/>
                <c:pt idx="0">
                  <c:v>11481.108051601606</c:v>
                </c:pt>
                <c:pt idx="1">
                  <c:v>11481.108051601606</c:v>
                </c:pt>
                <c:pt idx="2">
                  <c:v>11481.108051601606</c:v>
                </c:pt>
                <c:pt idx="3">
                  <c:v>11481.108051601606</c:v>
                </c:pt>
                <c:pt idx="4">
                  <c:v>11481.108051601606</c:v>
                </c:pt>
                <c:pt idx="5">
                  <c:v>12924.051645819456</c:v>
                </c:pt>
                <c:pt idx="6">
                  <c:v>13777.564401403659</c:v>
                </c:pt>
                <c:pt idx="7">
                  <c:v>13777.564401403659</c:v>
                </c:pt>
                <c:pt idx="8">
                  <c:v>13777.564401403659</c:v>
                </c:pt>
                <c:pt idx="9">
                  <c:v>13777.564401403659</c:v>
                </c:pt>
                <c:pt idx="10">
                  <c:v>13777.564401403659</c:v>
                </c:pt>
                <c:pt idx="11">
                  <c:v>13698.339826318494</c:v>
                </c:pt>
                <c:pt idx="12">
                  <c:v>13619.115251233326</c:v>
                </c:pt>
                <c:pt idx="13">
                  <c:v>13513.482484453105</c:v>
                </c:pt>
                <c:pt idx="14">
                  <c:v>13407.84971767288</c:v>
                </c:pt>
                <c:pt idx="15">
                  <c:v>11400.827148848637</c:v>
                </c:pt>
                <c:pt idx="16">
                  <c:v>9393.8045800243945</c:v>
                </c:pt>
                <c:pt idx="17">
                  <c:v>9393.8045800243945</c:v>
                </c:pt>
                <c:pt idx="18">
                  <c:v>9393.8045800243945</c:v>
                </c:pt>
                <c:pt idx="19">
                  <c:v>9393.8045800243945</c:v>
                </c:pt>
                <c:pt idx="20">
                  <c:v>8469.0483917339716</c:v>
                </c:pt>
                <c:pt idx="21">
                  <c:v>7544.2922034435505</c:v>
                </c:pt>
                <c:pt idx="22">
                  <c:v>7544.2922034435505</c:v>
                </c:pt>
                <c:pt idx="23">
                  <c:v>7544.2922034435505</c:v>
                </c:pt>
                <c:pt idx="24">
                  <c:v>7544.2922034435505</c:v>
                </c:pt>
                <c:pt idx="25">
                  <c:v>7544.2922034435505</c:v>
                </c:pt>
              </c:numCache>
            </c:numRef>
          </c:val>
        </c:ser>
        <c:ser>
          <c:idx val="2"/>
          <c:order val="2"/>
          <c:tx>
            <c:strRef>
              <c:f>'Output tables'!$A$40</c:f>
              <c:strCache>
                <c:ptCount val="1"/>
                <c:pt idx="0">
                  <c:v>OCGT liquid fuels</c:v>
                </c:pt>
              </c:strCache>
            </c:strRef>
          </c:tx>
          <c:cat>
            <c:numRef>
              <c:f>'Output tables'!$AP$37:$BO$37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tables'!$AP$40:$BO$40</c:f>
              <c:numCache>
                <c:formatCode>General</c:formatCode>
                <c:ptCount val="26"/>
                <c:pt idx="0">
                  <c:v>651.77077055999985</c:v>
                </c:pt>
                <c:pt idx="1">
                  <c:v>651.77077055999985</c:v>
                </c:pt>
                <c:pt idx="2">
                  <c:v>651.77077055999985</c:v>
                </c:pt>
                <c:pt idx="3">
                  <c:v>651.77077055999985</c:v>
                </c:pt>
                <c:pt idx="4">
                  <c:v>651.77077055999985</c:v>
                </c:pt>
                <c:pt idx="5">
                  <c:v>651.77077055999985</c:v>
                </c:pt>
                <c:pt idx="6">
                  <c:v>945.06761731199981</c:v>
                </c:pt>
                <c:pt idx="7">
                  <c:v>945.06761731199981</c:v>
                </c:pt>
                <c:pt idx="8">
                  <c:v>945.06761731199981</c:v>
                </c:pt>
                <c:pt idx="9">
                  <c:v>945.06761731199981</c:v>
                </c:pt>
                <c:pt idx="10">
                  <c:v>945.06761731199981</c:v>
                </c:pt>
                <c:pt idx="11">
                  <c:v>945.06761731199981</c:v>
                </c:pt>
                <c:pt idx="12">
                  <c:v>945.06761731199981</c:v>
                </c:pt>
                <c:pt idx="13">
                  <c:v>945.06761731199981</c:v>
                </c:pt>
                <c:pt idx="14">
                  <c:v>945.06761731199981</c:v>
                </c:pt>
                <c:pt idx="15">
                  <c:v>945.06761731199981</c:v>
                </c:pt>
                <c:pt idx="16">
                  <c:v>945.06761731199981</c:v>
                </c:pt>
                <c:pt idx="17">
                  <c:v>945.06761731199981</c:v>
                </c:pt>
                <c:pt idx="18">
                  <c:v>945.06761731199981</c:v>
                </c:pt>
                <c:pt idx="19">
                  <c:v>945.06761731199981</c:v>
                </c:pt>
                <c:pt idx="20">
                  <c:v>945.06761731199981</c:v>
                </c:pt>
                <c:pt idx="21">
                  <c:v>1140.59884848</c:v>
                </c:pt>
                <c:pt idx="22">
                  <c:v>1140.59884848</c:v>
                </c:pt>
                <c:pt idx="23">
                  <c:v>1140.59884848</c:v>
                </c:pt>
                <c:pt idx="24">
                  <c:v>1401.3071567039999</c:v>
                </c:pt>
                <c:pt idx="25">
                  <c:v>1615.5767975255997</c:v>
                </c:pt>
              </c:numCache>
            </c:numRef>
          </c:val>
        </c:ser>
        <c:ser>
          <c:idx val="3"/>
          <c:order val="3"/>
          <c:tx>
            <c:strRef>
              <c:f>'Output tables'!$A$41</c:f>
              <c:strCache>
                <c:ptCount val="1"/>
                <c:pt idx="0">
                  <c:v>PWR nuclear</c:v>
                </c:pt>
              </c:strCache>
            </c:strRef>
          </c:tx>
          <c:cat>
            <c:numRef>
              <c:f>'Output tables'!$AP$37:$BO$37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tables'!$AP$41:$BO$41</c:f>
              <c:numCache>
                <c:formatCode>General</c:formatCode>
                <c:ptCount val="26"/>
                <c:pt idx="0">
                  <c:v>13197.815999999999</c:v>
                </c:pt>
                <c:pt idx="1">
                  <c:v>13197.815999999999</c:v>
                </c:pt>
                <c:pt idx="2">
                  <c:v>13197.815999999999</c:v>
                </c:pt>
                <c:pt idx="3">
                  <c:v>13197.815999999999</c:v>
                </c:pt>
                <c:pt idx="4">
                  <c:v>13197.815999999999</c:v>
                </c:pt>
                <c:pt idx="5">
                  <c:v>13197.815999999999</c:v>
                </c:pt>
                <c:pt idx="6">
                  <c:v>13197.815999999999</c:v>
                </c:pt>
                <c:pt idx="7">
                  <c:v>13197.815999999999</c:v>
                </c:pt>
                <c:pt idx="8">
                  <c:v>13197.815999999999</c:v>
                </c:pt>
                <c:pt idx="9">
                  <c:v>13197.815999999999</c:v>
                </c:pt>
                <c:pt idx="10">
                  <c:v>13197.815999999999</c:v>
                </c:pt>
                <c:pt idx="11">
                  <c:v>13197.815999999999</c:v>
                </c:pt>
                <c:pt idx="12">
                  <c:v>13197.815999999999</c:v>
                </c:pt>
                <c:pt idx="13">
                  <c:v>13197.815999999999</c:v>
                </c:pt>
                <c:pt idx="14">
                  <c:v>13197.815999999999</c:v>
                </c:pt>
                <c:pt idx="15">
                  <c:v>13197.815999999999</c:v>
                </c:pt>
                <c:pt idx="16">
                  <c:v>13197.815999999999</c:v>
                </c:pt>
                <c:pt idx="17">
                  <c:v>13197.815999999999</c:v>
                </c:pt>
                <c:pt idx="18">
                  <c:v>13197.815999999999</c:v>
                </c:pt>
                <c:pt idx="19">
                  <c:v>13197.815999999999</c:v>
                </c:pt>
                <c:pt idx="20">
                  <c:v>13197.815999999999</c:v>
                </c:pt>
                <c:pt idx="21">
                  <c:v>13197.815999999999</c:v>
                </c:pt>
                <c:pt idx="22">
                  <c:v>13197.815999999999</c:v>
                </c:pt>
                <c:pt idx="23">
                  <c:v>13197.815999999999</c:v>
                </c:pt>
                <c:pt idx="24">
                  <c:v>13197.815999999999</c:v>
                </c:pt>
                <c:pt idx="25">
                  <c:v>13197.815999999999</c:v>
                </c:pt>
              </c:numCache>
            </c:numRef>
          </c:val>
        </c:ser>
        <c:ser>
          <c:idx val="4"/>
          <c:order val="4"/>
          <c:tx>
            <c:strRef>
              <c:f>'Output tables'!$A$42</c:f>
              <c:strCache>
                <c:ptCount val="1"/>
                <c:pt idx="0">
                  <c:v>Hydro</c:v>
                </c:pt>
              </c:strCache>
            </c:strRef>
          </c:tx>
          <c:cat>
            <c:numRef>
              <c:f>'Output tables'!$AP$37:$BO$37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tables'!$AP$42:$BO$42</c:f>
              <c:numCache>
                <c:formatCode>General</c:formatCode>
                <c:ptCount val="26"/>
                <c:pt idx="0">
                  <c:v>878.42652000000021</c:v>
                </c:pt>
                <c:pt idx="1">
                  <c:v>878.42652000000021</c:v>
                </c:pt>
                <c:pt idx="2">
                  <c:v>878.42652000000021</c:v>
                </c:pt>
                <c:pt idx="3">
                  <c:v>878.42652000000021</c:v>
                </c:pt>
                <c:pt idx="4">
                  <c:v>878.42652000000021</c:v>
                </c:pt>
                <c:pt idx="5">
                  <c:v>878.42652000000021</c:v>
                </c:pt>
                <c:pt idx="6">
                  <c:v>878.42652000000021</c:v>
                </c:pt>
                <c:pt idx="7">
                  <c:v>878.42652000000021</c:v>
                </c:pt>
                <c:pt idx="8">
                  <c:v>878.42652000000021</c:v>
                </c:pt>
                <c:pt idx="9">
                  <c:v>878.42652000000021</c:v>
                </c:pt>
                <c:pt idx="10">
                  <c:v>878.42652000000021</c:v>
                </c:pt>
                <c:pt idx="11">
                  <c:v>878.42652000000021</c:v>
                </c:pt>
                <c:pt idx="12">
                  <c:v>878.42652000000021</c:v>
                </c:pt>
                <c:pt idx="13">
                  <c:v>878.42652000000021</c:v>
                </c:pt>
                <c:pt idx="14">
                  <c:v>878.42652000000021</c:v>
                </c:pt>
                <c:pt idx="15">
                  <c:v>878.42652000000021</c:v>
                </c:pt>
                <c:pt idx="16">
                  <c:v>878.42652000000021</c:v>
                </c:pt>
                <c:pt idx="17">
                  <c:v>878.42652000000021</c:v>
                </c:pt>
                <c:pt idx="18">
                  <c:v>878.42652000000021</c:v>
                </c:pt>
                <c:pt idx="19">
                  <c:v>878.42652000000021</c:v>
                </c:pt>
                <c:pt idx="20">
                  <c:v>878.42652000000021</c:v>
                </c:pt>
                <c:pt idx="21">
                  <c:v>878.42652000000021</c:v>
                </c:pt>
                <c:pt idx="22">
                  <c:v>878.42652000000021</c:v>
                </c:pt>
                <c:pt idx="23">
                  <c:v>878.42652000000021</c:v>
                </c:pt>
                <c:pt idx="24">
                  <c:v>878.42652000000021</c:v>
                </c:pt>
                <c:pt idx="25">
                  <c:v>878.42652000000021</c:v>
                </c:pt>
              </c:numCache>
            </c:numRef>
          </c:val>
        </c:ser>
        <c:ser>
          <c:idx val="5"/>
          <c:order val="5"/>
          <c:tx>
            <c:strRef>
              <c:f>'Output tables'!$A$43</c:f>
              <c:strCache>
                <c:ptCount val="1"/>
                <c:pt idx="0">
                  <c:v>Landfill gas</c:v>
                </c:pt>
              </c:strCache>
            </c:strRef>
          </c:tx>
          <c:cat>
            <c:numRef>
              <c:f>'Output tables'!$AP$37:$BO$37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tables'!$AP$43:$BO$43</c:f>
              <c:numCache>
                <c:formatCode>General</c:formatCode>
                <c:ptCount val="26"/>
                <c:pt idx="0">
                  <c:v>524.66925000000003</c:v>
                </c:pt>
                <c:pt idx="1">
                  <c:v>524.66925000000003</c:v>
                </c:pt>
                <c:pt idx="2">
                  <c:v>524.66925000000003</c:v>
                </c:pt>
                <c:pt idx="3">
                  <c:v>524.66925000000003</c:v>
                </c:pt>
                <c:pt idx="4">
                  <c:v>524.66925000000003</c:v>
                </c:pt>
                <c:pt idx="5">
                  <c:v>524.66925000000003</c:v>
                </c:pt>
                <c:pt idx="6">
                  <c:v>524.66925000000003</c:v>
                </c:pt>
                <c:pt idx="7">
                  <c:v>524.66925000000003</c:v>
                </c:pt>
                <c:pt idx="8">
                  <c:v>524.66925000000003</c:v>
                </c:pt>
                <c:pt idx="9">
                  <c:v>524.66925000000003</c:v>
                </c:pt>
                <c:pt idx="10">
                  <c:v>524.66925000000003</c:v>
                </c:pt>
                <c:pt idx="11">
                  <c:v>524.66925000000003</c:v>
                </c:pt>
                <c:pt idx="12">
                  <c:v>524.66925000000003</c:v>
                </c:pt>
                <c:pt idx="13">
                  <c:v>524.66925000000003</c:v>
                </c:pt>
                <c:pt idx="14">
                  <c:v>524.66925000000003</c:v>
                </c:pt>
                <c:pt idx="15">
                  <c:v>524.66925000000003</c:v>
                </c:pt>
                <c:pt idx="16">
                  <c:v>524.66925000000003</c:v>
                </c:pt>
                <c:pt idx="17">
                  <c:v>524.66925000000003</c:v>
                </c:pt>
                <c:pt idx="18">
                  <c:v>524.66925000000003</c:v>
                </c:pt>
                <c:pt idx="19">
                  <c:v>524.66925000000003</c:v>
                </c:pt>
                <c:pt idx="20">
                  <c:v>524.66925000000003</c:v>
                </c:pt>
                <c:pt idx="21">
                  <c:v>524.66925000000003</c:v>
                </c:pt>
                <c:pt idx="22">
                  <c:v>524.66925000000003</c:v>
                </c:pt>
                <c:pt idx="23">
                  <c:v>524.66925000000003</c:v>
                </c:pt>
                <c:pt idx="24">
                  <c:v>524.66925000000003</c:v>
                </c:pt>
                <c:pt idx="25">
                  <c:v>524.66925000000003</c:v>
                </c:pt>
              </c:numCache>
            </c:numRef>
          </c:val>
        </c:ser>
        <c:ser>
          <c:idx val="6"/>
          <c:order val="6"/>
          <c:tx>
            <c:strRef>
              <c:f>'Output tables'!$A$44</c:f>
              <c:strCache>
                <c:ptCount val="1"/>
                <c:pt idx="0">
                  <c:v>Biomass</c:v>
                </c:pt>
              </c:strCache>
            </c:strRef>
          </c:tx>
          <c:cat>
            <c:numRef>
              <c:f>'Output tables'!$AP$37:$BO$37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tables'!$AP$44:$BO$44</c:f>
              <c:numCache>
                <c:formatCode>General</c:formatCode>
                <c:ptCount val="26"/>
                <c:pt idx="0">
                  <c:v>1502.121000000029</c:v>
                </c:pt>
                <c:pt idx="1">
                  <c:v>1502.1209999999999</c:v>
                </c:pt>
                <c:pt idx="2">
                  <c:v>1502.1209999999999</c:v>
                </c:pt>
                <c:pt idx="3">
                  <c:v>1502.1209999999999</c:v>
                </c:pt>
                <c:pt idx="4">
                  <c:v>1502.1209999999999</c:v>
                </c:pt>
                <c:pt idx="5">
                  <c:v>1502.1209999999999</c:v>
                </c:pt>
                <c:pt idx="6">
                  <c:v>1502.1209999999999</c:v>
                </c:pt>
                <c:pt idx="7">
                  <c:v>1502.1209999999999</c:v>
                </c:pt>
                <c:pt idx="8">
                  <c:v>1502.1209999999999</c:v>
                </c:pt>
                <c:pt idx="9">
                  <c:v>1502.1209999999999</c:v>
                </c:pt>
                <c:pt idx="10">
                  <c:v>1502.1209999999999</c:v>
                </c:pt>
                <c:pt idx="11">
                  <c:v>1502.1209999999999</c:v>
                </c:pt>
                <c:pt idx="12">
                  <c:v>1502.1209999999999</c:v>
                </c:pt>
                <c:pt idx="13">
                  <c:v>1502.1209999999999</c:v>
                </c:pt>
                <c:pt idx="14">
                  <c:v>1502.1209999999999</c:v>
                </c:pt>
                <c:pt idx="15">
                  <c:v>1502.1209999999999</c:v>
                </c:pt>
                <c:pt idx="16">
                  <c:v>1502.1209999999999</c:v>
                </c:pt>
                <c:pt idx="17">
                  <c:v>1502.1209999999999</c:v>
                </c:pt>
                <c:pt idx="18">
                  <c:v>1502.1209999999999</c:v>
                </c:pt>
                <c:pt idx="19">
                  <c:v>1502.1209999999999</c:v>
                </c:pt>
                <c:pt idx="20">
                  <c:v>1502.1209999999999</c:v>
                </c:pt>
                <c:pt idx="21">
                  <c:v>1502.1209999999999</c:v>
                </c:pt>
                <c:pt idx="22">
                  <c:v>1502.1209999999999</c:v>
                </c:pt>
                <c:pt idx="23">
                  <c:v>1502.1209999999999</c:v>
                </c:pt>
                <c:pt idx="24">
                  <c:v>1502.1209999999999</c:v>
                </c:pt>
                <c:pt idx="25">
                  <c:v>1502.1209999999999</c:v>
                </c:pt>
              </c:numCache>
            </c:numRef>
          </c:val>
        </c:ser>
        <c:ser>
          <c:idx val="7"/>
          <c:order val="7"/>
          <c:tx>
            <c:strRef>
              <c:f>'Output tables'!$A$45</c:f>
              <c:strCache>
                <c:ptCount val="1"/>
                <c:pt idx="0">
                  <c:v>Supercritical coal</c:v>
                </c:pt>
              </c:strCache>
            </c:strRef>
          </c:tx>
          <c:cat>
            <c:numRef>
              <c:f>'Output tables'!$AP$37:$BO$37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tables'!$AP$45:$BO$45</c:f>
              <c:numCache>
                <c:formatCode>General</c:formatCode>
                <c:ptCount val="26"/>
                <c:pt idx="0">
                  <c:v>0</c:v>
                </c:pt>
                <c:pt idx="1">
                  <c:v>0</c:v>
                </c:pt>
                <c:pt idx="2">
                  <c:v>0</c:v>
                </c:pt>
                <c:pt idx="3">
                  <c:v>0</c:v>
                </c:pt>
                <c:pt idx="4">
                  <c:v>0</c:v>
                </c:pt>
                <c:pt idx="5">
                  <c:v>0</c:v>
                </c:pt>
                <c:pt idx="6">
                  <c:v>0</c:v>
                </c:pt>
                <c:pt idx="7">
                  <c:v>1693.7365830000003</c:v>
                </c:pt>
                <c:pt idx="8">
                  <c:v>5081.2097490000015</c:v>
                </c:pt>
                <c:pt idx="9">
                  <c:v>10634.23800224124</c:v>
                </c:pt>
                <c:pt idx="10">
                  <c:v>16810.994815755548</c:v>
                </c:pt>
                <c:pt idx="11">
                  <c:v>23004.105324295513</c:v>
                </c:pt>
                <c:pt idx="12">
                  <c:v>26993.251514152627</c:v>
                </c:pt>
                <c:pt idx="13">
                  <c:v>29379.83395483479</c:v>
                </c:pt>
                <c:pt idx="14">
                  <c:v>28777.973963092143</c:v>
                </c:pt>
                <c:pt idx="15">
                  <c:v>28024.177219094479</c:v>
                </c:pt>
                <c:pt idx="16">
                  <c:v>24356.830616997791</c:v>
                </c:pt>
                <c:pt idx="17">
                  <c:v>21898.246594728091</c:v>
                </c:pt>
                <c:pt idx="18">
                  <c:v>20324.83899600001</c:v>
                </c:pt>
                <c:pt idx="19">
                  <c:v>20324.83899600001</c:v>
                </c:pt>
                <c:pt idx="20">
                  <c:v>20453.283972315145</c:v>
                </c:pt>
                <c:pt idx="21">
                  <c:v>26870.960371717756</c:v>
                </c:pt>
                <c:pt idx="22">
                  <c:v>29502.873213153161</c:v>
                </c:pt>
                <c:pt idx="23">
                  <c:v>33040.160722025088</c:v>
                </c:pt>
                <c:pt idx="24">
                  <c:v>45633.727661654295</c:v>
                </c:pt>
                <c:pt idx="25">
                  <c:v>46966.368296660425</c:v>
                </c:pt>
              </c:numCache>
            </c:numRef>
          </c:val>
        </c:ser>
        <c:ser>
          <c:idx val="8"/>
          <c:order val="8"/>
          <c:tx>
            <c:strRef>
              <c:f>'Output tables'!$A$46</c:f>
              <c:strCache>
                <c:ptCount val="1"/>
                <c:pt idx="0">
                  <c:v>Wind 30% </c:v>
                </c:pt>
              </c:strCache>
            </c:strRef>
          </c:tx>
          <c:cat>
            <c:numRef>
              <c:f>'Output tables'!$AP$37:$BO$37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tables'!$AP$46:$BO$46</c:f>
              <c:numCache>
                <c:formatCode>General</c:formatCode>
                <c:ptCount val="26"/>
                <c:pt idx="0">
                  <c:v>0</c:v>
                </c:pt>
                <c:pt idx="1">
                  <c:v>0</c:v>
                </c:pt>
                <c:pt idx="2">
                  <c:v>0</c:v>
                </c:pt>
                <c:pt idx="3">
                  <c:v>0</c:v>
                </c:pt>
                <c:pt idx="4">
                  <c:v>0</c:v>
                </c:pt>
                <c:pt idx="5">
                  <c:v>262.8</c:v>
                </c:pt>
                <c:pt idx="6">
                  <c:v>788.40000000000009</c:v>
                </c:pt>
                <c:pt idx="7">
                  <c:v>1314</c:v>
                </c:pt>
                <c:pt idx="8">
                  <c:v>2365.2000000000003</c:v>
                </c:pt>
                <c:pt idx="9">
                  <c:v>3416.4</c:v>
                </c:pt>
                <c:pt idx="10">
                  <c:v>5518.8</c:v>
                </c:pt>
                <c:pt idx="11">
                  <c:v>7621.2000000000007</c:v>
                </c:pt>
                <c:pt idx="12">
                  <c:v>10249.200000000001</c:v>
                </c:pt>
                <c:pt idx="13">
                  <c:v>12877.199999999999</c:v>
                </c:pt>
                <c:pt idx="14">
                  <c:v>16819.2</c:v>
                </c:pt>
                <c:pt idx="15">
                  <c:v>20761.2</c:v>
                </c:pt>
                <c:pt idx="16">
                  <c:v>26017.200000000001</c:v>
                </c:pt>
                <c:pt idx="17">
                  <c:v>26017.200000000001</c:v>
                </c:pt>
                <c:pt idx="18">
                  <c:v>26017.200000000001</c:v>
                </c:pt>
                <c:pt idx="19">
                  <c:v>26017.200000000001</c:v>
                </c:pt>
                <c:pt idx="20">
                  <c:v>26017.200000000001</c:v>
                </c:pt>
                <c:pt idx="21">
                  <c:v>26017.200000000001</c:v>
                </c:pt>
                <c:pt idx="22">
                  <c:v>26017.200000000001</c:v>
                </c:pt>
                <c:pt idx="23">
                  <c:v>26017.200000000001</c:v>
                </c:pt>
                <c:pt idx="24">
                  <c:v>26017.200000000001</c:v>
                </c:pt>
                <c:pt idx="25">
                  <c:v>25754.399999999998</c:v>
                </c:pt>
              </c:numCache>
            </c:numRef>
          </c:val>
        </c:ser>
        <c:ser>
          <c:idx val="9"/>
          <c:order val="9"/>
          <c:tx>
            <c:strRef>
              <c:f>'Output tables'!$A$47</c:f>
              <c:strCache>
                <c:ptCount val="1"/>
                <c:pt idx="0">
                  <c:v>Wind 25%</c:v>
                </c:pt>
              </c:strCache>
            </c:strRef>
          </c:tx>
          <c:cat>
            <c:numRef>
              <c:f>'Output tables'!$AP$37:$BO$37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tables'!$AP$47:$BO$47</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2190</c:v>
                </c:pt>
                <c:pt idx="18">
                  <c:v>4380</c:v>
                </c:pt>
                <c:pt idx="19">
                  <c:v>6570</c:v>
                </c:pt>
                <c:pt idx="20">
                  <c:v>8760</c:v>
                </c:pt>
                <c:pt idx="21">
                  <c:v>10950</c:v>
                </c:pt>
                <c:pt idx="22">
                  <c:v>13140</c:v>
                </c:pt>
                <c:pt idx="23">
                  <c:v>15330</c:v>
                </c:pt>
                <c:pt idx="24">
                  <c:v>17520</c:v>
                </c:pt>
                <c:pt idx="25">
                  <c:v>19710</c:v>
                </c:pt>
              </c:numCache>
            </c:numRef>
          </c:val>
        </c:ser>
        <c:ser>
          <c:idx val="10"/>
          <c:order val="10"/>
          <c:tx>
            <c:strRef>
              <c:f>'Output tables'!$A$48</c:f>
              <c:strCache>
                <c:ptCount val="1"/>
                <c:pt idx="0">
                  <c:v>solar thermal central reciever</c:v>
                </c:pt>
              </c:strCache>
            </c:strRef>
          </c:tx>
          <c:cat>
            <c:numRef>
              <c:f>'Output tables'!$AP$37:$BO$37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tables'!$AP$48:$BO$48</c:f>
              <c:numCache>
                <c:formatCode>General</c:formatCode>
                <c:ptCount val="26"/>
                <c:pt idx="0">
                  <c:v>0</c:v>
                </c:pt>
                <c:pt idx="1">
                  <c:v>0</c:v>
                </c:pt>
                <c:pt idx="2">
                  <c:v>0</c:v>
                </c:pt>
                <c:pt idx="3">
                  <c:v>0</c:v>
                </c:pt>
                <c:pt idx="4">
                  <c:v>0</c:v>
                </c:pt>
                <c:pt idx="5">
                  <c:v>0</c:v>
                </c:pt>
                <c:pt idx="6">
                  <c:v>0</c:v>
                </c:pt>
                <c:pt idx="7">
                  <c:v>0</c:v>
                </c:pt>
                <c:pt idx="8">
                  <c:v>0</c:v>
                </c:pt>
                <c:pt idx="9">
                  <c:v>0</c:v>
                </c:pt>
                <c:pt idx="10">
                  <c:v>525.6</c:v>
                </c:pt>
                <c:pt idx="11">
                  <c:v>1576.8000000000002</c:v>
                </c:pt>
                <c:pt idx="12">
                  <c:v>3679.2000000000003</c:v>
                </c:pt>
                <c:pt idx="13">
                  <c:v>7883.9999999999991</c:v>
                </c:pt>
                <c:pt idx="14">
                  <c:v>14191.2</c:v>
                </c:pt>
                <c:pt idx="15">
                  <c:v>22600.800000000003</c:v>
                </c:pt>
                <c:pt idx="16">
                  <c:v>33112.800000000003</c:v>
                </c:pt>
                <c:pt idx="17">
                  <c:v>43624.800000000003</c:v>
                </c:pt>
                <c:pt idx="18">
                  <c:v>59392.800000000003</c:v>
                </c:pt>
                <c:pt idx="19">
                  <c:v>75160.800000000003</c:v>
                </c:pt>
                <c:pt idx="20">
                  <c:v>90928.8</c:v>
                </c:pt>
                <c:pt idx="21">
                  <c:v>106696.8</c:v>
                </c:pt>
                <c:pt idx="22">
                  <c:v>122464.8</c:v>
                </c:pt>
                <c:pt idx="23">
                  <c:v>138232.79999999999</c:v>
                </c:pt>
                <c:pt idx="24">
                  <c:v>154000.79999999999</c:v>
                </c:pt>
                <c:pt idx="25">
                  <c:v>169768.8</c:v>
                </c:pt>
              </c:numCache>
            </c:numRef>
          </c:val>
        </c:ser>
        <c:ser>
          <c:idx val="11"/>
          <c:order val="11"/>
          <c:tx>
            <c:strRef>
              <c:f>'Output tables'!$A$49</c:f>
              <c:strCache>
                <c:ptCount val="1"/>
                <c:pt idx="0">
                  <c:v>solar thermal trough</c:v>
                </c:pt>
              </c:strCache>
            </c:strRef>
          </c:tx>
          <c:cat>
            <c:numRef>
              <c:f>'Output tables'!$AP$37:$BO$37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tables'!$AP$49:$BO$49</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2"/>
          <c:order val="12"/>
          <c:tx>
            <c:strRef>
              <c:f>'Output tables'!$A$50</c:f>
              <c:strCache>
                <c:ptCount val="1"/>
                <c:pt idx="0">
                  <c:v>solar PV</c:v>
                </c:pt>
              </c:strCache>
            </c:strRef>
          </c:tx>
          <c:cat>
            <c:numRef>
              <c:f>'Output tables'!$AP$37:$BO$37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tables'!$AP$50:$BO$50</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3"/>
          <c:order val="13"/>
          <c:tx>
            <c:strRef>
              <c:f>'Output tables'!$A$51</c:f>
              <c:strCache>
                <c:ptCount val="1"/>
                <c:pt idx="0">
                  <c:v>combined cycle gas</c:v>
                </c:pt>
              </c:strCache>
            </c:strRef>
          </c:tx>
          <c:cat>
            <c:numRef>
              <c:f>'Output tables'!$AP$37:$BO$37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tables'!$AP$51:$BO$51</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3599.5097647058824</c:v>
                </c:pt>
                <c:pt idx="23">
                  <c:v>8998.7744117647071</c:v>
                </c:pt>
                <c:pt idx="24">
                  <c:v>14398.03905882353</c:v>
                </c:pt>
                <c:pt idx="25">
                  <c:v>14398.03905882353</c:v>
                </c:pt>
              </c:numCache>
            </c:numRef>
          </c:val>
        </c:ser>
        <c:ser>
          <c:idx val="14"/>
          <c:order val="14"/>
          <c:tx>
            <c:strRef>
              <c:f>'Output tables'!$A$52</c:f>
              <c:strCache>
                <c:ptCount val="1"/>
                <c:pt idx="0">
                  <c:v>PBMR</c:v>
                </c:pt>
              </c:strCache>
            </c:strRef>
          </c:tx>
          <c:cat>
            <c:numRef>
              <c:f>'Output tables'!$AP$37:$BO$37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tables'!$AP$52:$BO$52</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5"/>
          <c:order val="15"/>
          <c:tx>
            <c:strRef>
              <c:f>'Output tables'!$A$53</c:f>
              <c:strCache>
                <c:ptCount val="1"/>
                <c:pt idx="0">
                  <c:v>IGCC</c:v>
                </c:pt>
              </c:strCache>
            </c:strRef>
          </c:tx>
          <c:cat>
            <c:numRef>
              <c:f>'Output tables'!$AP$37:$BO$37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tables'!$AP$53:$BO$53</c:f>
              <c:numCache>
                <c:formatCode>General</c:formatCode>
                <c:ptCount val="26"/>
                <c:pt idx="0">
                  <c:v>0</c:v>
                </c:pt>
                <c:pt idx="1">
                  <c:v>2.9103830456733704E-11</c:v>
                </c:pt>
                <c:pt idx="2">
                  <c:v>0</c:v>
                </c:pt>
                <c:pt idx="3">
                  <c:v>2.9103830456733704E-11</c:v>
                </c:pt>
                <c:pt idx="4">
                  <c:v>2.9103830456733704E-11</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4129.8161520000003</c:v>
                </c:pt>
                <c:pt idx="25">
                  <c:v>8259.6323040000007</c:v>
                </c:pt>
              </c:numCache>
            </c:numRef>
          </c:val>
        </c:ser>
        <c:ser>
          <c:idx val="16"/>
          <c:order val="16"/>
          <c:tx>
            <c:strRef>
              <c:f>'Output tables'!$A$54</c:f>
              <c:strCache>
                <c:ptCount val="1"/>
                <c:pt idx="0">
                  <c:v>-</c:v>
                </c:pt>
              </c:strCache>
            </c:strRef>
          </c:tx>
          <c:cat>
            <c:numRef>
              <c:f>'Output tables'!$AP$37:$BO$37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tables'!$AP$54:$BO$54</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7"/>
          <c:order val="17"/>
          <c:tx>
            <c:strRef>
              <c:f>'Output tables'!$A$55</c:f>
              <c:strCache>
                <c:ptCount val="1"/>
                <c:pt idx="0">
                  <c:v>-</c:v>
                </c:pt>
              </c:strCache>
            </c:strRef>
          </c:tx>
          <c:cat>
            <c:numRef>
              <c:f>'Output tables'!$AP$37:$BO$37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tables'!$AP$55:$BO$55</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8"/>
          <c:order val="18"/>
          <c:tx>
            <c:strRef>
              <c:f>'Output tables'!$A$56</c:f>
              <c:strCache>
                <c:ptCount val="1"/>
                <c:pt idx="0">
                  <c:v>-</c:v>
                </c:pt>
              </c:strCache>
            </c:strRef>
          </c:tx>
          <c:cat>
            <c:numRef>
              <c:f>'Output tables'!$AP$37:$BO$37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tables'!$AP$56:$BO$56</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9"/>
          <c:order val="19"/>
          <c:tx>
            <c:strRef>
              <c:f>'Output tables'!$A$57</c:f>
              <c:strCache>
                <c:ptCount val="1"/>
                <c:pt idx="0">
                  <c:v>Pumped storage</c:v>
                </c:pt>
              </c:strCache>
            </c:strRef>
          </c:tx>
          <c:cat>
            <c:numRef>
              <c:f>'Output tables'!$AP$37:$BO$37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tables'!$AP$57:$BO$57</c:f>
              <c:numCache>
                <c:formatCode>General</c:formatCode>
                <c:ptCount val="26"/>
                <c:pt idx="0">
                  <c:v>3096.0000000000005</c:v>
                </c:pt>
                <c:pt idx="1">
                  <c:v>3096.0000000000005</c:v>
                </c:pt>
                <c:pt idx="2">
                  <c:v>3096.0000000000005</c:v>
                </c:pt>
                <c:pt idx="3">
                  <c:v>3096.0000000000005</c:v>
                </c:pt>
                <c:pt idx="4">
                  <c:v>3096.0000000000005</c:v>
                </c:pt>
                <c:pt idx="5">
                  <c:v>3096.0000000000005</c:v>
                </c:pt>
                <c:pt idx="6">
                  <c:v>3096.0000000000005</c:v>
                </c:pt>
                <c:pt idx="7">
                  <c:v>3096.0000000000005</c:v>
                </c:pt>
                <c:pt idx="8">
                  <c:v>4401.0227848101276</c:v>
                </c:pt>
                <c:pt idx="9">
                  <c:v>5706.0455696202544</c:v>
                </c:pt>
                <c:pt idx="10">
                  <c:v>7011.0683544303811</c:v>
                </c:pt>
                <c:pt idx="11">
                  <c:v>8316.0911392405087</c:v>
                </c:pt>
                <c:pt idx="12">
                  <c:v>8316.0911392405087</c:v>
                </c:pt>
                <c:pt idx="13">
                  <c:v>8316.0911392405087</c:v>
                </c:pt>
                <c:pt idx="14">
                  <c:v>8316.0911392405087</c:v>
                </c:pt>
                <c:pt idx="15">
                  <c:v>8316.0911392405087</c:v>
                </c:pt>
                <c:pt idx="16">
                  <c:v>8316.0911392405087</c:v>
                </c:pt>
                <c:pt idx="17">
                  <c:v>8316.0911392405087</c:v>
                </c:pt>
                <c:pt idx="18">
                  <c:v>8316.0911392405087</c:v>
                </c:pt>
                <c:pt idx="19">
                  <c:v>8316.0911392405087</c:v>
                </c:pt>
                <c:pt idx="20">
                  <c:v>8316.0911392405087</c:v>
                </c:pt>
                <c:pt idx="21">
                  <c:v>8316.0911392405087</c:v>
                </c:pt>
                <c:pt idx="22">
                  <c:v>8316.0911392405087</c:v>
                </c:pt>
                <c:pt idx="23">
                  <c:v>8316.0911392405087</c:v>
                </c:pt>
                <c:pt idx="24">
                  <c:v>8316.0911392405087</c:v>
                </c:pt>
                <c:pt idx="25">
                  <c:v>8316.0911392405087</c:v>
                </c:pt>
              </c:numCache>
            </c:numRef>
          </c:val>
        </c:ser>
        <c:axId val="105226624"/>
        <c:axId val="105228160"/>
      </c:areaChart>
      <c:catAx>
        <c:axId val="105226624"/>
        <c:scaling>
          <c:orientation val="minMax"/>
        </c:scaling>
        <c:axPos val="b"/>
        <c:numFmt formatCode="General" sourceLinked="1"/>
        <c:tickLblPos val="nextTo"/>
        <c:txPr>
          <a:bodyPr rot="-5400000" vert="horz"/>
          <a:lstStyle/>
          <a:p>
            <a:pPr>
              <a:defRPr lang="en-ZA" sz="1000" b="0" i="0" u="none" strike="noStrike" baseline="0">
                <a:solidFill>
                  <a:srgbClr val="000000"/>
                </a:solidFill>
                <a:latin typeface="Calibri"/>
                <a:ea typeface="Calibri"/>
                <a:cs typeface="Calibri"/>
              </a:defRPr>
            </a:pPr>
            <a:endParaRPr lang="en-US"/>
          </a:p>
        </c:txPr>
        <c:crossAx val="105228160"/>
        <c:crosses val="autoZero"/>
        <c:auto val="1"/>
        <c:lblAlgn val="ctr"/>
        <c:lblOffset val="100"/>
      </c:catAx>
      <c:valAx>
        <c:axId val="105228160"/>
        <c:scaling>
          <c:orientation val="minMax"/>
        </c:scaling>
        <c:axPos val="l"/>
        <c:majorGridlines/>
        <c:title>
          <c:tx>
            <c:rich>
              <a:bodyPr/>
              <a:lstStyle/>
              <a:p>
                <a:pPr>
                  <a:defRPr lang="en-ZA" sz="1000" b="0" i="0" u="none" strike="noStrike" baseline="0">
                    <a:solidFill>
                      <a:srgbClr val="000000"/>
                    </a:solidFill>
                    <a:latin typeface="Calibri"/>
                    <a:ea typeface="Calibri"/>
                    <a:cs typeface="Calibri"/>
                  </a:defRPr>
                </a:pPr>
                <a:r>
                  <a:rPr lang="en-ZA"/>
                  <a:t>GWh</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5226624"/>
        <c:crosses val="autoZero"/>
        <c:crossBetween val="midCat"/>
      </c:valAx>
    </c:plotArea>
    <c:legend>
      <c:legendPos val="b"/>
      <c:layout>
        <c:manualLayout>
          <c:xMode val="edge"/>
          <c:yMode val="edge"/>
          <c:x val="3.6181747773331649E-2"/>
          <c:y val="0.61322473354798335"/>
          <c:w val="0.89985829640147552"/>
          <c:h val="0.36759050867629406"/>
        </c:manualLayout>
      </c:layout>
      <c:txPr>
        <a:bodyPr/>
        <a:lstStyle/>
        <a:p>
          <a:pPr>
            <a:defRPr lang="en-ZA" sz="845" b="0" i="0" u="none" strike="noStrike" baseline="0">
              <a:solidFill>
                <a:srgbClr val="000000"/>
              </a:solidFill>
              <a:latin typeface="Calibri"/>
              <a:ea typeface="Calibri"/>
              <a:cs typeface="Calibri"/>
            </a:defRPr>
          </a:pPr>
          <a:endParaRPr lang="en-US"/>
        </a:p>
      </c:txPr>
    </c:legend>
    <c:plotVisOnly val="1"/>
    <c:dispBlanksAs val="zero"/>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222" l="0.70000000000000062" r="0.70000000000000062" t="0.75000000000000222" header="0.30000000000000032" footer="0.30000000000000032"/>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050" b="1" i="0" u="none" strike="noStrike" baseline="0">
                <a:solidFill>
                  <a:srgbClr val="000000"/>
                </a:solidFill>
                <a:latin typeface="Calibri"/>
                <a:ea typeface="Calibri"/>
                <a:cs typeface="Calibri"/>
              </a:defRPr>
            </a:pPr>
            <a:r>
              <a:rPr lang="en-ZA"/>
              <a:t>Electricity system capacity - reference</a:t>
            </a:r>
          </a:p>
        </c:rich>
      </c:tx>
      <c:layout>
        <c:manualLayout>
          <c:xMode val="edge"/>
          <c:yMode val="edge"/>
          <c:x val="0.19495010492109541"/>
          <c:y val="5.4422756273702329E-3"/>
        </c:manualLayout>
      </c:layout>
      <c:overlay val="1"/>
    </c:title>
    <c:plotArea>
      <c:layout>
        <c:manualLayout>
          <c:layoutTarget val="inner"/>
          <c:xMode val="edge"/>
          <c:yMode val="edge"/>
          <c:x val="0.13495076058272068"/>
          <c:y val="5.1979645401467461E-2"/>
          <c:w val="0.80755075915238117"/>
          <c:h val="0.50813412609138142"/>
        </c:manualLayout>
      </c:layout>
      <c:areaChart>
        <c:grouping val="stacked"/>
        <c:ser>
          <c:idx val="0"/>
          <c:order val="0"/>
          <c:tx>
            <c:strRef>
              <c:f>'Ref scen Calcs'!$C$8</c:f>
              <c:strCache>
                <c:ptCount val="1"/>
                <c:pt idx="0">
                  <c:v>Existing coal Large</c:v>
                </c:pt>
              </c:strCache>
            </c:strRef>
          </c:tx>
          <c:cat>
            <c:numRef>
              <c:f>'Ref scen Calcs'!$D$7:$AC$7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'Ref scen Calcs'!$D$8:$AC$8</c:f>
              <c:numCache>
                <c:formatCode>General</c:formatCode>
                <c:ptCount val="26"/>
                <c:pt idx="0">
                  <c:v>30.471</c:v>
                </c:pt>
                <c:pt idx="1">
                  <c:v>30.471</c:v>
                </c:pt>
                <c:pt idx="2">
                  <c:v>30.471</c:v>
                </c:pt>
                <c:pt idx="3">
                  <c:v>30.471</c:v>
                </c:pt>
                <c:pt idx="4">
                  <c:v>30.471</c:v>
                </c:pt>
                <c:pt idx="5" formatCode="_(* #,##0.0_);_(* \(#,##0.0\);_(* &quot;-&quot;??_);_(@_)">
                  <c:v>30.471</c:v>
                </c:pt>
                <c:pt idx="6" formatCode="_(* #,##0.0_);_(* \(#,##0.0\);_(* &quot;-&quot;??_);_(@_)">
                  <c:v>30.471</c:v>
                </c:pt>
                <c:pt idx="7" formatCode="_(* #,##0.0_);_(* \(#,##0.0\);_(* &quot;-&quot;??_);_(@_)">
                  <c:v>30.471</c:v>
                </c:pt>
                <c:pt idx="8" formatCode="_(* #,##0.0_);_(* \(#,##0.0\);_(* &quot;-&quot;??_);_(@_)">
                  <c:v>30.471</c:v>
                </c:pt>
                <c:pt idx="9" formatCode="_(* #,##0.0_);_(* \(#,##0.0\);_(* &quot;-&quot;??_);_(@_)">
                  <c:v>30.471</c:v>
                </c:pt>
                <c:pt idx="10" formatCode="_(* #,##0.0_);_(* \(#,##0.0\);_(* &quot;-&quot;??_);_(@_)">
                  <c:v>30.471</c:v>
                </c:pt>
                <c:pt idx="11" formatCode="_(* #,##0.0_);_(* \(#,##0.0\);_(* &quot;-&quot;??_);_(@_)">
                  <c:v>30.471</c:v>
                </c:pt>
                <c:pt idx="12" formatCode="_(* #,##0.0_);_(* \(#,##0.0\);_(* &quot;-&quot;??_);_(@_)">
                  <c:v>30.471</c:v>
                </c:pt>
                <c:pt idx="13" formatCode="_(* #,##0.0_);_(* \(#,##0.0\);_(* &quot;-&quot;??_);_(@_)">
                  <c:v>30.471</c:v>
                </c:pt>
                <c:pt idx="14" formatCode="_(* #,##0.0_);_(* \(#,##0.0\);_(* &quot;-&quot;??_);_(@_)">
                  <c:v>30.471</c:v>
                </c:pt>
                <c:pt idx="15" formatCode="_(* #,##0.0_);_(* \(#,##0.0\);_(* &quot;-&quot;??_);_(@_)">
                  <c:v>30.471</c:v>
                </c:pt>
                <c:pt idx="16" formatCode="_(* #,##0.0_);_(* \(#,##0.0\);_(* &quot;-&quot;??_);_(@_)">
                  <c:v>30.471</c:v>
                </c:pt>
                <c:pt idx="17" formatCode="_(* #,##0.0_);_(* \(#,##0.0\);_(* &quot;-&quot;??_);_(@_)">
                  <c:v>30.471</c:v>
                </c:pt>
                <c:pt idx="18" formatCode="_(* #,##0.0_);_(* \(#,##0.0\);_(* &quot;-&quot;??_);_(@_)">
                  <c:v>30.471</c:v>
                </c:pt>
                <c:pt idx="19" formatCode="_(* #,##0.0_);_(* \(#,##0.0\);_(* &quot;-&quot;??_);_(@_)">
                  <c:v>29.331</c:v>
                </c:pt>
                <c:pt idx="20" formatCode="_(* #,##0.0_);_(* \(#,##0.0\);_(* &quot;-&quot;??_);_(@_)">
                  <c:v>28.190999999999999</c:v>
                </c:pt>
                <c:pt idx="21" formatCode="_(* #,##0.0_);_(* \(#,##0.0\);_(* &quot;-&quot;??_);_(@_)">
                  <c:v>26.765999999999998</c:v>
                </c:pt>
                <c:pt idx="22" formatCode="_(* #,##0.0_);_(* \(#,##0.0\);_(* &quot;-&quot;??_);_(@_)">
                  <c:v>25.340999999999998</c:v>
                </c:pt>
                <c:pt idx="23" formatCode="_(* #,##0.0_);_(* \(#,##0.0\);_(* &quot;-&quot;??_);_(@_)">
                  <c:v>23.615999999999996</c:v>
                </c:pt>
                <c:pt idx="24" formatCode="_(* #,##0.0_);_(* \(#,##0.0\);_(* &quot;-&quot;??_);_(@_)">
                  <c:v>20.165999999999997</c:v>
                </c:pt>
                <c:pt idx="25" formatCode="_(* #,##0.0_);_(* \(#,##0.0\);_(* &quot;-&quot;??_);_(@_)">
                  <c:v>18.440999999999995</c:v>
                </c:pt>
              </c:numCache>
            </c:numRef>
          </c:val>
        </c:ser>
        <c:ser>
          <c:idx val="1"/>
          <c:order val="1"/>
          <c:tx>
            <c:strRef>
              <c:f>'Ref scen Calcs'!$C$9</c:f>
              <c:strCache>
                <c:ptCount val="1"/>
                <c:pt idx="0">
                  <c:v>Existing coal Small</c:v>
                </c:pt>
              </c:strCache>
            </c:strRef>
          </c:tx>
          <c:cat>
            <c:numRef>
              <c:f>'Ref scen Calcs'!$D$7:$AC$7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'Ref scen Calcs'!$D$9:$AC$9</c:f>
              <c:numCache>
                <c:formatCode>0.00</c:formatCode>
                <c:ptCount val="26"/>
                <c:pt idx="0">
                  <c:v>5.434444444444444</c:v>
                </c:pt>
                <c:pt idx="1">
                  <c:v>5.434444444444444</c:v>
                </c:pt>
                <c:pt idx="2">
                  <c:v>5.434444444444444</c:v>
                </c:pt>
                <c:pt idx="3">
                  <c:v>5.434444444444444</c:v>
                </c:pt>
                <c:pt idx="4">
                  <c:v>5.434444444444444</c:v>
                </c:pt>
                <c:pt idx="5" formatCode="_(* #,##0.0_);_(* \(#,##0.0\);_(* &quot;-&quot;??_);_(@_)">
                  <c:v>6.1174444444444438</c:v>
                </c:pt>
                <c:pt idx="6" formatCode="_(* #,##0.0_);_(* \(#,##0.0\);_(* &quot;-&quot;??_);_(@_)">
                  <c:v>6.5214444444444437</c:v>
                </c:pt>
                <c:pt idx="7" formatCode="_(* #,##0.0_);_(* \(#,##0.0\);_(* &quot;-&quot;??_);_(@_)">
                  <c:v>6.5214444444444437</c:v>
                </c:pt>
                <c:pt idx="8" formatCode="_(* #,##0.0_);_(* \(#,##0.0\);_(* &quot;-&quot;??_);_(@_)">
                  <c:v>6.5214444444444437</c:v>
                </c:pt>
                <c:pt idx="9" formatCode="_(* #,##0.0_);_(* \(#,##0.0\);_(* &quot;-&quot;??_);_(@_)">
                  <c:v>6.5214444444444437</c:v>
                </c:pt>
                <c:pt idx="10" formatCode="_(* #,##0.0_);_(* \(#,##0.0\);_(* &quot;-&quot;??_);_(@_)">
                  <c:v>6.5214444444444437</c:v>
                </c:pt>
                <c:pt idx="11" formatCode="_(* #,##0.0_);_(* \(#,##0.0\);_(* &quot;-&quot;??_);_(@_)">
                  <c:v>6.4839444444444441</c:v>
                </c:pt>
                <c:pt idx="12" formatCode="_(* #,##0.0_);_(* \(#,##0.0\);_(* &quot;-&quot;??_);_(@_)">
                  <c:v>6.4464444444444444</c:v>
                </c:pt>
                <c:pt idx="13" formatCode="_(* #,##0.0_);_(* \(#,##0.0\);_(* &quot;-&quot;??_);_(@_)">
                  <c:v>6.3964444444444446</c:v>
                </c:pt>
                <c:pt idx="14" formatCode="_(* #,##0.0_);_(* \(#,##0.0\);_(* &quot;-&quot;??_);_(@_)">
                  <c:v>6.3464444444444448</c:v>
                </c:pt>
                <c:pt idx="15" formatCode="_(* #,##0.0_);_(* \(#,##0.0\);_(* &quot;-&quot;??_);_(@_)">
                  <c:v>5.3964444444444446</c:v>
                </c:pt>
                <c:pt idx="16" formatCode="_(* #,##0.0_);_(* \(#,##0.0\);_(* &quot;-&quot;??_);_(@_)">
                  <c:v>4.4464444444444444</c:v>
                </c:pt>
                <c:pt idx="17" formatCode="_(* #,##0.0_);_(* \(#,##0.0\);_(* &quot;-&quot;??_);_(@_)">
                  <c:v>4.4464444444444444</c:v>
                </c:pt>
                <c:pt idx="18" formatCode="_(* #,##0.0_);_(* \(#,##0.0\);_(* &quot;-&quot;??_);_(@_)">
                  <c:v>4.4464444444444444</c:v>
                </c:pt>
                <c:pt idx="19" formatCode="_(* #,##0.0_);_(* \(#,##0.0\);_(* &quot;-&quot;??_);_(@_)">
                  <c:v>4.4464444444444444</c:v>
                </c:pt>
                <c:pt idx="20" formatCode="_(* #,##0.0_);_(* \(#,##0.0\);_(* &quot;-&quot;??_);_(@_)">
                  <c:v>4.0087222222222225</c:v>
                </c:pt>
                <c:pt idx="21" formatCode="_(* #,##0.0_);_(* \(#,##0.0\);_(* &quot;-&quot;??_);_(@_)">
                  <c:v>3.5710000000000002</c:v>
                </c:pt>
                <c:pt idx="22" formatCode="_(* #,##0.0_);_(* \(#,##0.0\);_(* &quot;-&quot;??_);_(@_)">
                  <c:v>3.5710000000000002</c:v>
                </c:pt>
                <c:pt idx="23" formatCode="_(* #,##0.0_);_(* \(#,##0.0\);_(* &quot;-&quot;??_);_(@_)">
                  <c:v>3.5710000000000002</c:v>
                </c:pt>
                <c:pt idx="24" formatCode="_(* #,##0.0_);_(* \(#,##0.0\);_(* &quot;-&quot;??_);_(@_)">
                  <c:v>3.5710000000000002</c:v>
                </c:pt>
                <c:pt idx="25" formatCode="_(* #,##0.0_);_(* \(#,##0.0\);_(* &quot;-&quot;??_);_(@_)">
                  <c:v>3.5710000000000002</c:v>
                </c:pt>
              </c:numCache>
            </c:numRef>
          </c:val>
        </c:ser>
        <c:ser>
          <c:idx val="2"/>
          <c:order val="2"/>
          <c:tx>
            <c:strRef>
              <c:f>'Ref scen Calcs'!$C$10</c:f>
              <c:strCache>
                <c:ptCount val="1"/>
                <c:pt idx="0">
                  <c:v>OCGT liquid fuels</c:v>
                </c:pt>
              </c:strCache>
            </c:strRef>
          </c:tx>
          <c:cat>
            <c:numRef>
              <c:f>'Ref scen Calcs'!$D$7:$AC$7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'Ref scen Calcs'!$D$10:$AC$10</c:f>
              <c:numCache>
                <c:formatCode>General</c:formatCode>
                <c:ptCount val="26"/>
                <c:pt idx="0" formatCode="0.0">
                  <c:v>2.4</c:v>
                </c:pt>
                <c:pt idx="1">
                  <c:v>2.4</c:v>
                </c:pt>
                <c:pt idx="2">
                  <c:v>2.4</c:v>
                </c:pt>
                <c:pt idx="3">
                  <c:v>2.4</c:v>
                </c:pt>
                <c:pt idx="4">
                  <c:v>2.4</c:v>
                </c:pt>
                <c:pt idx="5" formatCode="_(* #,##0.0_);_(* \(#,##0.0\);_(* &quot;-&quot;??_);_(@_)">
                  <c:v>2.4</c:v>
                </c:pt>
                <c:pt idx="6" formatCode="_(* #,##0.0_);_(* \(#,##0.0\);_(* &quot;-&quot;??_);_(@_)">
                  <c:v>3.48</c:v>
                </c:pt>
                <c:pt idx="7" formatCode="_(* #,##0.0_);_(* \(#,##0.0\);_(* &quot;-&quot;??_);_(@_)">
                  <c:v>3.48</c:v>
                </c:pt>
                <c:pt idx="8" formatCode="_(* #,##0.0_);_(* \(#,##0.0\);_(* &quot;-&quot;??_);_(@_)">
                  <c:v>3.48</c:v>
                </c:pt>
                <c:pt idx="9" formatCode="_(* #,##0.0_);_(* \(#,##0.0\);_(* &quot;-&quot;??_);_(@_)">
                  <c:v>3.48</c:v>
                </c:pt>
                <c:pt idx="10" formatCode="_(* #,##0.0_);_(* \(#,##0.0\);_(* &quot;-&quot;??_);_(@_)">
                  <c:v>3.48</c:v>
                </c:pt>
                <c:pt idx="11" formatCode="_(* #,##0.0_);_(* \(#,##0.0\);_(* &quot;-&quot;??_);_(@_)">
                  <c:v>3.48</c:v>
                </c:pt>
                <c:pt idx="12" formatCode="_(* #,##0.0_);_(* \(#,##0.0\);_(* &quot;-&quot;??_);_(@_)">
                  <c:v>3.48</c:v>
                </c:pt>
                <c:pt idx="13" formatCode="_(* #,##0.0_);_(* \(#,##0.0\);_(* &quot;-&quot;??_);_(@_)">
                  <c:v>3.48</c:v>
                </c:pt>
                <c:pt idx="14" formatCode="_(* #,##0.0_);_(* \(#,##0.0\);_(* &quot;-&quot;??_);_(@_)">
                  <c:v>3.48</c:v>
                </c:pt>
                <c:pt idx="15" formatCode="_(* #,##0.0_);_(* \(#,##0.0\);_(* &quot;-&quot;??_);_(@_)">
                  <c:v>3.48</c:v>
                </c:pt>
                <c:pt idx="16" formatCode="_(* #,##0.0_);_(* \(#,##0.0\);_(* &quot;-&quot;??_);_(@_)">
                  <c:v>3.48</c:v>
                </c:pt>
                <c:pt idx="17" formatCode="_(* #,##0.0_);_(* \(#,##0.0\);_(* &quot;-&quot;??_);_(@_)">
                  <c:v>3.48</c:v>
                </c:pt>
                <c:pt idx="18" formatCode="_(* #,##0.0_);_(* \(#,##0.0\);_(* &quot;-&quot;??_);_(@_)">
                  <c:v>4.2</c:v>
                </c:pt>
                <c:pt idx="19" formatCode="_(* #,##0.0_);_(* \(#,##0.0\);_(* &quot;-&quot;??_);_(@_)">
                  <c:v>4.2</c:v>
                </c:pt>
                <c:pt idx="20" formatCode="_(* #,##0.0_);_(* \(#,##0.0\);_(* &quot;-&quot;??_);_(@_)">
                  <c:v>4.2</c:v>
                </c:pt>
                <c:pt idx="21" formatCode="_(* #,##0.0_);_(* \(#,##0.0\);_(* &quot;-&quot;??_);_(@_)">
                  <c:v>4.92</c:v>
                </c:pt>
                <c:pt idx="22" formatCode="_(* #,##0.0_);_(* \(#,##0.0\);_(* &quot;-&quot;??_);_(@_)">
                  <c:v>4.92</c:v>
                </c:pt>
                <c:pt idx="23" formatCode="_(* #,##0.0_);_(* \(#,##0.0\);_(* &quot;-&quot;??_);_(@_)">
                  <c:v>4.92</c:v>
                </c:pt>
                <c:pt idx="24" formatCode="_(* #,##0.0_);_(* \(#,##0.0\);_(* &quot;-&quot;??_);_(@_)">
                  <c:v>5.64</c:v>
                </c:pt>
                <c:pt idx="25" formatCode="_(* #,##0.0_);_(* \(#,##0.0\);_(* &quot;-&quot;??_);_(@_)">
                  <c:v>5.4689999999999994</c:v>
                </c:pt>
              </c:numCache>
            </c:numRef>
          </c:val>
        </c:ser>
        <c:ser>
          <c:idx val="3"/>
          <c:order val="3"/>
          <c:tx>
            <c:strRef>
              <c:f>'Ref scen Calcs'!$C$11</c:f>
              <c:strCache>
                <c:ptCount val="1"/>
                <c:pt idx="0">
                  <c:v>PWR nuclear</c:v>
                </c:pt>
              </c:strCache>
            </c:strRef>
          </c:tx>
          <c:cat>
            <c:numRef>
              <c:f>'Ref scen Calcs'!$D$7:$AC$7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'Ref scen Calcs'!$D$11:$AC$11</c:f>
              <c:numCache>
                <c:formatCode>General</c:formatCode>
                <c:ptCount val="26"/>
                <c:pt idx="0">
                  <c:v>1.8</c:v>
                </c:pt>
                <c:pt idx="1">
                  <c:v>1.8</c:v>
                </c:pt>
                <c:pt idx="2">
                  <c:v>1.8</c:v>
                </c:pt>
                <c:pt idx="3">
                  <c:v>1.8</c:v>
                </c:pt>
                <c:pt idx="4">
                  <c:v>1.8</c:v>
                </c:pt>
                <c:pt idx="5" formatCode="_(* #,##0.0_);_(* \(#,##0.0\);_(* &quot;-&quot;??_);_(@_)">
                  <c:v>1.8</c:v>
                </c:pt>
                <c:pt idx="6" formatCode="_(* #,##0.0_);_(* \(#,##0.0\);_(* &quot;-&quot;??_);_(@_)">
                  <c:v>1.8</c:v>
                </c:pt>
                <c:pt idx="7" formatCode="_(* #,##0.0_);_(* \(#,##0.0\);_(* &quot;-&quot;??_);_(@_)">
                  <c:v>1.8</c:v>
                </c:pt>
                <c:pt idx="8" formatCode="_(* #,##0.0_);_(* \(#,##0.0\);_(* &quot;-&quot;??_);_(@_)">
                  <c:v>1.8</c:v>
                </c:pt>
                <c:pt idx="9" formatCode="_(* #,##0.0_);_(* \(#,##0.0\);_(* &quot;-&quot;??_);_(@_)">
                  <c:v>1.8</c:v>
                </c:pt>
                <c:pt idx="10" formatCode="_(* #,##0.0_);_(* \(#,##0.0\);_(* &quot;-&quot;??_);_(@_)">
                  <c:v>1.8</c:v>
                </c:pt>
                <c:pt idx="11" formatCode="_(* #,##0.0_);_(* \(#,##0.0\);_(* &quot;-&quot;??_);_(@_)">
                  <c:v>1.8</c:v>
                </c:pt>
                <c:pt idx="12" formatCode="_(* #,##0.0_);_(* \(#,##0.0\);_(* &quot;-&quot;??_);_(@_)">
                  <c:v>1.8</c:v>
                </c:pt>
                <c:pt idx="13" formatCode="_(* #,##0.0_);_(* \(#,##0.0\);_(* &quot;-&quot;??_);_(@_)">
                  <c:v>1.8</c:v>
                </c:pt>
                <c:pt idx="14" formatCode="_(* #,##0.0_);_(* \(#,##0.0\);_(* &quot;-&quot;??_);_(@_)">
                  <c:v>1.8</c:v>
                </c:pt>
                <c:pt idx="15" formatCode="_(* #,##0.0_);_(* \(#,##0.0\);_(* &quot;-&quot;??_);_(@_)">
                  <c:v>1.8</c:v>
                </c:pt>
                <c:pt idx="16" formatCode="_(* #,##0.0_);_(* \(#,##0.0\);_(* &quot;-&quot;??_);_(@_)">
                  <c:v>1.8</c:v>
                </c:pt>
                <c:pt idx="17" formatCode="_(* #,##0.0_);_(* \(#,##0.0\);_(* &quot;-&quot;??_);_(@_)">
                  <c:v>1.8</c:v>
                </c:pt>
                <c:pt idx="18" formatCode="_(* #,##0.0_);_(* \(#,##0.0\);_(* &quot;-&quot;??_);_(@_)">
                  <c:v>1.8</c:v>
                </c:pt>
                <c:pt idx="19" formatCode="_(* #,##0.0_);_(* \(#,##0.0\);_(* &quot;-&quot;??_);_(@_)">
                  <c:v>1.8</c:v>
                </c:pt>
                <c:pt idx="20" formatCode="_(* #,##0.0_);_(* \(#,##0.0\);_(* &quot;-&quot;??_);_(@_)">
                  <c:v>1.8</c:v>
                </c:pt>
                <c:pt idx="21" formatCode="_(* #,##0.0_);_(* \(#,##0.0\);_(* &quot;-&quot;??_);_(@_)">
                  <c:v>1.8</c:v>
                </c:pt>
                <c:pt idx="22" formatCode="_(* #,##0.0_);_(* \(#,##0.0\);_(* &quot;-&quot;??_);_(@_)">
                  <c:v>1.8</c:v>
                </c:pt>
                <c:pt idx="23" formatCode="_(* #,##0.0_);_(* \(#,##0.0\);_(* &quot;-&quot;??_);_(@_)">
                  <c:v>1.8</c:v>
                </c:pt>
                <c:pt idx="24" formatCode="_(* #,##0.0_);_(* \(#,##0.0\);_(* &quot;-&quot;??_);_(@_)">
                  <c:v>1.8</c:v>
                </c:pt>
                <c:pt idx="25" formatCode="_(* #,##0.0_);_(* \(#,##0.0\);_(* &quot;-&quot;??_);_(@_)">
                  <c:v>1.8</c:v>
                </c:pt>
              </c:numCache>
            </c:numRef>
          </c:val>
        </c:ser>
        <c:ser>
          <c:idx val="4"/>
          <c:order val="4"/>
          <c:tx>
            <c:strRef>
              <c:f>'Ref scen Calcs'!$C$12</c:f>
              <c:strCache>
                <c:ptCount val="1"/>
                <c:pt idx="0">
                  <c:v>Hydro</c:v>
                </c:pt>
              </c:strCache>
            </c:strRef>
          </c:tx>
          <c:cat>
            <c:numRef>
              <c:f>'Ref scen Calcs'!$D$7:$AC$7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'Ref scen Calcs'!$D$12:$AC$12</c:f>
              <c:numCache>
                <c:formatCode>General</c:formatCode>
                <c:ptCount val="26"/>
                <c:pt idx="0">
                  <c:v>0.66500000000000004</c:v>
                </c:pt>
                <c:pt idx="1">
                  <c:v>0.66500000000000004</c:v>
                </c:pt>
                <c:pt idx="2">
                  <c:v>0.66500000000000004</c:v>
                </c:pt>
                <c:pt idx="3">
                  <c:v>0.66500000000000004</c:v>
                </c:pt>
                <c:pt idx="4">
                  <c:v>0.66500000000000004</c:v>
                </c:pt>
                <c:pt idx="5" formatCode="_(* #,##0.0_);_(* \(#,##0.0\);_(* &quot;-&quot;??_);_(@_)">
                  <c:v>0.66500000000000004</c:v>
                </c:pt>
                <c:pt idx="6" formatCode="_(* #,##0.0_);_(* \(#,##0.0\);_(* &quot;-&quot;??_);_(@_)">
                  <c:v>0.66500000000000004</c:v>
                </c:pt>
                <c:pt idx="7" formatCode="_(* #,##0.0_);_(* \(#,##0.0\);_(* &quot;-&quot;??_);_(@_)">
                  <c:v>0.66500000000000004</c:v>
                </c:pt>
                <c:pt idx="8" formatCode="_(* #,##0.0_);_(* \(#,##0.0\);_(* &quot;-&quot;??_);_(@_)">
                  <c:v>0.66500000000000004</c:v>
                </c:pt>
                <c:pt idx="9" formatCode="_(* #,##0.0_);_(* \(#,##0.0\);_(* &quot;-&quot;??_);_(@_)">
                  <c:v>0.66500000000000004</c:v>
                </c:pt>
                <c:pt idx="10" formatCode="_(* #,##0.0_);_(* \(#,##0.0\);_(* &quot;-&quot;??_);_(@_)">
                  <c:v>0.66500000000000004</c:v>
                </c:pt>
                <c:pt idx="11" formatCode="_(* #,##0.0_);_(* \(#,##0.0\);_(* &quot;-&quot;??_);_(@_)">
                  <c:v>0.66500000000000004</c:v>
                </c:pt>
                <c:pt idx="12" formatCode="_(* #,##0.0_);_(* \(#,##0.0\);_(* &quot;-&quot;??_);_(@_)">
                  <c:v>0.66500000000000004</c:v>
                </c:pt>
                <c:pt idx="13" formatCode="_(* #,##0.0_);_(* \(#,##0.0\);_(* &quot;-&quot;??_);_(@_)">
                  <c:v>0.66500000000000004</c:v>
                </c:pt>
                <c:pt idx="14" formatCode="_(* #,##0.0_);_(* \(#,##0.0\);_(* &quot;-&quot;??_);_(@_)">
                  <c:v>0.66500000000000004</c:v>
                </c:pt>
                <c:pt idx="15" formatCode="_(* #,##0.0_);_(* \(#,##0.0\);_(* &quot;-&quot;??_);_(@_)">
                  <c:v>0.66500000000000004</c:v>
                </c:pt>
                <c:pt idx="16" formatCode="_(* #,##0.0_);_(* \(#,##0.0\);_(* &quot;-&quot;??_);_(@_)">
                  <c:v>0.66500000000000004</c:v>
                </c:pt>
                <c:pt idx="17" formatCode="_(* #,##0.0_);_(* \(#,##0.0\);_(* &quot;-&quot;??_);_(@_)">
                  <c:v>0.66500000000000004</c:v>
                </c:pt>
                <c:pt idx="18" formatCode="_(* #,##0.0_);_(* \(#,##0.0\);_(* &quot;-&quot;??_);_(@_)">
                  <c:v>0.66500000000000004</c:v>
                </c:pt>
                <c:pt idx="19" formatCode="_(* #,##0.0_);_(* \(#,##0.0\);_(* &quot;-&quot;??_);_(@_)">
                  <c:v>0.66500000000000004</c:v>
                </c:pt>
                <c:pt idx="20" formatCode="_(* #,##0.0_);_(* \(#,##0.0\);_(* &quot;-&quot;??_);_(@_)">
                  <c:v>0.66500000000000004</c:v>
                </c:pt>
                <c:pt idx="21" formatCode="_(* #,##0.0_);_(* \(#,##0.0\);_(* &quot;-&quot;??_);_(@_)">
                  <c:v>0.66500000000000004</c:v>
                </c:pt>
                <c:pt idx="22" formatCode="_(* #,##0.0_);_(* \(#,##0.0\);_(* &quot;-&quot;??_);_(@_)">
                  <c:v>0.66500000000000004</c:v>
                </c:pt>
                <c:pt idx="23" formatCode="_(* #,##0.0_);_(* \(#,##0.0\);_(* &quot;-&quot;??_);_(@_)">
                  <c:v>0.66500000000000004</c:v>
                </c:pt>
                <c:pt idx="24" formatCode="_(* #,##0.0_);_(* \(#,##0.0\);_(* &quot;-&quot;??_);_(@_)">
                  <c:v>0.66500000000000004</c:v>
                </c:pt>
                <c:pt idx="25" formatCode="_(* #,##0.0_);_(* \(#,##0.0\);_(* &quot;-&quot;??_);_(@_)">
                  <c:v>0.66500000000000004</c:v>
                </c:pt>
              </c:numCache>
            </c:numRef>
          </c:val>
        </c:ser>
        <c:ser>
          <c:idx val="5"/>
          <c:order val="5"/>
          <c:tx>
            <c:strRef>
              <c:f>'Ref scen Calcs'!$C$13</c:f>
              <c:strCache>
                <c:ptCount val="1"/>
                <c:pt idx="0">
                  <c:v>Landfill gas</c:v>
                </c:pt>
              </c:strCache>
            </c:strRef>
          </c:tx>
          <c:cat>
            <c:numRef>
              <c:f>'Ref scen Calcs'!$D$7:$AC$7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'Ref scen Calcs'!$D$13:$AC$13</c:f>
              <c:numCache>
                <c:formatCode>General</c:formatCode>
                <c:ptCount val="26"/>
                <c:pt idx="0">
                  <c:v>7.0000000000000007E-2</c:v>
                </c:pt>
                <c:pt idx="1">
                  <c:v>7.0000000000000007E-2</c:v>
                </c:pt>
                <c:pt idx="2">
                  <c:v>7.0000000000000007E-2</c:v>
                </c:pt>
                <c:pt idx="3">
                  <c:v>7.0000000000000007E-2</c:v>
                </c:pt>
                <c:pt idx="4">
                  <c:v>7.0000000000000007E-2</c:v>
                </c:pt>
                <c:pt idx="5" formatCode="_(* #,##0.0_);_(* \(#,##0.0\);_(* &quot;-&quot;??_);_(@_)">
                  <c:v>7.0000000000000007E-2</c:v>
                </c:pt>
                <c:pt idx="6" formatCode="_(* #,##0.0_);_(* \(#,##0.0\);_(* &quot;-&quot;??_);_(@_)">
                  <c:v>7.0000000000000007E-2</c:v>
                </c:pt>
                <c:pt idx="7" formatCode="_(* #,##0.0_);_(* \(#,##0.0\);_(* &quot;-&quot;??_);_(@_)">
                  <c:v>7.0000000000000007E-2</c:v>
                </c:pt>
                <c:pt idx="8" formatCode="_(* #,##0.0_);_(* \(#,##0.0\);_(* &quot;-&quot;??_);_(@_)">
                  <c:v>7.0000000000000007E-2</c:v>
                </c:pt>
                <c:pt idx="9" formatCode="_(* #,##0.0_);_(* \(#,##0.0\);_(* &quot;-&quot;??_);_(@_)">
                  <c:v>7.0000000000000007E-2</c:v>
                </c:pt>
                <c:pt idx="10" formatCode="_(* #,##0.0_);_(* \(#,##0.0\);_(* &quot;-&quot;??_);_(@_)">
                  <c:v>7.0000000000000007E-2</c:v>
                </c:pt>
                <c:pt idx="11" formatCode="_(* #,##0.0_);_(* \(#,##0.0\);_(* &quot;-&quot;??_);_(@_)">
                  <c:v>7.0000000000000007E-2</c:v>
                </c:pt>
                <c:pt idx="12" formatCode="_(* #,##0.0_);_(* \(#,##0.0\);_(* &quot;-&quot;??_);_(@_)">
                  <c:v>7.0000000000000007E-2</c:v>
                </c:pt>
                <c:pt idx="13" formatCode="_(* #,##0.0_);_(* \(#,##0.0\);_(* &quot;-&quot;??_);_(@_)">
                  <c:v>7.0000000000000007E-2</c:v>
                </c:pt>
                <c:pt idx="14" formatCode="_(* #,##0.0_);_(* \(#,##0.0\);_(* &quot;-&quot;??_);_(@_)">
                  <c:v>7.0000000000000007E-2</c:v>
                </c:pt>
                <c:pt idx="15" formatCode="_(* #,##0.0_);_(* \(#,##0.0\);_(* &quot;-&quot;??_);_(@_)">
                  <c:v>7.0000000000000007E-2</c:v>
                </c:pt>
                <c:pt idx="16" formatCode="_(* #,##0.0_);_(* \(#,##0.0\);_(* &quot;-&quot;??_);_(@_)">
                  <c:v>7.0000000000000007E-2</c:v>
                </c:pt>
                <c:pt idx="17" formatCode="_(* #,##0.0_);_(* \(#,##0.0\);_(* &quot;-&quot;??_);_(@_)">
                  <c:v>7.0000000000000007E-2</c:v>
                </c:pt>
                <c:pt idx="18" formatCode="_(* #,##0.0_);_(* \(#,##0.0\);_(* &quot;-&quot;??_);_(@_)">
                  <c:v>7.0000000000000007E-2</c:v>
                </c:pt>
                <c:pt idx="19" formatCode="_(* #,##0.0_);_(* \(#,##0.0\);_(* &quot;-&quot;??_);_(@_)">
                  <c:v>7.0000000000000007E-2</c:v>
                </c:pt>
                <c:pt idx="20" formatCode="_(* #,##0.0_);_(* \(#,##0.0\);_(* &quot;-&quot;??_);_(@_)">
                  <c:v>7.0000000000000007E-2</c:v>
                </c:pt>
                <c:pt idx="21" formatCode="_(* #,##0.0_);_(* \(#,##0.0\);_(* &quot;-&quot;??_);_(@_)">
                  <c:v>7.0000000000000007E-2</c:v>
                </c:pt>
                <c:pt idx="22" formatCode="_(* #,##0.0_);_(* \(#,##0.0\);_(* &quot;-&quot;??_);_(@_)">
                  <c:v>7.0000000000000007E-2</c:v>
                </c:pt>
                <c:pt idx="23" formatCode="_(* #,##0.0_);_(* \(#,##0.0\);_(* &quot;-&quot;??_);_(@_)">
                  <c:v>7.0000000000000007E-2</c:v>
                </c:pt>
                <c:pt idx="24" formatCode="_(* #,##0.0_);_(* \(#,##0.0\);_(* &quot;-&quot;??_);_(@_)">
                  <c:v>7.0000000000000007E-2</c:v>
                </c:pt>
                <c:pt idx="25" formatCode="_(* #,##0.0_);_(* \(#,##0.0\);_(* &quot;-&quot;??_);_(@_)">
                  <c:v>7.0000000000000007E-2</c:v>
                </c:pt>
              </c:numCache>
            </c:numRef>
          </c:val>
        </c:ser>
        <c:ser>
          <c:idx val="6"/>
          <c:order val="6"/>
          <c:tx>
            <c:strRef>
              <c:f>'Ref scen Calcs'!$C$14</c:f>
              <c:strCache>
                <c:ptCount val="1"/>
                <c:pt idx="0">
                  <c:v>Biomass</c:v>
                </c:pt>
              </c:strCache>
            </c:strRef>
          </c:tx>
          <c:cat>
            <c:numRef>
              <c:f>'Ref scen Calcs'!$D$7:$AC$7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'Ref scen Calcs'!$D$14:$AC$14</c:f>
              <c:numCache>
                <c:formatCode>General</c:formatCode>
                <c:ptCount val="26"/>
                <c:pt idx="0">
                  <c:v>0.19</c:v>
                </c:pt>
                <c:pt idx="1">
                  <c:v>0.19</c:v>
                </c:pt>
                <c:pt idx="2">
                  <c:v>0.19</c:v>
                </c:pt>
                <c:pt idx="3">
                  <c:v>0.19</c:v>
                </c:pt>
                <c:pt idx="4">
                  <c:v>0.19</c:v>
                </c:pt>
                <c:pt idx="5" formatCode="_(* #,##0.0_);_(* \(#,##0.0\);_(* &quot;-&quot;??_);_(@_)">
                  <c:v>0.19</c:v>
                </c:pt>
                <c:pt idx="6" formatCode="_(* #,##0.0_);_(* \(#,##0.0\);_(* &quot;-&quot;??_);_(@_)">
                  <c:v>0.19</c:v>
                </c:pt>
                <c:pt idx="7" formatCode="_(* #,##0.0_);_(* \(#,##0.0\);_(* &quot;-&quot;??_);_(@_)">
                  <c:v>0.19</c:v>
                </c:pt>
                <c:pt idx="8" formatCode="_(* #,##0.0_);_(* \(#,##0.0\);_(* &quot;-&quot;??_);_(@_)">
                  <c:v>0.19</c:v>
                </c:pt>
                <c:pt idx="9" formatCode="_(* #,##0.0_);_(* \(#,##0.0\);_(* &quot;-&quot;??_);_(@_)">
                  <c:v>0.19</c:v>
                </c:pt>
                <c:pt idx="10" formatCode="_(* #,##0.0_);_(* \(#,##0.0\);_(* &quot;-&quot;??_);_(@_)">
                  <c:v>0.19</c:v>
                </c:pt>
                <c:pt idx="11" formatCode="_(* #,##0.0_);_(* \(#,##0.0\);_(* &quot;-&quot;??_);_(@_)">
                  <c:v>0.19</c:v>
                </c:pt>
                <c:pt idx="12" formatCode="_(* #,##0.0_);_(* \(#,##0.0\);_(* &quot;-&quot;??_);_(@_)">
                  <c:v>0.19</c:v>
                </c:pt>
                <c:pt idx="13" formatCode="_(* #,##0.0_);_(* \(#,##0.0\);_(* &quot;-&quot;??_);_(@_)">
                  <c:v>0.19</c:v>
                </c:pt>
                <c:pt idx="14" formatCode="_(* #,##0.0_);_(* \(#,##0.0\);_(* &quot;-&quot;??_);_(@_)">
                  <c:v>0.19</c:v>
                </c:pt>
                <c:pt idx="15" formatCode="_(* #,##0.0_);_(* \(#,##0.0\);_(* &quot;-&quot;??_);_(@_)">
                  <c:v>0.19</c:v>
                </c:pt>
                <c:pt idx="16" formatCode="_(* #,##0.0_);_(* \(#,##0.0\);_(* &quot;-&quot;??_);_(@_)">
                  <c:v>0.19</c:v>
                </c:pt>
                <c:pt idx="17" formatCode="_(* #,##0.0_);_(* \(#,##0.0\);_(* &quot;-&quot;??_);_(@_)">
                  <c:v>0.19</c:v>
                </c:pt>
                <c:pt idx="18" formatCode="_(* #,##0.0_);_(* \(#,##0.0\);_(* &quot;-&quot;??_);_(@_)">
                  <c:v>0.19</c:v>
                </c:pt>
                <c:pt idx="19" formatCode="_(* #,##0.0_);_(* \(#,##0.0\);_(* &quot;-&quot;??_);_(@_)">
                  <c:v>0.19</c:v>
                </c:pt>
                <c:pt idx="20" formatCode="_(* #,##0.0_);_(* \(#,##0.0\);_(* &quot;-&quot;??_);_(@_)">
                  <c:v>0.19</c:v>
                </c:pt>
                <c:pt idx="21" formatCode="_(* #,##0.0_);_(* \(#,##0.0\);_(* &quot;-&quot;??_);_(@_)">
                  <c:v>0.19</c:v>
                </c:pt>
                <c:pt idx="22" formatCode="_(* #,##0.0_);_(* \(#,##0.0\);_(* &quot;-&quot;??_);_(@_)">
                  <c:v>0.19</c:v>
                </c:pt>
                <c:pt idx="23" formatCode="_(* #,##0.0_);_(* \(#,##0.0\);_(* &quot;-&quot;??_);_(@_)">
                  <c:v>0.19</c:v>
                </c:pt>
                <c:pt idx="24" formatCode="_(* #,##0.0_);_(* \(#,##0.0\);_(* &quot;-&quot;??_);_(@_)">
                  <c:v>0.19</c:v>
                </c:pt>
                <c:pt idx="25" formatCode="_(* #,##0.0_);_(* \(#,##0.0\);_(* &quot;-&quot;??_);_(@_)">
                  <c:v>0.19</c:v>
                </c:pt>
              </c:numCache>
            </c:numRef>
          </c:val>
        </c:ser>
        <c:ser>
          <c:idx val="7"/>
          <c:order val="7"/>
          <c:tx>
            <c:strRef>
              <c:f>'Ref scen Calcs'!$C$15</c:f>
              <c:strCache>
                <c:ptCount val="1"/>
                <c:pt idx="0">
                  <c:v>Supercritical coal</c:v>
                </c:pt>
              </c:strCache>
            </c:strRef>
          </c:tx>
          <c:cat>
            <c:numRef>
              <c:f>'Ref scen Calcs'!$D$7:$AC$7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'Ref scen Calcs'!$D$15:$AC$15</c:f>
              <c:numCache>
                <c:formatCode>General</c:formatCode>
                <c:ptCount val="26"/>
                <c:pt idx="0">
                  <c:v>0</c:v>
                </c:pt>
                <c:pt idx="1">
                  <c:v>0</c:v>
                </c:pt>
                <c:pt idx="2">
                  <c:v>0</c:v>
                </c:pt>
                <c:pt idx="3">
                  <c:v>0</c:v>
                </c:pt>
                <c:pt idx="4">
                  <c:v>0</c:v>
                </c:pt>
                <c:pt idx="5" formatCode="_(* #,##0.0_);_(* \(#,##0.0\);_(* &quot;-&quot;??_);_(@_)">
                  <c:v>0</c:v>
                </c:pt>
                <c:pt idx="6" formatCode="_(* #,##0.0_);_(* \(#,##0.0\);_(* &quot;-&quot;??_);_(@_)">
                  <c:v>0</c:v>
                </c:pt>
                <c:pt idx="7" formatCode="_(* #,##0.0_);_(* \(#,##0.0\);_(* &quot;-&quot;??_);_(@_)">
                  <c:v>0.79400000000000004</c:v>
                </c:pt>
                <c:pt idx="8" formatCode="_(* #,##0.0_);_(* \(#,##0.0\);_(* &quot;-&quot;??_);_(@_)">
                  <c:v>2.3820000000000001</c:v>
                </c:pt>
                <c:pt idx="9" formatCode="_(* #,##0.0_);_(* \(#,##0.0\);_(* &quot;-&quot;??_);_(@_)">
                  <c:v>4.7640000000000002</c:v>
                </c:pt>
                <c:pt idx="10" formatCode="_(* #,##0.0_);_(* \(#,##0.0\);_(* &quot;-&quot;??_);_(@_)">
                  <c:v>7.1460000000000008</c:v>
                </c:pt>
                <c:pt idx="11" formatCode="_(* #,##0.0_);_(* \(#,##0.0\);_(* &quot;-&quot;??_);_(@_)">
                  <c:v>8.7340000000000018</c:v>
                </c:pt>
                <c:pt idx="12" formatCode="_(* #,##0.0_);_(* \(#,##0.0\);_(* &quot;-&quot;??_);_(@_)">
                  <c:v>10.322000000000003</c:v>
                </c:pt>
                <c:pt idx="13" formatCode="_(* #,##0.0_);_(* \(#,##0.0\);_(* &quot;-&quot;??_);_(@_)">
                  <c:v>12.704000000000002</c:v>
                </c:pt>
                <c:pt idx="14" formatCode="_(* #,##0.0_);_(* \(#,##0.0\);_(* &quot;-&quot;??_);_(@_)">
                  <c:v>15.086000000000002</c:v>
                </c:pt>
                <c:pt idx="15" formatCode="_(* #,##0.0_);_(* \(#,##0.0\);_(* &quot;-&quot;??_);_(@_)">
                  <c:v>17.468000000000004</c:v>
                </c:pt>
                <c:pt idx="16" formatCode="_(* #,##0.0_);_(* \(#,##0.0\);_(* &quot;-&quot;??_);_(@_)">
                  <c:v>20.644000000000005</c:v>
                </c:pt>
                <c:pt idx="17" formatCode="_(* #,##0.0_);_(* \(#,##0.0\);_(* &quot;-&quot;??_);_(@_)">
                  <c:v>23.820000000000007</c:v>
                </c:pt>
                <c:pt idx="18" formatCode="_(* #,##0.0_);_(* \(#,##0.0\);_(* &quot;-&quot;??_);_(@_)">
                  <c:v>26.202000000000009</c:v>
                </c:pt>
                <c:pt idx="19" formatCode="_(* #,##0.0_);_(* \(#,##0.0\);_(* &quot;-&quot;??_);_(@_)">
                  <c:v>29.378000000000007</c:v>
                </c:pt>
                <c:pt idx="20" formatCode="_(* #,##0.0_);_(* \(#,##0.0\);_(* &quot;-&quot;??_);_(@_)">
                  <c:v>32.554000000000009</c:v>
                </c:pt>
                <c:pt idx="21" formatCode="_(* #,##0.0_);_(* \(#,##0.0\);_(* &quot;-&quot;??_);_(@_)">
                  <c:v>36.524000000000008</c:v>
                </c:pt>
                <c:pt idx="22" formatCode="_(* #,##0.0_);_(* \(#,##0.0\);_(* &quot;-&quot;??_);_(@_)">
                  <c:v>40.494000000000007</c:v>
                </c:pt>
                <c:pt idx="23" formatCode="_(* #,##0.0_);_(* \(#,##0.0\);_(* &quot;-&quot;??_);_(@_)">
                  <c:v>44.464000000000006</c:v>
                </c:pt>
                <c:pt idx="24" formatCode="_(* #,##0.0_);_(* \(#,##0.0\);_(* &quot;-&quot;??_);_(@_)">
                  <c:v>49.228000000000009</c:v>
                </c:pt>
                <c:pt idx="25" formatCode="_(* #,##0.0_);_(* \(#,##0.0\);_(* &quot;-&quot;??_);_(@_)">
                  <c:v>53.992000000000012</c:v>
                </c:pt>
              </c:numCache>
            </c:numRef>
          </c:val>
        </c:ser>
        <c:ser>
          <c:idx val="8"/>
          <c:order val="8"/>
          <c:tx>
            <c:strRef>
              <c:f>'Ref scen Calcs'!$C$16</c:f>
              <c:strCache>
                <c:ptCount val="1"/>
                <c:pt idx="0">
                  <c:v>Wind 30% </c:v>
                </c:pt>
              </c:strCache>
            </c:strRef>
          </c:tx>
          <c:cat>
            <c:numRef>
              <c:f>'Ref scen Calcs'!$D$7:$AC$7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'Ref scen Calcs'!$D$16:$AC$16</c:f>
              <c:numCache>
                <c:formatCode>General</c:formatCode>
                <c:ptCount val="26"/>
                <c:pt idx="0">
                  <c:v>0</c:v>
                </c:pt>
                <c:pt idx="1">
                  <c:v>0</c:v>
                </c:pt>
                <c:pt idx="2">
                  <c:v>0</c:v>
                </c:pt>
                <c:pt idx="3">
                  <c:v>0</c:v>
                </c:pt>
                <c:pt idx="4">
                  <c:v>0</c:v>
                </c:pt>
                <c:pt idx="5" formatCode="_(* #,##0.0_);_(* \(#,##0.0\);_(* &quot;-&quot;??_);_(@_)">
                  <c:v>0.1</c:v>
                </c:pt>
                <c:pt idx="6" formatCode="_(* #,##0.0_);_(* \(#,##0.0\);_(* &quot;-&quot;??_);_(@_)">
                  <c:v>0.1</c:v>
                </c:pt>
                <c:pt idx="7" formatCode="_(* #,##0.0_);_(* \(#,##0.0\);_(* &quot;-&quot;??_);_(@_)">
                  <c:v>0.1</c:v>
                </c:pt>
                <c:pt idx="8" formatCode="_(* #,##0.0_);_(* \(#,##0.0\);_(* &quot;-&quot;??_);_(@_)">
                  <c:v>0.1</c:v>
                </c:pt>
                <c:pt idx="9" formatCode="_(* #,##0.0_);_(* \(#,##0.0\);_(* &quot;-&quot;??_);_(@_)">
                  <c:v>0.1</c:v>
                </c:pt>
                <c:pt idx="10" formatCode="_(* #,##0.0_);_(* \(#,##0.0\);_(* &quot;-&quot;??_);_(@_)">
                  <c:v>0.1</c:v>
                </c:pt>
                <c:pt idx="11" formatCode="_(* #,##0.0_);_(* \(#,##0.0\);_(* &quot;-&quot;??_);_(@_)">
                  <c:v>0.1</c:v>
                </c:pt>
                <c:pt idx="12" formatCode="_(* #,##0.0_);_(* \(#,##0.0\);_(* &quot;-&quot;??_);_(@_)">
                  <c:v>0.1</c:v>
                </c:pt>
                <c:pt idx="13" formatCode="_(* #,##0.0_);_(* \(#,##0.0\);_(* &quot;-&quot;??_);_(@_)">
                  <c:v>0.1</c:v>
                </c:pt>
                <c:pt idx="14" formatCode="_(* #,##0.0_);_(* \(#,##0.0\);_(* &quot;-&quot;??_);_(@_)">
                  <c:v>0.1</c:v>
                </c:pt>
                <c:pt idx="15" formatCode="_(* #,##0.0_);_(* \(#,##0.0\);_(* &quot;-&quot;??_);_(@_)">
                  <c:v>0.1</c:v>
                </c:pt>
                <c:pt idx="16" formatCode="_(* #,##0.0_);_(* \(#,##0.0\);_(* &quot;-&quot;??_);_(@_)">
                  <c:v>0.1</c:v>
                </c:pt>
                <c:pt idx="17" formatCode="_(* #,##0.0_);_(* \(#,##0.0\);_(* &quot;-&quot;??_);_(@_)">
                  <c:v>0.1</c:v>
                </c:pt>
                <c:pt idx="18" formatCode="_(* #,##0.0_);_(* \(#,##0.0\);_(* &quot;-&quot;??_);_(@_)">
                  <c:v>0.1</c:v>
                </c:pt>
                <c:pt idx="19" formatCode="_(* #,##0.0_);_(* \(#,##0.0\);_(* &quot;-&quot;??_);_(@_)">
                  <c:v>0.1</c:v>
                </c:pt>
                <c:pt idx="20" formatCode="_(* #,##0.0_);_(* \(#,##0.0\);_(* &quot;-&quot;??_);_(@_)">
                  <c:v>0.1</c:v>
                </c:pt>
                <c:pt idx="21" formatCode="_(* #,##0.0_);_(* \(#,##0.0\);_(* &quot;-&quot;??_);_(@_)">
                  <c:v>0.1</c:v>
                </c:pt>
                <c:pt idx="22" formatCode="_(* #,##0.0_);_(* \(#,##0.0\);_(* &quot;-&quot;??_);_(@_)">
                  <c:v>0.1</c:v>
                </c:pt>
                <c:pt idx="23" formatCode="_(* #,##0.0_);_(* \(#,##0.0\);_(* &quot;-&quot;??_);_(@_)">
                  <c:v>0.1</c:v>
                </c:pt>
                <c:pt idx="24" formatCode="_(* #,##0.0_);_(* \(#,##0.0\);_(* &quot;-&quot;??_);_(@_)">
                  <c:v>0.1</c:v>
                </c:pt>
                <c:pt idx="25" formatCode="_(* #,##0.0_);_(* \(#,##0.0\);_(* &quot;-&quot;??_);_(@_)">
                  <c:v>0</c:v>
                </c:pt>
              </c:numCache>
            </c:numRef>
          </c:val>
        </c:ser>
        <c:ser>
          <c:idx val="9"/>
          <c:order val="9"/>
          <c:tx>
            <c:strRef>
              <c:f>'Ref scen Calcs'!$C$17</c:f>
              <c:strCache>
                <c:ptCount val="1"/>
                <c:pt idx="0">
                  <c:v>Wind 25%</c:v>
                </c:pt>
              </c:strCache>
            </c:strRef>
          </c:tx>
          <c:cat>
            <c:numRef>
              <c:f>'Ref scen Calcs'!$D$7:$AC$7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'Ref scen Calcs'!$D$17:$AC$17</c:f>
              <c:numCache>
                <c:formatCode>General</c:formatCode>
                <c:ptCount val="26"/>
                <c:pt idx="0">
                  <c:v>0</c:v>
                </c:pt>
                <c:pt idx="1">
                  <c:v>0</c:v>
                </c:pt>
                <c:pt idx="2">
                  <c:v>0</c:v>
                </c:pt>
                <c:pt idx="3">
                  <c:v>0</c:v>
                </c:pt>
                <c:pt idx="4">
                  <c:v>0</c:v>
                </c:pt>
                <c:pt idx="5" formatCode="_(* #,##0.0_);_(* \(#,##0.0\);_(* &quot;-&quot;??_);_(@_)">
                  <c:v>0</c:v>
                </c:pt>
                <c:pt idx="6" formatCode="_(* #,##0.0_);_(* \(#,##0.0\);_(* &quot;-&quot;??_);_(@_)">
                  <c:v>0</c:v>
                </c:pt>
                <c:pt idx="7" formatCode="_(* #,##0.0_);_(* \(#,##0.0\);_(* &quot;-&quot;??_);_(@_)">
                  <c:v>0</c:v>
                </c:pt>
                <c:pt idx="8" formatCode="_(* #,##0.0_);_(* \(#,##0.0\);_(* &quot;-&quot;??_);_(@_)">
                  <c:v>0</c:v>
                </c:pt>
                <c:pt idx="9" formatCode="_(* #,##0.0_);_(* \(#,##0.0\);_(* &quot;-&quot;??_);_(@_)">
                  <c:v>0</c:v>
                </c:pt>
                <c:pt idx="10" formatCode="_(* #,##0.0_);_(* \(#,##0.0\);_(* &quot;-&quot;??_);_(@_)">
                  <c:v>0</c:v>
                </c:pt>
                <c:pt idx="11" formatCode="_(* #,##0.0_);_(* \(#,##0.0\);_(* &quot;-&quot;??_);_(@_)">
                  <c:v>0</c:v>
                </c:pt>
                <c:pt idx="12" formatCode="_(* #,##0.0_);_(* \(#,##0.0\);_(* &quot;-&quot;??_);_(@_)">
                  <c:v>0</c:v>
                </c:pt>
                <c:pt idx="13" formatCode="_(* #,##0.0_);_(* \(#,##0.0\);_(* &quot;-&quot;??_);_(@_)">
                  <c:v>0</c:v>
                </c:pt>
                <c:pt idx="14" formatCode="_(* #,##0.0_);_(* \(#,##0.0\);_(* &quot;-&quot;??_);_(@_)">
                  <c:v>0</c:v>
                </c:pt>
                <c:pt idx="15" formatCode="_(* #,##0.0_);_(* \(#,##0.0\);_(* &quot;-&quot;??_);_(@_)">
                  <c:v>0</c:v>
                </c:pt>
                <c:pt idx="16" formatCode="_(* #,##0.0_);_(* \(#,##0.0\);_(* &quot;-&quot;??_);_(@_)">
                  <c:v>0</c:v>
                </c:pt>
                <c:pt idx="17" formatCode="_(* #,##0.0_);_(* \(#,##0.0\);_(* &quot;-&quot;??_);_(@_)">
                  <c:v>0</c:v>
                </c:pt>
                <c:pt idx="18" formatCode="_(* #,##0.0_);_(* \(#,##0.0\);_(* &quot;-&quot;??_);_(@_)">
                  <c:v>0</c:v>
                </c:pt>
                <c:pt idx="19" formatCode="_(* #,##0.0_);_(* \(#,##0.0\);_(* &quot;-&quot;??_);_(@_)">
                  <c:v>0</c:v>
                </c:pt>
                <c:pt idx="20" formatCode="_(* #,##0.0_);_(* \(#,##0.0\);_(* &quot;-&quot;??_);_(@_)">
                  <c:v>0</c:v>
                </c:pt>
                <c:pt idx="21" formatCode="_(* #,##0.0_);_(* \(#,##0.0\);_(* &quot;-&quot;??_);_(@_)">
                  <c:v>0</c:v>
                </c:pt>
                <c:pt idx="22" formatCode="_(* #,##0.0_);_(* \(#,##0.0\);_(* &quot;-&quot;??_);_(@_)">
                  <c:v>0</c:v>
                </c:pt>
                <c:pt idx="23" formatCode="_(* #,##0.0_);_(* \(#,##0.0\);_(* &quot;-&quot;??_);_(@_)">
                  <c:v>0</c:v>
                </c:pt>
                <c:pt idx="24" formatCode="_(* #,##0.0_);_(* \(#,##0.0\);_(* &quot;-&quot;??_);_(@_)">
                  <c:v>0</c:v>
                </c:pt>
                <c:pt idx="25" formatCode="_(* #,##0.0_);_(* \(#,##0.0\);_(* &quot;-&quot;??_);_(@_)">
                  <c:v>0</c:v>
                </c:pt>
              </c:numCache>
            </c:numRef>
          </c:val>
        </c:ser>
        <c:ser>
          <c:idx val="10"/>
          <c:order val="10"/>
          <c:tx>
            <c:strRef>
              <c:f>'Ref scen Calcs'!$C$18</c:f>
              <c:strCache>
                <c:ptCount val="1"/>
                <c:pt idx="0">
                  <c:v>solar thermal central reciever</c:v>
                </c:pt>
              </c:strCache>
            </c:strRef>
          </c:tx>
          <c:cat>
            <c:numRef>
              <c:f>'Ref scen Calcs'!$D$7:$AC$7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'Ref scen Calcs'!$D$18:$AC$18</c:f>
              <c:numCache>
                <c:formatCode>General</c:formatCode>
                <c:ptCount val="26"/>
                <c:pt idx="0">
                  <c:v>0</c:v>
                </c:pt>
                <c:pt idx="1">
                  <c:v>0</c:v>
                </c:pt>
                <c:pt idx="2">
                  <c:v>0</c:v>
                </c:pt>
                <c:pt idx="3">
                  <c:v>0</c:v>
                </c:pt>
                <c:pt idx="4">
                  <c:v>0</c:v>
                </c:pt>
                <c:pt idx="5" formatCode="_(* #,##0.0_);_(* \(#,##0.0\);_(* &quot;-&quot;??_);_(@_)">
                  <c:v>0</c:v>
                </c:pt>
                <c:pt idx="6" formatCode="_(* #,##0.0_);_(* \(#,##0.0\);_(* &quot;-&quot;??_);_(@_)">
                  <c:v>0</c:v>
                </c:pt>
                <c:pt idx="7" formatCode="_(* #,##0.0_);_(* \(#,##0.0\);_(* &quot;-&quot;??_);_(@_)">
                  <c:v>0</c:v>
                </c:pt>
                <c:pt idx="8" formatCode="_(* #,##0.0_);_(* \(#,##0.0\);_(* &quot;-&quot;??_);_(@_)">
                  <c:v>0</c:v>
                </c:pt>
                <c:pt idx="9" formatCode="_(* #,##0.0_);_(* \(#,##0.0\);_(* &quot;-&quot;??_);_(@_)">
                  <c:v>0</c:v>
                </c:pt>
                <c:pt idx="10" formatCode="_(* #,##0.0_);_(* \(#,##0.0\);_(* &quot;-&quot;??_);_(@_)">
                  <c:v>0</c:v>
                </c:pt>
                <c:pt idx="11" formatCode="_(* #,##0.0_);_(* \(#,##0.0\);_(* &quot;-&quot;??_);_(@_)">
                  <c:v>0</c:v>
                </c:pt>
                <c:pt idx="12" formatCode="_(* #,##0.0_);_(* \(#,##0.0\);_(* &quot;-&quot;??_);_(@_)">
                  <c:v>0</c:v>
                </c:pt>
                <c:pt idx="13" formatCode="_(* #,##0.0_);_(* \(#,##0.0\);_(* &quot;-&quot;??_);_(@_)">
                  <c:v>0</c:v>
                </c:pt>
                <c:pt idx="14" formatCode="_(* #,##0.0_);_(* \(#,##0.0\);_(* &quot;-&quot;??_);_(@_)">
                  <c:v>0</c:v>
                </c:pt>
                <c:pt idx="15" formatCode="_(* #,##0.0_);_(* \(#,##0.0\);_(* &quot;-&quot;??_);_(@_)">
                  <c:v>0</c:v>
                </c:pt>
                <c:pt idx="16" formatCode="_(* #,##0.0_);_(* \(#,##0.0\);_(* &quot;-&quot;??_);_(@_)">
                  <c:v>0</c:v>
                </c:pt>
                <c:pt idx="17" formatCode="_(* #,##0.0_);_(* \(#,##0.0\);_(* &quot;-&quot;??_);_(@_)">
                  <c:v>0</c:v>
                </c:pt>
                <c:pt idx="18" formatCode="_(* #,##0.0_);_(* \(#,##0.0\);_(* &quot;-&quot;??_);_(@_)">
                  <c:v>0</c:v>
                </c:pt>
                <c:pt idx="19" formatCode="_(* #,##0.0_);_(* \(#,##0.0\);_(* &quot;-&quot;??_);_(@_)">
                  <c:v>0</c:v>
                </c:pt>
                <c:pt idx="20" formatCode="_(* #,##0.0_);_(* \(#,##0.0\);_(* &quot;-&quot;??_);_(@_)">
                  <c:v>0</c:v>
                </c:pt>
                <c:pt idx="21" formatCode="_(* #,##0.0_);_(* \(#,##0.0\);_(* &quot;-&quot;??_);_(@_)">
                  <c:v>0</c:v>
                </c:pt>
                <c:pt idx="22" formatCode="_(* #,##0.0_);_(* \(#,##0.0\);_(* &quot;-&quot;??_);_(@_)">
                  <c:v>0</c:v>
                </c:pt>
                <c:pt idx="23" formatCode="_(* #,##0.0_);_(* \(#,##0.0\);_(* &quot;-&quot;??_);_(@_)">
                  <c:v>0</c:v>
                </c:pt>
                <c:pt idx="24" formatCode="_(* #,##0.0_);_(* \(#,##0.0\);_(* &quot;-&quot;??_);_(@_)">
                  <c:v>0</c:v>
                </c:pt>
                <c:pt idx="25" formatCode="_(* #,##0.0_);_(* \(#,##0.0\);_(* &quot;-&quot;??_);_(@_)">
                  <c:v>0</c:v>
                </c:pt>
              </c:numCache>
            </c:numRef>
          </c:val>
        </c:ser>
        <c:ser>
          <c:idx val="11"/>
          <c:order val="11"/>
          <c:tx>
            <c:strRef>
              <c:f>'Ref scen Calcs'!$C$19</c:f>
              <c:strCache>
                <c:ptCount val="1"/>
                <c:pt idx="0">
                  <c:v>solar thermal trough</c:v>
                </c:pt>
              </c:strCache>
            </c:strRef>
          </c:tx>
          <c:cat>
            <c:numRef>
              <c:f>'Ref scen Calcs'!$D$7:$AC$7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'Ref scen Calcs'!$D$19:$AC$19</c:f>
              <c:numCache>
                <c:formatCode>General</c:formatCode>
                <c:ptCount val="26"/>
                <c:pt idx="0">
                  <c:v>0</c:v>
                </c:pt>
                <c:pt idx="1">
                  <c:v>0</c:v>
                </c:pt>
                <c:pt idx="2">
                  <c:v>0</c:v>
                </c:pt>
                <c:pt idx="3">
                  <c:v>0</c:v>
                </c:pt>
                <c:pt idx="4">
                  <c:v>0</c:v>
                </c:pt>
                <c:pt idx="5" formatCode="_(* #,##0.0_);_(* \(#,##0.0\);_(* &quot;-&quot;??_);_(@_)">
                  <c:v>0</c:v>
                </c:pt>
                <c:pt idx="6" formatCode="_(* #,##0.0_);_(* \(#,##0.0\);_(* &quot;-&quot;??_);_(@_)">
                  <c:v>0</c:v>
                </c:pt>
                <c:pt idx="7" formatCode="_(* #,##0.0_);_(* \(#,##0.0\);_(* &quot;-&quot;??_);_(@_)">
                  <c:v>0</c:v>
                </c:pt>
                <c:pt idx="8" formatCode="_(* #,##0.0_);_(* \(#,##0.0\);_(* &quot;-&quot;??_);_(@_)">
                  <c:v>0</c:v>
                </c:pt>
                <c:pt idx="9" formatCode="_(* #,##0.0_);_(* \(#,##0.0\);_(* &quot;-&quot;??_);_(@_)">
                  <c:v>0</c:v>
                </c:pt>
                <c:pt idx="10" formatCode="_(* #,##0.0_);_(* \(#,##0.0\);_(* &quot;-&quot;??_);_(@_)">
                  <c:v>0</c:v>
                </c:pt>
                <c:pt idx="11" formatCode="_(* #,##0.0_);_(* \(#,##0.0\);_(* &quot;-&quot;??_);_(@_)">
                  <c:v>0</c:v>
                </c:pt>
                <c:pt idx="12" formatCode="_(* #,##0.0_);_(* \(#,##0.0\);_(* &quot;-&quot;??_);_(@_)">
                  <c:v>0</c:v>
                </c:pt>
                <c:pt idx="13" formatCode="_(* #,##0.0_);_(* \(#,##0.0\);_(* &quot;-&quot;??_);_(@_)">
                  <c:v>0</c:v>
                </c:pt>
                <c:pt idx="14" formatCode="_(* #,##0.0_);_(* \(#,##0.0\);_(* &quot;-&quot;??_);_(@_)">
                  <c:v>0</c:v>
                </c:pt>
                <c:pt idx="15" formatCode="_(* #,##0.0_);_(* \(#,##0.0\);_(* &quot;-&quot;??_);_(@_)">
                  <c:v>0</c:v>
                </c:pt>
                <c:pt idx="16" formatCode="_(* #,##0.0_);_(* \(#,##0.0\);_(* &quot;-&quot;??_);_(@_)">
                  <c:v>0</c:v>
                </c:pt>
                <c:pt idx="17" formatCode="_(* #,##0.0_);_(* \(#,##0.0\);_(* &quot;-&quot;??_);_(@_)">
                  <c:v>0</c:v>
                </c:pt>
                <c:pt idx="18" formatCode="_(* #,##0.0_);_(* \(#,##0.0\);_(* &quot;-&quot;??_);_(@_)">
                  <c:v>0</c:v>
                </c:pt>
                <c:pt idx="19" formatCode="_(* #,##0.0_);_(* \(#,##0.0\);_(* &quot;-&quot;??_);_(@_)">
                  <c:v>0</c:v>
                </c:pt>
                <c:pt idx="20" formatCode="_(* #,##0.0_);_(* \(#,##0.0\);_(* &quot;-&quot;??_);_(@_)">
                  <c:v>0</c:v>
                </c:pt>
                <c:pt idx="21" formatCode="_(* #,##0.0_);_(* \(#,##0.0\);_(* &quot;-&quot;??_);_(@_)">
                  <c:v>0</c:v>
                </c:pt>
                <c:pt idx="22" formatCode="_(* #,##0.0_);_(* \(#,##0.0\);_(* &quot;-&quot;??_);_(@_)">
                  <c:v>0</c:v>
                </c:pt>
                <c:pt idx="23" formatCode="_(* #,##0.0_);_(* \(#,##0.0\);_(* &quot;-&quot;??_);_(@_)">
                  <c:v>0</c:v>
                </c:pt>
                <c:pt idx="24" formatCode="_(* #,##0.0_);_(* \(#,##0.0\);_(* &quot;-&quot;??_);_(@_)">
                  <c:v>0</c:v>
                </c:pt>
                <c:pt idx="25" formatCode="_(* #,##0.0_);_(* \(#,##0.0\);_(* &quot;-&quot;??_);_(@_)">
                  <c:v>0</c:v>
                </c:pt>
              </c:numCache>
            </c:numRef>
          </c:val>
        </c:ser>
        <c:ser>
          <c:idx val="12"/>
          <c:order val="12"/>
          <c:tx>
            <c:strRef>
              <c:f>'Ref scen Calcs'!$C$20</c:f>
              <c:strCache>
                <c:ptCount val="1"/>
                <c:pt idx="0">
                  <c:v>solar PV</c:v>
                </c:pt>
              </c:strCache>
            </c:strRef>
          </c:tx>
          <c:cat>
            <c:numRef>
              <c:f>'Ref scen Calcs'!$D$7:$AC$7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'Ref scen Calcs'!$D$20:$AC$20</c:f>
              <c:numCache>
                <c:formatCode>General</c:formatCode>
                <c:ptCount val="26"/>
                <c:pt idx="0">
                  <c:v>0</c:v>
                </c:pt>
                <c:pt idx="1">
                  <c:v>0</c:v>
                </c:pt>
                <c:pt idx="2">
                  <c:v>0</c:v>
                </c:pt>
                <c:pt idx="3">
                  <c:v>0</c:v>
                </c:pt>
                <c:pt idx="4">
                  <c:v>0</c:v>
                </c:pt>
                <c:pt idx="5" formatCode="_(* #,##0.0_);_(* \(#,##0.0\);_(* &quot;-&quot;??_);_(@_)">
                  <c:v>0</c:v>
                </c:pt>
                <c:pt idx="6" formatCode="_(* #,##0.0_);_(* \(#,##0.0\);_(* &quot;-&quot;??_);_(@_)">
                  <c:v>0</c:v>
                </c:pt>
                <c:pt idx="7" formatCode="_(* #,##0.0_);_(* \(#,##0.0\);_(* &quot;-&quot;??_);_(@_)">
                  <c:v>0</c:v>
                </c:pt>
                <c:pt idx="8" formatCode="_(* #,##0.0_);_(* \(#,##0.0\);_(* &quot;-&quot;??_);_(@_)">
                  <c:v>0</c:v>
                </c:pt>
                <c:pt idx="9" formatCode="_(* #,##0.0_);_(* \(#,##0.0\);_(* &quot;-&quot;??_);_(@_)">
                  <c:v>0</c:v>
                </c:pt>
                <c:pt idx="10" formatCode="_(* #,##0.0_);_(* \(#,##0.0\);_(* &quot;-&quot;??_);_(@_)">
                  <c:v>0</c:v>
                </c:pt>
                <c:pt idx="11" formatCode="_(* #,##0.0_);_(* \(#,##0.0\);_(* &quot;-&quot;??_);_(@_)">
                  <c:v>0</c:v>
                </c:pt>
                <c:pt idx="12" formatCode="_(* #,##0.0_);_(* \(#,##0.0\);_(* &quot;-&quot;??_);_(@_)">
                  <c:v>0</c:v>
                </c:pt>
                <c:pt idx="13" formatCode="_(* #,##0.0_);_(* \(#,##0.0\);_(* &quot;-&quot;??_);_(@_)">
                  <c:v>0</c:v>
                </c:pt>
                <c:pt idx="14" formatCode="_(* #,##0.0_);_(* \(#,##0.0\);_(* &quot;-&quot;??_);_(@_)">
                  <c:v>0</c:v>
                </c:pt>
                <c:pt idx="15" formatCode="_(* #,##0.0_);_(* \(#,##0.0\);_(* &quot;-&quot;??_);_(@_)">
                  <c:v>0</c:v>
                </c:pt>
                <c:pt idx="16" formatCode="_(* #,##0.0_);_(* \(#,##0.0\);_(* &quot;-&quot;??_);_(@_)">
                  <c:v>0</c:v>
                </c:pt>
                <c:pt idx="17" formatCode="_(* #,##0.0_);_(* \(#,##0.0\);_(* &quot;-&quot;??_);_(@_)">
                  <c:v>0</c:v>
                </c:pt>
                <c:pt idx="18" formatCode="_(* #,##0.0_);_(* \(#,##0.0\);_(* &quot;-&quot;??_);_(@_)">
                  <c:v>0</c:v>
                </c:pt>
                <c:pt idx="19" formatCode="_(* #,##0.0_);_(* \(#,##0.0\);_(* &quot;-&quot;??_);_(@_)">
                  <c:v>0</c:v>
                </c:pt>
                <c:pt idx="20" formatCode="_(* #,##0.0_);_(* \(#,##0.0\);_(* &quot;-&quot;??_);_(@_)">
                  <c:v>0</c:v>
                </c:pt>
                <c:pt idx="21" formatCode="_(* #,##0.0_);_(* \(#,##0.0\);_(* &quot;-&quot;??_);_(@_)">
                  <c:v>0</c:v>
                </c:pt>
                <c:pt idx="22" formatCode="_(* #,##0.0_);_(* \(#,##0.0\);_(* &quot;-&quot;??_);_(@_)">
                  <c:v>0</c:v>
                </c:pt>
                <c:pt idx="23" formatCode="_(* #,##0.0_);_(* \(#,##0.0\);_(* &quot;-&quot;??_);_(@_)">
                  <c:v>0</c:v>
                </c:pt>
                <c:pt idx="24" formatCode="_(* #,##0.0_);_(* \(#,##0.0\);_(* &quot;-&quot;??_);_(@_)">
                  <c:v>0</c:v>
                </c:pt>
                <c:pt idx="25" formatCode="_(* #,##0.0_);_(* \(#,##0.0\);_(* &quot;-&quot;??_);_(@_)">
                  <c:v>0</c:v>
                </c:pt>
              </c:numCache>
            </c:numRef>
          </c:val>
        </c:ser>
        <c:ser>
          <c:idx val="13"/>
          <c:order val="13"/>
          <c:tx>
            <c:strRef>
              <c:f>'Ref scen Calcs'!$C$21</c:f>
              <c:strCache>
                <c:ptCount val="1"/>
                <c:pt idx="0">
                  <c:v>combined cycle gas</c:v>
                </c:pt>
              </c:strCache>
            </c:strRef>
          </c:tx>
          <c:cat>
            <c:numRef>
              <c:f>'Ref scen Calcs'!$D$7:$AC$7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'Ref scen Calcs'!$D$21:$AC$21</c:f>
              <c:numCache>
                <c:formatCode>General</c:formatCode>
                <c:ptCount val="26"/>
                <c:pt idx="0">
                  <c:v>0</c:v>
                </c:pt>
                <c:pt idx="1">
                  <c:v>0</c:v>
                </c:pt>
                <c:pt idx="2">
                  <c:v>0</c:v>
                </c:pt>
                <c:pt idx="3">
                  <c:v>0</c:v>
                </c:pt>
                <c:pt idx="4">
                  <c:v>0</c:v>
                </c:pt>
                <c:pt idx="5" formatCode="_(* #,##0.0_);_(* \(#,##0.0\);_(* &quot;-&quot;??_);_(@_)">
                  <c:v>0</c:v>
                </c:pt>
                <c:pt idx="6" formatCode="_(* #,##0.0_);_(* \(#,##0.0\);_(* &quot;-&quot;??_);_(@_)">
                  <c:v>0</c:v>
                </c:pt>
                <c:pt idx="7" formatCode="_(* #,##0.0_);_(* \(#,##0.0\);_(* &quot;-&quot;??_);_(@_)">
                  <c:v>0</c:v>
                </c:pt>
                <c:pt idx="8" formatCode="_(* #,##0.0_);_(* \(#,##0.0\);_(* &quot;-&quot;??_);_(@_)">
                  <c:v>0</c:v>
                </c:pt>
                <c:pt idx="9" formatCode="_(* #,##0.0_);_(* \(#,##0.0\);_(* &quot;-&quot;??_);_(@_)">
                  <c:v>0</c:v>
                </c:pt>
                <c:pt idx="10" formatCode="_(* #,##0.0_);_(* \(#,##0.0\);_(* &quot;-&quot;??_);_(@_)">
                  <c:v>0</c:v>
                </c:pt>
                <c:pt idx="11" formatCode="_(* #,##0.0_);_(* \(#,##0.0\);_(* &quot;-&quot;??_);_(@_)">
                  <c:v>0</c:v>
                </c:pt>
                <c:pt idx="12" formatCode="_(* #,##0.0_);_(* \(#,##0.0\);_(* &quot;-&quot;??_);_(@_)">
                  <c:v>0</c:v>
                </c:pt>
                <c:pt idx="13" formatCode="_(* #,##0.0_);_(* \(#,##0.0\);_(* &quot;-&quot;??_);_(@_)">
                  <c:v>0</c:v>
                </c:pt>
                <c:pt idx="14" formatCode="_(* #,##0.0_);_(* \(#,##0.0\);_(* &quot;-&quot;??_);_(@_)">
                  <c:v>0</c:v>
                </c:pt>
                <c:pt idx="15" formatCode="_(* #,##0.0_);_(* \(#,##0.0\);_(* &quot;-&quot;??_);_(@_)">
                  <c:v>0</c:v>
                </c:pt>
                <c:pt idx="16" formatCode="_(* #,##0.0_);_(* \(#,##0.0\);_(* &quot;-&quot;??_);_(@_)">
                  <c:v>0</c:v>
                </c:pt>
                <c:pt idx="17" formatCode="_(* #,##0.0_);_(* \(#,##0.0\);_(* &quot;-&quot;??_);_(@_)">
                  <c:v>0</c:v>
                </c:pt>
                <c:pt idx="18" formatCode="_(* #,##0.0_);_(* \(#,##0.0\);_(* &quot;-&quot;??_);_(@_)">
                  <c:v>0</c:v>
                </c:pt>
                <c:pt idx="19" formatCode="_(* #,##0.0_);_(* \(#,##0.0\);_(* &quot;-&quot;??_);_(@_)">
                  <c:v>0</c:v>
                </c:pt>
                <c:pt idx="20" formatCode="_(* #,##0.0_);_(* \(#,##0.0\);_(* &quot;-&quot;??_);_(@_)">
                  <c:v>0</c:v>
                </c:pt>
                <c:pt idx="21" formatCode="_(* #,##0.0_);_(* \(#,##0.0\);_(* &quot;-&quot;??_);_(@_)">
                  <c:v>0</c:v>
                </c:pt>
                <c:pt idx="22" formatCode="_(* #,##0.0_);_(* \(#,##0.0\);_(* &quot;-&quot;??_);_(@_)">
                  <c:v>0</c:v>
                </c:pt>
                <c:pt idx="23" formatCode="_(* #,##0.0_);_(* \(#,##0.0\);_(* &quot;-&quot;??_);_(@_)">
                  <c:v>0</c:v>
                </c:pt>
                <c:pt idx="24" formatCode="_(* #,##0.0_);_(* \(#,##0.0\);_(* &quot;-&quot;??_);_(@_)">
                  <c:v>0</c:v>
                </c:pt>
                <c:pt idx="25" formatCode="_(* #,##0.0_);_(* \(#,##0.0\);_(* &quot;-&quot;??_);_(@_)">
                  <c:v>0</c:v>
                </c:pt>
              </c:numCache>
            </c:numRef>
          </c:val>
        </c:ser>
        <c:ser>
          <c:idx val="14"/>
          <c:order val="14"/>
          <c:tx>
            <c:strRef>
              <c:f>'Ref scen Calcs'!$C$22</c:f>
              <c:strCache>
                <c:ptCount val="1"/>
                <c:pt idx="0">
                  <c:v>PBMR</c:v>
                </c:pt>
              </c:strCache>
            </c:strRef>
          </c:tx>
          <c:cat>
            <c:numRef>
              <c:f>'Ref scen Calcs'!$D$7:$AC$7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'Ref scen Calcs'!$D$22:$AC$22</c:f>
              <c:numCache>
                <c:formatCode>General</c:formatCode>
                <c:ptCount val="26"/>
                <c:pt idx="0">
                  <c:v>0</c:v>
                </c:pt>
                <c:pt idx="1">
                  <c:v>0</c:v>
                </c:pt>
                <c:pt idx="2">
                  <c:v>0</c:v>
                </c:pt>
                <c:pt idx="3">
                  <c:v>0</c:v>
                </c:pt>
                <c:pt idx="4">
                  <c:v>0</c:v>
                </c:pt>
                <c:pt idx="5" formatCode="_(* #,##0.0_);_(* \(#,##0.0\);_(* &quot;-&quot;??_);_(@_)">
                  <c:v>0</c:v>
                </c:pt>
                <c:pt idx="6" formatCode="_(* #,##0.0_);_(* \(#,##0.0\);_(* &quot;-&quot;??_);_(@_)">
                  <c:v>0</c:v>
                </c:pt>
                <c:pt idx="7" formatCode="_(* #,##0.0_);_(* \(#,##0.0\);_(* &quot;-&quot;??_);_(@_)">
                  <c:v>0</c:v>
                </c:pt>
                <c:pt idx="8" formatCode="_(* #,##0.0_);_(* \(#,##0.0\);_(* &quot;-&quot;??_);_(@_)">
                  <c:v>0</c:v>
                </c:pt>
                <c:pt idx="9" formatCode="_(* #,##0.0_);_(* \(#,##0.0\);_(* &quot;-&quot;??_);_(@_)">
                  <c:v>0</c:v>
                </c:pt>
                <c:pt idx="10" formatCode="_(* #,##0.0_);_(* \(#,##0.0\);_(* &quot;-&quot;??_);_(@_)">
                  <c:v>0</c:v>
                </c:pt>
                <c:pt idx="11" formatCode="_(* #,##0.0_);_(* \(#,##0.0\);_(* &quot;-&quot;??_);_(@_)">
                  <c:v>0</c:v>
                </c:pt>
                <c:pt idx="12" formatCode="_(* #,##0.0_);_(* \(#,##0.0\);_(* &quot;-&quot;??_);_(@_)">
                  <c:v>0</c:v>
                </c:pt>
                <c:pt idx="13" formatCode="_(* #,##0.0_);_(* \(#,##0.0\);_(* &quot;-&quot;??_);_(@_)">
                  <c:v>0</c:v>
                </c:pt>
                <c:pt idx="14" formatCode="_(* #,##0.0_);_(* \(#,##0.0\);_(* &quot;-&quot;??_);_(@_)">
                  <c:v>0</c:v>
                </c:pt>
                <c:pt idx="15" formatCode="_(* #,##0.0_);_(* \(#,##0.0\);_(* &quot;-&quot;??_);_(@_)">
                  <c:v>0</c:v>
                </c:pt>
                <c:pt idx="16" formatCode="_(* #,##0.0_);_(* \(#,##0.0\);_(* &quot;-&quot;??_);_(@_)">
                  <c:v>0</c:v>
                </c:pt>
                <c:pt idx="17" formatCode="_(* #,##0.0_);_(* \(#,##0.0\);_(* &quot;-&quot;??_);_(@_)">
                  <c:v>0</c:v>
                </c:pt>
                <c:pt idx="18" formatCode="_(* #,##0.0_);_(* \(#,##0.0\);_(* &quot;-&quot;??_);_(@_)">
                  <c:v>0</c:v>
                </c:pt>
                <c:pt idx="19" formatCode="_(* #,##0.0_);_(* \(#,##0.0\);_(* &quot;-&quot;??_);_(@_)">
                  <c:v>0</c:v>
                </c:pt>
                <c:pt idx="20" formatCode="_(* #,##0.0_);_(* \(#,##0.0\);_(* &quot;-&quot;??_);_(@_)">
                  <c:v>0</c:v>
                </c:pt>
                <c:pt idx="21" formatCode="_(* #,##0.0_);_(* \(#,##0.0\);_(* &quot;-&quot;??_);_(@_)">
                  <c:v>0</c:v>
                </c:pt>
                <c:pt idx="22" formatCode="_(* #,##0.0_);_(* \(#,##0.0\);_(* &quot;-&quot;??_);_(@_)">
                  <c:v>0</c:v>
                </c:pt>
                <c:pt idx="23" formatCode="_(* #,##0.0_);_(* \(#,##0.0\);_(* &quot;-&quot;??_);_(@_)">
                  <c:v>0</c:v>
                </c:pt>
                <c:pt idx="24" formatCode="_(* #,##0.0_);_(* \(#,##0.0\);_(* &quot;-&quot;??_);_(@_)">
                  <c:v>0</c:v>
                </c:pt>
                <c:pt idx="25" formatCode="_(* #,##0.0_);_(* \(#,##0.0\);_(* &quot;-&quot;??_);_(@_)">
                  <c:v>0</c:v>
                </c:pt>
              </c:numCache>
            </c:numRef>
          </c:val>
        </c:ser>
        <c:ser>
          <c:idx val="15"/>
          <c:order val="15"/>
          <c:tx>
            <c:strRef>
              <c:f>'Ref scen Calcs'!$C$23</c:f>
              <c:strCache>
                <c:ptCount val="1"/>
                <c:pt idx="0">
                  <c:v>IGCC</c:v>
                </c:pt>
              </c:strCache>
            </c:strRef>
          </c:tx>
          <c:cat>
            <c:numRef>
              <c:f>'Ref scen Calcs'!$D$7:$AC$7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'Ref scen Calcs'!$D$23:$AC$23</c:f>
              <c:numCache>
                <c:formatCode>General</c:formatCode>
                <c:ptCount val="26"/>
                <c:pt idx="0">
                  <c:v>0</c:v>
                </c:pt>
                <c:pt idx="1">
                  <c:v>0</c:v>
                </c:pt>
                <c:pt idx="2">
                  <c:v>0</c:v>
                </c:pt>
                <c:pt idx="3">
                  <c:v>0</c:v>
                </c:pt>
                <c:pt idx="4">
                  <c:v>0</c:v>
                </c:pt>
                <c:pt idx="5" formatCode="_(* #,##0.0_);_(* \(#,##0.0\);_(* &quot;-&quot;??_);_(@_)">
                  <c:v>0</c:v>
                </c:pt>
                <c:pt idx="6" formatCode="_(* #,##0.0_);_(* \(#,##0.0\);_(* &quot;-&quot;??_);_(@_)">
                  <c:v>0</c:v>
                </c:pt>
                <c:pt idx="7" formatCode="_(* #,##0.0_);_(* \(#,##0.0\);_(* &quot;-&quot;??_);_(@_)">
                  <c:v>0</c:v>
                </c:pt>
                <c:pt idx="8" formatCode="_(* #,##0.0_);_(* \(#,##0.0\);_(* &quot;-&quot;??_);_(@_)">
                  <c:v>0</c:v>
                </c:pt>
                <c:pt idx="9" formatCode="_(* #,##0.0_);_(* \(#,##0.0\);_(* &quot;-&quot;??_);_(@_)">
                  <c:v>0</c:v>
                </c:pt>
                <c:pt idx="10" formatCode="_(* #,##0.0_);_(* \(#,##0.0\);_(* &quot;-&quot;??_);_(@_)">
                  <c:v>0</c:v>
                </c:pt>
                <c:pt idx="11" formatCode="_(* #,##0.0_);_(* \(#,##0.0\);_(* &quot;-&quot;??_);_(@_)">
                  <c:v>0</c:v>
                </c:pt>
                <c:pt idx="12" formatCode="_(* #,##0.0_);_(* \(#,##0.0\);_(* &quot;-&quot;??_);_(@_)">
                  <c:v>0</c:v>
                </c:pt>
                <c:pt idx="13" formatCode="_(* #,##0.0_);_(* \(#,##0.0\);_(* &quot;-&quot;??_);_(@_)">
                  <c:v>0</c:v>
                </c:pt>
                <c:pt idx="14" formatCode="_(* #,##0.0_);_(* \(#,##0.0\);_(* &quot;-&quot;??_);_(@_)">
                  <c:v>0</c:v>
                </c:pt>
                <c:pt idx="15" formatCode="_(* #,##0.0_);_(* \(#,##0.0\);_(* &quot;-&quot;??_);_(@_)">
                  <c:v>0</c:v>
                </c:pt>
                <c:pt idx="16" formatCode="_(* #,##0.0_);_(* \(#,##0.0\);_(* &quot;-&quot;??_);_(@_)">
                  <c:v>0</c:v>
                </c:pt>
                <c:pt idx="17" formatCode="_(* #,##0.0_);_(* \(#,##0.0\);_(* &quot;-&quot;??_);_(@_)">
                  <c:v>0</c:v>
                </c:pt>
                <c:pt idx="18" formatCode="_(* #,##0.0_);_(* \(#,##0.0\);_(* &quot;-&quot;??_);_(@_)">
                  <c:v>0</c:v>
                </c:pt>
                <c:pt idx="19" formatCode="_(* #,##0.0_);_(* \(#,##0.0\);_(* &quot;-&quot;??_);_(@_)">
                  <c:v>0</c:v>
                </c:pt>
                <c:pt idx="20" formatCode="_(* #,##0.0_);_(* \(#,##0.0\);_(* &quot;-&quot;??_);_(@_)">
                  <c:v>0</c:v>
                </c:pt>
                <c:pt idx="21" formatCode="_(* #,##0.0_);_(* \(#,##0.0\);_(* &quot;-&quot;??_);_(@_)">
                  <c:v>0</c:v>
                </c:pt>
                <c:pt idx="22" formatCode="_(* #,##0.0_);_(* \(#,##0.0\);_(* &quot;-&quot;??_);_(@_)">
                  <c:v>0</c:v>
                </c:pt>
                <c:pt idx="23" formatCode="_(* #,##0.0_);_(* \(#,##0.0\);_(* &quot;-&quot;??_);_(@_)">
                  <c:v>0</c:v>
                </c:pt>
                <c:pt idx="24" formatCode="_(* #,##0.0_);_(* \(#,##0.0\);_(* &quot;-&quot;??_);_(@_)">
                  <c:v>0</c:v>
                </c:pt>
                <c:pt idx="25" formatCode="_(* #,##0.0_);_(* \(#,##0.0\);_(* &quot;-&quot;??_);_(@_)">
                  <c:v>0</c:v>
                </c:pt>
              </c:numCache>
            </c:numRef>
          </c:val>
        </c:ser>
        <c:ser>
          <c:idx val="16"/>
          <c:order val="16"/>
          <c:tx>
            <c:strRef>
              <c:f>'Ref scen Calcs'!$C$24</c:f>
              <c:strCache>
                <c:ptCount val="1"/>
                <c:pt idx="0">
                  <c:v>-</c:v>
                </c:pt>
              </c:strCache>
            </c:strRef>
          </c:tx>
          <c:cat>
            <c:numRef>
              <c:f>'Ref scen Calcs'!$D$7:$AC$7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'Ref scen Calcs'!$D$24:$AC$24</c:f>
              <c:numCache>
                <c:formatCode>General</c:formatCode>
                <c:ptCount val="26"/>
                <c:pt idx="0">
                  <c:v>0</c:v>
                </c:pt>
                <c:pt idx="1">
                  <c:v>0</c:v>
                </c:pt>
                <c:pt idx="2">
                  <c:v>0</c:v>
                </c:pt>
                <c:pt idx="3">
                  <c:v>0</c:v>
                </c:pt>
                <c:pt idx="4">
                  <c:v>0</c:v>
                </c:pt>
                <c:pt idx="5" formatCode="_(* #,##0.0_);_(* \(#,##0.0\);_(* &quot;-&quot;??_);_(@_)">
                  <c:v>0</c:v>
                </c:pt>
                <c:pt idx="6" formatCode="_(* #,##0.0_);_(* \(#,##0.0\);_(* &quot;-&quot;??_);_(@_)">
                  <c:v>0</c:v>
                </c:pt>
                <c:pt idx="7" formatCode="_(* #,##0.0_);_(* \(#,##0.0\);_(* &quot;-&quot;??_);_(@_)">
                  <c:v>0</c:v>
                </c:pt>
                <c:pt idx="8" formatCode="_(* #,##0.0_);_(* \(#,##0.0\);_(* &quot;-&quot;??_);_(@_)">
                  <c:v>0</c:v>
                </c:pt>
                <c:pt idx="9" formatCode="_(* #,##0.0_);_(* \(#,##0.0\);_(* &quot;-&quot;??_);_(@_)">
                  <c:v>0</c:v>
                </c:pt>
                <c:pt idx="10" formatCode="_(* #,##0.0_);_(* \(#,##0.0\);_(* &quot;-&quot;??_);_(@_)">
                  <c:v>0</c:v>
                </c:pt>
                <c:pt idx="11" formatCode="_(* #,##0.0_);_(* \(#,##0.0\);_(* &quot;-&quot;??_);_(@_)">
                  <c:v>0</c:v>
                </c:pt>
                <c:pt idx="12" formatCode="_(* #,##0.0_);_(* \(#,##0.0\);_(* &quot;-&quot;??_);_(@_)">
                  <c:v>0</c:v>
                </c:pt>
                <c:pt idx="13" formatCode="_(* #,##0.0_);_(* \(#,##0.0\);_(* &quot;-&quot;??_);_(@_)">
                  <c:v>0</c:v>
                </c:pt>
                <c:pt idx="14" formatCode="_(* #,##0.0_);_(* \(#,##0.0\);_(* &quot;-&quot;??_);_(@_)">
                  <c:v>0</c:v>
                </c:pt>
                <c:pt idx="15" formatCode="_(* #,##0.0_);_(* \(#,##0.0\);_(* &quot;-&quot;??_);_(@_)">
                  <c:v>0</c:v>
                </c:pt>
                <c:pt idx="16" formatCode="_(* #,##0.0_);_(* \(#,##0.0\);_(* &quot;-&quot;??_);_(@_)">
                  <c:v>0</c:v>
                </c:pt>
                <c:pt idx="17" formatCode="_(* #,##0.0_);_(* \(#,##0.0\);_(* &quot;-&quot;??_);_(@_)">
                  <c:v>0</c:v>
                </c:pt>
                <c:pt idx="18" formatCode="_(* #,##0.0_);_(* \(#,##0.0\);_(* &quot;-&quot;??_);_(@_)">
                  <c:v>0</c:v>
                </c:pt>
                <c:pt idx="19" formatCode="_(* #,##0.0_);_(* \(#,##0.0\);_(* &quot;-&quot;??_);_(@_)">
                  <c:v>0</c:v>
                </c:pt>
                <c:pt idx="20" formatCode="_(* #,##0.0_);_(* \(#,##0.0\);_(* &quot;-&quot;??_);_(@_)">
                  <c:v>0</c:v>
                </c:pt>
                <c:pt idx="21" formatCode="_(* #,##0.0_);_(* \(#,##0.0\);_(* &quot;-&quot;??_);_(@_)">
                  <c:v>0</c:v>
                </c:pt>
                <c:pt idx="22" formatCode="_(* #,##0.0_);_(* \(#,##0.0\);_(* &quot;-&quot;??_);_(@_)">
                  <c:v>0</c:v>
                </c:pt>
                <c:pt idx="23" formatCode="_(* #,##0.0_);_(* \(#,##0.0\);_(* &quot;-&quot;??_);_(@_)">
                  <c:v>0</c:v>
                </c:pt>
                <c:pt idx="24" formatCode="_(* #,##0.0_);_(* \(#,##0.0\);_(* &quot;-&quot;??_);_(@_)">
                  <c:v>0</c:v>
                </c:pt>
                <c:pt idx="25" formatCode="_(* #,##0.0_);_(* \(#,##0.0\);_(* &quot;-&quot;??_);_(@_)">
                  <c:v>0</c:v>
                </c:pt>
              </c:numCache>
            </c:numRef>
          </c:val>
        </c:ser>
        <c:ser>
          <c:idx val="17"/>
          <c:order val="17"/>
          <c:tx>
            <c:strRef>
              <c:f>'Ref scen Calcs'!$C$25</c:f>
              <c:strCache>
                <c:ptCount val="1"/>
                <c:pt idx="0">
                  <c:v>-</c:v>
                </c:pt>
              </c:strCache>
            </c:strRef>
          </c:tx>
          <c:cat>
            <c:numRef>
              <c:f>'Ref scen Calcs'!$D$7:$AC$7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'Ref scen Calcs'!$D$25:$AC$25</c:f>
              <c:numCache>
                <c:formatCode>General</c:formatCode>
                <c:ptCount val="26"/>
                <c:pt idx="0">
                  <c:v>0</c:v>
                </c:pt>
                <c:pt idx="1">
                  <c:v>0</c:v>
                </c:pt>
                <c:pt idx="2">
                  <c:v>0</c:v>
                </c:pt>
                <c:pt idx="3">
                  <c:v>0</c:v>
                </c:pt>
                <c:pt idx="4">
                  <c:v>0</c:v>
                </c:pt>
                <c:pt idx="5" formatCode="_(* #,##0.0_);_(* \(#,##0.0\);_(* &quot;-&quot;??_);_(@_)">
                  <c:v>0</c:v>
                </c:pt>
                <c:pt idx="6" formatCode="_(* #,##0.0_);_(* \(#,##0.0\);_(* &quot;-&quot;??_);_(@_)">
                  <c:v>0</c:v>
                </c:pt>
                <c:pt idx="7" formatCode="_(* #,##0.0_);_(* \(#,##0.0\);_(* &quot;-&quot;??_);_(@_)">
                  <c:v>0</c:v>
                </c:pt>
                <c:pt idx="8" formatCode="_(* #,##0.0_);_(* \(#,##0.0\);_(* &quot;-&quot;??_);_(@_)">
                  <c:v>0</c:v>
                </c:pt>
                <c:pt idx="9" formatCode="_(* #,##0.0_);_(* \(#,##0.0\);_(* &quot;-&quot;??_);_(@_)">
                  <c:v>0</c:v>
                </c:pt>
                <c:pt idx="10" formatCode="_(* #,##0.0_);_(* \(#,##0.0\);_(* &quot;-&quot;??_);_(@_)">
                  <c:v>0</c:v>
                </c:pt>
                <c:pt idx="11" formatCode="_(* #,##0.0_);_(* \(#,##0.0\);_(* &quot;-&quot;??_);_(@_)">
                  <c:v>0</c:v>
                </c:pt>
                <c:pt idx="12" formatCode="_(* #,##0.0_);_(* \(#,##0.0\);_(* &quot;-&quot;??_);_(@_)">
                  <c:v>0</c:v>
                </c:pt>
                <c:pt idx="13" formatCode="_(* #,##0.0_);_(* \(#,##0.0\);_(* &quot;-&quot;??_);_(@_)">
                  <c:v>0</c:v>
                </c:pt>
                <c:pt idx="14" formatCode="_(* #,##0.0_);_(* \(#,##0.0\);_(* &quot;-&quot;??_);_(@_)">
                  <c:v>0</c:v>
                </c:pt>
                <c:pt idx="15" formatCode="_(* #,##0.0_);_(* \(#,##0.0\);_(* &quot;-&quot;??_);_(@_)">
                  <c:v>0</c:v>
                </c:pt>
                <c:pt idx="16" formatCode="_(* #,##0.0_);_(* \(#,##0.0\);_(* &quot;-&quot;??_);_(@_)">
                  <c:v>0</c:v>
                </c:pt>
                <c:pt idx="17" formatCode="_(* #,##0.0_);_(* \(#,##0.0\);_(* &quot;-&quot;??_);_(@_)">
                  <c:v>0</c:v>
                </c:pt>
                <c:pt idx="18" formatCode="_(* #,##0.0_);_(* \(#,##0.0\);_(* &quot;-&quot;??_);_(@_)">
                  <c:v>0</c:v>
                </c:pt>
                <c:pt idx="19" formatCode="_(* #,##0.0_);_(* \(#,##0.0\);_(* &quot;-&quot;??_);_(@_)">
                  <c:v>0</c:v>
                </c:pt>
                <c:pt idx="20" formatCode="_(* #,##0.0_);_(* \(#,##0.0\);_(* &quot;-&quot;??_);_(@_)">
                  <c:v>0</c:v>
                </c:pt>
                <c:pt idx="21" formatCode="_(* #,##0.0_);_(* \(#,##0.0\);_(* &quot;-&quot;??_);_(@_)">
                  <c:v>0</c:v>
                </c:pt>
                <c:pt idx="22" formatCode="_(* #,##0.0_);_(* \(#,##0.0\);_(* &quot;-&quot;??_);_(@_)">
                  <c:v>0</c:v>
                </c:pt>
                <c:pt idx="23" formatCode="_(* #,##0.0_);_(* \(#,##0.0\);_(* &quot;-&quot;??_);_(@_)">
                  <c:v>0</c:v>
                </c:pt>
                <c:pt idx="24" formatCode="_(* #,##0.0_);_(* \(#,##0.0\);_(* &quot;-&quot;??_);_(@_)">
                  <c:v>0</c:v>
                </c:pt>
                <c:pt idx="25" formatCode="_(* #,##0.0_);_(* \(#,##0.0\);_(* &quot;-&quot;??_);_(@_)">
                  <c:v>0</c:v>
                </c:pt>
              </c:numCache>
            </c:numRef>
          </c:val>
        </c:ser>
        <c:ser>
          <c:idx val="18"/>
          <c:order val="18"/>
          <c:tx>
            <c:strRef>
              <c:f>'Ref scen Calcs'!$C$26</c:f>
              <c:strCache>
                <c:ptCount val="1"/>
                <c:pt idx="0">
                  <c:v>-</c:v>
                </c:pt>
              </c:strCache>
            </c:strRef>
          </c:tx>
          <c:cat>
            <c:numRef>
              <c:f>'Ref scen Calcs'!$D$7:$AC$7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'Ref scen Calcs'!$D$26:$AC$26</c:f>
              <c:numCache>
                <c:formatCode>General</c:formatCode>
                <c:ptCount val="26"/>
                <c:pt idx="0">
                  <c:v>0</c:v>
                </c:pt>
                <c:pt idx="1">
                  <c:v>0</c:v>
                </c:pt>
                <c:pt idx="2">
                  <c:v>0</c:v>
                </c:pt>
                <c:pt idx="3">
                  <c:v>0</c:v>
                </c:pt>
                <c:pt idx="4">
                  <c:v>0</c:v>
                </c:pt>
                <c:pt idx="5" formatCode="_(* #,##0.0_);_(* \(#,##0.0\);_(* &quot;-&quot;??_);_(@_)">
                  <c:v>0</c:v>
                </c:pt>
                <c:pt idx="6" formatCode="_(* #,##0.0_);_(* \(#,##0.0\);_(* &quot;-&quot;??_);_(@_)">
                  <c:v>0</c:v>
                </c:pt>
                <c:pt idx="7" formatCode="_(* #,##0.0_);_(* \(#,##0.0\);_(* &quot;-&quot;??_);_(@_)">
                  <c:v>0</c:v>
                </c:pt>
                <c:pt idx="8" formatCode="_(* #,##0.0_);_(* \(#,##0.0\);_(* &quot;-&quot;??_);_(@_)">
                  <c:v>0</c:v>
                </c:pt>
                <c:pt idx="9" formatCode="_(* #,##0.0_);_(* \(#,##0.0\);_(* &quot;-&quot;??_);_(@_)">
                  <c:v>0</c:v>
                </c:pt>
                <c:pt idx="10" formatCode="_(* #,##0.0_);_(* \(#,##0.0\);_(* &quot;-&quot;??_);_(@_)">
                  <c:v>0</c:v>
                </c:pt>
                <c:pt idx="11" formatCode="_(* #,##0.0_);_(* \(#,##0.0\);_(* &quot;-&quot;??_);_(@_)">
                  <c:v>0</c:v>
                </c:pt>
                <c:pt idx="12" formatCode="_(* #,##0.0_);_(* \(#,##0.0\);_(* &quot;-&quot;??_);_(@_)">
                  <c:v>0</c:v>
                </c:pt>
                <c:pt idx="13" formatCode="_(* #,##0.0_);_(* \(#,##0.0\);_(* &quot;-&quot;??_);_(@_)">
                  <c:v>0</c:v>
                </c:pt>
                <c:pt idx="14" formatCode="_(* #,##0.0_);_(* \(#,##0.0\);_(* &quot;-&quot;??_);_(@_)">
                  <c:v>0</c:v>
                </c:pt>
                <c:pt idx="15" formatCode="_(* #,##0.0_);_(* \(#,##0.0\);_(* &quot;-&quot;??_);_(@_)">
                  <c:v>0</c:v>
                </c:pt>
                <c:pt idx="16" formatCode="_(* #,##0.0_);_(* \(#,##0.0\);_(* &quot;-&quot;??_);_(@_)">
                  <c:v>0</c:v>
                </c:pt>
                <c:pt idx="17" formatCode="_(* #,##0.0_);_(* \(#,##0.0\);_(* &quot;-&quot;??_);_(@_)">
                  <c:v>0</c:v>
                </c:pt>
                <c:pt idx="18" formatCode="_(* #,##0.0_);_(* \(#,##0.0\);_(* &quot;-&quot;??_);_(@_)">
                  <c:v>0</c:v>
                </c:pt>
                <c:pt idx="19" formatCode="_(* #,##0.0_);_(* \(#,##0.0\);_(* &quot;-&quot;??_);_(@_)">
                  <c:v>0</c:v>
                </c:pt>
                <c:pt idx="20" formatCode="_(* #,##0.0_);_(* \(#,##0.0\);_(* &quot;-&quot;??_);_(@_)">
                  <c:v>0</c:v>
                </c:pt>
                <c:pt idx="21" formatCode="_(* #,##0.0_);_(* \(#,##0.0\);_(* &quot;-&quot;??_);_(@_)">
                  <c:v>0</c:v>
                </c:pt>
                <c:pt idx="22" formatCode="_(* #,##0.0_);_(* \(#,##0.0\);_(* &quot;-&quot;??_);_(@_)">
                  <c:v>0</c:v>
                </c:pt>
                <c:pt idx="23" formatCode="_(* #,##0.0_);_(* \(#,##0.0\);_(* &quot;-&quot;??_);_(@_)">
                  <c:v>0</c:v>
                </c:pt>
                <c:pt idx="24" formatCode="_(* #,##0.0_);_(* \(#,##0.0\);_(* &quot;-&quot;??_);_(@_)">
                  <c:v>0</c:v>
                </c:pt>
                <c:pt idx="25" formatCode="_(* #,##0.0_);_(* \(#,##0.0\);_(* &quot;-&quot;??_);_(@_)">
                  <c:v>0</c:v>
                </c:pt>
              </c:numCache>
            </c:numRef>
          </c:val>
        </c:ser>
        <c:ser>
          <c:idx val="19"/>
          <c:order val="19"/>
          <c:tx>
            <c:strRef>
              <c:f>'Ref scen Calcs'!$C$27</c:f>
              <c:strCache>
                <c:ptCount val="1"/>
                <c:pt idx="0">
                  <c:v>Pumped storage</c:v>
                </c:pt>
              </c:strCache>
            </c:strRef>
          </c:tx>
          <c:cat>
            <c:numRef>
              <c:f>'Ref scen Calcs'!$D$7:$AC$7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'Ref scen Calcs'!$D$27:$AC$27</c:f>
              <c:numCache>
                <c:formatCode>General</c:formatCode>
                <c:ptCount val="26"/>
                <c:pt idx="0">
                  <c:v>1.5799999999999998</c:v>
                </c:pt>
                <c:pt idx="1">
                  <c:v>1.5799999999999998</c:v>
                </c:pt>
                <c:pt idx="2">
                  <c:v>1.5799999999999998</c:v>
                </c:pt>
                <c:pt idx="3">
                  <c:v>1.5799999999999998</c:v>
                </c:pt>
                <c:pt idx="4">
                  <c:v>1.5799999999999998</c:v>
                </c:pt>
                <c:pt idx="5" formatCode="_(* #,##0.0_);_(* \(#,##0.0\);_(* &quot;-&quot;??_);_(@_)">
                  <c:v>1.5799999999999998</c:v>
                </c:pt>
                <c:pt idx="6" formatCode="_(* #,##0.0_);_(* \(#,##0.0\);_(* &quot;-&quot;??_);_(@_)">
                  <c:v>1.5799999999999998</c:v>
                </c:pt>
                <c:pt idx="7" formatCode="_(* #,##0.0_);_(* \(#,##0.0\);_(* &quot;-&quot;??_);_(@_)">
                  <c:v>1.5799999999999998</c:v>
                </c:pt>
                <c:pt idx="8" formatCode="_(* #,##0.0_);_(* \(#,##0.0\);_(* &quot;-&quot;??_);_(@_)">
                  <c:v>2.246</c:v>
                </c:pt>
                <c:pt idx="9" formatCode="_(* #,##0.0_);_(* \(#,##0.0\);_(* &quot;-&quot;??_);_(@_)">
                  <c:v>2.9119999999999999</c:v>
                </c:pt>
                <c:pt idx="10" formatCode="_(* #,##0.0_);_(* \(#,##0.0\);_(* &quot;-&quot;??_);_(@_)">
                  <c:v>2.9119999999999999</c:v>
                </c:pt>
                <c:pt idx="11" formatCode="_(* #,##0.0_);_(* \(#,##0.0\);_(* &quot;-&quot;??_);_(@_)">
                  <c:v>2.9119999999999999</c:v>
                </c:pt>
                <c:pt idx="12" formatCode="_(* #,##0.0_);_(* \(#,##0.0\);_(* &quot;-&quot;??_);_(@_)">
                  <c:v>2.9119999999999999</c:v>
                </c:pt>
                <c:pt idx="13" formatCode="_(* #,##0.0_);_(* \(#,##0.0\);_(* &quot;-&quot;??_);_(@_)">
                  <c:v>2.9119999999999999</c:v>
                </c:pt>
                <c:pt idx="14" formatCode="_(* #,##0.0_);_(* \(#,##0.0\);_(* &quot;-&quot;??_);_(@_)">
                  <c:v>2.9119999999999999</c:v>
                </c:pt>
                <c:pt idx="15" formatCode="_(* #,##0.0_);_(* \(#,##0.0\);_(* &quot;-&quot;??_);_(@_)">
                  <c:v>2.9119999999999999</c:v>
                </c:pt>
                <c:pt idx="16" formatCode="_(* #,##0.0_);_(* \(#,##0.0\);_(* &quot;-&quot;??_);_(@_)">
                  <c:v>2.9119999999999999</c:v>
                </c:pt>
                <c:pt idx="17" formatCode="_(* #,##0.0_);_(* \(#,##0.0\);_(* &quot;-&quot;??_);_(@_)">
                  <c:v>2.9119999999999999</c:v>
                </c:pt>
                <c:pt idx="18" formatCode="_(* #,##0.0_);_(* \(#,##0.0\);_(* &quot;-&quot;??_);_(@_)">
                  <c:v>2.9119999999999999</c:v>
                </c:pt>
                <c:pt idx="19" formatCode="_(* #,##0.0_);_(* \(#,##0.0\);_(* &quot;-&quot;??_);_(@_)">
                  <c:v>2.9119999999999999</c:v>
                </c:pt>
                <c:pt idx="20" formatCode="_(* #,##0.0_);_(* \(#,##0.0\);_(* &quot;-&quot;??_);_(@_)">
                  <c:v>2.9119999999999999</c:v>
                </c:pt>
                <c:pt idx="21" formatCode="_(* #,##0.0_);_(* \(#,##0.0\);_(* &quot;-&quot;??_);_(@_)">
                  <c:v>2.9119999999999999</c:v>
                </c:pt>
                <c:pt idx="22" formatCode="_(* #,##0.0_);_(* \(#,##0.0\);_(* &quot;-&quot;??_);_(@_)">
                  <c:v>2.9119999999999999</c:v>
                </c:pt>
                <c:pt idx="23" formatCode="_(* #,##0.0_);_(* \(#,##0.0\);_(* &quot;-&quot;??_);_(@_)">
                  <c:v>2.9119999999999999</c:v>
                </c:pt>
                <c:pt idx="24" formatCode="_(* #,##0.0_);_(* \(#,##0.0\);_(* &quot;-&quot;??_);_(@_)">
                  <c:v>2.9119999999999999</c:v>
                </c:pt>
                <c:pt idx="25" formatCode="_(* #,##0.0_);_(* \(#,##0.0\);_(* &quot;-&quot;??_);_(@_)">
                  <c:v>2.9119999999999999</c:v>
                </c:pt>
              </c:numCache>
            </c:numRef>
          </c:val>
        </c:ser>
        <c:axId val="105400192"/>
        <c:axId val="105401728"/>
      </c:areaChart>
      <c:catAx>
        <c:axId val="105400192"/>
        <c:scaling>
          <c:orientation val="minMax"/>
        </c:scaling>
        <c:axPos val="b"/>
        <c:numFmt formatCode="General" sourceLinked="1"/>
        <c:tickLblPos val="nextTo"/>
        <c:txPr>
          <a:bodyPr rot="-5400000" vert="horz"/>
          <a:lstStyle/>
          <a:p>
            <a:pPr>
              <a:defRPr lang="en-ZA" sz="1000" b="0" i="0" u="none" strike="noStrike" baseline="0">
                <a:solidFill>
                  <a:srgbClr val="000000"/>
                </a:solidFill>
                <a:latin typeface="Calibri"/>
                <a:ea typeface="Calibri"/>
                <a:cs typeface="Calibri"/>
              </a:defRPr>
            </a:pPr>
            <a:endParaRPr lang="en-US"/>
          </a:p>
        </c:txPr>
        <c:crossAx val="105401728"/>
        <c:crosses val="autoZero"/>
        <c:auto val="1"/>
        <c:lblAlgn val="ctr"/>
        <c:lblOffset val="100"/>
      </c:catAx>
      <c:valAx>
        <c:axId val="105401728"/>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GW</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5400192"/>
        <c:crosses val="autoZero"/>
        <c:crossBetween val="midCat"/>
      </c:valAx>
    </c:plotArea>
    <c:legend>
      <c:legendPos val="b"/>
      <c:layout>
        <c:manualLayout>
          <c:xMode val="edge"/>
          <c:yMode val="edge"/>
          <c:x val="6.7815207309612734E-3"/>
          <c:y val="0.66146403042305146"/>
          <c:w val="0.97586091212282744"/>
          <c:h val="0.32220956348392332"/>
        </c:manualLayout>
      </c:layout>
      <c:txPr>
        <a:bodyPr/>
        <a:lstStyle/>
        <a:p>
          <a:pPr>
            <a:defRPr lang="en-ZA" sz="845" b="0" i="0" u="none" strike="noStrike" baseline="0">
              <a:solidFill>
                <a:srgbClr val="000000"/>
              </a:solidFill>
              <a:latin typeface="Calibri"/>
              <a:ea typeface="Calibri"/>
              <a:cs typeface="Calibri"/>
            </a:defRPr>
          </a:pPr>
          <a:endParaRPr lang="en-US"/>
        </a:p>
      </c:txPr>
    </c:legend>
    <c:plotVisOnly val="1"/>
    <c:dispBlanksAs val="zero"/>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266" l="0.70000000000000062" r="0.70000000000000062" t="0.75000000000000266" header="0.30000000000000032" footer="0.30000000000000032"/>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050" b="1" i="0" u="none" strike="noStrike" baseline="0">
                <a:solidFill>
                  <a:srgbClr val="000000"/>
                </a:solidFill>
                <a:latin typeface="Calibri"/>
                <a:ea typeface="Calibri"/>
                <a:cs typeface="Calibri"/>
              </a:defRPr>
            </a:pPr>
            <a:r>
              <a:rPr lang="en-ZA"/>
              <a:t>Electricity system capacity - scenario</a:t>
            </a:r>
          </a:p>
        </c:rich>
      </c:tx>
      <c:layout>
        <c:manualLayout>
          <c:xMode val="edge"/>
          <c:yMode val="edge"/>
          <c:x val="0.20753920828389619"/>
          <c:y val="5.555590976229186E-3"/>
        </c:manualLayout>
      </c:layout>
      <c:overlay val="1"/>
    </c:title>
    <c:plotArea>
      <c:layout>
        <c:manualLayout>
          <c:layoutTarget val="inner"/>
          <c:xMode val="edge"/>
          <c:yMode val="edge"/>
          <c:x val="0.13777827480423241"/>
          <c:y val="5.2609349822976853E-2"/>
          <c:w val="0.82140935804797377"/>
          <c:h val="0.49352832599992963"/>
        </c:manualLayout>
      </c:layout>
      <c:areaChart>
        <c:grouping val="stacked"/>
        <c:ser>
          <c:idx val="0"/>
          <c:order val="0"/>
          <c:tx>
            <c:strRef>
              <c:f>'Output tables'!$A$9</c:f>
              <c:strCache>
                <c:ptCount val="1"/>
                <c:pt idx="0">
                  <c:v>Existing coal Large</c:v>
                </c:pt>
              </c:strCache>
            </c:strRef>
          </c:tx>
          <c:cat>
            <c:numRef>
              <c:f>'Output tables'!$AP$8:$BO$8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tables'!$AP$9:$BO$9</c:f>
              <c:numCache>
                <c:formatCode>General</c:formatCode>
                <c:ptCount val="26"/>
                <c:pt idx="0">
                  <c:v>30.471</c:v>
                </c:pt>
                <c:pt idx="1">
                  <c:v>30.471</c:v>
                </c:pt>
                <c:pt idx="2">
                  <c:v>30.471</c:v>
                </c:pt>
                <c:pt idx="3">
                  <c:v>30.471</c:v>
                </c:pt>
                <c:pt idx="4">
                  <c:v>30.471</c:v>
                </c:pt>
                <c:pt idx="5">
                  <c:v>30.471</c:v>
                </c:pt>
                <c:pt idx="6">
                  <c:v>30.471</c:v>
                </c:pt>
                <c:pt idx="7">
                  <c:v>30.471</c:v>
                </c:pt>
                <c:pt idx="8">
                  <c:v>30.471</c:v>
                </c:pt>
                <c:pt idx="9">
                  <c:v>30.471</c:v>
                </c:pt>
                <c:pt idx="10">
                  <c:v>30.471</c:v>
                </c:pt>
                <c:pt idx="11">
                  <c:v>30.471</c:v>
                </c:pt>
                <c:pt idx="12">
                  <c:v>30.471</c:v>
                </c:pt>
                <c:pt idx="13">
                  <c:v>30.471</c:v>
                </c:pt>
                <c:pt idx="14">
                  <c:v>30.471</c:v>
                </c:pt>
                <c:pt idx="15">
                  <c:v>30.471</c:v>
                </c:pt>
                <c:pt idx="16">
                  <c:v>30.471</c:v>
                </c:pt>
                <c:pt idx="17">
                  <c:v>30.471</c:v>
                </c:pt>
                <c:pt idx="18">
                  <c:v>30.471</c:v>
                </c:pt>
                <c:pt idx="19">
                  <c:v>29.331</c:v>
                </c:pt>
                <c:pt idx="20">
                  <c:v>28.190999999999999</c:v>
                </c:pt>
                <c:pt idx="21">
                  <c:v>26.765999999999998</c:v>
                </c:pt>
                <c:pt idx="22">
                  <c:v>25.340999999999998</c:v>
                </c:pt>
                <c:pt idx="23">
                  <c:v>23.615999999999996</c:v>
                </c:pt>
                <c:pt idx="24">
                  <c:v>20.165999999999997</c:v>
                </c:pt>
                <c:pt idx="25">
                  <c:v>18.440999999999995</c:v>
                </c:pt>
              </c:numCache>
            </c:numRef>
          </c:val>
        </c:ser>
        <c:ser>
          <c:idx val="1"/>
          <c:order val="1"/>
          <c:tx>
            <c:strRef>
              <c:f>'Output tables'!$A$10</c:f>
              <c:strCache>
                <c:ptCount val="1"/>
                <c:pt idx="0">
                  <c:v>Existing coal Small</c:v>
                </c:pt>
              </c:strCache>
            </c:strRef>
          </c:tx>
          <c:cat>
            <c:numRef>
              <c:f>'Output tables'!$AP$8:$BO$8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tables'!$AP$10:$BO$10</c:f>
              <c:numCache>
                <c:formatCode>General</c:formatCode>
                <c:ptCount val="26"/>
                <c:pt idx="0">
                  <c:v>5.434444444444444</c:v>
                </c:pt>
                <c:pt idx="1">
                  <c:v>5.434444444444444</c:v>
                </c:pt>
                <c:pt idx="2">
                  <c:v>5.434444444444444</c:v>
                </c:pt>
                <c:pt idx="3">
                  <c:v>5.434444444444444</c:v>
                </c:pt>
                <c:pt idx="4">
                  <c:v>5.434444444444444</c:v>
                </c:pt>
                <c:pt idx="5">
                  <c:v>6.1174444444444438</c:v>
                </c:pt>
                <c:pt idx="6">
                  <c:v>6.5214444444444437</c:v>
                </c:pt>
                <c:pt idx="7">
                  <c:v>6.5214444444444437</c:v>
                </c:pt>
                <c:pt idx="8">
                  <c:v>6.5214444444444437</c:v>
                </c:pt>
                <c:pt idx="9">
                  <c:v>6.5214444444444437</c:v>
                </c:pt>
                <c:pt idx="10">
                  <c:v>6.5214444444444437</c:v>
                </c:pt>
                <c:pt idx="11">
                  <c:v>6.4839444444444441</c:v>
                </c:pt>
                <c:pt idx="12">
                  <c:v>6.4464444444444444</c:v>
                </c:pt>
                <c:pt idx="13">
                  <c:v>6.3964444444444446</c:v>
                </c:pt>
                <c:pt idx="14">
                  <c:v>6.3464444444444448</c:v>
                </c:pt>
                <c:pt idx="15">
                  <c:v>5.3964444444444446</c:v>
                </c:pt>
                <c:pt idx="16">
                  <c:v>4.4464444444444444</c:v>
                </c:pt>
                <c:pt idx="17">
                  <c:v>4.4464444444444444</c:v>
                </c:pt>
                <c:pt idx="18">
                  <c:v>4.4464444444444444</c:v>
                </c:pt>
                <c:pt idx="19">
                  <c:v>4.4464444444444444</c:v>
                </c:pt>
                <c:pt idx="20">
                  <c:v>4.0087222222222225</c:v>
                </c:pt>
                <c:pt idx="21">
                  <c:v>3.5710000000000002</c:v>
                </c:pt>
                <c:pt idx="22">
                  <c:v>3.5710000000000002</c:v>
                </c:pt>
                <c:pt idx="23">
                  <c:v>3.5710000000000002</c:v>
                </c:pt>
                <c:pt idx="24">
                  <c:v>3.5710000000000002</c:v>
                </c:pt>
                <c:pt idx="25">
                  <c:v>3.5710000000000002</c:v>
                </c:pt>
              </c:numCache>
            </c:numRef>
          </c:val>
        </c:ser>
        <c:ser>
          <c:idx val="2"/>
          <c:order val="2"/>
          <c:tx>
            <c:strRef>
              <c:f>'Output tables'!$A$11</c:f>
              <c:strCache>
                <c:ptCount val="1"/>
                <c:pt idx="0">
                  <c:v>OCGT liquid fuels</c:v>
                </c:pt>
              </c:strCache>
            </c:strRef>
          </c:tx>
          <c:cat>
            <c:numRef>
              <c:f>'Output tables'!$AP$8:$BO$8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tables'!$AP$11:$BO$11</c:f>
              <c:numCache>
                <c:formatCode>General</c:formatCode>
                <c:ptCount val="26"/>
                <c:pt idx="0">
                  <c:v>2.4</c:v>
                </c:pt>
                <c:pt idx="1">
                  <c:v>2.4</c:v>
                </c:pt>
                <c:pt idx="2">
                  <c:v>2.4</c:v>
                </c:pt>
                <c:pt idx="3">
                  <c:v>2.4</c:v>
                </c:pt>
                <c:pt idx="4">
                  <c:v>2.4</c:v>
                </c:pt>
                <c:pt idx="5">
                  <c:v>2.4</c:v>
                </c:pt>
                <c:pt idx="6">
                  <c:v>3.48</c:v>
                </c:pt>
                <c:pt idx="7">
                  <c:v>3.48</c:v>
                </c:pt>
                <c:pt idx="8">
                  <c:v>3.48</c:v>
                </c:pt>
                <c:pt idx="9">
                  <c:v>3.48</c:v>
                </c:pt>
                <c:pt idx="10">
                  <c:v>3.48</c:v>
                </c:pt>
                <c:pt idx="11">
                  <c:v>3.48</c:v>
                </c:pt>
                <c:pt idx="12">
                  <c:v>3.48</c:v>
                </c:pt>
                <c:pt idx="13">
                  <c:v>3.48</c:v>
                </c:pt>
                <c:pt idx="14">
                  <c:v>3.48</c:v>
                </c:pt>
                <c:pt idx="15">
                  <c:v>3.48</c:v>
                </c:pt>
                <c:pt idx="16">
                  <c:v>3.48</c:v>
                </c:pt>
                <c:pt idx="17">
                  <c:v>3.48</c:v>
                </c:pt>
                <c:pt idx="18">
                  <c:v>3.48</c:v>
                </c:pt>
                <c:pt idx="19">
                  <c:v>3.48</c:v>
                </c:pt>
                <c:pt idx="20">
                  <c:v>3.48</c:v>
                </c:pt>
                <c:pt idx="21">
                  <c:v>4.2</c:v>
                </c:pt>
                <c:pt idx="22">
                  <c:v>4.2</c:v>
                </c:pt>
                <c:pt idx="23">
                  <c:v>4.2</c:v>
                </c:pt>
                <c:pt idx="24">
                  <c:v>5.16</c:v>
                </c:pt>
                <c:pt idx="25">
                  <c:v>5.9489999999999998</c:v>
                </c:pt>
              </c:numCache>
            </c:numRef>
          </c:val>
        </c:ser>
        <c:ser>
          <c:idx val="3"/>
          <c:order val="3"/>
          <c:tx>
            <c:strRef>
              <c:f>'Output tables'!$A$12</c:f>
              <c:strCache>
                <c:ptCount val="1"/>
                <c:pt idx="0">
                  <c:v>PWR nuclear</c:v>
                </c:pt>
              </c:strCache>
            </c:strRef>
          </c:tx>
          <c:cat>
            <c:numRef>
              <c:f>'Output tables'!$AP$8:$BO$8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tables'!$AP$12:$BO$12</c:f>
              <c:numCache>
                <c:formatCode>General</c:formatCode>
                <c:ptCount val="26"/>
                <c:pt idx="0">
                  <c:v>1.8</c:v>
                </c:pt>
                <c:pt idx="1">
                  <c:v>1.8</c:v>
                </c:pt>
                <c:pt idx="2">
                  <c:v>1.8</c:v>
                </c:pt>
                <c:pt idx="3">
                  <c:v>1.8</c:v>
                </c:pt>
                <c:pt idx="4">
                  <c:v>1.8</c:v>
                </c:pt>
                <c:pt idx="5">
                  <c:v>1.8</c:v>
                </c:pt>
                <c:pt idx="6">
                  <c:v>1.8</c:v>
                </c:pt>
                <c:pt idx="7">
                  <c:v>1.8</c:v>
                </c:pt>
                <c:pt idx="8">
                  <c:v>1.8</c:v>
                </c:pt>
                <c:pt idx="9">
                  <c:v>1.8</c:v>
                </c:pt>
                <c:pt idx="10">
                  <c:v>1.8</c:v>
                </c:pt>
                <c:pt idx="11">
                  <c:v>1.8</c:v>
                </c:pt>
                <c:pt idx="12">
                  <c:v>1.8</c:v>
                </c:pt>
                <c:pt idx="13">
                  <c:v>1.8</c:v>
                </c:pt>
                <c:pt idx="14">
                  <c:v>1.8</c:v>
                </c:pt>
                <c:pt idx="15">
                  <c:v>1.8</c:v>
                </c:pt>
                <c:pt idx="16">
                  <c:v>1.8</c:v>
                </c:pt>
                <c:pt idx="17">
                  <c:v>1.8</c:v>
                </c:pt>
                <c:pt idx="18">
                  <c:v>1.8</c:v>
                </c:pt>
                <c:pt idx="19">
                  <c:v>1.8</c:v>
                </c:pt>
                <c:pt idx="20">
                  <c:v>1.8</c:v>
                </c:pt>
                <c:pt idx="21">
                  <c:v>1.8</c:v>
                </c:pt>
                <c:pt idx="22">
                  <c:v>1.8</c:v>
                </c:pt>
                <c:pt idx="23">
                  <c:v>1.8</c:v>
                </c:pt>
                <c:pt idx="24">
                  <c:v>1.8</c:v>
                </c:pt>
                <c:pt idx="25">
                  <c:v>1.8</c:v>
                </c:pt>
              </c:numCache>
            </c:numRef>
          </c:val>
        </c:ser>
        <c:ser>
          <c:idx val="4"/>
          <c:order val="4"/>
          <c:tx>
            <c:strRef>
              <c:f>'Output tables'!$A$13</c:f>
              <c:strCache>
                <c:ptCount val="1"/>
                <c:pt idx="0">
                  <c:v>Hydro</c:v>
                </c:pt>
              </c:strCache>
            </c:strRef>
          </c:tx>
          <c:cat>
            <c:numRef>
              <c:f>'Output tables'!$AP$8:$BO$8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tables'!$AP$13:$BO$13</c:f>
              <c:numCache>
                <c:formatCode>General</c:formatCode>
                <c:ptCount val="26"/>
                <c:pt idx="0">
                  <c:v>0.66500000000000004</c:v>
                </c:pt>
                <c:pt idx="1">
                  <c:v>0.66500000000000004</c:v>
                </c:pt>
                <c:pt idx="2">
                  <c:v>0.66500000000000004</c:v>
                </c:pt>
                <c:pt idx="3">
                  <c:v>0.66500000000000004</c:v>
                </c:pt>
                <c:pt idx="4">
                  <c:v>0.66500000000000004</c:v>
                </c:pt>
                <c:pt idx="5">
                  <c:v>0.66500000000000004</c:v>
                </c:pt>
                <c:pt idx="6">
                  <c:v>0.66500000000000004</c:v>
                </c:pt>
                <c:pt idx="7">
                  <c:v>0.66500000000000004</c:v>
                </c:pt>
                <c:pt idx="8">
                  <c:v>0.66500000000000004</c:v>
                </c:pt>
                <c:pt idx="9">
                  <c:v>0.66500000000000004</c:v>
                </c:pt>
                <c:pt idx="10">
                  <c:v>0.66500000000000004</c:v>
                </c:pt>
                <c:pt idx="11">
                  <c:v>0.66500000000000004</c:v>
                </c:pt>
                <c:pt idx="12">
                  <c:v>0.66500000000000004</c:v>
                </c:pt>
                <c:pt idx="13">
                  <c:v>0.66500000000000004</c:v>
                </c:pt>
                <c:pt idx="14">
                  <c:v>0.66500000000000004</c:v>
                </c:pt>
                <c:pt idx="15">
                  <c:v>0.66500000000000004</c:v>
                </c:pt>
                <c:pt idx="16">
                  <c:v>0.66500000000000004</c:v>
                </c:pt>
                <c:pt idx="17">
                  <c:v>0.66500000000000004</c:v>
                </c:pt>
                <c:pt idx="18">
                  <c:v>0.66500000000000004</c:v>
                </c:pt>
                <c:pt idx="19">
                  <c:v>0.66500000000000004</c:v>
                </c:pt>
                <c:pt idx="20">
                  <c:v>0.66500000000000004</c:v>
                </c:pt>
                <c:pt idx="21">
                  <c:v>0.66500000000000004</c:v>
                </c:pt>
                <c:pt idx="22">
                  <c:v>0.66500000000000004</c:v>
                </c:pt>
                <c:pt idx="23">
                  <c:v>0.66500000000000004</c:v>
                </c:pt>
                <c:pt idx="24">
                  <c:v>0.66500000000000004</c:v>
                </c:pt>
                <c:pt idx="25">
                  <c:v>0.66500000000000004</c:v>
                </c:pt>
              </c:numCache>
            </c:numRef>
          </c:val>
        </c:ser>
        <c:ser>
          <c:idx val="5"/>
          <c:order val="5"/>
          <c:tx>
            <c:strRef>
              <c:f>'Output tables'!$A$14</c:f>
              <c:strCache>
                <c:ptCount val="1"/>
                <c:pt idx="0">
                  <c:v>Landfill gas</c:v>
                </c:pt>
              </c:strCache>
            </c:strRef>
          </c:tx>
          <c:cat>
            <c:numRef>
              <c:f>'Output tables'!$AP$8:$BO$8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tables'!$AP$14:$BO$14</c:f>
              <c:numCache>
                <c:formatCode>General</c:formatCode>
                <c:ptCount val="26"/>
                <c:pt idx="0">
                  <c:v>7.0000000000000007E-2</c:v>
                </c:pt>
                <c:pt idx="1">
                  <c:v>7.0000000000000007E-2</c:v>
                </c:pt>
                <c:pt idx="2">
                  <c:v>7.0000000000000007E-2</c:v>
                </c:pt>
                <c:pt idx="3">
                  <c:v>7.0000000000000007E-2</c:v>
                </c:pt>
                <c:pt idx="4">
                  <c:v>7.0000000000000007E-2</c:v>
                </c:pt>
                <c:pt idx="5">
                  <c:v>7.0000000000000007E-2</c:v>
                </c:pt>
                <c:pt idx="6">
                  <c:v>7.0000000000000007E-2</c:v>
                </c:pt>
                <c:pt idx="7">
                  <c:v>7.0000000000000007E-2</c:v>
                </c:pt>
                <c:pt idx="8">
                  <c:v>7.0000000000000007E-2</c:v>
                </c:pt>
                <c:pt idx="9">
                  <c:v>7.0000000000000007E-2</c:v>
                </c:pt>
                <c:pt idx="10">
                  <c:v>7.0000000000000007E-2</c:v>
                </c:pt>
                <c:pt idx="11">
                  <c:v>7.0000000000000007E-2</c:v>
                </c:pt>
                <c:pt idx="12">
                  <c:v>7.0000000000000007E-2</c:v>
                </c:pt>
                <c:pt idx="13">
                  <c:v>7.0000000000000007E-2</c:v>
                </c:pt>
                <c:pt idx="14">
                  <c:v>7.0000000000000007E-2</c:v>
                </c:pt>
                <c:pt idx="15">
                  <c:v>7.0000000000000007E-2</c:v>
                </c:pt>
                <c:pt idx="16">
                  <c:v>7.0000000000000007E-2</c:v>
                </c:pt>
                <c:pt idx="17">
                  <c:v>7.0000000000000007E-2</c:v>
                </c:pt>
                <c:pt idx="18">
                  <c:v>7.0000000000000007E-2</c:v>
                </c:pt>
                <c:pt idx="19">
                  <c:v>7.0000000000000007E-2</c:v>
                </c:pt>
                <c:pt idx="20">
                  <c:v>7.0000000000000007E-2</c:v>
                </c:pt>
                <c:pt idx="21">
                  <c:v>7.0000000000000007E-2</c:v>
                </c:pt>
                <c:pt idx="22">
                  <c:v>7.0000000000000007E-2</c:v>
                </c:pt>
                <c:pt idx="23">
                  <c:v>7.0000000000000007E-2</c:v>
                </c:pt>
                <c:pt idx="24">
                  <c:v>7.0000000000000007E-2</c:v>
                </c:pt>
                <c:pt idx="25">
                  <c:v>7.0000000000000007E-2</c:v>
                </c:pt>
              </c:numCache>
            </c:numRef>
          </c:val>
        </c:ser>
        <c:ser>
          <c:idx val="6"/>
          <c:order val="6"/>
          <c:tx>
            <c:strRef>
              <c:f>'Output tables'!$A$15</c:f>
              <c:strCache>
                <c:ptCount val="1"/>
                <c:pt idx="0">
                  <c:v>Biomass</c:v>
                </c:pt>
              </c:strCache>
            </c:strRef>
          </c:tx>
          <c:cat>
            <c:numRef>
              <c:f>'Output tables'!$AP$8:$BO$8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tables'!$AP$15:$BO$15</c:f>
              <c:numCache>
                <c:formatCode>General</c:formatCode>
                <c:ptCount val="26"/>
                <c:pt idx="0">
                  <c:v>0.19</c:v>
                </c:pt>
                <c:pt idx="1">
                  <c:v>0.19</c:v>
                </c:pt>
                <c:pt idx="2">
                  <c:v>0.19</c:v>
                </c:pt>
                <c:pt idx="3">
                  <c:v>0.19</c:v>
                </c:pt>
                <c:pt idx="4">
                  <c:v>0.19</c:v>
                </c:pt>
                <c:pt idx="5">
                  <c:v>0.19</c:v>
                </c:pt>
                <c:pt idx="6">
                  <c:v>0.19</c:v>
                </c:pt>
                <c:pt idx="7">
                  <c:v>0.19</c:v>
                </c:pt>
                <c:pt idx="8">
                  <c:v>0.19</c:v>
                </c:pt>
                <c:pt idx="9">
                  <c:v>0.19</c:v>
                </c:pt>
                <c:pt idx="10">
                  <c:v>0.19</c:v>
                </c:pt>
                <c:pt idx="11">
                  <c:v>0.19</c:v>
                </c:pt>
                <c:pt idx="12">
                  <c:v>0.19</c:v>
                </c:pt>
                <c:pt idx="13">
                  <c:v>0.19</c:v>
                </c:pt>
                <c:pt idx="14">
                  <c:v>0.19</c:v>
                </c:pt>
                <c:pt idx="15">
                  <c:v>0.19</c:v>
                </c:pt>
                <c:pt idx="16">
                  <c:v>0.19</c:v>
                </c:pt>
                <c:pt idx="17">
                  <c:v>0.19</c:v>
                </c:pt>
                <c:pt idx="18">
                  <c:v>0.19</c:v>
                </c:pt>
                <c:pt idx="19">
                  <c:v>0.19</c:v>
                </c:pt>
                <c:pt idx="20">
                  <c:v>0.19</c:v>
                </c:pt>
                <c:pt idx="21">
                  <c:v>0.19</c:v>
                </c:pt>
                <c:pt idx="22">
                  <c:v>0.19</c:v>
                </c:pt>
                <c:pt idx="23">
                  <c:v>0.19</c:v>
                </c:pt>
                <c:pt idx="24">
                  <c:v>0.19</c:v>
                </c:pt>
                <c:pt idx="25">
                  <c:v>0.19</c:v>
                </c:pt>
              </c:numCache>
            </c:numRef>
          </c:val>
        </c:ser>
        <c:ser>
          <c:idx val="7"/>
          <c:order val="7"/>
          <c:tx>
            <c:strRef>
              <c:f>'Output tables'!$A$16</c:f>
              <c:strCache>
                <c:ptCount val="1"/>
                <c:pt idx="0">
                  <c:v>Supercritical coal</c:v>
                </c:pt>
              </c:strCache>
            </c:strRef>
          </c:tx>
          <c:cat>
            <c:numRef>
              <c:f>'Output tables'!$AP$8:$BO$8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tables'!$AP$16:$BO$16</c:f>
              <c:numCache>
                <c:formatCode>General</c:formatCode>
                <c:ptCount val="26"/>
                <c:pt idx="0">
                  <c:v>0</c:v>
                </c:pt>
                <c:pt idx="1">
                  <c:v>0</c:v>
                </c:pt>
                <c:pt idx="2">
                  <c:v>0</c:v>
                </c:pt>
                <c:pt idx="3">
                  <c:v>0</c:v>
                </c:pt>
                <c:pt idx="4">
                  <c:v>0</c:v>
                </c:pt>
                <c:pt idx="5">
                  <c:v>0</c:v>
                </c:pt>
                <c:pt idx="6">
                  <c:v>0</c:v>
                </c:pt>
                <c:pt idx="7">
                  <c:v>0.79400000000000004</c:v>
                </c:pt>
                <c:pt idx="8">
                  <c:v>2.3820000000000001</c:v>
                </c:pt>
                <c:pt idx="9">
                  <c:v>4.7640000000000002</c:v>
                </c:pt>
                <c:pt idx="10">
                  <c:v>7.1460000000000008</c:v>
                </c:pt>
                <c:pt idx="11">
                  <c:v>8.7340000000000018</c:v>
                </c:pt>
                <c:pt idx="12">
                  <c:v>9.5280000000000022</c:v>
                </c:pt>
                <c:pt idx="13">
                  <c:v>9.5280000000000022</c:v>
                </c:pt>
                <c:pt idx="14">
                  <c:v>9.5280000000000022</c:v>
                </c:pt>
                <c:pt idx="15">
                  <c:v>9.5280000000000022</c:v>
                </c:pt>
                <c:pt idx="16">
                  <c:v>9.5280000000000022</c:v>
                </c:pt>
                <c:pt idx="17">
                  <c:v>9.5280000000000022</c:v>
                </c:pt>
                <c:pt idx="18">
                  <c:v>9.5280000000000022</c:v>
                </c:pt>
                <c:pt idx="19">
                  <c:v>9.5280000000000022</c:v>
                </c:pt>
                <c:pt idx="20">
                  <c:v>9.5280000000000022</c:v>
                </c:pt>
                <c:pt idx="21">
                  <c:v>9.5280000000000022</c:v>
                </c:pt>
                <c:pt idx="22">
                  <c:v>9.5280000000000022</c:v>
                </c:pt>
                <c:pt idx="23">
                  <c:v>9.5280000000000022</c:v>
                </c:pt>
                <c:pt idx="24">
                  <c:v>9.5280000000000022</c:v>
                </c:pt>
                <c:pt idx="25">
                  <c:v>9.5280000000000022</c:v>
                </c:pt>
              </c:numCache>
            </c:numRef>
          </c:val>
        </c:ser>
        <c:ser>
          <c:idx val="8"/>
          <c:order val="8"/>
          <c:tx>
            <c:strRef>
              <c:f>'Output tables'!$A$17</c:f>
              <c:strCache>
                <c:ptCount val="1"/>
                <c:pt idx="0">
                  <c:v>Wind 30% </c:v>
                </c:pt>
              </c:strCache>
            </c:strRef>
          </c:tx>
          <c:cat>
            <c:numRef>
              <c:f>'Output tables'!$AP$8:$BO$8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tables'!$AP$17:$BO$17</c:f>
              <c:numCache>
                <c:formatCode>General</c:formatCode>
                <c:ptCount val="26"/>
                <c:pt idx="0">
                  <c:v>0</c:v>
                </c:pt>
                <c:pt idx="1">
                  <c:v>0</c:v>
                </c:pt>
                <c:pt idx="2">
                  <c:v>0</c:v>
                </c:pt>
                <c:pt idx="3">
                  <c:v>0</c:v>
                </c:pt>
                <c:pt idx="4">
                  <c:v>0</c:v>
                </c:pt>
                <c:pt idx="5">
                  <c:v>0.1</c:v>
                </c:pt>
                <c:pt idx="6">
                  <c:v>0.30000000000000004</c:v>
                </c:pt>
                <c:pt idx="7">
                  <c:v>0.5</c:v>
                </c:pt>
                <c:pt idx="8">
                  <c:v>0.9</c:v>
                </c:pt>
                <c:pt idx="9">
                  <c:v>1.3</c:v>
                </c:pt>
                <c:pt idx="10">
                  <c:v>2.1</c:v>
                </c:pt>
                <c:pt idx="11">
                  <c:v>2.9000000000000004</c:v>
                </c:pt>
                <c:pt idx="12">
                  <c:v>3.9000000000000004</c:v>
                </c:pt>
                <c:pt idx="13">
                  <c:v>4.9000000000000004</c:v>
                </c:pt>
                <c:pt idx="14">
                  <c:v>6.4</c:v>
                </c:pt>
                <c:pt idx="15">
                  <c:v>7.9</c:v>
                </c:pt>
                <c:pt idx="16">
                  <c:v>9.9</c:v>
                </c:pt>
                <c:pt idx="17">
                  <c:v>9.9</c:v>
                </c:pt>
                <c:pt idx="18">
                  <c:v>9.9</c:v>
                </c:pt>
                <c:pt idx="19">
                  <c:v>9.9</c:v>
                </c:pt>
                <c:pt idx="20">
                  <c:v>9.9</c:v>
                </c:pt>
                <c:pt idx="21">
                  <c:v>9.9</c:v>
                </c:pt>
                <c:pt idx="22">
                  <c:v>9.9</c:v>
                </c:pt>
                <c:pt idx="23">
                  <c:v>9.9</c:v>
                </c:pt>
                <c:pt idx="24">
                  <c:v>9.9</c:v>
                </c:pt>
                <c:pt idx="25">
                  <c:v>9.8000000000000007</c:v>
                </c:pt>
              </c:numCache>
            </c:numRef>
          </c:val>
        </c:ser>
        <c:ser>
          <c:idx val="9"/>
          <c:order val="9"/>
          <c:tx>
            <c:strRef>
              <c:f>'Output tables'!$A$18</c:f>
              <c:strCache>
                <c:ptCount val="1"/>
                <c:pt idx="0">
                  <c:v>Wind 25%</c:v>
                </c:pt>
              </c:strCache>
            </c:strRef>
          </c:tx>
          <c:cat>
            <c:numRef>
              <c:f>'Output tables'!$AP$8:$BO$8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tables'!$AP$18:$BO$18</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1</c:v>
                </c:pt>
                <c:pt idx="18">
                  <c:v>2</c:v>
                </c:pt>
                <c:pt idx="19">
                  <c:v>3</c:v>
                </c:pt>
                <c:pt idx="20">
                  <c:v>4</c:v>
                </c:pt>
                <c:pt idx="21">
                  <c:v>5</c:v>
                </c:pt>
                <c:pt idx="22">
                  <c:v>6</c:v>
                </c:pt>
                <c:pt idx="23">
                  <c:v>7</c:v>
                </c:pt>
                <c:pt idx="24">
                  <c:v>8</c:v>
                </c:pt>
                <c:pt idx="25">
                  <c:v>9</c:v>
                </c:pt>
              </c:numCache>
            </c:numRef>
          </c:val>
        </c:ser>
        <c:ser>
          <c:idx val="10"/>
          <c:order val="10"/>
          <c:tx>
            <c:strRef>
              <c:f>'Output tables'!$A$19</c:f>
              <c:strCache>
                <c:ptCount val="1"/>
                <c:pt idx="0">
                  <c:v>solar thermal central reciever</c:v>
                </c:pt>
              </c:strCache>
            </c:strRef>
          </c:tx>
          <c:cat>
            <c:numRef>
              <c:f>'Output tables'!$AP$8:$BO$8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tables'!$AP$19:$BO$19</c:f>
              <c:numCache>
                <c:formatCode>General</c:formatCode>
                <c:ptCount val="26"/>
                <c:pt idx="0">
                  <c:v>0</c:v>
                </c:pt>
                <c:pt idx="1">
                  <c:v>0</c:v>
                </c:pt>
                <c:pt idx="2">
                  <c:v>0</c:v>
                </c:pt>
                <c:pt idx="3">
                  <c:v>0</c:v>
                </c:pt>
                <c:pt idx="4">
                  <c:v>0</c:v>
                </c:pt>
                <c:pt idx="5">
                  <c:v>0</c:v>
                </c:pt>
                <c:pt idx="6">
                  <c:v>0</c:v>
                </c:pt>
                <c:pt idx="7">
                  <c:v>0</c:v>
                </c:pt>
                <c:pt idx="8">
                  <c:v>0</c:v>
                </c:pt>
                <c:pt idx="9">
                  <c:v>0</c:v>
                </c:pt>
                <c:pt idx="10">
                  <c:v>0.1</c:v>
                </c:pt>
                <c:pt idx="11">
                  <c:v>0.30000000000000004</c:v>
                </c:pt>
                <c:pt idx="12">
                  <c:v>0.70000000000000007</c:v>
                </c:pt>
                <c:pt idx="13">
                  <c:v>1.5</c:v>
                </c:pt>
                <c:pt idx="14">
                  <c:v>2.7</c:v>
                </c:pt>
                <c:pt idx="15">
                  <c:v>4.3000000000000007</c:v>
                </c:pt>
                <c:pt idx="16">
                  <c:v>6.3000000000000007</c:v>
                </c:pt>
                <c:pt idx="17">
                  <c:v>8.3000000000000007</c:v>
                </c:pt>
                <c:pt idx="18">
                  <c:v>11.3</c:v>
                </c:pt>
                <c:pt idx="19">
                  <c:v>14.3</c:v>
                </c:pt>
                <c:pt idx="20">
                  <c:v>17.3</c:v>
                </c:pt>
                <c:pt idx="21">
                  <c:v>20.3</c:v>
                </c:pt>
                <c:pt idx="22">
                  <c:v>23.3</c:v>
                </c:pt>
                <c:pt idx="23">
                  <c:v>26.3</c:v>
                </c:pt>
                <c:pt idx="24">
                  <c:v>29.3</c:v>
                </c:pt>
                <c:pt idx="25">
                  <c:v>32.299999999999997</c:v>
                </c:pt>
              </c:numCache>
            </c:numRef>
          </c:val>
        </c:ser>
        <c:ser>
          <c:idx val="11"/>
          <c:order val="11"/>
          <c:tx>
            <c:strRef>
              <c:f>'Output tables'!$A$20</c:f>
              <c:strCache>
                <c:ptCount val="1"/>
                <c:pt idx="0">
                  <c:v>solar thermal trough</c:v>
                </c:pt>
              </c:strCache>
            </c:strRef>
          </c:tx>
          <c:cat>
            <c:numRef>
              <c:f>'Output tables'!$AP$8:$BO$8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tables'!$AP$20:$BO$20</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2"/>
          <c:order val="12"/>
          <c:tx>
            <c:strRef>
              <c:f>'Output tables'!$A$21</c:f>
              <c:strCache>
                <c:ptCount val="1"/>
                <c:pt idx="0">
                  <c:v>solar PV</c:v>
                </c:pt>
              </c:strCache>
            </c:strRef>
          </c:tx>
          <c:cat>
            <c:numRef>
              <c:f>'Output tables'!$AP$8:$BO$8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tables'!$AP$21:$BO$21</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3"/>
          <c:order val="13"/>
          <c:tx>
            <c:strRef>
              <c:f>'Output tables'!$A$22</c:f>
              <c:strCache>
                <c:ptCount val="1"/>
                <c:pt idx="0">
                  <c:v>combined cycle gas</c:v>
                </c:pt>
              </c:strCache>
            </c:strRef>
          </c:tx>
          <c:cat>
            <c:numRef>
              <c:f>'Output tables'!$AP$8:$BO$8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tables'!$AP$22:$BO$22</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0.77400000000000002</c:v>
                </c:pt>
                <c:pt idx="23">
                  <c:v>1.9350000000000001</c:v>
                </c:pt>
                <c:pt idx="24">
                  <c:v>3.0960000000000001</c:v>
                </c:pt>
                <c:pt idx="25">
                  <c:v>3.0960000000000001</c:v>
                </c:pt>
              </c:numCache>
            </c:numRef>
          </c:val>
        </c:ser>
        <c:ser>
          <c:idx val="14"/>
          <c:order val="14"/>
          <c:tx>
            <c:strRef>
              <c:f>'Output tables'!$A$23</c:f>
              <c:strCache>
                <c:ptCount val="1"/>
                <c:pt idx="0">
                  <c:v>PBMR</c:v>
                </c:pt>
              </c:strCache>
            </c:strRef>
          </c:tx>
          <c:cat>
            <c:numRef>
              <c:f>'Output tables'!$AP$8:$BO$8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tables'!$AP$23:$BO$23</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5"/>
          <c:order val="15"/>
          <c:tx>
            <c:strRef>
              <c:f>'Output tables'!$A$24</c:f>
              <c:strCache>
                <c:ptCount val="1"/>
                <c:pt idx="0">
                  <c:v>IGCC</c:v>
                </c:pt>
              </c:strCache>
            </c:strRef>
          </c:tx>
          <c:cat>
            <c:numRef>
              <c:f>'Output tables'!$AP$8:$BO$8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tables'!$AP$24:$BO$24</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0.55000000000000004</c:v>
                </c:pt>
                <c:pt idx="25">
                  <c:v>1.1000000000000001</c:v>
                </c:pt>
              </c:numCache>
            </c:numRef>
          </c:val>
        </c:ser>
        <c:ser>
          <c:idx val="16"/>
          <c:order val="16"/>
          <c:tx>
            <c:strRef>
              <c:f>'Output tables'!$A$25</c:f>
              <c:strCache>
                <c:ptCount val="1"/>
                <c:pt idx="0">
                  <c:v>-</c:v>
                </c:pt>
              </c:strCache>
            </c:strRef>
          </c:tx>
          <c:cat>
            <c:numRef>
              <c:f>'Output tables'!$AP$8:$BO$8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tables'!$AP$25:$BO$25</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7"/>
          <c:order val="17"/>
          <c:tx>
            <c:strRef>
              <c:f>'Output tables'!$A$26</c:f>
              <c:strCache>
                <c:ptCount val="1"/>
                <c:pt idx="0">
                  <c:v>-</c:v>
                </c:pt>
              </c:strCache>
            </c:strRef>
          </c:tx>
          <c:cat>
            <c:numRef>
              <c:f>'Output tables'!$AP$8:$BO$8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tables'!$AP$26:$BO$26</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8"/>
          <c:order val="18"/>
          <c:tx>
            <c:strRef>
              <c:f>'Output tables'!$A$27</c:f>
              <c:strCache>
                <c:ptCount val="1"/>
                <c:pt idx="0">
                  <c:v>-</c:v>
                </c:pt>
              </c:strCache>
            </c:strRef>
          </c:tx>
          <c:cat>
            <c:numRef>
              <c:f>'Output tables'!$AP$8:$BO$8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tables'!$AP$27:$BO$27</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9"/>
          <c:order val="19"/>
          <c:tx>
            <c:strRef>
              <c:f>'Output tables'!$A$28</c:f>
              <c:strCache>
                <c:ptCount val="1"/>
                <c:pt idx="0">
                  <c:v>Pumped storage</c:v>
                </c:pt>
              </c:strCache>
            </c:strRef>
          </c:tx>
          <c:cat>
            <c:numRef>
              <c:f>'Output tables'!$AP$8:$BO$8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tables'!$AP$28:$BO$28</c:f>
              <c:numCache>
                <c:formatCode>General</c:formatCode>
                <c:ptCount val="26"/>
                <c:pt idx="0">
                  <c:v>1.5799999999999998</c:v>
                </c:pt>
                <c:pt idx="1">
                  <c:v>1.5799999999999998</c:v>
                </c:pt>
                <c:pt idx="2">
                  <c:v>1.5799999999999998</c:v>
                </c:pt>
                <c:pt idx="3">
                  <c:v>1.5799999999999998</c:v>
                </c:pt>
                <c:pt idx="4">
                  <c:v>1.5799999999999998</c:v>
                </c:pt>
                <c:pt idx="5">
                  <c:v>1.5799999999999998</c:v>
                </c:pt>
                <c:pt idx="6">
                  <c:v>1.5799999999999998</c:v>
                </c:pt>
                <c:pt idx="7">
                  <c:v>1.5799999999999998</c:v>
                </c:pt>
                <c:pt idx="8">
                  <c:v>2.246</c:v>
                </c:pt>
                <c:pt idx="9">
                  <c:v>2.9119999999999999</c:v>
                </c:pt>
                <c:pt idx="10">
                  <c:v>3.5779999999999998</c:v>
                </c:pt>
                <c:pt idx="11">
                  <c:v>4.2439999999999998</c:v>
                </c:pt>
                <c:pt idx="12">
                  <c:v>4.2439999999999998</c:v>
                </c:pt>
                <c:pt idx="13">
                  <c:v>4.2439999999999998</c:v>
                </c:pt>
                <c:pt idx="14">
                  <c:v>4.2439999999999998</c:v>
                </c:pt>
                <c:pt idx="15">
                  <c:v>4.2439999999999998</c:v>
                </c:pt>
                <c:pt idx="16">
                  <c:v>4.2439999999999998</c:v>
                </c:pt>
                <c:pt idx="17">
                  <c:v>4.2439999999999998</c:v>
                </c:pt>
                <c:pt idx="18">
                  <c:v>4.2439999999999998</c:v>
                </c:pt>
                <c:pt idx="19">
                  <c:v>4.2439999999999998</c:v>
                </c:pt>
                <c:pt idx="20">
                  <c:v>4.2439999999999998</c:v>
                </c:pt>
                <c:pt idx="21">
                  <c:v>4.2439999999999998</c:v>
                </c:pt>
                <c:pt idx="22">
                  <c:v>4.2439999999999998</c:v>
                </c:pt>
                <c:pt idx="23">
                  <c:v>4.2439999999999998</c:v>
                </c:pt>
                <c:pt idx="24">
                  <c:v>4.2439999999999998</c:v>
                </c:pt>
                <c:pt idx="25">
                  <c:v>4.2439999999999998</c:v>
                </c:pt>
              </c:numCache>
            </c:numRef>
          </c:val>
        </c:ser>
        <c:axId val="105568512"/>
        <c:axId val="105574400"/>
      </c:areaChart>
      <c:catAx>
        <c:axId val="105568512"/>
        <c:scaling>
          <c:orientation val="minMax"/>
        </c:scaling>
        <c:axPos val="b"/>
        <c:numFmt formatCode="General" sourceLinked="1"/>
        <c:tickLblPos val="nextTo"/>
        <c:txPr>
          <a:bodyPr rot="-5400000" vert="horz"/>
          <a:lstStyle/>
          <a:p>
            <a:pPr>
              <a:defRPr lang="en-ZA" sz="1000" b="0" i="0" u="none" strike="noStrike" baseline="0">
                <a:solidFill>
                  <a:srgbClr val="000000"/>
                </a:solidFill>
                <a:latin typeface="Calibri"/>
                <a:ea typeface="Calibri"/>
                <a:cs typeface="Calibri"/>
              </a:defRPr>
            </a:pPr>
            <a:endParaRPr lang="en-US"/>
          </a:p>
        </c:txPr>
        <c:crossAx val="105574400"/>
        <c:crosses val="autoZero"/>
        <c:auto val="1"/>
        <c:lblAlgn val="ctr"/>
        <c:lblOffset val="100"/>
      </c:catAx>
      <c:valAx>
        <c:axId val="105574400"/>
        <c:scaling>
          <c:orientation val="minMax"/>
        </c:scaling>
        <c:axPos val="l"/>
        <c:majorGridlines/>
        <c:title>
          <c:tx>
            <c:rich>
              <a:bodyPr/>
              <a:lstStyle/>
              <a:p>
                <a:pPr>
                  <a:defRPr lang="en-ZA" sz="1000" b="0" i="0" u="none" strike="noStrike" baseline="0">
                    <a:solidFill>
                      <a:srgbClr val="000000"/>
                    </a:solidFill>
                    <a:latin typeface="Calibri"/>
                    <a:ea typeface="Calibri"/>
                    <a:cs typeface="Calibri"/>
                  </a:defRPr>
                </a:pPr>
                <a:r>
                  <a:rPr lang="en-ZA"/>
                  <a:t>GW</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5568512"/>
        <c:crosses val="autoZero"/>
        <c:crossBetween val="midCat"/>
      </c:valAx>
    </c:plotArea>
    <c:legend>
      <c:legendPos val="b"/>
      <c:layout>
        <c:manualLayout>
          <c:xMode val="edge"/>
          <c:yMode val="edge"/>
          <c:x val="1.408204796318268E-2"/>
          <c:y val="0.64993719914565329"/>
          <c:w val="0.95688203358141943"/>
          <c:h val="0.32673934988895631"/>
        </c:manualLayout>
      </c:layout>
      <c:txPr>
        <a:bodyPr/>
        <a:lstStyle/>
        <a:p>
          <a:pPr>
            <a:defRPr lang="en-ZA" sz="845" b="0" i="0" u="none" strike="noStrike" baseline="0">
              <a:solidFill>
                <a:srgbClr val="000000"/>
              </a:solidFill>
              <a:latin typeface="Calibri"/>
              <a:ea typeface="Calibri"/>
              <a:cs typeface="Calibri"/>
            </a:defRPr>
          </a:pPr>
          <a:endParaRPr lang="en-US"/>
        </a:p>
      </c:txPr>
    </c:legend>
    <c:plotVisOnly val="1"/>
    <c:dispBlanksAs val="zero"/>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255" l="0.70000000000000062" r="0.70000000000000062" t="0.75000000000000255" header="0.30000000000000032" footer="0.30000000000000032"/>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050" b="1" i="0" u="none" strike="noStrike" baseline="0">
                <a:solidFill>
                  <a:srgbClr val="000000"/>
                </a:solidFill>
                <a:latin typeface="Calibri"/>
                <a:ea typeface="Calibri"/>
                <a:cs typeface="Calibri"/>
              </a:defRPr>
            </a:pPr>
            <a:r>
              <a:rPr lang="en-ZA"/>
              <a:t>Electricity sent out - reference</a:t>
            </a:r>
          </a:p>
        </c:rich>
      </c:tx>
      <c:overlay val="1"/>
    </c:title>
    <c:plotArea>
      <c:layout>
        <c:manualLayout>
          <c:layoutTarget val="inner"/>
          <c:xMode val="edge"/>
          <c:yMode val="edge"/>
          <c:x val="0.2107610110380039"/>
          <c:y val="7.3868967817871986E-2"/>
          <c:w val="0.72509430841692735"/>
          <c:h val="0.44392479717013883"/>
        </c:manualLayout>
      </c:layout>
      <c:areaChart>
        <c:grouping val="stacked"/>
        <c:ser>
          <c:idx val="0"/>
          <c:order val="0"/>
          <c:tx>
            <c:strRef>
              <c:f>'Output tables'!$A$38</c:f>
              <c:strCache>
                <c:ptCount val="1"/>
                <c:pt idx="0">
                  <c:v>Existing coal Large</c:v>
                </c:pt>
              </c:strCache>
            </c:strRef>
          </c:tx>
          <c:cat>
            <c:numRef>
              <c:f>'Output tables'!$B$37:$AA$37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tables'!$B$38:$AA$38</c:f>
              <c:numCache>
                <c:formatCode>General</c:formatCode>
                <c:ptCount val="26"/>
                <c:pt idx="0">
                  <c:v>205861.53782111834</c:v>
                </c:pt>
                <c:pt idx="1">
                  <c:v>205861.53782111834</c:v>
                </c:pt>
                <c:pt idx="2">
                  <c:v>212643.1167461767</c:v>
                </c:pt>
                <c:pt idx="3">
                  <c:v>215005.43490868001</c:v>
                </c:pt>
                <c:pt idx="4">
                  <c:v>215005.43490868001</c:v>
                </c:pt>
                <c:pt idx="5">
                  <c:v>220081.30595977066</c:v>
                </c:pt>
                <c:pt idx="6">
                  <c:v>223929.15444342568</c:v>
                </c:pt>
                <c:pt idx="7">
                  <c:v>228206.35414744783</c:v>
                </c:pt>
                <c:pt idx="8">
                  <c:v>232179.28100439603</c:v>
                </c:pt>
                <c:pt idx="9">
                  <c:v>232379.04948696808</c:v>
                </c:pt>
                <c:pt idx="10">
                  <c:v>232379.04948696808</c:v>
                </c:pt>
                <c:pt idx="11">
                  <c:v>232379.04948696808</c:v>
                </c:pt>
                <c:pt idx="12">
                  <c:v>232379.04948696808</c:v>
                </c:pt>
                <c:pt idx="13">
                  <c:v>232379.04948696808</c:v>
                </c:pt>
                <c:pt idx="14">
                  <c:v>232379.04948696808</c:v>
                </c:pt>
                <c:pt idx="15">
                  <c:v>232379.04948696808</c:v>
                </c:pt>
                <c:pt idx="16">
                  <c:v>232379.04948696808</c:v>
                </c:pt>
                <c:pt idx="17">
                  <c:v>232379.04948696808</c:v>
                </c:pt>
                <c:pt idx="18">
                  <c:v>232379.04948696808</c:v>
                </c:pt>
                <c:pt idx="19">
                  <c:v>223685.13998563425</c:v>
                </c:pt>
                <c:pt idx="20">
                  <c:v>214991.23048430041</c:v>
                </c:pt>
                <c:pt idx="21">
                  <c:v>204123.84360763311</c:v>
                </c:pt>
                <c:pt idx="22">
                  <c:v>193256.45673096576</c:v>
                </c:pt>
                <c:pt idx="23">
                  <c:v>180101.19893289483</c:v>
                </c:pt>
                <c:pt idx="24">
                  <c:v>153790.68333675293</c:v>
                </c:pt>
                <c:pt idx="25">
                  <c:v>140635.42553868194</c:v>
                </c:pt>
              </c:numCache>
            </c:numRef>
          </c:val>
        </c:ser>
        <c:ser>
          <c:idx val="1"/>
          <c:order val="1"/>
          <c:tx>
            <c:strRef>
              <c:f>'Output tables'!$A$39</c:f>
              <c:strCache>
                <c:ptCount val="1"/>
                <c:pt idx="0">
                  <c:v>Existing coal Small</c:v>
                </c:pt>
              </c:strCache>
            </c:strRef>
          </c:tx>
          <c:cat>
            <c:numRef>
              <c:f>'Output tables'!$B$37:$AA$37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tables'!$B$39:$AA$39</c:f>
              <c:numCache>
                <c:formatCode>General</c:formatCode>
                <c:ptCount val="26"/>
                <c:pt idx="0">
                  <c:v>11481.108051601606</c:v>
                </c:pt>
                <c:pt idx="1">
                  <c:v>11481.108051601606</c:v>
                </c:pt>
                <c:pt idx="2">
                  <c:v>11481.108051601606</c:v>
                </c:pt>
                <c:pt idx="3">
                  <c:v>11481.108051601606</c:v>
                </c:pt>
                <c:pt idx="4">
                  <c:v>11481.108051601606</c:v>
                </c:pt>
                <c:pt idx="5">
                  <c:v>12924.051645819456</c:v>
                </c:pt>
                <c:pt idx="6">
                  <c:v>13777.564401403659</c:v>
                </c:pt>
                <c:pt idx="7">
                  <c:v>13777.564401403659</c:v>
                </c:pt>
                <c:pt idx="8">
                  <c:v>13777.564401403659</c:v>
                </c:pt>
                <c:pt idx="9">
                  <c:v>13777.564401403659</c:v>
                </c:pt>
                <c:pt idx="10">
                  <c:v>13777.564401403659</c:v>
                </c:pt>
                <c:pt idx="11">
                  <c:v>13698.339826318494</c:v>
                </c:pt>
                <c:pt idx="12">
                  <c:v>13619.115251233326</c:v>
                </c:pt>
                <c:pt idx="13">
                  <c:v>13513.482484453105</c:v>
                </c:pt>
                <c:pt idx="14">
                  <c:v>13407.84971767288</c:v>
                </c:pt>
                <c:pt idx="15">
                  <c:v>11400.827148848637</c:v>
                </c:pt>
                <c:pt idx="16">
                  <c:v>9393.8045800243945</c:v>
                </c:pt>
                <c:pt idx="17">
                  <c:v>9393.8045800243945</c:v>
                </c:pt>
                <c:pt idx="18">
                  <c:v>9393.8045800243945</c:v>
                </c:pt>
                <c:pt idx="19">
                  <c:v>9393.8045800243945</c:v>
                </c:pt>
                <c:pt idx="20">
                  <c:v>8469.0483917339716</c:v>
                </c:pt>
                <c:pt idx="21">
                  <c:v>7544.2922034435505</c:v>
                </c:pt>
                <c:pt idx="22">
                  <c:v>7544.2922034435505</c:v>
                </c:pt>
                <c:pt idx="23">
                  <c:v>7544.2922034435505</c:v>
                </c:pt>
                <c:pt idx="24">
                  <c:v>7544.2922034435505</c:v>
                </c:pt>
                <c:pt idx="25">
                  <c:v>7544.2922034435505</c:v>
                </c:pt>
              </c:numCache>
            </c:numRef>
          </c:val>
        </c:ser>
        <c:ser>
          <c:idx val="2"/>
          <c:order val="2"/>
          <c:tx>
            <c:strRef>
              <c:f>'Output tables'!$A$40</c:f>
              <c:strCache>
                <c:ptCount val="1"/>
                <c:pt idx="0">
                  <c:v>OCGT liquid fuels</c:v>
                </c:pt>
              </c:strCache>
            </c:strRef>
          </c:tx>
          <c:cat>
            <c:numRef>
              <c:f>'Output tables'!$B$37:$AA$37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tables'!$B$40:$AA$40</c:f>
              <c:numCache>
                <c:formatCode>General</c:formatCode>
                <c:ptCount val="26"/>
                <c:pt idx="0">
                  <c:v>651.77077055999985</c:v>
                </c:pt>
                <c:pt idx="1">
                  <c:v>651.77077055999985</c:v>
                </c:pt>
                <c:pt idx="2">
                  <c:v>651.77077055999985</c:v>
                </c:pt>
                <c:pt idx="3">
                  <c:v>651.77077055999985</c:v>
                </c:pt>
                <c:pt idx="4">
                  <c:v>651.77077055999985</c:v>
                </c:pt>
                <c:pt idx="5">
                  <c:v>651.77077055999985</c:v>
                </c:pt>
                <c:pt idx="6">
                  <c:v>945.06761731199981</c:v>
                </c:pt>
                <c:pt idx="7">
                  <c:v>945.06761731199981</c:v>
                </c:pt>
                <c:pt idx="8">
                  <c:v>945.06761731199981</c:v>
                </c:pt>
                <c:pt idx="9">
                  <c:v>945.06761731199981</c:v>
                </c:pt>
                <c:pt idx="10">
                  <c:v>945.06761731199981</c:v>
                </c:pt>
                <c:pt idx="11">
                  <c:v>945.06761731199981</c:v>
                </c:pt>
                <c:pt idx="12">
                  <c:v>945.06761731199981</c:v>
                </c:pt>
                <c:pt idx="13">
                  <c:v>945.06761731199981</c:v>
                </c:pt>
                <c:pt idx="14">
                  <c:v>945.06761731199981</c:v>
                </c:pt>
                <c:pt idx="15">
                  <c:v>945.06761731199981</c:v>
                </c:pt>
                <c:pt idx="16">
                  <c:v>945.06761731199981</c:v>
                </c:pt>
                <c:pt idx="17">
                  <c:v>945.06761731199981</c:v>
                </c:pt>
                <c:pt idx="18">
                  <c:v>1140.59884848</c:v>
                </c:pt>
                <c:pt idx="19">
                  <c:v>1140.59884848</c:v>
                </c:pt>
                <c:pt idx="20">
                  <c:v>1140.59884848</c:v>
                </c:pt>
                <c:pt idx="21">
                  <c:v>1336.1300796479998</c:v>
                </c:pt>
                <c:pt idx="22">
                  <c:v>1336.1300796479998</c:v>
                </c:pt>
                <c:pt idx="23">
                  <c:v>1336.1300796479998</c:v>
                </c:pt>
                <c:pt idx="24">
                  <c:v>1531.6613108159995</c:v>
                </c:pt>
                <c:pt idx="25">
                  <c:v>1485.2226434135996</c:v>
                </c:pt>
              </c:numCache>
            </c:numRef>
          </c:val>
        </c:ser>
        <c:ser>
          <c:idx val="3"/>
          <c:order val="3"/>
          <c:tx>
            <c:strRef>
              <c:f>'Output tables'!$A$41</c:f>
              <c:strCache>
                <c:ptCount val="1"/>
                <c:pt idx="0">
                  <c:v>PWR nuclear</c:v>
                </c:pt>
              </c:strCache>
            </c:strRef>
          </c:tx>
          <c:cat>
            <c:numRef>
              <c:f>'Output tables'!$B$37:$AA$37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tables'!$B$41:$AA$41</c:f>
              <c:numCache>
                <c:formatCode>General</c:formatCode>
                <c:ptCount val="26"/>
                <c:pt idx="0">
                  <c:v>13197.815999999999</c:v>
                </c:pt>
                <c:pt idx="1">
                  <c:v>13197.815999999999</c:v>
                </c:pt>
                <c:pt idx="2">
                  <c:v>13197.815999999999</c:v>
                </c:pt>
                <c:pt idx="3">
                  <c:v>13197.815999999999</c:v>
                </c:pt>
                <c:pt idx="4">
                  <c:v>13197.815999999999</c:v>
                </c:pt>
                <c:pt idx="5">
                  <c:v>13197.815999999999</c:v>
                </c:pt>
                <c:pt idx="6">
                  <c:v>13197.815999999999</c:v>
                </c:pt>
                <c:pt idx="7">
                  <c:v>13197.815999999999</c:v>
                </c:pt>
                <c:pt idx="8">
                  <c:v>13197.815999999999</c:v>
                </c:pt>
                <c:pt idx="9">
                  <c:v>13197.815999999999</c:v>
                </c:pt>
                <c:pt idx="10">
                  <c:v>13197.815999999999</c:v>
                </c:pt>
                <c:pt idx="11">
                  <c:v>13197.815999999999</c:v>
                </c:pt>
                <c:pt idx="12">
                  <c:v>13197.815999999999</c:v>
                </c:pt>
                <c:pt idx="13">
                  <c:v>13197.815999999999</c:v>
                </c:pt>
                <c:pt idx="14">
                  <c:v>13197.815999999999</c:v>
                </c:pt>
                <c:pt idx="15">
                  <c:v>13197.815999999999</c:v>
                </c:pt>
                <c:pt idx="16">
                  <c:v>13197.815999999999</c:v>
                </c:pt>
                <c:pt idx="17">
                  <c:v>13197.815999999999</c:v>
                </c:pt>
                <c:pt idx="18">
                  <c:v>13197.815999999999</c:v>
                </c:pt>
                <c:pt idx="19">
                  <c:v>13197.815999999999</c:v>
                </c:pt>
                <c:pt idx="20">
                  <c:v>13197.815999999999</c:v>
                </c:pt>
                <c:pt idx="21">
                  <c:v>13197.815999999999</c:v>
                </c:pt>
                <c:pt idx="22">
                  <c:v>13197.815999999999</c:v>
                </c:pt>
                <c:pt idx="23">
                  <c:v>13197.815999999999</c:v>
                </c:pt>
                <c:pt idx="24">
                  <c:v>13197.815999999999</c:v>
                </c:pt>
                <c:pt idx="25">
                  <c:v>13197.815999999999</c:v>
                </c:pt>
              </c:numCache>
            </c:numRef>
          </c:val>
        </c:ser>
        <c:ser>
          <c:idx val="4"/>
          <c:order val="4"/>
          <c:tx>
            <c:strRef>
              <c:f>'Output tables'!$A$42</c:f>
              <c:strCache>
                <c:ptCount val="1"/>
                <c:pt idx="0">
                  <c:v>Hydro</c:v>
                </c:pt>
              </c:strCache>
            </c:strRef>
          </c:tx>
          <c:cat>
            <c:numRef>
              <c:f>'Output tables'!$B$37:$AA$37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tables'!$B$42:$AA$42</c:f>
              <c:numCache>
                <c:formatCode>General</c:formatCode>
                <c:ptCount val="26"/>
                <c:pt idx="0">
                  <c:v>878.42652000000021</c:v>
                </c:pt>
                <c:pt idx="1">
                  <c:v>878.42652000000021</c:v>
                </c:pt>
                <c:pt idx="2">
                  <c:v>878.42652000000021</c:v>
                </c:pt>
                <c:pt idx="3">
                  <c:v>878.42652000000021</c:v>
                </c:pt>
                <c:pt idx="4">
                  <c:v>878.42652000000021</c:v>
                </c:pt>
                <c:pt idx="5">
                  <c:v>878.42652000000021</c:v>
                </c:pt>
                <c:pt idx="6">
                  <c:v>878.42652000000021</c:v>
                </c:pt>
                <c:pt idx="7">
                  <c:v>878.42652000000021</c:v>
                </c:pt>
                <c:pt idx="8">
                  <c:v>878.42652000000021</c:v>
                </c:pt>
                <c:pt idx="9">
                  <c:v>878.42652000000021</c:v>
                </c:pt>
                <c:pt idx="10">
                  <c:v>878.42652000000021</c:v>
                </c:pt>
                <c:pt idx="11">
                  <c:v>878.42652000000021</c:v>
                </c:pt>
                <c:pt idx="12">
                  <c:v>878.42652000000021</c:v>
                </c:pt>
                <c:pt idx="13">
                  <c:v>878.42652000000021</c:v>
                </c:pt>
                <c:pt idx="14">
                  <c:v>878.42652000000021</c:v>
                </c:pt>
                <c:pt idx="15">
                  <c:v>878.42652000000021</c:v>
                </c:pt>
                <c:pt idx="16">
                  <c:v>878.42652000000021</c:v>
                </c:pt>
                <c:pt idx="17">
                  <c:v>878.42652000000021</c:v>
                </c:pt>
                <c:pt idx="18">
                  <c:v>878.42652000000021</c:v>
                </c:pt>
                <c:pt idx="19">
                  <c:v>878.42652000000021</c:v>
                </c:pt>
                <c:pt idx="20">
                  <c:v>878.42652000000021</c:v>
                </c:pt>
                <c:pt idx="21">
                  <c:v>878.42652000000021</c:v>
                </c:pt>
                <c:pt idx="22">
                  <c:v>878.42652000000021</c:v>
                </c:pt>
                <c:pt idx="23">
                  <c:v>878.42652000000021</c:v>
                </c:pt>
                <c:pt idx="24">
                  <c:v>878.42652000000021</c:v>
                </c:pt>
                <c:pt idx="25">
                  <c:v>878.42652000000021</c:v>
                </c:pt>
              </c:numCache>
            </c:numRef>
          </c:val>
        </c:ser>
        <c:ser>
          <c:idx val="5"/>
          <c:order val="5"/>
          <c:tx>
            <c:strRef>
              <c:f>'Output tables'!$A$43</c:f>
              <c:strCache>
                <c:ptCount val="1"/>
                <c:pt idx="0">
                  <c:v>Landfill gas</c:v>
                </c:pt>
              </c:strCache>
            </c:strRef>
          </c:tx>
          <c:cat>
            <c:numRef>
              <c:f>'Output tables'!$B$37:$AA$37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tables'!$B$43:$AA$43</c:f>
              <c:numCache>
                <c:formatCode>General</c:formatCode>
                <c:ptCount val="26"/>
                <c:pt idx="0">
                  <c:v>524.66925000000003</c:v>
                </c:pt>
                <c:pt idx="1">
                  <c:v>524.66925000000003</c:v>
                </c:pt>
                <c:pt idx="2">
                  <c:v>524.66925000000003</c:v>
                </c:pt>
                <c:pt idx="3">
                  <c:v>524.66925000000003</c:v>
                </c:pt>
                <c:pt idx="4">
                  <c:v>524.66925000000003</c:v>
                </c:pt>
                <c:pt idx="5">
                  <c:v>524.66925000000003</c:v>
                </c:pt>
                <c:pt idx="6">
                  <c:v>524.66925000000003</c:v>
                </c:pt>
                <c:pt idx="7">
                  <c:v>524.66925000000003</c:v>
                </c:pt>
                <c:pt idx="8">
                  <c:v>524.66925000000003</c:v>
                </c:pt>
                <c:pt idx="9">
                  <c:v>524.66925000000003</c:v>
                </c:pt>
                <c:pt idx="10">
                  <c:v>524.66925000000003</c:v>
                </c:pt>
                <c:pt idx="11">
                  <c:v>524.66925000000003</c:v>
                </c:pt>
                <c:pt idx="12">
                  <c:v>524.66925000000003</c:v>
                </c:pt>
                <c:pt idx="13">
                  <c:v>524.66925000000003</c:v>
                </c:pt>
                <c:pt idx="14">
                  <c:v>524.66925000000003</c:v>
                </c:pt>
                <c:pt idx="15">
                  <c:v>524.66925000000003</c:v>
                </c:pt>
                <c:pt idx="16">
                  <c:v>524.66925000000003</c:v>
                </c:pt>
                <c:pt idx="17">
                  <c:v>524.66925000000003</c:v>
                </c:pt>
                <c:pt idx="18">
                  <c:v>524.66925000000003</c:v>
                </c:pt>
                <c:pt idx="19">
                  <c:v>524.66925000000003</c:v>
                </c:pt>
                <c:pt idx="20">
                  <c:v>524.66925000000003</c:v>
                </c:pt>
                <c:pt idx="21">
                  <c:v>524.66925000000003</c:v>
                </c:pt>
                <c:pt idx="22">
                  <c:v>524.66925000000003</c:v>
                </c:pt>
                <c:pt idx="23">
                  <c:v>524.66925000000003</c:v>
                </c:pt>
                <c:pt idx="24">
                  <c:v>524.66925000000003</c:v>
                </c:pt>
                <c:pt idx="25">
                  <c:v>524.66925000000003</c:v>
                </c:pt>
              </c:numCache>
            </c:numRef>
          </c:val>
        </c:ser>
        <c:ser>
          <c:idx val="6"/>
          <c:order val="6"/>
          <c:tx>
            <c:strRef>
              <c:f>'Output tables'!$A$44</c:f>
              <c:strCache>
                <c:ptCount val="1"/>
                <c:pt idx="0">
                  <c:v>Biomass</c:v>
                </c:pt>
              </c:strCache>
            </c:strRef>
          </c:tx>
          <c:cat>
            <c:numRef>
              <c:f>'Output tables'!$B$37:$AA$37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tables'!$B$44:$AA$44</c:f>
              <c:numCache>
                <c:formatCode>General</c:formatCode>
                <c:ptCount val="26"/>
                <c:pt idx="0">
                  <c:v>1502.121000000029</c:v>
                </c:pt>
                <c:pt idx="1">
                  <c:v>1502.1209999999999</c:v>
                </c:pt>
                <c:pt idx="2">
                  <c:v>1502.1209999999999</c:v>
                </c:pt>
                <c:pt idx="3">
                  <c:v>1502.1209999999999</c:v>
                </c:pt>
                <c:pt idx="4">
                  <c:v>1502.1209999999999</c:v>
                </c:pt>
                <c:pt idx="5">
                  <c:v>1502.1209999999999</c:v>
                </c:pt>
                <c:pt idx="6">
                  <c:v>1502.1209999999999</c:v>
                </c:pt>
                <c:pt idx="7">
                  <c:v>1502.1209999999999</c:v>
                </c:pt>
                <c:pt idx="8">
                  <c:v>1502.1209999999999</c:v>
                </c:pt>
                <c:pt idx="9">
                  <c:v>1502.1209999999999</c:v>
                </c:pt>
                <c:pt idx="10">
                  <c:v>1502.1209999999999</c:v>
                </c:pt>
                <c:pt idx="11">
                  <c:v>1502.1209999999999</c:v>
                </c:pt>
                <c:pt idx="12">
                  <c:v>1502.1209999999999</c:v>
                </c:pt>
                <c:pt idx="13">
                  <c:v>1502.1209999999999</c:v>
                </c:pt>
                <c:pt idx="14">
                  <c:v>1502.1209999999999</c:v>
                </c:pt>
                <c:pt idx="15">
                  <c:v>1502.1209999999999</c:v>
                </c:pt>
                <c:pt idx="16">
                  <c:v>1502.1209999999999</c:v>
                </c:pt>
                <c:pt idx="17">
                  <c:v>1502.1209999999999</c:v>
                </c:pt>
                <c:pt idx="18">
                  <c:v>1502.1209999999999</c:v>
                </c:pt>
                <c:pt idx="19">
                  <c:v>1502.1209999999999</c:v>
                </c:pt>
                <c:pt idx="20">
                  <c:v>1502.1209999999999</c:v>
                </c:pt>
                <c:pt idx="21">
                  <c:v>1502.1209999999999</c:v>
                </c:pt>
                <c:pt idx="22">
                  <c:v>1502.1209999999999</c:v>
                </c:pt>
                <c:pt idx="23">
                  <c:v>1502.1209999999999</c:v>
                </c:pt>
                <c:pt idx="24">
                  <c:v>1502.1209999999999</c:v>
                </c:pt>
                <c:pt idx="25">
                  <c:v>1502.1209999999999</c:v>
                </c:pt>
              </c:numCache>
            </c:numRef>
          </c:val>
        </c:ser>
        <c:ser>
          <c:idx val="7"/>
          <c:order val="7"/>
          <c:tx>
            <c:strRef>
              <c:f>'Output tables'!$A$45</c:f>
              <c:strCache>
                <c:ptCount val="1"/>
                <c:pt idx="0">
                  <c:v>Supercritical coal</c:v>
                </c:pt>
              </c:strCache>
            </c:strRef>
          </c:tx>
          <c:cat>
            <c:numRef>
              <c:f>'Output tables'!$B$37:$AA$37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tables'!$B$45:$AA$45</c:f>
              <c:numCache>
                <c:formatCode>General</c:formatCode>
                <c:ptCount val="26"/>
                <c:pt idx="0">
                  <c:v>0</c:v>
                </c:pt>
                <c:pt idx="1">
                  <c:v>0</c:v>
                </c:pt>
                <c:pt idx="2">
                  <c:v>0</c:v>
                </c:pt>
                <c:pt idx="3">
                  <c:v>0</c:v>
                </c:pt>
                <c:pt idx="4">
                  <c:v>0</c:v>
                </c:pt>
                <c:pt idx="5">
                  <c:v>0</c:v>
                </c:pt>
                <c:pt idx="6">
                  <c:v>0</c:v>
                </c:pt>
                <c:pt idx="7">
                  <c:v>1693.7365830000003</c:v>
                </c:pt>
                <c:pt idx="8">
                  <c:v>5081.2097490000015</c:v>
                </c:pt>
                <c:pt idx="9">
                  <c:v>13787.838002241275</c:v>
                </c:pt>
                <c:pt idx="10">
                  <c:v>22109.866176129231</c:v>
                </c:pt>
                <c:pt idx="11">
                  <c:v>30973.848045042821</c:v>
                </c:pt>
                <c:pt idx="12">
                  <c:v>39693.39423489997</c:v>
                </c:pt>
                <c:pt idx="13">
                  <c:v>48912.77667558215</c:v>
                </c:pt>
                <c:pt idx="14">
                  <c:v>58560.11668383942</c:v>
                </c:pt>
                <c:pt idx="15">
                  <c:v>70157.919939841871</c:v>
                </c:pt>
                <c:pt idx="16">
                  <c:v>82258.573337745125</c:v>
                </c:pt>
                <c:pt idx="17">
                  <c:v>92501.989315475454</c:v>
                </c:pt>
                <c:pt idx="18">
                  <c:v>103258.67878333401</c:v>
                </c:pt>
                <c:pt idx="19">
                  <c:v>123284.62132491726</c:v>
                </c:pt>
                <c:pt idx="20">
                  <c:v>144735.49546189455</c:v>
                </c:pt>
                <c:pt idx="21">
                  <c:v>169111.17186129716</c:v>
                </c:pt>
                <c:pt idx="22">
                  <c:v>193300.59446743844</c:v>
                </c:pt>
                <c:pt idx="23">
                  <c:v>220195.14662336902</c:v>
                </c:pt>
                <c:pt idx="24">
                  <c:v>260340.97143911308</c:v>
                </c:pt>
                <c:pt idx="25">
                  <c:v>284022.13653434324</c:v>
                </c:pt>
              </c:numCache>
            </c:numRef>
          </c:val>
        </c:ser>
        <c:ser>
          <c:idx val="8"/>
          <c:order val="8"/>
          <c:tx>
            <c:strRef>
              <c:f>'Output tables'!$A$46</c:f>
              <c:strCache>
                <c:ptCount val="1"/>
                <c:pt idx="0">
                  <c:v>Wind 30% </c:v>
                </c:pt>
              </c:strCache>
            </c:strRef>
          </c:tx>
          <c:cat>
            <c:numRef>
              <c:f>'Output tables'!$B$37:$AA$37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tables'!$B$46:$AA$46</c:f>
              <c:numCache>
                <c:formatCode>General</c:formatCode>
                <c:ptCount val="26"/>
                <c:pt idx="0">
                  <c:v>0</c:v>
                </c:pt>
                <c:pt idx="1">
                  <c:v>0</c:v>
                </c:pt>
                <c:pt idx="2">
                  <c:v>0</c:v>
                </c:pt>
                <c:pt idx="3">
                  <c:v>0</c:v>
                </c:pt>
                <c:pt idx="4">
                  <c:v>0</c:v>
                </c:pt>
                <c:pt idx="5">
                  <c:v>262.8</c:v>
                </c:pt>
                <c:pt idx="6">
                  <c:v>262.8</c:v>
                </c:pt>
                <c:pt idx="7">
                  <c:v>262.8</c:v>
                </c:pt>
                <c:pt idx="8">
                  <c:v>262.8</c:v>
                </c:pt>
                <c:pt idx="9">
                  <c:v>262.8</c:v>
                </c:pt>
                <c:pt idx="10">
                  <c:v>262.8</c:v>
                </c:pt>
                <c:pt idx="11">
                  <c:v>262.8</c:v>
                </c:pt>
                <c:pt idx="12">
                  <c:v>262.8</c:v>
                </c:pt>
                <c:pt idx="13">
                  <c:v>262.8</c:v>
                </c:pt>
                <c:pt idx="14">
                  <c:v>262.8</c:v>
                </c:pt>
                <c:pt idx="15">
                  <c:v>262.8</c:v>
                </c:pt>
                <c:pt idx="16">
                  <c:v>262.8</c:v>
                </c:pt>
                <c:pt idx="17">
                  <c:v>262.8</c:v>
                </c:pt>
                <c:pt idx="18">
                  <c:v>262.8</c:v>
                </c:pt>
                <c:pt idx="19">
                  <c:v>262.8</c:v>
                </c:pt>
                <c:pt idx="20">
                  <c:v>262.8</c:v>
                </c:pt>
                <c:pt idx="21">
                  <c:v>262.8</c:v>
                </c:pt>
                <c:pt idx="22">
                  <c:v>262.8</c:v>
                </c:pt>
                <c:pt idx="23">
                  <c:v>262.8</c:v>
                </c:pt>
                <c:pt idx="24">
                  <c:v>262.8</c:v>
                </c:pt>
                <c:pt idx="25">
                  <c:v>0</c:v>
                </c:pt>
              </c:numCache>
            </c:numRef>
          </c:val>
        </c:ser>
        <c:ser>
          <c:idx val="9"/>
          <c:order val="9"/>
          <c:tx>
            <c:strRef>
              <c:f>'Output tables'!$A$47</c:f>
              <c:strCache>
                <c:ptCount val="1"/>
                <c:pt idx="0">
                  <c:v>Wind 25%</c:v>
                </c:pt>
              </c:strCache>
            </c:strRef>
          </c:tx>
          <c:cat>
            <c:numRef>
              <c:f>'Output tables'!$B$37:$AA$37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tables'!$B$47:$AA$47</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0"/>
          <c:order val="10"/>
          <c:tx>
            <c:strRef>
              <c:f>'Output tables'!$A$48</c:f>
              <c:strCache>
                <c:ptCount val="1"/>
                <c:pt idx="0">
                  <c:v>solar thermal central reciever</c:v>
                </c:pt>
              </c:strCache>
            </c:strRef>
          </c:tx>
          <c:cat>
            <c:numRef>
              <c:f>'Output tables'!$B$37:$AA$37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tables'!$B$48:$AA$48</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1"/>
          <c:order val="11"/>
          <c:tx>
            <c:strRef>
              <c:f>'Output tables'!$A$49</c:f>
              <c:strCache>
                <c:ptCount val="1"/>
                <c:pt idx="0">
                  <c:v>solar thermal trough</c:v>
                </c:pt>
              </c:strCache>
            </c:strRef>
          </c:tx>
          <c:cat>
            <c:numRef>
              <c:f>'Output tables'!$B$37:$AA$37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tables'!$B$49:$AA$49</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2"/>
          <c:order val="12"/>
          <c:tx>
            <c:strRef>
              <c:f>'Output tables'!$A$50</c:f>
              <c:strCache>
                <c:ptCount val="1"/>
                <c:pt idx="0">
                  <c:v>solar PV</c:v>
                </c:pt>
              </c:strCache>
            </c:strRef>
          </c:tx>
          <c:cat>
            <c:numRef>
              <c:f>'Output tables'!$B$37:$AA$37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tables'!$B$50:$AA$50</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3"/>
          <c:order val="13"/>
          <c:tx>
            <c:strRef>
              <c:f>'Output tables'!$A$51</c:f>
              <c:strCache>
                <c:ptCount val="1"/>
                <c:pt idx="0">
                  <c:v>combined cycle gas</c:v>
                </c:pt>
              </c:strCache>
            </c:strRef>
          </c:tx>
          <c:cat>
            <c:numRef>
              <c:f>'Output tables'!$B$37:$AA$37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tables'!$B$51:$AA$51</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4"/>
          <c:order val="14"/>
          <c:tx>
            <c:strRef>
              <c:f>'Output tables'!$A$52</c:f>
              <c:strCache>
                <c:ptCount val="1"/>
                <c:pt idx="0">
                  <c:v>PBMR</c:v>
                </c:pt>
              </c:strCache>
            </c:strRef>
          </c:tx>
          <c:cat>
            <c:numRef>
              <c:f>'Output tables'!$B$37:$AA$37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tables'!$B$52:$AA$52</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5"/>
          <c:order val="15"/>
          <c:tx>
            <c:strRef>
              <c:f>'Output tables'!$A$53</c:f>
              <c:strCache>
                <c:ptCount val="1"/>
                <c:pt idx="0">
                  <c:v>IGCC</c:v>
                </c:pt>
              </c:strCache>
            </c:strRef>
          </c:tx>
          <c:cat>
            <c:numRef>
              <c:f>'Output tables'!$B$37:$AA$37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tables'!$B$53:$AA$53</c:f>
              <c:numCache>
                <c:formatCode>General</c:formatCode>
                <c:ptCount val="26"/>
                <c:pt idx="0">
                  <c:v>0</c:v>
                </c:pt>
                <c:pt idx="1">
                  <c:v>2.9103830456733704E-11</c:v>
                </c:pt>
                <c:pt idx="2">
                  <c:v>0</c:v>
                </c:pt>
                <c:pt idx="3">
                  <c:v>2.9103830456733704E-11</c:v>
                </c:pt>
                <c:pt idx="4">
                  <c:v>2.9103830456733704E-11</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6"/>
          <c:order val="16"/>
          <c:tx>
            <c:strRef>
              <c:f>'Output tables'!$A$54</c:f>
              <c:strCache>
                <c:ptCount val="1"/>
                <c:pt idx="0">
                  <c:v>-</c:v>
                </c:pt>
              </c:strCache>
            </c:strRef>
          </c:tx>
          <c:cat>
            <c:numRef>
              <c:f>'Output tables'!$B$37:$AA$37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tables'!$B$54:$AA$54</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7"/>
          <c:order val="17"/>
          <c:tx>
            <c:strRef>
              <c:f>'Output tables'!$A$55</c:f>
              <c:strCache>
                <c:ptCount val="1"/>
                <c:pt idx="0">
                  <c:v>-</c:v>
                </c:pt>
              </c:strCache>
            </c:strRef>
          </c:tx>
          <c:cat>
            <c:numRef>
              <c:f>'Output tables'!$B$37:$AA$37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tables'!$B$55:$AA$55</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8"/>
          <c:order val="18"/>
          <c:tx>
            <c:strRef>
              <c:f>'Output tables'!$A$56</c:f>
              <c:strCache>
                <c:ptCount val="1"/>
                <c:pt idx="0">
                  <c:v>-</c:v>
                </c:pt>
              </c:strCache>
            </c:strRef>
          </c:tx>
          <c:cat>
            <c:numRef>
              <c:f>'Output tables'!$B$37:$AA$37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tables'!$B$56:$AA$56</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9"/>
          <c:order val="19"/>
          <c:tx>
            <c:strRef>
              <c:f>'Output tables'!$A$57</c:f>
              <c:strCache>
                <c:ptCount val="1"/>
                <c:pt idx="0">
                  <c:v>Pumped storage</c:v>
                </c:pt>
              </c:strCache>
            </c:strRef>
          </c:tx>
          <c:cat>
            <c:numRef>
              <c:f>'Output tables'!$B$37:$AA$37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tables'!$B$57:$AA$57</c:f>
              <c:numCache>
                <c:formatCode>General</c:formatCode>
                <c:ptCount val="26"/>
                <c:pt idx="0">
                  <c:v>3096.0000000000005</c:v>
                </c:pt>
                <c:pt idx="1">
                  <c:v>3096.0000000000005</c:v>
                </c:pt>
                <c:pt idx="2">
                  <c:v>3096.0000000000005</c:v>
                </c:pt>
                <c:pt idx="3">
                  <c:v>3096.0000000000005</c:v>
                </c:pt>
                <c:pt idx="4">
                  <c:v>3096.0000000000005</c:v>
                </c:pt>
                <c:pt idx="5">
                  <c:v>3096.0000000000005</c:v>
                </c:pt>
                <c:pt idx="6">
                  <c:v>3096.0000000000005</c:v>
                </c:pt>
                <c:pt idx="7">
                  <c:v>3096.0000000000005</c:v>
                </c:pt>
                <c:pt idx="8">
                  <c:v>4401.0227848101276</c:v>
                </c:pt>
                <c:pt idx="9">
                  <c:v>5706.0455696202544</c:v>
                </c:pt>
                <c:pt idx="10">
                  <c:v>5706.0455696202544</c:v>
                </c:pt>
                <c:pt idx="11">
                  <c:v>5706.0455696202544</c:v>
                </c:pt>
                <c:pt idx="12">
                  <c:v>5706.0455696202544</c:v>
                </c:pt>
                <c:pt idx="13">
                  <c:v>5706.0455696202544</c:v>
                </c:pt>
                <c:pt idx="14">
                  <c:v>5706.0455696202544</c:v>
                </c:pt>
                <c:pt idx="15">
                  <c:v>5706.0455696202544</c:v>
                </c:pt>
                <c:pt idx="16">
                  <c:v>5706.0455696202544</c:v>
                </c:pt>
                <c:pt idx="17">
                  <c:v>5706.0455696202544</c:v>
                </c:pt>
                <c:pt idx="18">
                  <c:v>5706.0455696202544</c:v>
                </c:pt>
                <c:pt idx="19">
                  <c:v>5706.0455696202544</c:v>
                </c:pt>
                <c:pt idx="20">
                  <c:v>5706.0455696202544</c:v>
                </c:pt>
                <c:pt idx="21">
                  <c:v>5706.0455696202544</c:v>
                </c:pt>
                <c:pt idx="22">
                  <c:v>5706.0455696202544</c:v>
                </c:pt>
                <c:pt idx="23">
                  <c:v>5706.0455696202544</c:v>
                </c:pt>
                <c:pt idx="24">
                  <c:v>5706.0455696202544</c:v>
                </c:pt>
                <c:pt idx="25">
                  <c:v>5706.0455696202544</c:v>
                </c:pt>
              </c:numCache>
            </c:numRef>
          </c:val>
        </c:ser>
        <c:axId val="105753216"/>
        <c:axId val="105771392"/>
      </c:areaChart>
      <c:catAx>
        <c:axId val="105753216"/>
        <c:scaling>
          <c:orientation val="minMax"/>
        </c:scaling>
        <c:axPos val="b"/>
        <c:numFmt formatCode="General" sourceLinked="1"/>
        <c:tickLblPos val="nextTo"/>
        <c:txPr>
          <a:bodyPr rot="-5400000" vert="horz"/>
          <a:lstStyle/>
          <a:p>
            <a:pPr>
              <a:defRPr lang="en-ZA" sz="1000" b="0" i="0" u="none" strike="noStrike" baseline="0">
                <a:solidFill>
                  <a:srgbClr val="000000"/>
                </a:solidFill>
                <a:latin typeface="Calibri"/>
                <a:ea typeface="Calibri"/>
                <a:cs typeface="Calibri"/>
              </a:defRPr>
            </a:pPr>
            <a:endParaRPr lang="en-US"/>
          </a:p>
        </c:txPr>
        <c:crossAx val="105771392"/>
        <c:crosses val="autoZero"/>
        <c:auto val="1"/>
        <c:lblAlgn val="ctr"/>
        <c:lblOffset val="100"/>
      </c:catAx>
      <c:valAx>
        <c:axId val="105771392"/>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GWh</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5753216"/>
        <c:crosses val="autoZero"/>
        <c:crossBetween val="midCat"/>
      </c:valAx>
    </c:plotArea>
    <c:legend>
      <c:legendPos val="b"/>
      <c:layout>
        <c:manualLayout>
          <c:xMode val="edge"/>
          <c:yMode val="edge"/>
          <c:x val="9.3619634593029768E-3"/>
          <c:y val="0.59926721281051987"/>
          <c:w val="0.99063803654069793"/>
          <c:h val="0.40073257509478022"/>
        </c:manualLayout>
      </c:layout>
      <c:txPr>
        <a:bodyPr/>
        <a:lstStyle/>
        <a:p>
          <a:pPr>
            <a:defRPr lang="en-ZA" sz="845" b="0" i="0" u="none" strike="noStrike" baseline="0">
              <a:solidFill>
                <a:srgbClr val="000000"/>
              </a:solidFill>
              <a:latin typeface="Calibri"/>
              <a:ea typeface="Calibri"/>
              <a:cs typeface="Calibri"/>
            </a:defRPr>
          </a:pPr>
          <a:endParaRPr lang="en-US"/>
        </a:p>
      </c:txPr>
    </c:legend>
    <c:plotVisOnly val="1"/>
    <c:dispBlanksAs val="zero"/>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222" l="0.70000000000000062" r="0.70000000000000062" t="0.75000000000000222" header="0.30000000000000032" footer="0.30000000000000032"/>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050" b="1" i="0" u="none" strike="noStrike" baseline="0">
                <a:solidFill>
                  <a:srgbClr val="000000"/>
                </a:solidFill>
                <a:latin typeface="Calibri"/>
                <a:ea typeface="Calibri"/>
                <a:cs typeface="Calibri"/>
              </a:defRPr>
            </a:pPr>
            <a:r>
              <a:rPr lang="en-ZA"/>
              <a:t>Electricity sent out - scenario</a:t>
            </a:r>
          </a:p>
        </c:rich>
      </c:tx>
      <c:overlay val="1"/>
    </c:title>
    <c:plotArea>
      <c:layout>
        <c:manualLayout>
          <c:layoutTarget val="inner"/>
          <c:xMode val="edge"/>
          <c:yMode val="edge"/>
          <c:x val="0.21528132759663388"/>
          <c:y val="7.3868967817872014E-2"/>
          <c:w val="0.72552126743406364"/>
          <c:h val="0.44392479717013894"/>
        </c:manualLayout>
      </c:layout>
      <c:areaChart>
        <c:grouping val="stacked"/>
        <c:ser>
          <c:idx val="0"/>
          <c:order val="0"/>
          <c:tx>
            <c:strRef>
              <c:f>'Output tables'!$A$38</c:f>
              <c:strCache>
                <c:ptCount val="1"/>
                <c:pt idx="0">
                  <c:v>Existing coal Large</c:v>
                </c:pt>
              </c:strCache>
            </c:strRef>
          </c:tx>
          <c:cat>
            <c:numRef>
              <c:f>'Output tables'!$AP$37:$BO$37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tables'!$AP$38:$BO$38</c:f>
              <c:numCache>
                <c:formatCode>General</c:formatCode>
                <c:ptCount val="26"/>
                <c:pt idx="0">
                  <c:v>205861.53782111834</c:v>
                </c:pt>
                <c:pt idx="1">
                  <c:v>205861.53782111834</c:v>
                </c:pt>
                <c:pt idx="2">
                  <c:v>212643.1167461767</c:v>
                </c:pt>
                <c:pt idx="3">
                  <c:v>215005.43490868001</c:v>
                </c:pt>
                <c:pt idx="4">
                  <c:v>215005.43490868001</c:v>
                </c:pt>
                <c:pt idx="5">
                  <c:v>220081.30595977066</c:v>
                </c:pt>
                <c:pt idx="6">
                  <c:v>223403.5544434257</c:v>
                </c:pt>
                <c:pt idx="7">
                  <c:v>227155.15414744781</c:v>
                </c:pt>
                <c:pt idx="8">
                  <c:v>230076.88100439601</c:v>
                </c:pt>
                <c:pt idx="9">
                  <c:v>232379.04948696808</c:v>
                </c:pt>
                <c:pt idx="10">
                  <c:v>232379.04948696808</c:v>
                </c:pt>
                <c:pt idx="11">
                  <c:v>232379.04948696808</c:v>
                </c:pt>
                <c:pt idx="12">
                  <c:v>232379.04948696808</c:v>
                </c:pt>
                <c:pt idx="13">
                  <c:v>232379.04948696808</c:v>
                </c:pt>
                <c:pt idx="14">
                  <c:v>232379.04948696808</c:v>
                </c:pt>
                <c:pt idx="15">
                  <c:v>232379.04948696808</c:v>
                </c:pt>
                <c:pt idx="16">
                  <c:v>232379.04948696808</c:v>
                </c:pt>
                <c:pt idx="17">
                  <c:v>232379.04948696808</c:v>
                </c:pt>
                <c:pt idx="18">
                  <c:v>226946.67778472271</c:v>
                </c:pt>
                <c:pt idx="19">
                  <c:v>220320.71082497219</c:v>
                </c:pt>
                <c:pt idx="20">
                  <c:v>214991.23048430041</c:v>
                </c:pt>
                <c:pt idx="21">
                  <c:v>204123.84360763311</c:v>
                </c:pt>
                <c:pt idx="22">
                  <c:v>193256.45673096576</c:v>
                </c:pt>
                <c:pt idx="23">
                  <c:v>180101.19893289483</c:v>
                </c:pt>
                <c:pt idx="24">
                  <c:v>153790.68333675293</c:v>
                </c:pt>
                <c:pt idx="25">
                  <c:v>140635.42553868194</c:v>
                </c:pt>
              </c:numCache>
            </c:numRef>
          </c:val>
        </c:ser>
        <c:ser>
          <c:idx val="1"/>
          <c:order val="1"/>
          <c:tx>
            <c:strRef>
              <c:f>'Output tables'!$A$39</c:f>
              <c:strCache>
                <c:ptCount val="1"/>
                <c:pt idx="0">
                  <c:v>Existing coal Small</c:v>
                </c:pt>
              </c:strCache>
            </c:strRef>
          </c:tx>
          <c:cat>
            <c:numRef>
              <c:f>'Output tables'!$AP$37:$BO$37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tables'!$AP$39:$BO$39</c:f>
              <c:numCache>
                <c:formatCode>General</c:formatCode>
                <c:ptCount val="26"/>
                <c:pt idx="0">
                  <c:v>11481.108051601606</c:v>
                </c:pt>
                <c:pt idx="1">
                  <c:v>11481.108051601606</c:v>
                </c:pt>
                <c:pt idx="2">
                  <c:v>11481.108051601606</c:v>
                </c:pt>
                <c:pt idx="3">
                  <c:v>11481.108051601606</c:v>
                </c:pt>
                <c:pt idx="4">
                  <c:v>11481.108051601606</c:v>
                </c:pt>
                <c:pt idx="5">
                  <c:v>12924.051645819456</c:v>
                </c:pt>
                <c:pt idx="6">
                  <c:v>13777.564401403659</c:v>
                </c:pt>
                <c:pt idx="7">
                  <c:v>13777.564401403659</c:v>
                </c:pt>
                <c:pt idx="8">
                  <c:v>13777.564401403659</c:v>
                </c:pt>
                <c:pt idx="9">
                  <c:v>13777.564401403659</c:v>
                </c:pt>
                <c:pt idx="10">
                  <c:v>13777.564401403659</c:v>
                </c:pt>
                <c:pt idx="11">
                  <c:v>13698.339826318494</c:v>
                </c:pt>
                <c:pt idx="12">
                  <c:v>13619.115251233326</c:v>
                </c:pt>
                <c:pt idx="13">
                  <c:v>13513.482484453105</c:v>
                </c:pt>
                <c:pt idx="14">
                  <c:v>13407.84971767288</c:v>
                </c:pt>
                <c:pt idx="15">
                  <c:v>11400.827148848637</c:v>
                </c:pt>
                <c:pt idx="16">
                  <c:v>9393.8045800243945</c:v>
                </c:pt>
                <c:pt idx="17">
                  <c:v>9393.8045800243945</c:v>
                </c:pt>
                <c:pt idx="18">
                  <c:v>9393.8045800243945</c:v>
                </c:pt>
                <c:pt idx="19">
                  <c:v>9393.8045800243945</c:v>
                </c:pt>
                <c:pt idx="20">
                  <c:v>8469.0483917339716</c:v>
                </c:pt>
                <c:pt idx="21">
                  <c:v>7544.2922034435505</c:v>
                </c:pt>
                <c:pt idx="22">
                  <c:v>7544.2922034435505</c:v>
                </c:pt>
                <c:pt idx="23">
                  <c:v>7544.2922034435505</c:v>
                </c:pt>
                <c:pt idx="24">
                  <c:v>7544.2922034435505</c:v>
                </c:pt>
                <c:pt idx="25">
                  <c:v>7544.2922034435505</c:v>
                </c:pt>
              </c:numCache>
            </c:numRef>
          </c:val>
        </c:ser>
        <c:ser>
          <c:idx val="2"/>
          <c:order val="2"/>
          <c:tx>
            <c:strRef>
              <c:f>'Output tables'!$A$40</c:f>
              <c:strCache>
                <c:ptCount val="1"/>
                <c:pt idx="0">
                  <c:v>OCGT liquid fuels</c:v>
                </c:pt>
              </c:strCache>
            </c:strRef>
          </c:tx>
          <c:cat>
            <c:numRef>
              <c:f>'Output tables'!$AP$37:$BO$37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tables'!$AP$40:$BO$40</c:f>
              <c:numCache>
                <c:formatCode>General</c:formatCode>
                <c:ptCount val="26"/>
                <c:pt idx="0">
                  <c:v>651.77077055999985</c:v>
                </c:pt>
                <c:pt idx="1">
                  <c:v>651.77077055999985</c:v>
                </c:pt>
                <c:pt idx="2">
                  <c:v>651.77077055999985</c:v>
                </c:pt>
                <c:pt idx="3">
                  <c:v>651.77077055999985</c:v>
                </c:pt>
                <c:pt idx="4">
                  <c:v>651.77077055999985</c:v>
                </c:pt>
                <c:pt idx="5">
                  <c:v>651.77077055999985</c:v>
                </c:pt>
                <c:pt idx="6">
                  <c:v>945.06761731199981</c:v>
                </c:pt>
                <c:pt idx="7">
                  <c:v>945.06761731199981</c:v>
                </c:pt>
                <c:pt idx="8">
                  <c:v>945.06761731199981</c:v>
                </c:pt>
                <c:pt idx="9">
                  <c:v>945.06761731199981</c:v>
                </c:pt>
                <c:pt idx="10">
                  <c:v>945.06761731199981</c:v>
                </c:pt>
                <c:pt idx="11">
                  <c:v>945.06761731199981</c:v>
                </c:pt>
                <c:pt idx="12">
                  <c:v>945.06761731199981</c:v>
                </c:pt>
                <c:pt idx="13">
                  <c:v>945.06761731199981</c:v>
                </c:pt>
                <c:pt idx="14">
                  <c:v>945.06761731199981</c:v>
                </c:pt>
                <c:pt idx="15">
                  <c:v>945.06761731199981</c:v>
                </c:pt>
                <c:pt idx="16">
                  <c:v>945.06761731199981</c:v>
                </c:pt>
                <c:pt idx="17">
                  <c:v>945.06761731199981</c:v>
                </c:pt>
                <c:pt idx="18">
                  <c:v>945.06761731199981</c:v>
                </c:pt>
                <c:pt idx="19">
                  <c:v>945.06761731199981</c:v>
                </c:pt>
                <c:pt idx="20">
                  <c:v>945.06761731199981</c:v>
                </c:pt>
                <c:pt idx="21">
                  <c:v>1140.59884848</c:v>
                </c:pt>
                <c:pt idx="22">
                  <c:v>1140.59884848</c:v>
                </c:pt>
                <c:pt idx="23">
                  <c:v>1140.59884848</c:v>
                </c:pt>
                <c:pt idx="24">
                  <c:v>1401.3071567039999</c:v>
                </c:pt>
                <c:pt idx="25">
                  <c:v>1615.5767975255997</c:v>
                </c:pt>
              </c:numCache>
            </c:numRef>
          </c:val>
        </c:ser>
        <c:ser>
          <c:idx val="3"/>
          <c:order val="3"/>
          <c:tx>
            <c:strRef>
              <c:f>'Output tables'!$A$41</c:f>
              <c:strCache>
                <c:ptCount val="1"/>
                <c:pt idx="0">
                  <c:v>PWR nuclear</c:v>
                </c:pt>
              </c:strCache>
            </c:strRef>
          </c:tx>
          <c:cat>
            <c:numRef>
              <c:f>'Output tables'!$AP$37:$BO$37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tables'!$AP$41:$BO$41</c:f>
              <c:numCache>
                <c:formatCode>General</c:formatCode>
                <c:ptCount val="26"/>
                <c:pt idx="0">
                  <c:v>13197.815999999999</c:v>
                </c:pt>
                <c:pt idx="1">
                  <c:v>13197.815999999999</c:v>
                </c:pt>
                <c:pt idx="2">
                  <c:v>13197.815999999999</c:v>
                </c:pt>
                <c:pt idx="3">
                  <c:v>13197.815999999999</c:v>
                </c:pt>
                <c:pt idx="4">
                  <c:v>13197.815999999999</c:v>
                </c:pt>
                <c:pt idx="5">
                  <c:v>13197.815999999999</c:v>
                </c:pt>
                <c:pt idx="6">
                  <c:v>13197.815999999999</c:v>
                </c:pt>
                <c:pt idx="7">
                  <c:v>13197.815999999999</c:v>
                </c:pt>
                <c:pt idx="8">
                  <c:v>13197.815999999999</c:v>
                </c:pt>
                <c:pt idx="9">
                  <c:v>13197.815999999999</c:v>
                </c:pt>
                <c:pt idx="10">
                  <c:v>13197.815999999999</c:v>
                </c:pt>
                <c:pt idx="11">
                  <c:v>13197.815999999999</c:v>
                </c:pt>
                <c:pt idx="12">
                  <c:v>13197.815999999999</c:v>
                </c:pt>
                <c:pt idx="13">
                  <c:v>13197.815999999999</c:v>
                </c:pt>
                <c:pt idx="14">
                  <c:v>13197.815999999999</c:v>
                </c:pt>
                <c:pt idx="15">
                  <c:v>13197.815999999999</c:v>
                </c:pt>
                <c:pt idx="16">
                  <c:v>13197.815999999999</c:v>
                </c:pt>
                <c:pt idx="17">
                  <c:v>13197.815999999999</c:v>
                </c:pt>
                <c:pt idx="18">
                  <c:v>13197.815999999999</c:v>
                </c:pt>
                <c:pt idx="19">
                  <c:v>13197.815999999999</c:v>
                </c:pt>
                <c:pt idx="20">
                  <c:v>13197.815999999999</c:v>
                </c:pt>
                <c:pt idx="21">
                  <c:v>13197.815999999999</c:v>
                </c:pt>
                <c:pt idx="22">
                  <c:v>13197.815999999999</c:v>
                </c:pt>
                <c:pt idx="23">
                  <c:v>13197.815999999999</c:v>
                </c:pt>
                <c:pt idx="24">
                  <c:v>13197.815999999999</c:v>
                </c:pt>
                <c:pt idx="25">
                  <c:v>13197.815999999999</c:v>
                </c:pt>
              </c:numCache>
            </c:numRef>
          </c:val>
        </c:ser>
        <c:ser>
          <c:idx val="4"/>
          <c:order val="4"/>
          <c:tx>
            <c:strRef>
              <c:f>'Output tables'!$A$42</c:f>
              <c:strCache>
                <c:ptCount val="1"/>
                <c:pt idx="0">
                  <c:v>Hydro</c:v>
                </c:pt>
              </c:strCache>
            </c:strRef>
          </c:tx>
          <c:cat>
            <c:numRef>
              <c:f>'Output tables'!$AP$37:$BO$37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tables'!$AP$42:$BO$42</c:f>
              <c:numCache>
                <c:formatCode>General</c:formatCode>
                <c:ptCount val="26"/>
                <c:pt idx="0">
                  <c:v>878.42652000000021</c:v>
                </c:pt>
                <c:pt idx="1">
                  <c:v>878.42652000000021</c:v>
                </c:pt>
                <c:pt idx="2">
                  <c:v>878.42652000000021</c:v>
                </c:pt>
                <c:pt idx="3">
                  <c:v>878.42652000000021</c:v>
                </c:pt>
                <c:pt idx="4">
                  <c:v>878.42652000000021</c:v>
                </c:pt>
                <c:pt idx="5">
                  <c:v>878.42652000000021</c:v>
                </c:pt>
                <c:pt idx="6">
                  <c:v>878.42652000000021</c:v>
                </c:pt>
                <c:pt idx="7">
                  <c:v>878.42652000000021</c:v>
                </c:pt>
                <c:pt idx="8">
                  <c:v>878.42652000000021</c:v>
                </c:pt>
                <c:pt idx="9">
                  <c:v>878.42652000000021</c:v>
                </c:pt>
                <c:pt idx="10">
                  <c:v>878.42652000000021</c:v>
                </c:pt>
                <c:pt idx="11">
                  <c:v>878.42652000000021</c:v>
                </c:pt>
                <c:pt idx="12">
                  <c:v>878.42652000000021</c:v>
                </c:pt>
                <c:pt idx="13">
                  <c:v>878.42652000000021</c:v>
                </c:pt>
                <c:pt idx="14">
                  <c:v>878.42652000000021</c:v>
                </c:pt>
                <c:pt idx="15">
                  <c:v>878.42652000000021</c:v>
                </c:pt>
                <c:pt idx="16">
                  <c:v>878.42652000000021</c:v>
                </c:pt>
                <c:pt idx="17">
                  <c:v>878.42652000000021</c:v>
                </c:pt>
                <c:pt idx="18">
                  <c:v>878.42652000000021</c:v>
                </c:pt>
                <c:pt idx="19">
                  <c:v>878.42652000000021</c:v>
                </c:pt>
                <c:pt idx="20">
                  <c:v>878.42652000000021</c:v>
                </c:pt>
                <c:pt idx="21">
                  <c:v>878.42652000000021</c:v>
                </c:pt>
                <c:pt idx="22">
                  <c:v>878.42652000000021</c:v>
                </c:pt>
                <c:pt idx="23">
                  <c:v>878.42652000000021</c:v>
                </c:pt>
                <c:pt idx="24">
                  <c:v>878.42652000000021</c:v>
                </c:pt>
                <c:pt idx="25">
                  <c:v>878.42652000000021</c:v>
                </c:pt>
              </c:numCache>
            </c:numRef>
          </c:val>
        </c:ser>
        <c:ser>
          <c:idx val="5"/>
          <c:order val="5"/>
          <c:tx>
            <c:strRef>
              <c:f>'Output tables'!$A$43</c:f>
              <c:strCache>
                <c:ptCount val="1"/>
                <c:pt idx="0">
                  <c:v>Landfill gas</c:v>
                </c:pt>
              </c:strCache>
            </c:strRef>
          </c:tx>
          <c:cat>
            <c:numRef>
              <c:f>'Output tables'!$AP$37:$BO$37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tables'!$AP$43:$BO$43</c:f>
              <c:numCache>
                <c:formatCode>General</c:formatCode>
                <c:ptCount val="26"/>
                <c:pt idx="0">
                  <c:v>524.66925000000003</c:v>
                </c:pt>
                <c:pt idx="1">
                  <c:v>524.66925000000003</c:v>
                </c:pt>
                <c:pt idx="2">
                  <c:v>524.66925000000003</c:v>
                </c:pt>
                <c:pt idx="3">
                  <c:v>524.66925000000003</c:v>
                </c:pt>
                <c:pt idx="4">
                  <c:v>524.66925000000003</c:v>
                </c:pt>
                <c:pt idx="5">
                  <c:v>524.66925000000003</c:v>
                </c:pt>
                <c:pt idx="6">
                  <c:v>524.66925000000003</c:v>
                </c:pt>
                <c:pt idx="7">
                  <c:v>524.66925000000003</c:v>
                </c:pt>
                <c:pt idx="8">
                  <c:v>524.66925000000003</c:v>
                </c:pt>
                <c:pt idx="9">
                  <c:v>524.66925000000003</c:v>
                </c:pt>
                <c:pt idx="10">
                  <c:v>524.66925000000003</c:v>
                </c:pt>
                <c:pt idx="11">
                  <c:v>524.66925000000003</c:v>
                </c:pt>
                <c:pt idx="12">
                  <c:v>524.66925000000003</c:v>
                </c:pt>
                <c:pt idx="13">
                  <c:v>524.66925000000003</c:v>
                </c:pt>
                <c:pt idx="14">
                  <c:v>524.66925000000003</c:v>
                </c:pt>
                <c:pt idx="15">
                  <c:v>524.66925000000003</c:v>
                </c:pt>
                <c:pt idx="16">
                  <c:v>524.66925000000003</c:v>
                </c:pt>
                <c:pt idx="17">
                  <c:v>524.66925000000003</c:v>
                </c:pt>
                <c:pt idx="18">
                  <c:v>524.66925000000003</c:v>
                </c:pt>
                <c:pt idx="19">
                  <c:v>524.66925000000003</c:v>
                </c:pt>
                <c:pt idx="20">
                  <c:v>524.66925000000003</c:v>
                </c:pt>
                <c:pt idx="21">
                  <c:v>524.66925000000003</c:v>
                </c:pt>
                <c:pt idx="22">
                  <c:v>524.66925000000003</c:v>
                </c:pt>
                <c:pt idx="23">
                  <c:v>524.66925000000003</c:v>
                </c:pt>
                <c:pt idx="24">
                  <c:v>524.66925000000003</c:v>
                </c:pt>
                <c:pt idx="25">
                  <c:v>524.66925000000003</c:v>
                </c:pt>
              </c:numCache>
            </c:numRef>
          </c:val>
        </c:ser>
        <c:ser>
          <c:idx val="6"/>
          <c:order val="6"/>
          <c:tx>
            <c:strRef>
              <c:f>'Output tables'!$A$44</c:f>
              <c:strCache>
                <c:ptCount val="1"/>
                <c:pt idx="0">
                  <c:v>Biomass</c:v>
                </c:pt>
              </c:strCache>
            </c:strRef>
          </c:tx>
          <c:cat>
            <c:numRef>
              <c:f>'Output tables'!$AP$37:$BO$37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tables'!$AP$44:$BO$44</c:f>
              <c:numCache>
                <c:formatCode>General</c:formatCode>
                <c:ptCount val="26"/>
                <c:pt idx="0">
                  <c:v>1502.121000000029</c:v>
                </c:pt>
                <c:pt idx="1">
                  <c:v>1502.1209999999999</c:v>
                </c:pt>
                <c:pt idx="2">
                  <c:v>1502.1209999999999</c:v>
                </c:pt>
                <c:pt idx="3">
                  <c:v>1502.1209999999999</c:v>
                </c:pt>
                <c:pt idx="4">
                  <c:v>1502.1209999999999</c:v>
                </c:pt>
                <c:pt idx="5">
                  <c:v>1502.1209999999999</c:v>
                </c:pt>
                <c:pt idx="6">
                  <c:v>1502.1209999999999</c:v>
                </c:pt>
                <c:pt idx="7">
                  <c:v>1502.1209999999999</c:v>
                </c:pt>
                <c:pt idx="8">
                  <c:v>1502.1209999999999</c:v>
                </c:pt>
                <c:pt idx="9">
                  <c:v>1502.1209999999999</c:v>
                </c:pt>
                <c:pt idx="10">
                  <c:v>1502.1209999999999</c:v>
                </c:pt>
                <c:pt idx="11">
                  <c:v>1502.1209999999999</c:v>
                </c:pt>
                <c:pt idx="12">
                  <c:v>1502.1209999999999</c:v>
                </c:pt>
                <c:pt idx="13">
                  <c:v>1502.1209999999999</c:v>
                </c:pt>
                <c:pt idx="14">
                  <c:v>1502.1209999999999</c:v>
                </c:pt>
                <c:pt idx="15">
                  <c:v>1502.1209999999999</c:v>
                </c:pt>
                <c:pt idx="16">
                  <c:v>1502.1209999999999</c:v>
                </c:pt>
                <c:pt idx="17">
                  <c:v>1502.1209999999999</c:v>
                </c:pt>
                <c:pt idx="18">
                  <c:v>1502.1209999999999</c:v>
                </c:pt>
                <c:pt idx="19">
                  <c:v>1502.1209999999999</c:v>
                </c:pt>
                <c:pt idx="20">
                  <c:v>1502.1209999999999</c:v>
                </c:pt>
                <c:pt idx="21">
                  <c:v>1502.1209999999999</c:v>
                </c:pt>
                <c:pt idx="22">
                  <c:v>1502.1209999999999</c:v>
                </c:pt>
                <c:pt idx="23">
                  <c:v>1502.1209999999999</c:v>
                </c:pt>
                <c:pt idx="24">
                  <c:v>1502.1209999999999</c:v>
                </c:pt>
                <c:pt idx="25">
                  <c:v>1502.1209999999999</c:v>
                </c:pt>
              </c:numCache>
            </c:numRef>
          </c:val>
        </c:ser>
        <c:ser>
          <c:idx val="7"/>
          <c:order val="7"/>
          <c:tx>
            <c:strRef>
              <c:f>'Output tables'!$A$45</c:f>
              <c:strCache>
                <c:ptCount val="1"/>
                <c:pt idx="0">
                  <c:v>Supercritical coal</c:v>
                </c:pt>
              </c:strCache>
            </c:strRef>
          </c:tx>
          <c:cat>
            <c:numRef>
              <c:f>'Output tables'!$AP$37:$BO$37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tables'!$AP$45:$BO$45</c:f>
              <c:numCache>
                <c:formatCode>General</c:formatCode>
                <c:ptCount val="26"/>
                <c:pt idx="0">
                  <c:v>0</c:v>
                </c:pt>
                <c:pt idx="1">
                  <c:v>0</c:v>
                </c:pt>
                <c:pt idx="2">
                  <c:v>0</c:v>
                </c:pt>
                <c:pt idx="3">
                  <c:v>0</c:v>
                </c:pt>
                <c:pt idx="4">
                  <c:v>0</c:v>
                </c:pt>
                <c:pt idx="5">
                  <c:v>0</c:v>
                </c:pt>
                <c:pt idx="6">
                  <c:v>0</c:v>
                </c:pt>
                <c:pt idx="7">
                  <c:v>1693.7365830000003</c:v>
                </c:pt>
                <c:pt idx="8">
                  <c:v>5081.2097490000015</c:v>
                </c:pt>
                <c:pt idx="9">
                  <c:v>10634.23800224124</c:v>
                </c:pt>
                <c:pt idx="10">
                  <c:v>16810.994815755548</c:v>
                </c:pt>
                <c:pt idx="11">
                  <c:v>23004.105324295513</c:v>
                </c:pt>
                <c:pt idx="12">
                  <c:v>26993.251514152627</c:v>
                </c:pt>
                <c:pt idx="13">
                  <c:v>29379.83395483479</c:v>
                </c:pt>
                <c:pt idx="14">
                  <c:v>28777.973963092143</c:v>
                </c:pt>
                <c:pt idx="15">
                  <c:v>28024.177219094479</c:v>
                </c:pt>
                <c:pt idx="16">
                  <c:v>24356.830616997791</c:v>
                </c:pt>
                <c:pt idx="17">
                  <c:v>21898.246594728091</c:v>
                </c:pt>
                <c:pt idx="18">
                  <c:v>20324.83899600001</c:v>
                </c:pt>
                <c:pt idx="19">
                  <c:v>20324.83899600001</c:v>
                </c:pt>
                <c:pt idx="20">
                  <c:v>20453.283972315145</c:v>
                </c:pt>
                <c:pt idx="21">
                  <c:v>26870.960371717756</c:v>
                </c:pt>
                <c:pt idx="22">
                  <c:v>29502.873213153161</c:v>
                </c:pt>
                <c:pt idx="23">
                  <c:v>33040.160722025088</c:v>
                </c:pt>
                <c:pt idx="24">
                  <c:v>45633.727661654295</c:v>
                </c:pt>
                <c:pt idx="25">
                  <c:v>46966.368296660425</c:v>
                </c:pt>
              </c:numCache>
            </c:numRef>
          </c:val>
        </c:ser>
        <c:ser>
          <c:idx val="8"/>
          <c:order val="8"/>
          <c:tx>
            <c:strRef>
              <c:f>'Output tables'!$A$46</c:f>
              <c:strCache>
                <c:ptCount val="1"/>
                <c:pt idx="0">
                  <c:v>Wind 30% </c:v>
                </c:pt>
              </c:strCache>
            </c:strRef>
          </c:tx>
          <c:cat>
            <c:numRef>
              <c:f>'Output tables'!$AP$37:$BO$37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tables'!$AP$46:$BO$46</c:f>
              <c:numCache>
                <c:formatCode>General</c:formatCode>
                <c:ptCount val="26"/>
                <c:pt idx="0">
                  <c:v>0</c:v>
                </c:pt>
                <c:pt idx="1">
                  <c:v>0</c:v>
                </c:pt>
                <c:pt idx="2">
                  <c:v>0</c:v>
                </c:pt>
                <c:pt idx="3">
                  <c:v>0</c:v>
                </c:pt>
                <c:pt idx="4">
                  <c:v>0</c:v>
                </c:pt>
                <c:pt idx="5">
                  <c:v>262.8</c:v>
                </c:pt>
                <c:pt idx="6">
                  <c:v>788.40000000000009</c:v>
                </c:pt>
                <c:pt idx="7">
                  <c:v>1314</c:v>
                </c:pt>
                <c:pt idx="8">
                  <c:v>2365.2000000000003</c:v>
                </c:pt>
                <c:pt idx="9">
                  <c:v>3416.4</c:v>
                </c:pt>
                <c:pt idx="10">
                  <c:v>5518.8</c:v>
                </c:pt>
                <c:pt idx="11">
                  <c:v>7621.2000000000007</c:v>
                </c:pt>
                <c:pt idx="12">
                  <c:v>10249.200000000001</c:v>
                </c:pt>
                <c:pt idx="13">
                  <c:v>12877.199999999999</c:v>
                </c:pt>
                <c:pt idx="14">
                  <c:v>16819.2</c:v>
                </c:pt>
                <c:pt idx="15">
                  <c:v>20761.2</c:v>
                </c:pt>
                <c:pt idx="16">
                  <c:v>26017.200000000001</c:v>
                </c:pt>
                <c:pt idx="17">
                  <c:v>26017.200000000001</c:v>
                </c:pt>
                <c:pt idx="18">
                  <c:v>26017.200000000001</c:v>
                </c:pt>
                <c:pt idx="19">
                  <c:v>26017.200000000001</c:v>
                </c:pt>
                <c:pt idx="20">
                  <c:v>26017.200000000001</c:v>
                </c:pt>
                <c:pt idx="21">
                  <c:v>26017.200000000001</c:v>
                </c:pt>
                <c:pt idx="22">
                  <c:v>26017.200000000001</c:v>
                </c:pt>
                <c:pt idx="23">
                  <c:v>26017.200000000001</c:v>
                </c:pt>
                <c:pt idx="24">
                  <c:v>26017.200000000001</c:v>
                </c:pt>
                <c:pt idx="25">
                  <c:v>25754.399999999998</c:v>
                </c:pt>
              </c:numCache>
            </c:numRef>
          </c:val>
        </c:ser>
        <c:ser>
          <c:idx val="9"/>
          <c:order val="9"/>
          <c:tx>
            <c:strRef>
              <c:f>'Output tables'!$A$47</c:f>
              <c:strCache>
                <c:ptCount val="1"/>
                <c:pt idx="0">
                  <c:v>Wind 25%</c:v>
                </c:pt>
              </c:strCache>
            </c:strRef>
          </c:tx>
          <c:cat>
            <c:numRef>
              <c:f>'Output tables'!$AP$37:$BO$37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tables'!$AP$47:$BO$47</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2190</c:v>
                </c:pt>
                <c:pt idx="18">
                  <c:v>4380</c:v>
                </c:pt>
                <c:pt idx="19">
                  <c:v>6570</c:v>
                </c:pt>
                <c:pt idx="20">
                  <c:v>8760</c:v>
                </c:pt>
                <c:pt idx="21">
                  <c:v>10950</c:v>
                </c:pt>
                <c:pt idx="22">
                  <c:v>13140</c:v>
                </c:pt>
                <c:pt idx="23">
                  <c:v>15330</c:v>
                </c:pt>
                <c:pt idx="24">
                  <c:v>17520</c:v>
                </c:pt>
                <c:pt idx="25">
                  <c:v>19710</c:v>
                </c:pt>
              </c:numCache>
            </c:numRef>
          </c:val>
        </c:ser>
        <c:ser>
          <c:idx val="10"/>
          <c:order val="10"/>
          <c:tx>
            <c:strRef>
              <c:f>'Output tables'!$A$48</c:f>
              <c:strCache>
                <c:ptCount val="1"/>
                <c:pt idx="0">
                  <c:v>solar thermal central reciever</c:v>
                </c:pt>
              </c:strCache>
            </c:strRef>
          </c:tx>
          <c:cat>
            <c:numRef>
              <c:f>'Output tables'!$AP$37:$BO$37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tables'!$AP$48:$BO$48</c:f>
              <c:numCache>
                <c:formatCode>General</c:formatCode>
                <c:ptCount val="26"/>
                <c:pt idx="0">
                  <c:v>0</c:v>
                </c:pt>
                <c:pt idx="1">
                  <c:v>0</c:v>
                </c:pt>
                <c:pt idx="2">
                  <c:v>0</c:v>
                </c:pt>
                <c:pt idx="3">
                  <c:v>0</c:v>
                </c:pt>
                <c:pt idx="4">
                  <c:v>0</c:v>
                </c:pt>
                <c:pt idx="5">
                  <c:v>0</c:v>
                </c:pt>
                <c:pt idx="6">
                  <c:v>0</c:v>
                </c:pt>
                <c:pt idx="7">
                  <c:v>0</c:v>
                </c:pt>
                <c:pt idx="8">
                  <c:v>0</c:v>
                </c:pt>
                <c:pt idx="9">
                  <c:v>0</c:v>
                </c:pt>
                <c:pt idx="10">
                  <c:v>525.6</c:v>
                </c:pt>
                <c:pt idx="11">
                  <c:v>1576.8000000000002</c:v>
                </c:pt>
                <c:pt idx="12">
                  <c:v>3679.2000000000003</c:v>
                </c:pt>
                <c:pt idx="13">
                  <c:v>7883.9999999999991</c:v>
                </c:pt>
                <c:pt idx="14">
                  <c:v>14191.2</c:v>
                </c:pt>
                <c:pt idx="15">
                  <c:v>22600.800000000003</c:v>
                </c:pt>
                <c:pt idx="16">
                  <c:v>33112.800000000003</c:v>
                </c:pt>
                <c:pt idx="17">
                  <c:v>43624.800000000003</c:v>
                </c:pt>
                <c:pt idx="18">
                  <c:v>59392.800000000003</c:v>
                </c:pt>
                <c:pt idx="19">
                  <c:v>75160.800000000003</c:v>
                </c:pt>
                <c:pt idx="20">
                  <c:v>90928.8</c:v>
                </c:pt>
                <c:pt idx="21">
                  <c:v>106696.8</c:v>
                </c:pt>
                <c:pt idx="22">
                  <c:v>122464.8</c:v>
                </c:pt>
                <c:pt idx="23">
                  <c:v>138232.79999999999</c:v>
                </c:pt>
                <c:pt idx="24">
                  <c:v>154000.79999999999</c:v>
                </c:pt>
                <c:pt idx="25">
                  <c:v>169768.8</c:v>
                </c:pt>
              </c:numCache>
            </c:numRef>
          </c:val>
        </c:ser>
        <c:ser>
          <c:idx val="11"/>
          <c:order val="11"/>
          <c:tx>
            <c:strRef>
              <c:f>'Output tables'!$A$49</c:f>
              <c:strCache>
                <c:ptCount val="1"/>
                <c:pt idx="0">
                  <c:v>solar thermal trough</c:v>
                </c:pt>
              </c:strCache>
            </c:strRef>
          </c:tx>
          <c:cat>
            <c:numRef>
              <c:f>'Output tables'!$AP$37:$BO$37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tables'!$AP$49:$BO$49</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2"/>
          <c:order val="12"/>
          <c:tx>
            <c:strRef>
              <c:f>'Output tables'!$A$50</c:f>
              <c:strCache>
                <c:ptCount val="1"/>
                <c:pt idx="0">
                  <c:v>solar PV</c:v>
                </c:pt>
              </c:strCache>
            </c:strRef>
          </c:tx>
          <c:cat>
            <c:numRef>
              <c:f>'Output tables'!$AP$37:$BO$37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tables'!$AP$50:$BO$50</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3"/>
          <c:order val="13"/>
          <c:tx>
            <c:strRef>
              <c:f>'Output tables'!$A$51</c:f>
              <c:strCache>
                <c:ptCount val="1"/>
                <c:pt idx="0">
                  <c:v>combined cycle gas</c:v>
                </c:pt>
              </c:strCache>
            </c:strRef>
          </c:tx>
          <c:cat>
            <c:numRef>
              <c:f>'Output tables'!$AP$37:$BO$37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tables'!$AP$51:$BO$51</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3599.5097647058824</c:v>
                </c:pt>
                <c:pt idx="23">
                  <c:v>8998.7744117647071</c:v>
                </c:pt>
                <c:pt idx="24">
                  <c:v>14398.03905882353</c:v>
                </c:pt>
                <c:pt idx="25">
                  <c:v>14398.03905882353</c:v>
                </c:pt>
              </c:numCache>
            </c:numRef>
          </c:val>
        </c:ser>
        <c:ser>
          <c:idx val="14"/>
          <c:order val="14"/>
          <c:tx>
            <c:strRef>
              <c:f>'Output tables'!$A$52</c:f>
              <c:strCache>
                <c:ptCount val="1"/>
                <c:pt idx="0">
                  <c:v>PBMR</c:v>
                </c:pt>
              </c:strCache>
            </c:strRef>
          </c:tx>
          <c:cat>
            <c:numRef>
              <c:f>'Output tables'!$AP$37:$BO$37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tables'!$AP$52:$BO$52</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5"/>
          <c:order val="15"/>
          <c:tx>
            <c:strRef>
              <c:f>'Output tables'!$A$53</c:f>
              <c:strCache>
                <c:ptCount val="1"/>
                <c:pt idx="0">
                  <c:v>IGCC</c:v>
                </c:pt>
              </c:strCache>
            </c:strRef>
          </c:tx>
          <c:cat>
            <c:numRef>
              <c:f>'Output tables'!$AP$37:$BO$37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tables'!$AP$53:$BO$53</c:f>
              <c:numCache>
                <c:formatCode>General</c:formatCode>
                <c:ptCount val="26"/>
                <c:pt idx="0">
                  <c:v>0</c:v>
                </c:pt>
                <c:pt idx="1">
                  <c:v>2.9103830456733704E-11</c:v>
                </c:pt>
                <c:pt idx="2">
                  <c:v>0</c:v>
                </c:pt>
                <c:pt idx="3">
                  <c:v>2.9103830456733704E-11</c:v>
                </c:pt>
                <c:pt idx="4">
                  <c:v>2.9103830456733704E-11</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4129.8161520000003</c:v>
                </c:pt>
                <c:pt idx="25">
                  <c:v>8259.6323040000007</c:v>
                </c:pt>
              </c:numCache>
            </c:numRef>
          </c:val>
        </c:ser>
        <c:ser>
          <c:idx val="16"/>
          <c:order val="16"/>
          <c:tx>
            <c:strRef>
              <c:f>'Output tables'!$A$54</c:f>
              <c:strCache>
                <c:ptCount val="1"/>
                <c:pt idx="0">
                  <c:v>-</c:v>
                </c:pt>
              </c:strCache>
            </c:strRef>
          </c:tx>
          <c:cat>
            <c:numRef>
              <c:f>'Output tables'!$AP$37:$BO$37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tables'!$AP$54:$BO$54</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7"/>
          <c:order val="17"/>
          <c:tx>
            <c:strRef>
              <c:f>'Output tables'!$A$55</c:f>
              <c:strCache>
                <c:ptCount val="1"/>
                <c:pt idx="0">
                  <c:v>-</c:v>
                </c:pt>
              </c:strCache>
            </c:strRef>
          </c:tx>
          <c:cat>
            <c:numRef>
              <c:f>'Output tables'!$AP$37:$BO$37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tables'!$AP$55:$BO$55</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8"/>
          <c:order val="18"/>
          <c:tx>
            <c:strRef>
              <c:f>'Output tables'!$A$56</c:f>
              <c:strCache>
                <c:ptCount val="1"/>
                <c:pt idx="0">
                  <c:v>-</c:v>
                </c:pt>
              </c:strCache>
            </c:strRef>
          </c:tx>
          <c:cat>
            <c:numRef>
              <c:f>'Output tables'!$AP$37:$BO$37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tables'!$AP$56:$BO$56</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9"/>
          <c:order val="19"/>
          <c:tx>
            <c:strRef>
              <c:f>'Output tables'!$A$57</c:f>
              <c:strCache>
                <c:ptCount val="1"/>
                <c:pt idx="0">
                  <c:v>Pumped storage</c:v>
                </c:pt>
              </c:strCache>
            </c:strRef>
          </c:tx>
          <c:cat>
            <c:numRef>
              <c:f>'Output tables'!$AP$37:$BO$37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tables'!$AP$57:$BO$57</c:f>
              <c:numCache>
                <c:formatCode>General</c:formatCode>
                <c:ptCount val="26"/>
                <c:pt idx="0">
                  <c:v>3096.0000000000005</c:v>
                </c:pt>
                <c:pt idx="1">
                  <c:v>3096.0000000000005</c:v>
                </c:pt>
                <c:pt idx="2">
                  <c:v>3096.0000000000005</c:v>
                </c:pt>
                <c:pt idx="3">
                  <c:v>3096.0000000000005</c:v>
                </c:pt>
                <c:pt idx="4">
                  <c:v>3096.0000000000005</c:v>
                </c:pt>
                <c:pt idx="5">
                  <c:v>3096.0000000000005</c:v>
                </c:pt>
                <c:pt idx="6">
                  <c:v>3096.0000000000005</c:v>
                </c:pt>
                <c:pt idx="7">
                  <c:v>3096.0000000000005</c:v>
                </c:pt>
                <c:pt idx="8">
                  <c:v>4401.0227848101276</c:v>
                </c:pt>
                <c:pt idx="9">
                  <c:v>5706.0455696202544</c:v>
                </c:pt>
                <c:pt idx="10">
                  <c:v>7011.0683544303811</c:v>
                </c:pt>
                <c:pt idx="11">
                  <c:v>8316.0911392405087</c:v>
                </c:pt>
                <c:pt idx="12">
                  <c:v>8316.0911392405087</c:v>
                </c:pt>
                <c:pt idx="13">
                  <c:v>8316.0911392405087</c:v>
                </c:pt>
                <c:pt idx="14">
                  <c:v>8316.0911392405087</c:v>
                </c:pt>
                <c:pt idx="15">
                  <c:v>8316.0911392405087</c:v>
                </c:pt>
                <c:pt idx="16">
                  <c:v>8316.0911392405087</c:v>
                </c:pt>
                <c:pt idx="17">
                  <c:v>8316.0911392405087</c:v>
                </c:pt>
                <c:pt idx="18">
                  <c:v>8316.0911392405087</c:v>
                </c:pt>
                <c:pt idx="19">
                  <c:v>8316.0911392405087</c:v>
                </c:pt>
                <c:pt idx="20">
                  <c:v>8316.0911392405087</c:v>
                </c:pt>
                <c:pt idx="21">
                  <c:v>8316.0911392405087</c:v>
                </c:pt>
                <c:pt idx="22">
                  <c:v>8316.0911392405087</c:v>
                </c:pt>
                <c:pt idx="23">
                  <c:v>8316.0911392405087</c:v>
                </c:pt>
                <c:pt idx="24">
                  <c:v>8316.0911392405087</c:v>
                </c:pt>
                <c:pt idx="25">
                  <c:v>8316.0911392405087</c:v>
                </c:pt>
              </c:numCache>
            </c:numRef>
          </c:val>
        </c:ser>
        <c:axId val="105888768"/>
        <c:axId val="105898752"/>
      </c:areaChart>
      <c:catAx>
        <c:axId val="105888768"/>
        <c:scaling>
          <c:orientation val="minMax"/>
        </c:scaling>
        <c:axPos val="b"/>
        <c:numFmt formatCode="General" sourceLinked="1"/>
        <c:tickLblPos val="nextTo"/>
        <c:txPr>
          <a:bodyPr rot="-5400000" vert="horz"/>
          <a:lstStyle/>
          <a:p>
            <a:pPr>
              <a:defRPr lang="en-ZA" sz="1000" b="0" i="0" u="none" strike="noStrike" baseline="0">
                <a:solidFill>
                  <a:srgbClr val="000000"/>
                </a:solidFill>
                <a:latin typeface="Calibri"/>
                <a:ea typeface="Calibri"/>
                <a:cs typeface="Calibri"/>
              </a:defRPr>
            </a:pPr>
            <a:endParaRPr lang="en-US"/>
          </a:p>
        </c:txPr>
        <c:crossAx val="105898752"/>
        <c:crosses val="autoZero"/>
        <c:auto val="1"/>
        <c:lblAlgn val="ctr"/>
        <c:lblOffset val="100"/>
      </c:catAx>
      <c:valAx>
        <c:axId val="105898752"/>
        <c:scaling>
          <c:orientation val="minMax"/>
        </c:scaling>
        <c:axPos val="l"/>
        <c:majorGridlines/>
        <c:title>
          <c:tx>
            <c:rich>
              <a:bodyPr/>
              <a:lstStyle/>
              <a:p>
                <a:pPr>
                  <a:defRPr lang="en-ZA" sz="1000" b="0" i="0" u="none" strike="noStrike" baseline="0">
                    <a:solidFill>
                      <a:srgbClr val="000000"/>
                    </a:solidFill>
                    <a:latin typeface="Calibri"/>
                    <a:ea typeface="Calibri"/>
                    <a:cs typeface="Calibri"/>
                  </a:defRPr>
                </a:pPr>
                <a:r>
                  <a:rPr lang="en-ZA"/>
                  <a:t>GWh</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5888768"/>
        <c:crosses val="autoZero"/>
        <c:crossBetween val="midCat"/>
      </c:valAx>
    </c:plotArea>
    <c:legend>
      <c:legendPos val="b"/>
      <c:layout>
        <c:manualLayout>
          <c:xMode val="edge"/>
          <c:yMode val="edge"/>
          <c:x val="3.6182139357920855E-2"/>
          <c:y val="0.61322472621956825"/>
          <c:w val="0.8998582534131474"/>
          <c:h val="0.36759078543173984"/>
        </c:manualLayout>
      </c:layout>
      <c:txPr>
        <a:bodyPr/>
        <a:lstStyle/>
        <a:p>
          <a:pPr>
            <a:defRPr lang="en-ZA" sz="845" b="0" i="0" u="none" strike="noStrike" baseline="0">
              <a:solidFill>
                <a:srgbClr val="000000"/>
              </a:solidFill>
              <a:latin typeface="Calibri"/>
              <a:ea typeface="Calibri"/>
              <a:cs typeface="Calibri"/>
            </a:defRPr>
          </a:pPr>
          <a:endParaRPr lang="en-US"/>
        </a:p>
      </c:txPr>
    </c:legend>
    <c:plotVisOnly val="1"/>
    <c:dispBlanksAs val="zero"/>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244" l="0.70000000000000062" r="0.70000000000000062" t="0.75000000000000244" header="0.30000000000000032" footer="0.30000000000000032"/>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c:lang val="en-ZA"/>
  <c:chart>
    <c:plotArea>
      <c:layout/>
      <c:barChart>
        <c:barDir val="col"/>
        <c:grouping val="clustered"/>
        <c:ser>
          <c:idx val="0"/>
          <c:order val="0"/>
          <c:tx>
            <c:strRef>
              <c:f>'Output tables'!$BW$66</c:f>
              <c:strCache>
                <c:ptCount val="1"/>
                <c:pt idx="0">
                  <c:v>Supercritical coal capacity reference</c:v>
                </c:pt>
              </c:strCache>
            </c:strRef>
          </c:tx>
          <c:spPr>
            <a:solidFill>
              <a:schemeClr val="accent3">
                <a:lumMod val="60000"/>
                <a:lumOff val="40000"/>
              </a:schemeClr>
            </a:solidFill>
          </c:spPr>
          <c:cat>
            <c:numRef>
              <c:f>'Output tables'!$BX$65:$CW$65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tables'!$BX$66:$CW$66</c:f>
              <c:numCache>
                <c:formatCode>General</c:formatCode>
                <c:ptCount val="26"/>
                <c:pt idx="0">
                  <c:v>0</c:v>
                </c:pt>
                <c:pt idx="1">
                  <c:v>0</c:v>
                </c:pt>
                <c:pt idx="2">
                  <c:v>0</c:v>
                </c:pt>
                <c:pt idx="3">
                  <c:v>0</c:v>
                </c:pt>
                <c:pt idx="4">
                  <c:v>0</c:v>
                </c:pt>
                <c:pt idx="5">
                  <c:v>0</c:v>
                </c:pt>
                <c:pt idx="6">
                  <c:v>0</c:v>
                </c:pt>
                <c:pt idx="7">
                  <c:v>0.79400000000000004</c:v>
                </c:pt>
                <c:pt idx="8">
                  <c:v>2.3820000000000001</c:v>
                </c:pt>
                <c:pt idx="9">
                  <c:v>4.7640000000000002</c:v>
                </c:pt>
                <c:pt idx="10">
                  <c:v>7.1460000000000008</c:v>
                </c:pt>
                <c:pt idx="11">
                  <c:v>8.7340000000000018</c:v>
                </c:pt>
                <c:pt idx="12">
                  <c:v>10.322000000000003</c:v>
                </c:pt>
                <c:pt idx="13">
                  <c:v>12.704000000000002</c:v>
                </c:pt>
                <c:pt idx="14">
                  <c:v>15.086000000000002</c:v>
                </c:pt>
                <c:pt idx="15">
                  <c:v>17.468000000000004</c:v>
                </c:pt>
                <c:pt idx="16">
                  <c:v>20.644000000000005</c:v>
                </c:pt>
                <c:pt idx="17">
                  <c:v>23.820000000000007</c:v>
                </c:pt>
                <c:pt idx="18">
                  <c:v>26.202000000000009</c:v>
                </c:pt>
                <c:pt idx="19">
                  <c:v>29.378000000000007</c:v>
                </c:pt>
                <c:pt idx="20">
                  <c:v>32.554000000000009</c:v>
                </c:pt>
                <c:pt idx="21">
                  <c:v>36.524000000000008</c:v>
                </c:pt>
                <c:pt idx="22">
                  <c:v>40.494000000000007</c:v>
                </c:pt>
                <c:pt idx="23">
                  <c:v>44.464000000000006</c:v>
                </c:pt>
                <c:pt idx="24">
                  <c:v>49.228000000000009</c:v>
                </c:pt>
                <c:pt idx="25">
                  <c:v>53.992000000000012</c:v>
                </c:pt>
              </c:numCache>
            </c:numRef>
          </c:val>
        </c:ser>
        <c:ser>
          <c:idx val="1"/>
          <c:order val="1"/>
          <c:tx>
            <c:strRef>
              <c:f>'Output tables'!$BW$67</c:f>
              <c:strCache>
                <c:ptCount val="1"/>
                <c:pt idx="0">
                  <c:v>Supercritical coal capacity scenario</c:v>
                </c:pt>
              </c:strCache>
            </c:strRef>
          </c:tx>
          <c:cat>
            <c:numRef>
              <c:f>'Output tables'!$BX$65:$CW$65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tables'!$BX$67:$CW$67</c:f>
              <c:numCache>
                <c:formatCode>General</c:formatCode>
                <c:ptCount val="26"/>
                <c:pt idx="0">
                  <c:v>0</c:v>
                </c:pt>
                <c:pt idx="1">
                  <c:v>0</c:v>
                </c:pt>
                <c:pt idx="2">
                  <c:v>0</c:v>
                </c:pt>
                <c:pt idx="3">
                  <c:v>0</c:v>
                </c:pt>
                <c:pt idx="4">
                  <c:v>0</c:v>
                </c:pt>
                <c:pt idx="5">
                  <c:v>0</c:v>
                </c:pt>
                <c:pt idx="6">
                  <c:v>0</c:v>
                </c:pt>
                <c:pt idx="7">
                  <c:v>0.79400000000000004</c:v>
                </c:pt>
                <c:pt idx="8">
                  <c:v>2.3820000000000001</c:v>
                </c:pt>
                <c:pt idx="9">
                  <c:v>4.7640000000000002</c:v>
                </c:pt>
                <c:pt idx="10">
                  <c:v>7.1460000000000008</c:v>
                </c:pt>
                <c:pt idx="11">
                  <c:v>8.7340000000000018</c:v>
                </c:pt>
                <c:pt idx="12">
                  <c:v>9.5280000000000022</c:v>
                </c:pt>
                <c:pt idx="13">
                  <c:v>9.5280000000000022</c:v>
                </c:pt>
                <c:pt idx="14">
                  <c:v>9.5280000000000022</c:v>
                </c:pt>
                <c:pt idx="15">
                  <c:v>9.5280000000000022</c:v>
                </c:pt>
                <c:pt idx="16">
                  <c:v>9.5280000000000022</c:v>
                </c:pt>
                <c:pt idx="17">
                  <c:v>9.5280000000000022</c:v>
                </c:pt>
                <c:pt idx="18">
                  <c:v>9.5280000000000022</c:v>
                </c:pt>
                <c:pt idx="19">
                  <c:v>9.5280000000000022</c:v>
                </c:pt>
                <c:pt idx="20">
                  <c:v>9.5280000000000022</c:v>
                </c:pt>
                <c:pt idx="21">
                  <c:v>9.5280000000000022</c:v>
                </c:pt>
                <c:pt idx="22">
                  <c:v>9.5280000000000022</c:v>
                </c:pt>
                <c:pt idx="23">
                  <c:v>9.5280000000000022</c:v>
                </c:pt>
                <c:pt idx="24">
                  <c:v>9.5280000000000022</c:v>
                </c:pt>
                <c:pt idx="25">
                  <c:v>9.5280000000000022</c:v>
                </c:pt>
              </c:numCache>
            </c:numRef>
          </c:val>
        </c:ser>
        <c:axId val="105963520"/>
        <c:axId val="105965056"/>
      </c:barChart>
      <c:lineChart>
        <c:grouping val="standard"/>
        <c:ser>
          <c:idx val="2"/>
          <c:order val="2"/>
          <c:tx>
            <c:strRef>
              <c:f>'Output tables'!$BW$68</c:f>
              <c:strCache>
                <c:ptCount val="1"/>
                <c:pt idx="0">
                  <c:v>Supercritical coal output reference</c:v>
                </c:pt>
              </c:strCache>
            </c:strRef>
          </c:tx>
          <c:marker>
            <c:symbol val="none"/>
          </c:marker>
          <c:cat>
            <c:numRef>
              <c:f>'Output tables'!$BX$65:$CW$65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tables'!$BX$68:$CW$68</c:f>
              <c:numCache>
                <c:formatCode>General</c:formatCode>
                <c:ptCount val="26"/>
                <c:pt idx="0">
                  <c:v>0</c:v>
                </c:pt>
                <c:pt idx="1">
                  <c:v>0</c:v>
                </c:pt>
                <c:pt idx="2">
                  <c:v>0</c:v>
                </c:pt>
                <c:pt idx="3">
                  <c:v>0</c:v>
                </c:pt>
                <c:pt idx="4">
                  <c:v>0</c:v>
                </c:pt>
                <c:pt idx="5">
                  <c:v>0</c:v>
                </c:pt>
                <c:pt idx="6">
                  <c:v>0</c:v>
                </c:pt>
                <c:pt idx="7">
                  <c:v>1693.7365830000003</c:v>
                </c:pt>
                <c:pt idx="8">
                  <c:v>5081.2097490000015</c:v>
                </c:pt>
                <c:pt idx="9">
                  <c:v>13787.838002241275</c:v>
                </c:pt>
                <c:pt idx="10">
                  <c:v>22109.866176129231</c:v>
                </c:pt>
                <c:pt idx="11">
                  <c:v>30973.848045042821</c:v>
                </c:pt>
                <c:pt idx="12">
                  <c:v>39693.39423489997</c:v>
                </c:pt>
                <c:pt idx="13">
                  <c:v>48912.77667558215</c:v>
                </c:pt>
                <c:pt idx="14">
                  <c:v>58560.11668383942</c:v>
                </c:pt>
                <c:pt idx="15">
                  <c:v>70157.919939841871</c:v>
                </c:pt>
                <c:pt idx="16">
                  <c:v>82258.573337745125</c:v>
                </c:pt>
                <c:pt idx="17">
                  <c:v>92501.989315475454</c:v>
                </c:pt>
                <c:pt idx="18">
                  <c:v>103258.67878333401</c:v>
                </c:pt>
                <c:pt idx="19">
                  <c:v>123284.62132491726</c:v>
                </c:pt>
                <c:pt idx="20">
                  <c:v>144735.49546189455</c:v>
                </c:pt>
                <c:pt idx="21">
                  <c:v>169111.17186129716</c:v>
                </c:pt>
                <c:pt idx="22">
                  <c:v>193300.59446743844</c:v>
                </c:pt>
                <c:pt idx="23">
                  <c:v>220195.14662336902</c:v>
                </c:pt>
                <c:pt idx="24">
                  <c:v>260340.97143911308</c:v>
                </c:pt>
                <c:pt idx="25">
                  <c:v>284022.13653434324</c:v>
                </c:pt>
              </c:numCache>
            </c:numRef>
          </c:val>
        </c:ser>
        <c:ser>
          <c:idx val="3"/>
          <c:order val="3"/>
          <c:tx>
            <c:strRef>
              <c:f>'Output tables'!$BW$69</c:f>
              <c:strCache>
                <c:ptCount val="1"/>
                <c:pt idx="0">
                  <c:v>Supercritical coal output scenario</c:v>
                </c:pt>
              </c:strCache>
            </c:strRef>
          </c:tx>
          <c:spPr>
            <a:ln>
              <a:solidFill>
                <a:schemeClr val="accent2">
                  <a:lumMod val="75000"/>
                </a:schemeClr>
              </a:solidFill>
            </a:ln>
          </c:spPr>
          <c:marker>
            <c:symbol val="none"/>
          </c:marker>
          <c:cat>
            <c:numRef>
              <c:f>'Output tables'!$BX$65:$CW$65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tables'!$BX$69:$CW$69</c:f>
              <c:numCache>
                <c:formatCode>General</c:formatCode>
                <c:ptCount val="26"/>
                <c:pt idx="0">
                  <c:v>0</c:v>
                </c:pt>
                <c:pt idx="1">
                  <c:v>0</c:v>
                </c:pt>
                <c:pt idx="2">
                  <c:v>0</c:v>
                </c:pt>
                <c:pt idx="3">
                  <c:v>0</c:v>
                </c:pt>
                <c:pt idx="4">
                  <c:v>0</c:v>
                </c:pt>
                <c:pt idx="5">
                  <c:v>0</c:v>
                </c:pt>
                <c:pt idx="6">
                  <c:v>0</c:v>
                </c:pt>
                <c:pt idx="7">
                  <c:v>1693.7365830000003</c:v>
                </c:pt>
                <c:pt idx="8">
                  <c:v>5081.2097490000015</c:v>
                </c:pt>
                <c:pt idx="9">
                  <c:v>10634.23800224124</c:v>
                </c:pt>
                <c:pt idx="10">
                  <c:v>16810.994815755548</c:v>
                </c:pt>
                <c:pt idx="11">
                  <c:v>23004.105324295513</c:v>
                </c:pt>
                <c:pt idx="12">
                  <c:v>26993.251514152627</c:v>
                </c:pt>
                <c:pt idx="13">
                  <c:v>29379.83395483479</c:v>
                </c:pt>
                <c:pt idx="14">
                  <c:v>28777.973963092143</c:v>
                </c:pt>
                <c:pt idx="15">
                  <c:v>28024.177219094479</c:v>
                </c:pt>
                <c:pt idx="16">
                  <c:v>24356.830616997791</c:v>
                </c:pt>
                <c:pt idx="17">
                  <c:v>21898.246594728091</c:v>
                </c:pt>
                <c:pt idx="18">
                  <c:v>20324.83899600001</c:v>
                </c:pt>
                <c:pt idx="19">
                  <c:v>20324.83899600001</c:v>
                </c:pt>
                <c:pt idx="20">
                  <c:v>20453.283972315145</c:v>
                </c:pt>
                <c:pt idx="21">
                  <c:v>26870.960371717756</c:v>
                </c:pt>
                <c:pt idx="22">
                  <c:v>29502.873213153161</c:v>
                </c:pt>
                <c:pt idx="23">
                  <c:v>33040.160722025088</c:v>
                </c:pt>
                <c:pt idx="24">
                  <c:v>45633.727661654295</c:v>
                </c:pt>
                <c:pt idx="25">
                  <c:v>46966.368296660425</c:v>
                </c:pt>
              </c:numCache>
            </c:numRef>
          </c:val>
        </c:ser>
        <c:marker val="1"/>
        <c:axId val="105966976"/>
        <c:axId val="105968768"/>
      </c:lineChart>
      <c:catAx>
        <c:axId val="105963520"/>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05965056"/>
        <c:crosses val="autoZero"/>
        <c:auto val="1"/>
        <c:lblAlgn val="ctr"/>
        <c:lblOffset val="100"/>
      </c:catAx>
      <c:valAx>
        <c:axId val="105965056"/>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GW</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5963520"/>
        <c:crosses val="autoZero"/>
        <c:crossBetween val="between"/>
      </c:valAx>
      <c:catAx>
        <c:axId val="105966976"/>
        <c:scaling>
          <c:orientation val="minMax"/>
        </c:scaling>
        <c:delete val="1"/>
        <c:axPos val="b"/>
        <c:numFmt formatCode="General" sourceLinked="1"/>
        <c:tickLblPos val="none"/>
        <c:crossAx val="105968768"/>
        <c:crosses val="autoZero"/>
        <c:auto val="1"/>
        <c:lblAlgn val="ctr"/>
        <c:lblOffset val="100"/>
      </c:catAx>
      <c:valAx>
        <c:axId val="105968768"/>
        <c:scaling>
          <c:orientation val="minMax"/>
        </c:scaling>
        <c:axPos val="r"/>
        <c:title>
          <c:tx>
            <c:rich>
              <a:bodyPr/>
              <a:lstStyle/>
              <a:p>
                <a:pPr>
                  <a:defRPr lang="en-ZA" sz="1000" b="1" i="0" u="none" strike="noStrike" baseline="0">
                    <a:solidFill>
                      <a:srgbClr val="000000"/>
                    </a:solidFill>
                    <a:latin typeface="Calibri"/>
                    <a:ea typeface="Calibri"/>
                    <a:cs typeface="Calibri"/>
                  </a:defRPr>
                </a:pPr>
                <a:r>
                  <a:rPr lang="en-ZA"/>
                  <a:t>GWh</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5966976"/>
        <c:crosses val="max"/>
        <c:crossBetween val="between"/>
      </c:valAx>
    </c:plotArea>
    <c:legend>
      <c:legendPos val="b"/>
      <c:txPr>
        <a:bodyPr/>
        <a:lstStyle/>
        <a:p>
          <a:pPr>
            <a:defRPr lang="en-ZA" sz="845" b="0" i="0" u="none" strike="noStrike" baseline="0">
              <a:solidFill>
                <a:srgbClr val="000000"/>
              </a:solidFill>
              <a:latin typeface="Calibri"/>
              <a:ea typeface="Calibri"/>
              <a:cs typeface="Calibri"/>
            </a:defRPr>
          </a:pPr>
          <a:endParaRPr lang="en-US"/>
        </a:p>
      </c:txPr>
    </c:legend>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222" l="0.70000000000000062" r="0.70000000000000062" t="0.75000000000000222" header="0.30000000000000032" footer="0.30000000000000032"/>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c:lang val="en-ZA"/>
  <c:chart>
    <c:plotArea>
      <c:layout/>
      <c:lineChart>
        <c:grouping val="standard"/>
        <c:ser>
          <c:idx val="0"/>
          <c:order val="0"/>
          <c:tx>
            <c:strRef>
              <c:f>'Output tables'!$BW$73</c:f>
              <c:strCache>
                <c:ptCount val="1"/>
                <c:pt idx="0">
                  <c:v>Reference Supercritical coal capacity utilisation</c:v>
                </c:pt>
              </c:strCache>
            </c:strRef>
          </c:tx>
          <c:marker>
            <c:symbol val="none"/>
          </c:marker>
          <c:cat>
            <c:numRef>
              <c:f>'Output tables'!$BX$72:$CW$72</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tables'!$BX$73:$CW$73</c:f>
              <c:numCache>
                <c:formatCode>0%</c:formatCode>
                <c:ptCount val="26"/>
                <c:pt idx="0">
                  <c:v>0</c:v>
                </c:pt>
                <c:pt idx="1">
                  <c:v>0</c:v>
                </c:pt>
                <c:pt idx="2">
                  <c:v>0</c:v>
                </c:pt>
                <c:pt idx="3">
                  <c:v>0</c:v>
                </c:pt>
                <c:pt idx="4">
                  <c:v>0</c:v>
                </c:pt>
                <c:pt idx="5">
                  <c:v>0</c:v>
                </c:pt>
                <c:pt idx="6">
                  <c:v>0</c:v>
                </c:pt>
                <c:pt idx="7">
                  <c:v>0.24351250000000005</c:v>
                </c:pt>
                <c:pt idx="8">
                  <c:v>0.24351250000000005</c:v>
                </c:pt>
                <c:pt idx="9">
                  <c:v>0.3303849936702129</c:v>
                </c:pt>
                <c:pt idx="10">
                  <c:v>0.35319861825386922</c:v>
                </c:pt>
                <c:pt idx="11">
                  <c:v>0.40483482967736983</c:v>
                </c:pt>
                <c:pt idx="12">
                  <c:v>0.43898560235861828</c:v>
                </c:pt>
                <c:pt idx="13">
                  <c:v>0.43951907316055977</c:v>
                </c:pt>
                <c:pt idx="14">
                  <c:v>0.44312241992060902</c:v>
                </c:pt>
                <c:pt idx="15">
                  <c:v>0.45848952200031956</c:v>
                </c:pt>
                <c:pt idx="16">
                  <c:v>0.4548657284400362</c:v>
                </c:pt>
                <c:pt idx="17">
                  <c:v>0.44330763314027305</c:v>
                </c:pt>
                <c:pt idx="18">
                  <c:v>0.44987101782521904</c:v>
                </c:pt>
                <c:pt idx="19">
                  <c:v>0.4790519065027275</c:v>
                </c:pt>
                <c:pt idx="20">
                  <c:v>0.5075356894252504</c:v>
                </c:pt>
                <c:pt idx="21">
                  <c:v>0.5285546023072123</c:v>
                </c:pt>
                <c:pt idx="22">
                  <c:v>0.54492709802049255</c:v>
                </c:pt>
                <c:pt idx="23">
                  <c:v>0.56532098468292691</c:v>
                </c:pt>
                <c:pt idx="24">
                  <c:v>0.60370701586633002</c:v>
                </c:pt>
                <c:pt idx="25">
                  <c:v>0.60050782200767261</c:v>
                </c:pt>
              </c:numCache>
            </c:numRef>
          </c:val>
        </c:ser>
        <c:ser>
          <c:idx val="1"/>
          <c:order val="1"/>
          <c:tx>
            <c:strRef>
              <c:f>'Output tables'!$BW$74</c:f>
              <c:strCache>
                <c:ptCount val="1"/>
                <c:pt idx="0">
                  <c:v>Scenario Supercritical coal capacity utilisation</c:v>
                </c:pt>
              </c:strCache>
            </c:strRef>
          </c:tx>
          <c:marker>
            <c:symbol val="none"/>
          </c:marker>
          <c:cat>
            <c:numRef>
              <c:f>'Output tables'!$BX$72:$CW$72</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tables'!$BX$74:$CW$74</c:f>
              <c:numCache>
                <c:formatCode>General</c:formatCode>
                <c:ptCount val="26"/>
                <c:pt idx="0">
                  <c:v>0</c:v>
                </c:pt>
                <c:pt idx="1">
                  <c:v>0</c:v>
                </c:pt>
                <c:pt idx="2">
                  <c:v>0</c:v>
                </c:pt>
                <c:pt idx="3">
                  <c:v>0</c:v>
                </c:pt>
                <c:pt idx="4">
                  <c:v>0</c:v>
                </c:pt>
                <c:pt idx="5">
                  <c:v>0</c:v>
                </c:pt>
                <c:pt idx="6">
                  <c:v>0</c:v>
                </c:pt>
                <c:pt idx="7">
                  <c:v>0.24351250000000005</c:v>
                </c:pt>
                <c:pt idx="8">
                  <c:v>0.24351250000000005</c:v>
                </c:pt>
                <c:pt idx="9">
                  <c:v>0.25481824304048917</c:v>
                </c:pt>
                <c:pt idx="10">
                  <c:v>0.26855070460843994</c:v>
                </c:pt>
                <c:pt idx="11">
                  <c:v>0.30066858490745124</c:v>
                </c:pt>
                <c:pt idx="12">
                  <c:v>0.32340694854378516</c:v>
                </c:pt>
                <c:pt idx="13">
                  <c:v>0.35200066368716171</c:v>
                </c:pt>
                <c:pt idx="14">
                  <c:v>0.34478976124074751</c:v>
                </c:pt>
                <c:pt idx="15">
                  <c:v>0.33575850005049374</c:v>
                </c:pt>
                <c:pt idx="16">
                  <c:v>0.2918199114290132</c:v>
                </c:pt>
                <c:pt idx="17">
                  <c:v>0.26236354319698069</c:v>
                </c:pt>
                <c:pt idx="18">
                  <c:v>0.24351250000000005</c:v>
                </c:pt>
                <c:pt idx="19">
                  <c:v>0.24351250000000005</c:v>
                </c:pt>
                <c:pt idx="20">
                  <c:v>0.24505140307820375</c:v>
                </c:pt>
                <c:pt idx="21">
                  <c:v>0.32194177473217306</c:v>
                </c:pt>
                <c:pt idx="22">
                  <c:v>0.35347480069740561</c:v>
                </c:pt>
                <c:pt idx="23">
                  <c:v>0.39585514745802181</c:v>
                </c:pt>
                <c:pt idx="24">
                  <c:v>0.54673904720207356</c:v>
                </c:pt>
                <c:pt idx="25">
                  <c:v>0.56270545425188068</c:v>
                </c:pt>
              </c:numCache>
            </c:numRef>
          </c:val>
        </c:ser>
        <c:marker val="1"/>
        <c:axId val="105981440"/>
        <c:axId val="105982976"/>
      </c:lineChart>
      <c:catAx>
        <c:axId val="105981440"/>
        <c:scaling>
          <c:orientation val="minMax"/>
        </c:scaling>
        <c:axPos val="b"/>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5982976"/>
        <c:crosses val="autoZero"/>
        <c:auto val="1"/>
        <c:lblAlgn val="ctr"/>
        <c:lblOffset val="100"/>
      </c:catAx>
      <c:valAx>
        <c:axId val="105982976"/>
        <c:scaling>
          <c:orientation val="minMax"/>
        </c:scaling>
        <c:axPos val="l"/>
        <c:majorGridlines/>
        <c:numFmt formatCode="0%"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5981440"/>
        <c:crosses val="autoZero"/>
        <c:crossBetween val="between"/>
      </c:valAx>
    </c:plotArea>
    <c:legend>
      <c:legendPos val="b"/>
      <c:txPr>
        <a:bodyPr/>
        <a:lstStyle/>
        <a:p>
          <a:pPr>
            <a:defRPr lang="en-ZA" sz="845" b="0" i="0" u="none" strike="noStrike" baseline="0">
              <a:solidFill>
                <a:srgbClr val="000000"/>
              </a:solidFill>
              <a:latin typeface="Calibri"/>
              <a:ea typeface="Calibri"/>
              <a:cs typeface="Calibri"/>
            </a:defRPr>
          </a:pPr>
          <a:endParaRPr lang="en-US"/>
        </a:p>
      </c:txPr>
    </c:legend>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222" l="0.70000000000000062" r="0.70000000000000062" t="0.75000000000000222" header="0.30000000000000032" footer="0.30000000000000032"/>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c:lang val="en-ZA"/>
  <c:chart>
    <c:plotArea>
      <c:layout/>
      <c:barChart>
        <c:barDir val="col"/>
        <c:grouping val="clustered"/>
        <c:ser>
          <c:idx val="0"/>
          <c:order val="0"/>
          <c:tx>
            <c:strRef>
              <c:f>'Output tables'!$AO$66</c:f>
              <c:strCache>
                <c:ptCount val="1"/>
                <c:pt idx="0">
                  <c:v>OCGT liquid fuels capacity</c:v>
                </c:pt>
              </c:strCache>
            </c:strRef>
          </c:tx>
          <c:spPr>
            <a:solidFill>
              <a:schemeClr val="accent3">
                <a:lumMod val="60000"/>
                <a:lumOff val="40000"/>
              </a:schemeClr>
            </a:solidFill>
          </c:spPr>
          <c:cat>
            <c:numRef>
              <c:f>'Output tables'!$AP$65:$BO$65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tables'!$AP$66:$BO$66</c:f>
              <c:numCache>
                <c:formatCode>General</c:formatCode>
                <c:ptCount val="26"/>
                <c:pt idx="0">
                  <c:v>2.4</c:v>
                </c:pt>
                <c:pt idx="1">
                  <c:v>2.4</c:v>
                </c:pt>
                <c:pt idx="2">
                  <c:v>2.4</c:v>
                </c:pt>
                <c:pt idx="3">
                  <c:v>2.4</c:v>
                </c:pt>
                <c:pt idx="4">
                  <c:v>2.4</c:v>
                </c:pt>
                <c:pt idx="5">
                  <c:v>2.4</c:v>
                </c:pt>
                <c:pt idx="6">
                  <c:v>3.48</c:v>
                </c:pt>
                <c:pt idx="7">
                  <c:v>3.48</c:v>
                </c:pt>
                <c:pt idx="8">
                  <c:v>3.48</c:v>
                </c:pt>
                <c:pt idx="9">
                  <c:v>3.48</c:v>
                </c:pt>
                <c:pt idx="10">
                  <c:v>3.48</c:v>
                </c:pt>
                <c:pt idx="11">
                  <c:v>3.48</c:v>
                </c:pt>
                <c:pt idx="12">
                  <c:v>3.48</c:v>
                </c:pt>
                <c:pt idx="13">
                  <c:v>3.48</c:v>
                </c:pt>
                <c:pt idx="14">
                  <c:v>3.48</c:v>
                </c:pt>
                <c:pt idx="15">
                  <c:v>3.48</c:v>
                </c:pt>
                <c:pt idx="16">
                  <c:v>3.48</c:v>
                </c:pt>
                <c:pt idx="17">
                  <c:v>3.48</c:v>
                </c:pt>
                <c:pt idx="18">
                  <c:v>3.48</c:v>
                </c:pt>
                <c:pt idx="19">
                  <c:v>3.48</c:v>
                </c:pt>
                <c:pt idx="20">
                  <c:v>3.48</c:v>
                </c:pt>
                <c:pt idx="21">
                  <c:v>4.2</c:v>
                </c:pt>
                <c:pt idx="22">
                  <c:v>4.2</c:v>
                </c:pt>
                <c:pt idx="23">
                  <c:v>4.2</c:v>
                </c:pt>
                <c:pt idx="24">
                  <c:v>5.16</c:v>
                </c:pt>
                <c:pt idx="25">
                  <c:v>5.9489999999999998</c:v>
                </c:pt>
              </c:numCache>
            </c:numRef>
          </c:val>
        </c:ser>
        <c:ser>
          <c:idx val="1"/>
          <c:order val="1"/>
          <c:tx>
            <c:strRef>
              <c:f>'Output tables'!$AO$67</c:f>
              <c:strCache>
                <c:ptCount val="1"/>
                <c:pt idx="0">
                  <c:v>Existing coal Small capacity</c:v>
                </c:pt>
              </c:strCache>
            </c:strRef>
          </c:tx>
          <c:cat>
            <c:numRef>
              <c:f>'Output tables'!$AP$65:$BO$65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tables'!$AP$67:$BO$67</c:f>
              <c:numCache>
                <c:formatCode>General</c:formatCode>
                <c:ptCount val="26"/>
                <c:pt idx="0">
                  <c:v>5.434444444444444</c:v>
                </c:pt>
                <c:pt idx="1">
                  <c:v>5.434444444444444</c:v>
                </c:pt>
                <c:pt idx="2">
                  <c:v>5.434444444444444</c:v>
                </c:pt>
                <c:pt idx="3">
                  <c:v>5.434444444444444</c:v>
                </c:pt>
                <c:pt idx="4">
                  <c:v>5.434444444444444</c:v>
                </c:pt>
                <c:pt idx="5">
                  <c:v>6.1174444444444438</c:v>
                </c:pt>
                <c:pt idx="6">
                  <c:v>6.5214444444444437</c:v>
                </c:pt>
                <c:pt idx="7">
                  <c:v>6.5214444444444437</c:v>
                </c:pt>
                <c:pt idx="8">
                  <c:v>6.5214444444444437</c:v>
                </c:pt>
                <c:pt idx="9">
                  <c:v>6.5214444444444437</c:v>
                </c:pt>
                <c:pt idx="10">
                  <c:v>6.5214444444444437</c:v>
                </c:pt>
                <c:pt idx="11">
                  <c:v>6.4839444444444441</c:v>
                </c:pt>
                <c:pt idx="12">
                  <c:v>6.4464444444444444</c:v>
                </c:pt>
                <c:pt idx="13">
                  <c:v>6.3964444444444446</c:v>
                </c:pt>
                <c:pt idx="14">
                  <c:v>6.3464444444444448</c:v>
                </c:pt>
                <c:pt idx="15">
                  <c:v>5.3964444444444446</c:v>
                </c:pt>
                <c:pt idx="16">
                  <c:v>4.4464444444444444</c:v>
                </c:pt>
                <c:pt idx="17">
                  <c:v>4.4464444444444444</c:v>
                </c:pt>
                <c:pt idx="18">
                  <c:v>4.4464444444444444</c:v>
                </c:pt>
                <c:pt idx="19">
                  <c:v>4.4464444444444444</c:v>
                </c:pt>
                <c:pt idx="20">
                  <c:v>4.0087222222222225</c:v>
                </c:pt>
                <c:pt idx="21">
                  <c:v>3.5710000000000002</c:v>
                </c:pt>
                <c:pt idx="22">
                  <c:v>3.5710000000000002</c:v>
                </c:pt>
                <c:pt idx="23">
                  <c:v>3.5710000000000002</c:v>
                </c:pt>
                <c:pt idx="24">
                  <c:v>3.5710000000000002</c:v>
                </c:pt>
                <c:pt idx="25">
                  <c:v>3.5710000000000002</c:v>
                </c:pt>
              </c:numCache>
            </c:numRef>
          </c:val>
        </c:ser>
        <c:axId val="106035072"/>
        <c:axId val="106036608"/>
      </c:barChart>
      <c:lineChart>
        <c:grouping val="standard"/>
        <c:ser>
          <c:idx val="2"/>
          <c:order val="2"/>
          <c:tx>
            <c:strRef>
              <c:f>'Output tables'!$AO$68</c:f>
              <c:strCache>
                <c:ptCount val="1"/>
                <c:pt idx="0">
                  <c:v>OCGT liquid fuels output</c:v>
                </c:pt>
              </c:strCache>
            </c:strRef>
          </c:tx>
          <c:marker>
            <c:symbol val="none"/>
          </c:marker>
          <c:cat>
            <c:numRef>
              <c:f>'Output tables'!$AP$65:$BO$65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tables'!$AP$68:$BO$68</c:f>
              <c:numCache>
                <c:formatCode>General</c:formatCode>
                <c:ptCount val="26"/>
                <c:pt idx="0">
                  <c:v>651.77077055999985</c:v>
                </c:pt>
                <c:pt idx="1">
                  <c:v>651.77077055999985</c:v>
                </c:pt>
                <c:pt idx="2">
                  <c:v>651.77077055999985</c:v>
                </c:pt>
                <c:pt idx="3">
                  <c:v>651.77077055999985</c:v>
                </c:pt>
                <c:pt idx="4">
                  <c:v>651.77077055999985</c:v>
                </c:pt>
                <c:pt idx="5">
                  <c:v>651.77077055999985</c:v>
                </c:pt>
                <c:pt idx="6">
                  <c:v>945.06761731199981</c:v>
                </c:pt>
                <c:pt idx="7">
                  <c:v>945.06761731199981</c:v>
                </c:pt>
                <c:pt idx="8">
                  <c:v>945.06761731199981</c:v>
                </c:pt>
                <c:pt idx="9">
                  <c:v>945.06761731199981</c:v>
                </c:pt>
                <c:pt idx="10">
                  <c:v>945.06761731199981</c:v>
                </c:pt>
                <c:pt idx="11">
                  <c:v>945.06761731199981</c:v>
                </c:pt>
                <c:pt idx="12">
                  <c:v>945.06761731199981</c:v>
                </c:pt>
                <c:pt idx="13">
                  <c:v>945.06761731199981</c:v>
                </c:pt>
                <c:pt idx="14">
                  <c:v>945.06761731199981</c:v>
                </c:pt>
                <c:pt idx="15">
                  <c:v>945.06761731199981</c:v>
                </c:pt>
                <c:pt idx="16">
                  <c:v>945.06761731199981</c:v>
                </c:pt>
                <c:pt idx="17">
                  <c:v>945.06761731199981</c:v>
                </c:pt>
                <c:pt idx="18">
                  <c:v>945.06761731199981</c:v>
                </c:pt>
                <c:pt idx="19">
                  <c:v>945.06761731199981</c:v>
                </c:pt>
                <c:pt idx="20">
                  <c:v>945.06761731199981</c:v>
                </c:pt>
                <c:pt idx="21">
                  <c:v>1140.59884848</c:v>
                </c:pt>
                <c:pt idx="22">
                  <c:v>1140.59884848</c:v>
                </c:pt>
                <c:pt idx="23">
                  <c:v>1140.59884848</c:v>
                </c:pt>
                <c:pt idx="24">
                  <c:v>1401.3071567039999</c:v>
                </c:pt>
                <c:pt idx="25">
                  <c:v>1615.5767975255997</c:v>
                </c:pt>
              </c:numCache>
            </c:numRef>
          </c:val>
        </c:ser>
        <c:ser>
          <c:idx val="3"/>
          <c:order val="3"/>
          <c:tx>
            <c:strRef>
              <c:f>'Output tables'!$AO$69</c:f>
              <c:strCache>
                <c:ptCount val="1"/>
                <c:pt idx="0">
                  <c:v>Existing coal Small output</c:v>
                </c:pt>
              </c:strCache>
            </c:strRef>
          </c:tx>
          <c:spPr>
            <a:ln>
              <a:solidFill>
                <a:schemeClr val="accent2">
                  <a:lumMod val="75000"/>
                </a:schemeClr>
              </a:solidFill>
            </a:ln>
          </c:spPr>
          <c:marker>
            <c:symbol val="none"/>
          </c:marker>
          <c:cat>
            <c:numRef>
              <c:f>'Output tables'!$AP$65:$BO$65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tables'!$AP$69:$BO$69</c:f>
              <c:numCache>
                <c:formatCode>General</c:formatCode>
                <c:ptCount val="26"/>
                <c:pt idx="0">
                  <c:v>11481.108051601606</c:v>
                </c:pt>
                <c:pt idx="1">
                  <c:v>11481.108051601606</c:v>
                </c:pt>
                <c:pt idx="2">
                  <c:v>11481.108051601606</c:v>
                </c:pt>
                <c:pt idx="3">
                  <c:v>11481.108051601606</c:v>
                </c:pt>
                <c:pt idx="4">
                  <c:v>11481.108051601606</c:v>
                </c:pt>
                <c:pt idx="5">
                  <c:v>12924.051645819456</c:v>
                </c:pt>
                <c:pt idx="6">
                  <c:v>13777.564401403659</c:v>
                </c:pt>
                <c:pt idx="7">
                  <c:v>13777.564401403659</c:v>
                </c:pt>
                <c:pt idx="8">
                  <c:v>13777.564401403659</c:v>
                </c:pt>
                <c:pt idx="9">
                  <c:v>13777.564401403659</c:v>
                </c:pt>
                <c:pt idx="10">
                  <c:v>13777.564401403659</c:v>
                </c:pt>
                <c:pt idx="11">
                  <c:v>13698.339826318494</c:v>
                </c:pt>
                <c:pt idx="12">
                  <c:v>13619.115251233326</c:v>
                </c:pt>
                <c:pt idx="13">
                  <c:v>13513.482484453105</c:v>
                </c:pt>
                <c:pt idx="14">
                  <c:v>13407.84971767288</c:v>
                </c:pt>
                <c:pt idx="15">
                  <c:v>11400.827148848637</c:v>
                </c:pt>
                <c:pt idx="16">
                  <c:v>9393.8045800243945</c:v>
                </c:pt>
                <c:pt idx="17">
                  <c:v>9393.8045800243945</c:v>
                </c:pt>
                <c:pt idx="18">
                  <c:v>9393.8045800243945</c:v>
                </c:pt>
                <c:pt idx="19">
                  <c:v>9393.8045800243945</c:v>
                </c:pt>
                <c:pt idx="20">
                  <c:v>8469.0483917339716</c:v>
                </c:pt>
                <c:pt idx="21">
                  <c:v>7544.2922034435505</c:v>
                </c:pt>
                <c:pt idx="22">
                  <c:v>7544.2922034435505</c:v>
                </c:pt>
                <c:pt idx="23">
                  <c:v>7544.2922034435505</c:v>
                </c:pt>
                <c:pt idx="24">
                  <c:v>7544.2922034435505</c:v>
                </c:pt>
                <c:pt idx="25">
                  <c:v>7544.2922034435505</c:v>
                </c:pt>
              </c:numCache>
            </c:numRef>
          </c:val>
        </c:ser>
        <c:marker val="1"/>
        <c:axId val="106042880"/>
        <c:axId val="106044416"/>
      </c:lineChart>
      <c:catAx>
        <c:axId val="106035072"/>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06036608"/>
        <c:crosses val="autoZero"/>
        <c:auto val="1"/>
        <c:lblAlgn val="ctr"/>
        <c:lblOffset val="100"/>
      </c:catAx>
      <c:valAx>
        <c:axId val="106036608"/>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GW</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6035072"/>
        <c:crosses val="autoZero"/>
        <c:crossBetween val="between"/>
      </c:valAx>
      <c:catAx>
        <c:axId val="106042880"/>
        <c:scaling>
          <c:orientation val="minMax"/>
        </c:scaling>
        <c:delete val="1"/>
        <c:axPos val="b"/>
        <c:numFmt formatCode="General" sourceLinked="1"/>
        <c:tickLblPos val="none"/>
        <c:crossAx val="106044416"/>
        <c:crosses val="autoZero"/>
        <c:auto val="1"/>
        <c:lblAlgn val="ctr"/>
        <c:lblOffset val="100"/>
      </c:catAx>
      <c:valAx>
        <c:axId val="106044416"/>
        <c:scaling>
          <c:orientation val="minMax"/>
        </c:scaling>
        <c:axPos val="r"/>
        <c:title>
          <c:tx>
            <c:rich>
              <a:bodyPr/>
              <a:lstStyle/>
              <a:p>
                <a:pPr>
                  <a:defRPr lang="en-ZA" sz="1000" b="1" i="0" u="none" strike="noStrike" baseline="0">
                    <a:solidFill>
                      <a:srgbClr val="000000"/>
                    </a:solidFill>
                    <a:latin typeface="Calibri"/>
                    <a:ea typeface="Calibri"/>
                    <a:cs typeface="Calibri"/>
                  </a:defRPr>
                </a:pPr>
                <a:r>
                  <a:rPr lang="en-ZA"/>
                  <a:t>GWh</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6042880"/>
        <c:crosses val="max"/>
        <c:crossBetween val="between"/>
      </c:valAx>
    </c:plotArea>
    <c:legend>
      <c:legendPos val="b"/>
      <c:txPr>
        <a:bodyPr/>
        <a:lstStyle/>
        <a:p>
          <a:pPr>
            <a:defRPr lang="en-ZA" sz="845" b="0" i="0" u="none" strike="noStrike" baseline="0">
              <a:solidFill>
                <a:srgbClr val="000000"/>
              </a:solidFill>
              <a:latin typeface="Calibri"/>
              <a:ea typeface="Calibri"/>
              <a:cs typeface="Calibri"/>
            </a:defRPr>
          </a:pPr>
          <a:endParaRPr lang="en-US"/>
        </a:p>
      </c:txPr>
    </c:legend>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2" l="0.70000000000000062" r="0.70000000000000062" t="0.750000000000002" header="0.30000000000000032" footer="0.30000000000000032"/>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c:lang val="en-ZA"/>
  <c:chart>
    <c:plotArea>
      <c:layout/>
      <c:lineChart>
        <c:grouping val="standard"/>
        <c:ser>
          <c:idx val="0"/>
          <c:order val="0"/>
          <c:tx>
            <c:strRef>
              <c:f>'Output tables'!$AO$73</c:f>
              <c:strCache>
                <c:ptCount val="1"/>
                <c:pt idx="0">
                  <c:v>OCGT liquid fuels capacity utilisation</c:v>
                </c:pt>
              </c:strCache>
            </c:strRef>
          </c:tx>
          <c:marker>
            <c:symbol val="none"/>
          </c:marker>
          <c:cat>
            <c:numRef>
              <c:f>'Output tables'!$AP$72:$BO$72</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tables'!$AP$73:$BO$73</c:f>
              <c:numCache>
                <c:formatCode>0%</c:formatCode>
                <c:ptCount val="26"/>
                <c:pt idx="0">
                  <c:v>3.1001273333333329E-2</c:v>
                </c:pt>
                <c:pt idx="1">
                  <c:v>3.1001273333333329E-2</c:v>
                </c:pt>
                <c:pt idx="2">
                  <c:v>3.1001273333333329E-2</c:v>
                </c:pt>
                <c:pt idx="3">
                  <c:v>3.1001273333333329E-2</c:v>
                </c:pt>
                <c:pt idx="4">
                  <c:v>3.1001273333333329E-2</c:v>
                </c:pt>
                <c:pt idx="5">
                  <c:v>3.1001273333333329E-2</c:v>
                </c:pt>
                <c:pt idx="6">
                  <c:v>3.1001273333333329E-2</c:v>
                </c:pt>
                <c:pt idx="7">
                  <c:v>3.1001273333333329E-2</c:v>
                </c:pt>
                <c:pt idx="8">
                  <c:v>3.1001273333333329E-2</c:v>
                </c:pt>
                <c:pt idx="9">
                  <c:v>3.1001273333333329E-2</c:v>
                </c:pt>
                <c:pt idx="10">
                  <c:v>3.1001273333333329E-2</c:v>
                </c:pt>
                <c:pt idx="11">
                  <c:v>3.1001273333333329E-2</c:v>
                </c:pt>
                <c:pt idx="12">
                  <c:v>3.1001273333333329E-2</c:v>
                </c:pt>
                <c:pt idx="13">
                  <c:v>3.1001273333333329E-2</c:v>
                </c:pt>
                <c:pt idx="14">
                  <c:v>3.1001273333333329E-2</c:v>
                </c:pt>
                <c:pt idx="15">
                  <c:v>3.1001273333333329E-2</c:v>
                </c:pt>
                <c:pt idx="16">
                  <c:v>3.1001273333333329E-2</c:v>
                </c:pt>
                <c:pt idx="17">
                  <c:v>3.1001273333333329E-2</c:v>
                </c:pt>
                <c:pt idx="18">
                  <c:v>3.1001273333333329E-2</c:v>
                </c:pt>
                <c:pt idx="19">
                  <c:v>3.1001273333333329E-2</c:v>
                </c:pt>
                <c:pt idx="20">
                  <c:v>3.1001273333333329E-2</c:v>
                </c:pt>
                <c:pt idx="21">
                  <c:v>3.1001273333333336E-2</c:v>
                </c:pt>
                <c:pt idx="22">
                  <c:v>3.1001273333333336E-2</c:v>
                </c:pt>
                <c:pt idx="23">
                  <c:v>3.1001273333333336E-2</c:v>
                </c:pt>
                <c:pt idx="24">
                  <c:v>3.1001273333333329E-2</c:v>
                </c:pt>
                <c:pt idx="25">
                  <c:v>3.1001273333333329E-2</c:v>
                </c:pt>
              </c:numCache>
            </c:numRef>
          </c:val>
        </c:ser>
        <c:ser>
          <c:idx val="1"/>
          <c:order val="1"/>
          <c:tx>
            <c:strRef>
              <c:f>'Output tables'!$AO$74</c:f>
              <c:strCache>
                <c:ptCount val="1"/>
                <c:pt idx="0">
                  <c:v>Existing coal Small capacity utilisation</c:v>
                </c:pt>
              </c:strCache>
            </c:strRef>
          </c:tx>
          <c:marker>
            <c:symbol val="none"/>
          </c:marker>
          <c:cat>
            <c:numRef>
              <c:f>'Output tables'!$AP$72:$BO$72</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tables'!$AP$74:$BO$74</c:f>
              <c:numCache>
                <c:formatCode>0%</c:formatCode>
                <c:ptCount val="26"/>
                <c:pt idx="0">
                  <c:v>0.24117070041146876</c:v>
                </c:pt>
                <c:pt idx="1">
                  <c:v>0.24117070041146876</c:v>
                </c:pt>
                <c:pt idx="2">
                  <c:v>0.24117070041146876</c:v>
                </c:pt>
                <c:pt idx="3">
                  <c:v>0.24117070041146876</c:v>
                </c:pt>
                <c:pt idx="4">
                  <c:v>0.24117070041146876</c:v>
                </c:pt>
                <c:pt idx="5">
                  <c:v>0.24117070041146876</c:v>
                </c:pt>
                <c:pt idx="6">
                  <c:v>0.24117070041146876</c:v>
                </c:pt>
                <c:pt idx="7">
                  <c:v>0.24117070041146876</c:v>
                </c:pt>
                <c:pt idx="8">
                  <c:v>0.24117070041146876</c:v>
                </c:pt>
                <c:pt idx="9">
                  <c:v>0.24117070041146876</c:v>
                </c:pt>
                <c:pt idx="10">
                  <c:v>0.24117070041146876</c:v>
                </c:pt>
                <c:pt idx="11">
                  <c:v>0.24117070041146876</c:v>
                </c:pt>
                <c:pt idx="12">
                  <c:v>0.24117070041146876</c:v>
                </c:pt>
                <c:pt idx="13">
                  <c:v>0.24117070041146882</c:v>
                </c:pt>
                <c:pt idx="14">
                  <c:v>0.24117070041146876</c:v>
                </c:pt>
                <c:pt idx="15">
                  <c:v>0.24117070041146876</c:v>
                </c:pt>
                <c:pt idx="16">
                  <c:v>0.24117070041146882</c:v>
                </c:pt>
                <c:pt idx="17">
                  <c:v>0.24117070041146882</c:v>
                </c:pt>
                <c:pt idx="18">
                  <c:v>0.24117070041146882</c:v>
                </c:pt>
                <c:pt idx="19">
                  <c:v>0.24117070041146882</c:v>
                </c:pt>
                <c:pt idx="20">
                  <c:v>0.24117070041146876</c:v>
                </c:pt>
                <c:pt idx="21">
                  <c:v>0.24117070041146876</c:v>
                </c:pt>
                <c:pt idx="22">
                  <c:v>0.24117070041146876</c:v>
                </c:pt>
                <c:pt idx="23">
                  <c:v>0.24117070041146876</c:v>
                </c:pt>
                <c:pt idx="24">
                  <c:v>0.24117070041146876</c:v>
                </c:pt>
                <c:pt idx="25">
                  <c:v>0.24117070041146876</c:v>
                </c:pt>
              </c:numCache>
            </c:numRef>
          </c:val>
        </c:ser>
        <c:marker val="1"/>
        <c:axId val="106077184"/>
        <c:axId val="106078976"/>
      </c:lineChart>
      <c:catAx>
        <c:axId val="106077184"/>
        <c:scaling>
          <c:orientation val="minMax"/>
        </c:scaling>
        <c:axPos val="b"/>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6078976"/>
        <c:crosses val="autoZero"/>
        <c:auto val="1"/>
        <c:lblAlgn val="ctr"/>
        <c:lblOffset val="100"/>
      </c:catAx>
      <c:valAx>
        <c:axId val="106078976"/>
        <c:scaling>
          <c:orientation val="minMax"/>
        </c:scaling>
        <c:axPos val="l"/>
        <c:majorGridlines/>
        <c:numFmt formatCode="0%"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6077184"/>
        <c:crosses val="autoZero"/>
        <c:crossBetween val="between"/>
      </c:valAx>
    </c:plotArea>
    <c:legend>
      <c:legendPos val="b"/>
      <c:txPr>
        <a:bodyPr/>
        <a:lstStyle/>
        <a:p>
          <a:pPr>
            <a:defRPr lang="en-ZA" sz="845" b="0" i="0" u="none" strike="noStrike" baseline="0">
              <a:solidFill>
                <a:srgbClr val="000000"/>
              </a:solidFill>
              <a:latin typeface="Calibri"/>
              <a:ea typeface="Calibri"/>
              <a:cs typeface="Calibri"/>
            </a:defRPr>
          </a:pPr>
          <a:endParaRPr lang="en-US"/>
        </a:p>
      </c:txPr>
    </c:legend>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2" l="0.70000000000000062" r="0.70000000000000062" t="0.750000000000002" header="0.30000000000000032" footer="0.30000000000000032"/>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c:lang val="en-ZA"/>
  <c:chart>
    <c:plotArea>
      <c:layout/>
      <c:lineChart>
        <c:grouping val="standard"/>
        <c:ser>
          <c:idx val="0"/>
          <c:order val="0"/>
          <c:tx>
            <c:strRef>
              <c:f>'Investment Plan'!$BL$10</c:f>
              <c:strCache>
                <c:ptCount val="1"/>
                <c:pt idx="0">
                  <c:v>Peak Demand - units: GW</c:v>
                </c:pt>
              </c:strCache>
            </c:strRef>
          </c:tx>
          <c:marker>
            <c:symbol val="none"/>
          </c:marker>
          <c:cat>
            <c:numRef>
              <c:f>'Investment Plan'!$BM$9:$CG$9</c:f>
              <c:numCache>
                <c:formatCode>General</c:formatCode>
                <c:ptCount val="21"/>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numCache>
            </c:numRef>
          </c:cat>
          <c:val>
            <c:numRef>
              <c:f>'Investment Plan'!$BM$10:$CG$10</c:f>
              <c:numCache>
                <c:formatCode>General</c:formatCode>
                <c:ptCount val="21"/>
                <c:pt idx="0">
                  <c:v>38.824652367661919</c:v>
                </c:pt>
                <c:pt idx="1">
                  <c:v>39.571914629237234</c:v>
                </c:pt>
                <c:pt idx="2">
                  <c:v>40.465240113533476</c:v>
                </c:pt>
                <c:pt idx="3">
                  <c:v>41.494224317014336</c:v>
                </c:pt>
                <c:pt idx="4">
                  <c:v>42.754508637571043</c:v>
                </c:pt>
                <c:pt idx="5">
                  <c:v>43.999586376036262</c:v>
                </c:pt>
                <c:pt idx="6">
                  <c:v>45.313894080339054</c:v>
                </c:pt>
                <c:pt idx="7">
                  <c:v>46.606592431143419</c:v>
                </c:pt>
                <c:pt idx="8">
                  <c:v>47.970121440637108</c:v>
                </c:pt>
                <c:pt idx="9">
                  <c:v>49.397678164200236</c:v>
                </c:pt>
                <c:pt idx="10">
                  <c:v>50.832576878623705</c:v>
                </c:pt>
                <c:pt idx="11">
                  <c:v>52.342708157078782</c:v>
                </c:pt>
                <c:pt idx="12">
                  <c:v>53.875249135458155</c:v>
                </c:pt>
                <c:pt idx="13">
                  <c:v>55.513836015265028</c:v>
                </c:pt>
                <c:pt idx="14">
                  <c:v>57.209247491308531</c:v>
                </c:pt>
                <c:pt idx="15">
                  <c:v>58.979491358170705</c:v>
                </c:pt>
                <c:pt idx="16">
                  <c:v>60.891396542411499</c:v>
                </c:pt>
                <c:pt idx="17">
                  <c:v>62.884536888877911</c:v>
                </c:pt>
                <c:pt idx="18">
                  <c:v>64.940104256562037</c:v>
                </c:pt>
                <c:pt idx="19">
                  <c:v>67.039290504455948</c:v>
                </c:pt>
                <c:pt idx="20">
                  <c:v>68.567829750705968</c:v>
                </c:pt>
              </c:numCache>
            </c:numRef>
          </c:val>
        </c:ser>
        <c:marker val="1"/>
        <c:axId val="99848192"/>
        <c:axId val="99849728"/>
      </c:lineChart>
      <c:lineChart>
        <c:grouping val="standard"/>
        <c:ser>
          <c:idx val="1"/>
          <c:order val="1"/>
          <c:tx>
            <c:strRef>
              <c:f>'Investment Plan'!$BL$11</c:f>
              <c:strCache>
                <c:ptCount val="1"/>
                <c:pt idx="0">
                  <c:v>GHG emissions - units: Mt CO2-eq</c:v>
                </c:pt>
              </c:strCache>
            </c:strRef>
          </c:tx>
          <c:marker>
            <c:symbol val="none"/>
          </c:marker>
          <c:cat>
            <c:numRef>
              <c:f>'Investment Plan'!$BM$9:$CG$9</c:f>
              <c:numCache>
                <c:formatCode>General</c:formatCode>
                <c:ptCount val="21"/>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numCache>
            </c:numRef>
          </c:cat>
          <c:val>
            <c:numRef>
              <c:f>'Investment Plan'!$BM$11:$CG$11</c:f>
              <c:numCache>
                <c:formatCode>General</c:formatCode>
                <c:ptCount val="21"/>
                <c:pt idx="0">
                  <c:v>235.99719359076568</c:v>
                </c:pt>
                <c:pt idx="1">
                  <c:v>241.13644531545148</c:v>
                </c:pt>
                <c:pt idx="2">
                  <c:v>246.99212756686327</c:v>
                </c:pt>
                <c:pt idx="3">
                  <c:v>254.1341130271411</c:v>
                </c:pt>
                <c:pt idx="4">
                  <c:v>262.50555854340791</c:v>
                </c:pt>
                <c:pt idx="5">
                  <c:v>270.31677005900684</c:v>
                </c:pt>
                <c:pt idx="6">
                  <c:v>278.53892995818495</c:v>
                </c:pt>
                <c:pt idx="7">
                  <c:v>286.62551982372042</c:v>
                </c:pt>
                <c:pt idx="8">
                  <c:v>295.14868552109169</c:v>
                </c:pt>
                <c:pt idx="9">
                  <c:v>304.07354020703423</c:v>
                </c:pt>
                <c:pt idx="10">
                  <c:v>312.4833881007371</c:v>
                </c:pt>
                <c:pt idx="11">
                  <c:v>321.3652205560112</c:v>
                </c:pt>
                <c:pt idx="12">
                  <c:v>330.97988265189008</c:v>
                </c:pt>
                <c:pt idx="13">
                  <c:v>341.24203283505301</c:v>
                </c:pt>
                <c:pt idx="14">
                  <c:v>351.3677970139185</c:v>
                </c:pt>
                <c:pt idx="15">
                  <c:v>361.69015525086729</c:v>
                </c:pt>
                <c:pt idx="16">
                  <c:v>372.75576750456992</c:v>
                </c:pt>
                <c:pt idx="17">
                  <c:v>384.62171190986908</c:v>
                </c:pt>
                <c:pt idx="18">
                  <c:v>396.74490984700105</c:v>
                </c:pt>
                <c:pt idx="19">
                  <c:v>408.35118802342163</c:v>
                </c:pt>
                <c:pt idx="20">
                  <c:v>417.41888218437919</c:v>
                </c:pt>
              </c:numCache>
            </c:numRef>
          </c:val>
        </c:ser>
        <c:marker val="1"/>
        <c:axId val="99857152"/>
        <c:axId val="99851264"/>
      </c:lineChart>
      <c:catAx>
        <c:axId val="99848192"/>
        <c:scaling>
          <c:orientation val="minMax"/>
        </c:scaling>
        <c:axPos val="b"/>
        <c:numFmt formatCode="General" sourceLinked="1"/>
        <c:tickLblPos val="nextTo"/>
        <c:txPr>
          <a:bodyPr/>
          <a:lstStyle/>
          <a:p>
            <a:pPr>
              <a:defRPr lang="en-ZA"/>
            </a:pPr>
            <a:endParaRPr lang="en-US"/>
          </a:p>
        </c:txPr>
        <c:crossAx val="99849728"/>
        <c:crosses val="autoZero"/>
        <c:auto val="1"/>
        <c:lblAlgn val="ctr"/>
        <c:lblOffset val="100"/>
      </c:catAx>
      <c:valAx>
        <c:axId val="99849728"/>
        <c:scaling>
          <c:orientation val="minMax"/>
        </c:scaling>
        <c:axPos val="l"/>
        <c:majorGridlines/>
        <c:numFmt formatCode="General" sourceLinked="1"/>
        <c:tickLblPos val="nextTo"/>
        <c:txPr>
          <a:bodyPr/>
          <a:lstStyle/>
          <a:p>
            <a:pPr>
              <a:defRPr lang="en-ZA"/>
            </a:pPr>
            <a:endParaRPr lang="en-US"/>
          </a:p>
        </c:txPr>
        <c:crossAx val="99848192"/>
        <c:crosses val="autoZero"/>
        <c:crossBetween val="between"/>
      </c:valAx>
      <c:valAx>
        <c:axId val="99851264"/>
        <c:scaling>
          <c:orientation val="minMax"/>
        </c:scaling>
        <c:axPos val="r"/>
        <c:numFmt formatCode="General" sourceLinked="1"/>
        <c:tickLblPos val="nextTo"/>
        <c:txPr>
          <a:bodyPr/>
          <a:lstStyle/>
          <a:p>
            <a:pPr>
              <a:defRPr lang="en-ZA"/>
            </a:pPr>
            <a:endParaRPr lang="en-US"/>
          </a:p>
        </c:txPr>
        <c:crossAx val="99857152"/>
        <c:crosses val="max"/>
        <c:crossBetween val="between"/>
      </c:valAx>
      <c:catAx>
        <c:axId val="99857152"/>
        <c:scaling>
          <c:orientation val="minMax"/>
        </c:scaling>
        <c:delete val="1"/>
        <c:axPos val="b"/>
        <c:numFmt formatCode="General" sourceLinked="1"/>
        <c:tickLblPos val="none"/>
        <c:crossAx val="99851264"/>
        <c:crosses val="autoZero"/>
        <c:auto val="1"/>
        <c:lblAlgn val="ctr"/>
        <c:lblOffset val="100"/>
      </c:catAx>
    </c:plotArea>
    <c:legend>
      <c:legendPos val="b"/>
      <c:txPr>
        <a:bodyPr/>
        <a:lstStyle/>
        <a:p>
          <a:pPr>
            <a:defRPr lang="en-ZA"/>
          </a:pPr>
          <a:endParaRPr lang="en-US"/>
        </a:p>
      </c:txPr>
    </c:legend>
    <c:plotVisOnly val="1"/>
  </c:chart>
  <c:printSettings>
    <c:headerFooter/>
    <c:pageMargins b="0.75000000000000078" l="0.70000000000000062" r="0.70000000000000062" t="0.75000000000000078" header="0.30000000000000032" footer="0.30000000000000032"/>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c:lang val="en-ZA"/>
  <c:chart>
    <c:plotArea>
      <c:layout/>
      <c:lineChart>
        <c:grouping val="standard"/>
        <c:ser>
          <c:idx val="0"/>
          <c:order val="0"/>
          <c:tx>
            <c:strRef>
              <c:f>'Investment Plan'!$BL$69</c:f>
              <c:strCache>
                <c:ptCount val="1"/>
                <c:pt idx="0">
                  <c:v>Peak Demand - units: GW</c:v>
                </c:pt>
              </c:strCache>
            </c:strRef>
          </c:tx>
          <c:marker>
            <c:symbol val="none"/>
          </c:marker>
          <c:cat>
            <c:numRef>
              <c:f>'Investment Plan'!$BM$9:$CG$9</c:f>
              <c:numCache>
                <c:formatCode>General</c:formatCode>
                <c:ptCount val="21"/>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numCache>
            </c:numRef>
          </c:cat>
          <c:val>
            <c:numRef>
              <c:f>'Investment Plan'!$BM$69:$CG$69</c:f>
              <c:numCache>
                <c:formatCode>General</c:formatCode>
                <c:ptCount val="21"/>
                <c:pt idx="0">
                  <c:v>38.824652367661919</c:v>
                </c:pt>
                <c:pt idx="1">
                  <c:v>39.571914629237234</c:v>
                </c:pt>
                <c:pt idx="2">
                  <c:v>40.465240113533476</c:v>
                </c:pt>
                <c:pt idx="3">
                  <c:v>41.494224317014336</c:v>
                </c:pt>
                <c:pt idx="4">
                  <c:v>42.754508637571043</c:v>
                </c:pt>
                <c:pt idx="5">
                  <c:v>43.999586376036262</c:v>
                </c:pt>
                <c:pt idx="6">
                  <c:v>45.313894080339054</c:v>
                </c:pt>
                <c:pt idx="7">
                  <c:v>46.606592431143419</c:v>
                </c:pt>
                <c:pt idx="8">
                  <c:v>47.970121440637108</c:v>
                </c:pt>
                <c:pt idx="9">
                  <c:v>49.397678164200236</c:v>
                </c:pt>
                <c:pt idx="10">
                  <c:v>50.832576878623705</c:v>
                </c:pt>
                <c:pt idx="11">
                  <c:v>52.342708157078782</c:v>
                </c:pt>
                <c:pt idx="12">
                  <c:v>53.875249135458155</c:v>
                </c:pt>
                <c:pt idx="13">
                  <c:v>55.513836015265028</c:v>
                </c:pt>
                <c:pt idx="14">
                  <c:v>57.209247491308531</c:v>
                </c:pt>
                <c:pt idx="15">
                  <c:v>58.979491358170705</c:v>
                </c:pt>
                <c:pt idx="16">
                  <c:v>60.891396542411499</c:v>
                </c:pt>
                <c:pt idx="17">
                  <c:v>62.884536888877911</c:v>
                </c:pt>
                <c:pt idx="18">
                  <c:v>64.940104256562037</c:v>
                </c:pt>
                <c:pt idx="19">
                  <c:v>67.039290504455948</c:v>
                </c:pt>
                <c:pt idx="20">
                  <c:v>68.567829750705968</c:v>
                </c:pt>
              </c:numCache>
            </c:numRef>
          </c:val>
        </c:ser>
        <c:marker val="1"/>
        <c:axId val="106112896"/>
        <c:axId val="106114432"/>
      </c:lineChart>
      <c:lineChart>
        <c:grouping val="standard"/>
        <c:ser>
          <c:idx val="1"/>
          <c:order val="1"/>
          <c:tx>
            <c:strRef>
              <c:f>'Investment Plan'!$BL$70</c:f>
              <c:strCache>
                <c:ptCount val="1"/>
                <c:pt idx="0">
                  <c:v>% renewable electricity (out) - units: percent</c:v>
                </c:pt>
              </c:strCache>
            </c:strRef>
          </c:tx>
          <c:marker>
            <c:symbol val="none"/>
          </c:marker>
          <c:cat>
            <c:numRef>
              <c:f>'Investment Plan'!$BM$9:$CG$9</c:f>
              <c:numCache>
                <c:formatCode>General</c:formatCode>
                <c:ptCount val="21"/>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numCache>
            </c:numRef>
          </c:cat>
          <c:val>
            <c:numRef>
              <c:f>'Investment Plan'!$BM$70:$CG$70</c:f>
              <c:numCache>
                <c:formatCode>General</c:formatCode>
                <c:ptCount val="21"/>
                <c:pt idx="0">
                  <c:v>1.2999999999999999E-2</c:v>
                </c:pt>
                <c:pt idx="1">
                  <c:v>1.4E-2</c:v>
                </c:pt>
                <c:pt idx="2">
                  <c:v>1.6E-2</c:v>
                </c:pt>
                <c:pt idx="3">
                  <c:v>0.02</c:v>
                </c:pt>
                <c:pt idx="4">
                  <c:v>2.3E-2</c:v>
                </c:pt>
                <c:pt idx="5">
                  <c:v>3.1E-2</c:v>
                </c:pt>
                <c:pt idx="6">
                  <c:v>4.1000000000000002E-2</c:v>
                </c:pt>
                <c:pt idx="7">
                  <c:v>5.5E-2</c:v>
                </c:pt>
                <c:pt idx="8">
                  <c:v>7.5999999999999998E-2</c:v>
                </c:pt>
                <c:pt idx="9">
                  <c:v>0.105</c:v>
                </c:pt>
                <c:pt idx="10">
                  <c:v>0.13900000000000001</c:v>
                </c:pt>
                <c:pt idx="11">
                  <c:v>0.18099999999999999</c:v>
                </c:pt>
                <c:pt idx="12">
                  <c:v>0.21199999999999999</c:v>
                </c:pt>
                <c:pt idx="13">
                  <c:v>0.255</c:v>
                </c:pt>
                <c:pt idx="14">
                  <c:v>0.29499999999999998</c:v>
                </c:pt>
                <c:pt idx="15">
                  <c:v>0.33300000000000002</c:v>
                </c:pt>
                <c:pt idx="16">
                  <c:v>0.36699999999999999</c:v>
                </c:pt>
                <c:pt idx="17">
                  <c:v>0.39900000000000002</c:v>
                </c:pt>
                <c:pt idx="18">
                  <c:v>0.42799999999999999</c:v>
                </c:pt>
                <c:pt idx="19">
                  <c:v>0.45500000000000002</c:v>
                </c:pt>
                <c:pt idx="20">
                  <c:v>0.48399999999999999</c:v>
                </c:pt>
              </c:numCache>
            </c:numRef>
          </c:val>
        </c:ser>
        <c:marker val="1"/>
        <c:axId val="106121856"/>
        <c:axId val="106120320"/>
      </c:lineChart>
      <c:catAx>
        <c:axId val="106112896"/>
        <c:scaling>
          <c:orientation val="minMax"/>
        </c:scaling>
        <c:axPos val="b"/>
        <c:numFmt formatCode="General" sourceLinked="1"/>
        <c:tickLblPos val="nextTo"/>
        <c:txPr>
          <a:bodyPr/>
          <a:lstStyle/>
          <a:p>
            <a:pPr>
              <a:defRPr lang="en-ZA"/>
            </a:pPr>
            <a:endParaRPr lang="en-US"/>
          </a:p>
        </c:txPr>
        <c:crossAx val="106114432"/>
        <c:crosses val="autoZero"/>
        <c:auto val="1"/>
        <c:lblAlgn val="ctr"/>
        <c:lblOffset val="100"/>
      </c:catAx>
      <c:valAx>
        <c:axId val="106114432"/>
        <c:scaling>
          <c:orientation val="minMax"/>
        </c:scaling>
        <c:axPos val="l"/>
        <c:majorGridlines/>
        <c:numFmt formatCode="General" sourceLinked="1"/>
        <c:tickLblPos val="nextTo"/>
        <c:txPr>
          <a:bodyPr/>
          <a:lstStyle/>
          <a:p>
            <a:pPr>
              <a:defRPr lang="en-ZA"/>
            </a:pPr>
            <a:endParaRPr lang="en-US"/>
          </a:p>
        </c:txPr>
        <c:crossAx val="106112896"/>
        <c:crosses val="autoZero"/>
        <c:crossBetween val="between"/>
      </c:valAx>
      <c:valAx>
        <c:axId val="106120320"/>
        <c:scaling>
          <c:orientation val="minMax"/>
        </c:scaling>
        <c:axPos val="r"/>
        <c:numFmt formatCode="General" sourceLinked="1"/>
        <c:tickLblPos val="nextTo"/>
        <c:txPr>
          <a:bodyPr/>
          <a:lstStyle/>
          <a:p>
            <a:pPr>
              <a:defRPr lang="en-ZA"/>
            </a:pPr>
            <a:endParaRPr lang="en-US"/>
          </a:p>
        </c:txPr>
        <c:crossAx val="106121856"/>
        <c:crosses val="max"/>
        <c:crossBetween val="between"/>
      </c:valAx>
      <c:catAx>
        <c:axId val="106121856"/>
        <c:scaling>
          <c:orientation val="minMax"/>
        </c:scaling>
        <c:delete val="1"/>
        <c:axPos val="b"/>
        <c:numFmt formatCode="General" sourceLinked="1"/>
        <c:tickLblPos val="none"/>
        <c:crossAx val="106120320"/>
        <c:crosses val="autoZero"/>
        <c:auto val="1"/>
        <c:lblAlgn val="ctr"/>
        <c:lblOffset val="100"/>
      </c:catAx>
    </c:plotArea>
    <c:legend>
      <c:legendPos val="b"/>
      <c:layout>
        <c:manualLayout>
          <c:xMode val="edge"/>
          <c:yMode val="edge"/>
          <c:x val="8.601597260235519E-2"/>
          <c:y val="0.78418648516393041"/>
          <c:w val="0.82796805479528968"/>
          <c:h val="0.21581351483606928"/>
        </c:manualLayout>
      </c:layout>
      <c:txPr>
        <a:bodyPr/>
        <a:lstStyle/>
        <a:p>
          <a:pPr>
            <a:defRPr lang="en-ZA"/>
          </a:pPr>
          <a:endParaRPr lang="en-US"/>
        </a:p>
      </c:txPr>
    </c:legend>
    <c:plotVisOnly val="1"/>
  </c:chart>
  <c:printSettings>
    <c:headerFooter/>
    <c:pageMargins b="0.750000000000001" l="0.70000000000000062" r="0.70000000000000062" t="0.750000000000001" header="0.30000000000000032" footer="0.30000000000000032"/>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c:lang val="en-ZA"/>
  <c:chart>
    <c:plotArea>
      <c:layout/>
      <c:lineChart>
        <c:grouping val="standard"/>
        <c:ser>
          <c:idx val="0"/>
          <c:order val="0"/>
          <c:tx>
            <c:strRef>
              <c:f>'Investment Plan'!$BL$128</c:f>
              <c:strCache>
                <c:ptCount val="1"/>
                <c:pt idx="0">
                  <c:v>Average cost (R/kWh) - R / kWh reference</c:v>
                </c:pt>
              </c:strCache>
            </c:strRef>
          </c:tx>
          <c:marker>
            <c:symbol val="none"/>
          </c:marker>
          <c:cat>
            <c:numRef>
              <c:f>'Investment Plan'!$BM$127:$CG$127</c:f>
              <c:numCache>
                <c:formatCode>General</c:formatCode>
                <c:ptCount val="21"/>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numCache>
            </c:numRef>
          </c:cat>
          <c:val>
            <c:numRef>
              <c:f>'Investment Plan'!$BM$128:$CG$128</c:f>
              <c:numCache>
                <c:formatCode>General</c:formatCode>
                <c:ptCount val="21"/>
                <c:pt idx="0">
                  <c:v>0.11213531685831545</c:v>
                </c:pt>
                <c:pt idx="1">
                  <c:v>0.11738717550437631</c:v>
                </c:pt>
                <c:pt idx="2">
                  <c:v>0.12412266262515818</c:v>
                </c:pt>
                <c:pt idx="3">
                  <c:v>0.13991373488358169</c:v>
                </c:pt>
                <c:pt idx="4">
                  <c:v>0.16133825436935464</c:v>
                </c:pt>
                <c:pt idx="5">
                  <c:v>0.17910195098757228</c:v>
                </c:pt>
                <c:pt idx="6">
                  <c:v>0.18958927150392835</c:v>
                </c:pt>
                <c:pt idx="7">
                  <c:v>0.19951484024610688</c:v>
                </c:pt>
                <c:pt idx="8">
                  <c:v>0.21443150843935896</c:v>
                </c:pt>
                <c:pt idx="9">
                  <c:v>0.22832938247221654</c:v>
                </c:pt>
                <c:pt idx="10">
                  <c:v>0.24063617274836691</c:v>
                </c:pt>
                <c:pt idx="11">
                  <c:v>0.25720924663182743</c:v>
                </c:pt>
                <c:pt idx="12">
                  <c:v>0.27349843720432687</c:v>
                </c:pt>
                <c:pt idx="13">
                  <c:v>0.2864678847559835</c:v>
                </c:pt>
                <c:pt idx="14">
                  <c:v>0.30062533612241965</c:v>
                </c:pt>
                <c:pt idx="15">
                  <c:v>0.31335625851087034</c:v>
                </c:pt>
                <c:pt idx="16">
                  <c:v>0.33193359951048179</c:v>
                </c:pt>
                <c:pt idx="17">
                  <c:v>0.34675757500063115</c:v>
                </c:pt>
                <c:pt idx="18">
                  <c:v>0.3604307712213598</c:v>
                </c:pt>
                <c:pt idx="19">
                  <c:v>0.37977339786638209</c:v>
                </c:pt>
                <c:pt idx="20">
                  <c:v>0.39690952391183165</c:v>
                </c:pt>
              </c:numCache>
            </c:numRef>
          </c:val>
        </c:ser>
        <c:ser>
          <c:idx val="1"/>
          <c:order val="1"/>
          <c:tx>
            <c:strRef>
              <c:f>'Investment Plan'!$BL$129</c:f>
              <c:strCache>
                <c:ptCount val="1"/>
                <c:pt idx="0">
                  <c:v>Average cost (R/kWh) - R / kWh scenario</c:v>
                </c:pt>
              </c:strCache>
            </c:strRef>
          </c:tx>
          <c:marker>
            <c:symbol val="none"/>
          </c:marker>
          <c:cat>
            <c:numRef>
              <c:f>'Investment Plan'!$BM$127:$CG$127</c:f>
              <c:numCache>
                <c:formatCode>General</c:formatCode>
                <c:ptCount val="21"/>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numCache>
            </c:numRef>
          </c:cat>
          <c:val>
            <c:numRef>
              <c:f>'Investment Plan'!$BM$129:$CG$129</c:f>
              <c:numCache>
                <c:formatCode>General</c:formatCode>
                <c:ptCount val="21"/>
                <c:pt idx="0">
                  <c:v>0.11213531685831545</c:v>
                </c:pt>
                <c:pt idx="1">
                  <c:v>0.11882478129616292</c:v>
                </c:pt>
                <c:pt idx="2">
                  <c:v>0.1268949691092762</c:v>
                </c:pt>
                <c:pt idx="3">
                  <c:v>0.14518051558366465</c:v>
                </c:pt>
                <c:pt idx="4">
                  <c:v>0.16848553004438802</c:v>
                </c:pt>
                <c:pt idx="5">
                  <c:v>0.1945187059306244</c:v>
                </c:pt>
                <c:pt idx="6">
                  <c:v>0.21424951956301871</c:v>
                </c:pt>
                <c:pt idx="7">
                  <c:v>0.22944592022538995</c:v>
                </c:pt>
                <c:pt idx="8">
                  <c:v>0.24435882027107403</c:v>
                </c:pt>
                <c:pt idx="9">
                  <c:v>0.266314274598487</c:v>
                </c:pt>
                <c:pt idx="10">
                  <c:v>0.29157930763711365</c:v>
                </c:pt>
                <c:pt idx="11">
                  <c:v>0.32196220212016691</c:v>
                </c:pt>
                <c:pt idx="12">
                  <c:v>0.34676167569557836</c:v>
                </c:pt>
                <c:pt idx="13">
                  <c:v>0.38184570652813377</c:v>
                </c:pt>
                <c:pt idx="14">
                  <c:v>0.41297116575118181</c:v>
                </c:pt>
                <c:pt idx="15">
                  <c:v>0.44043279825337994</c:v>
                </c:pt>
                <c:pt idx="16">
                  <c:v>0.46744601657030288</c:v>
                </c:pt>
                <c:pt idx="17">
                  <c:v>0.49551332361631439</c:v>
                </c:pt>
                <c:pt idx="18">
                  <c:v>0.52401939341596682</c:v>
                </c:pt>
                <c:pt idx="19">
                  <c:v>0.55694095727485204</c:v>
                </c:pt>
                <c:pt idx="20">
                  <c:v>0.58111484366678268</c:v>
                </c:pt>
              </c:numCache>
            </c:numRef>
          </c:val>
        </c:ser>
        <c:marker val="1"/>
        <c:axId val="106145280"/>
        <c:axId val="106146816"/>
      </c:lineChart>
      <c:catAx>
        <c:axId val="106145280"/>
        <c:scaling>
          <c:orientation val="minMax"/>
        </c:scaling>
        <c:axPos val="b"/>
        <c:numFmt formatCode="General" sourceLinked="1"/>
        <c:tickLblPos val="nextTo"/>
        <c:crossAx val="106146816"/>
        <c:crosses val="autoZero"/>
        <c:auto val="1"/>
        <c:lblAlgn val="ctr"/>
        <c:lblOffset val="100"/>
      </c:catAx>
      <c:valAx>
        <c:axId val="106146816"/>
        <c:scaling>
          <c:orientation val="minMax"/>
        </c:scaling>
        <c:axPos val="l"/>
        <c:majorGridlines/>
        <c:numFmt formatCode="General" sourceLinked="1"/>
        <c:tickLblPos val="nextTo"/>
        <c:crossAx val="106145280"/>
        <c:crosses val="autoZero"/>
        <c:crossBetween val="between"/>
      </c:valAx>
    </c:plotArea>
    <c:legend>
      <c:legendPos val="b"/>
      <c:layout>
        <c:manualLayout>
          <c:xMode val="edge"/>
          <c:yMode val="edge"/>
          <c:x val="3.4890400604686317E-2"/>
          <c:y val="0.86132710393298029"/>
          <c:w val="0.92114890400604688"/>
          <c:h val="0.11821253801075375"/>
        </c:manualLayout>
      </c:layout>
    </c:legend>
    <c:plotVisOnly val="1"/>
  </c:chart>
  <c:printSettings>
    <c:headerFooter/>
    <c:pageMargins b="0.75000000000000011" l="0.70000000000000007" r="0.70000000000000007" t="0.75000000000000011" header="0.30000000000000004" footer="0.30000000000000004"/>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c:lang val="en-ZA"/>
  <c:chart>
    <c:autoTitleDeleted val="1"/>
    <c:plotArea>
      <c:layout/>
      <c:lineChart>
        <c:grouping val="standard"/>
        <c:ser>
          <c:idx val="0"/>
          <c:order val="0"/>
          <c:tx>
            <c:strRef>
              <c:f>'Investment Plan'!$BL$137</c:f>
              <c:strCache>
                <c:ptCount val="1"/>
                <c:pt idx="0">
                  <c:v>Scenario / reference - Average cost (R/kWh) R / kWh</c:v>
                </c:pt>
              </c:strCache>
            </c:strRef>
          </c:tx>
          <c:marker>
            <c:symbol val="none"/>
          </c:marker>
          <c:cat>
            <c:numRef>
              <c:f>'Investment Plan'!$BM$136:$CG$136</c:f>
              <c:numCache>
                <c:formatCode>General</c:formatCode>
                <c:ptCount val="21"/>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numCache>
            </c:numRef>
          </c:cat>
          <c:val>
            <c:numRef>
              <c:f>'Investment Plan'!$BM$137:$CG$137</c:f>
              <c:numCache>
                <c:formatCode>General</c:formatCode>
                <c:ptCount val="21"/>
                <c:pt idx="0">
                  <c:v>1</c:v>
                </c:pt>
                <c:pt idx="1">
                  <c:v>1.0122467022961381</c:v>
                </c:pt>
                <c:pt idx="2">
                  <c:v>1.0223352160313397</c:v>
                </c:pt>
                <c:pt idx="3">
                  <c:v>1.0376430570198509</c:v>
                </c:pt>
                <c:pt idx="4">
                  <c:v>1.0442999442566856</c:v>
                </c:pt>
                <c:pt idx="5">
                  <c:v>1.0860780960678751</c:v>
                </c:pt>
                <c:pt idx="6">
                  <c:v>1.1300719595759372</c:v>
                </c:pt>
                <c:pt idx="7">
                  <c:v>1.1500193165699468</c:v>
                </c:pt>
                <c:pt idx="8">
                  <c:v>1.1395658317638448</c:v>
                </c:pt>
                <c:pt idx="9">
                  <c:v>1.1663600703290673</c:v>
                </c:pt>
                <c:pt idx="10">
                  <c:v>1.2117018996226221</c:v>
                </c:pt>
                <c:pt idx="11">
                  <c:v>1.2517520514378229</c:v>
                </c:pt>
                <c:pt idx="12">
                  <c:v>1.2678744318985544</c:v>
                </c:pt>
                <c:pt idx="13">
                  <c:v>1.3329442036875936</c:v>
                </c:pt>
                <c:pt idx="14">
                  <c:v>1.3737071235506679</c:v>
                </c:pt>
                <c:pt idx="15">
                  <c:v>1.405533753646415</c:v>
                </c:pt>
                <c:pt idx="16">
                  <c:v>1.4082515818213874</c:v>
                </c:pt>
                <c:pt idx="17">
                  <c:v>1.4289906244021129</c:v>
                </c:pt>
                <c:pt idx="18">
                  <c:v>1.453869744917363</c:v>
                </c:pt>
                <c:pt idx="19">
                  <c:v>1.4665086085645311</c:v>
                </c:pt>
                <c:pt idx="20">
                  <c:v>1.4640990166712902</c:v>
                </c:pt>
              </c:numCache>
            </c:numRef>
          </c:val>
        </c:ser>
        <c:marker val="1"/>
        <c:axId val="106244736"/>
        <c:axId val="106246528"/>
      </c:lineChart>
      <c:catAx>
        <c:axId val="106244736"/>
        <c:scaling>
          <c:orientation val="minMax"/>
        </c:scaling>
        <c:axPos val="b"/>
        <c:numFmt formatCode="General" sourceLinked="1"/>
        <c:tickLblPos val="nextTo"/>
        <c:txPr>
          <a:bodyPr rot="-5400000" vert="horz"/>
          <a:lstStyle/>
          <a:p>
            <a:pPr>
              <a:defRPr/>
            </a:pPr>
            <a:endParaRPr lang="en-US"/>
          </a:p>
        </c:txPr>
        <c:crossAx val="106246528"/>
        <c:crosses val="autoZero"/>
        <c:auto val="1"/>
        <c:lblAlgn val="ctr"/>
        <c:lblOffset val="100"/>
      </c:catAx>
      <c:valAx>
        <c:axId val="106246528"/>
        <c:scaling>
          <c:orientation val="minMax"/>
        </c:scaling>
        <c:axPos val="l"/>
        <c:majorGridlines/>
        <c:numFmt formatCode="General" sourceLinked="1"/>
        <c:tickLblPos val="nextTo"/>
        <c:crossAx val="106244736"/>
        <c:crosses val="autoZero"/>
        <c:crossBetween val="between"/>
      </c:valAx>
    </c:plotArea>
    <c:legend>
      <c:legendPos val="b"/>
    </c:legend>
    <c:plotVisOnly val="1"/>
  </c:chart>
  <c:printSettings>
    <c:headerFooter/>
    <c:pageMargins b="0.75000000000000011" l="0.70000000000000007" r="0.70000000000000007" t="0.75000000000000011" header="0.30000000000000004" footer="0.30000000000000004"/>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050" b="1" i="0" u="none" strike="noStrike" baseline="0">
                <a:solidFill>
                  <a:srgbClr val="000000"/>
                </a:solidFill>
                <a:latin typeface="Calibri"/>
                <a:ea typeface="Calibri"/>
                <a:cs typeface="Calibri"/>
              </a:defRPr>
            </a:pPr>
            <a:r>
              <a:rPr lang="en-ZA"/>
              <a:t>Electricity system costs and average electricity cost</a:t>
            </a:r>
          </a:p>
        </c:rich>
      </c:tx>
      <c:overlay val="1"/>
    </c:title>
    <c:plotArea>
      <c:layout>
        <c:manualLayout>
          <c:layoutTarget val="inner"/>
          <c:xMode val="edge"/>
          <c:yMode val="edge"/>
          <c:x val="0.14896062992125983"/>
          <c:y val="6.5850887763337612E-2"/>
          <c:w val="0.70378696412948383"/>
          <c:h val="0.49487289499769627"/>
        </c:manualLayout>
      </c:layout>
      <c:areaChart>
        <c:grouping val="stacked"/>
        <c:ser>
          <c:idx val="0"/>
          <c:order val="0"/>
          <c:tx>
            <c:strRef>
              <c:f>'Output tables'!$A$110</c:f>
              <c:strCache>
                <c:ptCount val="1"/>
                <c:pt idx="0">
                  <c:v>Existing coal Large</c:v>
                </c:pt>
              </c:strCache>
            </c:strRef>
          </c:tx>
          <c:cat>
            <c:numRef>
              <c:f>'Output tables'!$B$109:$AA$109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tables'!$B$110:$AA$110</c:f>
              <c:numCache>
                <c:formatCode>General</c:formatCode>
                <c:ptCount val="26"/>
                <c:pt idx="0">
                  <c:v>16255.848534235311</c:v>
                </c:pt>
                <c:pt idx="1">
                  <c:v>17848.075230169379</c:v>
                </c:pt>
                <c:pt idx="2">
                  <c:v>19881.448596266746</c:v>
                </c:pt>
                <c:pt idx="3">
                  <c:v>20778.472732023358</c:v>
                </c:pt>
                <c:pt idx="4">
                  <c:v>20778.472732023358</c:v>
                </c:pt>
                <c:pt idx="5">
                  <c:v>21202.080907823816</c:v>
                </c:pt>
                <c:pt idx="6">
                  <c:v>21544.21256869131</c:v>
                </c:pt>
                <c:pt idx="7">
                  <c:v>21918.855286541409</c:v>
                </c:pt>
                <c:pt idx="8">
                  <c:v>22275.182280814239</c:v>
                </c:pt>
                <c:pt idx="9">
                  <c:v>22369.252860877034</c:v>
                </c:pt>
                <c:pt idx="10">
                  <c:v>22449.36221189766</c:v>
                </c:pt>
                <c:pt idx="11">
                  <c:v>22529.47156291829</c:v>
                </c:pt>
                <c:pt idx="12">
                  <c:v>22609.580913938917</c:v>
                </c:pt>
                <c:pt idx="13">
                  <c:v>22689.690264959547</c:v>
                </c:pt>
                <c:pt idx="14">
                  <c:v>22769.799615980173</c:v>
                </c:pt>
                <c:pt idx="15">
                  <c:v>22849.908967000803</c:v>
                </c:pt>
                <c:pt idx="16">
                  <c:v>22930.01831802143</c:v>
                </c:pt>
                <c:pt idx="17">
                  <c:v>23010.127669042056</c:v>
                </c:pt>
                <c:pt idx="18">
                  <c:v>23090.237020062686</c:v>
                </c:pt>
                <c:pt idx="19">
                  <c:v>22303.482964466039</c:v>
                </c:pt>
                <c:pt idx="20">
                  <c:v>21510.734707158685</c:v>
                </c:pt>
                <c:pt idx="21">
                  <c:v>20493.777846058623</c:v>
                </c:pt>
                <c:pt idx="22">
                  <c:v>19469.328232820168</c:v>
                </c:pt>
                <c:pt idx="23">
                  <c:v>18206.109075327888</c:v>
                </c:pt>
                <c:pt idx="24">
                  <c:v>15599.443102709989</c:v>
                </c:pt>
                <c:pt idx="25">
                  <c:v>14313.548511114688</c:v>
                </c:pt>
              </c:numCache>
            </c:numRef>
          </c:val>
        </c:ser>
        <c:ser>
          <c:idx val="1"/>
          <c:order val="1"/>
          <c:tx>
            <c:strRef>
              <c:f>'Output tables'!$A$111</c:f>
              <c:strCache>
                <c:ptCount val="1"/>
                <c:pt idx="0">
                  <c:v>Existing coal Small</c:v>
                </c:pt>
              </c:strCache>
            </c:strRef>
          </c:tx>
          <c:cat>
            <c:numRef>
              <c:f>'Output tables'!$B$109:$AA$109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tables'!$B$111:$AA$111</c:f>
              <c:numCache>
                <c:formatCode>General</c:formatCode>
                <c:ptCount val="26"/>
                <c:pt idx="0">
                  <c:v>2346.7001846771027</c:v>
                </c:pt>
                <c:pt idx="1">
                  <c:v>2456.5429896070436</c:v>
                </c:pt>
                <c:pt idx="2">
                  <c:v>2566.3857945369841</c:v>
                </c:pt>
                <c:pt idx="3">
                  <c:v>2680.9661728977972</c:v>
                </c:pt>
                <c:pt idx="4">
                  <c:v>2680.9661728977972</c:v>
                </c:pt>
                <c:pt idx="5">
                  <c:v>3024.8324517331271</c:v>
                </c:pt>
                <c:pt idx="6">
                  <c:v>3231.974476853894</c:v>
                </c:pt>
                <c:pt idx="7">
                  <c:v>3239.3546044048408</c:v>
                </c:pt>
                <c:pt idx="8">
                  <c:v>3246.7347319557866</c:v>
                </c:pt>
                <c:pt idx="9">
                  <c:v>3254.1148595067334</c:v>
                </c:pt>
                <c:pt idx="10">
                  <c:v>3261.4949870576793</c:v>
                </c:pt>
                <c:pt idx="11">
                  <c:v>3250.078233359066</c:v>
                </c:pt>
                <c:pt idx="12">
                  <c:v>3238.5766043585108</c:v>
                </c:pt>
                <c:pt idx="13">
                  <c:v>3220.6961812055124</c:v>
                </c:pt>
                <c:pt idx="14">
                  <c:v>3202.7025909832582</c:v>
                </c:pt>
                <c:pt idx="15">
                  <c:v>2729.3966692090917</c:v>
                </c:pt>
                <c:pt idx="16">
                  <c:v>2253.9405731190573</c:v>
                </c:pt>
                <c:pt idx="17">
                  <c:v>2258.9724839829387</c:v>
                </c:pt>
                <c:pt idx="18">
                  <c:v>2264.0043948468197</c:v>
                </c:pt>
                <c:pt idx="19">
                  <c:v>2269.0363057107006</c:v>
                </c:pt>
                <c:pt idx="20">
                  <c:v>2050.2016630437815</c:v>
                </c:pt>
                <c:pt idx="21">
                  <c:v>1830.3763055561185</c:v>
                </c:pt>
                <c:pt idx="22">
                  <c:v>1834.4175015992557</c:v>
                </c:pt>
                <c:pt idx="23">
                  <c:v>1838.458697642393</c:v>
                </c:pt>
                <c:pt idx="24">
                  <c:v>1842.4998936855307</c:v>
                </c:pt>
                <c:pt idx="25">
                  <c:v>1846.5410897286679</c:v>
                </c:pt>
              </c:numCache>
            </c:numRef>
          </c:val>
        </c:ser>
        <c:ser>
          <c:idx val="2"/>
          <c:order val="2"/>
          <c:tx>
            <c:strRef>
              <c:f>'Output tables'!$A$112</c:f>
              <c:strCache>
                <c:ptCount val="1"/>
                <c:pt idx="0">
                  <c:v>OCGT liquid fuels</c:v>
                </c:pt>
              </c:strCache>
            </c:strRef>
          </c:tx>
          <c:cat>
            <c:numRef>
              <c:f>'Output tables'!$B$109:$AA$109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tables'!$B$112:$AA$112</c:f>
              <c:numCache>
                <c:formatCode>General</c:formatCode>
                <c:ptCount val="26"/>
                <c:pt idx="0">
                  <c:v>1203.429722858983</c:v>
                </c:pt>
                <c:pt idx="1">
                  <c:v>1333.4299474905283</c:v>
                </c:pt>
                <c:pt idx="2">
                  <c:v>1333.1218239168195</c:v>
                </c:pt>
                <c:pt idx="3">
                  <c:v>1771.1195126279106</c:v>
                </c:pt>
                <c:pt idx="4">
                  <c:v>1291.5694060722121</c:v>
                </c:pt>
                <c:pt idx="5">
                  <c:v>1344.4644260844339</c:v>
                </c:pt>
                <c:pt idx="6">
                  <c:v>2707.0090326218919</c:v>
                </c:pt>
                <c:pt idx="7">
                  <c:v>2783.7068116396131</c:v>
                </c:pt>
                <c:pt idx="8">
                  <c:v>2860.4045906573351</c:v>
                </c:pt>
                <c:pt idx="9">
                  <c:v>2937.1023696750563</c:v>
                </c:pt>
                <c:pt idx="10">
                  <c:v>3013.8001486927778</c:v>
                </c:pt>
                <c:pt idx="11">
                  <c:v>3090.4979277104985</c:v>
                </c:pt>
                <c:pt idx="12">
                  <c:v>3167.1957067282201</c:v>
                </c:pt>
                <c:pt idx="13">
                  <c:v>3243.8934857459412</c:v>
                </c:pt>
                <c:pt idx="14">
                  <c:v>3320.5912647636628</c:v>
                </c:pt>
                <c:pt idx="15">
                  <c:v>3397.2890437813844</c:v>
                </c:pt>
                <c:pt idx="16">
                  <c:v>3473.9868227991051</c:v>
                </c:pt>
                <c:pt idx="17">
                  <c:v>3550.6846018168262</c:v>
                </c:pt>
                <c:pt idx="18">
                  <c:v>4690.9041772287037</c:v>
                </c:pt>
                <c:pt idx="19">
                  <c:v>4783.4704622500922</c:v>
                </c:pt>
                <c:pt idx="20">
                  <c:v>4876.0367472714797</c:v>
                </c:pt>
                <c:pt idx="21">
                  <c:v>6079.7303466980229</c:v>
                </c:pt>
                <c:pt idx="22">
                  <c:v>6188.1651377230755</c:v>
                </c:pt>
                <c:pt idx="23">
                  <c:v>6296.59992874813</c:v>
                </c:pt>
                <c:pt idx="24">
                  <c:v>7563.7675521893389</c:v>
                </c:pt>
                <c:pt idx="25">
                  <c:v>7516.9023553421284</c:v>
                </c:pt>
              </c:numCache>
            </c:numRef>
          </c:val>
        </c:ser>
        <c:ser>
          <c:idx val="3"/>
          <c:order val="3"/>
          <c:tx>
            <c:strRef>
              <c:f>'Output tables'!$A$113</c:f>
              <c:strCache>
                <c:ptCount val="1"/>
                <c:pt idx="0">
                  <c:v>PWR nuclear</c:v>
                </c:pt>
              </c:strCache>
            </c:strRef>
          </c:tx>
          <c:cat>
            <c:numRef>
              <c:f>'Output tables'!$B$109:$AA$109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tables'!$B$113:$AA$113</c:f>
              <c:numCache>
                <c:formatCode>General</c:formatCode>
                <c:ptCount val="26"/>
                <c:pt idx="0">
                  <c:v>1841.3944454507421</c:v>
                </c:pt>
                <c:pt idx="1">
                  <c:v>1914.0285561278479</c:v>
                </c:pt>
                <c:pt idx="2">
                  <c:v>1986.6626668049537</c:v>
                </c:pt>
                <c:pt idx="3">
                  <c:v>2059.2967774820595</c:v>
                </c:pt>
                <c:pt idx="4">
                  <c:v>2168.8768214349784</c:v>
                </c:pt>
                <c:pt idx="5">
                  <c:v>2172.6932566352129</c:v>
                </c:pt>
                <c:pt idx="6">
                  <c:v>2176.5287740114481</c:v>
                </c:pt>
                <c:pt idx="7">
                  <c:v>2180.3834689745649</c:v>
                </c:pt>
                <c:pt idx="8">
                  <c:v>2184.257437412497</c:v>
                </c:pt>
                <c:pt idx="9">
                  <c:v>2188.1507756926189</c:v>
                </c:pt>
                <c:pt idx="10">
                  <c:v>2192.0635806641412</c:v>
                </c:pt>
                <c:pt idx="11">
                  <c:v>2195.9959496605215</c:v>
                </c:pt>
                <c:pt idx="12">
                  <c:v>2199.9479805018836</c:v>
                </c:pt>
                <c:pt idx="13">
                  <c:v>2203.9197714974525</c:v>
                </c:pt>
                <c:pt idx="14">
                  <c:v>2207.9114214479987</c:v>
                </c:pt>
                <c:pt idx="15">
                  <c:v>2211.9230296482983</c:v>
                </c:pt>
                <c:pt idx="16">
                  <c:v>2215.9546958895994</c:v>
                </c:pt>
                <c:pt idx="17">
                  <c:v>2220.0065204621064</c:v>
                </c:pt>
                <c:pt idx="18">
                  <c:v>2224.0786041574765</c:v>
                </c:pt>
                <c:pt idx="19">
                  <c:v>2228.1710482713233</c:v>
                </c:pt>
                <c:pt idx="20">
                  <c:v>2232.2839546057394</c:v>
                </c:pt>
                <c:pt idx="21">
                  <c:v>2236.4174254718273</c:v>
                </c:pt>
                <c:pt idx="22">
                  <c:v>2240.5715636922455</c:v>
                </c:pt>
                <c:pt idx="23">
                  <c:v>2244.7464726037661</c:v>
                </c:pt>
                <c:pt idx="24">
                  <c:v>2248.9422560598446</c:v>
                </c:pt>
                <c:pt idx="25">
                  <c:v>2253.1590184332031</c:v>
                </c:pt>
              </c:numCache>
            </c:numRef>
          </c:val>
        </c:ser>
        <c:ser>
          <c:idx val="4"/>
          <c:order val="4"/>
          <c:tx>
            <c:strRef>
              <c:f>'Output tables'!$A$114</c:f>
              <c:strCache>
                <c:ptCount val="1"/>
                <c:pt idx="0">
                  <c:v>Hydro</c:v>
                </c:pt>
              </c:strCache>
            </c:strRef>
          </c:tx>
          <c:cat>
            <c:numRef>
              <c:f>'Output tables'!$B$109:$AA$109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tables'!$B$114:$AA$114</c:f>
              <c:numCache>
                <c:formatCode>General</c:formatCode>
                <c:ptCount val="26"/>
                <c:pt idx="0">
                  <c:v>86.627408640520088</c:v>
                </c:pt>
                <c:pt idx="1">
                  <c:v>86.627408640520088</c:v>
                </c:pt>
                <c:pt idx="2">
                  <c:v>86.627408640520088</c:v>
                </c:pt>
                <c:pt idx="3">
                  <c:v>86.627408640520088</c:v>
                </c:pt>
                <c:pt idx="4">
                  <c:v>86.627408640520088</c:v>
                </c:pt>
                <c:pt idx="5">
                  <c:v>86.627408640520088</c:v>
                </c:pt>
                <c:pt idx="6">
                  <c:v>86.627408640520088</c:v>
                </c:pt>
                <c:pt idx="7">
                  <c:v>86.627408640520088</c:v>
                </c:pt>
                <c:pt idx="8">
                  <c:v>86.627408640520088</c:v>
                </c:pt>
                <c:pt idx="9">
                  <c:v>86.627408640520088</c:v>
                </c:pt>
                <c:pt idx="10">
                  <c:v>86.627408640520088</c:v>
                </c:pt>
                <c:pt idx="11">
                  <c:v>86.627408640520088</c:v>
                </c:pt>
                <c:pt idx="12">
                  <c:v>86.627408640520088</c:v>
                </c:pt>
                <c:pt idx="13">
                  <c:v>86.627408640520088</c:v>
                </c:pt>
                <c:pt idx="14">
                  <c:v>86.627408640520088</c:v>
                </c:pt>
                <c:pt idx="15">
                  <c:v>86.627408640520088</c:v>
                </c:pt>
                <c:pt idx="16">
                  <c:v>86.627408640520088</c:v>
                </c:pt>
                <c:pt idx="17">
                  <c:v>86.627408640520088</c:v>
                </c:pt>
                <c:pt idx="18">
                  <c:v>86.627408640520088</c:v>
                </c:pt>
                <c:pt idx="19">
                  <c:v>86.627408640520088</c:v>
                </c:pt>
                <c:pt idx="20">
                  <c:v>86.627408640520088</c:v>
                </c:pt>
                <c:pt idx="21">
                  <c:v>86.627408640520088</c:v>
                </c:pt>
                <c:pt idx="22">
                  <c:v>86.627408640520088</c:v>
                </c:pt>
                <c:pt idx="23">
                  <c:v>86.627408640520088</c:v>
                </c:pt>
                <c:pt idx="24">
                  <c:v>86.627408640520088</c:v>
                </c:pt>
                <c:pt idx="25">
                  <c:v>86.627408640520088</c:v>
                </c:pt>
              </c:numCache>
            </c:numRef>
          </c:val>
        </c:ser>
        <c:ser>
          <c:idx val="5"/>
          <c:order val="5"/>
          <c:tx>
            <c:strRef>
              <c:f>'Output tables'!$A$115</c:f>
              <c:strCache>
                <c:ptCount val="1"/>
                <c:pt idx="0">
                  <c:v>Landfill gas</c:v>
                </c:pt>
              </c:strCache>
            </c:strRef>
          </c:tx>
          <c:cat>
            <c:numRef>
              <c:f>'Output tables'!$B$109:$AA$109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tables'!$B$115:$AA$115</c:f>
              <c:numCache>
                <c:formatCode>General</c:formatCode>
                <c:ptCount val="26"/>
                <c:pt idx="0">
                  <c:v>66.755984508378774</c:v>
                </c:pt>
                <c:pt idx="1">
                  <c:v>66.755984508378774</c:v>
                </c:pt>
                <c:pt idx="2">
                  <c:v>66.755984508378774</c:v>
                </c:pt>
                <c:pt idx="3">
                  <c:v>66.755984508378774</c:v>
                </c:pt>
                <c:pt idx="4">
                  <c:v>66.755984508378774</c:v>
                </c:pt>
                <c:pt idx="5">
                  <c:v>66.755984508378774</c:v>
                </c:pt>
                <c:pt idx="6">
                  <c:v>66.755984508378774</c:v>
                </c:pt>
                <c:pt idx="7">
                  <c:v>66.755984508378774</c:v>
                </c:pt>
                <c:pt idx="8">
                  <c:v>66.755984508378774</c:v>
                </c:pt>
                <c:pt idx="9">
                  <c:v>66.755984508378774</c:v>
                </c:pt>
                <c:pt idx="10">
                  <c:v>66.755984508378774</c:v>
                </c:pt>
                <c:pt idx="11">
                  <c:v>66.755984508378774</c:v>
                </c:pt>
                <c:pt idx="12">
                  <c:v>66.755984508378774</c:v>
                </c:pt>
                <c:pt idx="13">
                  <c:v>66.755984508378774</c:v>
                </c:pt>
                <c:pt idx="14">
                  <c:v>66.755984508378774</c:v>
                </c:pt>
                <c:pt idx="15">
                  <c:v>66.755984508378774</c:v>
                </c:pt>
                <c:pt idx="16">
                  <c:v>66.755984508378774</c:v>
                </c:pt>
                <c:pt idx="17">
                  <c:v>66.755984508378774</c:v>
                </c:pt>
                <c:pt idx="18">
                  <c:v>66.755984508378774</c:v>
                </c:pt>
                <c:pt idx="19">
                  <c:v>66.755984508378774</c:v>
                </c:pt>
                <c:pt idx="20">
                  <c:v>66.755984508378774</c:v>
                </c:pt>
                <c:pt idx="21">
                  <c:v>66.755984508378774</c:v>
                </c:pt>
                <c:pt idx="22">
                  <c:v>66.755984508378774</c:v>
                </c:pt>
                <c:pt idx="23">
                  <c:v>66.755984508378774</c:v>
                </c:pt>
                <c:pt idx="24">
                  <c:v>66.755984508378774</c:v>
                </c:pt>
                <c:pt idx="25">
                  <c:v>66.755984508378774</c:v>
                </c:pt>
              </c:numCache>
            </c:numRef>
          </c:val>
        </c:ser>
        <c:ser>
          <c:idx val="6"/>
          <c:order val="6"/>
          <c:tx>
            <c:strRef>
              <c:f>'Output tables'!$A$116</c:f>
              <c:strCache>
                <c:ptCount val="1"/>
                <c:pt idx="0">
                  <c:v>Biomass</c:v>
                </c:pt>
              </c:strCache>
            </c:strRef>
          </c:tx>
          <c:cat>
            <c:numRef>
              <c:f>'Output tables'!$B$109:$AA$109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tables'!$B$116:$AA$116</c:f>
              <c:numCache>
                <c:formatCode>General</c:formatCode>
                <c:ptCount val="26"/>
                <c:pt idx="0">
                  <c:v>186.22474442860573</c:v>
                </c:pt>
                <c:pt idx="1">
                  <c:v>186.22474442860408</c:v>
                </c:pt>
                <c:pt idx="2">
                  <c:v>186.22474442860408</c:v>
                </c:pt>
                <c:pt idx="3">
                  <c:v>186.22474442860408</c:v>
                </c:pt>
                <c:pt idx="4">
                  <c:v>186.22474442860408</c:v>
                </c:pt>
                <c:pt idx="5">
                  <c:v>186.22474442860408</c:v>
                </c:pt>
                <c:pt idx="6">
                  <c:v>186.22474442860408</c:v>
                </c:pt>
                <c:pt idx="7">
                  <c:v>186.22474442860408</c:v>
                </c:pt>
                <c:pt idx="8">
                  <c:v>186.22474442860408</c:v>
                </c:pt>
                <c:pt idx="9">
                  <c:v>186.22474442860408</c:v>
                </c:pt>
                <c:pt idx="10">
                  <c:v>186.22474442860408</c:v>
                </c:pt>
                <c:pt idx="11">
                  <c:v>186.22474442860408</c:v>
                </c:pt>
                <c:pt idx="12">
                  <c:v>186.22474442860408</c:v>
                </c:pt>
                <c:pt idx="13">
                  <c:v>186.22474442860408</c:v>
                </c:pt>
                <c:pt idx="14">
                  <c:v>186.22474442860408</c:v>
                </c:pt>
                <c:pt idx="15">
                  <c:v>186.22474442860408</c:v>
                </c:pt>
                <c:pt idx="16">
                  <c:v>186.22474442860408</c:v>
                </c:pt>
                <c:pt idx="17">
                  <c:v>186.22474442860408</c:v>
                </c:pt>
                <c:pt idx="18">
                  <c:v>186.22474442860408</c:v>
                </c:pt>
                <c:pt idx="19">
                  <c:v>186.22474442860408</c:v>
                </c:pt>
                <c:pt idx="20">
                  <c:v>186.22474442860408</c:v>
                </c:pt>
                <c:pt idx="21">
                  <c:v>186.22474442860408</c:v>
                </c:pt>
                <c:pt idx="22">
                  <c:v>186.22474442860408</c:v>
                </c:pt>
                <c:pt idx="23">
                  <c:v>186.22474442860408</c:v>
                </c:pt>
                <c:pt idx="24">
                  <c:v>186.22474442860408</c:v>
                </c:pt>
                <c:pt idx="25">
                  <c:v>186.22474442860408</c:v>
                </c:pt>
              </c:numCache>
            </c:numRef>
          </c:val>
        </c:ser>
        <c:ser>
          <c:idx val="7"/>
          <c:order val="7"/>
          <c:tx>
            <c:strRef>
              <c:f>'Output tables'!$A$117</c:f>
              <c:strCache>
                <c:ptCount val="1"/>
                <c:pt idx="0">
                  <c:v>Supercritical coal</c:v>
                </c:pt>
              </c:strCache>
            </c:strRef>
          </c:tx>
          <c:cat>
            <c:numRef>
              <c:f>'Output tables'!$B$109:$AA$109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tables'!$B$117:$AA$117</c:f>
              <c:numCache>
                <c:formatCode>General</c:formatCode>
                <c:ptCount val="26"/>
                <c:pt idx="0">
                  <c:v>0</c:v>
                </c:pt>
                <c:pt idx="1">
                  <c:v>0</c:v>
                </c:pt>
                <c:pt idx="2">
                  <c:v>0</c:v>
                </c:pt>
                <c:pt idx="3">
                  <c:v>0</c:v>
                </c:pt>
                <c:pt idx="4">
                  <c:v>0</c:v>
                </c:pt>
                <c:pt idx="5">
                  <c:v>0</c:v>
                </c:pt>
                <c:pt idx="6">
                  <c:v>0</c:v>
                </c:pt>
                <c:pt idx="7">
                  <c:v>2017.0741489649656</c:v>
                </c:pt>
                <c:pt idx="8">
                  <c:v>6042.9945992936546</c:v>
                </c:pt>
                <c:pt idx="9">
                  <c:v>12439.591951574404</c:v>
                </c:pt>
                <c:pt idx="10">
                  <c:v>18788.423797161042</c:v>
                </c:pt>
                <c:pt idx="11">
                  <c:v>23359.379437289736</c:v>
                </c:pt>
                <c:pt idx="12">
                  <c:v>27912.341672893061</c:v>
                </c:pt>
                <c:pt idx="13">
                  <c:v>34328.620601601884</c:v>
                </c:pt>
                <c:pt idx="14">
                  <c:v>40781.521193336659</c:v>
                </c:pt>
                <c:pt idx="15">
                  <c:v>47430.696757504877</c:v>
                </c:pt>
                <c:pt idx="16">
                  <c:v>55925.865082017495</c:v>
                </c:pt>
                <c:pt idx="17">
                  <c:v>64214.669569650039</c:v>
                </c:pt>
                <c:pt idx="18">
                  <c:v>70756.573268164022</c:v>
                </c:pt>
                <c:pt idx="19">
                  <c:v>80061.729588537331</c:v>
                </c:pt>
                <c:pt idx="20">
                  <c:v>89516.683011088913</c:v>
                </c:pt>
                <c:pt idx="21">
                  <c:v>101058.7636176855</c:v>
                </c:pt>
                <c:pt idx="22">
                  <c:v>112577.76277643123</c:v>
                </c:pt>
                <c:pt idx="23">
                  <c:v>124385.08279082377</c:v>
                </c:pt>
                <c:pt idx="24">
                  <c:v>139386.36566762257</c:v>
                </c:pt>
                <c:pt idx="25">
                  <c:v>152604.86670531984</c:v>
                </c:pt>
              </c:numCache>
            </c:numRef>
          </c:val>
        </c:ser>
        <c:ser>
          <c:idx val="8"/>
          <c:order val="8"/>
          <c:tx>
            <c:strRef>
              <c:f>'Output tables'!$A$118</c:f>
              <c:strCache>
                <c:ptCount val="1"/>
                <c:pt idx="0">
                  <c:v>Wind 30% </c:v>
                </c:pt>
              </c:strCache>
            </c:strRef>
          </c:tx>
          <c:cat>
            <c:numRef>
              <c:f>'Output tables'!$B$109:$AA$109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tables'!$B$118:$AA$118</c:f>
              <c:numCache>
                <c:formatCode>General</c:formatCode>
                <c:ptCount val="26"/>
                <c:pt idx="0">
                  <c:v>0</c:v>
                </c:pt>
                <c:pt idx="1">
                  <c:v>0</c:v>
                </c:pt>
                <c:pt idx="2">
                  <c:v>0</c:v>
                </c:pt>
                <c:pt idx="3">
                  <c:v>0</c:v>
                </c:pt>
                <c:pt idx="4">
                  <c:v>0</c:v>
                </c:pt>
                <c:pt idx="5">
                  <c:v>208.54071752916499</c:v>
                </c:pt>
                <c:pt idx="6">
                  <c:v>208.54071752916499</c:v>
                </c:pt>
                <c:pt idx="7">
                  <c:v>208.54071752916499</c:v>
                </c:pt>
                <c:pt idx="8">
                  <c:v>208.54071752916499</c:v>
                </c:pt>
                <c:pt idx="9">
                  <c:v>208.54071752916499</c:v>
                </c:pt>
                <c:pt idx="10">
                  <c:v>208.54071752916499</c:v>
                </c:pt>
                <c:pt idx="11">
                  <c:v>208.54071752916499</c:v>
                </c:pt>
                <c:pt idx="12">
                  <c:v>208.54071752916499</c:v>
                </c:pt>
                <c:pt idx="13">
                  <c:v>208.54071752916499</c:v>
                </c:pt>
                <c:pt idx="14">
                  <c:v>208.54071752916499</c:v>
                </c:pt>
                <c:pt idx="15">
                  <c:v>208.54071752916499</c:v>
                </c:pt>
                <c:pt idx="16">
                  <c:v>208.54071752916499</c:v>
                </c:pt>
                <c:pt idx="17">
                  <c:v>208.54071752916499</c:v>
                </c:pt>
                <c:pt idx="18">
                  <c:v>208.54071752916499</c:v>
                </c:pt>
                <c:pt idx="19">
                  <c:v>208.54071752916499</c:v>
                </c:pt>
                <c:pt idx="20">
                  <c:v>208.54071752916499</c:v>
                </c:pt>
                <c:pt idx="21">
                  <c:v>208.54071752916499</c:v>
                </c:pt>
                <c:pt idx="22">
                  <c:v>208.54071752916499</c:v>
                </c:pt>
                <c:pt idx="23">
                  <c:v>208.54071752916499</c:v>
                </c:pt>
                <c:pt idx="24">
                  <c:v>208.54071752916499</c:v>
                </c:pt>
                <c:pt idx="25">
                  <c:v>0</c:v>
                </c:pt>
              </c:numCache>
            </c:numRef>
          </c:val>
        </c:ser>
        <c:ser>
          <c:idx val="9"/>
          <c:order val="9"/>
          <c:tx>
            <c:strRef>
              <c:f>'Output tables'!$A$119</c:f>
              <c:strCache>
                <c:ptCount val="1"/>
                <c:pt idx="0">
                  <c:v>Wind 25%</c:v>
                </c:pt>
              </c:strCache>
            </c:strRef>
          </c:tx>
          <c:cat>
            <c:numRef>
              <c:f>'Output tables'!$B$109:$AA$109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tables'!$B$119:$AA$119</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0"/>
          <c:order val="10"/>
          <c:tx>
            <c:strRef>
              <c:f>'Output tables'!$A$120</c:f>
              <c:strCache>
                <c:ptCount val="1"/>
                <c:pt idx="0">
                  <c:v>solar thermal central reciever</c:v>
                </c:pt>
              </c:strCache>
            </c:strRef>
          </c:tx>
          <c:cat>
            <c:numRef>
              <c:f>'Output tables'!$B$109:$AA$109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tables'!$B$120:$AA$120</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1"/>
          <c:order val="11"/>
          <c:tx>
            <c:strRef>
              <c:f>'Output tables'!$A$121</c:f>
              <c:strCache>
                <c:ptCount val="1"/>
                <c:pt idx="0">
                  <c:v>solar thermal trough</c:v>
                </c:pt>
              </c:strCache>
            </c:strRef>
          </c:tx>
          <c:cat>
            <c:numRef>
              <c:f>'Output tables'!$B$109:$AA$109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tables'!$B$121:$AA$121</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2"/>
          <c:order val="12"/>
          <c:tx>
            <c:strRef>
              <c:f>'Output tables'!$A$122</c:f>
              <c:strCache>
                <c:ptCount val="1"/>
                <c:pt idx="0">
                  <c:v>solar PV</c:v>
                </c:pt>
              </c:strCache>
            </c:strRef>
          </c:tx>
          <c:cat>
            <c:numRef>
              <c:f>'Output tables'!$B$109:$AA$109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tables'!$B$122:$AA$122</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3"/>
          <c:order val="13"/>
          <c:tx>
            <c:strRef>
              <c:f>'Output tables'!$A$123</c:f>
              <c:strCache>
                <c:ptCount val="1"/>
                <c:pt idx="0">
                  <c:v>combined cycle gas</c:v>
                </c:pt>
              </c:strCache>
            </c:strRef>
          </c:tx>
          <c:cat>
            <c:numRef>
              <c:f>'Output tables'!$B$109:$AA$109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tables'!$B$123:$AA$123</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4"/>
          <c:order val="14"/>
          <c:tx>
            <c:strRef>
              <c:f>'Output tables'!$A$124</c:f>
              <c:strCache>
                <c:ptCount val="1"/>
                <c:pt idx="0">
                  <c:v>PBMR</c:v>
                </c:pt>
              </c:strCache>
            </c:strRef>
          </c:tx>
          <c:cat>
            <c:numRef>
              <c:f>'Output tables'!$B$109:$AA$109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tables'!$B$124:$AA$124</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5"/>
          <c:order val="15"/>
          <c:tx>
            <c:strRef>
              <c:f>'Output tables'!$A$125</c:f>
              <c:strCache>
                <c:ptCount val="1"/>
                <c:pt idx="0">
                  <c:v>IGCC</c:v>
                </c:pt>
              </c:strCache>
            </c:strRef>
          </c:tx>
          <c:cat>
            <c:numRef>
              <c:f>'Output tables'!$B$109:$AA$109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tables'!$B$125:$AA$125</c:f>
              <c:numCache>
                <c:formatCode>General</c:formatCode>
                <c:ptCount val="26"/>
                <c:pt idx="0">
                  <c:v>0</c:v>
                </c:pt>
                <c:pt idx="1">
                  <c:v>2.274066347231097E-12</c:v>
                </c:pt>
                <c:pt idx="2">
                  <c:v>0</c:v>
                </c:pt>
                <c:pt idx="3">
                  <c:v>2.686426941512535E-12</c:v>
                </c:pt>
                <c:pt idx="4">
                  <c:v>2.686426941512535E-12</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6"/>
          <c:order val="16"/>
          <c:tx>
            <c:strRef>
              <c:f>'Output tables'!$A$126</c:f>
              <c:strCache>
                <c:ptCount val="1"/>
                <c:pt idx="0">
                  <c:v>-</c:v>
                </c:pt>
              </c:strCache>
            </c:strRef>
          </c:tx>
          <c:cat>
            <c:numRef>
              <c:f>'Output tables'!$B$109:$AA$109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tables'!$B$126:$AA$126</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7"/>
          <c:order val="17"/>
          <c:tx>
            <c:strRef>
              <c:f>'Output tables'!$A$127</c:f>
              <c:strCache>
                <c:ptCount val="1"/>
                <c:pt idx="0">
                  <c:v>-</c:v>
                </c:pt>
              </c:strCache>
            </c:strRef>
          </c:tx>
          <c:cat>
            <c:numRef>
              <c:f>'Output tables'!$B$109:$AA$109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tables'!$B$127:$AA$127</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8"/>
          <c:order val="18"/>
          <c:tx>
            <c:strRef>
              <c:f>'Output tables'!$A$128</c:f>
              <c:strCache>
                <c:ptCount val="1"/>
                <c:pt idx="0">
                  <c:v>-</c:v>
                </c:pt>
              </c:strCache>
            </c:strRef>
          </c:tx>
          <c:cat>
            <c:numRef>
              <c:f>'Output tables'!$B$109:$AA$109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tables'!$B$128:$AA$128</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9"/>
          <c:order val="19"/>
          <c:tx>
            <c:strRef>
              <c:f>'Output tables'!$A$129</c:f>
              <c:strCache>
                <c:ptCount val="1"/>
                <c:pt idx="0">
                  <c:v>Pumped storage</c:v>
                </c:pt>
              </c:strCache>
            </c:strRef>
          </c:tx>
          <c:cat>
            <c:numRef>
              <c:f>'Output tables'!$B$109:$AA$109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tables'!$B$129:$AA$129</c:f>
              <c:numCache>
                <c:formatCode>General</c:formatCode>
                <c:ptCount val="26"/>
                <c:pt idx="0">
                  <c:v>91.355013587921817</c:v>
                </c:pt>
                <c:pt idx="1">
                  <c:v>91.355013587921817</c:v>
                </c:pt>
                <c:pt idx="2">
                  <c:v>91.355013587921817</c:v>
                </c:pt>
                <c:pt idx="3">
                  <c:v>91.355013587921817</c:v>
                </c:pt>
                <c:pt idx="4">
                  <c:v>91.355013587921817</c:v>
                </c:pt>
                <c:pt idx="5">
                  <c:v>91.355013587921817</c:v>
                </c:pt>
                <c:pt idx="6">
                  <c:v>91.355013587921817</c:v>
                </c:pt>
                <c:pt idx="7">
                  <c:v>91.355013587921817</c:v>
                </c:pt>
                <c:pt idx="8">
                  <c:v>1003.7456618954134</c:v>
                </c:pt>
                <c:pt idx="9">
                  <c:v>1916.136310202905</c:v>
                </c:pt>
                <c:pt idx="10">
                  <c:v>1916.136310202905</c:v>
                </c:pt>
                <c:pt idx="11">
                  <c:v>1916.136310202905</c:v>
                </c:pt>
                <c:pt idx="12">
                  <c:v>1916.136310202905</c:v>
                </c:pt>
                <c:pt idx="13">
                  <c:v>1916.136310202905</c:v>
                </c:pt>
                <c:pt idx="14">
                  <c:v>1916.136310202905</c:v>
                </c:pt>
                <c:pt idx="15">
                  <c:v>1916.136310202905</c:v>
                </c:pt>
                <c:pt idx="16">
                  <c:v>1916.136310202905</c:v>
                </c:pt>
                <c:pt idx="17">
                  <c:v>1916.136310202905</c:v>
                </c:pt>
                <c:pt idx="18">
                  <c:v>1916.136310202905</c:v>
                </c:pt>
                <c:pt idx="19">
                  <c:v>1916.136310202905</c:v>
                </c:pt>
                <c:pt idx="20">
                  <c:v>1916.136310202905</c:v>
                </c:pt>
                <c:pt idx="21">
                  <c:v>1916.136310202905</c:v>
                </c:pt>
                <c:pt idx="22">
                  <c:v>1916.136310202905</c:v>
                </c:pt>
                <c:pt idx="23">
                  <c:v>1916.136310202905</c:v>
                </c:pt>
                <c:pt idx="24">
                  <c:v>1916.136310202905</c:v>
                </c:pt>
                <c:pt idx="25">
                  <c:v>1916.136310202905</c:v>
                </c:pt>
              </c:numCache>
            </c:numRef>
          </c:val>
        </c:ser>
        <c:ser>
          <c:idx val="21"/>
          <c:order val="21"/>
          <c:tx>
            <c:strRef>
              <c:f>'Output tables'!$A$130</c:f>
              <c:strCache>
                <c:ptCount val="1"/>
                <c:pt idx="0">
                  <c:v>carbon tax</c:v>
                </c:pt>
              </c:strCache>
            </c:strRef>
          </c:tx>
          <c:val>
            <c:numRef>
              <c:f>'Output tables'!$B$130:$AA$130</c:f>
              <c:numCache>
                <c:formatCode>General</c:formatCode>
                <c:ptCount val="26"/>
                <c:pt idx="0">
                  <c:v>0</c:v>
                </c:pt>
                <c:pt idx="1">
                  <c:v>0</c:v>
                </c:pt>
                <c:pt idx="2">
                  <c:v>0</c:v>
                </c:pt>
                <c:pt idx="3">
                  <c:v>0</c:v>
                </c:pt>
                <c:pt idx="4">
                  <c:v>0</c:v>
                </c:pt>
                <c:pt idx="5">
                  <c:v>0</c:v>
                </c:pt>
                <c:pt idx="6">
                  <c:v>0</c:v>
                </c:pt>
                <c:pt idx="7">
                  <c:v>24583.11069036174</c:v>
                </c:pt>
                <c:pt idx="8">
                  <c:v>25293.9489102591</c:v>
                </c:pt>
                <c:pt idx="9">
                  <c:v>26127.154671016746</c:v>
                </c:pt>
                <c:pt idx="10">
                  <c:v>26904.600623528404</c:v>
                </c:pt>
                <c:pt idx="11">
                  <c:v>83168.844185757815</c:v>
                </c:pt>
                <c:pt idx="12">
                  <c:v>85583.406849191335</c:v>
                </c:pt>
                <c:pt idx="13">
                  <c:v>88128.326031359742</c:v>
                </c:pt>
                <c:pt idx="14">
                  <c:v>90793.184922384913</c:v>
                </c:pt>
                <c:pt idx="15">
                  <c:v>155507.11452096413</c:v>
                </c:pt>
                <c:pt idx="16">
                  <c:v>159927.1361011313</c:v>
                </c:pt>
                <c:pt idx="17">
                  <c:v>164711.8485085991</c:v>
                </c:pt>
                <c:pt idx="18">
                  <c:v>169818.8939645763</c:v>
                </c:pt>
                <c:pt idx="19">
                  <c:v>174857.95503802545</c:v>
                </c:pt>
                <c:pt idx="20">
                  <c:v>179994.85064997067</c:v>
                </c:pt>
                <c:pt idx="21">
                  <c:v>185501.73698433806</c:v>
                </c:pt>
                <c:pt idx="22">
                  <c:v>191406.79437025421</c:v>
                </c:pt>
                <c:pt idx="23">
                  <c:v>197439.8733291961</c:v>
                </c:pt>
                <c:pt idx="24">
                  <c:v>203215.82070002286</c:v>
                </c:pt>
                <c:pt idx="25">
                  <c:v>207728.30923575407</c:v>
                </c:pt>
              </c:numCache>
            </c:numRef>
          </c:val>
        </c:ser>
        <c:axId val="106416384"/>
        <c:axId val="106426368"/>
      </c:areaChart>
      <c:lineChart>
        <c:grouping val="standard"/>
        <c:ser>
          <c:idx val="20"/>
          <c:order val="20"/>
          <c:tx>
            <c:v>Average electricity cost</c:v>
          </c:tx>
          <c:marker>
            <c:symbol val="none"/>
          </c:marker>
          <c:val>
            <c:numRef>
              <c:f>'Output tables'!$B$132:$AA$132</c:f>
              <c:numCache>
                <c:formatCode>General</c:formatCode>
                <c:ptCount val="26"/>
                <c:pt idx="0">
                  <c:v>9.3081558925848837E-2</c:v>
                </c:pt>
                <c:pt idx="1">
                  <c:v>0.10111172940856715</c:v>
                </c:pt>
                <c:pt idx="2">
                  <c:v>0.1073822276448695</c:v>
                </c:pt>
                <c:pt idx="3">
                  <c:v>0.11253193533162395</c:v>
                </c:pt>
                <c:pt idx="4">
                  <c:v>0.11103005156183383</c:v>
                </c:pt>
                <c:pt idx="5">
                  <c:v>0.11213531685831545</c:v>
                </c:pt>
                <c:pt idx="6">
                  <c:v>0.11738717550437631</c:v>
                </c:pt>
                <c:pt idx="7">
                  <c:v>0.12412266262515818</c:v>
                </c:pt>
                <c:pt idx="8">
                  <c:v>0.13991373488358169</c:v>
                </c:pt>
                <c:pt idx="9">
                  <c:v>0.16133825436935464</c:v>
                </c:pt>
                <c:pt idx="10">
                  <c:v>0.17910195098757228</c:v>
                </c:pt>
                <c:pt idx="11">
                  <c:v>0.18958927150392835</c:v>
                </c:pt>
                <c:pt idx="12">
                  <c:v>0.19951484024610688</c:v>
                </c:pt>
                <c:pt idx="13">
                  <c:v>0.21443150843935896</c:v>
                </c:pt>
                <c:pt idx="14">
                  <c:v>0.22832938247221654</c:v>
                </c:pt>
                <c:pt idx="15">
                  <c:v>0.24063617274836691</c:v>
                </c:pt>
                <c:pt idx="16">
                  <c:v>0.25720924663182743</c:v>
                </c:pt>
                <c:pt idx="17">
                  <c:v>0.27349843720432687</c:v>
                </c:pt>
                <c:pt idx="18">
                  <c:v>0.2864678847559835</c:v>
                </c:pt>
                <c:pt idx="19">
                  <c:v>0.30062533612241965</c:v>
                </c:pt>
                <c:pt idx="20">
                  <c:v>0.31335625851087034</c:v>
                </c:pt>
                <c:pt idx="21">
                  <c:v>0.33193359951048179</c:v>
                </c:pt>
                <c:pt idx="22">
                  <c:v>0.34675757500063115</c:v>
                </c:pt>
                <c:pt idx="23">
                  <c:v>0.3604307712213598</c:v>
                </c:pt>
                <c:pt idx="24">
                  <c:v>0.37977339786638209</c:v>
                </c:pt>
                <c:pt idx="25">
                  <c:v>0.39690952391183165</c:v>
                </c:pt>
              </c:numCache>
            </c:numRef>
          </c:val>
        </c:ser>
        <c:ser>
          <c:idx val="22"/>
          <c:order val="22"/>
          <c:tx>
            <c:strRef>
              <c:f>'Output tables'!$A$133</c:f>
              <c:strCache>
                <c:ptCount val="1"/>
                <c:pt idx="0">
                  <c:v>Average an elec cost with carbon tax</c:v>
                </c:pt>
              </c:strCache>
            </c:strRef>
          </c:tx>
          <c:marker>
            <c:symbol val="none"/>
          </c:marker>
          <c:val>
            <c:numRef>
              <c:f>'Output tables'!$B$133:$AA$133</c:f>
              <c:numCache>
                <c:formatCode>General</c:formatCode>
                <c:ptCount val="26"/>
                <c:pt idx="0">
                  <c:v>9.3081558925848837E-2</c:v>
                </c:pt>
                <c:pt idx="1">
                  <c:v>0.10111172940856715</c:v>
                </c:pt>
                <c:pt idx="2">
                  <c:v>0.1073822276448695</c:v>
                </c:pt>
                <c:pt idx="3">
                  <c:v>0.11253193533162395</c:v>
                </c:pt>
                <c:pt idx="4">
                  <c:v>0.11103005156183383</c:v>
                </c:pt>
                <c:pt idx="5">
                  <c:v>0.11213531685831545</c:v>
                </c:pt>
                <c:pt idx="6">
                  <c:v>0.11738717550437631</c:v>
                </c:pt>
                <c:pt idx="7">
                  <c:v>0.21721069135154028</c:v>
                </c:pt>
                <c:pt idx="8">
                  <c:v>0.23265049352757847</c:v>
                </c:pt>
                <c:pt idx="9">
                  <c:v>0.25367295044367077</c:v>
                </c:pt>
                <c:pt idx="10">
                  <c:v>0.27146766156373364</c:v>
                </c:pt>
                <c:pt idx="11">
                  <c:v>0.46675575835661087</c:v>
                </c:pt>
                <c:pt idx="12">
                  <c:v>0.47674531975164608</c:v>
                </c:pt>
                <c:pt idx="13">
                  <c:v>0.49171959873115961</c:v>
                </c:pt>
                <c:pt idx="14">
                  <c:v>0.50567568659978923</c:v>
                </c:pt>
                <c:pt idx="15">
                  <c:v>0.70214359464174836</c:v>
                </c:pt>
                <c:pt idx="16">
                  <c:v>0.71803012457458693</c:v>
                </c:pt>
                <c:pt idx="17">
                  <c:v>0.73449937095972107</c:v>
                </c:pt>
                <c:pt idx="18">
                  <c:v>0.74762648974416923</c:v>
                </c:pt>
                <c:pt idx="19">
                  <c:v>0.76129180395264029</c:v>
                </c:pt>
                <c:pt idx="20">
                  <c:v>0.77322099040705206</c:v>
                </c:pt>
                <c:pt idx="21">
                  <c:v>0.79088352099262671</c:v>
                </c:pt>
                <c:pt idx="22">
                  <c:v>0.80520669364998632</c:v>
                </c:pt>
                <c:pt idx="23">
                  <c:v>0.81826379882292377</c:v>
                </c:pt>
                <c:pt idx="24">
                  <c:v>0.83615153070635007</c:v>
                </c:pt>
                <c:pt idx="25">
                  <c:v>0.85295795996813228</c:v>
                </c:pt>
              </c:numCache>
            </c:numRef>
          </c:val>
        </c:ser>
        <c:marker val="1"/>
        <c:axId val="106428288"/>
        <c:axId val="106429824"/>
      </c:lineChart>
      <c:catAx>
        <c:axId val="106416384"/>
        <c:scaling>
          <c:orientation val="minMax"/>
        </c:scaling>
        <c:axPos val="b"/>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6426368"/>
        <c:crosses val="autoZero"/>
        <c:auto val="1"/>
        <c:lblAlgn val="ctr"/>
        <c:lblOffset val="100"/>
      </c:catAx>
      <c:valAx>
        <c:axId val="106426368"/>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R million</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6416384"/>
        <c:crossesAt val="1"/>
        <c:crossBetween val="between"/>
      </c:valAx>
      <c:catAx>
        <c:axId val="106428288"/>
        <c:scaling>
          <c:orientation val="minMax"/>
        </c:scaling>
        <c:delete val="1"/>
        <c:axPos val="t"/>
        <c:tickLblPos val="none"/>
        <c:crossAx val="106429824"/>
        <c:crosses val="max"/>
        <c:auto val="1"/>
        <c:lblAlgn val="ctr"/>
        <c:lblOffset val="100"/>
      </c:catAx>
      <c:valAx>
        <c:axId val="106429824"/>
        <c:scaling>
          <c:orientation val="minMax"/>
        </c:scaling>
        <c:axPos val="r"/>
        <c:title>
          <c:tx>
            <c:rich>
              <a:bodyPr/>
              <a:lstStyle/>
              <a:p>
                <a:pPr>
                  <a:defRPr lang="en-ZA" sz="1000" b="1" i="0" u="none" strike="noStrike" baseline="0">
                    <a:solidFill>
                      <a:srgbClr val="000000"/>
                    </a:solidFill>
                    <a:latin typeface="Calibri"/>
                    <a:ea typeface="Calibri"/>
                    <a:cs typeface="Calibri"/>
                  </a:defRPr>
                </a:pPr>
                <a:r>
                  <a:rPr lang="en-ZA"/>
                  <a:t>Rands / kWh</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6428288"/>
        <c:crosses val="max"/>
        <c:crossBetween val="between"/>
      </c:valAx>
    </c:plotArea>
    <c:legend>
      <c:legendPos val="b"/>
      <c:layout>
        <c:manualLayout>
          <c:xMode val="edge"/>
          <c:yMode val="edge"/>
          <c:x val="1.1034310756404318E-2"/>
          <c:y val="0.62872537726371525"/>
          <c:w val="0.98896568924359574"/>
          <c:h val="0.37127462273628631"/>
        </c:manualLayout>
      </c:layout>
      <c:txPr>
        <a:bodyPr/>
        <a:lstStyle/>
        <a:p>
          <a:pPr>
            <a:defRPr lang="en-ZA" sz="845" b="0" i="0" u="none" strike="noStrike" baseline="0">
              <a:solidFill>
                <a:srgbClr val="000000"/>
              </a:solidFill>
              <a:latin typeface="Calibri"/>
              <a:ea typeface="Calibri"/>
              <a:cs typeface="Calibri"/>
            </a:defRPr>
          </a:pPr>
          <a:endParaRPr lang="en-US"/>
        </a:p>
      </c:txPr>
    </c:legend>
    <c:plotVisOnly val="1"/>
    <c:dispBlanksAs val="zero"/>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189" l="0.70000000000000062" r="0.70000000000000062" t="0.75000000000000189" header="0.30000000000000032" footer="0.30000000000000032"/>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050" b="1" i="0" u="none" strike="noStrike" baseline="0">
                <a:solidFill>
                  <a:srgbClr val="000000"/>
                </a:solidFill>
                <a:latin typeface="Calibri"/>
                <a:ea typeface="Calibri"/>
                <a:cs typeface="Calibri"/>
              </a:defRPr>
            </a:pPr>
            <a:r>
              <a:rPr lang="en-ZA"/>
              <a:t>Electricity system costs and average electricity cost</a:t>
            </a:r>
          </a:p>
        </c:rich>
      </c:tx>
      <c:layout>
        <c:manualLayout>
          <c:xMode val="edge"/>
          <c:yMode val="edge"/>
          <c:x val="0.15363693433537232"/>
          <c:y val="1.5329101304197457E-2"/>
        </c:manualLayout>
      </c:layout>
      <c:overlay val="1"/>
    </c:title>
    <c:plotArea>
      <c:layout>
        <c:manualLayout>
          <c:layoutTarget val="inner"/>
          <c:xMode val="edge"/>
          <c:yMode val="edge"/>
          <c:x val="0.14896062992125983"/>
          <c:y val="6.5850887763337612E-2"/>
          <c:w val="0.73434251968503961"/>
          <c:h val="0.4948728949976966"/>
        </c:manualLayout>
      </c:layout>
      <c:areaChart>
        <c:grouping val="stacked"/>
        <c:ser>
          <c:idx val="0"/>
          <c:order val="0"/>
          <c:tx>
            <c:strRef>
              <c:f>'Output tables'!$A$110</c:f>
              <c:strCache>
                <c:ptCount val="1"/>
                <c:pt idx="0">
                  <c:v>Existing coal Large</c:v>
                </c:pt>
              </c:strCache>
            </c:strRef>
          </c:tx>
          <c:cat>
            <c:numRef>
              <c:f>'Output tables'!$AP$109:$BO$109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tables'!$AP$110:$BO$110</c:f>
              <c:numCache>
                <c:formatCode>General</c:formatCode>
                <c:ptCount val="26"/>
                <c:pt idx="0">
                  <c:v>16255.848534235311</c:v>
                </c:pt>
                <c:pt idx="1">
                  <c:v>17848.075230169379</c:v>
                </c:pt>
                <c:pt idx="2">
                  <c:v>19881.448596266746</c:v>
                </c:pt>
                <c:pt idx="3">
                  <c:v>20778.472732023358</c:v>
                </c:pt>
                <c:pt idx="4">
                  <c:v>20778.472732023358</c:v>
                </c:pt>
                <c:pt idx="5">
                  <c:v>21202.080907823816</c:v>
                </c:pt>
                <c:pt idx="6">
                  <c:v>21507.842323700119</c:v>
                </c:pt>
                <c:pt idx="7">
                  <c:v>21845.752410405974</c:v>
                </c:pt>
                <c:pt idx="8">
                  <c:v>22128.25175623727</c:v>
                </c:pt>
                <c:pt idx="9">
                  <c:v>22369.252860877034</c:v>
                </c:pt>
                <c:pt idx="10">
                  <c:v>22449.36221189766</c:v>
                </c:pt>
                <c:pt idx="11">
                  <c:v>22529.47156291829</c:v>
                </c:pt>
                <c:pt idx="12">
                  <c:v>22609.580913938917</c:v>
                </c:pt>
                <c:pt idx="13">
                  <c:v>22689.690264959547</c:v>
                </c:pt>
                <c:pt idx="14">
                  <c:v>22769.799615980173</c:v>
                </c:pt>
                <c:pt idx="15">
                  <c:v>22849.908967000803</c:v>
                </c:pt>
                <c:pt idx="16">
                  <c:v>22930.01831802143</c:v>
                </c:pt>
                <c:pt idx="17">
                  <c:v>23010.127669042056</c:v>
                </c:pt>
                <c:pt idx="18">
                  <c:v>22691.857287580668</c:v>
                </c:pt>
                <c:pt idx="19">
                  <c:v>22055.59472370577</c:v>
                </c:pt>
                <c:pt idx="20">
                  <c:v>21510.734707158685</c:v>
                </c:pt>
                <c:pt idx="21">
                  <c:v>20493.777846058623</c:v>
                </c:pt>
                <c:pt idx="22">
                  <c:v>19469.328232820168</c:v>
                </c:pt>
                <c:pt idx="23">
                  <c:v>18206.109075327888</c:v>
                </c:pt>
                <c:pt idx="24">
                  <c:v>15599.443102709989</c:v>
                </c:pt>
                <c:pt idx="25">
                  <c:v>14313.548511114688</c:v>
                </c:pt>
              </c:numCache>
            </c:numRef>
          </c:val>
        </c:ser>
        <c:ser>
          <c:idx val="1"/>
          <c:order val="1"/>
          <c:tx>
            <c:strRef>
              <c:f>'Output tables'!$A$111</c:f>
              <c:strCache>
                <c:ptCount val="1"/>
                <c:pt idx="0">
                  <c:v>Existing coal Small</c:v>
                </c:pt>
              </c:strCache>
            </c:strRef>
          </c:tx>
          <c:cat>
            <c:numRef>
              <c:f>'Output tables'!$AP$109:$BO$109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tables'!$AP$111:$BO$111</c:f>
              <c:numCache>
                <c:formatCode>General</c:formatCode>
                <c:ptCount val="26"/>
                <c:pt idx="0">
                  <c:v>2346.7001846771027</c:v>
                </c:pt>
                <c:pt idx="1">
                  <c:v>2456.5429896070436</c:v>
                </c:pt>
                <c:pt idx="2">
                  <c:v>2566.3857945369841</c:v>
                </c:pt>
                <c:pt idx="3">
                  <c:v>2680.9661728977972</c:v>
                </c:pt>
                <c:pt idx="4">
                  <c:v>2680.9661728977972</c:v>
                </c:pt>
                <c:pt idx="5">
                  <c:v>3024.8324517331271</c:v>
                </c:pt>
                <c:pt idx="6">
                  <c:v>3231.974476853894</c:v>
                </c:pt>
                <c:pt idx="7">
                  <c:v>3239.3546044048408</c:v>
                </c:pt>
                <c:pt idx="8">
                  <c:v>3246.7347319557866</c:v>
                </c:pt>
                <c:pt idx="9">
                  <c:v>3254.1148595067334</c:v>
                </c:pt>
                <c:pt idx="10">
                  <c:v>3261.4949870576793</c:v>
                </c:pt>
                <c:pt idx="11">
                  <c:v>3250.078233359066</c:v>
                </c:pt>
                <c:pt idx="12">
                  <c:v>3238.5766043585108</c:v>
                </c:pt>
                <c:pt idx="13">
                  <c:v>3220.6961812055124</c:v>
                </c:pt>
                <c:pt idx="14">
                  <c:v>3202.7025909832582</c:v>
                </c:pt>
                <c:pt idx="15">
                  <c:v>2729.3966692090917</c:v>
                </c:pt>
                <c:pt idx="16">
                  <c:v>2253.9405731190573</c:v>
                </c:pt>
                <c:pt idx="17">
                  <c:v>2258.9724839829387</c:v>
                </c:pt>
                <c:pt idx="18">
                  <c:v>2264.0043948468197</c:v>
                </c:pt>
                <c:pt idx="19">
                  <c:v>2269.0363057107006</c:v>
                </c:pt>
                <c:pt idx="20">
                  <c:v>2050.2016630437815</c:v>
                </c:pt>
                <c:pt idx="21">
                  <c:v>1830.3763055561185</c:v>
                </c:pt>
                <c:pt idx="22">
                  <c:v>1834.4175015992557</c:v>
                </c:pt>
                <c:pt idx="23">
                  <c:v>1838.458697642393</c:v>
                </c:pt>
                <c:pt idx="24">
                  <c:v>1842.4998936855307</c:v>
                </c:pt>
                <c:pt idx="25">
                  <c:v>1846.5410897286679</c:v>
                </c:pt>
              </c:numCache>
            </c:numRef>
          </c:val>
        </c:ser>
        <c:ser>
          <c:idx val="2"/>
          <c:order val="2"/>
          <c:tx>
            <c:strRef>
              <c:f>'Output tables'!$A$112</c:f>
              <c:strCache>
                <c:ptCount val="1"/>
                <c:pt idx="0">
                  <c:v>OCGT liquid fuels</c:v>
                </c:pt>
              </c:strCache>
            </c:strRef>
          </c:tx>
          <c:cat>
            <c:numRef>
              <c:f>'Output tables'!$AP$109:$BO$109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tables'!$AP$112:$BO$112</c:f>
              <c:numCache>
                <c:formatCode>General</c:formatCode>
                <c:ptCount val="26"/>
                <c:pt idx="0">
                  <c:v>1203.429722858983</c:v>
                </c:pt>
                <c:pt idx="1">
                  <c:v>1333.4299474905283</c:v>
                </c:pt>
                <c:pt idx="2">
                  <c:v>1333.1218239168195</c:v>
                </c:pt>
                <c:pt idx="3">
                  <c:v>1771.1195126279106</c:v>
                </c:pt>
                <c:pt idx="4">
                  <c:v>1291.5694060722121</c:v>
                </c:pt>
                <c:pt idx="5">
                  <c:v>1344.4644260844339</c:v>
                </c:pt>
                <c:pt idx="6">
                  <c:v>2707.0090326218919</c:v>
                </c:pt>
                <c:pt idx="7">
                  <c:v>2783.7068116396131</c:v>
                </c:pt>
                <c:pt idx="8">
                  <c:v>2860.4045906573351</c:v>
                </c:pt>
                <c:pt idx="9">
                  <c:v>2937.1023696750563</c:v>
                </c:pt>
                <c:pt idx="10">
                  <c:v>3013.8001486927778</c:v>
                </c:pt>
                <c:pt idx="11">
                  <c:v>3090.4979277104985</c:v>
                </c:pt>
                <c:pt idx="12">
                  <c:v>3167.1957067282201</c:v>
                </c:pt>
                <c:pt idx="13">
                  <c:v>3243.8934857459412</c:v>
                </c:pt>
                <c:pt idx="14">
                  <c:v>3320.5912647636628</c:v>
                </c:pt>
                <c:pt idx="15">
                  <c:v>3397.2890437813844</c:v>
                </c:pt>
                <c:pt idx="16">
                  <c:v>3473.9868227991051</c:v>
                </c:pt>
                <c:pt idx="17">
                  <c:v>3550.6846018168262</c:v>
                </c:pt>
                <c:pt idx="18">
                  <c:v>3627.3823808345478</c:v>
                </c:pt>
                <c:pt idx="19">
                  <c:v>3704.0801598522694</c:v>
                </c:pt>
                <c:pt idx="20">
                  <c:v>3780.777938869991</c:v>
                </c:pt>
                <c:pt idx="21">
                  <c:v>4968.6030322928682</c:v>
                </c:pt>
                <c:pt idx="22">
                  <c:v>5061.1693173142557</c:v>
                </c:pt>
                <c:pt idx="23">
                  <c:v>5153.7356023356433</c:v>
                </c:pt>
                <c:pt idx="24">
                  <c:v>6791.2789972452374</c:v>
                </c:pt>
                <c:pt idx="25">
                  <c:v>8299.9699142886748</c:v>
                </c:pt>
              </c:numCache>
            </c:numRef>
          </c:val>
        </c:ser>
        <c:ser>
          <c:idx val="3"/>
          <c:order val="3"/>
          <c:tx>
            <c:strRef>
              <c:f>'Output tables'!$A$113</c:f>
              <c:strCache>
                <c:ptCount val="1"/>
                <c:pt idx="0">
                  <c:v>PWR nuclear</c:v>
                </c:pt>
              </c:strCache>
            </c:strRef>
          </c:tx>
          <c:cat>
            <c:numRef>
              <c:f>'Output tables'!$AP$109:$BO$109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tables'!$AP$113:$BO$113</c:f>
              <c:numCache>
                <c:formatCode>General</c:formatCode>
                <c:ptCount val="26"/>
                <c:pt idx="0">
                  <c:v>1841.3944454507421</c:v>
                </c:pt>
                <c:pt idx="1">
                  <c:v>1914.0285561278479</c:v>
                </c:pt>
                <c:pt idx="2">
                  <c:v>1986.6626668049537</c:v>
                </c:pt>
                <c:pt idx="3">
                  <c:v>2059.2967774820595</c:v>
                </c:pt>
                <c:pt idx="4">
                  <c:v>2168.8768214349784</c:v>
                </c:pt>
                <c:pt idx="5">
                  <c:v>2172.6932566352129</c:v>
                </c:pt>
                <c:pt idx="6">
                  <c:v>2176.5287740114481</c:v>
                </c:pt>
                <c:pt idx="7">
                  <c:v>2180.3834689745649</c:v>
                </c:pt>
                <c:pt idx="8">
                  <c:v>2184.257437412497</c:v>
                </c:pt>
                <c:pt idx="9">
                  <c:v>2188.1507756926189</c:v>
                </c:pt>
                <c:pt idx="10">
                  <c:v>2192.0635806641412</c:v>
                </c:pt>
                <c:pt idx="11">
                  <c:v>2195.9959496605215</c:v>
                </c:pt>
                <c:pt idx="12">
                  <c:v>2199.9479805018836</c:v>
                </c:pt>
                <c:pt idx="13">
                  <c:v>2203.9197714974525</c:v>
                </c:pt>
                <c:pt idx="14">
                  <c:v>2207.9114214479987</c:v>
                </c:pt>
                <c:pt idx="15">
                  <c:v>2211.9230296482983</c:v>
                </c:pt>
                <c:pt idx="16">
                  <c:v>2215.9546958895994</c:v>
                </c:pt>
                <c:pt idx="17">
                  <c:v>2220.0065204621064</c:v>
                </c:pt>
                <c:pt idx="18">
                  <c:v>2224.0786041574765</c:v>
                </c:pt>
                <c:pt idx="19">
                  <c:v>2228.1710482713233</c:v>
                </c:pt>
                <c:pt idx="20">
                  <c:v>2232.2839546057394</c:v>
                </c:pt>
                <c:pt idx="21">
                  <c:v>2236.4174254718273</c:v>
                </c:pt>
                <c:pt idx="22">
                  <c:v>2240.5715636922455</c:v>
                </c:pt>
                <c:pt idx="23">
                  <c:v>2244.7464726037661</c:v>
                </c:pt>
                <c:pt idx="24">
                  <c:v>2248.9422560598446</c:v>
                </c:pt>
                <c:pt idx="25">
                  <c:v>2253.1590184332031</c:v>
                </c:pt>
              </c:numCache>
            </c:numRef>
          </c:val>
        </c:ser>
        <c:ser>
          <c:idx val="4"/>
          <c:order val="4"/>
          <c:tx>
            <c:strRef>
              <c:f>'Output tables'!$A$114</c:f>
              <c:strCache>
                <c:ptCount val="1"/>
                <c:pt idx="0">
                  <c:v>Hydro</c:v>
                </c:pt>
              </c:strCache>
            </c:strRef>
          </c:tx>
          <c:cat>
            <c:numRef>
              <c:f>'Output tables'!$AP$109:$BO$109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tables'!$AP$114:$BO$114</c:f>
              <c:numCache>
                <c:formatCode>General</c:formatCode>
                <c:ptCount val="26"/>
                <c:pt idx="0">
                  <c:v>86.627408640520088</c:v>
                </c:pt>
                <c:pt idx="1">
                  <c:v>86.627408640520088</c:v>
                </c:pt>
                <c:pt idx="2">
                  <c:v>86.627408640520088</c:v>
                </c:pt>
                <c:pt idx="3">
                  <c:v>86.627408640520088</c:v>
                </c:pt>
                <c:pt idx="4">
                  <c:v>86.627408640520088</c:v>
                </c:pt>
                <c:pt idx="5">
                  <c:v>86.627408640520088</c:v>
                </c:pt>
                <c:pt idx="6">
                  <c:v>86.627408640520088</c:v>
                </c:pt>
                <c:pt idx="7">
                  <c:v>86.627408640520088</c:v>
                </c:pt>
                <c:pt idx="8">
                  <c:v>86.627408640520088</c:v>
                </c:pt>
                <c:pt idx="9">
                  <c:v>86.627408640520088</c:v>
                </c:pt>
                <c:pt idx="10">
                  <c:v>86.627408640520088</c:v>
                </c:pt>
                <c:pt idx="11">
                  <c:v>86.627408640520088</c:v>
                </c:pt>
                <c:pt idx="12">
                  <c:v>86.627408640520088</c:v>
                </c:pt>
                <c:pt idx="13">
                  <c:v>86.627408640520088</c:v>
                </c:pt>
                <c:pt idx="14">
                  <c:v>86.627408640520088</c:v>
                </c:pt>
                <c:pt idx="15">
                  <c:v>86.627408640520088</c:v>
                </c:pt>
                <c:pt idx="16">
                  <c:v>86.627408640520088</c:v>
                </c:pt>
                <c:pt idx="17">
                  <c:v>86.627408640520088</c:v>
                </c:pt>
                <c:pt idx="18">
                  <c:v>86.627408640520088</c:v>
                </c:pt>
                <c:pt idx="19">
                  <c:v>86.627408640520088</c:v>
                </c:pt>
                <c:pt idx="20">
                  <c:v>86.627408640520088</c:v>
                </c:pt>
                <c:pt idx="21">
                  <c:v>86.627408640520088</c:v>
                </c:pt>
                <c:pt idx="22">
                  <c:v>86.627408640520088</c:v>
                </c:pt>
                <c:pt idx="23">
                  <c:v>86.627408640520088</c:v>
                </c:pt>
                <c:pt idx="24">
                  <c:v>86.627408640520088</c:v>
                </c:pt>
                <c:pt idx="25">
                  <c:v>86.627408640520088</c:v>
                </c:pt>
              </c:numCache>
            </c:numRef>
          </c:val>
        </c:ser>
        <c:ser>
          <c:idx val="5"/>
          <c:order val="5"/>
          <c:tx>
            <c:strRef>
              <c:f>'Output tables'!$A$115</c:f>
              <c:strCache>
                <c:ptCount val="1"/>
                <c:pt idx="0">
                  <c:v>Landfill gas</c:v>
                </c:pt>
              </c:strCache>
            </c:strRef>
          </c:tx>
          <c:cat>
            <c:numRef>
              <c:f>'Output tables'!$AP$109:$BO$109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tables'!$AP$115:$BO$115</c:f>
              <c:numCache>
                <c:formatCode>General</c:formatCode>
                <c:ptCount val="26"/>
                <c:pt idx="0">
                  <c:v>66.755984508378774</c:v>
                </c:pt>
                <c:pt idx="1">
                  <c:v>66.755984508378774</c:v>
                </c:pt>
                <c:pt idx="2">
                  <c:v>66.755984508378774</c:v>
                </c:pt>
                <c:pt idx="3">
                  <c:v>66.755984508378774</c:v>
                </c:pt>
                <c:pt idx="4">
                  <c:v>66.755984508378774</c:v>
                </c:pt>
                <c:pt idx="5">
                  <c:v>66.755984508378774</c:v>
                </c:pt>
                <c:pt idx="6">
                  <c:v>66.755984508378774</c:v>
                </c:pt>
                <c:pt idx="7">
                  <c:v>66.755984508378774</c:v>
                </c:pt>
                <c:pt idx="8">
                  <c:v>66.755984508378774</c:v>
                </c:pt>
                <c:pt idx="9">
                  <c:v>66.755984508378774</c:v>
                </c:pt>
                <c:pt idx="10">
                  <c:v>66.755984508378774</c:v>
                </c:pt>
                <c:pt idx="11">
                  <c:v>66.755984508378774</c:v>
                </c:pt>
                <c:pt idx="12">
                  <c:v>66.755984508378774</c:v>
                </c:pt>
                <c:pt idx="13">
                  <c:v>66.755984508378774</c:v>
                </c:pt>
                <c:pt idx="14">
                  <c:v>66.755984508378774</c:v>
                </c:pt>
                <c:pt idx="15">
                  <c:v>66.755984508378774</c:v>
                </c:pt>
                <c:pt idx="16">
                  <c:v>66.755984508378774</c:v>
                </c:pt>
                <c:pt idx="17">
                  <c:v>66.755984508378774</c:v>
                </c:pt>
                <c:pt idx="18">
                  <c:v>66.755984508378774</c:v>
                </c:pt>
                <c:pt idx="19">
                  <c:v>66.755984508378774</c:v>
                </c:pt>
                <c:pt idx="20">
                  <c:v>66.755984508378774</c:v>
                </c:pt>
                <c:pt idx="21">
                  <c:v>66.755984508378774</c:v>
                </c:pt>
                <c:pt idx="22">
                  <c:v>66.755984508378774</c:v>
                </c:pt>
                <c:pt idx="23">
                  <c:v>66.755984508378774</c:v>
                </c:pt>
                <c:pt idx="24">
                  <c:v>66.755984508378774</c:v>
                </c:pt>
                <c:pt idx="25">
                  <c:v>66.755984508378774</c:v>
                </c:pt>
              </c:numCache>
            </c:numRef>
          </c:val>
        </c:ser>
        <c:ser>
          <c:idx val="6"/>
          <c:order val="6"/>
          <c:tx>
            <c:strRef>
              <c:f>'Output tables'!$A$116</c:f>
              <c:strCache>
                <c:ptCount val="1"/>
                <c:pt idx="0">
                  <c:v>Biomass</c:v>
                </c:pt>
              </c:strCache>
            </c:strRef>
          </c:tx>
          <c:cat>
            <c:numRef>
              <c:f>'Output tables'!$AP$109:$BO$109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tables'!$AP$116:$BO$116</c:f>
              <c:numCache>
                <c:formatCode>General</c:formatCode>
                <c:ptCount val="26"/>
                <c:pt idx="0">
                  <c:v>186.22474442860573</c:v>
                </c:pt>
                <c:pt idx="1">
                  <c:v>186.22474442860408</c:v>
                </c:pt>
                <c:pt idx="2">
                  <c:v>186.22474442860408</c:v>
                </c:pt>
                <c:pt idx="3">
                  <c:v>186.22474442860408</c:v>
                </c:pt>
                <c:pt idx="4">
                  <c:v>186.22474442860408</c:v>
                </c:pt>
                <c:pt idx="5">
                  <c:v>186.22474442860408</c:v>
                </c:pt>
                <c:pt idx="6">
                  <c:v>186.22474442860408</c:v>
                </c:pt>
                <c:pt idx="7">
                  <c:v>186.22474442860408</c:v>
                </c:pt>
                <c:pt idx="8">
                  <c:v>186.22474442860408</c:v>
                </c:pt>
                <c:pt idx="9">
                  <c:v>186.22474442860408</c:v>
                </c:pt>
                <c:pt idx="10">
                  <c:v>186.22474442860408</c:v>
                </c:pt>
                <c:pt idx="11">
                  <c:v>186.22474442860408</c:v>
                </c:pt>
                <c:pt idx="12">
                  <c:v>186.22474442860408</c:v>
                </c:pt>
                <c:pt idx="13">
                  <c:v>186.22474442860408</c:v>
                </c:pt>
                <c:pt idx="14">
                  <c:v>186.22474442860408</c:v>
                </c:pt>
                <c:pt idx="15">
                  <c:v>186.22474442860408</c:v>
                </c:pt>
                <c:pt idx="16">
                  <c:v>186.22474442860408</c:v>
                </c:pt>
                <c:pt idx="17">
                  <c:v>186.22474442860408</c:v>
                </c:pt>
                <c:pt idx="18">
                  <c:v>186.22474442860408</c:v>
                </c:pt>
                <c:pt idx="19">
                  <c:v>186.22474442860408</c:v>
                </c:pt>
                <c:pt idx="20">
                  <c:v>186.22474442860408</c:v>
                </c:pt>
                <c:pt idx="21">
                  <c:v>186.22474442860408</c:v>
                </c:pt>
                <c:pt idx="22">
                  <c:v>186.22474442860408</c:v>
                </c:pt>
                <c:pt idx="23">
                  <c:v>186.22474442860408</c:v>
                </c:pt>
                <c:pt idx="24">
                  <c:v>186.22474442860408</c:v>
                </c:pt>
                <c:pt idx="25">
                  <c:v>186.22474442860408</c:v>
                </c:pt>
              </c:numCache>
            </c:numRef>
          </c:val>
        </c:ser>
        <c:ser>
          <c:idx val="7"/>
          <c:order val="7"/>
          <c:tx>
            <c:strRef>
              <c:f>'Output tables'!$A$117</c:f>
              <c:strCache>
                <c:ptCount val="1"/>
                <c:pt idx="0">
                  <c:v>Supercritical coal</c:v>
                </c:pt>
              </c:strCache>
            </c:strRef>
          </c:tx>
          <c:cat>
            <c:numRef>
              <c:f>'Output tables'!$AP$109:$BO$109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tables'!$AP$117:$BO$117</c:f>
              <c:numCache>
                <c:formatCode>General</c:formatCode>
                <c:ptCount val="26"/>
                <c:pt idx="0">
                  <c:v>0</c:v>
                </c:pt>
                <c:pt idx="1">
                  <c:v>0</c:v>
                </c:pt>
                <c:pt idx="2">
                  <c:v>0</c:v>
                </c:pt>
                <c:pt idx="3">
                  <c:v>0</c:v>
                </c:pt>
                <c:pt idx="4">
                  <c:v>0</c:v>
                </c:pt>
                <c:pt idx="5">
                  <c:v>0</c:v>
                </c:pt>
                <c:pt idx="6">
                  <c:v>0</c:v>
                </c:pt>
                <c:pt idx="7">
                  <c:v>2017.0741489649656</c:v>
                </c:pt>
                <c:pt idx="8">
                  <c:v>6042.9945992936546</c:v>
                </c:pt>
                <c:pt idx="9">
                  <c:v>12117.693577401764</c:v>
                </c:pt>
                <c:pt idx="10">
                  <c:v>18245.390982532655</c:v>
                </c:pt>
                <c:pt idx="11">
                  <c:v>22539.385478471664</c:v>
                </c:pt>
                <c:pt idx="12">
                  <c:v>24780.645900459003</c:v>
                </c:pt>
                <c:pt idx="13">
                  <c:v>25039.143604425612</c:v>
                </c:pt>
                <c:pt idx="14">
                  <c:v>24988.456817764967</c:v>
                </c:pt>
                <c:pt idx="15">
                  <c:v>24921.399258460235</c:v>
                </c:pt>
                <c:pt idx="16">
                  <c:v>24548.019911287018</c:v>
                </c:pt>
                <c:pt idx="17">
                  <c:v>24298.974727744</c:v>
                </c:pt>
                <c:pt idx="18">
                  <c:v>24141.525188159027</c:v>
                </c:pt>
                <c:pt idx="19">
                  <c:v>24149.808376379449</c:v>
                </c:pt>
                <c:pt idx="20">
                  <c:v>24171.778179177672</c:v>
                </c:pt>
                <c:pt idx="21">
                  <c:v>24866.572684143011</c:v>
                </c:pt>
                <c:pt idx="22">
                  <c:v>25160.115654031859</c:v>
                </c:pt>
                <c:pt idx="23">
                  <c:v>25553.384100303501</c:v>
                </c:pt>
                <c:pt idx="24">
                  <c:v>26929.302055259639</c:v>
                </c:pt>
                <c:pt idx="25">
                  <c:v>27092.616339242355</c:v>
                </c:pt>
              </c:numCache>
            </c:numRef>
          </c:val>
        </c:ser>
        <c:ser>
          <c:idx val="8"/>
          <c:order val="8"/>
          <c:tx>
            <c:strRef>
              <c:f>'Output tables'!$A$118</c:f>
              <c:strCache>
                <c:ptCount val="1"/>
                <c:pt idx="0">
                  <c:v>Wind 30% </c:v>
                </c:pt>
              </c:strCache>
            </c:strRef>
          </c:tx>
          <c:cat>
            <c:numRef>
              <c:f>'Output tables'!$AP$109:$BO$109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tables'!$AP$118:$BO$118</c:f>
              <c:numCache>
                <c:formatCode>General</c:formatCode>
                <c:ptCount val="26"/>
                <c:pt idx="0">
                  <c:v>0</c:v>
                </c:pt>
                <c:pt idx="1">
                  <c:v>0</c:v>
                </c:pt>
                <c:pt idx="2">
                  <c:v>0</c:v>
                </c:pt>
                <c:pt idx="3">
                  <c:v>0</c:v>
                </c:pt>
                <c:pt idx="4">
                  <c:v>0</c:v>
                </c:pt>
                <c:pt idx="5">
                  <c:v>208.54071752916499</c:v>
                </c:pt>
                <c:pt idx="6">
                  <c:v>615.97659646748639</c:v>
                </c:pt>
                <c:pt idx="7">
                  <c:v>1013.7669192857992</c:v>
                </c:pt>
                <c:pt idx="8">
                  <c:v>1791.9855639064092</c:v>
                </c:pt>
                <c:pt idx="9">
                  <c:v>2552.8422075110034</c:v>
                </c:pt>
                <c:pt idx="10">
                  <c:v>4039.8314926881617</c:v>
                </c:pt>
                <c:pt idx="11">
                  <c:v>5492.0967758332899</c:v>
                </c:pt>
                <c:pt idx="12">
                  <c:v>7276.1767779358715</c:v>
                </c:pt>
                <c:pt idx="13">
                  <c:v>9029.0051782096252</c:v>
                </c:pt>
                <c:pt idx="14">
                  <c:v>11611.370375877015</c:v>
                </c:pt>
                <c:pt idx="15">
                  <c:v>14146.858170801162</c:v>
                </c:pt>
                <c:pt idx="16">
                  <c:v>17465.005360375704</c:v>
                </c:pt>
                <c:pt idx="17">
                  <c:v>17465.005360375704</c:v>
                </c:pt>
                <c:pt idx="18">
                  <c:v>17465.005360375704</c:v>
                </c:pt>
                <c:pt idx="19">
                  <c:v>17465.005360375704</c:v>
                </c:pt>
                <c:pt idx="20">
                  <c:v>17465.005360375704</c:v>
                </c:pt>
                <c:pt idx="21">
                  <c:v>17465.005360375704</c:v>
                </c:pt>
                <c:pt idx="22">
                  <c:v>17465.005360375704</c:v>
                </c:pt>
                <c:pt idx="23">
                  <c:v>17465.005360375704</c:v>
                </c:pt>
                <c:pt idx="24">
                  <c:v>17465.005360375704</c:v>
                </c:pt>
                <c:pt idx="25">
                  <c:v>17256.464642846538</c:v>
                </c:pt>
              </c:numCache>
            </c:numRef>
          </c:val>
        </c:ser>
        <c:ser>
          <c:idx val="9"/>
          <c:order val="9"/>
          <c:tx>
            <c:strRef>
              <c:f>'Output tables'!$A$119</c:f>
              <c:strCache>
                <c:ptCount val="1"/>
                <c:pt idx="0">
                  <c:v>Wind 25%</c:v>
                </c:pt>
              </c:strCache>
            </c:strRef>
          </c:tx>
          <c:cat>
            <c:numRef>
              <c:f>'Output tables'!$AP$109:$BO$109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tables'!$AP$119:$BO$119</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1650.801111950228</c:v>
                </c:pt>
                <c:pt idx="18">
                  <c:v>3293.3297410634132</c:v>
                </c:pt>
                <c:pt idx="19">
                  <c:v>4927.5858873395555</c:v>
                </c:pt>
                <c:pt idx="20">
                  <c:v>6553.5695507786568</c:v>
                </c:pt>
                <c:pt idx="21">
                  <c:v>8171.2807313807134</c:v>
                </c:pt>
                <c:pt idx="22">
                  <c:v>9780.7194291457272</c:v>
                </c:pt>
                <c:pt idx="23">
                  <c:v>11381.8856440737</c:v>
                </c:pt>
                <c:pt idx="24">
                  <c:v>12974.77937616463</c:v>
                </c:pt>
                <c:pt idx="25">
                  <c:v>14559.400625418515</c:v>
                </c:pt>
              </c:numCache>
            </c:numRef>
          </c:val>
        </c:ser>
        <c:ser>
          <c:idx val="10"/>
          <c:order val="10"/>
          <c:tx>
            <c:strRef>
              <c:f>'Output tables'!$A$120</c:f>
              <c:strCache>
                <c:ptCount val="1"/>
                <c:pt idx="0">
                  <c:v>solar thermal central reciever</c:v>
                </c:pt>
              </c:strCache>
            </c:strRef>
          </c:tx>
          <c:cat>
            <c:numRef>
              <c:f>'Output tables'!$AP$109:$BO$109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tables'!$AP$120:$BO$120</c:f>
              <c:numCache>
                <c:formatCode>General</c:formatCode>
                <c:ptCount val="26"/>
                <c:pt idx="0">
                  <c:v>0</c:v>
                </c:pt>
                <c:pt idx="1">
                  <c:v>0</c:v>
                </c:pt>
                <c:pt idx="2">
                  <c:v>0</c:v>
                </c:pt>
                <c:pt idx="3">
                  <c:v>0</c:v>
                </c:pt>
                <c:pt idx="4">
                  <c:v>0</c:v>
                </c:pt>
                <c:pt idx="5">
                  <c:v>0</c:v>
                </c:pt>
                <c:pt idx="6">
                  <c:v>0</c:v>
                </c:pt>
                <c:pt idx="7">
                  <c:v>0</c:v>
                </c:pt>
                <c:pt idx="8">
                  <c:v>0</c:v>
                </c:pt>
                <c:pt idx="9">
                  <c:v>0</c:v>
                </c:pt>
                <c:pt idx="10">
                  <c:v>637.74768271397556</c:v>
                </c:pt>
                <c:pt idx="11">
                  <c:v>1877.4622066611482</c:v>
                </c:pt>
                <c:pt idx="12">
                  <c:v>4299.6419081862487</c:v>
                </c:pt>
                <c:pt idx="13">
                  <c:v>9029.5026184979579</c:v>
                </c:pt>
                <c:pt idx="14">
                  <c:v>15952.54564485779</c:v>
                </c:pt>
                <c:pt idx="15">
                  <c:v>24954.272294527247</c:v>
                </c:pt>
                <c:pt idx="16">
                  <c:v>35920.183874767841</c:v>
                </c:pt>
                <c:pt idx="17">
                  <c:v>46599.848723162206</c:v>
                </c:pt>
                <c:pt idx="18">
                  <c:v>62189.975897984412</c:v>
                </c:pt>
                <c:pt idx="19">
                  <c:v>77350.732975037274</c:v>
                </c:pt>
                <c:pt idx="20">
                  <c:v>92118.923105558191</c:v>
                </c:pt>
                <c:pt idx="21">
                  <c:v>106494.54628954711</c:v>
                </c:pt>
                <c:pt idx="22">
                  <c:v>120477.60252700408</c:v>
                </c:pt>
                <c:pt idx="23">
                  <c:v>134068.09181792909</c:v>
                </c:pt>
                <c:pt idx="24">
                  <c:v>147266.01416232213</c:v>
                </c:pt>
                <c:pt idx="25">
                  <c:v>160071.36956018317</c:v>
                </c:pt>
              </c:numCache>
            </c:numRef>
          </c:val>
        </c:ser>
        <c:ser>
          <c:idx val="11"/>
          <c:order val="11"/>
          <c:tx>
            <c:strRef>
              <c:f>'Output tables'!$A$121</c:f>
              <c:strCache>
                <c:ptCount val="1"/>
                <c:pt idx="0">
                  <c:v>solar thermal trough</c:v>
                </c:pt>
              </c:strCache>
            </c:strRef>
          </c:tx>
          <c:cat>
            <c:numRef>
              <c:f>'Output tables'!$AP$109:$BO$109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tables'!$AP$121:$BO$121</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2"/>
          <c:order val="12"/>
          <c:tx>
            <c:strRef>
              <c:f>'Output tables'!$A$122</c:f>
              <c:strCache>
                <c:ptCount val="1"/>
                <c:pt idx="0">
                  <c:v>solar PV</c:v>
                </c:pt>
              </c:strCache>
            </c:strRef>
          </c:tx>
          <c:cat>
            <c:numRef>
              <c:f>'Output tables'!$AP$109:$BO$109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tables'!$AP$122:$BO$122</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3"/>
          <c:order val="13"/>
          <c:tx>
            <c:strRef>
              <c:f>'Output tables'!$A$123</c:f>
              <c:strCache>
                <c:ptCount val="1"/>
                <c:pt idx="0">
                  <c:v>combined cycle gas</c:v>
                </c:pt>
              </c:strCache>
            </c:strRef>
          </c:tx>
          <c:cat>
            <c:numRef>
              <c:f>'Output tables'!$AP$109:$BO$109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tables'!$AP$123:$BO$123</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3083.7005316401996</c:v>
                </c:pt>
                <c:pt idx="23">
                  <c:v>7864.3443012001862</c:v>
                </c:pt>
                <c:pt idx="24">
                  <c:v>12831.618231303542</c:v>
                </c:pt>
                <c:pt idx="25">
                  <c:v>13083.915738853018</c:v>
                </c:pt>
              </c:numCache>
            </c:numRef>
          </c:val>
        </c:ser>
        <c:ser>
          <c:idx val="14"/>
          <c:order val="14"/>
          <c:tx>
            <c:strRef>
              <c:f>'Output tables'!$A$124</c:f>
              <c:strCache>
                <c:ptCount val="1"/>
                <c:pt idx="0">
                  <c:v>PBMR</c:v>
                </c:pt>
              </c:strCache>
            </c:strRef>
          </c:tx>
          <c:cat>
            <c:numRef>
              <c:f>'Output tables'!$AP$109:$BO$109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tables'!$AP$124:$BO$124</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5"/>
          <c:order val="15"/>
          <c:tx>
            <c:strRef>
              <c:f>'Output tables'!$A$125</c:f>
              <c:strCache>
                <c:ptCount val="1"/>
                <c:pt idx="0">
                  <c:v>IGCC</c:v>
                </c:pt>
              </c:strCache>
            </c:strRef>
          </c:tx>
          <c:cat>
            <c:numRef>
              <c:f>'Output tables'!$AP$109:$BO$109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tables'!$AP$125:$BO$125</c:f>
              <c:numCache>
                <c:formatCode>General</c:formatCode>
                <c:ptCount val="26"/>
                <c:pt idx="0">
                  <c:v>0</c:v>
                </c:pt>
                <c:pt idx="1">
                  <c:v>2.274066347231097E-12</c:v>
                </c:pt>
                <c:pt idx="2">
                  <c:v>0</c:v>
                </c:pt>
                <c:pt idx="3">
                  <c:v>2.686426941512535E-12</c:v>
                </c:pt>
                <c:pt idx="4">
                  <c:v>2.686426941512535E-12</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1956.3183382939712</c:v>
                </c:pt>
                <c:pt idx="25">
                  <c:v>3915.8436489951246</c:v>
                </c:pt>
              </c:numCache>
            </c:numRef>
          </c:val>
        </c:ser>
        <c:ser>
          <c:idx val="16"/>
          <c:order val="16"/>
          <c:tx>
            <c:strRef>
              <c:f>'Output tables'!$A$126</c:f>
              <c:strCache>
                <c:ptCount val="1"/>
                <c:pt idx="0">
                  <c:v>-</c:v>
                </c:pt>
              </c:strCache>
            </c:strRef>
          </c:tx>
          <c:cat>
            <c:numRef>
              <c:f>'Output tables'!$AP$109:$BO$109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tables'!$AP$126:$BO$126</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7"/>
          <c:order val="17"/>
          <c:tx>
            <c:strRef>
              <c:f>'Output tables'!$A$127</c:f>
              <c:strCache>
                <c:ptCount val="1"/>
                <c:pt idx="0">
                  <c:v>-</c:v>
                </c:pt>
              </c:strCache>
            </c:strRef>
          </c:tx>
          <c:cat>
            <c:numRef>
              <c:f>'Output tables'!$AP$109:$BO$109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tables'!$AP$127:$BO$127</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8"/>
          <c:order val="18"/>
          <c:tx>
            <c:strRef>
              <c:f>'Output tables'!$A$128</c:f>
              <c:strCache>
                <c:ptCount val="1"/>
                <c:pt idx="0">
                  <c:v>-</c:v>
                </c:pt>
              </c:strCache>
            </c:strRef>
          </c:tx>
          <c:cat>
            <c:numRef>
              <c:f>'Output tables'!$AP$109:$BO$109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tables'!$AP$128:$BO$128</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9"/>
          <c:order val="19"/>
          <c:tx>
            <c:strRef>
              <c:f>'Output tables'!$A$129</c:f>
              <c:strCache>
                <c:ptCount val="1"/>
                <c:pt idx="0">
                  <c:v>Pumped storage</c:v>
                </c:pt>
              </c:strCache>
            </c:strRef>
          </c:tx>
          <c:cat>
            <c:numRef>
              <c:f>'Output tables'!$AP$109:$BO$109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tables'!$AP$129:$BO$129</c:f>
              <c:numCache>
                <c:formatCode>General</c:formatCode>
                <c:ptCount val="26"/>
                <c:pt idx="0">
                  <c:v>91.355013587921817</c:v>
                </c:pt>
                <c:pt idx="1">
                  <c:v>91.355013587921817</c:v>
                </c:pt>
                <c:pt idx="2">
                  <c:v>91.355013587921817</c:v>
                </c:pt>
                <c:pt idx="3">
                  <c:v>91.355013587921817</c:v>
                </c:pt>
                <c:pt idx="4">
                  <c:v>91.355013587921817</c:v>
                </c:pt>
                <c:pt idx="5">
                  <c:v>91.355013587921817</c:v>
                </c:pt>
                <c:pt idx="6">
                  <c:v>91.355013587921817</c:v>
                </c:pt>
                <c:pt idx="7">
                  <c:v>91.355013587921817</c:v>
                </c:pt>
                <c:pt idx="8">
                  <c:v>1003.7456618954134</c:v>
                </c:pt>
                <c:pt idx="9">
                  <c:v>1916.136310202905</c:v>
                </c:pt>
                <c:pt idx="10">
                  <c:v>2828.5269585103965</c:v>
                </c:pt>
                <c:pt idx="11">
                  <c:v>3740.9176068178881</c:v>
                </c:pt>
                <c:pt idx="12">
                  <c:v>3740.9176068178881</c:v>
                </c:pt>
                <c:pt idx="13">
                  <c:v>3740.9176068178881</c:v>
                </c:pt>
                <c:pt idx="14">
                  <c:v>3740.9176068178881</c:v>
                </c:pt>
                <c:pt idx="15">
                  <c:v>3740.9176068178881</c:v>
                </c:pt>
                <c:pt idx="16">
                  <c:v>3740.9176068178881</c:v>
                </c:pt>
                <c:pt idx="17">
                  <c:v>3740.9176068178881</c:v>
                </c:pt>
                <c:pt idx="18">
                  <c:v>3740.9176068178881</c:v>
                </c:pt>
                <c:pt idx="19">
                  <c:v>3740.9176068178881</c:v>
                </c:pt>
                <c:pt idx="20">
                  <c:v>3740.9176068178881</c:v>
                </c:pt>
                <c:pt idx="21">
                  <c:v>3740.9176068178881</c:v>
                </c:pt>
                <c:pt idx="22">
                  <c:v>3740.9176068178881</c:v>
                </c:pt>
                <c:pt idx="23">
                  <c:v>3740.9176068178881</c:v>
                </c:pt>
                <c:pt idx="24">
                  <c:v>3740.9176068178881</c:v>
                </c:pt>
                <c:pt idx="25">
                  <c:v>3740.9176068178881</c:v>
                </c:pt>
              </c:numCache>
            </c:numRef>
          </c:val>
        </c:ser>
        <c:ser>
          <c:idx val="22"/>
          <c:order val="22"/>
          <c:tx>
            <c:strRef>
              <c:f>'Output tables'!$A$130</c:f>
              <c:strCache>
                <c:ptCount val="1"/>
                <c:pt idx="0">
                  <c:v>carbon tax</c:v>
                </c:pt>
              </c:strCache>
            </c:strRef>
          </c:tx>
          <c:val>
            <c:numRef>
              <c:f>'Output tables'!$AP$130:$BO$130</c:f>
              <c:numCache>
                <c:formatCode>General</c:formatCode>
                <c:ptCount val="26"/>
                <c:pt idx="0">
                  <c:v>0</c:v>
                </c:pt>
                <c:pt idx="1">
                  <c:v>0</c:v>
                </c:pt>
                <c:pt idx="2">
                  <c:v>0</c:v>
                </c:pt>
                <c:pt idx="3">
                  <c:v>0</c:v>
                </c:pt>
                <c:pt idx="4">
                  <c:v>0</c:v>
                </c:pt>
                <c:pt idx="5">
                  <c:v>0</c:v>
                </c:pt>
                <c:pt idx="6">
                  <c:v>0</c:v>
                </c:pt>
                <c:pt idx="7">
                  <c:v>24478.761458211844</c:v>
                </c:pt>
                <c:pt idx="8">
                  <c:v>25085.250445959304</c:v>
                </c:pt>
                <c:pt idx="9">
                  <c:v>25832.544570616745</c:v>
                </c:pt>
                <c:pt idx="10">
                  <c:v>26409.578736324453</c:v>
                </c:pt>
                <c:pt idx="11">
                  <c:v>80935.238113534142</c:v>
                </c:pt>
                <c:pt idx="12">
                  <c:v>82024.055325167647</c:v>
                </c:pt>
                <c:pt idx="13">
                  <c:v>82654.008854736036</c:v>
                </c:pt>
                <c:pt idx="14">
                  <c:v>82446.419266861238</c:v>
                </c:pt>
                <c:pt idx="15">
                  <c:v>135826.39062892462</c:v>
                </c:pt>
                <c:pt idx="16">
                  <c:v>132881.15969909183</c:v>
                </c:pt>
                <c:pt idx="17">
                  <c:v>131732.7520290596</c:v>
                </c:pt>
                <c:pt idx="18">
                  <c:v>128301.54132022244</c:v>
                </c:pt>
                <c:pt idx="19">
                  <c:v>125012.84951799382</c:v>
                </c:pt>
                <c:pt idx="20">
                  <c:v>121859.89195074516</c:v>
                </c:pt>
                <c:pt idx="21">
                  <c:v>118978.57403761256</c:v>
                </c:pt>
                <c:pt idx="22">
                  <c:v>115580.60521462141</c:v>
                </c:pt>
                <c:pt idx="23">
                  <c:v>111853.24698395247</c:v>
                </c:pt>
                <c:pt idx="24">
                  <c:v>107774.63017262286</c:v>
                </c:pt>
                <c:pt idx="25">
                  <c:v>103796.03694549462</c:v>
                </c:pt>
              </c:numCache>
            </c:numRef>
          </c:val>
        </c:ser>
        <c:axId val="106715776"/>
        <c:axId val="106725760"/>
      </c:areaChart>
      <c:lineChart>
        <c:grouping val="standard"/>
        <c:ser>
          <c:idx val="20"/>
          <c:order val="20"/>
          <c:tx>
            <c:strRef>
              <c:f>'Output tables'!$A$132</c:f>
              <c:strCache>
                <c:ptCount val="1"/>
                <c:pt idx="0">
                  <c:v>Average annual electricity cost (R/kWh)</c:v>
                </c:pt>
              </c:strCache>
            </c:strRef>
          </c:tx>
          <c:marker>
            <c:symbol val="none"/>
          </c:marker>
          <c:val>
            <c:numRef>
              <c:f>'Output tables'!$AP$132:$BO$132</c:f>
              <c:numCache>
                <c:formatCode>General</c:formatCode>
                <c:ptCount val="26"/>
                <c:pt idx="0">
                  <c:v>9.3081558925848837E-2</c:v>
                </c:pt>
                <c:pt idx="1">
                  <c:v>0.10111172940856715</c:v>
                </c:pt>
                <c:pt idx="2">
                  <c:v>0.1073822276448695</c:v>
                </c:pt>
                <c:pt idx="3">
                  <c:v>0.11253193533162395</c:v>
                </c:pt>
                <c:pt idx="4">
                  <c:v>0.11103005156183383</c:v>
                </c:pt>
                <c:pt idx="5">
                  <c:v>0.11213531685831545</c:v>
                </c:pt>
                <c:pt idx="6">
                  <c:v>0.11882478129616292</c:v>
                </c:pt>
                <c:pt idx="7">
                  <c:v>0.1268949691092762</c:v>
                </c:pt>
                <c:pt idx="8">
                  <c:v>0.14518051558366465</c:v>
                </c:pt>
                <c:pt idx="9">
                  <c:v>0.16848553004438802</c:v>
                </c:pt>
                <c:pt idx="10">
                  <c:v>0.1945187059306244</c:v>
                </c:pt>
                <c:pt idx="11">
                  <c:v>0.21424951956301871</c:v>
                </c:pt>
                <c:pt idx="12">
                  <c:v>0.22944592022538995</c:v>
                </c:pt>
                <c:pt idx="13">
                  <c:v>0.24435882027107403</c:v>
                </c:pt>
                <c:pt idx="14">
                  <c:v>0.266314274598487</c:v>
                </c:pt>
                <c:pt idx="15">
                  <c:v>0.29157930763711365</c:v>
                </c:pt>
                <c:pt idx="16">
                  <c:v>0.32196220212016691</c:v>
                </c:pt>
                <c:pt idx="17">
                  <c:v>0.34676167569557836</c:v>
                </c:pt>
                <c:pt idx="18">
                  <c:v>0.38184570652813377</c:v>
                </c:pt>
                <c:pt idx="19">
                  <c:v>0.41297116575118181</c:v>
                </c:pt>
                <c:pt idx="20">
                  <c:v>0.44043279825337994</c:v>
                </c:pt>
                <c:pt idx="21">
                  <c:v>0.46744601657030288</c:v>
                </c:pt>
                <c:pt idx="22">
                  <c:v>0.49551332361631439</c:v>
                </c:pt>
                <c:pt idx="23">
                  <c:v>0.52401939341596682</c:v>
                </c:pt>
                <c:pt idx="24">
                  <c:v>0.55694095727485204</c:v>
                </c:pt>
                <c:pt idx="25">
                  <c:v>0.58111484366678268</c:v>
                </c:pt>
              </c:numCache>
            </c:numRef>
          </c:val>
        </c:ser>
        <c:ser>
          <c:idx val="21"/>
          <c:order val="21"/>
          <c:tx>
            <c:strRef>
              <c:f>'Output tables'!$A$133</c:f>
              <c:strCache>
                <c:ptCount val="1"/>
                <c:pt idx="0">
                  <c:v>Average an elec cost with carbon tax</c:v>
                </c:pt>
              </c:strCache>
            </c:strRef>
          </c:tx>
          <c:marker>
            <c:symbol val="none"/>
          </c:marker>
          <c:val>
            <c:numRef>
              <c:f>'Output tables'!$AP$133:$BO$133</c:f>
              <c:numCache>
                <c:formatCode>General</c:formatCode>
                <c:ptCount val="26"/>
                <c:pt idx="0">
                  <c:v>9.3081558925848837E-2</c:v>
                </c:pt>
                <c:pt idx="1">
                  <c:v>0.10111172940856715</c:v>
                </c:pt>
                <c:pt idx="2">
                  <c:v>0.1073822276448695</c:v>
                </c:pt>
                <c:pt idx="3">
                  <c:v>0.11253193533162395</c:v>
                </c:pt>
                <c:pt idx="4">
                  <c:v>0.11103005156183383</c:v>
                </c:pt>
                <c:pt idx="5">
                  <c:v>0.11213531685831545</c:v>
                </c:pt>
                <c:pt idx="6">
                  <c:v>0.11882478129616292</c:v>
                </c:pt>
                <c:pt idx="7">
                  <c:v>0.21958786214911746</c:v>
                </c:pt>
                <c:pt idx="8">
                  <c:v>0.23715211022808946</c:v>
                </c:pt>
                <c:pt idx="9">
                  <c:v>0.25977905901025378</c:v>
                </c:pt>
                <c:pt idx="10">
                  <c:v>0.28463189606581712</c:v>
                </c:pt>
                <c:pt idx="11">
                  <c:v>0.48079627090822735</c:v>
                </c:pt>
                <c:pt idx="12">
                  <c:v>0.49210444029677236</c:v>
                </c:pt>
                <c:pt idx="13">
                  <c:v>0.50152927942361591</c:v>
                </c:pt>
                <c:pt idx="14">
                  <c:v>0.5154426743891356</c:v>
                </c:pt>
                <c:pt idx="15">
                  <c:v>0.69044664019011837</c:v>
                </c:pt>
                <c:pt idx="16">
                  <c:v>0.70094711648264263</c:v>
                </c:pt>
                <c:pt idx="17">
                  <c:v>0.71180654088754902</c:v>
                </c:pt>
                <c:pt idx="18">
                  <c:v>0.72690974129037422</c:v>
                </c:pt>
                <c:pt idx="19">
                  <c:v>0.73924637159788553</c:v>
                </c:pt>
                <c:pt idx="20">
                  <c:v>0.74895154263465102</c:v>
                </c:pt>
                <c:pt idx="21">
                  <c:v>0.75922979015405712</c:v>
                </c:pt>
                <c:pt idx="22">
                  <c:v>0.76999625486589318</c:v>
                </c:pt>
                <c:pt idx="23">
                  <c:v>0.78125728425994734</c:v>
                </c:pt>
                <c:pt idx="24">
                  <c:v>0.79705108793823576</c:v>
                </c:pt>
                <c:pt idx="25">
                  <c:v>0.80721470217948343</c:v>
                </c:pt>
              </c:numCache>
            </c:numRef>
          </c:val>
        </c:ser>
        <c:marker val="1"/>
        <c:axId val="106727680"/>
        <c:axId val="106733568"/>
      </c:lineChart>
      <c:catAx>
        <c:axId val="106715776"/>
        <c:scaling>
          <c:orientation val="minMax"/>
        </c:scaling>
        <c:axPos val="b"/>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6725760"/>
        <c:crosses val="autoZero"/>
        <c:auto val="1"/>
        <c:lblAlgn val="ctr"/>
        <c:lblOffset val="100"/>
      </c:catAx>
      <c:valAx>
        <c:axId val="106725760"/>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R million</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6715776"/>
        <c:crosses val="autoZero"/>
        <c:crossBetween val="between"/>
      </c:valAx>
      <c:catAx>
        <c:axId val="106727680"/>
        <c:scaling>
          <c:orientation val="minMax"/>
        </c:scaling>
        <c:delete val="1"/>
        <c:axPos val="b"/>
        <c:tickLblPos val="none"/>
        <c:crossAx val="106733568"/>
        <c:crosses val="autoZero"/>
        <c:auto val="1"/>
        <c:lblAlgn val="ctr"/>
        <c:lblOffset val="100"/>
      </c:catAx>
      <c:valAx>
        <c:axId val="106733568"/>
        <c:scaling>
          <c:orientation val="minMax"/>
        </c:scaling>
        <c:axPos val="r"/>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6727680"/>
        <c:crosses val="max"/>
        <c:crossBetween val="between"/>
      </c:valAx>
    </c:plotArea>
    <c:legend>
      <c:legendPos val="b"/>
      <c:layout>
        <c:manualLayout>
          <c:xMode val="edge"/>
          <c:yMode val="edge"/>
          <c:x val="1.9251579885088443E-4"/>
          <c:y val="0.6367899652078377"/>
          <c:w val="0.98710478957783965"/>
          <c:h val="0.36321003479216268"/>
        </c:manualLayout>
      </c:layout>
      <c:txPr>
        <a:bodyPr/>
        <a:lstStyle/>
        <a:p>
          <a:pPr>
            <a:defRPr lang="en-ZA" sz="845" b="0" i="0" u="none" strike="noStrike" baseline="0">
              <a:solidFill>
                <a:srgbClr val="000000"/>
              </a:solidFill>
              <a:latin typeface="Calibri"/>
              <a:ea typeface="Calibri"/>
              <a:cs typeface="Calibri"/>
            </a:defRPr>
          </a:pPr>
          <a:endParaRPr lang="en-US"/>
        </a:p>
      </c:txPr>
    </c:legend>
    <c:plotVisOnly val="1"/>
    <c:dispBlanksAs val="zero"/>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211" l="0.70000000000000062" r="0.70000000000000062" t="0.75000000000000211" header="0.30000000000000032" footer="0.30000000000000032"/>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050" b="1" i="0" u="none" strike="noStrike" baseline="0">
                <a:solidFill>
                  <a:srgbClr val="000000"/>
                </a:solidFill>
                <a:latin typeface="Calibri"/>
                <a:ea typeface="Calibri"/>
                <a:cs typeface="Calibri"/>
              </a:defRPr>
            </a:pPr>
            <a:r>
              <a:rPr lang="en-ZA"/>
              <a:t>Annual investment requirement</a:t>
            </a:r>
          </a:p>
        </c:rich>
      </c:tx>
      <c:overlay val="1"/>
    </c:title>
    <c:plotArea>
      <c:layout>
        <c:manualLayout>
          <c:layoutTarget val="inner"/>
          <c:xMode val="edge"/>
          <c:yMode val="edge"/>
          <c:x val="0.15451618547681625"/>
          <c:y val="6.1014547094656674E-2"/>
          <c:w val="0.78676159230096232"/>
          <c:h val="0.50886813061410863"/>
        </c:manualLayout>
      </c:layout>
      <c:areaChart>
        <c:grouping val="stacked"/>
        <c:ser>
          <c:idx val="0"/>
          <c:order val="0"/>
          <c:tx>
            <c:strRef>
              <c:f>'Output tables'!$A$144</c:f>
              <c:strCache>
                <c:ptCount val="1"/>
                <c:pt idx="0">
                  <c:v>Existing coal Large</c:v>
                </c:pt>
              </c:strCache>
            </c:strRef>
          </c:tx>
          <c:cat>
            <c:numRef>
              <c:f>'Output tables'!$B$143:$AA$143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tables'!$B$144:$AA$144</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
          <c:order val="1"/>
          <c:tx>
            <c:strRef>
              <c:f>'Output tables'!$A$145</c:f>
              <c:strCache>
                <c:ptCount val="1"/>
                <c:pt idx="0">
                  <c:v>Existing coal Small</c:v>
                </c:pt>
              </c:strCache>
            </c:strRef>
          </c:tx>
          <c:cat>
            <c:numRef>
              <c:f>'Output tables'!$B$143:$AA$143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tables'!$B$145:$AA$145</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2"/>
          <c:order val="2"/>
          <c:tx>
            <c:strRef>
              <c:f>'Output tables'!$A$146</c:f>
              <c:strCache>
                <c:ptCount val="1"/>
                <c:pt idx="0">
                  <c:v>OCGT liquid fuels</c:v>
                </c:pt>
              </c:strCache>
            </c:strRef>
          </c:tx>
          <c:cat>
            <c:numRef>
              <c:f>'Output tables'!$B$143:$AA$143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tables'!$B$146:$AA$146</c:f>
              <c:numCache>
                <c:formatCode>General</c:formatCode>
                <c:ptCount val="26"/>
                <c:pt idx="0">
                  <c:v>0</c:v>
                </c:pt>
                <c:pt idx="1">
                  <c:v>0</c:v>
                </c:pt>
                <c:pt idx="2">
                  <c:v>0</c:v>
                </c:pt>
                <c:pt idx="3">
                  <c:v>299.85406508081212</c:v>
                </c:pt>
                <c:pt idx="4">
                  <c:v>1229.4016668313295</c:v>
                </c:pt>
                <c:pt idx="5">
                  <c:v>4650.7365494033957</c:v>
                </c:pt>
                <c:pt idx="6">
                  <c:v>0</c:v>
                </c:pt>
                <c:pt idx="7">
                  <c:v>0</c:v>
                </c:pt>
                <c:pt idx="8">
                  <c:v>0</c:v>
                </c:pt>
                <c:pt idx="9">
                  <c:v>0</c:v>
                </c:pt>
                <c:pt idx="10">
                  <c:v>0</c:v>
                </c:pt>
                <c:pt idx="11">
                  <c:v>0</c:v>
                </c:pt>
                <c:pt idx="12">
                  <c:v>0</c:v>
                </c:pt>
                <c:pt idx="13">
                  <c:v>0</c:v>
                </c:pt>
                <c:pt idx="14">
                  <c:v>0</c:v>
                </c:pt>
                <c:pt idx="15">
                  <c:v>199.90271005387473</c:v>
                </c:pt>
                <c:pt idx="16">
                  <c:v>819.6011112208862</c:v>
                </c:pt>
                <c:pt idx="17">
                  <c:v>3100.4910329355966</c:v>
                </c:pt>
                <c:pt idx="18">
                  <c:v>199.90271005387473</c:v>
                </c:pt>
                <c:pt idx="19">
                  <c:v>819.6011112208862</c:v>
                </c:pt>
                <c:pt idx="20">
                  <c:v>3100.4910329355966</c:v>
                </c:pt>
                <c:pt idx="21">
                  <c:v>199.90271005387473</c:v>
                </c:pt>
                <c:pt idx="22">
                  <c:v>819.6011112208862</c:v>
                </c:pt>
                <c:pt idx="23">
                  <c:v>3100.4910329355966</c:v>
                </c:pt>
                <c:pt idx="24">
                  <c:v>0</c:v>
                </c:pt>
                <c:pt idx="25">
                  <c:v>0</c:v>
                </c:pt>
              </c:numCache>
            </c:numRef>
          </c:val>
        </c:ser>
        <c:ser>
          <c:idx val="3"/>
          <c:order val="3"/>
          <c:tx>
            <c:strRef>
              <c:f>'Output tables'!$A$147</c:f>
              <c:strCache>
                <c:ptCount val="1"/>
                <c:pt idx="0">
                  <c:v>PWR nuclear</c:v>
                </c:pt>
              </c:strCache>
            </c:strRef>
          </c:tx>
          <c:cat>
            <c:numRef>
              <c:f>'Output tables'!$B$143:$AA$143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tables'!$B$147:$AA$147</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4"/>
          <c:order val="4"/>
          <c:tx>
            <c:strRef>
              <c:f>'Output tables'!$A$148</c:f>
              <c:strCache>
                <c:ptCount val="1"/>
                <c:pt idx="0">
                  <c:v>Hydro</c:v>
                </c:pt>
              </c:strCache>
            </c:strRef>
          </c:tx>
          <c:cat>
            <c:numRef>
              <c:f>'Output tables'!$B$143:$AA$143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tables'!$B$148:$AA$148</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5"/>
          <c:order val="5"/>
          <c:tx>
            <c:strRef>
              <c:f>'Output tables'!$A$149</c:f>
              <c:strCache>
                <c:ptCount val="1"/>
                <c:pt idx="0">
                  <c:v>Landfill gas</c:v>
                </c:pt>
              </c:strCache>
            </c:strRef>
          </c:tx>
          <c:cat>
            <c:numRef>
              <c:f>'Output tables'!$B$143:$AA$143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tables'!$B$149:$AA$149</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6"/>
          <c:order val="6"/>
          <c:tx>
            <c:strRef>
              <c:f>'Output tables'!$A$150</c:f>
              <c:strCache>
                <c:ptCount val="1"/>
                <c:pt idx="0">
                  <c:v>Biomass</c:v>
                </c:pt>
              </c:strCache>
            </c:strRef>
          </c:tx>
          <c:cat>
            <c:numRef>
              <c:f>'Output tables'!$B$143:$AA$143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tables'!$B$150:$AA$150</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7"/>
          <c:order val="7"/>
          <c:tx>
            <c:strRef>
              <c:f>'Output tables'!$A$151</c:f>
              <c:strCache>
                <c:ptCount val="1"/>
                <c:pt idx="0">
                  <c:v>Supercritical coal</c:v>
                </c:pt>
              </c:strCache>
            </c:strRef>
          </c:tx>
          <c:cat>
            <c:numRef>
              <c:f>'Output tables'!$B$143:$AA$143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tables'!$B$151:$AA$151</c:f>
              <c:numCache>
                <c:formatCode>General</c:formatCode>
                <c:ptCount val="26"/>
                <c:pt idx="0">
                  <c:v>0</c:v>
                </c:pt>
                <c:pt idx="1">
                  <c:v>663.75232174368716</c:v>
                </c:pt>
                <c:pt idx="2">
                  <c:v>2053.5222759085655</c:v>
                </c:pt>
                <c:pt idx="3">
                  <c:v>3813.0002183239285</c:v>
                </c:pt>
                <c:pt idx="4">
                  <c:v>9740.6803993905232</c:v>
                </c:pt>
                <c:pt idx="5">
                  <c:v>21245.764687606472</c:v>
                </c:pt>
                <c:pt idx="6">
                  <c:v>34313.993522929261</c:v>
                </c:pt>
                <c:pt idx="7">
                  <c:v>43505.386962536453</c:v>
                </c:pt>
                <c:pt idx="8">
                  <c:v>41373.521424703482</c:v>
                </c:pt>
                <c:pt idx="9">
                  <c:v>34708.857909120299</c:v>
                </c:pt>
                <c:pt idx="10">
                  <c:v>37940.691924532643</c:v>
                </c:pt>
                <c:pt idx="11">
                  <c:v>45394.067356270752</c:v>
                </c:pt>
                <c:pt idx="12">
                  <c:v>47015.681989247241</c:v>
                </c:pt>
                <c:pt idx="13">
                  <c:v>51503.338923124145</c:v>
                </c:pt>
                <c:pt idx="14">
                  <c:v>58477.174735643042</c:v>
                </c:pt>
                <c:pt idx="15">
                  <c:v>56640.067418795952</c:v>
                </c:pt>
                <c:pt idx="16">
                  <c:v>55069.273424150328</c:v>
                </c:pt>
                <c:pt idx="17">
                  <c:v>60000.483870990036</c:v>
                </c:pt>
                <c:pt idx="18">
                  <c:v>67090.983809082973</c:v>
                </c:pt>
                <c:pt idx="19">
                  <c:v>74288.037740997534</c:v>
                </c:pt>
                <c:pt idx="20">
                  <c:v>72662.922563527696</c:v>
                </c:pt>
                <c:pt idx="21">
                  <c:v>72909.761059705561</c:v>
                </c:pt>
                <c:pt idx="22">
                  <c:v>77194.778554316377</c:v>
                </c:pt>
                <c:pt idx="23">
                  <c:v>51550.631258786714</c:v>
                </c:pt>
                <c:pt idx="24">
                  <c:v>11797.18765209939</c:v>
                </c:pt>
                <c:pt idx="25">
                  <c:v>0</c:v>
                </c:pt>
              </c:numCache>
            </c:numRef>
          </c:val>
        </c:ser>
        <c:ser>
          <c:idx val="8"/>
          <c:order val="8"/>
          <c:tx>
            <c:strRef>
              <c:f>'Output tables'!$A$152</c:f>
              <c:strCache>
                <c:ptCount val="1"/>
                <c:pt idx="0">
                  <c:v>Wind 30% </c:v>
                </c:pt>
              </c:strCache>
            </c:strRef>
          </c:tx>
          <c:cat>
            <c:numRef>
              <c:f>'Output tables'!$B$143:$AA$143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tables'!$B$152:$AA$152</c:f>
              <c:numCache>
                <c:formatCode>General</c:formatCode>
                <c:ptCount val="26"/>
                <c:pt idx="0">
                  <c:v>0</c:v>
                </c:pt>
                <c:pt idx="1">
                  <c:v>0</c:v>
                </c:pt>
                <c:pt idx="2">
                  <c:v>75.703206024444654</c:v>
                </c:pt>
                <c:pt idx="3">
                  <c:v>310.38314470022311</c:v>
                </c:pt>
                <c:pt idx="4">
                  <c:v>1174.1567254391368</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9"/>
          <c:order val="9"/>
          <c:tx>
            <c:strRef>
              <c:f>'Output tables'!$A$153</c:f>
              <c:strCache>
                <c:ptCount val="1"/>
                <c:pt idx="0">
                  <c:v>Wind 25%</c:v>
                </c:pt>
              </c:strCache>
            </c:strRef>
          </c:tx>
          <c:cat>
            <c:numRef>
              <c:f>'Output tables'!$B$143:$AA$143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tables'!$B$153:$AA$153</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0"/>
          <c:order val="10"/>
          <c:tx>
            <c:strRef>
              <c:f>'Output tables'!$A$154</c:f>
              <c:strCache>
                <c:ptCount val="1"/>
                <c:pt idx="0">
                  <c:v>solar thermal central reciever</c:v>
                </c:pt>
              </c:strCache>
            </c:strRef>
          </c:tx>
          <c:cat>
            <c:numRef>
              <c:f>'Output tables'!$B$143:$AA$143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tables'!$B$154:$AA$154</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1"/>
          <c:order val="11"/>
          <c:tx>
            <c:strRef>
              <c:f>'Output tables'!$A$155</c:f>
              <c:strCache>
                <c:ptCount val="1"/>
                <c:pt idx="0">
                  <c:v>solar thermal trough</c:v>
                </c:pt>
              </c:strCache>
            </c:strRef>
          </c:tx>
          <c:cat>
            <c:numRef>
              <c:f>'Output tables'!$B$143:$AA$143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tables'!$B$155:$AA$155</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2"/>
          <c:order val="12"/>
          <c:tx>
            <c:strRef>
              <c:f>'Output tables'!$A$156</c:f>
              <c:strCache>
                <c:ptCount val="1"/>
                <c:pt idx="0">
                  <c:v>solar PV</c:v>
                </c:pt>
              </c:strCache>
            </c:strRef>
          </c:tx>
          <c:cat>
            <c:numRef>
              <c:f>'Output tables'!$B$143:$AA$143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tables'!$B$156:$AA$156</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3"/>
          <c:order val="13"/>
          <c:tx>
            <c:strRef>
              <c:f>'Output tables'!$A$157</c:f>
              <c:strCache>
                <c:ptCount val="1"/>
                <c:pt idx="0">
                  <c:v>combined cycle gas</c:v>
                </c:pt>
              </c:strCache>
            </c:strRef>
          </c:tx>
          <c:cat>
            <c:numRef>
              <c:f>'Output tables'!$B$143:$AA$143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tables'!$B$157:$AA$157</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4"/>
          <c:order val="14"/>
          <c:tx>
            <c:strRef>
              <c:f>'Output tables'!$A$158</c:f>
              <c:strCache>
                <c:ptCount val="1"/>
                <c:pt idx="0">
                  <c:v>PBMR</c:v>
                </c:pt>
              </c:strCache>
            </c:strRef>
          </c:tx>
          <c:cat>
            <c:numRef>
              <c:f>'Output tables'!$B$143:$AA$143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tables'!$B$158:$AA$158</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5"/>
          <c:order val="15"/>
          <c:tx>
            <c:strRef>
              <c:f>'Output tables'!$A$159</c:f>
              <c:strCache>
                <c:ptCount val="1"/>
                <c:pt idx="0">
                  <c:v>IGCC</c:v>
                </c:pt>
              </c:strCache>
            </c:strRef>
          </c:tx>
          <c:cat>
            <c:numRef>
              <c:f>'Output tables'!$B$143:$AA$143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tables'!$B$159:$AA$159</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6"/>
          <c:order val="16"/>
          <c:tx>
            <c:strRef>
              <c:f>'Output tables'!$A$160</c:f>
              <c:strCache>
                <c:ptCount val="1"/>
                <c:pt idx="0">
                  <c:v>-</c:v>
                </c:pt>
              </c:strCache>
            </c:strRef>
          </c:tx>
          <c:cat>
            <c:numRef>
              <c:f>'Output tables'!$B$143:$AA$143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tables'!$B$160:$AA$160</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7"/>
          <c:order val="17"/>
          <c:tx>
            <c:strRef>
              <c:f>'Output tables'!$A$161</c:f>
              <c:strCache>
                <c:ptCount val="1"/>
                <c:pt idx="0">
                  <c:v>-</c:v>
                </c:pt>
              </c:strCache>
            </c:strRef>
          </c:tx>
          <c:cat>
            <c:numRef>
              <c:f>'Output tables'!$B$143:$AA$143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tables'!$B$161:$AA$161</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8"/>
          <c:order val="18"/>
          <c:tx>
            <c:strRef>
              <c:f>'Output tables'!$A$162</c:f>
              <c:strCache>
                <c:ptCount val="1"/>
                <c:pt idx="0">
                  <c:v>-</c:v>
                </c:pt>
              </c:strCache>
            </c:strRef>
          </c:tx>
          <c:cat>
            <c:numRef>
              <c:f>'Output tables'!$B$143:$AA$143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tables'!$B$162:$AA$162</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9"/>
          <c:order val="19"/>
          <c:tx>
            <c:strRef>
              <c:f>'Output tables'!$A$163</c:f>
              <c:strCache>
                <c:ptCount val="1"/>
                <c:pt idx="0">
                  <c:v>Pumped storage</c:v>
                </c:pt>
              </c:strCache>
            </c:strRef>
          </c:tx>
          <c:cat>
            <c:numRef>
              <c:f>'Output tables'!$B$143:$AA$143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tables'!$B$163:$AA$163</c:f>
              <c:numCache>
                <c:formatCode>General</c:formatCode>
                <c:ptCount val="26"/>
                <c:pt idx="0">
                  <c:v>1152.7675173263508</c:v>
                </c:pt>
                <c:pt idx="1">
                  <c:v>1268.0442690589857</c:v>
                </c:pt>
                <c:pt idx="2">
                  <c:v>1551.6878139684695</c:v>
                </c:pt>
                <c:pt idx="3">
                  <c:v>1863.6957133689016</c:v>
                </c:pt>
                <c:pt idx="4">
                  <c:v>2050.0652847057918</c:v>
                </c:pt>
                <c:pt idx="5">
                  <c:v>2255.0718131763715</c:v>
                </c:pt>
                <c:pt idx="6">
                  <c:v>2480.5789944940079</c:v>
                </c:pt>
                <c:pt idx="7">
                  <c:v>2728.6368939434087</c:v>
                </c:pt>
                <c:pt idx="8">
                  <c:v>1429.2859920655951</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20"/>
          <c:order val="20"/>
          <c:tx>
            <c:strRef>
              <c:f>'Output tables'!$A$164</c:f>
              <c:strCache>
                <c:ptCount val="1"/>
                <c:pt idx="0">
                  <c:v>Demand reduction  (PV and SWH)</c:v>
                </c:pt>
              </c:strCache>
            </c:strRef>
          </c:tx>
          <c:spPr>
            <a:ln w="25400">
              <a:noFill/>
            </a:ln>
          </c:spPr>
          <c:cat>
            <c:numRef>
              <c:f>'Output tables'!$B$143:$AA$143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tables'!$B$164:$AA$164</c:f>
              <c:numCache>
                <c:formatCode>General</c:formatCode>
                <c:ptCount val="26"/>
                <c:pt idx="0">
                  <c:v>0</c:v>
                </c:pt>
                <c:pt idx="1">
                  <c:v>0</c:v>
                </c:pt>
                <c:pt idx="2">
                  <c:v>0</c:v>
                </c:pt>
                <c:pt idx="3">
                  <c:v>0</c:v>
                </c:pt>
                <c:pt idx="4">
                  <c:v>0</c:v>
                </c:pt>
                <c:pt idx="5">
                  <c:v>3351.7211896980557</c:v>
                </c:pt>
                <c:pt idx="6">
                  <c:v>3228.6179183161726</c:v>
                </c:pt>
                <c:pt idx="7">
                  <c:v>3105.514646934289</c:v>
                </c:pt>
                <c:pt idx="8">
                  <c:v>2982.4113755524058</c:v>
                </c:pt>
                <c:pt idx="9">
                  <c:v>2830.9943517526899</c:v>
                </c:pt>
                <c:pt idx="10">
                  <c:v>2679.5773279529726</c:v>
                </c:pt>
                <c:pt idx="11">
                  <c:v>2596.8026882757945</c:v>
                </c:pt>
                <c:pt idx="12">
                  <c:v>2514.0280485986159</c:v>
                </c:pt>
                <c:pt idx="13">
                  <c:v>2431.2534089214378</c:v>
                </c:pt>
                <c:pt idx="14">
                  <c:v>2363.3782043861515</c:v>
                </c:pt>
                <c:pt idx="15">
                  <c:v>4591.0059997017306</c:v>
                </c:pt>
                <c:pt idx="16">
                  <c:v>4455.2555906311582</c:v>
                </c:pt>
                <c:pt idx="17">
                  <c:v>4371.7690890527565</c:v>
                </c:pt>
                <c:pt idx="18">
                  <c:v>4288.2825874743539</c:v>
                </c:pt>
                <c:pt idx="19">
                  <c:v>4204.7960858959523</c:v>
                </c:pt>
                <c:pt idx="20">
                  <c:v>4121.3095843175506</c:v>
                </c:pt>
                <c:pt idx="21">
                  <c:v>4121.3095843175506</c:v>
                </c:pt>
                <c:pt idx="22">
                  <c:v>4121.3095843175506</c:v>
                </c:pt>
                <c:pt idx="23">
                  <c:v>4121.3095843175506</c:v>
                </c:pt>
                <c:pt idx="24">
                  <c:v>4121.3095843175506</c:v>
                </c:pt>
                <c:pt idx="25">
                  <c:v>4121.3095843175506</c:v>
                </c:pt>
              </c:numCache>
            </c:numRef>
          </c:val>
        </c:ser>
        <c:axId val="106772736"/>
        <c:axId val="106799104"/>
      </c:areaChart>
      <c:catAx>
        <c:axId val="106772736"/>
        <c:scaling>
          <c:orientation val="minMax"/>
        </c:scaling>
        <c:axPos val="b"/>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6799104"/>
        <c:crosses val="autoZero"/>
        <c:auto val="1"/>
        <c:lblAlgn val="ctr"/>
        <c:lblOffset val="100"/>
      </c:catAx>
      <c:valAx>
        <c:axId val="106799104"/>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R million</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6772736"/>
        <c:crosses val="autoZero"/>
        <c:crossBetween val="midCat"/>
      </c:valAx>
    </c:plotArea>
    <c:legend>
      <c:legendPos val="b"/>
      <c:layout>
        <c:manualLayout>
          <c:xMode val="edge"/>
          <c:yMode val="edge"/>
          <c:x val="8.6470098158971244E-4"/>
          <c:y val="0.66447822252834821"/>
          <c:w val="0.98995107711774699"/>
          <c:h val="0.33552177747165379"/>
        </c:manualLayout>
      </c:layout>
      <c:txPr>
        <a:bodyPr/>
        <a:lstStyle/>
        <a:p>
          <a:pPr>
            <a:defRPr lang="en-ZA" sz="845" b="0" i="0" u="none" strike="noStrike" baseline="0">
              <a:solidFill>
                <a:srgbClr val="000000"/>
              </a:solidFill>
              <a:latin typeface="Calibri"/>
              <a:ea typeface="Calibri"/>
              <a:cs typeface="Calibri"/>
            </a:defRPr>
          </a:pPr>
          <a:endParaRPr lang="en-US"/>
        </a:p>
      </c:txPr>
    </c:legend>
    <c:plotVisOnly val="1"/>
    <c:dispBlanksAs val="zero"/>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178" l="0.70000000000000062" r="0.70000000000000062" t="0.75000000000000178" header="0.30000000000000032" footer="0.30000000000000032"/>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0.20484532716992523"/>
          <c:y val="7.173368953880789E-2"/>
          <c:w val="0.7486389574437553"/>
          <c:h val="0.62471011436070678"/>
        </c:manualLayout>
      </c:layout>
      <c:areaChart>
        <c:grouping val="stacked"/>
        <c:ser>
          <c:idx val="0"/>
          <c:order val="0"/>
          <c:tx>
            <c:strRef>
              <c:f>'Output tables'!$A$176</c:f>
              <c:strCache>
                <c:ptCount val="1"/>
                <c:pt idx="0">
                  <c:v>Annualised capital cost</c:v>
                </c:pt>
              </c:strCache>
            </c:strRef>
          </c:tx>
          <c:cat>
            <c:numRef>
              <c:f>'Output tables'!$B$175:$AA$175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tables'!$B$176:$AA$176</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
          <c:order val="1"/>
          <c:tx>
            <c:strRef>
              <c:f>'Output tables'!$A$177</c:f>
              <c:strCache>
                <c:ptCount val="1"/>
                <c:pt idx="0">
                  <c:v>Fixed O&amp;M</c:v>
                </c:pt>
              </c:strCache>
            </c:strRef>
          </c:tx>
          <c:cat>
            <c:numRef>
              <c:f>'Output tables'!$B$175:$AA$175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tables'!$B$177:$AA$177</c:f>
              <c:numCache>
                <c:formatCode>General</c:formatCode>
                <c:ptCount val="26"/>
                <c:pt idx="0">
                  <c:v>6048.8582920974877</c:v>
                </c:pt>
                <c:pt idx="1">
                  <c:v>6048.8582920974877</c:v>
                </c:pt>
                <c:pt idx="2">
                  <c:v>6048.8582920974877</c:v>
                </c:pt>
                <c:pt idx="3">
                  <c:v>6048.8582920974877</c:v>
                </c:pt>
                <c:pt idx="4">
                  <c:v>6048.8582920974877</c:v>
                </c:pt>
                <c:pt idx="5">
                  <c:v>6048.8582920974877</c:v>
                </c:pt>
                <c:pt idx="6">
                  <c:v>6048.8582920974877</c:v>
                </c:pt>
                <c:pt idx="7">
                  <c:v>6048.8582920974877</c:v>
                </c:pt>
                <c:pt idx="8">
                  <c:v>6048.8582920974877</c:v>
                </c:pt>
                <c:pt idx="9">
                  <c:v>6048.8582920974877</c:v>
                </c:pt>
                <c:pt idx="10">
                  <c:v>6048.8582920974877</c:v>
                </c:pt>
                <c:pt idx="11">
                  <c:v>6048.8582920974877</c:v>
                </c:pt>
                <c:pt idx="12">
                  <c:v>6048.8582920974877</c:v>
                </c:pt>
                <c:pt idx="13">
                  <c:v>6048.8582920974877</c:v>
                </c:pt>
                <c:pt idx="14">
                  <c:v>6048.8582920974877</c:v>
                </c:pt>
                <c:pt idx="15">
                  <c:v>6048.8582920974877</c:v>
                </c:pt>
                <c:pt idx="16">
                  <c:v>6048.8582920974877</c:v>
                </c:pt>
                <c:pt idx="17">
                  <c:v>6048.8582920974877</c:v>
                </c:pt>
                <c:pt idx="18">
                  <c:v>6048.8582920974877</c:v>
                </c:pt>
                <c:pt idx="19">
                  <c:v>5822.5546442686946</c:v>
                </c:pt>
                <c:pt idx="20">
                  <c:v>5596.2509964399023</c:v>
                </c:pt>
                <c:pt idx="21">
                  <c:v>5313.3714366539116</c:v>
                </c:pt>
                <c:pt idx="22">
                  <c:v>5030.4918768679208</c:v>
                </c:pt>
                <c:pt idx="23">
                  <c:v>4688.0587255480368</c:v>
                </c:pt>
                <c:pt idx="24">
                  <c:v>4003.1924229082706</c:v>
                </c:pt>
                <c:pt idx="25">
                  <c:v>3660.759271588387</c:v>
                </c:pt>
              </c:numCache>
            </c:numRef>
          </c:val>
        </c:ser>
        <c:ser>
          <c:idx val="2"/>
          <c:order val="2"/>
          <c:tx>
            <c:strRef>
              <c:f>'Output tables'!$A$178</c:f>
              <c:strCache>
                <c:ptCount val="1"/>
                <c:pt idx="0">
                  <c:v>Variable O&amp;M</c:v>
                </c:pt>
              </c:strCache>
            </c:strRef>
          </c:tx>
          <c:cat>
            <c:numRef>
              <c:f>'Output tables'!$B$175:$AA$175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tables'!$B$178:$AA$178</c:f>
              <c:numCache>
                <c:formatCode>General</c:formatCode>
                <c:ptCount val="26"/>
                <c:pt idx="0">
                  <c:v>1683.8151698604067</c:v>
                </c:pt>
                <c:pt idx="1">
                  <c:v>1683.8151698604067</c:v>
                </c:pt>
                <c:pt idx="2">
                  <c:v>1739.2841301648871</c:v>
                </c:pt>
                <c:pt idx="3">
                  <c:v>1758.6063755933469</c:v>
                </c:pt>
                <c:pt idx="4">
                  <c:v>1758.6063755933469</c:v>
                </c:pt>
                <c:pt idx="5">
                  <c:v>1800.1237409377582</c:v>
                </c:pt>
                <c:pt idx="6">
                  <c:v>1831.5966703478778</c:v>
                </c:pt>
                <c:pt idx="7">
                  <c:v>1866.5814170003246</c:v>
                </c:pt>
                <c:pt idx="8">
                  <c:v>1899.0774071754693</c:v>
                </c:pt>
                <c:pt idx="9">
                  <c:v>1900.7113850665073</c:v>
                </c:pt>
                <c:pt idx="10">
                  <c:v>1900.7113850665073</c:v>
                </c:pt>
                <c:pt idx="11">
                  <c:v>1900.7113850665073</c:v>
                </c:pt>
                <c:pt idx="12">
                  <c:v>1900.7113850665073</c:v>
                </c:pt>
                <c:pt idx="13">
                  <c:v>1900.7113850665073</c:v>
                </c:pt>
                <c:pt idx="14">
                  <c:v>1900.7113850665073</c:v>
                </c:pt>
                <c:pt idx="15">
                  <c:v>1900.7113850665073</c:v>
                </c:pt>
                <c:pt idx="16">
                  <c:v>1900.7113850665073</c:v>
                </c:pt>
                <c:pt idx="17">
                  <c:v>1900.7113850665073</c:v>
                </c:pt>
                <c:pt idx="18">
                  <c:v>1900.7113850665073</c:v>
                </c:pt>
                <c:pt idx="19">
                  <c:v>1829.6007887954358</c:v>
                </c:pt>
                <c:pt idx="20">
                  <c:v>1758.4901925243644</c:v>
                </c:pt>
                <c:pt idx="21">
                  <c:v>1669.6019471855252</c:v>
                </c:pt>
                <c:pt idx="22">
                  <c:v>1580.7137018466856</c:v>
                </c:pt>
                <c:pt idx="23">
                  <c:v>1473.1121416996696</c:v>
                </c:pt>
                <c:pt idx="24">
                  <c:v>1257.9090214056378</c:v>
                </c:pt>
                <c:pt idx="25">
                  <c:v>1150.3074612586215</c:v>
                </c:pt>
              </c:numCache>
            </c:numRef>
          </c:val>
        </c:ser>
        <c:ser>
          <c:idx val="3"/>
          <c:order val="3"/>
          <c:tx>
            <c:strRef>
              <c:f>'Output tables'!$A$179</c:f>
              <c:strCache>
                <c:ptCount val="1"/>
                <c:pt idx="0">
                  <c:v>Fuel cost</c:v>
                </c:pt>
              </c:strCache>
            </c:strRef>
          </c:tx>
          <c:cat>
            <c:numRef>
              <c:f>'Output tables'!$B$175:$AA$175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tables'!$B$179:$AA$179</c:f>
              <c:numCache>
                <c:formatCode>General</c:formatCode>
                <c:ptCount val="26"/>
                <c:pt idx="0">
                  <c:v>8523.1750722774159</c:v>
                </c:pt>
                <c:pt idx="1">
                  <c:v>10115.401768211486</c:v>
                </c:pt>
                <c:pt idx="2">
                  <c:v>12093.306174004372</c:v>
                </c:pt>
                <c:pt idx="3">
                  <c:v>12971.008064332525</c:v>
                </c:pt>
                <c:pt idx="4">
                  <c:v>12971.008064332525</c:v>
                </c:pt>
                <c:pt idx="5">
                  <c:v>13353.098874788571</c:v>
                </c:pt>
                <c:pt idx="6">
                  <c:v>13663.757606245945</c:v>
                </c:pt>
                <c:pt idx="7">
                  <c:v>14003.415577443595</c:v>
                </c:pt>
                <c:pt idx="8">
                  <c:v>14327.24658154128</c:v>
                </c:pt>
                <c:pt idx="9">
                  <c:v>14419.683183713039</c:v>
                </c:pt>
                <c:pt idx="10">
                  <c:v>14499.792534733666</c:v>
                </c:pt>
                <c:pt idx="11">
                  <c:v>14579.901885754294</c:v>
                </c:pt>
                <c:pt idx="12">
                  <c:v>14660.011236774921</c:v>
                </c:pt>
                <c:pt idx="13">
                  <c:v>14740.120587795551</c:v>
                </c:pt>
                <c:pt idx="14">
                  <c:v>14820.229938816179</c:v>
                </c:pt>
                <c:pt idx="15">
                  <c:v>14900.339289836807</c:v>
                </c:pt>
                <c:pt idx="16">
                  <c:v>14980.448640857434</c:v>
                </c:pt>
                <c:pt idx="17">
                  <c:v>15060.557991878062</c:v>
                </c:pt>
                <c:pt idx="18">
                  <c:v>15140.667342898691</c:v>
                </c:pt>
                <c:pt idx="19">
                  <c:v>14651.327531401908</c:v>
                </c:pt>
                <c:pt idx="20">
                  <c:v>14155.993518194417</c:v>
                </c:pt>
                <c:pt idx="21">
                  <c:v>13510.804462219186</c:v>
                </c:pt>
                <c:pt idx="22">
                  <c:v>12858.122654105562</c:v>
                </c:pt>
                <c:pt idx="23">
                  <c:v>12044.938208080182</c:v>
                </c:pt>
                <c:pt idx="24">
                  <c:v>10338.341658396081</c:v>
                </c:pt>
                <c:pt idx="25">
                  <c:v>9502.4817782676801</c:v>
                </c:pt>
              </c:numCache>
            </c:numRef>
          </c:val>
        </c:ser>
        <c:ser>
          <c:idx val="5"/>
          <c:order val="5"/>
          <c:tx>
            <c:strRef>
              <c:f>'Output tables'!$A$180</c:f>
              <c:strCache>
                <c:ptCount val="1"/>
                <c:pt idx="0">
                  <c:v>Carbon tax</c:v>
                </c:pt>
              </c:strCache>
            </c:strRef>
          </c:tx>
          <c:val>
            <c:numRef>
              <c:f>'Output tables'!$B$180:$AA$180</c:f>
              <c:numCache>
                <c:formatCode>General</c:formatCode>
                <c:ptCount val="26"/>
                <c:pt idx="0">
                  <c:v>0</c:v>
                </c:pt>
                <c:pt idx="1">
                  <c:v>0</c:v>
                </c:pt>
                <c:pt idx="2">
                  <c:v>0</c:v>
                </c:pt>
                <c:pt idx="3">
                  <c:v>0</c:v>
                </c:pt>
                <c:pt idx="4">
                  <c:v>0</c:v>
                </c:pt>
                <c:pt idx="5">
                  <c:v>0</c:v>
                </c:pt>
                <c:pt idx="6">
                  <c:v>0</c:v>
                </c:pt>
                <c:pt idx="7">
                  <c:v>22653.308435134553</c:v>
                </c:pt>
                <c:pt idx="8">
                  <c:v>23047.688064995898</c:v>
                </c:pt>
                <c:pt idx="9">
                  <c:v>23067.518437678682</c:v>
                </c:pt>
                <c:pt idx="10">
                  <c:v>23067.518437678682</c:v>
                </c:pt>
                <c:pt idx="11">
                  <c:v>69202.555313036049</c:v>
                </c:pt>
                <c:pt idx="12">
                  <c:v>69202.555313036049</c:v>
                </c:pt>
                <c:pt idx="13">
                  <c:v>69202.555313036049</c:v>
                </c:pt>
                <c:pt idx="14">
                  <c:v>69202.555313036049</c:v>
                </c:pt>
                <c:pt idx="15">
                  <c:v>115337.59218839342</c:v>
                </c:pt>
                <c:pt idx="16">
                  <c:v>115337.59218839342</c:v>
                </c:pt>
                <c:pt idx="17">
                  <c:v>115337.59218839342</c:v>
                </c:pt>
                <c:pt idx="18">
                  <c:v>115337.59218839342</c:v>
                </c:pt>
                <c:pt idx="19">
                  <c:v>111022.51046824087</c:v>
                </c:pt>
                <c:pt idx="20">
                  <c:v>106707.42874808832</c:v>
                </c:pt>
                <c:pt idx="21">
                  <c:v>101313.57659789764</c:v>
                </c:pt>
                <c:pt idx="22">
                  <c:v>95919.724447706918</c:v>
                </c:pt>
                <c:pt idx="23">
                  <c:v>89390.324476423455</c:v>
                </c:pt>
                <c:pt idx="24">
                  <c:v>76331.524533856515</c:v>
                </c:pt>
                <c:pt idx="25">
                  <c:v>69802.124562573023</c:v>
                </c:pt>
              </c:numCache>
            </c:numRef>
          </c:val>
        </c:ser>
        <c:axId val="106965632"/>
        <c:axId val="106983808"/>
      </c:areaChart>
      <c:lineChart>
        <c:grouping val="standard"/>
        <c:ser>
          <c:idx val="4"/>
          <c:order val="4"/>
          <c:tx>
            <c:strRef>
              <c:f>'Output tables'!$A$181</c:f>
              <c:strCache>
                <c:ptCount val="1"/>
                <c:pt idx="0">
                  <c:v>Annual investment requirement</c:v>
                </c:pt>
              </c:strCache>
            </c:strRef>
          </c:tx>
          <c:marker>
            <c:symbol val="none"/>
          </c:marker>
          <c:cat>
            <c:numRef>
              <c:f>'Output tables'!$B$175:$AA$175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tables'!$B$181:$AA$181</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marker val="1"/>
        <c:axId val="106965632"/>
        <c:axId val="106983808"/>
      </c:lineChart>
      <c:catAx>
        <c:axId val="106965632"/>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06983808"/>
        <c:crosses val="autoZero"/>
        <c:auto val="1"/>
        <c:lblAlgn val="ctr"/>
        <c:lblOffset val="100"/>
      </c:catAx>
      <c:valAx>
        <c:axId val="106983808"/>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R million</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6965632"/>
        <c:crosses val="autoZero"/>
        <c:crossBetween val="between"/>
      </c:valAx>
    </c:plotArea>
    <c:legend>
      <c:legendPos val="b"/>
      <c:layout>
        <c:manualLayout>
          <c:xMode val="edge"/>
          <c:yMode val="edge"/>
          <c:x val="1.6817278681286341E-2"/>
          <c:y val="0.80096661926069823"/>
          <c:w val="0.96301150440307204"/>
          <c:h val="0.18141223536485276"/>
        </c:manualLayout>
      </c:layout>
      <c:txPr>
        <a:bodyPr/>
        <a:lstStyle/>
        <a:p>
          <a:pPr>
            <a:defRPr lang="en-ZA" sz="845" b="0" i="0" u="none" strike="noStrike" baseline="0">
              <a:solidFill>
                <a:srgbClr val="000000"/>
              </a:solidFill>
              <a:latin typeface="Calibri"/>
              <a:ea typeface="Calibri"/>
              <a:cs typeface="Calibri"/>
            </a:defRPr>
          </a:pPr>
          <a:endParaRPr lang="en-US"/>
        </a:p>
      </c:txPr>
    </c:legend>
    <c:plotVisOnly val="1"/>
    <c:dispBlanksAs val="zero"/>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178" l="0.70000000000000062" r="0.70000000000000062" t="0.75000000000000178" header="0.30000000000000032" footer="0.30000000000000032"/>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0.20484532716992529"/>
          <c:y val="7.1733689538807904E-2"/>
          <c:w val="0.74863895744375575"/>
          <c:h val="0.624710114360707"/>
        </c:manualLayout>
      </c:layout>
      <c:areaChart>
        <c:grouping val="stacked"/>
        <c:ser>
          <c:idx val="0"/>
          <c:order val="0"/>
          <c:tx>
            <c:strRef>
              <c:f>'Output tables'!$A$185</c:f>
              <c:strCache>
                <c:ptCount val="1"/>
                <c:pt idx="0">
                  <c:v>Annualised capital cost</c:v>
                </c:pt>
              </c:strCache>
            </c:strRef>
          </c:tx>
          <c:cat>
            <c:numRef>
              <c:f>'Output tables'!$B$175:$AA$175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tables'!$B$185:$AA$185</c:f>
              <c:numCache>
                <c:formatCode>General</c:formatCode>
                <c:ptCount val="26"/>
                <c:pt idx="0">
                  <c:v>0</c:v>
                </c:pt>
                <c:pt idx="1">
                  <c:v>0</c:v>
                </c:pt>
                <c:pt idx="2">
                  <c:v>0</c:v>
                </c:pt>
                <c:pt idx="3">
                  <c:v>0</c:v>
                </c:pt>
                <c:pt idx="4">
                  <c:v>0</c:v>
                </c:pt>
                <c:pt idx="5">
                  <c:v>0</c:v>
                </c:pt>
                <c:pt idx="6">
                  <c:v>0</c:v>
                </c:pt>
                <c:pt idx="7">
                  <c:v>1663.2311120001971</c:v>
                </c:pt>
                <c:pt idx="8">
                  <c:v>4979.3946913442433</c:v>
                </c:pt>
                <c:pt idx="9">
                  <c:v>9938.1920933757901</c:v>
                </c:pt>
                <c:pt idx="10">
                  <c:v>14881.541528422815</c:v>
                </c:pt>
                <c:pt idx="11">
                  <c:v>18166.809173797817</c:v>
                </c:pt>
                <c:pt idx="12">
                  <c:v>21441.778174516472</c:v>
                </c:pt>
                <c:pt idx="13">
                  <c:v>26338.783708609932</c:v>
                </c:pt>
                <c:pt idx="14">
                  <c:v>31220.341275718871</c:v>
                </c:pt>
                <c:pt idx="15">
                  <c:v>36086.450875843286</c:v>
                </c:pt>
                <c:pt idx="16">
                  <c:v>42553.999720029809</c:v>
                </c:pt>
                <c:pt idx="17">
                  <c:v>49000.951274903637</c:v>
                </c:pt>
                <c:pt idx="18">
                  <c:v>53820.716974074487</c:v>
                </c:pt>
                <c:pt idx="19">
                  <c:v>60228.710227448304</c:v>
                </c:pt>
                <c:pt idx="20">
                  <c:v>66618.342468634801</c:v>
                </c:pt>
                <c:pt idx="21">
                  <c:v>74582.431504883774</c:v>
                </c:pt>
                <c:pt idx="22">
                  <c:v>82523.569275898597</c:v>
                </c:pt>
                <c:pt idx="23">
                  <c:v>90441.755781679283</c:v>
                </c:pt>
                <c:pt idx="24">
                  <c:v>99916.038070335126</c:v>
                </c:pt>
                <c:pt idx="25">
                  <c:v>109362.77884070999</c:v>
                </c:pt>
              </c:numCache>
            </c:numRef>
          </c:val>
        </c:ser>
        <c:ser>
          <c:idx val="1"/>
          <c:order val="1"/>
          <c:tx>
            <c:strRef>
              <c:f>'Output tables'!$A$186</c:f>
              <c:strCache>
                <c:ptCount val="1"/>
                <c:pt idx="0">
                  <c:v>Fixed O&amp;M</c:v>
                </c:pt>
              </c:strCache>
            </c:strRef>
          </c:tx>
          <c:cat>
            <c:numRef>
              <c:f>'Output tables'!$B$175:$AA$175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tables'!$B$186:$AA$186</c:f>
              <c:numCache>
                <c:formatCode>General</c:formatCode>
                <c:ptCount val="26"/>
                <c:pt idx="0">
                  <c:v>0</c:v>
                </c:pt>
                <c:pt idx="1">
                  <c:v>0</c:v>
                </c:pt>
                <c:pt idx="2">
                  <c:v>0</c:v>
                </c:pt>
                <c:pt idx="3">
                  <c:v>0</c:v>
                </c:pt>
                <c:pt idx="4">
                  <c:v>0</c:v>
                </c:pt>
                <c:pt idx="5">
                  <c:v>0</c:v>
                </c:pt>
                <c:pt idx="6">
                  <c:v>0</c:v>
                </c:pt>
                <c:pt idx="7">
                  <c:v>182.33827776393036</c:v>
                </c:pt>
                <c:pt idx="8">
                  <c:v>547.01483329179109</c:v>
                </c:pt>
                <c:pt idx="9">
                  <c:v>1094.0296665835822</c:v>
                </c:pt>
                <c:pt idx="10">
                  <c:v>1641.0444998753735</c:v>
                </c:pt>
                <c:pt idx="11">
                  <c:v>2005.7210554032342</c:v>
                </c:pt>
                <c:pt idx="12">
                  <c:v>2370.3976109310952</c:v>
                </c:pt>
                <c:pt idx="13">
                  <c:v>2917.4124442228863</c:v>
                </c:pt>
                <c:pt idx="14">
                  <c:v>3464.4272775146774</c:v>
                </c:pt>
                <c:pt idx="15">
                  <c:v>4011.4421108064685</c:v>
                </c:pt>
                <c:pt idx="16">
                  <c:v>4740.7952218621904</c:v>
                </c:pt>
                <c:pt idx="17">
                  <c:v>5470.1483329179127</c:v>
                </c:pt>
                <c:pt idx="18">
                  <c:v>6017.1631662097034</c:v>
                </c:pt>
                <c:pt idx="19">
                  <c:v>6746.5162772654248</c:v>
                </c:pt>
                <c:pt idx="20">
                  <c:v>7475.8693883211472</c:v>
                </c:pt>
                <c:pt idx="21">
                  <c:v>8387.5607771407977</c:v>
                </c:pt>
                <c:pt idx="22">
                  <c:v>9299.2521659604499</c:v>
                </c:pt>
                <c:pt idx="23">
                  <c:v>10210.943554780102</c:v>
                </c:pt>
                <c:pt idx="24">
                  <c:v>11304.973221363683</c:v>
                </c:pt>
                <c:pt idx="25">
                  <c:v>12399.002887947267</c:v>
                </c:pt>
              </c:numCache>
            </c:numRef>
          </c:val>
        </c:ser>
        <c:ser>
          <c:idx val="2"/>
          <c:order val="2"/>
          <c:tx>
            <c:strRef>
              <c:f>'Output tables'!$A$187</c:f>
              <c:strCache>
                <c:ptCount val="1"/>
                <c:pt idx="0">
                  <c:v>Variable O&amp;M</c:v>
                </c:pt>
              </c:strCache>
            </c:strRef>
          </c:tx>
          <c:cat>
            <c:numRef>
              <c:f>'Output tables'!$B$175:$AA$175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tables'!$B$187:$AA$187</c:f>
              <c:numCache>
                <c:formatCode>General</c:formatCode>
                <c:ptCount val="26"/>
                <c:pt idx="0">
                  <c:v>0</c:v>
                </c:pt>
                <c:pt idx="1">
                  <c:v>0</c:v>
                </c:pt>
                <c:pt idx="2">
                  <c:v>0</c:v>
                </c:pt>
                <c:pt idx="3">
                  <c:v>0</c:v>
                </c:pt>
                <c:pt idx="4">
                  <c:v>0</c:v>
                </c:pt>
                <c:pt idx="5">
                  <c:v>0</c:v>
                </c:pt>
                <c:pt idx="6">
                  <c:v>0</c:v>
                </c:pt>
                <c:pt idx="7">
                  <c:v>48.637467264562815</c:v>
                </c:pt>
                <c:pt idx="8">
                  <c:v>145.91240179368845</c:v>
                </c:pt>
                <c:pt idx="9">
                  <c:v>395.93259436795495</c:v>
                </c:pt>
                <c:pt idx="10">
                  <c:v>634.90858210113413</c:v>
                </c:pt>
                <c:pt idx="11">
                  <c:v>889.44735295258897</c:v>
                </c:pt>
                <c:pt idx="12">
                  <c:v>1139.8384979675045</c:v>
                </c:pt>
                <c:pt idx="13">
                  <c:v>1404.5829784013692</c:v>
                </c:pt>
                <c:pt idx="14">
                  <c:v>1681.6167205731413</c:v>
                </c:pt>
                <c:pt idx="15">
                  <c:v>2014.6601122471457</c:v>
                </c:pt>
                <c:pt idx="16">
                  <c:v>2362.1433864631931</c:v>
                </c:pt>
                <c:pt idx="17">
                  <c:v>2656.2940910619604</c:v>
                </c:pt>
                <c:pt idx="18">
                  <c:v>2965.1839958554015</c:v>
                </c:pt>
                <c:pt idx="19">
                  <c:v>3540.2504699366732</c:v>
                </c:pt>
                <c:pt idx="20">
                  <c:v>4156.2353870160068</c:v>
                </c:pt>
                <c:pt idx="21">
                  <c:v>4856.2091461159016</c:v>
                </c:pt>
                <c:pt idx="22">
                  <c:v>5550.8344272626282</c:v>
                </c:pt>
                <c:pt idx="23">
                  <c:v>6323.1404122713675</c:v>
                </c:pt>
                <c:pt idx="24">
                  <c:v>7475.9709408687568</c:v>
                </c:pt>
                <c:pt idx="25">
                  <c:v>8156.0010610577383</c:v>
                </c:pt>
              </c:numCache>
            </c:numRef>
          </c:val>
        </c:ser>
        <c:ser>
          <c:idx val="3"/>
          <c:order val="3"/>
          <c:tx>
            <c:strRef>
              <c:f>'Output tables'!$A$188</c:f>
              <c:strCache>
                <c:ptCount val="1"/>
                <c:pt idx="0">
                  <c:v>Fuel cost</c:v>
                </c:pt>
              </c:strCache>
            </c:strRef>
          </c:tx>
          <c:cat>
            <c:numRef>
              <c:f>'Output tables'!$B$175:$AA$175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tables'!$B$188:$AA$188</c:f>
              <c:numCache>
                <c:formatCode>General</c:formatCode>
                <c:ptCount val="26"/>
                <c:pt idx="0">
                  <c:v>0</c:v>
                </c:pt>
                <c:pt idx="1">
                  <c:v>0</c:v>
                </c:pt>
                <c:pt idx="2">
                  <c:v>0</c:v>
                </c:pt>
                <c:pt idx="3">
                  <c:v>0</c:v>
                </c:pt>
                <c:pt idx="4">
                  <c:v>0</c:v>
                </c:pt>
                <c:pt idx="5">
                  <c:v>0</c:v>
                </c:pt>
                <c:pt idx="6">
                  <c:v>0</c:v>
                </c:pt>
                <c:pt idx="7">
                  <c:v>122.86729193627549</c:v>
                </c:pt>
                <c:pt idx="8">
                  <c:v>370.67267286393223</c:v>
                </c:pt>
                <c:pt idx="9">
                  <c:v>1011.4375972470781</c:v>
                </c:pt>
                <c:pt idx="10">
                  <c:v>1630.9291867617192</c:v>
                </c:pt>
                <c:pt idx="11">
                  <c:v>2297.4018551360937</c:v>
                </c:pt>
                <c:pt idx="12">
                  <c:v>2960.3273894779927</c:v>
                </c:pt>
                <c:pt idx="13">
                  <c:v>3667.8414703676976</c:v>
                </c:pt>
                <c:pt idx="14">
                  <c:v>4415.1359195299719</c:v>
                </c:pt>
                <c:pt idx="15">
                  <c:v>5318.143658607969</c:v>
                </c:pt>
                <c:pt idx="16">
                  <c:v>6268.9267536622992</c:v>
                </c:pt>
                <c:pt idx="17">
                  <c:v>7087.2758707665353</c:v>
                </c:pt>
                <c:pt idx="18">
                  <c:v>7953.509132024421</c:v>
                </c:pt>
                <c:pt idx="19">
                  <c:v>9546.2526138869216</c:v>
                </c:pt>
                <c:pt idx="20">
                  <c:v>11266.235767116954</c:v>
                </c:pt>
                <c:pt idx="21">
                  <c:v>13232.562189545028</c:v>
                </c:pt>
                <c:pt idx="22">
                  <c:v>15204.106907309551</c:v>
                </c:pt>
                <c:pt idx="23">
                  <c:v>17409.243042093018</c:v>
                </c:pt>
                <c:pt idx="24">
                  <c:v>20689.383435054984</c:v>
                </c:pt>
                <c:pt idx="25">
                  <c:v>22687.083915604861</c:v>
                </c:pt>
              </c:numCache>
            </c:numRef>
          </c:val>
        </c:ser>
        <c:ser>
          <c:idx val="5"/>
          <c:order val="5"/>
          <c:tx>
            <c:strRef>
              <c:f>'Output tables'!$A$189</c:f>
              <c:strCache>
                <c:ptCount val="1"/>
                <c:pt idx="0">
                  <c:v>Carbon tax</c:v>
                </c:pt>
              </c:strCache>
            </c:strRef>
          </c:tx>
          <c:val>
            <c:numRef>
              <c:f>'Output tables'!$B$189:$AA$189</c:f>
              <c:numCache>
                <c:formatCode>General</c:formatCode>
                <c:ptCount val="26"/>
                <c:pt idx="0">
                  <c:v>0</c:v>
                </c:pt>
                <c:pt idx="1">
                  <c:v>0</c:v>
                </c:pt>
                <c:pt idx="2">
                  <c:v>0</c:v>
                </c:pt>
                <c:pt idx="3">
                  <c:v>0</c:v>
                </c:pt>
                <c:pt idx="4">
                  <c:v>0</c:v>
                </c:pt>
                <c:pt idx="5">
                  <c:v>0</c:v>
                </c:pt>
                <c:pt idx="6">
                  <c:v>0</c:v>
                </c:pt>
                <c:pt idx="7">
                  <c:v>158.22929501800579</c:v>
                </c:pt>
                <c:pt idx="8">
                  <c:v>474.68788505401739</c:v>
                </c:pt>
                <c:pt idx="9">
                  <c:v>1288.0632731288806</c:v>
                </c:pt>
                <c:pt idx="10">
                  <c:v>2065.5092256405369</c:v>
                </c:pt>
                <c:pt idx="11">
                  <c:v>8680.753883489735</c:v>
                </c:pt>
                <c:pt idx="12">
                  <c:v>11124.500438318741</c:v>
                </c:pt>
                <c:pt idx="13">
                  <c:v>13708.331475681161</c:v>
                </c:pt>
                <c:pt idx="14">
                  <c:v>16412.10222190035</c:v>
                </c:pt>
                <c:pt idx="15">
                  <c:v>32770.852101300065</c:v>
                </c:pt>
                <c:pt idx="16">
                  <c:v>38423.08242927742</c:v>
                </c:pt>
                <c:pt idx="17">
                  <c:v>43207.794836745226</c:v>
                </c:pt>
                <c:pt idx="18">
                  <c:v>48232.257933043795</c:v>
                </c:pt>
                <c:pt idx="19">
                  <c:v>57586.400726645508</c:v>
                </c:pt>
                <c:pt idx="20">
                  <c:v>67606.130849620269</c:v>
                </c:pt>
                <c:pt idx="21">
                  <c:v>78992.039765376729</c:v>
                </c:pt>
                <c:pt idx="22">
                  <c:v>90290.949301483575</c:v>
                </c:pt>
                <c:pt idx="23">
                  <c:v>102853.42823170895</c:v>
                </c:pt>
                <c:pt idx="24">
                  <c:v>121605.59318542403</c:v>
                </c:pt>
                <c:pt idx="25">
                  <c:v>132667.09500286239</c:v>
                </c:pt>
              </c:numCache>
            </c:numRef>
          </c:val>
        </c:ser>
        <c:axId val="106901888"/>
        <c:axId val="106903424"/>
      </c:areaChart>
      <c:lineChart>
        <c:grouping val="standard"/>
        <c:ser>
          <c:idx val="4"/>
          <c:order val="4"/>
          <c:tx>
            <c:strRef>
              <c:f>'Output tables'!$A$190</c:f>
              <c:strCache>
                <c:ptCount val="1"/>
                <c:pt idx="0">
                  <c:v>Annual investment requirement</c:v>
                </c:pt>
              </c:strCache>
            </c:strRef>
          </c:tx>
          <c:marker>
            <c:symbol val="none"/>
          </c:marker>
          <c:cat>
            <c:numRef>
              <c:f>'Output tables'!$B$175:$AA$175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tables'!$B$190:$AA$190</c:f>
              <c:numCache>
                <c:formatCode>General</c:formatCode>
                <c:ptCount val="26"/>
                <c:pt idx="0">
                  <c:v>0</c:v>
                </c:pt>
                <c:pt idx="1">
                  <c:v>663.75232174368716</c:v>
                </c:pt>
                <c:pt idx="2">
                  <c:v>2053.5222759085655</c:v>
                </c:pt>
                <c:pt idx="3">
                  <c:v>3813.0002183239285</c:v>
                </c:pt>
                <c:pt idx="4">
                  <c:v>9740.6803993905232</c:v>
                </c:pt>
                <c:pt idx="5">
                  <c:v>21245.764687606472</c:v>
                </c:pt>
                <c:pt idx="6">
                  <c:v>34313.993522929261</c:v>
                </c:pt>
                <c:pt idx="7">
                  <c:v>43505.386962536453</c:v>
                </c:pt>
                <c:pt idx="8">
                  <c:v>41373.521424703482</c:v>
                </c:pt>
                <c:pt idx="9">
                  <c:v>34708.857909120299</c:v>
                </c:pt>
                <c:pt idx="10">
                  <c:v>37940.691924532643</c:v>
                </c:pt>
                <c:pt idx="11">
                  <c:v>45394.067356270752</c:v>
                </c:pt>
                <c:pt idx="12">
                  <c:v>47015.681989247241</c:v>
                </c:pt>
                <c:pt idx="13">
                  <c:v>51503.338923124145</c:v>
                </c:pt>
                <c:pt idx="14">
                  <c:v>58477.174735643042</c:v>
                </c:pt>
                <c:pt idx="15">
                  <c:v>56640.067418795952</c:v>
                </c:pt>
                <c:pt idx="16">
                  <c:v>55069.273424150328</c:v>
                </c:pt>
                <c:pt idx="17">
                  <c:v>60000.483870990036</c:v>
                </c:pt>
                <c:pt idx="18">
                  <c:v>67090.983809082973</c:v>
                </c:pt>
                <c:pt idx="19">
                  <c:v>74288.037740997534</c:v>
                </c:pt>
                <c:pt idx="20">
                  <c:v>72662.922563527696</c:v>
                </c:pt>
                <c:pt idx="21">
                  <c:v>72909.761059705561</c:v>
                </c:pt>
                <c:pt idx="22">
                  <c:v>77194.778554316377</c:v>
                </c:pt>
                <c:pt idx="23">
                  <c:v>51550.631258786714</c:v>
                </c:pt>
                <c:pt idx="24">
                  <c:v>11797.18765209939</c:v>
                </c:pt>
                <c:pt idx="25">
                  <c:v>0</c:v>
                </c:pt>
              </c:numCache>
            </c:numRef>
          </c:val>
        </c:ser>
        <c:marker val="1"/>
        <c:axId val="106901888"/>
        <c:axId val="106903424"/>
      </c:lineChart>
      <c:catAx>
        <c:axId val="106901888"/>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06903424"/>
        <c:crosses val="autoZero"/>
        <c:auto val="1"/>
        <c:lblAlgn val="ctr"/>
        <c:lblOffset val="100"/>
      </c:catAx>
      <c:valAx>
        <c:axId val="106903424"/>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R million</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6901888"/>
        <c:crosses val="autoZero"/>
        <c:crossBetween val="between"/>
      </c:valAx>
    </c:plotArea>
    <c:legend>
      <c:legendPos val="b"/>
      <c:layout>
        <c:manualLayout>
          <c:xMode val="edge"/>
          <c:yMode val="edge"/>
          <c:x val="1.9569655242370116E-3"/>
          <c:y val="0.83348895957541735"/>
          <c:w val="0.98503379106597122"/>
          <c:h val="0.14598205025696306"/>
        </c:manualLayout>
      </c:layout>
      <c:txPr>
        <a:bodyPr/>
        <a:lstStyle/>
        <a:p>
          <a:pPr>
            <a:defRPr lang="en-ZA" sz="845" b="0" i="0" u="none" strike="noStrike" baseline="0">
              <a:solidFill>
                <a:srgbClr val="000000"/>
              </a:solidFill>
              <a:latin typeface="Calibri"/>
              <a:ea typeface="Calibri"/>
              <a:cs typeface="Calibri"/>
            </a:defRPr>
          </a:pPr>
          <a:endParaRPr lang="en-US"/>
        </a:p>
      </c:txPr>
    </c:legend>
    <c:plotVisOnly val="1"/>
    <c:dispBlanksAs val="zero"/>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2" l="0.70000000000000062" r="0.70000000000000062" t="0.750000000000002" header="0.30000000000000032" footer="0.30000000000000032"/>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050" b="1" i="0" u="none" strike="noStrike" baseline="0">
                <a:solidFill>
                  <a:srgbClr val="000000"/>
                </a:solidFill>
                <a:latin typeface="Calibri"/>
                <a:ea typeface="Calibri"/>
                <a:cs typeface="Calibri"/>
              </a:defRPr>
            </a:pPr>
            <a:r>
              <a:rPr lang="en-ZA"/>
              <a:t>Annual investment requirement</a:t>
            </a:r>
          </a:p>
        </c:rich>
      </c:tx>
      <c:overlay val="1"/>
    </c:title>
    <c:plotArea>
      <c:layout>
        <c:manualLayout>
          <c:layoutTarget val="inner"/>
          <c:xMode val="edge"/>
          <c:yMode val="edge"/>
          <c:x val="0.15451618547681636"/>
          <c:y val="6.1014547094656674E-2"/>
          <c:w val="0.78676159230096232"/>
          <c:h val="0.50886813061410863"/>
        </c:manualLayout>
      </c:layout>
      <c:areaChart>
        <c:grouping val="stacked"/>
        <c:ser>
          <c:idx val="0"/>
          <c:order val="0"/>
          <c:tx>
            <c:strRef>
              <c:f>'Output tables'!$A$144</c:f>
              <c:strCache>
                <c:ptCount val="1"/>
                <c:pt idx="0">
                  <c:v>Existing coal Large</c:v>
                </c:pt>
              </c:strCache>
            </c:strRef>
          </c:tx>
          <c:cat>
            <c:numRef>
              <c:f>'Output tables'!$AP$143:$BO$143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tables'!$AP$144:$BO$144</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
          <c:order val="1"/>
          <c:tx>
            <c:strRef>
              <c:f>'Output tables'!$A$145</c:f>
              <c:strCache>
                <c:ptCount val="1"/>
                <c:pt idx="0">
                  <c:v>Existing coal Small</c:v>
                </c:pt>
              </c:strCache>
            </c:strRef>
          </c:tx>
          <c:cat>
            <c:numRef>
              <c:f>'Output tables'!$AP$143:$BO$143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tables'!$AP$145:$BO$145</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2"/>
          <c:order val="2"/>
          <c:tx>
            <c:strRef>
              <c:f>'Output tables'!$A$146</c:f>
              <c:strCache>
                <c:ptCount val="1"/>
                <c:pt idx="0">
                  <c:v>OCGT liquid fuels</c:v>
                </c:pt>
              </c:strCache>
            </c:strRef>
          </c:tx>
          <c:cat>
            <c:numRef>
              <c:f>'Output tables'!$AP$143:$BO$143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tables'!$AP$146:$BO$146</c:f>
              <c:numCache>
                <c:formatCode>General</c:formatCode>
                <c:ptCount val="26"/>
                <c:pt idx="0">
                  <c:v>0</c:v>
                </c:pt>
                <c:pt idx="1">
                  <c:v>0</c:v>
                </c:pt>
                <c:pt idx="2">
                  <c:v>0</c:v>
                </c:pt>
                <c:pt idx="3">
                  <c:v>299.85406508081212</c:v>
                </c:pt>
                <c:pt idx="4">
                  <c:v>1229.4016668313295</c:v>
                </c:pt>
                <c:pt idx="5">
                  <c:v>4650.7365494033957</c:v>
                </c:pt>
                <c:pt idx="6">
                  <c:v>0</c:v>
                </c:pt>
                <c:pt idx="7">
                  <c:v>0</c:v>
                </c:pt>
                <c:pt idx="8">
                  <c:v>0</c:v>
                </c:pt>
                <c:pt idx="9">
                  <c:v>0</c:v>
                </c:pt>
                <c:pt idx="10">
                  <c:v>0</c:v>
                </c:pt>
                <c:pt idx="11">
                  <c:v>0</c:v>
                </c:pt>
                <c:pt idx="12">
                  <c:v>0</c:v>
                </c:pt>
                <c:pt idx="13">
                  <c:v>0</c:v>
                </c:pt>
                <c:pt idx="14">
                  <c:v>0</c:v>
                </c:pt>
                <c:pt idx="15">
                  <c:v>0</c:v>
                </c:pt>
                <c:pt idx="16">
                  <c:v>0</c:v>
                </c:pt>
                <c:pt idx="17">
                  <c:v>0</c:v>
                </c:pt>
                <c:pt idx="18">
                  <c:v>199.90271005387473</c:v>
                </c:pt>
                <c:pt idx="19">
                  <c:v>819.6011112208862</c:v>
                </c:pt>
                <c:pt idx="20">
                  <c:v>3100.4910329355966</c:v>
                </c:pt>
                <c:pt idx="21">
                  <c:v>266.53694673849964</c:v>
                </c:pt>
                <c:pt idx="22">
                  <c:v>1359.3384283663481</c:v>
                </c:pt>
                <c:pt idx="23">
                  <c:v>5226.7895255419771</c:v>
                </c:pt>
                <c:pt idx="24">
                  <c:v>4133.9880439141289</c:v>
                </c:pt>
                <c:pt idx="25">
                  <c:v>0</c:v>
                </c:pt>
              </c:numCache>
            </c:numRef>
          </c:val>
        </c:ser>
        <c:ser>
          <c:idx val="3"/>
          <c:order val="3"/>
          <c:tx>
            <c:strRef>
              <c:f>'Output tables'!$A$147</c:f>
              <c:strCache>
                <c:ptCount val="1"/>
                <c:pt idx="0">
                  <c:v>PWR nuclear</c:v>
                </c:pt>
              </c:strCache>
            </c:strRef>
          </c:tx>
          <c:cat>
            <c:numRef>
              <c:f>'Output tables'!$AP$143:$BO$143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tables'!$AP$147:$BO$147</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4"/>
          <c:order val="4"/>
          <c:tx>
            <c:strRef>
              <c:f>'Output tables'!$A$148</c:f>
              <c:strCache>
                <c:ptCount val="1"/>
                <c:pt idx="0">
                  <c:v>Hydro</c:v>
                </c:pt>
              </c:strCache>
            </c:strRef>
          </c:tx>
          <c:cat>
            <c:numRef>
              <c:f>'Output tables'!$AP$143:$BO$143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tables'!$AP$148:$BO$148</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5"/>
          <c:order val="5"/>
          <c:tx>
            <c:strRef>
              <c:f>'Output tables'!$A$149</c:f>
              <c:strCache>
                <c:ptCount val="1"/>
                <c:pt idx="0">
                  <c:v>Landfill gas</c:v>
                </c:pt>
              </c:strCache>
            </c:strRef>
          </c:tx>
          <c:cat>
            <c:numRef>
              <c:f>'Output tables'!$AP$143:$BO$143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tables'!$AP$149:$BO$149</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6"/>
          <c:order val="6"/>
          <c:tx>
            <c:strRef>
              <c:f>'Output tables'!$A$150</c:f>
              <c:strCache>
                <c:ptCount val="1"/>
                <c:pt idx="0">
                  <c:v>Biomass</c:v>
                </c:pt>
              </c:strCache>
            </c:strRef>
          </c:tx>
          <c:cat>
            <c:numRef>
              <c:f>'Output tables'!$AP$143:$BO$143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tables'!$AP$150:$BO$150</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7"/>
          <c:order val="7"/>
          <c:tx>
            <c:strRef>
              <c:f>'Output tables'!$A$151</c:f>
              <c:strCache>
                <c:ptCount val="1"/>
                <c:pt idx="0">
                  <c:v>Supercritical coal</c:v>
                </c:pt>
              </c:strCache>
            </c:strRef>
          </c:tx>
          <c:cat>
            <c:numRef>
              <c:f>'Output tables'!$AP$143:$BO$143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tables'!$AP$151:$BO$151</c:f>
              <c:numCache>
                <c:formatCode>General</c:formatCode>
                <c:ptCount val="26"/>
                <c:pt idx="0">
                  <c:v>0</c:v>
                </c:pt>
                <c:pt idx="1">
                  <c:v>663.75232174368716</c:v>
                </c:pt>
                <c:pt idx="2">
                  <c:v>2053.5222759085655</c:v>
                </c:pt>
                <c:pt idx="3">
                  <c:v>3813.0002183239285</c:v>
                </c:pt>
                <c:pt idx="4">
                  <c:v>9740.6803993905232</c:v>
                </c:pt>
                <c:pt idx="5">
                  <c:v>21245.764687606472</c:v>
                </c:pt>
                <c:pt idx="6">
                  <c:v>33660.51600492774</c:v>
                </c:pt>
                <c:pt idx="7">
                  <c:v>40832.294020975503</c:v>
                </c:pt>
                <c:pt idx="8">
                  <c:v>36903.242010993425</c:v>
                </c:pt>
                <c:pt idx="9">
                  <c:v>24748.18368680634</c:v>
                </c:pt>
                <c:pt idx="10">
                  <c:v>10987.519325964422</c:v>
                </c:pt>
                <c:pt idx="11">
                  <c:v>2044.9075927566316</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8"/>
          <c:order val="8"/>
          <c:tx>
            <c:strRef>
              <c:f>'Output tables'!$A$152</c:f>
              <c:strCache>
                <c:ptCount val="1"/>
                <c:pt idx="0">
                  <c:v>Wind 30% </c:v>
                </c:pt>
              </c:strCache>
            </c:strRef>
          </c:tx>
          <c:cat>
            <c:numRef>
              <c:f>'Output tables'!$AP$143:$BO$143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tables'!$AP$152:$BO$152</c:f>
              <c:numCache>
                <c:formatCode>General</c:formatCode>
                <c:ptCount val="26"/>
                <c:pt idx="0">
                  <c:v>0</c:v>
                </c:pt>
                <c:pt idx="1">
                  <c:v>0</c:v>
                </c:pt>
                <c:pt idx="2">
                  <c:v>75.703206024444654</c:v>
                </c:pt>
                <c:pt idx="3">
                  <c:v>457.80517748466798</c:v>
                </c:pt>
                <c:pt idx="4">
                  <c:v>1922.0247133753612</c:v>
                </c:pt>
                <c:pt idx="5">
                  <c:v>3154.3135322827429</c:v>
                </c:pt>
                <c:pt idx="6">
                  <c:v>3644.0335876756112</c:v>
                </c:pt>
                <c:pt idx="7">
                  <c:v>5986.2987508304568</c:v>
                </c:pt>
                <c:pt idx="8">
                  <c:v>6919.2889681512988</c:v>
                </c:pt>
                <c:pt idx="9">
                  <c:v>10981.156440530671</c:v>
                </c:pt>
                <c:pt idx="10">
                  <c:v>11222.131698444271</c:v>
                </c:pt>
                <c:pt idx="11">
                  <c:v>13261.686037610511</c:v>
                </c:pt>
                <c:pt idx="12">
                  <c:v>14232.988452186544</c:v>
                </c:pt>
                <c:pt idx="13">
                  <c:v>18929.746838458821</c:v>
                </c:pt>
                <c:pt idx="14">
                  <c:v>18579.063291250448</c:v>
                </c:pt>
                <c:pt idx="15">
                  <c:v>18020.215849371169</c:v>
                </c:pt>
                <c:pt idx="16">
                  <c:v>0</c:v>
                </c:pt>
                <c:pt idx="17">
                  <c:v>0</c:v>
                </c:pt>
                <c:pt idx="18">
                  <c:v>0</c:v>
                </c:pt>
                <c:pt idx="19">
                  <c:v>0</c:v>
                </c:pt>
                <c:pt idx="20">
                  <c:v>0</c:v>
                </c:pt>
                <c:pt idx="21">
                  <c:v>0</c:v>
                </c:pt>
                <c:pt idx="22">
                  <c:v>0</c:v>
                </c:pt>
                <c:pt idx="23">
                  <c:v>109.35011703642387</c:v>
                </c:pt>
                <c:pt idx="24">
                  <c:v>557.00215865428402</c:v>
                </c:pt>
                <c:pt idx="25">
                  <c:v>2357.520179482151</c:v>
                </c:pt>
              </c:numCache>
            </c:numRef>
          </c:val>
        </c:ser>
        <c:ser>
          <c:idx val="9"/>
          <c:order val="9"/>
          <c:tx>
            <c:strRef>
              <c:f>'Output tables'!$A$153</c:f>
              <c:strCache>
                <c:ptCount val="1"/>
                <c:pt idx="0">
                  <c:v>Wind 25%</c:v>
                </c:pt>
              </c:strCache>
            </c:strRef>
          </c:tx>
          <c:cat>
            <c:numRef>
              <c:f>'Output tables'!$AP$143:$BO$143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tables'!$AP$153:$BO$153</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577.50530559861352</c:v>
                </c:pt>
                <c:pt idx="15">
                  <c:v>2941.8598673955403</c:v>
                </c:pt>
                <c:pt idx="16">
                  <c:v>11881.539482327353</c:v>
                </c:pt>
                <c:pt idx="17">
                  <c:v>11811.111172573583</c:v>
                </c:pt>
                <c:pt idx="18">
                  <c:v>11740.682862819813</c:v>
                </c:pt>
                <c:pt idx="19">
                  <c:v>11670.254553066041</c:v>
                </c:pt>
                <c:pt idx="20">
                  <c:v>11599.826243312269</c:v>
                </c:pt>
                <c:pt idx="21">
                  <c:v>11529.397933558497</c:v>
                </c:pt>
                <c:pt idx="22">
                  <c:v>11458.969623804725</c:v>
                </c:pt>
                <c:pt idx="23">
                  <c:v>10841.790728868835</c:v>
                </c:pt>
                <c:pt idx="24">
                  <c:v>8533.1022110257618</c:v>
                </c:pt>
                <c:pt idx="25">
                  <c:v>0</c:v>
                </c:pt>
              </c:numCache>
            </c:numRef>
          </c:val>
        </c:ser>
        <c:ser>
          <c:idx val="10"/>
          <c:order val="10"/>
          <c:tx>
            <c:strRef>
              <c:f>'Output tables'!$A$154</c:f>
              <c:strCache>
                <c:ptCount val="1"/>
                <c:pt idx="0">
                  <c:v>solar thermal central reciever</c:v>
                </c:pt>
              </c:strCache>
            </c:strRef>
          </c:tx>
          <c:cat>
            <c:numRef>
              <c:f>'Output tables'!$AP$143:$BO$143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tables'!$AP$154:$BO$154</c:f>
              <c:numCache>
                <c:formatCode>General</c:formatCode>
                <c:ptCount val="26"/>
                <c:pt idx="0">
                  <c:v>0</c:v>
                </c:pt>
                <c:pt idx="1">
                  <c:v>0</c:v>
                </c:pt>
                <c:pt idx="2">
                  <c:v>0</c:v>
                </c:pt>
                <c:pt idx="3">
                  <c:v>0</c:v>
                </c:pt>
                <c:pt idx="4">
                  <c:v>0</c:v>
                </c:pt>
                <c:pt idx="5">
                  <c:v>257.48196312932731</c:v>
                </c:pt>
                <c:pt idx="6">
                  <c:v>782.58911823853123</c:v>
                </c:pt>
                <c:pt idx="7">
                  <c:v>2092.0799628444411</c:v>
                </c:pt>
                <c:pt idx="8">
                  <c:v>5213.1748876096417</c:v>
                </c:pt>
                <c:pt idx="9">
                  <c:v>12538.258189969802</c:v>
                </c:pt>
                <c:pt idx="10">
                  <c:v>21581.070769725793</c:v>
                </c:pt>
                <c:pt idx="11">
                  <c:v>35393.461912975559</c:v>
                </c:pt>
                <c:pt idx="12">
                  <c:v>53706.370614683023</c:v>
                </c:pt>
                <c:pt idx="13">
                  <c:v>72115.900281327966</c:v>
                </c:pt>
                <c:pt idx="14">
                  <c:v>87818.400038748732</c:v>
                </c:pt>
                <c:pt idx="15">
                  <c:v>101129.06169488782</c:v>
                </c:pt>
                <c:pt idx="16">
                  <c:v>107322.53595699415</c:v>
                </c:pt>
                <c:pt idx="17">
                  <c:v>130666.46779929806</c:v>
                </c:pt>
                <c:pt idx="18">
                  <c:v>126759.13286269245</c:v>
                </c:pt>
                <c:pt idx="19">
                  <c:v>123058.43783516881</c:v>
                </c:pt>
                <c:pt idx="20">
                  <c:v>119357.74280764519</c:v>
                </c:pt>
                <c:pt idx="21">
                  <c:v>110863.20177567731</c:v>
                </c:pt>
                <c:pt idx="22">
                  <c:v>102060.48492913807</c:v>
                </c:pt>
                <c:pt idx="23">
                  <c:v>88124.928682126076</c:v>
                </c:pt>
                <c:pt idx="24">
                  <c:v>63920.611876022806</c:v>
                </c:pt>
                <c:pt idx="25">
                  <c:v>0</c:v>
                </c:pt>
              </c:numCache>
            </c:numRef>
          </c:val>
        </c:ser>
        <c:ser>
          <c:idx val="11"/>
          <c:order val="11"/>
          <c:tx>
            <c:strRef>
              <c:f>'Output tables'!$A$155</c:f>
              <c:strCache>
                <c:ptCount val="1"/>
                <c:pt idx="0">
                  <c:v>solar thermal trough</c:v>
                </c:pt>
              </c:strCache>
            </c:strRef>
          </c:tx>
          <c:cat>
            <c:numRef>
              <c:f>'Output tables'!$AP$143:$BO$143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tables'!$AP$155:$BO$155</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2"/>
          <c:order val="12"/>
          <c:tx>
            <c:strRef>
              <c:f>'Output tables'!$A$156</c:f>
              <c:strCache>
                <c:ptCount val="1"/>
                <c:pt idx="0">
                  <c:v>solar PV</c:v>
                </c:pt>
              </c:strCache>
            </c:strRef>
          </c:tx>
          <c:cat>
            <c:numRef>
              <c:f>'Output tables'!$AP$143:$BO$143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tables'!$AP$156:$BO$156</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3"/>
          <c:order val="13"/>
          <c:tx>
            <c:strRef>
              <c:f>'Output tables'!$A$157</c:f>
              <c:strCache>
                <c:ptCount val="1"/>
                <c:pt idx="0">
                  <c:v>combined cycle gas</c:v>
                </c:pt>
              </c:strCache>
            </c:strRef>
          </c:tx>
          <c:cat>
            <c:numRef>
              <c:f>'Output tables'!$AP$143:$BO$143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tables'!$AP$157:$BO$157</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289.79280673885734</c:v>
                </c:pt>
                <c:pt idx="18">
                  <c:v>752.39063444194448</c:v>
                </c:pt>
                <c:pt idx="19">
                  <c:v>1492.0118272273421</c:v>
                </c:pt>
                <c:pt idx="20">
                  <c:v>3813.8025300282393</c:v>
                </c:pt>
                <c:pt idx="21">
                  <c:v>7273.0179364751266</c:v>
                </c:pt>
                <c:pt idx="22">
                  <c:v>7740.9952394415341</c:v>
                </c:pt>
                <c:pt idx="23">
                  <c:v>4049.5565443293913</c:v>
                </c:pt>
                <c:pt idx="24">
                  <c:v>0</c:v>
                </c:pt>
                <c:pt idx="25">
                  <c:v>0</c:v>
                </c:pt>
              </c:numCache>
            </c:numRef>
          </c:val>
        </c:ser>
        <c:ser>
          <c:idx val="14"/>
          <c:order val="14"/>
          <c:tx>
            <c:strRef>
              <c:f>'Output tables'!$A$158</c:f>
              <c:strCache>
                <c:ptCount val="1"/>
                <c:pt idx="0">
                  <c:v>PBMR</c:v>
                </c:pt>
              </c:strCache>
            </c:strRef>
          </c:tx>
          <c:cat>
            <c:numRef>
              <c:f>'Output tables'!$AP$143:$BO$143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tables'!$AP$158:$BO$158</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5"/>
          <c:order val="15"/>
          <c:tx>
            <c:strRef>
              <c:f>'Output tables'!$A$159</c:f>
              <c:strCache>
                <c:ptCount val="1"/>
                <c:pt idx="0">
                  <c:v>IGCC</c:v>
                </c:pt>
              </c:strCache>
            </c:strRef>
          </c:tx>
          <c:cat>
            <c:numRef>
              <c:f>'Output tables'!$AP$143:$BO$143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tables'!$AP$159:$BO$159</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541.98332188943368</c:v>
                </c:pt>
                <c:pt idx="18">
                  <c:v>1138.1649759678107</c:v>
                </c:pt>
                <c:pt idx="19">
                  <c:v>1197.7831413756485</c:v>
                </c:pt>
                <c:pt idx="20">
                  <c:v>1848.7051109648582</c:v>
                </c:pt>
                <c:pt idx="21">
                  <c:v>3594.4875891029128</c:v>
                </c:pt>
                <c:pt idx="22">
                  <c:v>5612.4053129948707</c:v>
                </c:pt>
                <c:pt idx="23">
                  <c:v>7539.4438154557301</c:v>
                </c:pt>
                <c:pt idx="24">
                  <c:v>4274.4224678961855</c:v>
                </c:pt>
                <c:pt idx="25">
                  <c:v>0</c:v>
                </c:pt>
              </c:numCache>
            </c:numRef>
          </c:val>
        </c:ser>
        <c:ser>
          <c:idx val="16"/>
          <c:order val="16"/>
          <c:tx>
            <c:strRef>
              <c:f>'Output tables'!$A$160</c:f>
              <c:strCache>
                <c:ptCount val="1"/>
                <c:pt idx="0">
                  <c:v>-</c:v>
                </c:pt>
              </c:strCache>
            </c:strRef>
          </c:tx>
          <c:cat>
            <c:numRef>
              <c:f>'Output tables'!$AP$143:$BO$143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tables'!$AP$160:$BO$160</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7"/>
          <c:order val="17"/>
          <c:tx>
            <c:strRef>
              <c:f>'Output tables'!$A$161</c:f>
              <c:strCache>
                <c:ptCount val="1"/>
                <c:pt idx="0">
                  <c:v>-</c:v>
                </c:pt>
              </c:strCache>
            </c:strRef>
          </c:tx>
          <c:cat>
            <c:numRef>
              <c:f>'Output tables'!$AP$143:$BO$143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tables'!$AP$161:$BO$161</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8"/>
          <c:order val="18"/>
          <c:tx>
            <c:strRef>
              <c:f>'Output tables'!$A$162</c:f>
              <c:strCache>
                <c:ptCount val="1"/>
                <c:pt idx="0">
                  <c:v>-</c:v>
                </c:pt>
              </c:strCache>
            </c:strRef>
          </c:tx>
          <c:cat>
            <c:numRef>
              <c:f>'Output tables'!$AP$143:$BO$143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tables'!$AP$162:$BO$162</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9"/>
          <c:order val="19"/>
          <c:tx>
            <c:strRef>
              <c:f>'Output tables'!$A$163</c:f>
              <c:strCache>
                <c:ptCount val="1"/>
                <c:pt idx="0">
                  <c:v>Pumped storage</c:v>
                </c:pt>
              </c:strCache>
            </c:strRef>
          </c:tx>
          <c:cat>
            <c:numRef>
              <c:f>'Output tables'!$AP$143:$BO$143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tables'!$AP$163:$BO$163</c:f>
              <c:numCache>
                <c:formatCode>General</c:formatCode>
                <c:ptCount val="26"/>
                <c:pt idx="0">
                  <c:v>1152.7675173263508</c:v>
                </c:pt>
                <c:pt idx="1">
                  <c:v>1816.9811820715338</c:v>
                </c:pt>
                <c:pt idx="2">
                  <c:v>2704.4553312948201</c:v>
                </c:pt>
                <c:pt idx="3">
                  <c:v>3131.7399824278873</c:v>
                </c:pt>
                <c:pt idx="4">
                  <c:v>3601.7530986742613</c:v>
                </c:pt>
                <c:pt idx="5">
                  <c:v>4118.7675265452726</c:v>
                </c:pt>
                <c:pt idx="6">
                  <c:v>4530.6442791997997</c:v>
                </c:pt>
                <c:pt idx="7">
                  <c:v>4983.7087071197802</c:v>
                </c:pt>
                <c:pt idx="8">
                  <c:v>3909.8649865596035</c:v>
                </c:pt>
                <c:pt idx="9">
                  <c:v>2728.6368939434087</c:v>
                </c:pt>
                <c:pt idx="10">
                  <c:v>1429.2859920655951</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20"/>
          <c:order val="20"/>
          <c:tx>
            <c:strRef>
              <c:f>'Output tables'!$A$164</c:f>
              <c:strCache>
                <c:ptCount val="1"/>
                <c:pt idx="0">
                  <c:v>Demand reduction  (PV and SWH)</c:v>
                </c:pt>
              </c:strCache>
            </c:strRef>
          </c:tx>
          <c:spPr>
            <a:ln w="25400">
              <a:noFill/>
            </a:ln>
          </c:spPr>
          <c:cat>
            <c:numRef>
              <c:f>'Output tables'!$AP$143:$BO$143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tables'!$AP$164:$BO$164</c:f>
              <c:numCache>
                <c:formatCode>General</c:formatCode>
                <c:ptCount val="26"/>
                <c:pt idx="0">
                  <c:v>0</c:v>
                </c:pt>
                <c:pt idx="1">
                  <c:v>0</c:v>
                </c:pt>
                <c:pt idx="2">
                  <c:v>0</c:v>
                </c:pt>
                <c:pt idx="3">
                  <c:v>0</c:v>
                </c:pt>
                <c:pt idx="4">
                  <c:v>0</c:v>
                </c:pt>
                <c:pt idx="5">
                  <c:v>3351.7211896980557</c:v>
                </c:pt>
                <c:pt idx="6">
                  <c:v>3228.6179183161726</c:v>
                </c:pt>
                <c:pt idx="7">
                  <c:v>3105.514646934289</c:v>
                </c:pt>
                <c:pt idx="8">
                  <c:v>2982.4113755524058</c:v>
                </c:pt>
                <c:pt idx="9">
                  <c:v>2830.9943517526899</c:v>
                </c:pt>
                <c:pt idx="10">
                  <c:v>2679.5773279529726</c:v>
                </c:pt>
                <c:pt idx="11">
                  <c:v>2596.8026882757945</c:v>
                </c:pt>
                <c:pt idx="12">
                  <c:v>2514.0280485986159</c:v>
                </c:pt>
                <c:pt idx="13">
                  <c:v>2431.2534089214378</c:v>
                </c:pt>
                <c:pt idx="14">
                  <c:v>2363.3782043861515</c:v>
                </c:pt>
                <c:pt idx="15">
                  <c:v>4591.0059997017306</c:v>
                </c:pt>
                <c:pt idx="16">
                  <c:v>4455.2555906311582</c:v>
                </c:pt>
                <c:pt idx="17">
                  <c:v>4371.7690890527565</c:v>
                </c:pt>
                <c:pt idx="18">
                  <c:v>4288.2825874743539</c:v>
                </c:pt>
                <c:pt idx="19">
                  <c:v>4204.7960858959523</c:v>
                </c:pt>
                <c:pt idx="20">
                  <c:v>4121.3095843175506</c:v>
                </c:pt>
                <c:pt idx="21">
                  <c:v>4121.3095843175506</c:v>
                </c:pt>
                <c:pt idx="22">
                  <c:v>4121.3095843175506</c:v>
                </c:pt>
                <c:pt idx="23">
                  <c:v>4121.3095843175506</c:v>
                </c:pt>
                <c:pt idx="24">
                  <c:v>4121.3095843175506</c:v>
                </c:pt>
                <c:pt idx="25">
                  <c:v>4121.3095843175506</c:v>
                </c:pt>
              </c:numCache>
            </c:numRef>
          </c:val>
        </c:ser>
        <c:axId val="107046400"/>
        <c:axId val="107047936"/>
      </c:areaChart>
      <c:catAx>
        <c:axId val="107046400"/>
        <c:scaling>
          <c:orientation val="minMax"/>
        </c:scaling>
        <c:axPos val="b"/>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7047936"/>
        <c:crosses val="autoZero"/>
        <c:auto val="1"/>
        <c:lblAlgn val="ctr"/>
        <c:lblOffset val="100"/>
      </c:catAx>
      <c:valAx>
        <c:axId val="107047936"/>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R million</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7046400"/>
        <c:crosses val="autoZero"/>
        <c:crossBetween val="midCat"/>
      </c:valAx>
    </c:plotArea>
    <c:legend>
      <c:legendPos val="b"/>
      <c:layout>
        <c:manualLayout>
          <c:xMode val="edge"/>
          <c:yMode val="edge"/>
          <c:x val="3.4974043477980492E-2"/>
          <c:y val="0.64418438957266189"/>
          <c:w val="0.94644947022899883"/>
          <c:h val="0.35581561042733745"/>
        </c:manualLayout>
      </c:layout>
      <c:txPr>
        <a:bodyPr/>
        <a:lstStyle/>
        <a:p>
          <a:pPr>
            <a:defRPr lang="en-ZA" sz="845" b="0" i="0" u="none" strike="noStrike" baseline="0">
              <a:solidFill>
                <a:srgbClr val="000000"/>
              </a:solidFill>
              <a:latin typeface="Calibri"/>
              <a:ea typeface="Calibri"/>
              <a:cs typeface="Calibri"/>
            </a:defRPr>
          </a:pPr>
          <a:endParaRPr lang="en-US"/>
        </a:p>
      </c:txPr>
    </c:legend>
    <c:plotVisOnly val="1"/>
    <c:dispBlanksAs val="zero"/>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2" l="0.70000000000000062" r="0.70000000000000062" t="0.750000000000002" header="0.30000000000000032" footer="0.30000000000000032"/>
    <c:pageSetup/>
  </c:printSettings>
</c:chartSpace>
</file>

<file path=xl/charts/chart30.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0.20484532716992529"/>
          <c:y val="7.1733689538807904E-2"/>
          <c:w val="0.74863895744375575"/>
          <c:h val="0.624710114360707"/>
        </c:manualLayout>
      </c:layout>
      <c:areaChart>
        <c:grouping val="stacked"/>
        <c:ser>
          <c:idx val="0"/>
          <c:order val="0"/>
          <c:tx>
            <c:strRef>
              <c:f>'Output tables'!$A$176</c:f>
              <c:strCache>
                <c:ptCount val="1"/>
                <c:pt idx="0">
                  <c:v>Annualised capital cost</c:v>
                </c:pt>
              </c:strCache>
            </c:strRef>
          </c:tx>
          <c:cat>
            <c:numRef>
              <c:f>'Output tables'!$AP$175:$BO$175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tables'!$AP$176:$BO$176</c:f>
              <c:numCache>
                <c:formatCode>General</c:formatCode>
                <c:ptCount val="26"/>
                <c:pt idx="0">
                  <c:v>0</c:v>
                </c:pt>
                <c:pt idx="1">
                  <c:v>0</c:v>
                </c:pt>
                <c:pt idx="2">
                  <c:v>0</c:v>
                </c:pt>
                <c:pt idx="3">
                  <c:v>0</c:v>
                </c:pt>
                <c:pt idx="4">
                  <c:v>0</c:v>
                </c:pt>
                <c:pt idx="5">
                  <c:v>183.26556628016303</c:v>
                </c:pt>
                <c:pt idx="6">
                  <c:v>540.15114272048049</c:v>
                </c:pt>
                <c:pt idx="7">
                  <c:v>887.39116304078937</c:v>
                </c:pt>
                <c:pt idx="8">
                  <c:v>1564.5092026653915</c:v>
                </c:pt>
                <c:pt idx="9">
                  <c:v>2224.2652412739781</c:v>
                </c:pt>
                <c:pt idx="10">
                  <c:v>3509.0533164591207</c:v>
                </c:pt>
                <c:pt idx="11">
                  <c:v>4759.1173896122327</c:v>
                </c:pt>
                <c:pt idx="12">
                  <c:v>6290.4458792247951</c:v>
                </c:pt>
                <c:pt idx="13">
                  <c:v>7790.5227670085296</c:v>
                </c:pt>
                <c:pt idx="14">
                  <c:v>9993.7606959408895</c:v>
                </c:pt>
                <c:pt idx="15">
                  <c:v>12150.121222130008</c:v>
                </c:pt>
                <c:pt idx="16">
                  <c:v>14962.76538672451</c:v>
                </c:pt>
                <c:pt idx="17">
                  <c:v>14962.76538672451</c:v>
                </c:pt>
                <c:pt idx="18">
                  <c:v>14962.76538672451</c:v>
                </c:pt>
                <c:pt idx="19">
                  <c:v>14962.76538672451</c:v>
                </c:pt>
                <c:pt idx="20">
                  <c:v>14962.76538672451</c:v>
                </c:pt>
                <c:pt idx="21">
                  <c:v>14962.76538672451</c:v>
                </c:pt>
                <c:pt idx="22">
                  <c:v>14962.76538672451</c:v>
                </c:pt>
                <c:pt idx="23">
                  <c:v>14962.76538672451</c:v>
                </c:pt>
                <c:pt idx="24">
                  <c:v>14962.76538672451</c:v>
                </c:pt>
                <c:pt idx="25">
                  <c:v>14779.499820444347</c:v>
                </c:pt>
              </c:numCache>
            </c:numRef>
          </c:val>
        </c:ser>
        <c:ser>
          <c:idx val="1"/>
          <c:order val="1"/>
          <c:tx>
            <c:strRef>
              <c:f>'Output tables'!$A$177</c:f>
              <c:strCache>
                <c:ptCount val="1"/>
                <c:pt idx="0">
                  <c:v>Fixed O&amp;M</c:v>
                </c:pt>
              </c:strCache>
            </c:strRef>
          </c:tx>
          <c:cat>
            <c:numRef>
              <c:f>'Output tables'!$AP$175:$BO$175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tables'!$AP$177:$BO$177</c:f>
              <c:numCache>
                <c:formatCode>General</c:formatCode>
                <c:ptCount val="26"/>
                <c:pt idx="0">
                  <c:v>0</c:v>
                </c:pt>
                <c:pt idx="1">
                  <c:v>0</c:v>
                </c:pt>
                <c:pt idx="2">
                  <c:v>0</c:v>
                </c:pt>
                <c:pt idx="3">
                  <c:v>0</c:v>
                </c:pt>
                <c:pt idx="4">
                  <c:v>0</c:v>
                </c:pt>
                <c:pt idx="5">
                  <c:v>25.275151249001961</c:v>
                </c:pt>
                <c:pt idx="6">
                  <c:v>75.825453747005895</c:v>
                </c:pt>
                <c:pt idx="7">
                  <c:v>126.3757562450098</c:v>
                </c:pt>
                <c:pt idx="8">
                  <c:v>227.47636124101763</c:v>
                </c:pt>
                <c:pt idx="9">
                  <c:v>328.57696623702549</c:v>
                </c:pt>
                <c:pt idx="10">
                  <c:v>530.77817622904115</c:v>
                </c:pt>
                <c:pt idx="11">
                  <c:v>732.97938622105687</c:v>
                </c:pt>
                <c:pt idx="12">
                  <c:v>985.73089871107652</c:v>
                </c:pt>
                <c:pt idx="13">
                  <c:v>1238.4824112010961</c:v>
                </c:pt>
                <c:pt idx="14">
                  <c:v>1617.6096799361255</c:v>
                </c:pt>
                <c:pt idx="15">
                  <c:v>1996.7369486711548</c:v>
                </c:pt>
                <c:pt idx="16">
                  <c:v>2502.2399736511938</c:v>
                </c:pt>
                <c:pt idx="17">
                  <c:v>2502.2399736511938</c:v>
                </c:pt>
                <c:pt idx="18">
                  <c:v>2502.2399736511938</c:v>
                </c:pt>
                <c:pt idx="19">
                  <c:v>2502.2399736511938</c:v>
                </c:pt>
                <c:pt idx="20">
                  <c:v>2502.2399736511938</c:v>
                </c:pt>
                <c:pt idx="21">
                  <c:v>2502.2399736511938</c:v>
                </c:pt>
                <c:pt idx="22">
                  <c:v>2502.2399736511938</c:v>
                </c:pt>
                <c:pt idx="23">
                  <c:v>2502.2399736511938</c:v>
                </c:pt>
                <c:pt idx="24">
                  <c:v>2502.2399736511938</c:v>
                </c:pt>
                <c:pt idx="25">
                  <c:v>2476.9648224021921</c:v>
                </c:pt>
              </c:numCache>
            </c:numRef>
          </c:val>
        </c:ser>
        <c:ser>
          <c:idx val="2"/>
          <c:order val="2"/>
          <c:tx>
            <c:strRef>
              <c:f>'Output tables'!$A$178</c:f>
              <c:strCache>
                <c:ptCount val="1"/>
                <c:pt idx="0">
                  <c:v>Variable O&amp;M</c:v>
                </c:pt>
              </c:strCache>
            </c:strRef>
          </c:tx>
          <c:cat>
            <c:numRef>
              <c:f>'Output tables'!$AP$175:$BO$175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tables'!$AP$178:$BO$178</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3"/>
          <c:order val="3"/>
          <c:tx>
            <c:strRef>
              <c:f>'Output tables'!$A$179</c:f>
              <c:strCache>
                <c:ptCount val="1"/>
                <c:pt idx="0">
                  <c:v>Fuel cost</c:v>
                </c:pt>
              </c:strCache>
            </c:strRef>
          </c:tx>
          <c:cat>
            <c:numRef>
              <c:f>'Output tables'!$AP$175:$BO$175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tables'!$AP$179:$BO$179</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5"/>
          <c:order val="5"/>
          <c:tx>
            <c:strRef>
              <c:f>'Output tables'!$A$180</c:f>
              <c:strCache>
                <c:ptCount val="1"/>
                <c:pt idx="0">
                  <c:v>Carbon tax</c:v>
                </c:pt>
              </c:strCache>
            </c:strRef>
          </c:tx>
          <c:val>
            <c:numRef>
              <c:f>'Output tables'!$AP$180:$BO$180</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axId val="107220352"/>
        <c:axId val="107226240"/>
      </c:areaChart>
      <c:lineChart>
        <c:grouping val="standard"/>
        <c:ser>
          <c:idx val="4"/>
          <c:order val="4"/>
          <c:tx>
            <c:strRef>
              <c:f>'Output tables'!$A$181</c:f>
              <c:strCache>
                <c:ptCount val="1"/>
                <c:pt idx="0">
                  <c:v>Annual investment requirement</c:v>
                </c:pt>
              </c:strCache>
            </c:strRef>
          </c:tx>
          <c:marker>
            <c:symbol val="none"/>
          </c:marker>
          <c:cat>
            <c:numRef>
              <c:f>'Output tables'!$AP$175:$BO$175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tables'!$AP$181:$BO$181</c:f>
              <c:numCache>
                <c:formatCode>General</c:formatCode>
                <c:ptCount val="26"/>
                <c:pt idx="0">
                  <c:v>0</c:v>
                </c:pt>
                <c:pt idx="1">
                  <c:v>0</c:v>
                </c:pt>
                <c:pt idx="2">
                  <c:v>75.703206024444654</c:v>
                </c:pt>
                <c:pt idx="3">
                  <c:v>457.80517748466798</c:v>
                </c:pt>
                <c:pt idx="4">
                  <c:v>1922.0247133753612</c:v>
                </c:pt>
                <c:pt idx="5">
                  <c:v>3154.3135322827429</c:v>
                </c:pt>
                <c:pt idx="6">
                  <c:v>3644.0335876756112</c:v>
                </c:pt>
                <c:pt idx="7">
                  <c:v>5986.2987508304568</c:v>
                </c:pt>
                <c:pt idx="8">
                  <c:v>6919.2889681512988</c:v>
                </c:pt>
                <c:pt idx="9">
                  <c:v>10981.156440530671</c:v>
                </c:pt>
                <c:pt idx="10">
                  <c:v>11222.131698444271</c:v>
                </c:pt>
                <c:pt idx="11">
                  <c:v>13261.686037610511</c:v>
                </c:pt>
                <c:pt idx="12">
                  <c:v>14232.988452186544</c:v>
                </c:pt>
                <c:pt idx="13">
                  <c:v>18929.746838458821</c:v>
                </c:pt>
                <c:pt idx="14">
                  <c:v>18579.063291250448</c:v>
                </c:pt>
                <c:pt idx="15">
                  <c:v>18020.215849371169</c:v>
                </c:pt>
                <c:pt idx="16">
                  <c:v>0</c:v>
                </c:pt>
                <c:pt idx="17">
                  <c:v>0</c:v>
                </c:pt>
                <c:pt idx="18">
                  <c:v>0</c:v>
                </c:pt>
                <c:pt idx="19">
                  <c:v>0</c:v>
                </c:pt>
                <c:pt idx="20">
                  <c:v>0</c:v>
                </c:pt>
                <c:pt idx="21">
                  <c:v>0</c:v>
                </c:pt>
                <c:pt idx="22">
                  <c:v>0</c:v>
                </c:pt>
                <c:pt idx="23">
                  <c:v>109.35011703642387</c:v>
                </c:pt>
                <c:pt idx="24">
                  <c:v>557.00215865428402</c:v>
                </c:pt>
                <c:pt idx="25">
                  <c:v>2357.520179482151</c:v>
                </c:pt>
              </c:numCache>
            </c:numRef>
          </c:val>
        </c:ser>
        <c:marker val="1"/>
        <c:axId val="107220352"/>
        <c:axId val="107226240"/>
      </c:lineChart>
      <c:catAx>
        <c:axId val="107220352"/>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07226240"/>
        <c:crosses val="autoZero"/>
        <c:auto val="1"/>
        <c:lblAlgn val="ctr"/>
        <c:lblOffset val="100"/>
      </c:catAx>
      <c:valAx>
        <c:axId val="107226240"/>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R million</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7220352"/>
        <c:crosses val="autoZero"/>
        <c:crossBetween val="between"/>
      </c:valAx>
    </c:plotArea>
    <c:legend>
      <c:legendPos val="b"/>
      <c:txPr>
        <a:bodyPr/>
        <a:lstStyle/>
        <a:p>
          <a:pPr>
            <a:defRPr lang="en-ZA" sz="845" b="0" i="0" u="none" strike="noStrike" baseline="0">
              <a:solidFill>
                <a:srgbClr val="000000"/>
              </a:solidFill>
              <a:latin typeface="Calibri"/>
              <a:ea typeface="Calibri"/>
              <a:cs typeface="Calibri"/>
            </a:defRPr>
          </a:pPr>
          <a:endParaRPr lang="en-US"/>
        </a:p>
      </c:txPr>
    </c:legend>
    <c:plotVisOnly val="1"/>
    <c:dispBlanksAs val="zero"/>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2" l="0.70000000000000062" r="0.70000000000000062" t="0.750000000000002" header="0.30000000000000032" footer="0.30000000000000032"/>
    <c:pageSetup/>
  </c:printSettings>
</c:chartSpace>
</file>

<file path=xl/charts/chart31.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0.20484532716992537"/>
          <c:y val="7.1733689538807904E-2"/>
          <c:w val="0.74863895744375608"/>
          <c:h val="0.62471011436070722"/>
        </c:manualLayout>
      </c:layout>
      <c:areaChart>
        <c:grouping val="stacked"/>
        <c:ser>
          <c:idx val="0"/>
          <c:order val="0"/>
          <c:tx>
            <c:strRef>
              <c:f>'Output tables'!$A$185</c:f>
              <c:strCache>
                <c:ptCount val="1"/>
                <c:pt idx="0">
                  <c:v>Annualised capital cost</c:v>
                </c:pt>
              </c:strCache>
            </c:strRef>
          </c:tx>
          <c:cat>
            <c:numRef>
              <c:f>'Output tables'!$AP$175:$BO$175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tables'!$AP$185:$BO$185</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
          <c:order val="1"/>
          <c:tx>
            <c:strRef>
              <c:f>'Output tables'!$A$186</c:f>
              <c:strCache>
                <c:ptCount val="1"/>
                <c:pt idx="0">
                  <c:v>Fixed O&amp;M</c:v>
                </c:pt>
              </c:strCache>
            </c:strRef>
          </c:tx>
          <c:cat>
            <c:numRef>
              <c:f>'Output tables'!$AP$175:$BO$175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tables'!$AP$186:$BO$186</c:f>
              <c:numCache>
                <c:formatCode>General</c:formatCode>
                <c:ptCount val="26"/>
                <c:pt idx="0">
                  <c:v>1493.6648015951273</c:v>
                </c:pt>
                <c:pt idx="1">
                  <c:v>1493.6648015951273</c:v>
                </c:pt>
                <c:pt idx="2">
                  <c:v>1493.6648015951273</c:v>
                </c:pt>
                <c:pt idx="3">
                  <c:v>1493.6648015951273</c:v>
                </c:pt>
                <c:pt idx="4">
                  <c:v>1493.6648015951273</c:v>
                </c:pt>
                <c:pt idx="5">
                  <c:v>1681.3883251159868</c:v>
                </c:pt>
                <c:pt idx="6">
                  <c:v>1792.4283009614148</c:v>
                </c:pt>
                <c:pt idx="7">
                  <c:v>1792.4283009614148</c:v>
                </c:pt>
                <c:pt idx="8">
                  <c:v>1792.4283009614148</c:v>
                </c:pt>
                <c:pt idx="9">
                  <c:v>1792.4283009614148</c:v>
                </c:pt>
                <c:pt idx="10">
                  <c:v>1792.4283009614148</c:v>
                </c:pt>
                <c:pt idx="11">
                  <c:v>1782.121372510416</c:v>
                </c:pt>
                <c:pt idx="12">
                  <c:v>1771.8144440594174</c:v>
                </c:pt>
                <c:pt idx="13">
                  <c:v>1758.0718727914189</c:v>
                </c:pt>
                <c:pt idx="14">
                  <c:v>1744.3293015234203</c:v>
                </c:pt>
                <c:pt idx="15">
                  <c:v>1483.2204474314485</c:v>
                </c:pt>
                <c:pt idx="16">
                  <c:v>1222.1115933394767</c:v>
                </c:pt>
                <c:pt idx="17">
                  <c:v>1222.1115933394767</c:v>
                </c:pt>
                <c:pt idx="18">
                  <c:v>1222.1115933394767</c:v>
                </c:pt>
                <c:pt idx="19">
                  <c:v>1222.1115933394767</c:v>
                </c:pt>
                <c:pt idx="20">
                  <c:v>1101.8030166499655</c:v>
                </c:pt>
                <c:pt idx="21">
                  <c:v>981.49443996045386</c:v>
                </c:pt>
                <c:pt idx="22">
                  <c:v>981.49443996045386</c:v>
                </c:pt>
                <c:pt idx="23">
                  <c:v>981.49443996045386</c:v>
                </c:pt>
                <c:pt idx="24">
                  <c:v>981.49443996045386</c:v>
                </c:pt>
                <c:pt idx="25">
                  <c:v>981.49443996045386</c:v>
                </c:pt>
              </c:numCache>
            </c:numRef>
          </c:val>
        </c:ser>
        <c:ser>
          <c:idx val="2"/>
          <c:order val="2"/>
          <c:tx>
            <c:strRef>
              <c:f>'Output tables'!$A$187</c:f>
              <c:strCache>
                <c:ptCount val="1"/>
                <c:pt idx="0">
                  <c:v>Variable O&amp;M</c:v>
                </c:pt>
              </c:strCache>
            </c:strRef>
          </c:tx>
          <c:cat>
            <c:numRef>
              <c:f>'Output tables'!$AP$175:$BO$175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tables'!$AP$187:$BO$187</c:f>
              <c:numCache>
                <c:formatCode>General</c:formatCode>
                <c:ptCount val="26"/>
                <c:pt idx="0">
                  <c:v>111.0511073795959</c:v>
                </c:pt>
                <c:pt idx="1">
                  <c:v>111.0511073795959</c:v>
                </c:pt>
                <c:pt idx="2">
                  <c:v>111.0511073795959</c:v>
                </c:pt>
                <c:pt idx="3">
                  <c:v>111.0511073795959</c:v>
                </c:pt>
                <c:pt idx="4">
                  <c:v>111.0511073795959</c:v>
                </c:pt>
                <c:pt idx="5">
                  <c:v>125.00799057449215</c:v>
                </c:pt>
                <c:pt idx="6">
                  <c:v>133.26359937498717</c:v>
                </c:pt>
                <c:pt idx="7">
                  <c:v>133.26359937498717</c:v>
                </c:pt>
                <c:pt idx="8">
                  <c:v>133.26359937498717</c:v>
                </c:pt>
                <c:pt idx="9">
                  <c:v>133.26359937498717</c:v>
                </c:pt>
                <c:pt idx="10">
                  <c:v>133.26359937498717</c:v>
                </c:pt>
                <c:pt idx="11">
                  <c:v>132.49729905315905</c:v>
                </c:pt>
                <c:pt idx="12">
                  <c:v>131.73099873133091</c:v>
                </c:pt>
                <c:pt idx="13">
                  <c:v>130.70926496889342</c:v>
                </c:pt>
                <c:pt idx="14">
                  <c:v>129.68753120645593</c:v>
                </c:pt>
                <c:pt idx="15">
                  <c:v>110.27458972014341</c:v>
                </c:pt>
                <c:pt idx="16">
                  <c:v>90.861648233830905</c:v>
                </c:pt>
                <c:pt idx="17">
                  <c:v>90.861648233830905</c:v>
                </c:pt>
                <c:pt idx="18">
                  <c:v>90.861648233830905</c:v>
                </c:pt>
                <c:pt idx="19">
                  <c:v>90.861648233830905</c:v>
                </c:pt>
                <c:pt idx="20">
                  <c:v>81.916936773558604</c:v>
                </c:pt>
                <c:pt idx="21">
                  <c:v>72.972225313286316</c:v>
                </c:pt>
                <c:pt idx="22">
                  <c:v>72.972225313286316</c:v>
                </c:pt>
                <c:pt idx="23">
                  <c:v>72.972225313286316</c:v>
                </c:pt>
                <c:pt idx="24">
                  <c:v>72.972225313286316</c:v>
                </c:pt>
                <c:pt idx="25">
                  <c:v>72.972225313286316</c:v>
                </c:pt>
              </c:numCache>
            </c:numRef>
          </c:val>
        </c:ser>
        <c:ser>
          <c:idx val="3"/>
          <c:order val="3"/>
          <c:tx>
            <c:strRef>
              <c:f>'Output tables'!$A$188</c:f>
              <c:strCache>
                <c:ptCount val="1"/>
                <c:pt idx="0">
                  <c:v>Fuel cost</c:v>
                </c:pt>
              </c:strCache>
            </c:strRef>
          </c:tx>
          <c:cat>
            <c:numRef>
              <c:f>'Output tables'!$AP$175:$BO$175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tables'!$AP$188:$BO$188</c:f>
              <c:numCache>
                <c:formatCode>General</c:formatCode>
                <c:ptCount val="26"/>
                <c:pt idx="0">
                  <c:v>741.9842757023797</c:v>
                </c:pt>
                <c:pt idx="1">
                  <c:v>851.8270806323203</c:v>
                </c:pt>
                <c:pt idx="2">
                  <c:v>961.6698855622609</c:v>
                </c:pt>
                <c:pt idx="3">
                  <c:v>1076.250263923074</c:v>
                </c:pt>
                <c:pt idx="4">
                  <c:v>1076.250263923074</c:v>
                </c:pt>
                <c:pt idx="5">
                  <c:v>1218.4361360426481</c:v>
                </c:pt>
                <c:pt idx="6">
                  <c:v>1306.2825765174923</c:v>
                </c:pt>
                <c:pt idx="7">
                  <c:v>1313.6627040684386</c:v>
                </c:pt>
                <c:pt idx="8">
                  <c:v>1321.0428316193847</c:v>
                </c:pt>
                <c:pt idx="9">
                  <c:v>1328.4229591703313</c:v>
                </c:pt>
                <c:pt idx="10">
                  <c:v>1335.8030867212774</c:v>
                </c:pt>
                <c:pt idx="11">
                  <c:v>1335.4595617954913</c:v>
                </c:pt>
                <c:pt idx="12">
                  <c:v>1335.0311615677624</c:v>
                </c:pt>
                <c:pt idx="13">
                  <c:v>1331.9150434452004</c:v>
                </c:pt>
                <c:pt idx="14">
                  <c:v>1328.6857582533819</c:v>
                </c:pt>
                <c:pt idx="15">
                  <c:v>1135.9016320574995</c:v>
                </c:pt>
                <c:pt idx="16">
                  <c:v>940.96733154574986</c:v>
                </c:pt>
                <c:pt idx="17">
                  <c:v>945.99924240963105</c:v>
                </c:pt>
                <c:pt idx="18">
                  <c:v>951.0311532735119</c:v>
                </c:pt>
                <c:pt idx="19">
                  <c:v>956.06306413739298</c:v>
                </c:pt>
                <c:pt idx="20">
                  <c:v>866.48170962025745</c:v>
                </c:pt>
                <c:pt idx="21">
                  <c:v>775.9096402823784</c:v>
                </c:pt>
                <c:pt idx="22">
                  <c:v>779.95083632551564</c:v>
                </c:pt>
                <c:pt idx="23">
                  <c:v>783.99203236865299</c:v>
                </c:pt>
                <c:pt idx="24">
                  <c:v>788.03322841179056</c:v>
                </c:pt>
                <c:pt idx="25">
                  <c:v>792.07442445492791</c:v>
                </c:pt>
              </c:numCache>
            </c:numRef>
          </c:val>
        </c:ser>
        <c:ser>
          <c:idx val="5"/>
          <c:order val="5"/>
          <c:tx>
            <c:strRef>
              <c:f>'Output tables'!$A$189</c:f>
              <c:strCache>
                <c:ptCount val="1"/>
                <c:pt idx="0">
                  <c:v>Carbon tax</c:v>
                </c:pt>
              </c:strCache>
            </c:strRef>
          </c:tx>
          <c:val>
            <c:numRef>
              <c:f>'Output tables'!$AP$189:$BO$189</c:f>
              <c:numCache>
                <c:formatCode>General</c:formatCode>
                <c:ptCount val="26"/>
                <c:pt idx="0">
                  <c:v>0</c:v>
                </c:pt>
                <c:pt idx="1">
                  <c:v>0</c:v>
                </c:pt>
                <c:pt idx="2">
                  <c:v>0</c:v>
                </c:pt>
                <c:pt idx="3">
                  <c:v>0</c:v>
                </c:pt>
                <c:pt idx="4">
                  <c:v>0</c:v>
                </c:pt>
                <c:pt idx="5">
                  <c:v>0</c:v>
                </c:pt>
                <c:pt idx="6">
                  <c:v>0</c:v>
                </c:pt>
                <c:pt idx="7">
                  <c:v>1691.7433458531966</c:v>
                </c:pt>
                <c:pt idx="8">
                  <c:v>1691.7433458531966</c:v>
                </c:pt>
                <c:pt idx="9">
                  <c:v>1691.7433458531966</c:v>
                </c:pt>
                <c:pt idx="10">
                  <c:v>1691.7433458531966</c:v>
                </c:pt>
                <c:pt idx="11">
                  <c:v>5046.0461461640862</c:v>
                </c:pt>
                <c:pt idx="12">
                  <c:v>5016.8622547685818</c:v>
                </c:pt>
                <c:pt idx="13">
                  <c:v>4977.9503995745754</c:v>
                </c:pt>
                <c:pt idx="14">
                  <c:v>4939.038544380569</c:v>
                </c:pt>
                <c:pt idx="15">
                  <c:v>6999.5221594907471</c:v>
                </c:pt>
                <c:pt idx="16">
                  <c:v>5767.313411680545</c:v>
                </c:pt>
                <c:pt idx="17">
                  <c:v>5767.313411680545</c:v>
                </c:pt>
                <c:pt idx="18">
                  <c:v>5767.313411680545</c:v>
                </c:pt>
                <c:pt idx="19">
                  <c:v>5767.313411680545</c:v>
                </c:pt>
                <c:pt idx="20">
                  <c:v>5199.5606208035515</c:v>
                </c:pt>
                <c:pt idx="21">
                  <c:v>4631.807829926559</c:v>
                </c:pt>
                <c:pt idx="22">
                  <c:v>4631.807829926559</c:v>
                </c:pt>
                <c:pt idx="23">
                  <c:v>4631.807829926559</c:v>
                </c:pt>
                <c:pt idx="24">
                  <c:v>4631.807829926559</c:v>
                </c:pt>
                <c:pt idx="25">
                  <c:v>4631.807829926559</c:v>
                </c:pt>
              </c:numCache>
            </c:numRef>
          </c:val>
        </c:ser>
        <c:axId val="107244544"/>
        <c:axId val="107291392"/>
      </c:areaChart>
      <c:lineChart>
        <c:grouping val="standard"/>
        <c:ser>
          <c:idx val="4"/>
          <c:order val="4"/>
          <c:tx>
            <c:strRef>
              <c:f>'Output tables'!$A$190</c:f>
              <c:strCache>
                <c:ptCount val="1"/>
                <c:pt idx="0">
                  <c:v>Annual investment requirement</c:v>
                </c:pt>
              </c:strCache>
            </c:strRef>
          </c:tx>
          <c:marker>
            <c:symbol val="none"/>
          </c:marker>
          <c:cat>
            <c:numRef>
              <c:f>'Output tables'!$AP$175:$BO$175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tables'!$AP$190:$BO$190</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marker val="1"/>
        <c:axId val="107244544"/>
        <c:axId val="107291392"/>
      </c:lineChart>
      <c:catAx>
        <c:axId val="107244544"/>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07291392"/>
        <c:crosses val="autoZero"/>
        <c:auto val="1"/>
        <c:lblAlgn val="ctr"/>
        <c:lblOffset val="100"/>
      </c:catAx>
      <c:valAx>
        <c:axId val="107291392"/>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R million</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7244544"/>
        <c:crosses val="autoZero"/>
        <c:crossBetween val="between"/>
      </c:valAx>
    </c:plotArea>
    <c:legend>
      <c:legendPos val="b"/>
      <c:layout>
        <c:manualLayout>
          <c:xMode val="edge"/>
          <c:yMode val="edge"/>
          <c:x val="1.9568822553897207E-3"/>
          <c:y val="0.8246591185131219"/>
          <c:w val="0.98144631174834407"/>
          <c:h val="0.14789854428467319"/>
        </c:manualLayout>
      </c:layout>
      <c:txPr>
        <a:bodyPr/>
        <a:lstStyle/>
        <a:p>
          <a:pPr>
            <a:defRPr lang="en-ZA" sz="845" b="0" i="0" u="none" strike="noStrike" baseline="0">
              <a:solidFill>
                <a:srgbClr val="000000"/>
              </a:solidFill>
              <a:latin typeface="Calibri"/>
              <a:ea typeface="Calibri"/>
              <a:cs typeface="Calibri"/>
            </a:defRPr>
          </a:pPr>
          <a:endParaRPr lang="en-US"/>
        </a:p>
      </c:txPr>
    </c:legend>
    <c:plotVisOnly val="1"/>
    <c:dispBlanksAs val="zero"/>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222" l="0.70000000000000062" r="0.70000000000000062" t="0.75000000000000222" header="0.30000000000000032" footer="0.30000000000000032"/>
    <c:pageSetup/>
  </c:printSettings>
</c:chartSpace>
</file>

<file path=xl/charts/chart32.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0.14896062992125983"/>
          <c:y val="6.5850887763337612E-2"/>
          <c:w val="0.70378696412948383"/>
          <c:h val="0.4948728949976966"/>
        </c:manualLayout>
      </c:layout>
      <c:areaChart>
        <c:grouping val="stacked"/>
        <c:ser>
          <c:idx val="0"/>
          <c:order val="0"/>
          <c:tx>
            <c:strRef>
              <c:f>'Output tables'!$A$110</c:f>
              <c:strCache>
                <c:ptCount val="1"/>
                <c:pt idx="0">
                  <c:v>Existing coal Large</c:v>
                </c:pt>
              </c:strCache>
            </c:strRef>
          </c:tx>
          <c:cat>
            <c:numRef>
              <c:f>'Output tables'!$B$109:$AA$109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tables'!$B$110:$AA$110</c:f>
              <c:numCache>
                <c:formatCode>General</c:formatCode>
                <c:ptCount val="26"/>
                <c:pt idx="0">
                  <c:v>16255.848534235311</c:v>
                </c:pt>
                <c:pt idx="1">
                  <c:v>17848.075230169379</c:v>
                </c:pt>
                <c:pt idx="2">
                  <c:v>19881.448596266746</c:v>
                </c:pt>
                <c:pt idx="3">
                  <c:v>20778.472732023358</c:v>
                </c:pt>
                <c:pt idx="4">
                  <c:v>20778.472732023358</c:v>
                </c:pt>
                <c:pt idx="5">
                  <c:v>21202.080907823816</c:v>
                </c:pt>
                <c:pt idx="6">
                  <c:v>21544.21256869131</c:v>
                </c:pt>
                <c:pt idx="7">
                  <c:v>21918.855286541409</c:v>
                </c:pt>
                <c:pt idx="8">
                  <c:v>22275.182280814239</c:v>
                </c:pt>
                <c:pt idx="9">
                  <c:v>22369.252860877034</c:v>
                </c:pt>
                <c:pt idx="10">
                  <c:v>22449.36221189766</c:v>
                </c:pt>
                <c:pt idx="11">
                  <c:v>22529.47156291829</c:v>
                </c:pt>
                <c:pt idx="12">
                  <c:v>22609.580913938917</c:v>
                </c:pt>
                <c:pt idx="13">
                  <c:v>22689.690264959547</c:v>
                </c:pt>
                <c:pt idx="14">
                  <c:v>22769.799615980173</c:v>
                </c:pt>
                <c:pt idx="15">
                  <c:v>22849.908967000803</c:v>
                </c:pt>
                <c:pt idx="16">
                  <c:v>22930.01831802143</c:v>
                </c:pt>
                <c:pt idx="17">
                  <c:v>23010.127669042056</c:v>
                </c:pt>
                <c:pt idx="18">
                  <c:v>23090.237020062686</c:v>
                </c:pt>
                <c:pt idx="19">
                  <c:v>22303.482964466039</c:v>
                </c:pt>
                <c:pt idx="20">
                  <c:v>21510.734707158685</c:v>
                </c:pt>
                <c:pt idx="21">
                  <c:v>20493.777846058623</c:v>
                </c:pt>
                <c:pt idx="22">
                  <c:v>19469.328232820168</c:v>
                </c:pt>
                <c:pt idx="23">
                  <c:v>18206.109075327888</c:v>
                </c:pt>
                <c:pt idx="24">
                  <c:v>15599.443102709989</c:v>
                </c:pt>
                <c:pt idx="25">
                  <c:v>14313.548511114688</c:v>
                </c:pt>
              </c:numCache>
            </c:numRef>
          </c:val>
        </c:ser>
        <c:ser>
          <c:idx val="1"/>
          <c:order val="1"/>
          <c:tx>
            <c:strRef>
              <c:f>'Output tables'!$A$111</c:f>
              <c:strCache>
                <c:ptCount val="1"/>
                <c:pt idx="0">
                  <c:v>Existing coal Small</c:v>
                </c:pt>
              </c:strCache>
            </c:strRef>
          </c:tx>
          <c:cat>
            <c:numRef>
              <c:f>'Output tables'!$B$109:$AA$109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tables'!$B$111:$AA$111</c:f>
              <c:numCache>
                <c:formatCode>General</c:formatCode>
                <c:ptCount val="26"/>
                <c:pt idx="0">
                  <c:v>2346.7001846771027</c:v>
                </c:pt>
                <c:pt idx="1">
                  <c:v>2456.5429896070436</c:v>
                </c:pt>
                <c:pt idx="2">
                  <c:v>2566.3857945369841</c:v>
                </c:pt>
                <c:pt idx="3">
                  <c:v>2680.9661728977972</c:v>
                </c:pt>
                <c:pt idx="4">
                  <c:v>2680.9661728977972</c:v>
                </c:pt>
                <c:pt idx="5">
                  <c:v>3024.8324517331271</c:v>
                </c:pt>
                <c:pt idx="6">
                  <c:v>3231.974476853894</c:v>
                </c:pt>
                <c:pt idx="7">
                  <c:v>3239.3546044048408</c:v>
                </c:pt>
                <c:pt idx="8">
                  <c:v>3246.7347319557866</c:v>
                </c:pt>
                <c:pt idx="9">
                  <c:v>3254.1148595067334</c:v>
                </c:pt>
                <c:pt idx="10">
                  <c:v>3261.4949870576793</c:v>
                </c:pt>
                <c:pt idx="11">
                  <c:v>3250.078233359066</c:v>
                </c:pt>
                <c:pt idx="12">
                  <c:v>3238.5766043585108</c:v>
                </c:pt>
                <c:pt idx="13">
                  <c:v>3220.6961812055124</c:v>
                </c:pt>
                <c:pt idx="14">
                  <c:v>3202.7025909832582</c:v>
                </c:pt>
                <c:pt idx="15">
                  <c:v>2729.3966692090917</c:v>
                </c:pt>
                <c:pt idx="16">
                  <c:v>2253.9405731190573</c:v>
                </c:pt>
                <c:pt idx="17">
                  <c:v>2258.9724839829387</c:v>
                </c:pt>
                <c:pt idx="18">
                  <c:v>2264.0043948468197</c:v>
                </c:pt>
                <c:pt idx="19">
                  <c:v>2269.0363057107006</c:v>
                </c:pt>
                <c:pt idx="20">
                  <c:v>2050.2016630437815</c:v>
                </c:pt>
                <c:pt idx="21">
                  <c:v>1830.3763055561185</c:v>
                </c:pt>
                <c:pt idx="22">
                  <c:v>1834.4175015992557</c:v>
                </c:pt>
                <c:pt idx="23">
                  <c:v>1838.458697642393</c:v>
                </c:pt>
                <c:pt idx="24">
                  <c:v>1842.4998936855307</c:v>
                </c:pt>
                <c:pt idx="25">
                  <c:v>1846.5410897286679</c:v>
                </c:pt>
              </c:numCache>
            </c:numRef>
          </c:val>
        </c:ser>
        <c:ser>
          <c:idx val="2"/>
          <c:order val="2"/>
          <c:tx>
            <c:strRef>
              <c:f>'Output tables'!$A$112</c:f>
              <c:strCache>
                <c:ptCount val="1"/>
                <c:pt idx="0">
                  <c:v>OCGT liquid fuels</c:v>
                </c:pt>
              </c:strCache>
            </c:strRef>
          </c:tx>
          <c:cat>
            <c:numRef>
              <c:f>'Output tables'!$B$109:$AA$109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tables'!$B$112:$AA$112</c:f>
              <c:numCache>
                <c:formatCode>General</c:formatCode>
                <c:ptCount val="26"/>
                <c:pt idx="0">
                  <c:v>1203.429722858983</c:v>
                </c:pt>
                <c:pt idx="1">
                  <c:v>1333.4299474905283</c:v>
                </c:pt>
                <c:pt idx="2">
                  <c:v>1333.1218239168195</c:v>
                </c:pt>
                <c:pt idx="3">
                  <c:v>1771.1195126279106</c:v>
                </c:pt>
                <c:pt idx="4">
                  <c:v>1291.5694060722121</c:v>
                </c:pt>
                <c:pt idx="5">
                  <c:v>1344.4644260844339</c:v>
                </c:pt>
                <c:pt idx="6">
                  <c:v>2707.0090326218919</c:v>
                </c:pt>
                <c:pt idx="7">
                  <c:v>2783.7068116396131</c:v>
                </c:pt>
                <c:pt idx="8">
                  <c:v>2860.4045906573351</c:v>
                </c:pt>
                <c:pt idx="9">
                  <c:v>2937.1023696750563</c:v>
                </c:pt>
                <c:pt idx="10">
                  <c:v>3013.8001486927778</c:v>
                </c:pt>
                <c:pt idx="11">
                  <c:v>3090.4979277104985</c:v>
                </c:pt>
                <c:pt idx="12">
                  <c:v>3167.1957067282201</c:v>
                </c:pt>
                <c:pt idx="13">
                  <c:v>3243.8934857459412</c:v>
                </c:pt>
                <c:pt idx="14">
                  <c:v>3320.5912647636628</c:v>
                </c:pt>
                <c:pt idx="15">
                  <c:v>3397.2890437813844</c:v>
                </c:pt>
                <c:pt idx="16">
                  <c:v>3473.9868227991051</c:v>
                </c:pt>
                <c:pt idx="17">
                  <c:v>3550.6846018168262</c:v>
                </c:pt>
                <c:pt idx="18">
                  <c:v>4690.9041772287037</c:v>
                </c:pt>
                <c:pt idx="19">
                  <c:v>4783.4704622500922</c:v>
                </c:pt>
                <c:pt idx="20">
                  <c:v>4876.0367472714797</c:v>
                </c:pt>
                <c:pt idx="21">
                  <c:v>6079.7303466980229</c:v>
                </c:pt>
                <c:pt idx="22">
                  <c:v>6188.1651377230755</c:v>
                </c:pt>
                <c:pt idx="23">
                  <c:v>6296.59992874813</c:v>
                </c:pt>
                <c:pt idx="24">
                  <c:v>7563.7675521893389</c:v>
                </c:pt>
                <c:pt idx="25">
                  <c:v>7516.9023553421284</c:v>
                </c:pt>
              </c:numCache>
            </c:numRef>
          </c:val>
        </c:ser>
        <c:ser>
          <c:idx val="3"/>
          <c:order val="3"/>
          <c:tx>
            <c:strRef>
              <c:f>'Output tables'!$A$113</c:f>
              <c:strCache>
                <c:ptCount val="1"/>
                <c:pt idx="0">
                  <c:v>PWR nuclear</c:v>
                </c:pt>
              </c:strCache>
            </c:strRef>
          </c:tx>
          <c:cat>
            <c:numRef>
              <c:f>'Output tables'!$B$109:$AA$109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tables'!$B$113:$AA$113</c:f>
              <c:numCache>
                <c:formatCode>General</c:formatCode>
                <c:ptCount val="26"/>
                <c:pt idx="0">
                  <c:v>1841.3944454507421</c:v>
                </c:pt>
                <c:pt idx="1">
                  <c:v>1914.0285561278479</c:v>
                </c:pt>
                <c:pt idx="2">
                  <c:v>1986.6626668049537</c:v>
                </c:pt>
                <c:pt idx="3">
                  <c:v>2059.2967774820595</c:v>
                </c:pt>
                <c:pt idx="4">
                  <c:v>2168.8768214349784</c:v>
                </c:pt>
                <c:pt idx="5">
                  <c:v>2172.6932566352129</c:v>
                </c:pt>
                <c:pt idx="6">
                  <c:v>2176.5287740114481</c:v>
                </c:pt>
                <c:pt idx="7">
                  <c:v>2180.3834689745649</c:v>
                </c:pt>
                <c:pt idx="8">
                  <c:v>2184.257437412497</c:v>
                </c:pt>
                <c:pt idx="9">
                  <c:v>2188.1507756926189</c:v>
                </c:pt>
                <c:pt idx="10">
                  <c:v>2192.0635806641412</c:v>
                </c:pt>
                <c:pt idx="11">
                  <c:v>2195.9959496605215</c:v>
                </c:pt>
                <c:pt idx="12">
                  <c:v>2199.9479805018836</c:v>
                </c:pt>
                <c:pt idx="13">
                  <c:v>2203.9197714974525</c:v>
                </c:pt>
                <c:pt idx="14">
                  <c:v>2207.9114214479987</c:v>
                </c:pt>
                <c:pt idx="15">
                  <c:v>2211.9230296482983</c:v>
                </c:pt>
                <c:pt idx="16">
                  <c:v>2215.9546958895994</c:v>
                </c:pt>
                <c:pt idx="17">
                  <c:v>2220.0065204621064</c:v>
                </c:pt>
                <c:pt idx="18">
                  <c:v>2224.0786041574765</c:v>
                </c:pt>
                <c:pt idx="19">
                  <c:v>2228.1710482713233</c:v>
                </c:pt>
                <c:pt idx="20">
                  <c:v>2232.2839546057394</c:v>
                </c:pt>
                <c:pt idx="21">
                  <c:v>2236.4174254718273</c:v>
                </c:pt>
                <c:pt idx="22">
                  <c:v>2240.5715636922455</c:v>
                </c:pt>
                <c:pt idx="23">
                  <c:v>2244.7464726037661</c:v>
                </c:pt>
                <c:pt idx="24">
                  <c:v>2248.9422560598446</c:v>
                </c:pt>
                <c:pt idx="25">
                  <c:v>2253.1590184332031</c:v>
                </c:pt>
              </c:numCache>
            </c:numRef>
          </c:val>
        </c:ser>
        <c:ser>
          <c:idx val="4"/>
          <c:order val="4"/>
          <c:tx>
            <c:strRef>
              <c:f>'Output tables'!$A$114</c:f>
              <c:strCache>
                <c:ptCount val="1"/>
                <c:pt idx="0">
                  <c:v>Hydro</c:v>
                </c:pt>
              </c:strCache>
            </c:strRef>
          </c:tx>
          <c:cat>
            <c:numRef>
              <c:f>'Output tables'!$B$109:$AA$109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tables'!$B$114:$AA$114</c:f>
              <c:numCache>
                <c:formatCode>General</c:formatCode>
                <c:ptCount val="26"/>
                <c:pt idx="0">
                  <c:v>86.627408640520088</c:v>
                </c:pt>
                <c:pt idx="1">
                  <c:v>86.627408640520088</c:v>
                </c:pt>
                <c:pt idx="2">
                  <c:v>86.627408640520088</c:v>
                </c:pt>
                <c:pt idx="3">
                  <c:v>86.627408640520088</c:v>
                </c:pt>
                <c:pt idx="4">
                  <c:v>86.627408640520088</c:v>
                </c:pt>
                <c:pt idx="5">
                  <c:v>86.627408640520088</c:v>
                </c:pt>
                <c:pt idx="6">
                  <c:v>86.627408640520088</c:v>
                </c:pt>
                <c:pt idx="7">
                  <c:v>86.627408640520088</c:v>
                </c:pt>
                <c:pt idx="8">
                  <c:v>86.627408640520088</c:v>
                </c:pt>
                <c:pt idx="9">
                  <c:v>86.627408640520088</c:v>
                </c:pt>
                <c:pt idx="10">
                  <c:v>86.627408640520088</c:v>
                </c:pt>
                <c:pt idx="11">
                  <c:v>86.627408640520088</c:v>
                </c:pt>
                <c:pt idx="12">
                  <c:v>86.627408640520088</c:v>
                </c:pt>
                <c:pt idx="13">
                  <c:v>86.627408640520088</c:v>
                </c:pt>
                <c:pt idx="14">
                  <c:v>86.627408640520088</c:v>
                </c:pt>
                <c:pt idx="15">
                  <c:v>86.627408640520088</c:v>
                </c:pt>
                <c:pt idx="16">
                  <c:v>86.627408640520088</c:v>
                </c:pt>
                <c:pt idx="17">
                  <c:v>86.627408640520088</c:v>
                </c:pt>
                <c:pt idx="18">
                  <c:v>86.627408640520088</c:v>
                </c:pt>
                <c:pt idx="19">
                  <c:v>86.627408640520088</c:v>
                </c:pt>
                <c:pt idx="20">
                  <c:v>86.627408640520088</c:v>
                </c:pt>
                <c:pt idx="21">
                  <c:v>86.627408640520088</c:v>
                </c:pt>
                <c:pt idx="22">
                  <c:v>86.627408640520088</c:v>
                </c:pt>
                <c:pt idx="23">
                  <c:v>86.627408640520088</c:v>
                </c:pt>
                <c:pt idx="24">
                  <c:v>86.627408640520088</c:v>
                </c:pt>
                <c:pt idx="25">
                  <c:v>86.627408640520088</c:v>
                </c:pt>
              </c:numCache>
            </c:numRef>
          </c:val>
        </c:ser>
        <c:ser>
          <c:idx val="5"/>
          <c:order val="5"/>
          <c:tx>
            <c:strRef>
              <c:f>'Output tables'!$A$115</c:f>
              <c:strCache>
                <c:ptCount val="1"/>
                <c:pt idx="0">
                  <c:v>Landfill gas</c:v>
                </c:pt>
              </c:strCache>
            </c:strRef>
          </c:tx>
          <c:cat>
            <c:numRef>
              <c:f>'Output tables'!$B$109:$AA$109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tables'!$B$115:$AA$115</c:f>
              <c:numCache>
                <c:formatCode>General</c:formatCode>
                <c:ptCount val="26"/>
                <c:pt idx="0">
                  <c:v>66.755984508378774</c:v>
                </c:pt>
                <c:pt idx="1">
                  <c:v>66.755984508378774</c:v>
                </c:pt>
                <c:pt idx="2">
                  <c:v>66.755984508378774</c:v>
                </c:pt>
                <c:pt idx="3">
                  <c:v>66.755984508378774</c:v>
                </c:pt>
                <c:pt idx="4">
                  <c:v>66.755984508378774</c:v>
                </c:pt>
                <c:pt idx="5">
                  <c:v>66.755984508378774</c:v>
                </c:pt>
                <c:pt idx="6">
                  <c:v>66.755984508378774</c:v>
                </c:pt>
                <c:pt idx="7">
                  <c:v>66.755984508378774</c:v>
                </c:pt>
                <c:pt idx="8">
                  <c:v>66.755984508378774</c:v>
                </c:pt>
                <c:pt idx="9">
                  <c:v>66.755984508378774</c:v>
                </c:pt>
                <c:pt idx="10">
                  <c:v>66.755984508378774</c:v>
                </c:pt>
                <c:pt idx="11">
                  <c:v>66.755984508378774</c:v>
                </c:pt>
                <c:pt idx="12">
                  <c:v>66.755984508378774</c:v>
                </c:pt>
                <c:pt idx="13">
                  <c:v>66.755984508378774</c:v>
                </c:pt>
                <c:pt idx="14">
                  <c:v>66.755984508378774</c:v>
                </c:pt>
                <c:pt idx="15">
                  <c:v>66.755984508378774</c:v>
                </c:pt>
                <c:pt idx="16">
                  <c:v>66.755984508378774</c:v>
                </c:pt>
                <c:pt idx="17">
                  <c:v>66.755984508378774</c:v>
                </c:pt>
                <c:pt idx="18">
                  <c:v>66.755984508378774</c:v>
                </c:pt>
                <c:pt idx="19">
                  <c:v>66.755984508378774</c:v>
                </c:pt>
                <c:pt idx="20">
                  <c:v>66.755984508378774</c:v>
                </c:pt>
                <c:pt idx="21">
                  <c:v>66.755984508378774</c:v>
                </c:pt>
                <c:pt idx="22">
                  <c:v>66.755984508378774</c:v>
                </c:pt>
                <c:pt idx="23">
                  <c:v>66.755984508378774</c:v>
                </c:pt>
                <c:pt idx="24">
                  <c:v>66.755984508378774</c:v>
                </c:pt>
                <c:pt idx="25">
                  <c:v>66.755984508378774</c:v>
                </c:pt>
              </c:numCache>
            </c:numRef>
          </c:val>
        </c:ser>
        <c:ser>
          <c:idx val="6"/>
          <c:order val="6"/>
          <c:tx>
            <c:strRef>
              <c:f>'Output tables'!$A$116</c:f>
              <c:strCache>
                <c:ptCount val="1"/>
                <c:pt idx="0">
                  <c:v>Biomass</c:v>
                </c:pt>
              </c:strCache>
            </c:strRef>
          </c:tx>
          <c:cat>
            <c:numRef>
              <c:f>'Output tables'!$B$109:$AA$109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tables'!$B$116:$AA$116</c:f>
              <c:numCache>
                <c:formatCode>General</c:formatCode>
                <c:ptCount val="26"/>
                <c:pt idx="0">
                  <c:v>186.22474442860573</c:v>
                </c:pt>
                <c:pt idx="1">
                  <c:v>186.22474442860408</c:v>
                </c:pt>
                <c:pt idx="2">
                  <c:v>186.22474442860408</c:v>
                </c:pt>
                <c:pt idx="3">
                  <c:v>186.22474442860408</c:v>
                </c:pt>
                <c:pt idx="4">
                  <c:v>186.22474442860408</c:v>
                </c:pt>
                <c:pt idx="5">
                  <c:v>186.22474442860408</c:v>
                </c:pt>
                <c:pt idx="6">
                  <c:v>186.22474442860408</c:v>
                </c:pt>
                <c:pt idx="7">
                  <c:v>186.22474442860408</c:v>
                </c:pt>
                <c:pt idx="8">
                  <c:v>186.22474442860408</c:v>
                </c:pt>
                <c:pt idx="9">
                  <c:v>186.22474442860408</c:v>
                </c:pt>
                <c:pt idx="10">
                  <c:v>186.22474442860408</c:v>
                </c:pt>
                <c:pt idx="11">
                  <c:v>186.22474442860408</c:v>
                </c:pt>
                <c:pt idx="12">
                  <c:v>186.22474442860408</c:v>
                </c:pt>
                <c:pt idx="13">
                  <c:v>186.22474442860408</c:v>
                </c:pt>
                <c:pt idx="14">
                  <c:v>186.22474442860408</c:v>
                </c:pt>
                <c:pt idx="15">
                  <c:v>186.22474442860408</c:v>
                </c:pt>
                <c:pt idx="16">
                  <c:v>186.22474442860408</c:v>
                </c:pt>
                <c:pt idx="17">
                  <c:v>186.22474442860408</c:v>
                </c:pt>
                <c:pt idx="18">
                  <c:v>186.22474442860408</c:v>
                </c:pt>
                <c:pt idx="19">
                  <c:v>186.22474442860408</c:v>
                </c:pt>
                <c:pt idx="20">
                  <c:v>186.22474442860408</c:v>
                </c:pt>
                <c:pt idx="21">
                  <c:v>186.22474442860408</c:v>
                </c:pt>
                <c:pt idx="22">
                  <c:v>186.22474442860408</c:v>
                </c:pt>
                <c:pt idx="23">
                  <c:v>186.22474442860408</c:v>
                </c:pt>
                <c:pt idx="24">
                  <c:v>186.22474442860408</c:v>
                </c:pt>
                <c:pt idx="25">
                  <c:v>186.22474442860408</c:v>
                </c:pt>
              </c:numCache>
            </c:numRef>
          </c:val>
        </c:ser>
        <c:ser>
          <c:idx val="7"/>
          <c:order val="7"/>
          <c:tx>
            <c:strRef>
              <c:f>'Output tables'!$A$117</c:f>
              <c:strCache>
                <c:ptCount val="1"/>
                <c:pt idx="0">
                  <c:v>Supercritical coal</c:v>
                </c:pt>
              </c:strCache>
            </c:strRef>
          </c:tx>
          <c:cat>
            <c:numRef>
              <c:f>'Output tables'!$B$109:$AA$109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tables'!$B$117:$AA$117</c:f>
              <c:numCache>
                <c:formatCode>General</c:formatCode>
                <c:ptCount val="26"/>
                <c:pt idx="0">
                  <c:v>0</c:v>
                </c:pt>
                <c:pt idx="1">
                  <c:v>0</c:v>
                </c:pt>
                <c:pt idx="2">
                  <c:v>0</c:v>
                </c:pt>
                <c:pt idx="3">
                  <c:v>0</c:v>
                </c:pt>
                <c:pt idx="4">
                  <c:v>0</c:v>
                </c:pt>
                <c:pt idx="5">
                  <c:v>0</c:v>
                </c:pt>
                <c:pt idx="6">
                  <c:v>0</c:v>
                </c:pt>
                <c:pt idx="7">
                  <c:v>2017.0741489649656</c:v>
                </c:pt>
                <c:pt idx="8">
                  <c:v>6042.9945992936546</c:v>
                </c:pt>
                <c:pt idx="9">
                  <c:v>12439.591951574404</c:v>
                </c:pt>
                <c:pt idx="10">
                  <c:v>18788.423797161042</c:v>
                </c:pt>
                <c:pt idx="11">
                  <c:v>23359.379437289736</c:v>
                </c:pt>
                <c:pt idx="12">
                  <c:v>27912.341672893061</c:v>
                </c:pt>
                <c:pt idx="13">
                  <c:v>34328.620601601884</c:v>
                </c:pt>
                <c:pt idx="14">
                  <c:v>40781.521193336659</c:v>
                </c:pt>
                <c:pt idx="15">
                  <c:v>47430.696757504877</c:v>
                </c:pt>
                <c:pt idx="16">
                  <c:v>55925.865082017495</c:v>
                </c:pt>
                <c:pt idx="17">
                  <c:v>64214.669569650039</c:v>
                </c:pt>
                <c:pt idx="18">
                  <c:v>70756.573268164022</c:v>
                </c:pt>
                <c:pt idx="19">
                  <c:v>80061.729588537331</c:v>
                </c:pt>
                <c:pt idx="20">
                  <c:v>89516.683011088913</c:v>
                </c:pt>
                <c:pt idx="21">
                  <c:v>101058.7636176855</c:v>
                </c:pt>
                <c:pt idx="22">
                  <c:v>112577.76277643123</c:v>
                </c:pt>
                <c:pt idx="23">
                  <c:v>124385.08279082377</c:v>
                </c:pt>
                <c:pt idx="24">
                  <c:v>139386.36566762257</c:v>
                </c:pt>
                <c:pt idx="25">
                  <c:v>152604.86670531984</c:v>
                </c:pt>
              </c:numCache>
            </c:numRef>
          </c:val>
        </c:ser>
        <c:ser>
          <c:idx val="8"/>
          <c:order val="8"/>
          <c:tx>
            <c:strRef>
              <c:f>'Output tables'!$A$118</c:f>
              <c:strCache>
                <c:ptCount val="1"/>
                <c:pt idx="0">
                  <c:v>Wind 30% </c:v>
                </c:pt>
              </c:strCache>
            </c:strRef>
          </c:tx>
          <c:cat>
            <c:numRef>
              <c:f>'Output tables'!$B$109:$AA$109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tables'!$B$118:$AA$118</c:f>
              <c:numCache>
                <c:formatCode>General</c:formatCode>
                <c:ptCount val="26"/>
                <c:pt idx="0">
                  <c:v>0</c:v>
                </c:pt>
                <c:pt idx="1">
                  <c:v>0</c:v>
                </c:pt>
                <c:pt idx="2">
                  <c:v>0</c:v>
                </c:pt>
                <c:pt idx="3">
                  <c:v>0</c:v>
                </c:pt>
                <c:pt idx="4">
                  <c:v>0</c:v>
                </c:pt>
                <c:pt idx="5">
                  <c:v>208.54071752916499</c:v>
                </c:pt>
                <c:pt idx="6">
                  <c:v>208.54071752916499</c:v>
                </c:pt>
                <c:pt idx="7">
                  <c:v>208.54071752916499</c:v>
                </c:pt>
                <c:pt idx="8">
                  <c:v>208.54071752916499</c:v>
                </c:pt>
                <c:pt idx="9">
                  <c:v>208.54071752916499</c:v>
                </c:pt>
                <c:pt idx="10">
                  <c:v>208.54071752916499</c:v>
                </c:pt>
                <c:pt idx="11">
                  <c:v>208.54071752916499</c:v>
                </c:pt>
                <c:pt idx="12">
                  <c:v>208.54071752916499</c:v>
                </c:pt>
                <c:pt idx="13">
                  <c:v>208.54071752916499</c:v>
                </c:pt>
                <c:pt idx="14">
                  <c:v>208.54071752916499</c:v>
                </c:pt>
                <c:pt idx="15">
                  <c:v>208.54071752916499</c:v>
                </c:pt>
                <c:pt idx="16">
                  <c:v>208.54071752916499</c:v>
                </c:pt>
                <c:pt idx="17">
                  <c:v>208.54071752916499</c:v>
                </c:pt>
                <c:pt idx="18">
                  <c:v>208.54071752916499</c:v>
                </c:pt>
                <c:pt idx="19">
                  <c:v>208.54071752916499</c:v>
                </c:pt>
                <c:pt idx="20">
                  <c:v>208.54071752916499</c:v>
                </c:pt>
                <c:pt idx="21">
                  <c:v>208.54071752916499</c:v>
                </c:pt>
                <c:pt idx="22">
                  <c:v>208.54071752916499</c:v>
                </c:pt>
                <c:pt idx="23">
                  <c:v>208.54071752916499</c:v>
                </c:pt>
                <c:pt idx="24">
                  <c:v>208.54071752916499</c:v>
                </c:pt>
                <c:pt idx="25">
                  <c:v>0</c:v>
                </c:pt>
              </c:numCache>
            </c:numRef>
          </c:val>
        </c:ser>
        <c:ser>
          <c:idx val="9"/>
          <c:order val="9"/>
          <c:tx>
            <c:strRef>
              <c:f>'Output tables'!$A$119</c:f>
              <c:strCache>
                <c:ptCount val="1"/>
                <c:pt idx="0">
                  <c:v>Wind 25%</c:v>
                </c:pt>
              </c:strCache>
            </c:strRef>
          </c:tx>
          <c:cat>
            <c:numRef>
              <c:f>'Output tables'!$B$109:$AA$109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tables'!$B$119:$AA$119</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0"/>
          <c:order val="10"/>
          <c:tx>
            <c:strRef>
              <c:f>'Output tables'!$A$120</c:f>
              <c:strCache>
                <c:ptCount val="1"/>
                <c:pt idx="0">
                  <c:v>solar thermal central reciever</c:v>
                </c:pt>
              </c:strCache>
            </c:strRef>
          </c:tx>
          <c:cat>
            <c:numRef>
              <c:f>'Output tables'!$B$109:$AA$109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tables'!$B$120:$AA$120</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1"/>
          <c:order val="11"/>
          <c:tx>
            <c:strRef>
              <c:f>'Output tables'!$A$121</c:f>
              <c:strCache>
                <c:ptCount val="1"/>
                <c:pt idx="0">
                  <c:v>solar thermal trough</c:v>
                </c:pt>
              </c:strCache>
            </c:strRef>
          </c:tx>
          <c:cat>
            <c:numRef>
              <c:f>'Output tables'!$B$109:$AA$109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tables'!$B$121:$AA$121</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2"/>
          <c:order val="12"/>
          <c:tx>
            <c:strRef>
              <c:f>'Output tables'!$A$122</c:f>
              <c:strCache>
                <c:ptCount val="1"/>
                <c:pt idx="0">
                  <c:v>solar PV</c:v>
                </c:pt>
              </c:strCache>
            </c:strRef>
          </c:tx>
          <c:cat>
            <c:numRef>
              <c:f>'Output tables'!$B$109:$AA$109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tables'!$B$122:$AA$122</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3"/>
          <c:order val="13"/>
          <c:tx>
            <c:strRef>
              <c:f>'Output tables'!$A$123</c:f>
              <c:strCache>
                <c:ptCount val="1"/>
                <c:pt idx="0">
                  <c:v>combined cycle gas</c:v>
                </c:pt>
              </c:strCache>
            </c:strRef>
          </c:tx>
          <c:cat>
            <c:numRef>
              <c:f>'Output tables'!$B$109:$AA$109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tables'!$B$123:$AA$123</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4"/>
          <c:order val="14"/>
          <c:tx>
            <c:strRef>
              <c:f>'Output tables'!$A$124</c:f>
              <c:strCache>
                <c:ptCount val="1"/>
                <c:pt idx="0">
                  <c:v>PBMR</c:v>
                </c:pt>
              </c:strCache>
            </c:strRef>
          </c:tx>
          <c:cat>
            <c:numRef>
              <c:f>'Output tables'!$B$109:$AA$109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tables'!$B$124:$AA$124</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5"/>
          <c:order val="15"/>
          <c:tx>
            <c:strRef>
              <c:f>'Output tables'!$A$125</c:f>
              <c:strCache>
                <c:ptCount val="1"/>
                <c:pt idx="0">
                  <c:v>IGCC</c:v>
                </c:pt>
              </c:strCache>
            </c:strRef>
          </c:tx>
          <c:cat>
            <c:numRef>
              <c:f>'Output tables'!$B$109:$AA$109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tables'!$B$125:$AA$125</c:f>
              <c:numCache>
                <c:formatCode>General</c:formatCode>
                <c:ptCount val="26"/>
                <c:pt idx="0">
                  <c:v>0</c:v>
                </c:pt>
                <c:pt idx="1">
                  <c:v>2.274066347231097E-12</c:v>
                </c:pt>
                <c:pt idx="2">
                  <c:v>0</c:v>
                </c:pt>
                <c:pt idx="3">
                  <c:v>2.686426941512535E-12</c:v>
                </c:pt>
                <c:pt idx="4">
                  <c:v>2.686426941512535E-12</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6"/>
          <c:order val="16"/>
          <c:tx>
            <c:strRef>
              <c:f>'Output tables'!$A$126</c:f>
              <c:strCache>
                <c:ptCount val="1"/>
                <c:pt idx="0">
                  <c:v>-</c:v>
                </c:pt>
              </c:strCache>
            </c:strRef>
          </c:tx>
          <c:cat>
            <c:numRef>
              <c:f>'Output tables'!$B$109:$AA$109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tables'!$B$126:$AA$126</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7"/>
          <c:order val="17"/>
          <c:tx>
            <c:strRef>
              <c:f>'Output tables'!$A$127</c:f>
              <c:strCache>
                <c:ptCount val="1"/>
                <c:pt idx="0">
                  <c:v>-</c:v>
                </c:pt>
              </c:strCache>
            </c:strRef>
          </c:tx>
          <c:cat>
            <c:numRef>
              <c:f>'Output tables'!$B$109:$AA$109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tables'!$B$127:$AA$127</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8"/>
          <c:order val="18"/>
          <c:tx>
            <c:strRef>
              <c:f>'Output tables'!$A$128</c:f>
              <c:strCache>
                <c:ptCount val="1"/>
                <c:pt idx="0">
                  <c:v>-</c:v>
                </c:pt>
              </c:strCache>
            </c:strRef>
          </c:tx>
          <c:cat>
            <c:numRef>
              <c:f>'Output tables'!$B$109:$AA$109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tables'!$B$128:$AA$128</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9"/>
          <c:order val="19"/>
          <c:tx>
            <c:strRef>
              <c:f>'Output tables'!$A$129</c:f>
              <c:strCache>
                <c:ptCount val="1"/>
                <c:pt idx="0">
                  <c:v>Pumped storage</c:v>
                </c:pt>
              </c:strCache>
            </c:strRef>
          </c:tx>
          <c:cat>
            <c:numRef>
              <c:f>'Output tables'!$B$109:$AA$109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tables'!$B$129:$AA$129</c:f>
              <c:numCache>
                <c:formatCode>General</c:formatCode>
                <c:ptCount val="26"/>
                <c:pt idx="0">
                  <c:v>91.355013587921817</c:v>
                </c:pt>
                <c:pt idx="1">
                  <c:v>91.355013587921817</c:v>
                </c:pt>
                <c:pt idx="2">
                  <c:v>91.355013587921817</c:v>
                </c:pt>
                <c:pt idx="3">
                  <c:v>91.355013587921817</c:v>
                </c:pt>
                <c:pt idx="4">
                  <c:v>91.355013587921817</c:v>
                </c:pt>
                <c:pt idx="5">
                  <c:v>91.355013587921817</c:v>
                </c:pt>
                <c:pt idx="6">
                  <c:v>91.355013587921817</c:v>
                </c:pt>
                <c:pt idx="7">
                  <c:v>91.355013587921817</c:v>
                </c:pt>
                <c:pt idx="8">
                  <c:v>1003.7456618954134</c:v>
                </c:pt>
                <c:pt idx="9">
                  <c:v>1916.136310202905</c:v>
                </c:pt>
                <c:pt idx="10">
                  <c:v>1916.136310202905</c:v>
                </c:pt>
                <c:pt idx="11">
                  <c:v>1916.136310202905</c:v>
                </c:pt>
                <c:pt idx="12">
                  <c:v>1916.136310202905</c:v>
                </c:pt>
                <c:pt idx="13">
                  <c:v>1916.136310202905</c:v>
                </c:pt>
                <c:pt idx="14">
                  <c:v>1916.136310202905</c:v>
                </c:pt>
                <c:pt idx="15">
                  <c:v>1916.136310202905</c:v>
                </c:pt>
                <c:pt idx="16">
                  <c:v>1916.136310202905</c:v>
                </c:pt>
                <c:pt idx="17">
                  <c:v>1916.136310202905</c:v>
                </c:pt>
                <c:pt idx="18">
                  <c:v>1916.136310202905</c:v>
                </c:pt>
                <c:pt idx="19">
                  <c:v>1916.136310202905</c:v>
                </c:pt>
                <c:pt idx="20">
                  <c:v>1916.136310202905</c:v>
                </c:pt>
                <c:pt idx="21">
                  <c:v>1916.136310202905</c:v>
                </c:pt>
                <c:pt idx="22">
                  <c:v>1916.136310202905</c:v>
                </c:pt>
                <c:pt idx="23">
                  <c:v>1916.136310202905</c:v>
                </c:pt>
                <c:pt idx="24">
                  <c:v>1916.136310202905</c:v>
                </c:pt>
                <c:pt idx="25">
                  <c:v>1916.136310202905</c:v>
                </c:pt>
              </c:numCache>
            </c:numRef>
          </c:val>
        </c:ser>
        <c:ser>
          <c:idx val="21"/>
          <c:order val="21"/>
          <c:tx>
            <c:strRef>
              <c:f>'Output tables'!$A$130</c:f>
              <c:strCache>
                <c:ptCount val="1"/>
                <c:pt idx="0">
                  <c:v>carbon tax</c:v>
                </c:pt>
              </c:strCache>
            </c:strRef>
          </c:tx>
          <c:val>
            <c:numRef>
              <c:f>'Output tables'!$B$130:$AA$130</c:f>
              <c:numCache>
                <c:formatCode>General</c:formatCode>
                <c:ptCount val="26"/>
                <c:pt idx="0">
                  <c:v>0</c:v>
                </c:pt>
                <c:pt idx="1">
                  <c:v>0</c:v>
                </c:pt>
                <c:pt idx="2">
                  <c:v>0</c:v>
                </c:pt>
                <c:pt idx="3">
                  <c:v>0</c:v>
                </c:pt>
                <c:pt idx="4">
                  <c:v>0</c:v>
                </c:pt>
                <c:pt idx="5">
                  <c:v>0</c:v>
                </c:pt>
                <c:pt idx="6">
                  <c:v>0</c:v>
                </c:pt>
                <c:pt idx="7">
                  <c:v>24583.11069036174</c:v>
                </c:pt>
                <c:pt idx="8">
                  <c:v>25293.9489102591</c:v>
                </c:pt>
                <c:pt idx="9">
                  <c:v>26127.154671016746</c:v>
                </c:pt>
                <c:pt idx="10">
                  <c:v>26904.600623528404</c:v>
                </c:pt>
                <c:pt idx="11">
                  <c:v>83168.844185757815</c:v>
                </c:pt>
                <c:pt idx="12">
                  <c:v>85583.406849191335</c:v>
                </c:pt>
                <c:pt idx="13">
                  <c:v>88128.326031359742</c:v>
                </c:pt>
                <c:pt idx="14">
                  <c:v>90793.184922384913</c:v>
                </c:pt>
                <c:pt idx="15">
                  <c:v>155507.11452096413</c:v>
                </c:pt>
                <c:pt idx="16">
                  <c:v>159927.1361011313</c:v>
                </c:pt>
                <c:pt idx="17">
                  <c:v>164711.8485085991</c:v>
                </c:pt>
                <c:pt idx="18">
                  <c:v>169818.8939645763</c:v>
                </c:pt>
                <c:pt idx="19">
                  <c:v>174857.95503802545</c:v>
                </c:pt>
                <c:pt idx="20">
                  <c:v>179994.85064997067</c:v>
                </c:pt>
                <c:pt idx="21">
                  <c:v>185501.73698433806</c:v>
                </c:pt>
                <c:pt idx="22">
                  <c:v>191406.79437025421</c:v>
                </c:pt>
                <c:pt idx="23">
                  <c:v>197439.8733291961</c:v>
                </c:pt>
                <c:pt idx="24">
                  <c:v>203215.82070002286</c:v>
                </c:pt>
                <c:pt idx="25">
                  <c:v>207728.30923575407</c:v>
                </c:pt>
              </c:numCache>
            </c:numRef>
          </c:val>
        </c:ser>
        <c:axId val="107396096"/>
        <c:axId val="107410176"/>
      </c:areaChart>
      <c:lineChart>
        <c:grouping val="standard"/>
        <c:ser>
          <c:idx val="20"/>
          <c:order val="20"/>
          <c:tx>
            <c:v>Average electricity cost</c:v>
          </c:tx>
          <c:marker>
            <c:symbol val="none"/>
          </c:marker>
          <c:val>
            <c:numRef>
              <c:f>'Output tables'!$B$132:$AA$132</c:f>
              <c:numCache>
                <c:formatCode>General</c:formatCode>
                <c:ptCount val="26"/>
                <c:pt idx="0">
                  <c:v>9.3081558925848837E-2</c:v>
                </c:pt>
                <c:pt idx="1">
                  <c:v>0.10111172940856715</c:v>
                </c:pt>
                <c:pt idx="2">
                  <c:v>0.1073822276448695</c:v>
                </c:pt>
                <c:pt idx="3">
                  <c:v>0.11253193533162395</c:v>
                </c:pt>
                <c:pt idx="4">
                  <c:v>0.11103005156183383</c:v>
                </c:pt>
                <c:pt idx="5">
                  <c:v>0.11213531685831545</c:v>
                </c:pt>
                <c:pt idx="6">
                  <c:v>0.11738717550437631</c:v>
                </c:pt>
                <c:pt idx="7">
                  <c:v>0.12412266262515818</c:v>
                </c:pt>
                <c:pt idx="8">
                  <c:v>0.13991373488358169</c:v>
                </c:pt>
                <c:pt idx="9">
                  <c:v>0.16133825436935464</c:v>
                </c:pt>
                <c:pt idx="10">
                  <c:v>0.17910195098757228</c:v>
                </c:pt>
                <c:pt idx="11">
                  <c:v>0.18958927150392835</c:v>
                </c:pt>
                <c:pt idx="12">
                  <c:v>0.19951484024610688</c:v>
                </c:pt>
                <c:pt idx="13">
                  <c:v>0.21443150843935896</c:v>
                </c:pt>
                <c:pt idx="14">
                  <c:v>0.22832938247221654</c:v>
                </c:pt>
                <c:pt idx="15">
                  <c:v>0.24063617274836691</c:v>
                </c:pt>
                <c:pt idx="16">
                  <c:v>0.25720924663182743</c:v>
                </c:pt>
                <c:pt idx="17">
                  <c:v>0.27349843720432687</c:v>
                </c:pt>
                <c:pt idx="18">
                  <c:v>0.2864678847559835</c:v>
                </c:pt>
                <c:pt idx="19">
                  <c:v>0.30062533612241965</c:v>
                </c:pt>
                <c:pt idx="20">
                  <c:v>0.31335625851087034</c:v>
                </c:pt>
                <c:pt idx="21">
                  <c:v>0.33193359951048179</c:v>
                </c:pt>
                <c:pt idx="22">
                  <c:v>0.34675757500063115</c:v>
                </c:pt>
                <c:pt idx="23">
                  <c:v>0.3604307712213598</c:v>
                </c:pt>
                <c:pt idx="24">
                  <c:v>0.37977339786638209</c:v>
                </c:pt>
                <c:pt idx="25">
                  <c:v>0.39690952391183165</c:v>
                </c:pt>
              </c:numCache>
            </c:numRef>
          </c:val>
        </c:ser>
        <c:ser>
          <c:idx val="22"/>
          <c:order val="22"/>
          <c:tx>
            <c:strRef>
              <c:f>'Output tables'!$A$133</c:f>
              <c:strCache>
                <c:ptCount val="1"/>
                <c:pt idx="0">
                  <c:v>Average an elec cost with carbon tax</c:v>
                </c:pt>
              </c:strCache>
            </c:strRef>
          </c:tx>
          <c:marker>
            <c:symbol val="none"/>
          </c:marker>
          <c:val>
            <c:numRef>
              <c:f>'Output tables'!$B$133:$AA$133</c:f>
              <c:numCache>
                <c:formatCode>General</c:formatCode>
                <c:ptCount val="26"/>
                <c:pt idx="0">
                  <c:v>9.3081558925848837E-2</c:v>
                </c:pt>
                <c:pt idx="1">
                  <c:v>0.10111172940856715</c:v>
                </c:pt>
                <c:pt idx="2">
                  <c:v>0.1073822276448695</c:v>
                </c:pt>
                <c:pt idx="3">
                  <c:v>0.11253193533162395</c:v>
                </c:pt>
                <c:pt idx="4">
                  <c:v>0.11103005156183383</c:v>
                </c:pt>
                <c:pt idx="5">
                  <c:v>0.11213531685831545</c:v>
                </c:pt>
                <c:pt idx="6">
                  <c:v>0.11738717550437631</c:v>
                </c:pt>
                <c:pt idx="7">
                  <c:v>0.21721069135154028</c:v>
                </c:pt>
                <c:pt idx="8">
                  <c:v>0.23265049352757847</c:v>
                </c:pt>
                <c:pt idx="9">
                  <c:v>0.25367295044367077</c:v>
                </c:pt>
                <c:pt idx="10">
                  <c:v>0.27146766156373364</c:v>
                </c:pt>
                <c:pt idx="11">
                  <c:v>0.46675575835661087</c:v>
                </c:pt>
                <c:pt idx="12">
                  <c:v>0.47674531975164608</c:v>
                </c:pt>
                <c:pt idx="13">
                  <c:v>0.49171959873115961</c:v>
                </c:pt>
                <c:pt idx="14">
                  <c:v>0.50567568659978923</c:v>
                </c:pt>
                <c:pt idx="15">
                  <c:v>0.70214359464174836</c:v>
                </c:pt>
                <c:pt idx="16">
                  <c:v>0.71803012457458693</c:v>
                </c:pt>
                <c:pt idx="17">
                  <c:v>0.73449937095972107</c:v>
                </c:pt>
                <c:pt idx="18">
                  <c:v>0.74762648974416923</c:v>
                </c:pt>
                <c:pt idx="19">
                  <c:v>0.76129180395264029</c:v>
                </c:pt>
                <c:pt idx="20">
                  <c:v>0.77322099040705206</c:v>
                </c:pt>
                <c:pt idx="21">
                  <c:v>0.79088352099262671</c:v>
                </c:pt>
                <c:pt idx="22">
                  <c:v>0.80520669364998632</c:v>
                </c:pt>
                <c:pt idx="23">
                  <c:v>0.81826379882292377</c:v>
                </c:pt>
                <c:pt idx="24">
                  <c:v>0.83615153070635007</c:v>
                </c:pt>
                <c:pt idx="25">
                  <c:v>0.85295795996813228</c:v>
                </c:pt>
              </c:numCache>
            </c:numRef>
          </c:val>
        </c:ser>
        <c:marker val="1"/>
        <c:axId val="107412096"/>
        <c:axId val="107479424"/>
      </c:lineChart>
      <c:catAx>
        <c:axId val="107396096"/>
        <c:scaling>
          <c:orientation val="minMax"/>
        </c:scaling>
        <c:axPos val="b"/>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7410176"/>
        <c:crosses val="autoZero"/>
        <c:auto val="1"/>
        <c:lblAlgn val="ctr"/>
        <c:lblOffset val="100"/>
      </c:catAx>
      <c:valAx>
        <c:axId val="107410176"/>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R million</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7396096"/>
        <c:crossesAt val="1"/>
        <c:crossBetween val="between"/>
      </c:valAx>
      <c:catAx>
        <c:axId val="107412096"/>
        <c:scaling>
          <c:orientation val="minMax"/>
        </c:scaling>
        <c:delete val="1"/>
        <c:axPos val="t"/>
        <c:tickLblPos val="none"/>
        <c:crossAx val="107479424"/>
        <c:crosses val="max"/>
        <c:auto val="1"/>
        <c:lblAlgn val="ctr"/>
        <c:lblOffset val="100"/>
      </c:catAx>
      <c:valAx>
        <c:axId val="107479424"/>
        <c:scaling>
          <c:orientation val="minMax"/>
        </c:scaling>
        <c:axPos val="r"/>
        <c:title>
          <c:tx>
            <c:rich>
              <a:bodyPr/>
              <a:lstStyle/>
              <a:p>
                <a:pPr>
                  <a:defRPr lang="en-ZA" sz="1000" b="1" i="0" u="none" strike="noStrike" baseline="0">
                    <a:solidFill>
                      <a:srgbClr val="000000"/>
                    </a:solidFill>
                    <a:latin typeface="Calibri"/>
                    <a:ea typeface="Calibri"/>
                    <a:cs typeface="Calibri"/>
                  </a:defRPr>
                </a:pPr>
                <a:r>
                  <a:rPr lang="en-ZA"/>
                  <a:t>Rands / kWh</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7412096"/>
        <c:crosses val="max"/>
        <c:crossBetween val="between"/>
      </c:valAx>
    </c:plotArea>
    <c:legend>
      <c:legendPos val="b"/>
      <c:layout>
        <c:manualLayout>
          <c:xMode val="edge"/>
          <c:yMode val="edge"/>
          <c:x val="1.1034310756404318E-2"/>
          <c:y val="0.6287253772637158"/>
          <c:w val="0.98896568924359574"/>
          <c:h val="0.37127462273628631"/>
        </c:manualLayout>
      </c:layout>
      <c:txPr>
        <a:bodyPr/>
        <a:lstStyle/>
        <a:p>
          <a:pPr>
            <a:defRPr lang="en-ZA" sz="845" b="0" i="0" u="none" strike="noStrike" baseline="0">
              <a:solidFill>
                <a:srgbClr val="000000"/>
              </a:solidFill>
              <a:latin typeface="Calibri"/>
              <a:ea typeface="Calibri"/>
              <a:cs typeface="Calibri"/>
            </a:defRPr>
          </a:pPr>
          <a:endParaRPr lang="en-US"/>
        </a:p>
      </c:txPr>
    </c:legend>
    <c:plotVisOnly val="1"/>
    <c:dispBlanksAs val="zero"/>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211" l="0.70000000000000062" r="0.70000000000000062" t="0.75000000000000211" header="0.30000000000000032" footer="0.30000000000000032"/>
    <c:pageSetup/>
  </c:printSettings>
</c:chartSpace>
</file>

<file path=xl/charts/chart33.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0.14896062992125983"/>
          <c:y val="6.5850887763337612E-2"/>
          <c:w val="0.73434251968503961"/>
          <c:h val="0.49487289499769693"/>
        </c:manualLayout>
      </c:layout>
      <c:areaChart>
        <c:grouping val="stacked"/>
        <c:ser>
          <c:idx val="0"/>
          <c:order val="0"/>
          <c:tx>
            <c:strRef>
              <c:f>'Output tables'!$A$110</c:f>
              <c:strCache>
                <c:ptCount val="1"/>
                <c:pt idx="0">
                  <c:v>Existing coal Large</c:v>
                </c:pt>
              </c:strCache>
            </c:strRef>
          </c:tx>
          <c:cat>
            <c:numRef>
              <c:f>'Output tables'!$AP$109:$BO$109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tables'!$AP$110:$BO$110</c:f>
              <c:numCache>
                <c:formatCode>General</c:formatCode>
                <c:ptCount val="26"/>
                <c:pt idx="0">
                  <c:v>16255.848534235311</c:v>
                </c:pt>
                <c:pt idx="1">
                  <c:v>17848.075230169379</c:v>
                </c:pt>
                <c:pt idx="2">
                  <c:v>19881.448596266746</c:v>
                </c:pt>
                <c:pt idx="3">
                  <c:v>20778.472732023358</c:v>
                </c:pt>
                <c:pt idx="4">
                  <c:v>20778.472732023358</c:v>
                </c:pt>
                <c:pt idx="5">
                  <c:v>21202.080907823816</c:v>
                </c:pt>
                <c:pt idx="6">
                  <c:v>21507.842323700119</c:v>
                </c:pt>
                <c:pt idx="7">
                  <c:v>21845.752410405974</c:v>
                </c:pt>
                <c:pt idx="8">
                  <c:v>22128.25175623727</c:v>
                </c:pt>
                <c:pt idx="9">
                  <c:v>22369.252860877034</c:v>
                </c:pt>
                <c:pt idx="10">
                  <c:v>22449.36221189766</c:v>
                </c:pt>
                <c:pt idx="11">
                  <c:v>22529.47156291829</c:v>
                </c:pt>
                <c:pt idx="12">
                  <c:v>22609.580913938917</c:v>
                </c:pt>
                <c:pt idx="13">
                  <c:v>22689.690264959547</c:v>
                </c:pt>
                <c:pt idx="14">
                  <c:v>22769.799615980173</c:v>
                </c:pt>
                <c:pt idx="15">
                  <c:v>22849.908967000803</c:v>
                </c:pt>
                <c:pt idx="16">
                  <c:v>22930.01831802143</c:v>
                </c:pt>
                <c:pt idx="17">
                  <c:v>23010.127669042056</c:v>
                </c:pt>
                <c:pt idx="18">
                  <c:v>22691.857287580668</c:v>
                </c:pt>
                <c:pt idx="19">
                  <c:v>22055.59472370577</c:v>
                </c:pt>
                <c:pt idx="20">
                  <c:v>21510.734707158685</c:v>
                </c:pt>
                <c:pt idx="21">
                  <c:v>20493.777846058623</c:v>
                </c:pt>
                <c:pt idx="22">
                  <c:v>19469.328232820168</c:v>
                </c:pt>
                <c:pt idx="23">
                  <c:v>18206.109075327888</c:v>
                </c:pt>
                <c:pt idx="24">
                  <c:v>15599.443102709989</c:v>
                </c:pt>
                <c:pt idx="25">
                  <c:v>14313.548511114688</c:v>
                </c:pt>
              </c:numCache>
            </c:numRef>
          </c:val>
        </c:ser>
        <c:ser>
          <c:idx val="1"/>
          <c:order val="1"/>
          <c:tx>
            <c:strRef>
              <c:f>'Output tables'!$A$111</c:f>
              <c:strCache>
                <c:ptCount val="1"/>
                <c:pt idx="0">
                  <c:v>Existing coal Small</c:v>
                </c:pt>
              </c:strCache>
            </c:strRef>
          </c:tx>
          <c:cat>
            <c:numRef>
              <c:f>'Output tables'!$AP$109:$BO$109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tables'!$AP$111:$BO$111</c:f>
              <c:numCache>
                <c:formatCode>General</c:formatCode>
                <c:ptCount val="26"/>
                <c:pt idx="0">
                  <c:v>2346.7001846771027</c:v>
                </c:pt>
                <c:pt idx="1">
                  <c:v>2456.5429896070436</c:v>
                </c:pt>
                <c:pt idx="2">
                  <c:v>2566.3857945369841</c:v>
                </c:pt>
                <c:pt idx="3">
                  <c:v>2680.9661728977972</c:v>
                </c:pt>
                <c:pt idx="4">
                  <c:v>2680.9661728977972</c:v>
                </c:pt>
                <c:pt idx="5">
                  <c:v>3024.8324517331271</c:v>
                </c:pt>
                <c:pt idx="6">
                  <c:v>3231.974476853894</c:v>
                </c:pt>
                <c:pt idx="7">
                  <c:v>3239.3546044048408</c:v>
                </c:pt>
                <c:pt idx="8">
                  <c:v>3246.7347319557866</c:v>
                </c:pt>
                <c:pt idx="9">
                  <c:v>3254.1148595067334</c:v>
                </c:pt>
                <c:pt idx="10">
                  <c:v>3261.4949870576793</c:v>
                </c:pt>
                <c:pt idx="11">
                  <c:v>3250.078233359066</c:v>
                </c:pt>
                <c:pt idx="12">
                  <c:v>3238.5766043585108</c:v>
                </c:pt>
                <c:pt idx="13">
                  <c:v>3220.6961812055124</c:v>
                </c:pt>
                <c:pt idx="14">
                  <c:v>3202.7025909832582</c:v>
                </c:pt>
                <c:pt idx="15">
                  <c:v>2729.3966692090917</c:v>
                </c:pt>
                <c:pt idx="16">
                  <c:v>2253.9405731190573</c:v>
                </c:pt>
                <c:pt idx="17">
                  <c:v>2258.9724839829387</c:v>
                </c:pt>
                <c:pt idx="18">
                  <c:v>2264.0043948468197</c:v>
                </c:pt>
                <c:pt idx="19">
                  <c:v>2269.0363057107006</c:v>
                </c:pt>
                <c:pt idx="20">
                  <c:v>2050.2016630437815</c:v>
                </c:pt>
                <c:pt idx="21">
                  <c:v>1830.3763055561185</c:v>
                </c:pt>
                <c:pt idx="22">
                  <c:v>1834.4175015992557</c:v>
                </c:pt>
                <c:pt idx="23">
                  <c:v>1838.458697642393</c:v>
                </c:pt>
                <c:pt idx="24">
                  <c:v>1842.4998936855307</c:v>
                </c:pt>
                <c:pt idx="25">
                  <c:v>1846.5410897286679</c:v>
                </c:pt>
              </c:numCache>
            </c:numRef>
          </c:val>
        </c:ser>
        <c:ser>
          <c:idx val="2"/>
          <c:order val="2"/>
          <c:tx>
            <c:strRef>
              <c:f>'Output tables'!$A$112</c:f>
              <c:strCache>
                <c:ptCount val="1"/>
                <c:pt idx="0">
                  <c:v>OCGT liquid fuels</c:v>
                </c:pt>
              </c:strCache>
            </c:strRef>
          </c:tx>
          <c:cat>
            <c:numRef>
              <c:f>'Output tables'!$AP$109:$BO$109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tables'!$AP$112:$BO$112</c:f>
              <c:numCache>
                <c:formatCode>General</c:formatCode>
                <c:ptCount val="26"/>
                <c:pt idx="0">
                  <c:v>1203.429722858983</c:v>
                </c:pt>
                <c:pt idx="1">
                  <c:v>1333.4299474905283</c:v>
                </c:pt>
                <c:pt idx="2">
                  <c:v>1333.1218239168195</c:v>
                </c:pt>
                <c:pt idx="3">
                  <c:v>1771.1195126279106</c:v>
                </c:pt>
                <c:pt idx="4">
                  <c:v>1291.5694060722121</c:v>
                </c:pt>
                <c:pt idx="5">
                  <c:v>1344.4644260844339</c:v>
                </c:pt>
                <c:pt idx="6">
                  <c:v>2707.0090326218919</c:v>
                </c:pt>
                <c:pt idx="7">
                  <c:v>2783.7068116396131</c:v>
                </c:pt>
                <c:pt idx="8">
                  <c:v>2860.4045906573351</c:v>
                </c:pt>
                <c:pt idx="9">
                  <c:v>2937.1023696750563</c:v>
                </c:pt>
                <c:pt idx="10">
                  <c:v>3013.8001486927778</c:v>
                </c:pt>
                <c:pt idx="11">
                  <c:v>3090.4979277104985</c:v>
                </c:pt>
                <c:pt idx="12">
                  <c:v>3167.1957067282201</c:v>
                </c:pt>
                <c:pt idx="13">
                  <c:v>3243.8934857459412</c:v>
                </c:pt>
                <c:pt idx="14">
                  <c:v>3320.5912647636628</c:v>
                </c:pt>
                <c:pt idx="15">
                  <c:v>3397.2890437813844</c:v>
                </c:pt>
                <c:pt idx="16">
                  <c:v>3473.9868227991051</c:v>
                </c:pt>
                <c:pt idx="17">
                  <c:v>3550.6846018168262</c:v>
                </c:pt>
                <c:pt idx="18">
                  <c:v>3627.3823808345478</c:v>
                </c:pt>
                <c:pt idx="19">
                  <c:v>3704.0801598522694</c:v>
                </c:pt>
                <c:pt idx="20">
                  <c:v>3780.777938869991</c:v>
                </c:pt>
                <c:pt idx="21">
                  <c:v>4968.6030322928682</c:v>
                </c:pt>
                <c:pt idx="22">
                  <c:v>5061.1693173142557</c:v>
                </c:pt>
                <c:pt idx="23">
                  <c:v>5153.7356023356433</c:v>
                </c:pt>
                <c:pt idx="24">
                  <c:v>6791.2789972452374</c:v>
                </c:pt>
                <c:pt idx="25">
                  <c:v>8299.9699142886748</c:v>
                </c:pt>
              </c:numCache>
            </c:numRef>
          </c:val>
        </c:ser>
        <c:ser>
          <c:idx val="3"/>
          <c:order val="3"/>
          <c:tx>
            <c:strRef>
              <c:f>'Output tables'!$A$113</c:f>
              <c:strCache>
                <c:ptCount val="1"/>
                <c:pt idx="0">
                  <c:v>PWR nuclear</c:v>
                </c:pt>
              </c:strCache>
            </c:strRef>
          </c:tx>
          <c:cat>
            <c:numRef>
              <c:f>'Output tables'!$AP$109:$BO$109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tables'!$AP$113:$BO$113</c:f>
              <c:numCache>
                <c:formatCode>General</c:formatCode>
                <c:ptCount val="26"/>
                <c:pt idx="0">
                  <c:v>1841.3944454507421</c:v>
                </c:pt>
                <c:pt idx="1">
                  <c:v>1914.0285561278479</c:v>
                </c:pt>
                <c:pt idx="2">
                  <c:v>1986.6626668049537</c:v>
                </c:pt>
                <c:pt idx="3">
                  <c:v>2059.2967774820595</c:v>
                </c:pt>
                <c:pt idx="4">
                  <c:v>2168.8768214349784</c:v>
                </c:pt>
                <c:pt idx="5">
                  <c:v>2172.6932566352129</c:v>
                </c:pt>
                <c:pt idx="6">
                  <c:v>2176.5287740114481</c:v>
                </c:pt>
                <c:pt idx="7">
                  <c:v>2180.3834689745649</c:v>
                </c:pt>
                <c:pt idx="8">
                  <c:v>2184.257437412497</c:v>
                </c:pt>
                <c:pt idx="9">
                  <c:v>2188.1507756926189</c:v>
                </c:pt>
                <c:pt idx="10">
                  <c:v>2192.0635806641412</c:v>
                </c:pt>
                <c:pt idx="11">
                  <c:v>2195.9959496605215</c:v>
                </c:pt>
                <c:pt idx="12">
                  <c:v>2199.9479805018836</c:v>
                </c:pt>
                <c:pt idx="13">
                  <c:v>2203.9197714974525</c:v>
                </c:pt>
                <c:pt idx="14">
                  <c:v>2207.9114214479987</c:v>
                </c:pt>
                <c:pt idx="15">
                  <c:v>2211.9230296482983</c:v>
                </c:pt>
                <c:pt idx="16">
                  <c:v>2215.9546958895994</c:v>
                </c:pt>
                <c:pt idx="17">
                  <c:v>2220.0065204621064</c:v>
                </c:pt>
                <c:pt idx="18">
                  <c:v>2224.0786041574765</c:v>
                </c:pt>
                <c:pt idx="19">
                  <c:v>2228.1710482713233</c:v>
                </c:pt>
                <c:pt idx="20">
                  <c:v>2232.2839546057394</c:v>
                </c:pt>
                <c:pt idx="21">
                  <c:v>2236.4174254718273</c:v>
                </c:pt>
                <c:pt idx="22">
                  <c:v>2240.5715636922455</c:v>
                </c:pt>
                <c:pt idx="23">
                  <c:v>2244.7464726037661</c:v>
                </c:pt>
                <c:pt idx="24">
                  <c:v>2248.9422560598446</c:v>
                </c:pt>
                <c:pt idx="25">
                  <c:v>2253.1590184332031</c:v>
                </c:pt>
              </c:numCache>
            </c:numRef>
          </c:val>
        </c:ser>
        <c:ser>
          <c:idx val="4"/>
          <c:order val="4"/>
          <c:tx>
            <c:strRef>
              <c:f>'Output tables'!$A$114</c:f>
              <c:strCache>
                <c:ptCount val="1"/>
                <c:pt idx="0">
                  <c:v>Hydro</c:v>
                </c:pt>
              </c:strCache>
            </c:strRef>
          </c:tx>
          <c:cat>
            <c:numRef>
              <c:f>'Output tables'!$AP$109:$BO$109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tables'!$AP$114:$BO$114</c:f>
              <c:numCache>
                <c:formatCode>General</c:formatCode>
                <c:ptCount val="26"/>
                <c:pt idx="0">
                  <c:v>86.627408640520088</c:v>
                </c:pt>
                <c:pt idx="1">
                  <c:v>86.627408640520088</c:v>
                </c:pt>
                <c:pt idx="2">
                  <c:v>86.627408640520088</c:v>
                </c:pt>
                <c:pt idx="3">
                  <c:v>86.627408640520088</c:v>
                </c:pt>
                <c:pt idx="4">
                  <c:v>86.627408640520088</c:v>
                </c:pt>
                <c:pt idx="5">
                  <c:v>86.627408640520088</c:v>
                </c:pt>
                <c:pt idx="6">
                  <c:v>86.627408640520088</c:v>
                </c:pt>
                <c:pt idx="7">
                  <c:v>86.627408640520088</c:v>
                </c:pt>
                <c:pt idx="8">
                  <c:v>86.627408640520088</c:v>
                </c:pt>
                <c:pt idx="9">
                  <c:v>86.627408640520088</c:v>
                </c:pt>
                <c:pt idx="10">
                  <c:v>86.627408640520088</c:v>
                </c:pt>
                <c:pt idx="11">
                  <c:v>86.627408640520088</c:v>
                </c:pt>
                <c:pt idx="12">
                  <c:v>86.627408640520088</c:v>
                </c:pt>
                <c:pt idx="13">
                  <c:v>86.627408640520088</c:v>
                </c:pt>
                <c:pt idx="14">
                  <c:v>86.627408640520088</c:v>
                </c:pt>
                <c:pt idx="15">
                  <c:v>86.627408640520088</c:v>
                </c:pt>
                <c:pt idx="16">
                  <c:v>86.627408640520088</c:v>
                </c:pt>
                <c:pt idx="17">
                  <c:v>86.627408640520088</c:v>
                </c:pt>
                <c:pt idx="18">
                  <c:v>86.627408640520088</c:v>
                </c:pt>
                <c:pt idx="19">
                  <c:v>86.627408640520088</c:v>
                </c:pt>
                <c:pt idx="20">
                  <c:v>86.627408640520088</c:v>
                </c:pt>
                <c:pt idx="21">
                  <c:v>86.627408640520088</c:v>
                </c:pt>
                <c:pt idx="22">
                  <c:v>86.627408640520088</c:v>
                </c:pt>
                <c:pt idx="23">
                  <c:v>86.627408640520088</c:v>
                </c:pt>
                <c:pt idx="24">
                  <c:v>86.627408640520088</c:v>
                </c:pt>
                <c:pt idx="25">
                  <c:v>86.627408640520088</c:v>
                </c:pt>
              </c:numCache>
            </c:numRef>
          </c:val>
        </c:ser>
        <c:ser>
          <c:idx val="5"/>
          <c:order val="5"/>
          <c:tx>
            <c:strRef>
              <c:f>'Output tables'!$A$115</c:f>
              <c:strCache>
                <c:ptCount val="1"/>
                <c:pt idx="0">
                  <c:v>Landfill gas</c:v>
                </c:pt>
              </c:strCache>
            </c:strRef>
          </c:tx>
          <c:cat>
            <c:numRef>
              <c:f>'Output tables'!$AP$109:$BO$109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tables'!$AP$115:$BO$115</c:f>
              <c:numCache>
                <c:formatCode>General</c:formatCode>
                <c:ptCount val="26"/>
                <c:pt idx="0">
                  <c:v>66.755984508378774</c:v>
                </c:pt>
                <c:pt idx="1">
                  <c:v>66.755984508378774</c:v>
                </c:pt>
                <c:pt idx="2">
                  <c:v>66.755984508378774</c:v>
                </c:pt>
                <c:pt idx="3">
                  <c:v>66.755984508378774</c:v>
                </c:pt>
                <c:pt idx="4">
                  <c:v>66.755984508378774</c:v>
                </c:pt>
                <c:pt idx="5">
                  <c:v>66.755984508378774</c:v>
                </c:pt>
                <c:pt idx="6">
                  <c:v>66.755984508378774</c:v>
                </c:pt>
                <c:pt idx="7">
                  <c:v>66.755984508378774</c:v>
                </c:pt>
                <c:pt idx="8">
                  <c:v>66.755984508378774</c:v>
                </c:pt>
                <c:pt idx="9">
                  <c:v>66.755984508378774</c:v>
                </c:pt>
                <c:pt idx="10">
                  <c:v>66.755984508378774</c:v>
                </c:pt>
                <c:pt idx="11">
                  <c:v>66.755984508378774</c:v>
                </c:pt>
                <c:pt idx="12">
                  <c:v>66.755984508378774</c:v>
                </c:pt>
                <c:pt idx="13">
                  <c:v>66.755984508378774</c:v>
                </c:pt>
                <c:pt idx="14">
                  <c:v>66.755984508378774</c:v>
                </c:pt>
                <c:pt idx="15">
                  <c:v>66.755984508378774</c:v>
                </c:pt>
                <c:pt idx="16">
                  <c:v>66.755984508378774</c:v>
                </c:pt>
                <c:pt idx="17">
                  <c:v>66.755984508378774</c:v>
                </c:pt>
                <c:pt idx="18">
                  <c:v>66.755984508378774</c:v>
                </c:pt>
                <c:pt idx="19">
                  <c:v>66.755984508378774</c:v>
                </c:pt>
                <c:pt idx="20">
                  <c:v>66.755984508378774</c:v>
                </c:pt>
                <c:pt idx="21">
                  <c:v>66.755984508378774</c:v>
                </c:pt>
                <c:pt idx="22">
                  <c:v>66.755984508378774</c:v>
                </c:pt>
                <c:pt idx="23">
                  <c:v>66.755984508378774</c:v>
                </c:pt>
                <c:pt idx="24">
                  <c:v>66.755984508378774</c:v>
                </c:pt>
                <c:pt idx="25">
                  <c:v>66.755984508378774</c:v>
                </c:pt>
              </c:numCache>
            </c:numRef>
          </c:val>
        </c:ser>
        <c:ser>
          <c:idx val="6"/>
          <c:order val="6"/>
          <c:tx>
            <c:strRef>
              <c:f>'Output tables'!$A$116</c:f>
              <c:strCache>
                <c:ptCount val="1"/>
                <c:pt idx="0">
                  <c:v>Biomass</c:v>
                </c:pt>
              </c:strCache>
            </c:strRef>
          </c:tx>
          <c:cat>
            <c:numRef>
              <c:f>'Output tables'!$AP$109:$BO$109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tables'!$AP$116:$BO$116</c:f>
              <c:numCache>
                <c:formatCode>General</c:formatCode>
                <c:ptCount val="26"/>
                <c:pt idx="0">
                  <c:v>186.22474442860573</c:v>
                </c:pt>
                <c:pt idx="1">
                  <c:v>186.22474442860408</c:v>
                </c:pt>
                <c:pt idx="2">
                  <c:v>186.22474442860408</c:v>
                </c:pt>
                <c:pt idx="3">
                  <c:v>186.22474442860408</c:v>
                </c:pt>
                <c:pt idx="4">
                  <c:v>186.22474442860408</c:v>
                </c:pt>
                <c:pt idx="5">
                  <c:v>186.22474442860408</c:v>
                </c:pt>
                <c:pt idx="6">
                  <c:v>186.22474442860408</c:v>
                </c:pt>
                <c:pt idx="7">
                  <c:v>186.22474442860408</c:v>
                </c:pt>
                <c:pt idx="8">
                  <c:v>186.22474442860408</c:v>
                </c:pt>
                <c:pt idx="9">
                  <c:v>186.22474442860408</c:v>
                </c:pt>
                <c:pt idx="10">
                  <c:v>186.22474442860408</c:v>
                </c:pt>
                <c:pt idx="11">
                  <c:v>186.22474442860408</c:v>
                </c:pt>
                <c:pt idx="12">
                  <c:v>186.22474442860408</c:v>
                </c:pt>
                <c:pt idx="13">
                  <c:v>186.22474442860408</c:v>
                </c:pt>
                <c:pt idx="14">
                  <c:v>186.22474442860408</c:v>
                </c:pt>
                <c:pt idx="15">
                  <c:v>186.22474442860408</c:v>
                </c:pt>
                <c:pt idx="16">
                  <c:v>186.22474442860408</c:v>
                </c:pt>
                <c:pt idx="17">
                  <c:v>186.22474442860408</c:v>
                </c:pt>
                <c:pt idx="18">
                  <c:v>186.22474442860408</c:v>
                </c:pt>
                <c:pt idx="19">
                  <c:v>186.22474442860408</c:v>
                </c:pt>
                <c:pt idx="20">
                  <c:v>186.22474442860408</c:v>
                </c:pt>
                <c:pt idx="21">
                  <c:v>186.22474442860408</c:v>
                </c:pt>
                <c:pt idx="22">
                  <c:v>186.22474442860408</c:v>
                </c:pt>
                <c:pt idx="23">
                  <c:v>186.22474442860408</c:v>
                </c:pt>
                <c:pt idx="24">
                  <c:v>186.22474442860408</c:v>
                </c:pt>
                <c:pt idx="25">
                  <c:v>186.22474442860408</c:v>
                </c:pt>
              </c:numCache>
            </c:numRef>
          </c:val>
        </c:ser>
        <c:ser>
          <c:idx val="7"/>
          <c:order val="7"/>
          <c:tx>
            <c:strRef>
              <c:f>'Output tables'!$A$117</c:f>
              <c:strCache>
                <c:ptCount val="1"/>
                <c:pt idx="0">
                  <c:v>Supercritical coal</c:v>
                </c:pt>
              </c:strCache>
            </c:strRef>
          </c:tx>
          <c:cat>
            <c:numRef>
              <c:f>'Output tables'!$AP$109:$BO$109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tables'!$AP$117:$BO$117</c:f>
              <c:numCache>
                <c:formatCode>General</c:formatCode>
                <c:ptCount val="26"/>
                <c:pt idx="0">
                  <c:v>0</c:v>
                </c:pt>
                <c:pt idx="1">
                  <c:v>0</c:v>
                </c:pt>
                <c:pt idx="2">
                  <c:v>0</c:v>
                </c:pt>
                <c:pt idx="3">
                  <c:v>0</c:v>
                </c:pt>
                <c:pt idx="4">
                  <c:v>0</c:v>
                </c:pt>
                <c:pt idx="5">
                  <c:v>0</c:v>
                </c:pt>
                <c:pt idx="6">
                  <c:v>0</c:v>
                </c:pt>
                <c:pt idx="7">
                  <c:v>2017.0741489649656</c:v>
                </c:pt>
                <c:pt idx="8">
                  <c:v>6042.9945992936546</c:v>
                </c:pt>
                <c:pt idx="9">
                  <c:v>12117.693577401764</c:v>
                </c:pt>
                <c:pt idx="10">
                  <c:v>18245.390982532655</c:v>
                </c:pt>
                <c:pt idx="11">
                  <c:v>22539.385478471664</c:v>
                </c:pt>
                <c:pt idx="12">
                  <c:v>24780.645900459003</c:v>
                </c:pt>
                <c:pt idx="13">
                  <c:v>25039.143604425612</c:v>
                </c:pt>
                <c:pt idx="14">
                  <c:v>24988.456817764967</c:v>
                </c:pt>
                <c:pt idx="15">
                  <c:v>24921.399258460235</c:v>
                </c:pt>
                <c:pt idx="16">
                  <c:v>24548.019911287018</c:v>
                </c:pt>
                <c:pt idx="17">
                  <c:v>24298.974727744</c:v>
                </c:pt>
                <c:pt idx="18">
                  <c:v>24141.525188159027</c:v>
                </c:pt>
                <c:pt idx="19">
                  <c:v>24149.808376379449</c:v>
                </c:pt>
                <c:pt idx="20">
                  <c:v>24171.778179177672</c:v>
                </c:pt>
                <c:pt idx="21">
                  <c:v>24866.572684143011</c:v>
                </c:pt>
                <c:pt idx="22">
                  <c:v>25160.115654031859</c:v>
                </c:pt>
                <c:pt idx="23">
                  <c:v>25553.384100303501</c:v>
                </c:pt>
                <c:pt idx="24">
                  <c:v>26929.302055259639</c:v>
                </c:pt>
                <c:pt idx="25">
                  <c:v>27092.616339242355</c:v>
                </c:pt>
              </c:numCache>
            </c:numRef>
          </c:val>
        </c:ser>
        <c:ser>
          <c:idx val="8"/>
          <c:order val="8"/>
          <c:tx>
            <c:strRef>
              <c:f>'Output tables'!$A$118</c:f>
              <c:strCache>
                <c:ptCount val="1"/>
                <c:pt idx="0">
                  <c:v>Wind 30% </c:v>
                </c:pt>
              </c:strCache>
            </c:strRef>
          </c:tx>
          <c:cat>
            <c:numRef>
              <c:f>'Output tables'!$AP$109:$BO$109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tables'!$AP$118:$BO$118</c:f>
              <c:numCache>
                <c:formatCode>General</c:formatCode>
                <c:ptCount val="26"/>
                <c:pt idx="0">
                  <c:v>0</c:v>
                </c:pt>
                <c:pt idx="1">
                  <c:v>0</c:v>
                </c:pt>
                <c:pt idx="2">
                  <c:v>0</c:v>
                </c:pt>
                <c:pt idx="3">
                  <c:v>0</c:v>
                </c:pt>
                <c:pt idx="4">
                  <c:v>0</c:v>
                </c:pt>
                <c:pt idx="5">
                  <c:v>208.54071752916499</c:v>
                </c:pt>
                <c:pt idx="6">
                  <c:v>615.97659646748639</c:v>
                </c:pt>
                <c:pt idx="7">
                  <c:v>1013.7669192857992</c:v>
                </c:pt>
                <c:pt idx="8">
                  <c:v>1791.9855639064092</c:v>
                </c:pt>
                <c:pt idx="9">
                  <c:v>2552.8422075110034</c:v>
                </c:pt>
                <c:pt idx="10">
                  <c:v>4039.8314926881617</c:v>
                </c:pt>
                <c:pt idx="11">
                  <c:v>5492.0967758332899</c:v>
                </c:pt>
                <c:pt idx="12">
                  <c:v>7276.1767779358715</c:v>
                </c:pt>
                <c:pt idx="13">
                  <c:v>9029.0051782096252</c:v>
                </c:pt>
                <c:pt idx="14">
                  <c:v>11611.370375877015</c:v>
                </c:pt>
                <c:pt idx="15">
                  <c:v>14146.858170801162</c:v>
                </c:pt>
                <c:pt idx="16">
                  <c:v>17465.005360375704</c:v>
                </c:pt>
                <c:pt idx="17">
                  <c:v>17465.005360375704</c:v>
                </c:pt>
                <c:pt idx="18">
                  <c:v>17465.005360375704</c:v>
                </c:pt>
                <c:pt idx="19">
                  <c:v>17465.005360375704</c:v>
                </c:pt>
                <c:pt idx="20">
                  <c:v>17465.005360375704</c:v>
                </c:pt>
                <c:pt idx="21">
                  <c:v>17465.005360375704</c:v>
                </c:pt>
                <c:pt idx="22">
                  <c:v>17465.005360375704</c:v>
                </c:pt>
                <c:pt idx="23">
                  <c:v>17465.005360375704</c:v>
                </c:pt>
                <c:pt idx="24">
                  <c:v>17465.005360375704</c:v>
                </c:pt>
                <c:pt idx="25">
                  <c:v>17256.464642846538</c:v>
                </c:pt>
              </c:numCache>
            </c:numRef>
          </c:val>
        </c:ser>
        <c:ser>
          <c:idx val="9"/>
          <c:order val="9"/>
          <c:tx>
            <c:strRef>
              <c:f>'Output tables'!$A$119</c:f>
              <c:strCache>
                <c:ptCount val="1"/>
                <c:pt idx="0">
                  <c:v>Wind 25%</c:v>
                </c:pt>
              </c:strCache>
            </c:strRef>
          </c:tx>
          <c:cat>
            <c:numRef>
              <c:f>'Output tables'!$AP$109:$BO$109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tables'!$AP$119:$BO$119</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1650.801111950228</c:v>
                </c:pt>
                <c:pt idx="18">
                  <c:v>3293.3297410634132</c:v>
                </c:pt>
                <c:pt idx="19">
                  <c:v>4927.5858873395555</c:v>
                </c:pt>
                <c:pt idx="20">
                  <c:v>6553.5695507786568</c:v>
                </c:pt>
                <c:pt idx="21">
                  <c:v>8171.2807313807134</c:v>
                </c:pt>
                <c:pt idx="22">
                  <c:v>9780.7194291457272</c:v>
                </c:pt>
                <c:pt idx="23">
                  <c:v>11381.8856440737</c:v>
                </c:pt>
                <c:pt idx="24">
                  <c:v>12974.77937616463</c:v>
                </c:pt>
                <c:pt idx="25">
                  <c:v>14559.400625418515</c:v>
                </c:pt>
              </c:numCache>
            </c:numRef>
          </c:val>
        </c:ser>
        <c:ser>
          <c:idx val="10"/>
          <c:order val="10"/>
          <c:tx>
            <c:strRef>
              <c:f>'Output tables'!$A$120</c:f>
              <c:strCache>
                <c:ptCount val="1"/>
                <c:pt idx="0">
                  <c:v>solar thermal central reciever</c:v>
                </c:pt>
              </c:strCache>
            </c:strRef>
          </c:tx>
          <c:cat>
            <c:numRef>
              <c:f>'Output tables'!$AP$109:$BO$109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tables'!$AP$120:$BO$120</c:f>
              <c:numCache>
                <c:formatCode>General</c:formatCode>
                <c:ptCount val="26"/>
                <c:pt idx="0">
                  <c:v>0</c:v>
                </c:pt>
                <c:pt idx="1">
                  <c:v>0</c:v>
                </c:pt>
                <c:pt idx="2">
                  <c:v>0</c:v>
                </c:pt>
                <c:pt idx="3">
                  <c:v>0</c:v>
                </c:pt>
                <c:pt idx="4">
                  <c:v>0</c:v>
                </c:pt>
                <c:pt idx="5">
                  <c:v>0</c:v>
                </c:pt>
                <c:pt idx="6">
                  <c:v>0</c:v>
                </c:pt>
                <c:pt idx="7">
                  <c:v>0</c:v>
                </c:pt>
                <c:pt idx="8">
                  <c:v>0</c:v>
                </c:pt>
                <c:pt idx="9">
                  <c:v>0</c:v>
                </c:pt>
                <c:pt idx="10">
                  <c:v>637.74768271397556</c:v>
                </c:pt>
                <c:pt idx="11">
                  <c:v>1877.4622066611482</c:v>
                </c:pt>
                <c:pt idx="12">
                  <c:v>4299.6419081862487</c:v>
                </c:pt>
                <c:pt idx="13">
                  <c:v>9029.5026184979579</c:v>
                </c:pt>
                <c:pt idx="14">
                  <c:v>15952.54564485779</c:v>
                </c:pt>
                <c:pt idx="15">
                  <c:v>24954.272294527247</c:v>
                </c:pt>
                <c:pt idx="16">
                  <c:v>35920.183874767841</c:v>
                </c:pt>
                <c:pt idx="17">
                  <c:v>46599.848723162206</c:v>
                </c:pt>
                <c:pt idx="18">
                  <c:v>62189.975897984412</c:v>
                </c:pt>
                <c:pt idx="19">
                  <c:v>77350.732975037274</c:v>
                </c:pt>
                <c:pt idx="20">
                  <c:v>92118.923105558191</c:v>
                </c:pt>
                <c:pt idx="21">
                  <c:v>106494.54628954711</c:v>
                </c:pt>
                <c:pt idx="22">
                  <c:v>120477.60252700408</c:v>
                </c:pt>
                <c:pt idx="23">
                  <c:v>134068.09181792909</c:v>
                </c:pt>
                <c:pt idx="24">
                  <c:v>147266.01416232213</c:v>
                </c:pt>
                <c:pt idx="25">
                  <c:v>160071.36956018317</c:v>
                </c:pt>
              </c:numCache>
            </c:numRef>
          </c:val>
        </c:ser>
        <c:ser>
          <c:idx val="11"/>
          <c:order val="11"/>
          <c:tx>
            <c:strRef>
              <c:f>'Output tables'!$A$121</c:f>
              <c:strCache>
                <c:ptCount val="1"/>
                <c:pt idx="0">
                  <c:v>solar thermal trough</c:v>
                </c:pt>
              </c:strCache>
            </c:strRef>
          </c:tx>
          <c:cat>
            <c:numRef>
              <c:f>'Output tables'!$AP$109:$BO$109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tables'!$AP$121:$BO$121</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2"/>
          <c:order val="12"/>
          <c:tx>
            <c:strRef>
              <c:f>'Output tables'!$A$122</c:f>
              <c:strCache>
                <c:ptCount val="1"/>
                <c:pt idx="0">
                  <c:v>solar PV</c:v>
                </c:pt>
              </c:strCache>
            </c:strRef>
          </c:tx>
          <c:cat>
            <c:numRef>
              <c:f>'Output tables'!$AP$109:$BO$109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tables'!$AP$122:$BO$122</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3"/>
          <c:order val="13"/>
          <c:tx>
            <c:strRef>
              <c:f>'Output tables'!$A$123</c:f>
              <c:strCache>
                <c:ptCount val="1"/>
                <c:pt idx="0">
                  <c:v>combined cycle gas</c:v>
                </c:pt>
              </c:strCache>
            </c:strRef>
          </c:tx>
          <c:cat>
            <c:numRef>
              <c:f>'Output tables'!$AP$109:$BO$109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tables'!$AP$123:$BO$123</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3083.7005316401996</c:v>
                </c:pt>
                <c:pt idx="23">
                  <c:v>7864.3443012001862</c:v>
                </c:pt>
                <c:pt idx="24">
                  <c:v>12831.618231303542</c:v>
                </c:pt>
                <c:pt idx="25">
                  <c:v>13083.915738853018</c:v>
                </c:pt>
              </c:numCache>
            </c:numRef>
          </c:val>
        </c:ser>
        <c:ser>
          <c:idx val="14"/>
          <c:order val="14"/>
          <c:tx>
            <c:strRef>
              <c:f>'Output tables'!$A$124</c:f>
              <c:strCache>
                <c:ptCount val="1"/>
                <c:pt idx="0">
                  <c:v>PBMR</c:v>
                </c:pt>
              </c:strCache>
            </c:strRef>
          </c:tx>
          <c:cat>
            <c:numRef>
              <c:f>'Output tables'!$AP$109:$BO$109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tables'!$AP$124:$BO$124</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5"/>
          <c:order val="15"/>
          <c:tx>
            <c:strRef>
              <c:f>'Output tables'!$A$125</c:f>
              <c:strCache>
                <c:ptCount val="1"/>
                <c:pt idx="0">
                  <c:v>IGCC</c:v>
                </c:pt>
              </c:strCache>
            </c:strRef>
          </c:tx>
          <c:cat>
            <c:numRef>
              <c:f>'Output tables'!$AP$109:$BO$109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tables'!$AP$125:$BO$125</c:f>
              <c:numCache>
                <c:formatCode>General</c:formatCode>
                <c:ptCount val="26"/>
                <c:pt idx="0">
                  <c:v>0</c:v>
                </c:pt>
                <c:pt idx="1">
                  <c:v>2.274066347231097E-12</c:v>
                </c:pt>
                <c:pt idx="2">
                  <c:v>0</c:v>
                </c:pt>
                <c:pt idx="3">
                  <c:v>2.686426941512535E-12</c:v>
                </c:pt>
                <c:pt idx="4">
                  <c:v>2.686426941512535E-12</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1956.3183382939712</c:v>
                </c:pt>
                <c:pt idx="25">
                  <c:v>3915.8436489951246</c:v>
                </c:pt>
              </c:numCache>
            </c:numRef>
          </c:val>
        </c:ser>
        <c:ser>
          <c:idx val="16"/>
          <c:order val="16"/>
          <c:tx>
            <c:strRef>
              <c:f>'Output tables'!$A$126</c:f>
              <c:strCache>
                <c:ptCount val="1"/>
                <c:pt idx="0">
                  <c:v>-</c:v>
                </c:pt>
              </c:strCache>
            </c:strRef>
          </c:tx>
          <c:cat>
            <c:numRef>
              <c:f>'Output tables'!$AP$109:$BO$109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tables'!$AP$126:$BO$126</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7"/>
          <c:order val="17"/>
          <c:tx>
            <c:strRef>
              <c:f>'Output tables'!$A$127</c:f>
              <c:strCache>
                <c:ptCount val="1"/>
                <c:pt idx="0">
                  <c:v>-</c:v>
                </c:pt>
              </c:strCache>
            </c:strRef>
          </c:tx>
          <c:cat>
            <c:numRef>
              <c:f>'Output tables'!$AP$109:$BO$109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tables'!$AP$127:$BO$127</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8"/>
          <c:order val="18"/>
          <c:tx>
            <c:strRef>
              <c:f>'Output tables'!$A$128</c:f>
              <c:strCache>
                <c:ptCount val="1"/>
                <c:pt idx="0">
                  <c:v>-</c:v>
                </c:pt>
              </c:strCache>
            </c:strRef>
          </c:tx>
          <c:cat>
            <c:numRef>
              <c:f>'Output tables'!$AP$109:$BO$109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tables'!$AP$128:$BO$128</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9"/>
          <c:order val="19"/>
          <c:tx>
            <c:strRef>
              <c:f>'Output tables'!$A$129</c:f>
              <c:strCache>
                <c:ptCount val="1"/>
                <c:pt idx="0">
                  <c:v>Pumped storage</c:v>
                </c:pt>
              </c:strCache>
            </c:strRef>
          </c:tx>
          <c:cat>
            <c:numRef>
              <c:f>'Output tables'!$AP$109:$BO$109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tables'!$AP$129:$BO$129</c:f>
              <c:numCache>
                <c:formatCode>General</c:formatCode>
                <c:ptCount val="26"/>
                <c:pt idx="0">
                  <c:v>91.355013587921817</c:v>
                </c:pt>
                <c:pt idx="1">
                  <c:v>91.355013587921817</c:v>
                </c:pt>
                <c:pt idx="2">
                  <c:v>91.355013587921817</c:v>
                </c:pt>
                <c:pt idx="3">
                  <c:v>91.355013587921817</c:v>
                </c:pt>
                <c:pt idx="4">
                  <c:v>91.355013587921817</c:v>
                </c:pt>
                <c:pt idx="5">
                  <c:v>91.355013587921817</c:v>
                </c:pt>
                <c:pt idx="6">
                  <c:v>91.355013587921817</c:v>
                </c:pt>
                <c:pt idx="7">
                  <c:v>91.355013587921817</c:v>
                </c:pt>
                <c:pt idx="8">
                  <c:v>1003.7456618954134</c:v>
                </c:pt>
                <c:pt idx="9">
                  <c:v>1916.136310202905</c:v>
                </c:pt>
                <c:pt idx="10">
                  <c:v>2828.5269585103965</c:v>
                </c:pt>
                <c:pt idx="11">
                  <c:v>3740.9176068178881</c:v>
                </c:pt>
                <c:pt idx="12">
                  <c:v>3740.9176068178881</c:v>
                </c:pt>
                <c:pt idx="13">
                  <c:v>3740.9176068178881</c:v>
                </c:pt>
                <c:pt idx="14">
                  <c:v>3740.9176068178881</c:v>
                </c:pt>
                <c:pt idx="15">
                  <c:v>3740.9176068178881</c:v>
                </c:pt>
                <c:pt idx="16">
                  <c:v>3740.9176068178881</c:v>
                </c:pt>
                <c:pt idx="17">
                  <c:v>3740.9176068178881</c:v>
                </c:pt>
                <c:pt idx="18">
                  <c:v>3740.9176068178881</c:v>
                </c:pt>
                <c:pt idx="19">
                  <c:v>3740.9176068178881</c:v>
                </c:pt>
                <c:pt idx="20">
                  <c:v>3740.9176068178881</c:v>
                </c:pt>
                <c:pt idx="21">
                  <c:v>3740.9176068178881</c:v>
                </c:pt>
                <c:pt idx="22">
                  <c:v>3740.9176068178881</c:v>
                </c:pt>
                <c:pt idx="23">
                  <c:v>3740.9176068178881</c:v>
                </c:pt>
                <c:pt idx="24">
                  <c:v>3740.9176068178881</c:v>
                </c:pt>
                <c:pt idx="25">
                  <c:v>3740.9176068178881</c:v>
                </c:pt>
              </c:numCache>
            </c:numRef>
          </c:val>
        </c:ser>
        <c:ser>
          <c:idx val="22"/>
          <c:order val="22"/>
          <c:tx>
            <c:strRef>
              <c:f>'Output tables'!$A$130</c:f>
              <c:strCache>
                <c:ptCount val="1"/>
                <c:pt idx="0">
                  <c:v>carbon tax</c:v>
                </c:pt>
              </c:strCache>
            </c:strRef>
          </c:tx>
          <c:val>
            <c:numRef>
              <c:f>'Output tables'!$AP$130:$BO$130</c:f>
              <c:numCache>
                <c:formatCode>General</c:formatCode>
                <c:ptCount val="26"/>
                <c:pt idx="0">
                  <c:v>0</c:v>
                </c:pt>
                <c:pt idx="1">
                  <c:v>0</c:v>
                </c:pt>
                <c:pt idx="2">
                  <c:v>0</c:v>
                </c:pt>
                <c:pt idx="3">
                  <c:v>0</c:v>
                </c:pt>
                <c:pt idx="4">
                  <c:v>0</c:v>
                </c:pt>
                <c:pt idx="5">
                  <c:v>0</c:v>
                </c:pt>
                <c:pt idx="6">
                  <c:v>0</c:v>
                </c:pt>
                <c:pt idx="7">
                  <c:v>24478.761458211844</c:v>
                </c:pt>
                <c:pt idx="8">
                  <c:v>25085.250445959304</c:v>
                </c:pt>
                <c:pt idx="9">
                  <c:v>25832.544570616745</c:v>
                </c:pt>
                <c:pt idx="10">
                  <c:v>26409.578736324453</c:v>
                </c:pt>
                <c:pt idx="11">
                  <c:v>80935.238113534142</c:v>
                </c:pt>
                <c:pt idx="12">
                  <c:v>82024.055325167647</c:v>
                </c:pt>
                <c:pt idx="13">
                  <c:v>82654.008854736036</c:v>
                </c:pt>
                <c:pt idx="14">
                  <c:v>82446.419266861238</c:v>
                </c:pt>
                <c:pt idx="15">
                  <c:v>135826.39062892462</c:v>
                </c:pt>
                <c:pt idx="16">
                  <c:v>132881.15969909183</c:v>
                </c:pt>
                <c:pt idx="17">
                  <c:v>131732.7520290596</c:v>
                </c:pt>
                <c:pt idx="18">
                  <c:v>128301.54132022244</c:v>
                </c:pt>
                <c:pt idx="19">
                  <c:v>125012.84951799382</c:v>
                </c:pt>
                <c:pt idx="20">
                  <c:v>121859.89195074516</c:v>
                </c:pt>
                <c:pt idx="21">
                  <c:v>118978.57403761256</c:v>
                </c:pt>
                <c:pt idx="22">
                  <c:v>115580.60521462141</c:v>
                </c:pt>
                <c:pt idx="23">
                  <c:v>111853.24698395247</c:v>
                </c:pt>
                <c:pt idx="24">
                  <c:v>107774.63017262286</c:v>
                </c:pt>
                <c:pt idx="25">
                  <c:v>103796.03694549462</c:v>
                </c:pt>
              </c:numCache>
            </c:numRef>
          </c:val>
        </c:ser>
        <c:axId val="107600128"/>
        <c:axId val="107610112"/>
      </c:areaChart>
      <c:lineChart>
        <c:grouping val="standard"/>
        <c:ser>
          <c:idx val="20"/>
          <c:order val="20"/>
          <c:tx>
            <c:strRef>
              <c:f>'Output tables'!$A$132</c:f>
              <c:strCache>
                <c:ptCount val="1"/>
                <c:pt idx="0">
                  <c:v>Average annual electricity cost (R/kWh)</c:v>
                </c:pt>
              </c:strCache>
            </c:strRef>
          </c:tx>
          <c:marker>
            <c:symbol val="none"/>
          </c:marker>
          <c:val>
            <c:numRef>
              <c:f>'Output tables'!$AP$132:$BO$132</c:f>
              <c:numCache>
                <c:formatCode>General</c:formatCode>
                <c:ptCount val="26"/>
                <c:pt idx="0">
                  <c:v>9.3081558925848837E-2</c:v>
                </c:pt>
                <c:pt idx="1">
                  <c:v>0.10111172940856715</c:v>
                </c:pt>
                <c:pt idx="2">
                  <c:v>0.1073822276448695</c:v>
                </c:pt>
                <c:pt idx="3">
                  <c:v>0.11253193533162395</c:v>
                </c:pt>
                <c:pt idx="4">
                  <c:v>0.11103005156183383</c:v>
                </c:pt>
                <c:pt idx="5">
                  <c:v>0.11213531685831545</c:v>
                </c:pt>
                <c:pt idx="6">
                  <c:v>0.11882478129616292</c:v>
                </c:pt>
                <c:pt idx="7">
                  <c:v>0.1268949691092762</c:v>
                </c:pt>
                <c:pt idx="8">
                  <c:v>0.14518051558366465</c:v>
                </c:pt>
                <c:pt idx="9">
                  <c:v>0.16848553004438802</c:v>
                </c:pt>
                <c:pt idx="10">
                  <c:v>0.1945187059306244</c:v>
                </c:pt>
                <c:pt idx="11">
                  <c:v>0.21424951956301871</c:v>
                </c:pt>
                <c:pt idx="12">
                  <c:v>0.22944592022538995</c:v>
                </c:pt>
                <c:pt idx="13">
                  <c:v>0.24435882027107403</c:v>
                </c:pt>
                <c:pt idx="14">
                  <c:v>0.266314274598487</c:v>
                </c:pt>
                <c:pt idx="15">
                  <c:v>0.29157930763711365</c:v>
                </c:pt>
                <c:pt idx="16">
                  <c:v>0.32196220212016691</c:v>
                </c:pt>
                <c:pt idx="17">
                  <c:v>0.34676167569557836</c:v>
                </c:pt>
                <c:pt idx="18">
                  <c:v>0.38184570652813377</c:v>
                </c:pt>
                <c:pt idx="19">
                  <c:v>0.41297116575118181</c:v>
                </c:pt>
                <c:pt idx="20">
                  <c:v>0.44043279825337994</c:v>
                </c:pt>
                <c:pt idx="21">
                  <c:v>0.46744601657030288</c:v>
                </c:pt>
                <c:pt idx="22">
                  <c:v>0.49551332361631439</c:v>
                </c:pt>
                <c:pt idx="23">
                  <c:v>0.52401939341596682</c:v>
                </c:pt>
                <c:pt idx="24">
                  <c:v>0.55694095727485204</c:v>
                </c:pt>
                <c:pt idx="25">
                  <c:v>0.58111484366678268</c:v>
                </c:pt>
              </c:numCache>
            </c:numRef>
          </c:val>
        </c:ser>
        <c:ser>
          <c:idx val="21"/>
          <c:order val="21"/>
          <c:tx>
            <c:strRef>
              <c:f>'Output tables'!$A$133</c:f>
              <c:strCache>
                <c:ptCount val="1"/>
                <c:pt idx="0">
                  <c:v>Average an elec cost with carbon tax</c:v>
                </c:pt>
              </c:strCache>
            </c:strRef>
          </c:tx>
          <c:marker>
            <c:symbol val="none"/>
          </c:marker>
          <c:val>
            <c:numRef>
              <c:f>'Output tables'!$AP$133:$BO$133</c:f>
              <c:numCache>
                <c:formatCode>General</c:formatCode>
                <c:ptCount val="26"/>
                <c:pt idx="0">
                  <c:v>9.3081558925848837E-2</c:v>
                </c:pt>
                <c:pt idx="1">
                  <c:v>0.10111172940856715</c:v>
                </c:pt>
                <c:pt idx="2">
                  <c:v>0.1073822276448695</c:v>
                </c:pt>
                <c:pt idx="3">
                  <c:v>0.11253193533162395</c:v>
                </c:pt>
                <c:pt idx="4">
                  <c:v>0.11103005156183383</c:v>
                </c:pt>
                <c:pt idx="5">
                  <c:v>0.11213531685831545</c:v>
                </c:pt>
                <c:pt idx="6">
                  <c:v>0.11882478129616292</c:v>
                </c:pt>
                <c:pt idx="7">
                  <c:v>0.21958786214911746</c:v>
                </c:pt>
                <c:pt idx="8">
                  <c:v>0.23715211022808946</c:v>
                </c:pt>
                <c:pt idx="9">
                  <c:v>0.25977905901025378</c:v>
                </c:pt>
                <c:pt idx="10">
                  <c:v>0.28463189606581712</c:v>
                </c:pt>
                <c:pt idx="11">
                  <c:v>0.48079627090822735</c:v>
                </c:pt>
                <c:pt idx="12">
                  <c:v>0.49210444029677236</c:v>
                </c:pt>
                <c:pt idx="13">
                  <c:v>0.50152927942361591</c:v>
                </c:pt>
                <c:pt idx="14">
                  <c:v>0.5154426743891356</c:v>
                </c:pt>
                <c:pt idx="15">
                  <c:v>0.69044664019011837</c:v>
                </c:pt>
                <c:pt idx="16">
                  <c:v>0.70094711648264263</c:v>
                </c:pt>
                <c:pt idx="17">
                  <c:v>0.71180654088754902</c:v>
                </c:pt>
                <c:pt idx="18">
                  <c:v>0.72690974129037422</c:v>
                </c:pt>
                <c:pt idx="19">
                  <c:v>0.73924637159788553</c:v>
                </c:pt>
                <c:pt idx="20">
                  <c:v>0.74895154263465102</c:v>
                </c:pt>
                <c:pt idx="21">
                  <c:v>0.75922979015405712</c:v>
                </c:pt>
                <c:pt idx="22">
                  <c:v>0.76999625486589318</c:v>
                </c:pt>
                <c:pt idx="23">
                  <c:v>0.78125728425994734</c:v>
                </c:pt>
                <c:pt idx="24">
                  <c:v>0.79705108793823576</c:v>
                </c:pt>
                <c:pt idx="25">
                  <c:v>0.80721470217948343</c:v>
                </c:pt>
              </c:numCache>
            </c:numRef>
          </c:val>
        </c:ser>
        <c:marker val="1"/>
        <c:axId val="107612032"/>
        <c:axId val="107613568"/>
      </c:lineChart>
      <c:catAx>
        <c:axId val="107600128"/>
        <c:scaling>
          <c:orientation val="minMax"/>
        </c:scaling>
        <c:axPos val="b"/>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7610112"/>
        <c:crosses val="autoZero"/>
        <c:auto val="1"/>
        <c:lblAlgn val="ctr"/>
        <c:lblOffset val="100"/>
      </c:catAx>
      <c:valAx>
        <c:axId val="107610112"/>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R million</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7600128"/>
        <c:crosses val="autoZero"/>
        <c:crossBetween val="between"/>
      </c:valAx>
      <c:catAx>
        <c:axId val="107612032"/>
        <c:scaling>
          <c:orientation val="minMax"/>
        </c:scaling>
        <c:delete val="1"/>
        <c:axPos val="b"/>
        <c:tickLblPos val="none"/>
        <c:crossAx val="107613568"/>
        <c:crosses val="autoZero"/>
        <c:auto val="1"/>
        <c:lblAlgn val="ctr"/>
        <c:lblOffset val="100"/>
      </c:catAx>
      <c:valAx>
        <c:axId val="107613568"/>
        <c:scaling>
          <c:orientation val="minMax"/>
        </c:scaling>
        <c:axPos val="r"/>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7612032"/>
        <c:crosses val="max"/>
        <c:crossBetween val="between"/>
      </c:valAx>
    </c:plotArea>
    <c:legend>
      <c:legendPos val="b"/>
      <c:layout>
        <c:manualLayout>
          <c:xMode val="edge"/>
          <c:yMode val="edge"/>
          <c:x val="1.9251579885088457E-4"/>
          <c:y val="0.6367899652078377"/>
          <c:w val="0.98710478957783931"/>
          <c:h val="0.36321003479216268"/>
        </c:manualLayout>
      </c:layout>
      <c:txPr>
        <a:bodyPr/>
        <a:lstStyle/>
        <a:p>
          <a:pPr>
            <a:defRPr lang="en-ZA" sz="845" b="0" i="0" u="none" strike="noStrike" baseline="0">
              <a:solidFill>
                <a:srgbClr val="000000"/>
              </a:solidFill>
              <a:latin typeface="Calibri"/>
              <a:ea typeface="Calibri"/>
              <a:cs typeface="Calibri"/>
            </a:defRPr>
          </a:pPr>
          <a:endParaRPr lang="en-US"/>
        </a:p>
      </c:txPr>
    </c:legend>
    <c:plotVisOnly val="1"/>
    <c:dispBlanksAs val="zero"/>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233" l="0.70000000000000062" r="0.70000000000000062" t="0.75000000000000233" header="0.30000000000000032" footer="0.30000000000000032"/>
    <c:pageSetup/>
  </c:printSettings>
</c:chartSpace>
</file>

<file path=xl/charts/chart34.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050" b="1" i="0" u="none" strike="noStrike" baseline="0">
                <a:solidFill>
                  <a:srgbClr val="000000"/>
                </a:solidFill>
                <a:latin typeface="Calibri"/>
                <a:ea typeface="Calibri"/>
                <a:cs typeface="Calibri"/>
              </a:defRPr>
            </a:pPr>
            <a:r>
              <a:rPr lang="en-ZA"/>
              <a:t>Annual investment requirement</a:t>
            </a:r>
          </a:p>
        </c:rich>
      </c:tx>
      <c:overlay val="1"/>
    </c:title>
    <c:plotArea>
      <c:layout>
        <c:manualLayout>
          <c:layoutTarget val="inner"/>
          <c:xMode val="edge"/>
          <c:yMode val="edge"/>
          <c:x val="0.15451618547681648"/>
          <c:y val="6.1014547094656674E-2"/>
          <c:w val="0.78676159230096232"/>
          <c:h val="0.50886813061410863"/>
        </c:manualLayout>
      </c:layout>
      <c:areaChart>
        <c:grouping val="stacked"/>
        <c:ser>
          <c:idx val="0"/>
          <c:order val="0"/>
          <c:tx>
            <c:strRef>
              <c:f>'Output tables'!$A$144</c:f>
              <c:strCache>
                <c:ptCount val="1"/>
                <c:pt idx="0">
                  <c:v>Existing coal Large</c:v>
                </c:pt>
              </c:strCache>
            </c:strRef>
          </c:tx>
          <c:cat>
            <c:numRef>
              <c:f>'Output tables'!$AP$143:$BO$143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tables'!$AP$144:$BO$144</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
          <c:order val="1"/>
          <c:tx>
            <c:strRef>
              <c:f>'Output tables'!$A$145</c:f>
              <c:strCache>
                <c:ptCount val="1"/>
                <c:pt idx="0">
                  <c:v>Existing coal Small</c:v>
                </c:pt>
              </c:strCache>
            </c:strRef>
          </c:tx>
          <c:cat>
            <c:numRef>
              <c:f>'Output tables'!$AP$143:$BO$143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tables'!$AP$145:$BO$145</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2"/>
          <c:order val="2"/>
          <c:tx>
            <c:strRef>
              <c:f>'Output tables'!$A$146</c:f>
              <c:strCache>
                <c:ptCount val="1"/>
                <c:pt idx="0">
                  <c:v>OCGT liquid fuels</c:v>
                </c:pt>
              </c:strCache>
            </c:strRef>
          </c:tx>
          <c:cat>
            <c:numRef>
              <c:f>'Output tables'!$AP$143:$BO$143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tables'!$AP$146:$BO$146</c:f>
              <c:numCache>
                <c:formatCode>General</c:formatCode>
                <c:ptCount val="26"/>
                <c:pt idx="0">
                  <c:v>0</c:v>
                </c:pt>
                <c:pt idx="1">
                  <c:v>0</c:v>
                </c:pt>
                <c:pt idx="2">
                  <c:v>0</c:v>
                </c:pt>
                <c:pt idx="3">
                  <c:v>299.85406508081212</c:v>
                </c:pt>
                <c:pt idx="4">
                  <c:v>1229.4016668313295</c:v>
                </c:pt>
                <c:pt idx="5">
                  <c:v>4650.7365494033957</c:v>
                </c:pt>
                <c:pt idx="6">
                  <c:v>0</c:v>
                </c:pt>
                <c:pt idx="7">
                  <c:v>0</c:v>
                </c:pt>
                <c:pt idx="8">
                  <c:v>0</c:v>
                </c:pt>
                <c:pt idx="9">
                  <c:v>0</c:v>
                </c:pt>
                <c:pt idx="10">
                  <c:v>0</c:v>
                </c:pt>
                <c:pt idx="11">
                  <c:v>0</c:v>
                </c:pt>
                <c:pt idx="12">
                  <c:v>0</c:v>
                </c:pt>
                <c:pt idx="13">
                  <c:v>0</c:v>
                </c:pt>
                <c:pt idx="14">
                  <c:v>0</c:v>
                </c:pt>
                <c:pt idx="15">
                  <c:v>0</c:v>
                </c:pt>
                <c:pt idx="16">
                  <c:v>0</c:v>
                </c:pt>
                <c:pt idx="17">
                  <c:v>0</c:v>
                </c:pt>
                <c:pt idx="18">
                  <c:v>199.90271005387473</c:v>
                </c:pt>
                <c:pt idx="19">
                  <c:v>819.6011112208862</c:v>
                </c:pt>
                <c:pt idx="20">
                  <c:v>3100.4910329355966</c:v>
                </c:pt>
                <c:pt idx="21">
                  <c:v>266.53694673849964</c:v>
                </c:pt>
                <c:pt idx="22">
                  <c:v>1359.3384283663481</c:v>
                </c:pt>
                <c:pt idx="23">
                  <c:v>5226.7895255419771</c:v>
                </c:pt>
                <c:pt idx="24">
                  <c:v>4133.9880439141289</c:v>
                </c:pt>
                <c:pt idx="25">
                  <c:v>0</c:v>
                </c:pt>
              </c:numCache>
            </c:numRef>
          </c:val>
        </c:ser>
        <c:ser>
          <c:idx val="3"/>
          <c:order val="3"/>
          <c:tx>
            <c:strRef>
              <c:f>'Output tables'!$A$147</c:f>
              <c:strCache>
                <c:ptCount val="1"/>
                <c:pt idx="0">
                  <c:v>PWR nuclear</c:v>
                </c:pt>
              </c:strCache>
            </c:strRef>
          </c:tx>
          <c:cat>
            <c:numRef>
              <c:f>'Output tables'!$AP$143:$BO$143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tables'!$AP$147:$BO$147</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4"/>
          <c:order val="4"/>
          <c:tx>
            <c:strRef>
              <c:f>'Output tables'!$A$148</c:f>
              <c:strCache>
                <c:ptCount val="1"/>
                <c:pt idx="0">
                  <c:v>Hydro</c:v>
                </c:pt>
              </c:strCache>
            </c:strRef>
          </c:tx>
          <c:cat>
            <c:numRef>
              <c:f>'Output tables'!$AP$143:$BO$143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tables'!$AP$148:$BO$148</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5"/>
          <c:order val="5"/>
          <c:tx>
            <c:strRef>
              <c:f>'Output tables'!$A$149</c:f>
              <c:strCache>
                <c:ptCount val="1"/>
                <c:pt idx="0">
                  <c:v>Landfill gas</c:v>
                </c:pt>
              </c:strCache>
            </c:strRef>
          </c:tx>
          <c:cat>
            <c:numRef>
              <c:f>'Output tables'!$AP$143:$BO$143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tables'!$AP$149:$BO$149</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6"/>
          <c:order val="6"/>
          <c:tx>
            <c:strRef>
              <c:f>'Output tables'!$A$150</c:f>
              <c:strCache>
                <c:ptCount val="1"/>
                <c:pt idx="0">
                  <c:v>Biomass</c:v>
                </c:pt>
              </c:strCache>
            </c:strRef>
          </c:tx>
          <c:cat>
            <c:numRef>
              <c:f>'Output tables'!$AP$143:$BO$143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tables'!$AP$150:$BO$150</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7"/>
          <c:order val="7"/>
          <c:tx>
            <c:strRef>
              <c:f>'Output tables'!$A$151</c:f>
              <c:strCache>
                <c:ptCount val="1"/>
                <c:pt idx="0">
                  <c:v>Supercritical coal</c:v>
                </c:pt>
              </c:strCache>
            </c:strRef>
          </c:tx>
          <c:cat>
            <c:numRef>
              <c:f>'Output tables'!$AP$143:$BO$143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tables'!$AP$151:$BO$151</c:f>
              <c:numCache>
                <c:formatCode>General</c:formatCode>
                <c:ptCount val="26"/>
                <c:pt idx="0">
                  <c:v>0</c:v>
                </c:pt>
                <c:pt idx="1">
                  <c:v>663.75232174368716</c:v>
                </c:pt>
                <c:pt idx="2">
                  <c:v>2053.5222759085655</c:v>
                </c:pt>
                <c:pt idx="3">
                  <c:v>3813.0002183239285</c:v>
                </c:pt>
                <c:pt idx="4">
                  <c:v>9740.6803993905232</c:v>
                </c:pt>
                <c:pt idx="5">
                  <c:v>21245.764687606472</c:v>
                </c:pt>
                <c:pt idx="6">
                  <c:v>33660.51600492774</c:v>
                </c:pt>
                <c:pt idx="7">
                  <c:v>40832.294020975503</c:v>
                </c:pt>
                <c:pt idx="8">
                  <c:v>36903.242010993425</c:v>
                </c:pt>
                <c:pt idx="9">
                  <c:v>24748.18368680634</c:v>
                </c:pt>
                <c:pt idx="10">
                  <c:v>10987.519325964422</c:v>
                </c:pt>
                <c:pt idx="11">
                  <c:v>2044.9075927566316</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8"/>
          <c:order val="8"/>
          <c:tx>
            <c:strRef>
              <c:f>'Output tables'!$A$152</c:f>
              <c:strCache>
                <c:ptCount val="1"/>
                <c:pt idx="0">
                  <c:v>Wind 30% </c:v>
                </c:pt>
              </c:strCache>
            </c:strRef>
          </c:tx>
          <c:cat>
            <c:numRef>
              <c:f>'Output tables'!$AP$143:$BO$143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tables'!$AP$152:$BO$152</c:f>
              <c:numCache>
                <c:formatCode>General</c:formatCode>
                <c:ptCount val="26"/>
                <c:pt idx="0">
                  <c:v>0</c:v>
                </c:pt>
                <c:pt idx="1">
                  <c:v>0</c:v>
                </c:pt>
                <c:pt idx="2">
                  <c:v>75.703206024444654</c:v>
                </c:pt>
                <c:pt idx="3">
                  <c:v>457.80517748466798</c:v>
                </c:pt>
                <c:pt idx="4">
                  <c:v>1922.0247133753612</c:v>
                </c:pt>
                <c:pt idx="5">
                  <c:v>3154.3135322827429</c:v>
                </c:pt>
                <c:pt idx="6">
                  <c:v>3644.0335876756112</c:v>
                </c:pt>
                <c:pt idx="7">
                  <c:v>5986.2987508304568</c:v>
                </c:pt>
                <c:pt idx="8">
                  <c:v>6919.2889681512988</c:v>
                </c:pt>
                <c:pt idx="9">
                  <c:v>10981.156440530671</c:v>
                </c:pt>
                <c:pt idx="10">
                  <c:v>11222.131698444271</c:v>
                </c:pt>
                <c:pt idx="11">
                  <c:v>13261.686037610511</c:v>
                </c:pt>
                <c:pt idx="12">
                  <c:v>14232.988452186544</c:v>
                </c:pt>
                <c:pt idx="13">
                  <c:v>18929.746838458821</c:v>
                </c:pt>
                <c:pt idx="14">
                  <c:v>18579.063291250448</c:v>
                </c:pt>
                <c:pt idx="15">
                  <c:v>18020.215849371169</c:v>
                </c:pt>
                <c:pt idx="16">
                  <c:v>0</c:v>
                </c:pt>
                <c:pt idx="17">
                  <c:v>0</c:v>
                </c:pt>
                <c:pt idx="18">
                  <c:v>0</c:v>
                </c:pt>
                <c:pt idx="19">
                  <c:v>0</c:v>
                </c:pt>
                <c:pt idx="20">
                  <c:v>0</c:v>
                </c:pt>
                <c:pt idx="21">
                  <c:v>0</c:v>
                </c:pt>
                <c:pt idx="22">
                  <c:v>0</c:v>
                </c:pt>
                <c:pt idx="23">
                  <c:v>109.35011703642387</c:v>
                </c:pt>
                <c:pt idx="24">
                  <c:v>557.00215865428402</c:v>
                </c:pt>
                <c:pt idx="25">
                  <c:v>2357.520179482151</c:v>
                </c:pt>
              </c:numCache>
            </c:numRef>
          </c:val>
        </c:ser>
        <c:ser>
          <c:idx val="9"/>
          <c:order val="9"/>
          <c:tx>
            <c:strRef>
              <c:f>'Output tables'!$A$153</c:f>
              <c:strCache>
                <c:ptCount val="1"/>
                <c:pt idx="0">
                  <c:v>Wind 25%</c:v>
                </c:pt>
              </c:strCache>
            </c:strRef>
          </c:tx>
          <c:cat>
            <c:numRef>
              <c:f>'Output tables'!$AP$143:$BO$143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tables'!$AP$153:$BO$153</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577.50530559861352</c:v>
                </c:pt>
                <c:pt idx="15">
                  <c:v>2941.8598673955403</c:v>
                </c:pt>
                <c:pt idx="16">
                  <c:v>11881.539482327353</c:v>
                </c:pt>
                <c:pt idx="17">
                  <c:v>11811.111172573583</c:v>
                </c:pt>
                <c:pt idx="18">
                  <c:v>11740.682862819813</c:v>
                </c:pt>
                <c:pt idx="19">
                  <c:v>11670.254553066041</c:v>
                </c:pt>
                <c:pt idx="20">
                  <c:v>11599.826243312269</c:v>
                </c:pt>
                <c:pt idx="21">
                  <c:v>11529.397933558497</c:v>
                </c:pt>
                <c:pt idx="22">
                  <c:v>11458.969623804725</c:v>
                </c:pt>
                <c:pt idx="23">
                  <c:v>10841.790728868835</c:v>
                </c:pt>
                <c:pt idx="24">
                  <c:v>8533.1022110257618</c:v>
                </c:pt>
                <c:pt idx="25">
                  <c:v>0</c:v>
                </c:pt>
              </c:numCache>
            </c:numRef>
          </c:val>
        </c:ser>
        <c:ser>
          <c:idx val="10"/>
          <c:order val="10"/>
          <c:tx>
            <c:strRef>
              <c:f>'Output tables'!$A$154</c:f>
              <c:strCache>
                <c:ptCount val="1"/>
                <c:pt idx="0">
                  <c:v>solar thermal central reciever</c:v>
                </c:pt>
              </c:strCache>
            </c:strRef>
          </c:tx>
          <c:cat>
            <c:numRef>
              <c:f>'Output tables'!$AP$143:$BO$143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tables'!$AP$154:$BO$154</c:f>
              <c:numCache>
                <c:formatCode>General</c:formatCode>
                <c:ptCount val="26"/>
                <c:pt idx="0">
                  <c:v>0</c:v>
                </c:pt>
                <c:pt idx="1">
                  <c:v>0</c:v>
                </c:pt>
                <c:pt idx="2">
                  <c:v>0</c:v>
                </c:pt>
                <c:pt idx="3">
                  <c:v>0</c:v>
                </c:pt>
                <c:pt idx="4">
                  <c:v>0</c:v>
                </c:pt>
                <c:pt idx="5">
                  <c:v>257.48196312932731</c:v>
                </c:pt>
                <c:pt idx="6">
                  <c:v>782.58911823853123</c:v>
                </c:pt>
                <c:pt idx="7">
                  <c:v>2092.0799628444411</c:v>
                </c:pt>
                <c:pt idx="8">
                  <c:v>5213.1748876096417</c:v>
                </c:pt>
                <c:pt idx="9">
                  <c:v>12538.258189969802</c:v>
                </c:pt>
                <c:pt idx="10">
                  <c:v>21581.070769725793</c:v>
                </c:pt>
                <c:pt idx="11">
                  <c:v>35393.461912975559</c:v>
                </c:pt>
                <c:pt idx="12">
                  <c:v>53706.370614683023</c:v>
                </c:pt>
                <c:pt idx="13">
                  <c:v>72115.900281327966</c:v>
                </c:pt>
                <c:pt idx="14">
                  <c:v>87818.400038748732</c:v>
                </c:pt>
                <c:pt idx="15">
                  <c:v>101129.06169488782</c:v>
                </c:pt>
                <c:pt idx="16">
                  <c:v>107322.53595699415</c:v>
                </c:pt>
                <c:pt idx="17">
                  <c:v>130666.46779929806</c:v>
                </c:pt>
                <c:pt idx="18">
                  <c:v>126759.13286269245</c:v>
                </c:pt>
                <c:pt idx="19">
                  <c:v>123058.43783516881</c:v>
                </c:pt>
                <c:pt idx="20">
                  <c:v>119357.74280764519</c:v>
                </c:pt>
                <c:pt idx="21">
                  <c:v>110863.20177567731</c:v>
                </c:pt>
                <c:pt idx="22">
                  <c:v>102060.48492913807</c:v>
                </c:pt>
                <c:pt idx="23">
                  <c:v>88124.928682126076</c:v>
                </c:pt>
                <c:pt idx="24">
                  <c:v>63920.611876022806</c:v>
                </c:pt>
                <c:pt idx="25">
                  <c:v>0</c:v>
                </c:pt>
              </c:numCache>
            </c:numRef>
          </c:val>
        </c:ser>
        <c:ser>
          <c:idx val="11"/>
          <c:order val="11"/>
          <c:tx>
            <c:strRef>
              <c:f>'Output tables'!$A$155</c:f>
              <c:strCache>
                <c:ptCount val="1"/>
                <c:pt idx="0">
                  <c:v>solar thermal trough</c:v>
                </c:pt>
              </c:strCache>
            </c:strRef>
          </c:tx>
          <c:cat>
            <c:numRef>
              <c:f>'Output tables'!$AP$143:$BO$143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tables'!$AP$155:$BO$155</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2"/>
          <c:order val="12"/>
          <c:tx>
            <c:strRef>
              <c:f>'Output tables'!$A$156</c:f>
              <c:strCache>
                <c:ptCount val="1"/>
                <c:pt idx="0">
                  <c:v>solar PV</c:v>
                </c:pt>
              </c:strCache>
            </c:strRef>
          </c:tx>
          <c:cat>
            <c:numRef>
              <c:f>'Output tables'!$AP$143:$BO$143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tables'!$AP$156:$BO$156</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3"/>
          <c:order val="13"/>
          <c:tx>
            <c:strRef>
              <c:f>'Output tables'!$A$157</c:f>
              <c:strCache>
                <c:ptCount val="1"/>
                <c:pt idx="0">
                  <c:v>combined cycle gas</c:v>
                </c:pt>
              </c:strCache>
            </c:strRef>
          </c:tx>
          <c:cat>
            <c:numRef>
              <c:f>'Output tables'!$AP$143:$BO$143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tables'!$AP$157:$BO$157</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289.79280673885734</c:v>
                </c:pt>
                <c:pt idx="18">
                  <c:v>752.39063444194448</c:v>
                </c:pt>
                <c:pt idx="19">
                  <c:v>1492.0118272273421</c:v>
                </c:pt>
                <c:pt idx="20">
                  <c:v>3813.8025300282393</c:v>
                </c:pt>
                <c:pt idx="21">
                  <c:v>7273.0179364751266</c:v>
                </c:pt>
                <c:pt idx="22">
                  <c:v>7740.9952394415341</c:v>
                </c:pt>
                <c:pt idx="23">
                  <c:v>4049.5565443293913</c:v>
                </c:pt>
                <c:pt idx="24">
                  <c:v>0</c:v>
                </c:pt>
                <c:pt idx="25">
                  <c:v>0</c:v>
                </c:pt>
              </c:numCache>
            </c:numRef>
          </c:val>
        </c:ser>
        <c:ser>
          <c:idx val="14"/>
          <c:order val="14"/>
          <c:tx>
            <c:strRef>
              <c:f>'Output tables'!$A$158</c:f>
              <c:strCache>
                <c:ptCount val="1"/>
                <c:pt idx="0">
                  <c:v>PBMR</c:v>
                </c:pt>
              </c:strCache>
            </c:strRef>
          </c:tx>
          <c:cat>
            <c:numRef>
              <c:f>'Output tables'!$AP$143:$BO$143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tables'!$AP$158:$BO$158</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5"/>
          <c:order val="15"/>
          <c:tx>
            <c:strRef>
              <c:f>'Output tables'!$A$159</c:f>
              <c:strCache>
                <c:ptCount val="1"/>
                <c:pt idx="0">
                  <c:v>IGCC</c:v>
                </c:pt>
              </c:strCache>
            </c:strRef>
          </c:tx>
          <c:cat>
            <c:numRef>
              <c:f>'Output tables'!$AP$143:$BO$143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tables'!$AP$159:$BO$159</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541.98332188943368</c:v>
                </c:pt>
                <c:pt idx="18">
                  <c:v>1138.1649759678107</c:v>
                </c:pt>
                <c:pt idx="19">
                  <c:v>1197.7831413756485</c:v>
                </c:pt>
                <c:pt idx="20">
                  <c:v>1848.7051109648582</c:v>
                </c:pt>
                <c:pt idx="21">
                  <c:v>3594.4875891029128</c:v>
                </c:pt>
                <c:pt idx="22">
                  <c:v>5612.4053129948707</c:v>
                </c:pt>
                <c:pt idx="23">
                  <c:v>7539.4438154557301</c:v>
                </c:pt>
                <c:pt idx="24">
                  <c:v>4274.4224678961855</c:v>
                </c:pt>
                <c:pt idx="25">
                  <c:v>0</c:v>
                </c:pt>
              </c:numCache>
            </c:numRef>
          </c:val>
        </c:ser>
        <c:ser>
          <c:idx val="16"/>
          <c:order val="16"/>
          <c:tx>
            <c:strRef>
              <c:f>'Output tables'!$A$160</c:f>
              <c:strCache>
                <c:ptCount val="1"/>
                <c:pt idx="0">
                  <c:v>-</c:v>
                </c:pt>
              </c:strCache>
            </c:strRef>
          </c:tx>
          <c:cat>
            <c:numRef>
              <c:f>'Output tables'!$AP$143:$BO$143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tables'!$AP$160:$BO$160</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7"/>
          <c:order val="17"/>
          <c:tx>
            <c:strRef>
              <c:f>'Output tables'!$A$161</c:f>
              <c:strCache>
                <c:ptCount val="1"/>
                <c:pt idx="0">
                  <c:v>-</c:v>
                </c:pt>
              </c:strCache>
            </c:strRef>
          </c:tx>
          <c:cat>
            <c:numRef>
              <c:f>'Output tables'!$AP$143:$BO$143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tables'!$AP$161:$BO$161</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8"/>
          <c:order val="18"/>
          <c:tx>
            <c:strRef>
              <c:f>'Output tables'!$A$162</c:f>
              <c:strCache>
                <c:ptCount val="1"/>
                <c:pt idx="0">
                  <c:v>-</c:v>
                </c:pt>
              </c:strCache>
            </c:strRef>
          </c:tx>
          <c:cat>
            <c:numRef>
              <c:f>'Output tables'!$AP$143:$BO$143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tables'!$AP$162:$BO$162</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9"/>
          <c:order val="19"/>
          <c:tx>
            <c:strRef>
              <c:f>'Output tables'!$A$163</c:f>
              <c:strCache>
                <c:ptCount val="1"/>
                <c:pt idx="0">
                  <c:v>Pumped storage</c:v>
                </c:pt>
              </c:strCache>
            </c:strRef>
          </c:tx>
          <c:cat>
            <c:numRef>
              <c:f>'Output tables'!$AP$143:$BO$143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tables'!$AP$163:$BO$163</c:f>
              <c:numCache>
                <c:formatCode>General</c:formatCode>
                <c:ptCount val="26"/>
                <c:pt idx="0">
                  <c:v>1152.7675173263508</c:v>
                </c:pt>
                <c:pt idx="1">
                  <c:v>1816.9811820715338</c:v>
                </c:pt>
                <c:pt idx="2">
                  <c:v>2704.4553312948201</c:v>
                </c:pt>
                <c:pt idx="3">
                  <c:v>3131.7399824278873</c:v>
                </c:pt>
                <c:pt idx="4">
                  <c:v>3601.7530986742613</c:v>
                </c:pt>
                <c:pt idx="5">
                  <c:v>4118.7675265452726</c:v>
                </c:pt>
                <c:pt idx="6">
                  <c:v>4530.6442791997997</c:v>
                </c:pt>
                <c:pt idx="7">
                  <c:v>4983.7087071197802</c:v>
                </c:pt>
                <c:pt idx="8">
                  <c:v>3909.8649865596035</c:v>
                </c:pt>
                <c:pt idx="9">
                  <c:v>2728.6368939434087</c:v>
                </c:pt>
                <c:pt idx="10">
                  <c:v>1429.2859920655951</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20"/>
          <c:order val="20"/>
          <c:tx>
            <c:strRef>
              <c:f>'Output tables'!$A$164</c:f>
              <c:strCache>
                <c:ptCount val="1"/>
                <c:pt idx="0">
                  <c:v>Demand reduction  (PV and SWH)</c:v>
                </c:pt>
              </c:strCache>
            </c:strRef>
          </c:tx>
          <c:spPr>
            <a:ln w="25400">
              <a:noFill/>
            </a:ln>
          </c:spPr>
          <c:cat>
            <c:numRef>
              <c:f>'Output tables'!$AP$143:$BO$143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tables'!$AP$164:$BO$164</c:f>
              <c:numCache>
                <c:formatCode>General</c:formatCode>
                <c:ptCount val="26"/>
                <c:pt idx="0">
                  <c:v>0</c:v>
                </c:pt>
                <c:pt idx="1">
                  <c:v>0</c:v>
                </c:pt>
                <c:pt idx="2">
                  <c:v>0</c:v>
                </c:pt>
                <c:pt idx="3">
                  <c:v>0</c:v>
                </c:pt>
                <c:pt idx="4">
                  <c:v>0</c:v>
                </c:pt>
                <c:pt idx="5">
                  <c:v>3351.7211896980557</c:v>
                </c:pt>
                <c:pt idx="6">
                  <c:v>3228.6179183161726</c:v>
                </c:pt>
                <c:pt idx="7">
                  <c:v>3105.514646934289</c:v>
                </c:pt>
                <c:pt idx="8">
                  <c:v>2982.4113755524058</c:v>
                </c:pt>
                <c:pt idx="9">
                  <c:v>2830.9943517526899</c:v>
                </c:pt>
                <c:pt idx="10">
                  <c:v>2679.5773279529726</c:v>
                </c:pt>
                <c:pt idx="11">
                  <c:v>2596.8026882757945</c:v>
                </c:pt>
                <c:pt idx="12">
                  <c:v>2514.0280485986159</c:v>
                </c:pt>
                <c:pt idx="13">
                  <c:v>2431.2534089214378</c:v>
                </c:pt>
                <c:pt idx="14">
                  <c:v>2363.3782043861515</c:v>
                </c:pt>
                <c:pt idx="15">
                  <c:v>4591.0059997017306</c:v>
                </c:pt>
                <c:pt idx="16">
                  <c:v>4455.2555906311582</c:v>
                </c:pt>
                <c:pt idx="17">
                  <c:v>4371.7690890527565</c:v>
                </c:pt>
                <c:pt idx="18">
                  <c:v>4288.2825874743539</c:v>
                </c:pt>
                <c:pt idx="19">
                  <c:v>4204.7960858959523</c:v>
                </c:pt>
                <c:pt idx="20">
                  <c:v>4121.3095843175506</c:v>
                </c:pt>
                <c:pt idx="21">
                  <c:v>4121.3095843175506</c:v>
                </c:pt>
                <c:pt idx="22">
                  <c:v>4121.3095843175506</c:v>
                </c:pt>
                <c:pt idx="23">
                  <c:v>4121.3095843175506</c:v>
                </c:pt>
                <c:pt idx="24">
                  <c:v>4121.3095843175506</c:v>
                </c:pt>
                <c:pt idx="25">
                  <c:v>4121.3095843175506</c:v>
                </c:pt>
              </c:numCache>
            </c:numRef>
          </c:val>
        </c:ser>
        <c:axId val="107735296"/>
        <c:axId val="107741184"/>
      </c:areaChart>
      <c:catAx>
        <c:axId val="107735296"/>
        <c:scaling>
          <c:orientation val="minMax"/>
        </c:scaling>
        <c:axPos val="b"/>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7741184"/>
        <c:crosses val="autoZero"/>
        <c:auto val="1"/>
        <c:lblAlgn val="ctr"/>
        <c:lblOffset val="100"/>
      </c:catAx>
      <c:valAx>
        <c:axId val="107741184"/>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R million</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7735296"/>
        <c:crosses val="autoZero"/>
        <c:crossBetween val="midCat"/>
      </c:valAx>
    </c:plotArea>
    <c:legend>
      <c:legendPos val="b"/>
      <c:layout>
        <c:manualLayout>
          <c:xMode val="edge"/>
          <c:yMode val="edge"/>
          <c:x val="3.4974043477980492E-2"/>
          <c:y val="0.64418438957266166"/>
          <c:w val="0.94644947022899906"/>
          <c:h val="0.35581561042733745"/>
        </c:manualLayout>
      </c:layout>
      <c:txPr>
        <a:bodyPr/>
        <a:lstStyle/>
        <a:p>
          <a:pPr>
            <a:defRPr lang="en-ZA" sz="845" b="0" i="0" u="none" strike="noStrike" baseline="0">
              <a:solidFill>
                <a:srgbClr val="000000"/>
              </a:solidFill>
              <a:latin typeface="Calibri"/>
              <a:ea typeface="Calibri"/>
              <a:cs typeface="Calibri"/>
            </a:defRPr>
          </a:pPr>
          <a:endParaRPr lang="en-US"/>
        </a:p>
      </c:txPr>
    </c:legend>
    <c:plotVisOnly val="1"/>
    <c:dispBlanksAs val="zero"/>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222" l="0.70000000000000062" r="0.70000000000000062" t="0.75000000000000222" header="0.30000000000000032" footer="0.30000000000000032"/>
    <c:pageSetup/>
  </c:printSettings>
</c:chartSpace>
</file>

<file path=xl/charts/chart35.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050" b="1" i="0" u="none" strike="noStrike" baseline="0">
                <a:solidFill>
                  <a:srgbClr val="000000"/>
                </a:solidFill>
                <a:latin typeface="Calibri"/>
                <a:ea typeface="Calibri"/>
                <a:cs typeface="Calibri"/>
              </a:defRPr>
            </a:pPr>
            <a:r>
              <a:rPr lang="en-ZA"/>
              <a:t>Annual investment requirement</a:t>
            </a:r>
          </a:p>
        </c:rich>
      </c:tx>
      <c:overlay val="1"/>
    </c:title>
    <c:plotArea>
      <c:layout>
        <c:manualLayout>
          <c:layoutTarget val="inner"/>
          <c:xMode val="edge"/>
          <c:yMode val="edge"/>
          <c:x val="0.15451618547681636"/>
          <c:y val="6.1014547094656674E-2"/>
          <c:w val="0.78676159230096232"/>
          <c:h val="0.50886813061410863"/>
        </c:manualLayout>
      </c:layout>
      <c:areaChart>
        <c:grouping val="stacked"/>
        <c:ser>
          <c:idx val="0"/>
          <c:order val="0"/>
          <c:tx>
            <c:strRef>
              <c:f>'Output tables'!$A$144</c:f>
              <c:strCache>
                <c:ptCount val="1"/>
                <c:pt idx="0">
                  <c:v>Existing coal Large</c:v>
                </c:pt>
              </c:strCache>
            </c:strRef>
          </c:tx>
          <c:cat>
            <c:numRef>
              <c:f>'Output tables'!$B$143:$AA$143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tables'!$B$144:$AA$144</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
          <c:order val="1"/>
          <c:tx>
            <c:strRef>
              <c:f>'Output tables'!$A$145</c:f>
              <c:strCache>
                <c:ptCount val="1"/>
                <c:pt idx="0">
                  <c:v>Existing coal Small</c:v>
                </c:pt>
              </c:strCache>
            </c:strRef>
          </c:tx>
          <c:cat>
            <c:numRef>
              <c:f>'Output tables'!$B$143:$AA$143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tables'!$B$145:$AA$145</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2"/>
          <c:order val="2"/>
          <c:tx>
            <c:strRef>
              <c:f>'Output tables'!$A$146</c:f>
              <c:strCache>
                <c:ptCount val="1"/>
                <c:pt idx="0">
                  <c:v>OCGT liquid fuels</c:v>
                </c:pt>
              </c:strCache>
            </c:strRef>
          </c:tx>
          <c:cat>
            <c:numRef>
              <c:f>'Output tables'!$B$143:$AA$143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tables'!$B$146:$AA$146</c:f>
              <c:numCache>
                <c:formatCode>General</c:formatCode>
                <c:ptCount val="26"/>
                <c:pt idx="0">
                  <c:v>0</c:v>
                </c:pt>
                <c:pt idx="1">
                  <c:v>0</c:v>
                </c:pt>
                <c:pt idx="2">
                  <c:v>0</c:v>
                </c:pt>
                <c:pt idx="3">
                  <c:v>299.85406508081212</c:v>
                </c:pt>
                <c:pt idx="4">
                  <c:v>1229.4016668313295</c:v>
                </c:pt>
                <c:pt idx="5">
                  <c:v>4650.7365494033957</c:v>
                </c:pt>
                <c:pt idx="6">
                  <c:v>0</c:v>
                </c:pt>
                <c:pt idx="7">
                  <c:v>0</c:v>
                </c:pt>
                <c:pt idx="8">
                  <c:v>0</c:v>
                </c:pt>
                <c:pt idx="9">
                  <c:v>0</c:v>
                </c:pt>
                <c:pt idx="10">
                  <c:v>0</c:v>
                </c:pt>
                <c:pt idx="11">
                  <c:v>0</c:v>
                </c:pt>
                <c:pt idx="12">
                  <c:v>0</c:v>
                </c:pt>
                <c:pt idx="13">
                  <c:v>0</c:v>
                </c:pt>
                <c:pt idx="14">
                  <c:v>0</c:v>
                </c:pt>
                <c:pt idx="15">
                  <c:v>199.90271005387473</c:v>
                </c:pt>
                <c:pt idx="16">
                  <c:v>819.6011112208862</c:v>
                </c:pt>
                <c:pt idx="17">
                  <c:v>3100.4910329355966</c:v>
                </c:pt>
                <c:pt idx="18">
                  <c:v>199.90271005387473</c:v>
                </c:pt>
                <c:pt idx="19">
                  <c:v>819.6011112208862</c:v>
                </c:pt>
                <c:pt idx="20">
                  <c:v>3100.4910329355966</c:v>
                </c:pt>
                <c:pt idx="21">
                  <c:v>199.90271005387473</c:v>
                </c:pt>
                <c:pt idx="22">
                  <c:v>819.6011112208862</c:v>
                </c:pt>
                <c:pt idx="23">
                  <c:v>3100.4910329355966</c:v>
                </c:pt>
                <c:pt idx="24">
                  <c:v>0</c:v>
                </c:pt>
                <c:pt idx="25">
                  <c:v>0</c:v>
                </c:pt>
              </c:numCache>
            </c:numRef>
          </c:val>
        </c:ser>
        <c:ser>
          <c:idx val="3"/>
          <c:order val="3"/>
          <c:tx>
            <c:strRef>
              <c:f>'Output tables'!$A$147</c:f>
              <c:strCache>
                <c:ptCount val="1"/>
                <c:pt idx="0">
                  <c:v>PWR nuclear</c:v>
                </c:pt>
              </c:strCache>
            </c:strRef>
          </c:tx>
          <c:cat>
            <c:numRef>
              <c:f>'Output tables'!$B$143:$AA$143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tables'!$B$147:$AA$147</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4"/>
          <c:order val="4"/>
          <c:tx>
            <c:strRef>
              <c:f>'Output tables'!$A$148</c:f>
              <c:strCache>
                <c:ptCount val="1"/>
                <c:pt idx="0">
                  <c:v>Hydro</c:v>
                </c:pt>
              </c:strCache>
            </c:strRef>
          </c:tx>
          <c:cat>
            <c:numRef>
              <c:f>'Output tables'!$B$143:$AA$143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tables'!$B$148:$AA$148</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5"/>
          <c:order val="5"/>
          <c:tx>
            <c:strRef>
              <c:f>'Output tables'!$A$149</c:f>
              <c:strCache>
                <c:ptCount val="1"/>
                <c:pt idx="0">
                  <c:v>Landfill gas</c:v>
                </c:pt>
              </c:strCache>
            </c:strRef>
          </c:tx>
          <c:cat>
            <c:numRef>
              <c:f>'Output tables'!$B$143:$AA$143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tables'!$B$149:$AA$149</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6"/>
          <c:order val="6"/>
          <c:tx>
            <c:strRef>
              <c:f>'Output tables'!$A$150</c:f>
              <c:strCache>
                <c:ptCount val="1"/>
                <c:pt idx="0">
                  <c:v>Biomass</c:v>
                </c:pt>
              </c:strCache>
            </c:strRef>
          </c:tx>
          <c:cat>
            <c:numRef>
              <c:f>'Output tables'!$B$143:$AA$143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tables'!$B$150:$AA$150</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7"/>
          <c:order val="7"/>
          <c:tx>
            <c:strRef>
              <c:f>'Output tables'!$A$151</c:f>
              <c:strCache>
                <c:ptCount val="1"/>
                <c:pt idx="0">
                  <c:v>Supercritical coal</c:v>
                </c:pt>
              </c:strCache>
            </c:strRef>
          </c:tx>
          <c:cat>
            <c:numRef>
              <c:f>'Output tables'!$B$143:$AA$143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tables'!$B$151:$AA$151</c:f>
              <c:numCache>
                <c:formatCode>General</c:formatCode>
                <c:ptCount val="26"/>
                <c:pt idx="0">
                  <c:v>0</c:v>
                </c:pt>
                <c:pt idx="1">
                  <c:v>663.75232174368716</c:v>
                </c:pt>
                <c:pt idx="2">
                  <c:v>2053.5222759085655</c:v>
                </c:pt>
                <c:pt idx="3">
                  <c:v>3813.0002183239285</c:v>
                </c:pt>
                <c:pt idx="4">
                  <c:v>9740.6803993905232</c:v>
                </c:pt>
                <c:pt idx="5">
                  <c:v>21245.764687606472</c:v>
                </c:pt>
                <c:pt idx="6">
                  <c:v>34313.993522929261</c:v>
                </c:pt>
                <c:pt idx="7">
                  <c:v>43505.386962536453</c:v>
                </c:pt>
                <c:pt idx="8">
                  <c:v>41373.521424703482</c:v>
                </c:pt>
                <c:pt idx="9">
                  <c:v>34708.857909120299</c:v>
                </c:pt>
                <c:pt idx="10">
                  <c:v>37940.691924532643</c:v>
                </c:pt>
                <c:pt idx="11">
                  <c:v>45394.067356270752</c:v>
                </c:pt>
                <c:pt idx="12">
                  <c:v>47015.681989247241</c:v>
                </c:pt>
                <c:pt idx="13">
                  <c:v>51503.338923124145</c:v>
                </c:pt>
                <c:pt idx="14">
                  <c:v>58477.174735643042</c:v>
                </c:pt>
                <c:pt idx="15">
                  <c:v>56640.067418795952</c:v>
                </c:pt>
                <c:pt idx="16">
                  <c:v>55069.273424150328</c:v>
                </c:pt>
                <c:pt idx="17">
                  <c:v>60000.483870990036</c:v>
                </c:pt>
                <c:pt idx="18">
                  <c:v>67090.983809082973</c:v>
                </c:pt>
                <c:pt idx="19">
                  <c:v>74288.037740997534</c:v>
                </c:pt>
                <c:pt idx="20">
                  <c:v>72662.922563527696</c:v>
                </c:pt>
                <c:pt idx="21">
                  <c:v>72909.761059705561</c:v>
                </c:pt>
                <c:pt idx="22">
                  <c:v>77194.778554316377</c:v>
                </c:pt>
                <c:pt idx="23">
                  <c:v>51550.631258786714</c:v>
                </c:pt>
                <c:pt idx="24">
                  <c:v>11797.18765209939</c:v>
                </c:pt>
                <c:pt idx="25">
                  <c:v>0</c:v>
                </c:pt>
              </c:numCache>
            </c:numRef>
          </c:val>
        </c:ser>
        <c:ser>
          <c:idx val="8"/>
          <c:order val="8"/>
          <c:tx>
            <c:strRef>
              <c:f>'Output tables'!$A$152</c:f>
              <c:strCache>
                <c:ptCount val="1"/>
                <c:pt idx="0">
                  <c:v>Wind 30% </c:v>
                </c:pt>
              </c:strCache>
            </c:strRef>
          </c:tx>
          <c:cat>
            <c:numRef>
              <c:f>'Output tables'!$B$143:$AA$143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tables'!$B$152:$AA$152</c:f>
              <c:numCache>
                <c:formatCode>General</c:formatCode>
                <c:ptCount val="26"/>
                <c:pt idx="0">
                  <c:v>0</c:v>
                </c:pt>
                <c:pt idx="1">
                  <c:v>0</c:v>
                </c:pt>
                <c:pt idx="2">
                  <c:v>75.703206024444654</c:v>
                </c:pt>
                <c:pt idx="3">
                  <c:v>310.38314470022311</c:v>
                </c:pt>
                <c:pt idx="4">
                  <c:v>1174.1567254391368</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9"/>
          <c:order val="9"/>
          <c:tx>
            <c:strRef>
              <c:f>'Output tables'!$A$153</c:f>
              <c:strCache>
                <c:ptCount val="1"/>
                <c:pt idx="0">
                  <c:v>Wind 25%</c:v>
                </c:pt>
              </c:strCache>
            </c:strRef>
          </c:tx>
          <c:cat>
            <c:numRef>
              <c:f>'Output tables'!$B$143:$AA$143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tables'!$B$153:$AA$153</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0"/>
          <c:order val="10"/>
          <c:tx>
            <c:strRef>
              <c:f>'Output tables'!$A$154</c:f>
              <c:strCache>
                <c:ptCount val="1"/>
                <c:pt idx="0">
                  <c:v>solar thermal central reciever</c:v>
                </c:pt>
              </c:strCache>
            </c:strRef>
          </c:tx>
          <c:cat>
            <c:numRef>
              <c:f>'Output tables'!$B$143:$AA$143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tables'!$B$154:$AA$154</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1"/>
          <c:order val="11"/>
          <c:tx>
            <c:strRef>
              <c:f>'Output tables'!$A$155</c:f>
              <c:strCache>
                <c:ptCount val="1"/>
                <c:pt idx="0">
                  <c:v>solar thermal trough</c:v>
                </c:pt>
              </c:strCache>
            </c:strRef>
          </c:tx>
          <c:cat>
            <c:numRef>
              <c:f>'Output tables'!$B$143:$AA$143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tables'!$B$155:$AA$155</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2"/>
          <c:order val="12"/>
          <c:tx>
            <c:strRef>
              <c:f>'Output tables'!$A$156</c:f>
              <c:strCache>
                <c:ptCount val="1"/>
                <c:pt idx="0">
                  <c:v>solar PV</c:v>
                </c:pt>
              </c:strCache>
            </c:strRef>
          </c:tx>
          <c:cat>
            <c:numRef>
              <c:f>'Output tables'!$B$143:$AA$143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tables'!$B$156:$AA$156</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3"/>
          <c:order val="13"/>
          <c:tx>
            <c:strRef>
              <c:f>'Output tables'!$A$157</c:f>
              <c:strCache>
                <c:ptCount val="1"/>
                <c:pt idx="0">
                  <c:v>combined cycle gas</c:v>
                </c:pt>
              </c:strCache>
            </c:strRef>
          </c:tx>
          <c:cat>
            <c:numRef>
              <c:f>'Output tables'!$B$143:$AA$143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tables'!$B$157:$AA$157</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4"/>
          <c:order val="14"/>
          <c:tx>
            <c:strRef>
              <c:f>'Output tables'!$A$158</c:f>
              <c:strCache>
                <c:ptCount val="1"/>
                <c:pt idx="0">
                  <c:v>PBMR</c:v>
                </c:pt>
              </c:strCache>
            </c:strRef>
          </c:tx>
          <c:cat>
            <c:numRef>
              <c:f>'Output tables'!$B$143:$AA$143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tables'!$B$158:$AA$158</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5"/>
          <c:order val="15"/>
          <c:tx>
            <c:strRef>
              <c:f>'Output tables'!$A$159</c:f>
              <c:strCache>
                <c:ptCount val="1"/>
                <c:pt idx="0">
                  <c:v>IGCC</c:v>
                </c:pt>
              </c:strCache>
            </c:strRef>
          </c:tx>
          <c:cat>
            <c:numRef>
              <c:f>'Output tables'!$B$143:$AA$143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tables'!$B$159:$AA$159</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6"/>
          <c:order val="16"/>
          <c:tx>
            <c:strRef>
              <c:f>'Output tables'!$A$160</c:f>
              <c:strCache>
                <c:ptCount val="1"/>
                <c:pt idx="0">
                  <c:v>-</c:v>
                </c:pt>
              </c:strCache>
            </c:strRef>
          </c:tx>
          <c:cat>
            <c:numRef>
              <c:f>'Output tables'!$B$143:$AA$143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tables'!$B$160:$AA$160</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7"/>
          <c:order val="17"/>
          <c:tx>
            <c:strRef>
              <c:f>'Output tables'!$A$161</c:f>
              <c:strCache>
                <c:ptCount val="1"/>
                <c:pt idx="0">
                  <c:v>-</c:v>
                </c:pt>
              </c:strCache>
            </c:strRef>
          </c:tx>
          <c:cat>
            <c:numRef>
              <c:f>'Output tables'!$B$143:$AA$143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tables'!$B$161:$AA$161</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8"/>
          <c:order val="18"/>
          <c:tx>
            <c:strRef>
              <c:f>'Output tables'!$A$162</c:f>
              <c:strCache>
                <c:ptCount val="1"/>
                <c:pt idx="0">
                  <c:v>-</c:v>
                </c:pt>
              </c:strCache>
            </c:strRef>
          </c:tx>
          <c:cat>
            <c:numRef>
              <c:f>'Output tables'!$B$143:$AA$143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tables'!$B$162:$AA$162</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9"/>
          <c:order val="19"/>
          <c:tx>
            <c:strRef>
              <c:f>'Output tables'!$A$163</c:f>
              <c:strCache>
                <c:ptCount val="1"/>
                <c:pt idx="0">
                  <c:v>Pumped storage</c:v>
                </c:pt>
              </c:strCache>
            </c:strRef>
          </c:tx>
          <c:cat>
            <c:numRef>
              <c:f>'Output tables'!$B$143:$AA$143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tables'!$B$163:$AA$163</c:f>
              <c:numCache>
                <c:formatCode>General</c:formatCode>
                <c:ptCount val="26"/>
                <c:pt idx="0">
                  <c:v>1152.7675173263508</c:v>
                </c:pt>
                <c:pt idx="1">
                  <c:v>1268.0442690589857</c:v>
                </c:pt>
                <c:pt idx="2">
                  <c:v>1551.6878139684695</c:v>
                </c:pt>
                <c:pt idx="3">
                  <c:v>1863.6957133689016</c:v>
                </c:pt>
                <c:pt idx="4">
                  <c:v>2050.0652847057918</c:v>
                </c:pt>
                <c:pt idx="5">
                  <c:v>2255.0718131763715</c:v>
                </c:pt>
                <c:pt idx="6">
                  <c:v>2480.5789944940079</c:v>
                </c:pt>
                <c:pt idx="7">
                  <c:v>2728.6368939434087</c:v>
                </c:pt>
                <c:pt idx="8">
                  <c:v>1429.2859920655951</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20"/>
          <c:order val="20"/>
          <c:tx>
            <c:strRef>
              <c:f>'Output tables'!$A$164</c:f>
              <c:strCache>
                <c:ptCount val="1"/>
                <c:pt idx="0">
                  <c:v>Demand reduction  (PV and SWH)</c:v>
                </c:pt>
              </c:strCache>
            </c:strRef>
          </c:tx>
          <c:spPr>
            <a:ln w="25400">
              <a:noFill/>
            </a:ln>
          </c:spPr>
          <c:cat>
            <c:numRef>
              <c:f>'Output tables'!$B$143:$AA$143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tables'!$B$164:$AA$164</c:f>
              <c:numCache>
                <c:formatCode>General</c:formatCode>
                <c:ptCount val="26"/>
                <c:pt idx="0">
                  <c:v>0</c:v>
                </c:pt>
                <c:pt idx="1">
                  <c:v>0</c:v>
                </c:pt>
                <c:pt idx="2">
                  <c:v>0</c:v>
                </c:pt>
                <c:pt idx="3">
                  <c:v>0</c:v>
                </c:pt>
                <c:pt idx="4">
                  <c:v>0</c:v>
                </c:pt>
                <c:pt idx="5">
                  <c:v>3351.7211896980557</c:v>
                </c:pt>
                <c:pt idx="6">
                  <c:v>3228.6179183161726</c:v>
                </c:pt>
                <c:pt idx="7">
                  <c:v>3105.514646934289</c:v>
                </c:pt>
                <c:pt idx="8">
                  <c:v>2982.4113755524058</c:v>
                </c:pt>
                <c:pt idx="9">
                  <c:v>2830.9943517526899</c:v>
                </c:pt>
                <c:pt idx="10">
                  <c:v>2679.5773279529726</c:v>
                </c:pt>
                <c:pt idx="11">
                  <c:v>2596.8026882757945</c:v>
                </c:pt>
                <c:pt idx="12">
                  <c:v>2514.0280485986159</c:v>
                </c:pt>
                <c:pt idx="13">
                  <c:v>2431.2534089214378</c:v>
                </c:pt>
                <c:pt idx="14">
                  <c:v>2363.3782043861515</c:v>
                </c:pt>
                <c:pt idx="15">
                  <c:v>4591.0059997017306</c:v>
                </c:pt>
                <c:pt idx="16">
                  <c:v>4455.2555906311582</c:v>
                </c:pt>
                <c:pt idx="17">
                  <c:v>4371.7690890527565</c:v>
                </c:pt>
                <c:pt idx="18">
                  <c:v>4288.2825874743539</c:v>
                </c:pt>
                <c:pt idx="19">
                  <c:v>4204.7960858959523</c:v>
                </c:pt>
                <c:pt idx="20">
                  <c:v>4121.3095843175506</c:v>
                </c:pt>
                <c:pt idx="21">
                  <c:v>4121.3095843175506</c:v>
                </c:pt>
                <c:pt idx="22">
                  <c:v>4121.3095843175506</c:v>
                </c:pt>
                <c:pt idx="23">
                  <c:v>4121.3095843175506</c:v>
                </c:pt>
                <c:pt idx="24">
                  <c:v>4121.3095843175506</c:v>
                </c:pt>
                <c:pt idx="25">
                  <c:v>4121.3095843175506</c:v>
                </c:pt>
              </c:numCache>
            </c:numRef>
          </c:val>
        </c:ser>
        <c:axId val="107867520"/>
        <c:axId val="107877504"/>
      </c:areaChart>
      <c:catAx>
        <c:axId val="107867520"/>
        <c:scaling>
          <c:orientation val="minMax"/>
        </c:scaling>
        <c:axPos val="b"/>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7877504"/>
        <c:crosses val="autoZero"/>
        <c:auto val="1"/>
        <c:lblAlgn val="ctr"/>
        <c:lblOffset val="100"/>
      </c:catAx>
      <c:valAx>
        <c:axId val="107877504"/>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R million</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7867520"/>
        <c:crosses val="autoZero"/>
        <c:crossBetween val="midCat"/>
      </c:valAx>
    </c:plotArea>
    <c:legend>
      <c:legendPos val="b"/>
      <c:layout>
        <c:manualLayout>
          <c:xMode val="edge"/>
          <c:yMode val="edge"/>
          <c:x val="8.6470098158971244E-4"/>
          <c:y val="0.66447822252834865"/>
          <c:w val="0.98995107711774699"/>
          <c:h val="0.33552177747165407"/>
        </c:manualLayout>
      </c:layout>
      <c:txPr>
        <a:bodyPr/>
        <a:lstStyle/>
        <a:p>
          <a:pPr>
            <a:defRPr lang="en-ZA" sz="845" b="0" i="0" u="none" strike="noStrike" baseline="0">
              <a:solidFill>
                <a:srgbClr val="000000"/>
              </a:solidFill>
              <a:latin typeface="Calibri"/>
              <a:ea typeface="Calibri"/>
              <a:cs typeface="Calibri"/>
            </a:defRPr>
          </a:pPr>
          <a:endParaRPr lang="en-US"/>
        </a:p>
      </c:txPr>
    </c:legend>
    <c:plotVisOnly val="1"/>
    <c:dispBlanksAs val="zero"/>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2" l="0.70000000000000062" r="0.70000000000000062" t="0.750000000000002" header="0.30000000000000032" footer="0.30000000000000032"/>
    <c:pageSetup/>
  </c:printSettings>
</c:chartSpace>
</file>

<file path=xl/charts/chart36.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0.20484532716992529"/>
          <c:y val="4.7924165729283805E-2"/>
          <c:w val="0.74863895744375575"/>
          <c:h val="0.64851963817022873"/>
        </c:manualLayout>
      </c:layout>
      <c:areaChart>
        <c:grouping val="stacked"/>
        <c:ser>
          <c:idx val="0"/>
          <c:order val="0"/>
          <c:tx>
            <c:strRef>
              <c:f>'Output tables'!$A$176</c:f>
              <c:strCache>
                <c:ptCount val="1"/>
                <c:pt idx="0">
                  <c:v>Annualised capital cost</c:v>
                </c:pt>
              </c:strCache>
            </c:strRef>
          </c:tx>
          <c:cat>
            <c:numRef>
              <c:f>'Output tables'!$BW$175:$CV$175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tables'!$BW$176:$CV$176</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
          <c:order val="1"/>
          <c:tx>
            <c:strRef>
              <c:f>'Output tables'!$A$177</c:f>
              <c:strCache>
                <c:ptCount val="1"/>
                <c:pt idx="0">
                  <c:v>Fixed O&amp;M</c:v>
                </c:pt>
              </c:strCache>
            </c:strRef>
          </c:tx>
          <c:cat>
            <c:numRef>
              <c:f>'Output tables'!$BW$175:$CV$175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tables'!$BW$177:$CV$177</c:f>
              <c:numCache>
                <c:formatCode>General</c:formatCode>
                <c:ptCount val="26"/>
                <c:pt idx="0">
                  <c:v>6048.8582920974877</c:v>
                </c:pt>
                <c:pt idx="1">
                  <c:v>6048.8582920974877</c:v>
                </c:pt>
                <c:pt idx="2">
                  <c:v>6048.8582920974877</c:v>
                </c:pt>
                <c:pt idx="3">
                  <c:v>6048.8582920974877</c:v>
                </c:pt>
                <c:pt idx="4">
                  <c:v>6048.8582920974877</c:v>
                </c:pt>
                <c:pt idx="5">
                  <c:v>6048.8582920974877</c:v>
                </c:pt>
                <c:pt idx="6">
                  <c:v>6048.8582920974877</c:v>
                </c:pt>
                <c:pt idx="7">
                  <c:v>6048.8582920974877</c:v>
                </c:pt>
                <c:pt idx="8">
                  <c:v>6048.8582920974877</c:v>
                </c:pt>
                <c:pt idx="9">
                  <c:v>6048.8582920974877</c:v>
                </c:pt>
                <c:pt idx="10">
                  <c:v>6048.8582920974877</c:v>
                </c:pt>
                <c:pt idx="11">
                  <c:v>6048.8582920974877</c:v>
                </c:pt>
                <c:pt idx="12">
                  <c:v>6048.8582920974877</c:v>
                </c:pt>
                <c:pt idx="13">
                  <c:v>6048.8582920974877</c:v>
                </c:pt>
                <c:pt idx="14">
                  <c:v>6048.8582920974877</c:v>
                </c:pt>
                <c:pt idx="15">
                  <c:v>6048.8582920974877</c:v>
                </c:pt>
                <c:pt idx="16">
                  <c:v>6048.8582920974877</c:v>
                </c:pt>
                <c:pt idx="17">
                  <c:v>6048.8582920974877</c:v>
                </c:pt>
                <c:pt idx="18">
                  <c:v>6048.8582920974877</c:v>
                </c:pt>
                <c:pt idx="19">
                  <c:v>5822.5546442686946</c:v>
                </c:pt>
                <c:pt idx="20">
                  <c:v>5596.2509964399023</c:v>
                </c:pt>
                <c:pt idx="21">
                  <c:v>5313.3714366539116</c:v>
                </c:pt>
                <c:pt idx="22">
                  <c:v>5030.4918768679208</c:v>
                </c:pt>
                <c:pt idx="23">
                  <c:v>4688.0587255480368</c:v>
                </c:pt>
                <c:pt idx="24">
                  <c:v>4003.1924229082706</c:v>
                </c:pt>
                <c:pt idx="25">
                  <c:v>3660.759271588387</c:v>
                </c:pt>
              </c:numCache>
            </c:numRef>
          </c:val>
        </c:ser>
        <c:ser>
          <c:idx val="2"/>
          <c:order val="2"/>
          <c:tx>
            <c:strRef>
              <c:f>'Output tables'!$A$178</c:f>
              <c:strCache>
                <c:ptCount val="1"/>
                <c:pt idx="0">
                  <c:v>Variable O&amp;M</c:v>
                </c:pt>
              </c:strCache>
            </c:strRef>
          </c:tx>
          <c:cat>
            <c:numRef>
              <c:f>'Output tables'!$BW$175:$CV$175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tables'!$BW$178:$CV$178</c:f>
              <c:numCache>
                <c:formatCode>General</c:formatCode>
                <c:ptCount val="26"/>
                <c:pt idx="0">
                  <c:v>1683.8151698604067</c:v>
                </c:pt>
                <c:pt idx="1">
                  <c:v>1683.8151698604067</c:v>
                </c:pt>
                <c:pt idx="2">
                  <c:v>1739.2841301648871</c:v>
                </c:pt>
                <c:pt idx="3">
                  <c:v>1758.6063755933469</c:v>
                </c:pt>
                <c:pt idx="4">
                  <c:v>1758.6063755933469</c:v>
                </c:pt>
                <c:pt idx="5">
                  <c:v>1800.1237409377582</c:v>
                </c:pt>
                <c:pt idx="6">
                  <c:v>1831.5966703478778</c:v>
                </c:pt>
                <c:pt idx="7">
                  <c:v>1866.5814170003246</c:v>
                </c:pt>
                <c:pt idx="8">
                  <c:v>1899.0774071754693</c:v>
                </c:pt>
                <c:pt idx="9">
                  <c:v>1900.7113850665073</c:v>
                </c:pt>
                <c:pt idx="10">
                  <c:v>1900.7113850665073</c:v>
                </c:pt>
                <c:pt idx="11">
                  <c:v>1900.7113850665073</c:v>
                </c:pt>
                <c:pt idx="12">
                  <c:v>1900.7113850665073</c:v>
                </c:pt>
                <c:pt idx="13">
                  <c:v>1900.7113850665073</c:v>
                </c:pt>
                <c:pt idx="14">
                  <c:v>1900.7113850665073</c:v>
                </c:pt>
                <c:pt idx="15">
                  <c:v>1900.7113850665073</c:v>
                </c:pt>
                <c:pt idx="16">
                  <c:v>1900.7113850665073</c:v>
                </c:pt>
                <c:pt idx="17">
                  <c:v>1900.7113850665073</c:v>
                </c:pt>
                <c:pt idx="18">
                  <c:v>1900.7113850665073</c:v>
                </c:pt>
                <c:pt idx="19">
                  <c:v>1829.6007887954358</c:v>
                </c:pt>
                <c:pt idx="20">
                  <c:v>1758.4901925243644</c:v>
                </c:pt>
                <c:pt idx="21">
                  <c:v>1669.6019471855252</c:v>
                </c:pt>
                <c:pt idx="22">
                  <c:v>1580.7137018466856</c:v>
                </c:pt>
                <c:pt idx="23">
                  <c:v>1473.1121416996696</c:v>
                </c:pt>
                <c:pt idx="24">
                  <c:v>1257.9090214056378</c:v>
                </c:pt>
                <c:pt idx="25">
                  <c:v>1150.3074612586215</c:v>
                </c:pt>
              </c:numCache>
            </c:numRef>
          </c:val>
        </c:ser>
        <c:ser>
          <c:idx val="3"/>
          <c:order val="3"/>
          <c:tx>
            <c:strRef>
              <c:f>'Output tables'!$A$179</c:f>
              <c:strCache>
                <c:ptCount val="1"/>
                <c:pt idx="0">
                  <c:v>Fuel cost</c:v>
                </c:pt>
              </c:strCache>
            </c:strRef>
          </c:tx>
          <c:cat>
            <c:numRef>
              <c:f>'Output tables'!$BW$175:$CV$175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tables'!$BW$179:$CV$179</c:f>
              <c:numCache>
                <c:formatCode>General</c:formatCode>
                <c:ptCount val="26"/>
                <c:pt idx="0">
                  <c:v>8523.1750722774159</c:v>
                </c:pt>
                <c:pt idx="1">
                  <c:v>10115.401768211486</c:v>
                </c:pt>
                <c:pt idx="2">
                  <c:v>12093.306174004372</c:v>
                </c:pt>
                <c:pt idx="3">
                  <c:v>12971.008064332525</c:v>
                </c:pt>
                <c:pt idx="4">
                  <c:v>12971.008064332525</c:v>
                </c:pt>
                <c:pt idx="5">
                  <c:v>13353.098874788571</c:v>
                </c:pt>
                <c:pt idx="6">
                  <c:v>13663.757606245945</c:v>
                </c:pt>
                <c:pt idx="7">
                  <c:v>14003.415577443595</c:v>
                </c:pt>
                <c:pt idx="8">
                  <c:v>14327.24658154128</c:v>
                </c:pt>
                <c:pt idx="9">
                  <c:v>14419.683183713039</c:v>
                </c:pt>
                <c:pt idx="10">
                  <c:v>14499.792534733666</c:v>
                </c:pt>
                <c:pt idx="11">
                  <c:v>14579.901885754294</c:v>
                </c:pt>
                <c:pt idx="12">
                  <c:v>14660.011236774921</c:v>
                </c:pt>
                <c:pt idx="13">
                  <c:v>14740.120587795551</c:v>
                </c:pt>
                <c:pt idx="14">
                  <c:v>14820.229938816179</c:v>
                </c:pt>
                <c:pt idx="15">
                  <c:v>14900.339289836807</c:v>
                </c:pt>
                <c:pt idx="16">
                  <c:v>14980.448640857434</c:v>
                </c:pt>
                <c:pt idx="17">
                  <c:v>15060.557991878062</c:v>
                </c:pt>
                <c:pt idx="18">
                  <c:v>15140.667342898691</c:v>
                </c:pt>
                <c:pt idx="19">
                  <c:v>14651.327531401908</c:v>
                </c:pt>
                <c:pt idx="20">
                  <c:v>14155.993518194417</c:v>
                </c:pt>
                <c:pt idx="21">
                  <c:v>13510.804462219186</c:v>
                </c:pt>
                <c:pt idx="22">
                  <c:v>12858.122654105562</c:v>
                </c:pt>
                <c:pt idx="23">
                  <c:v>12044.938208080182</c:v>
                </c:pt>
                <c:pt idx="24">
                  <c:v>10338.341658396081</c:v>
                </c:pt>
                <c:pt idx="25">
                  <c:v>9502.4817782676801</c:v>
                </c:pt>
              </c:numCache>
            </c:numRef>
          </c:val>
        </c:ser>
        <c:ser>
          <c:idx val="5"/>
          <c:order val="5"/>
          <c:tx>
            <c:strRef>
              <c:f>'Output tables'!$A$180</c:f>
              <c:strCache>
                <c:ptCount val="1"/>
                <c:pt idx="0">
                  <c:v>Carbon tax</c:v>
                </c:pt>
              </c:strCache>
            </c:strRef>
          </c:tx>
          <c:val>
            <c:numRef>
              <c:f>'Output tables'!$BW$180:$CV$180</c:f>
              <c:numCache>
                <c:formatCode>General</c:formatCode>
                <c:ptCount val="26"/>
                <c:pt idx="0">
                  <c:v>0</c:v>
                </c:pt>
                <c:pt idx="1">
                  <c:v>0</c:v>
                </c:pt>
                <c:pt idx="2">
                  <c:v>0</c:v>
                </c:pt>
                <c:pt idx="3">
                  <c:v>0</c:v>
                </c:pt>
                <c:pt idx="4">
                  <c:v>0</c:v>
                </c:pt>
                <c:pt idx="5">
                  <c:v>0</c:v>
                </c:pt>
                <c:pt idx="6">
                  <c:v>0</c:v>
                </c:pt>
                <c:pt idx="7">
                  <c:v>22653.308435134553</c:v>
                </c:pt>
                <c:pt idx="8">
                  <c:v>23047.688064995898</c:v>
                </c:pt>
                <c:pt idx="9">
                  <c:v>23067.518437678682</c:v>
                </c:pt>
                <c:pt idx="10">
                  <c:v>23067.518437678682</c:v>
                </c:pt>
                <c:pt idx="11">
                  <c:v>69202.555313036049</c:v>
                </c:pt>
                <c:pt idx="12">
                  <c:v>69202.555313036049</c:v>
                </c:pt>
                <c:pt idx="13">
                  <c:v>69202.555313036049</c:v>
                </c:pt>
                <c:pt idx="14">
                  <c:v>69202.555313036049</c:v>
                </c:pt>
                <c:pt idx="15">
                  <c:v>115337.59218839342</c:v>
                </c:pt>
                <c:pt idx="16">
                  <c:v>115337.59218839342</c:v>
                </c:pt>
                <c:pt idx="17">
                  <c:v>115337.59218839342</c:v>
                </c:pt>
                <c:pt idx="18">
                  <c:v>115337.59218839342</c:v>
                </c:pt>
                <c:pt idx="19">
                  <c:v>111022.51046824087</c:v>
                </c:pt>
                <c:pt idx="20">
                  <c:v>106707.42874808832</c:v>
                </c:pt>
                <c:pt idx="21">
                  <c:v>101313.57659789764</c:v>
                </c:pt>
                <c:pt idx="22">
                  <c:v>95919.724447706918</c:v>
                </c:pt>
                <c:pt idx="23">
                  <c:v>89390.324476423455</c:v>
                </c:pt>
                <c:pt idx="24">
                  <c:v>76331.524533856515</c:v>
                </c:pt>
                <c:pt idx="25">
                  <c:v>69802.124562573023</c:v>
                </c:pt>
              </c:numCache>
            </c:numRef>
          </c:val>
        </c:ser>
        <c:axId val="107923328"/>
        <c:axId val="107924864"/>
      </c:areaChart>
      <c:lineChart>
        <c:grouping val="standard"/>
        <c:ser>
          <c:idx val="4"/>
          <c:order val="4"/>
          <c:tx>
            <c:strRef>
              <c:f>'Output tables'!$A$181</c:f>
              <c:strCache>
                <c:ptCount val="1"/>
                <c:pt idx="0">
                  <c:v>Annual investment requirement</c:v>
                </c:pt>
              </c:strCache>
            </c:strRef>
          </c:tx>
          <c:marker>
            <c:symbol val="none"/>
          </c:marker>
          <c:cat>
            <c:numRef>
              <c:f>'Output tables'!$BW$175:$CV$175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tables'!$BW$181:$CV$181</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marker val="1"/>
        <c:axId val="107923328"/>
        <c:axId val="107924864"/>
      </c:lineChart>
      <c:catAx>
        <c:axId val="107923328"/>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07924864"/>
        <c:crosses val="autoZero"/>
        <c:auto val="1"/>
        <c:lblAlgn val="ctr"/>
        <c:lblOffset val="100"/>
      </c:catAx>
      <c:valAx>
        <c:axId val="107924864"/>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R million</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7923328"/>
        <c:crosses val="autoZero"/>
        <c:crossBetween val="between"/>
      </c:valAx>
    </c:plotArea>
    <c:legend>
      <c:legendPos val="b"/>
      <c:layout>
        <c:manualLayout>
          <c:xMode val="edge"/>
          <c:yMode val="edge"/>
          <c:x val="0"/>
          <c:y val="0.79735768506115157"/>
          <c:w val="0.89457359618598287"/>
          <c:h val="0.13539358727189021"/>
        </c:manualLayout>
      </c:layout>
      <c:txPr>
        <a:bodyPr/>
        <a:lstStyle/>
        <a:p>
          <a:pPr>
            <a:defRPr lang="en-ZA" sz="845" b="0" i="0" u="none" strike="noStrike" baseline="0">
              <a:solidFill>
                <a:srgbClr val="000000"/>
              </a:solidFill>
              <a:latin typeface="Calibri"/>
              <a:ea typeface="Calibri"/>
              <a:cs typeface="Calibri"/>
            </a:defRPr>
          </a:pPr>
          <a:endParaRPr lang="en-US"/>
        </a:p>
      </c:txPr>
    </c:legend>
    <c:plotVisOnly val="1"/>
    <c:dispBlanksAs val="zero"/>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2" l="0.70000000000000062" r="0.70000000000000062" t="0.750000000000002" header="0.30000000000000032" footer="0.30000000000000032"/>
    <c:pageSetup/>
  </c:printSettings>
</c:chartSpace>
</file>

<file path=xl/charts/chart37.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0.20484532716992537"/>
          <c:y val="4.7924165729283805E-2"/>
          <c:w val="0.74863895744375608"/>
          <c:h val="0.64851963817022873"/>
        </c:manualLayout>
      </c:layout>
      <c:areaChart>
        <c:grouping val="stacked"/>
        <c:ser>
          <c:idx val="0"/>
          <c:order val="0"/>
          <c:tx>
            <c:strRef>
              <c:f>'Output tables'!$A$185</c:f>
              <c:strCache>
                <c:ptCount val="1"/>
                <c:pt idx="0">
                  <c:v>Annualised capital cost</c:v>
                </c:pt>
              </c:strCache>
            </c:strRef>
          </c:tx>
          <c:cat>
            <c:numRef>
              <c:f>'Output tables'!$BW$175:$CV$175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tables'!$BW$185:$CV$185</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
          <c:order val="1"/>
          <c:tx>
            <c:strRef>
              <c:f>'Output tables'!$A$186</c:f>
              <c:strCache>
                <c:ptCount val="1"/>
                <c:pt idx="0">
                  <c:v>Fixed O&amp;M</c:v>
                </c:pt>
              </c:strCache>
            </c:strRef>
          </c:tx>
          <c:cat>
            <c:numRef>
              <c:f>'Output tables'!$BW$175:$CV$175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tables'!$BW$186:$CV$186</c:f>
              <c:numCache>
                <c:formatCode>General</c:formatCode>
                <c:ptCount val="26"/>
                <c:pt idx="0">
                  <c:v>6048.8582920974877</c:v>
                </c:pt>
                <c:pt idx="1">
                  <c:v>6048.8582920974877</c:v>
                </c:pt>
                <c:pt idx="2">
                  <c:v>6048.8582920974877</c:v>
                </c:pt>
                <c:pt idx="3">
                  <c:v>6048.8582920974877</c:v>
                </c:pt>
                <c:pt idx="4">
                  <c:v>6048.8582920974877</c:v>
                </c:pt>
                <c:pt idx="5">
                  <c:v>6048.8582920974877</c:v>
                </c:pt>
                <c:pt idx="6">
                  <c:v>6048.8582920974877</c:v>
                </c:pt>
                <c:pt idx="7">
                  <c:v>6048.8582920974877</c:v>
                </c:pt>
                <c:pt idx="8">
                  <c:v>6048.8582920974877</c:v>
                </c:pt>
                <c:pt idx="9">
                  <c:v>6048.8582920974877</c:v>
                </c:pt>
                <c:pt idx="10">
                  <c:v>6048.8582920974877</c:v>
                </c:pt>
                <c:pt idx="11">
                  <c:v>6048.8582920974877</c:v>
                </c:pt>
                <c:pt idx="12">
                  <c:v>6048.8582920974877</c:v>
                </c:pt>
                <c:pt idx="13">
                  <c:v>6048.8582920974877</c:v>
                </c:pt>
                <c:pt idx="14">
                  <c:v>6048.8582920974877</c:v>
                </c:pt>
                <c:pt idx="15">
                  <c:v>6048.8582920974877</c:v>
                </c:pt>
                <c:pt idx="16">
                  <c:v>6048.8582920974877</c:v>
                </c:pt>
                <c:pt idx="17">
                  <c:v>6048.8582920974877</c:v>
                </c:pt>
                <c:pt idx="18">
                  <c:v>6048.8582920974877</c:v>
                </c:pt>
                <c:pt idx="19">
                  <c:v>5822.5546442686946</c:v>
                </c:pt>
                <c:pt idx="20">
                  <c:v>5596.2509964399023</c:v>
                </c:pt>
                <c:pt idx="21">
                  <c:v>5313.3714366539116</c:v>
                </c:pt>
                <c:pt idx="22">
                  <c:v>5030.4918768679208</c:v>
                </c:pt>
                <c:pt idx="23">
                  <c:v>4688.0587255480368</c:v>
                </c:pt>
                <c:pt idx="24">
                  <c:v>4003.1924229082706</c:v>
                </c:pt>
                <c:pt idx="25">
                  <c:v>3660.759271588387</c:v>
                </c:pt>
              </c:numCache>
            </c:numRef>
          </c:val>
        </c:ser>
        <c:ser>
          <c:idx val="2"/>
          <c:order val="2"/>
          <c:tx>
            <c:strRef>
              <c:f>'Output tables'!$A$187</c:f>
              <c:strCache>
                <c:ptCount val="1"/>
                <c:pt idx="0">
                  <c:v>Variable O&amp;M</c:v>
                </c:pt>
              </c:strCache>
            </c:strRef>
          </c:tx>
          <c:cat>
            <c:numRef>
              <c:f>'Output tables'!$BW$175:$CV$175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tables'!$BW$187:$CV$187</c:f>
              <c:numCache>
                <c:formatCode>General</c:formatCode>
                <c:ptCount val="26"/>
                <c:pt idx="0">
                  <c:v>1683.8151698604067</c:v>
                </c:pt>
                <c:pt idx="1">
                  <c:v>1683.8151698604067</c:v>
                </c:pt>
                <c:pt idx="2">
                  <c:v>1739.2841301648871</c:v>
                </c:pt>
                <c:pt idx="3">
                  <c:v>1758.6063755933469</c:v>
                </c:pt>
                <c:pt idx="4">
                  <c:v>1758.6063755933469</c:v>
                </c:pt>
                <c:pt idx="5">
                  <c:v>1800.1237409377582</c:v>
                </c:pt>
                <c:pt idx="6">
                  <c:v>1827.2975999015682</c:v>
                </c:pt>
                <c:pt idx="7">
                  <c:v>1857.9832761077053</c:v>
                </c:pt>
                <c:pt idx="8">
                  <c:v>1881.8811253902302</c:v>
                </c:pt>
                <c:pt idx="9">
                  <c:v>1900.7113850665073</c:v>
                </c:pt>
                <c:pt idx="10">
                  <c:v>1900.7113850665073</c:v>
                </c:pt>
                <c:pt idx="11">
                  <c:v>1900.7113850665073</c:v>
                </c:pt>
                <c:pt idx="12">
                  <c:v>1900.7113850665073</c:v>
                </c:pt>
                <c:pt idx="13">
                  <c:v>1900.7113850665073</c:v>
                </c:pt>
                <c:pt idx="14">
                  <c:v>1900.7113850665073</c:v>
                </c:pt>
                <c:pt idx="15">
                  <c:v>1900.7113850665073</c:v>
                </c:pt>
                <c:pt idx="16">
                  <c:v>1900.7113850665073</c:v>
                </c:pt>
                <c:pt idx="17">
                  <c:v>1900.7113850665073</c:v>
                </c:pt>
                <c:pt idx="18">
                  <c:v>1856.2780733494371</c:v>
                </c:pt>
                <c:pt idx="19">
                  <c:v>1802.0819189832125</c:v>
                </c:pt>
                <c:pt idx="20">
                  <c:v>1758.4901925243644</c:v>
                </c:pt>
                <c:pt idx="21">
                  <c:v>1669.6019471855252</c:v>
                </c:pt>
                <c:pt idx="22">
                  <c:v>1580.7137018466856</c:v>
                </c:pt>
                <c:pt idx="23">
                  <c:v>1473.1121416996696</c:v>
                </c:pt>
                <c:pt idx="24">
                  <c:v>1257.9090214056378</c:v>
                </c:pt>
                <c:pt idx="25">
                  <c:v>1150.3074612586215</c:v>
                </c:pt>
              </c:numCache>
            </c:numRef>
          </c:val>
        </c:ser>
        <c:ser>
          <c:idx val="3"/>
          <c:order val="3"/>
          <c:tx>
            <c:strRef>
              <c:f>'Output tables'!$A$188</c:f>
              <c:strCache>
                <c:ptCount val="1"/>
                <c:pt idx="0">
                  <c:v>Fuel cost</c:v>
                </c:pt>
              </c:strCache>
            </c:strRef>
          </c:tx>
          <c:cat>
            <c:numRef>
              <c:f>'Output tables'!$BW$175:$CV$175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tables'!$BW$188:$CV$188</c:f>
              <c:numCache>
                <c:formatCode>General</c:formatCode>
                <c:ptCount val="26"/>
                <c:pt idx="0">
                  <c:v>8523.1750722774159</c:v>
                </c:pt>
                <c:pt idx="1">
                  <c:v>10115.401768211486</c:v>
                </c:pt>
                <c:pt idx="2">
                  <c:v>12093.306174004372</c:v>
                </c:pt>
                <c:pt idx="3">
                  <c:v>12971.008064332525</c:v>
                </c:pt>
                <c:pt idx="4">
                  <c:v>12971.008064332525</c:v>
                </c:pt>
                <c:pt idx="5">
                  <c:v>13353.098874788571</c:v>
                </c:pt>
                <c:pt idx="6">
                  <c:v>13631.686431701064</c:v>
                </c:pt>
                <c:pt idx="7">
                  <c:v>13938.910842200781</c:v>
                </c:pt>
                <c:pt idx="8">
                  <c:v>14197.512338749553</c:v>
                </c:pt>
                <c:pt idx="9">
                  <c:v>14419.683183713039</c:v>
                </c:pt>
                <c:pt idx="10">
                  <c:v>14499.792534733666</c:v>
                </c:pt>
                <c:pt idx="11">
                  <c:v>14579.901885754294</c:v>
                </c:pt>
                <c:pt idx="12">
                  <c:v>14660.011236774921</c:v>
                </c:pt>
                <c:pt idx="13">
                  <c:v>14740.120587795551</c:v>
                </c:pt>
                <c:pt idx="14">
                  <c:v>14820.229938816179</c:v>
                </c:pt>
                <c:pt idx="15">
                  <c:v>14900.339289836807</c:v>
                </c:pt>
                <c:pt idx="16">
                  <c:v>14980.448640857434</c:v>
                </c:pt>
                <c:pt idx="17">
                  <c:v>15060.557991878062</c:v>
                </c:pt>
                <c:pt idx="18">
                  <c:v>14786.720922133742</c:v>
                </c:pt>
                <c:pt idx="19">
                  <c:v>14430.958160453863</c:v>
                </c:pt>
                <c:pt idx="20">
                  <c:v>14155.993518194417</c:v>
                </c:pt>
                <c:pt idx="21">
                  <c:v>13510.804462219186</c:v>
                </c:pt>
                <c:pt idx="22">
                  <c:v>12858.122654105562</c:v>
                </c:pt>
                <c:pt idx="23">
                  <c:v>12044.938208080182</c:v>
                </c:pt>
                <c:pt idx="24">
                  <c:v>10338.341658396081</c:v>
                </c:pt>
                <c:pt idx="25">
                  <c:v>9502.4817782676801</c:v>
                </c:pt>
              </c:numCache>
            </c:numRef>
          </c:val>
        </c:ser>
        <c:ser>
          <c:idx val="5"/>
          <c:order val="5"/>
          <c:tx>
            <c:strRef>
              <c:f>'Output tables'!$A$189</c:f>
              <c:strCache>
                <c:ptCount val="1"/>
                <c:pt idx="0">
                  <c:v>Carbon tax</c:v>
                </c:pt>
              </c:strCache>
            </c:strRef>
          </c:tx>
          <c:val>
            <c:numRef>
              <c:f>'Output tables'!$BW$189:$CV$189</c:f>
              <c:numCache>
                <c:formatCode>General</c:formatCode>
                <c:ptCount val="26"/>
                <c:pt idx="0">
                  <c:v>0</c:v>
                </c:pt>
                <c:pt idx="1">
                  <c:v>0</c:v>
                </c:pt>
                <c:pt idx="2">
                  <c:v>0</c:v>
                </c:pt>
                <c:pt idx="3">
                  <c:v>0</c:v>
                </c:pt>
                <c:pt idx="4">
                  <c:v>0</c:v>
                </c:pt>
                <c:pt idx="5">
                  <c:v>0</c:v>
                </c:pt>
                <c:pt idx="6">
                  <c:v>0</c:v>
                </c:pt>
                <c:pt idx="7">
                  <c:v>22548.959202984657</c:v>
                </c:pt>
                <c:pt idx="8">
                  <c:v>22838.989600696103</c:v>
                </c:pt>
                <c:pt idx="9">
                  <c:v>23067.518437678682</c:v>
                </c:pt>
                <c:pt idx="10">
                  <c:v>23067.518437678682</c:v>
                </c:pt>
                <c:pt idx="11">
                  <c:v>69202.555313036049</c:v>
                </c:pt>
                <c:pt idx="12">
                  <c:v>69202.555313036049</c:v>
                </c:pt>
                <c:pt idx="13">
                  <c:v>69202.555313036049</c:v>
                </c:pt>
                <c:pt idx="14">
                  <c:v>69202.555313036049</c:v>
                </c:pt>
                <c:pt idx="15">
                  <c:v>115337.59218839342</c:v>
                </c:pt>
                <c:pt idx="16">
                  <c:v>115337.59218839342</c:v>
                </c:pt>
                <c:pt idx="17">
                  <c:v>115337.59218839342</c:v>
                </c:pt>
                <c:pt idx="18">
                  <c:v>112641.32213568162</c:v>
                </c:pt>
                <c:pt idx="19">
                  <c:v>109352.63033345299</c:v>
                </c:pt>
                <c:pt idx="20">
                  <c:v>106707.42874808832</c:v>
                </c:pt>
                <c:pt idx="21">
                  <c:v>101313.57659789764</c:v>
                </c:pt>
                <c:pt idx="22">
                  <c:v>95919.724447706918</c:v>
                </c:pt>
                <c:pt idx="23">
                  <c:v>89390.324476423455</c:v>
                </c:pt>
                <c:pt idx="24">
                  <c:v>76331.524533856515</c:v>
                </c:pt>
                <c:pt idx="25">
                  <c:v>69802.124562573023</c:v>
                </c:pt>
              </c:numCache>
            </c:numRef>
          </c:val>
        </c:ser>
        <c:axId val="107974016"/>
        <c:axId val="107979904"/>
      </c:areaChart>
      <c:lineChart>
        <c:grouping val="standard"/>
        <c:ser>
          <c:idx val="4"/>
          <c:order val="4"/>
          <c:tx>
            <c:strRef>
              <c:f>'Output tables'!$A$190</c:f>
              <c:strCache>
                <c:ptCount val="1"/>
                <c:pt idx="0">
                  <c:v>Annual investment requirement</c:v>
                </c:pt>
              </c:strCache>
            </c:strRef>
          </c:tx>
          <c:marker>
            <c:symbol val="none"/>
          </c:marker>
          <c:cat>
            <c:numRef>
              <c:f>'Output tables'!$BW$175:$CV$175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tables'!$BW$190:$CV$190</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marker val="1"/>
        <c:axId val="107974016"/>
        <c:axId val="107979904"/>
      </c:lineChart>
      <c:catAx>
        <c:axId val="107974016"/>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07979904"/>
        <c:crosses val="autoZero"/>
        <c:auto val="1"/>
        <c:lblAlgn val="ctr"/>
        <c:lblOffset val="100"/>
      </c:catAx>
      <c:valAx>
        <c:axId val="107979904"/>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R million</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7974016"/>
        <c:crosses val="autoZero"/>
        <c:crossBetween val="between"/>
      </c:valAx>
    </c:plotArea>
    <c:legend>
      <c:legendPos val="b"/>
      <c:layout>
        <c:manualLayout>
          <c:xMode val="edge"/>
          <c:yMode val="edge"/>
          <c:x val="0"/>
          <c:y val="0.82116727110356025"/>
          <c:w val="0.44840832875506481"/>
          <c:h val="0.17883275899661008"/>
        </c:manualLayout>
      </c:layout>
      <c:txPr>
        <a:bodyPr/>
        <a:lstStyle/>
        <a:p>
          <a:pPr>
            <a:defRPr lang="en-ZA" sz="845" b="0" i="0" u="none" strike="noStrike" baseline="0">
              <a:solidFill>
                <a:srgbClr val="000000"/>
              </a:solidFill>
              <a:latin typeface="Calibri"/>
              <a:ea typeface="Calibri"/>
              <a:cs typeface="Calibri"/>
            </a:defRPr>
          </a:pPr>
          <a:endParaRPr lang="en-US"/>
        </a:p>
      </c:txPr>
    </c:legend>
    <c:plotVisOnly val="1"/>
    <c:dispBlanksAs val="zero"/>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222" l="0.70000000000000062" r="0.70000000000000062" t="0.75000000000000222" header="0.30000000000000032" footer="0.30000000000000032"/>
    <c:pageSetup/>
  </c:printSettings>
</c:chartSpace>
</file>

<file path=xl/charts/chart38.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050" b="1" i="0" u="none" strike="noStrike" baseline="0">
                <a:solidFill>
                  <a:srgbClr val="000000"/>
                </a:solidFill>
                <a:latin typeface="Calibri"/>
                <a:ea typeface="Calibri"/>
                <a:cs typeface="Calibri"/>
              </a:defRPr>
            </a:pPr>
            <a:r>
              <a:rPr lang="en-ZA"/>
              <a:t>Electricity system greenhouse gases</a:t>
            </a:r>
          </a:p>
        </c:rich>
      </c:tx>
      <c:layout>
        <c:manualLayout>
          <c:xMode val="edge"/>
          <c:yMode val="edge"/>
          <c:x val="0.21840531297224247"/>
          <c:y val="5.8997852541159629E-3"/>
        </c:manualLayout>
      </c:layout>
      <c:overlay val="1"/>
    </c:title>
    <c:plotArea>
      <c:layout>
        <c:manualLayout>
          <c:layoutTarget val="inner"/>
          <c:xMode val="edge"/>
          <c:yMode val="edge"/>
          <c:x val="0.19233542372088985"/>
          <c:y val="6.8149025619585149E-2"/>
          <c:w val="0.74106496229956065"/>
          <c:h val="0.48472626762362797"/>
        </c:manualLayout>
      </c:layout>
      <c:areaChart>
        <c:grouping val="stacked"/>
        <c:ser>
          <c:idx val="0"/>
          <c:order val="0"/>
          <c:tx>
            <c:strRef>
              <c:f>'Output tables'!$A$224</c:f>
              <c:strCache>
                <c:ptCount val="1"/>
                <c:pt idx="0">
                  <c:v>Existing coal Large</c:v>
                </c:pt>
              </c:strCache>
            </c:strRef>
          </c:tx>
          <c:cat>
            <c:numRef>
              <c:f>'Output tables'!$B$223:$AA$223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tables'!$B$224:$AA$224</c:f>
              <c:numCache>
                <c:formatCode>General</c:formatCode>
                <c:ptCount val="26"/>
                <c:pt idx="0">
                  <c:v>205.31813431055303</c:v>
                </c:pt>
                <c:pt idx="1">
                  <c:v>205.31813431055303</c:v>
                </c:pt>
                <c:pt idx="2">
                  <c:v>212.08181220449086</c:v>
                </c:pt>
                <c:pt idx="3">
                  <c:v>214.43789466120785</c:v>
                </c:pt>
                <c:pt idx="4">
                  <c:v>214.43789466120785</c:v>
                </c:pt>
                <c:pt idx="5">
                  <c:v>219.50036716210047</c:v>
                </c:pt>
                <c:pt idx="6">
                  <c:v>223.33805865190286</c:v>
                </c:pt>
                <c:pt idx="7">
                  <c:v>227.60396802282463</c:v>
                </c:pt>
                <c:pt idx="8">
                  <c:v>231.56640772212245</c:v>
                </c:pt>
                <c:pt idx="9">
                  <c:v>231.76564888474982</c:v>
                </c:pt>
                <c:pt idx="10">
                  <c:v>231.76564888474982</c:v>
                </c:pt>
                <c:pt idx="11">
                  <c:v>231.76564888474982</c:v>
                </c:pt>
                <c:pt idx="12">
                  <c:v>231.76564888474982</c:v>
                </c:pt>
                <c:pt idx="13">
                  <c:v>231.76564888474982</c:v>
                </c:pt>
                <c:pt idx="14">
                  <c:v>231.76564888474982</c:v>
                </c:pt>
                <c:pt idx="15">
                  <c:v>231.76564888474982</c:v>
                </c:pt>
                <c:pt idx="16">
                  <c:v>231.76564888474982</c:v>
                </c:pt>
                <c:pt idx="17">
                  <c:v>231.76564888474982</c:v>
                </c:pt>
                <c:pt idx="18">
                  <c:v>231.76564888474982</c:v>
                </c:pt>
                <c:pt idx="19">
                  <c:v>223.09468830818147</c:v>
                </c:pt>
                <c:pt idx="20">
                  <c:v>214.42372773161313</c:v>
                </c:pt>
                <c:pt idx="21">
                  <c:v>203.58502701090265</c:v>
                </c:pt>
                <c:pt idx="22">
                  <c:v>192.74632629019214</c:v>
                </c:pt>
                <c:pt idx="23">
                  <c:v>179.62579383880583</c:v>
                </c:pt>
                <c:pt idx="24">
                  <c:v>153.3847289360331</c:v>
                </c:pt>
                <c:pt idx="25">
                  <c:v>140.26419648464673</c:v>
                </c:pt>
              </c:numCache>
            </c:numRef>
          </c:val>
        </c:ser>
        <c:ser>
          <c:idx val="1"/>
          <c:order val="1"/>
          <c:tx>
            <c:strRef>
              <c:f>'Output tables'!$A$225</c:f>
              <c:strCache>
                <c:ptCount val="1"/>
                <c:pt idx="0">
                  <c:v>Existing coal Small</c:v>
                </c:pt>
              </c:strCache>
            </c:strRef>
          </c:tx>
          <c:cat>
            <c:numRef>
              <c:f>'Output tables'!$B$223:$AA$223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tables'!$B$225:$AA$225</c:f>
              <c:numCache>
                <c:formatCode>General</c:formatCode>
                <c:ptCount val="26"/>
                <c:pt idx="0">
                  <c:v>14.164264318167939</c:v>
                </c:pt>
                <c:pt idx="1">
                  <c:v>14.164264318167939</c:v>
                </c:pt>
                <c:pt idx="2">
                  <c:v>14.164264318167939</c:v>
                </c:pt>
                <c:pt idx="3">
                  <c:v>14.164264318167939</c:v>
                </c:pt>
                <c:pt idx="4">
                  <c:v>14.164264318167939</c:v>
                </c:pt>
                <c:pt idx="5">
                  <c:v>15.944426509208181</c:v>
                </c:pt>
                <c:pt idx="6">
                  <c:v>16.997406780335936</c:v>
                </c:pt>
                <c:pt idx="7">
                  <c:v>16.997406780335936</c:v>
                </c:pt>
                <c:pt idx="8">
                  <c:v>16.997406780335936</c:v>
                </c:pt>
                <c:pt idx="9">
                  <c:v>16.997406780335936</c:v>
                </c:pt>
                <c:pt idx="10">
                  <c:v>16.997406780335936</c:v>
                </c:pt>
                <c:pt idx="11">
                  <c:v>16.899667274971357</c:v>
                </c:pt>
                <c:pt idx="12">
                  <c:v>16.801927769606777</c:v>
                </c:pt>
                <c:pt idx="13">
                  <c:v>16.671608429120667</c:v>
                </c:pt>
                <c:pt idx="14">
                  <c:v>16.54128908863456</c:v>
                </c:pt>
                <c:pt idx="15">
                  <c:v>14.065221619398496</c:v>
                </c:pt>
                <c:pt idx="16">
                  <c:v>11.589154150162432</c:v>
                </c:pt>
                <c:pt idx="17">
                  <c:v>11.589154150162432</c:v>
                </c:pt>
                <c:pt idx="18">
                  <c:v>11.589154150162432</c:v>
                </c:pt>
                <c:pt idx="19">
                  <c:v>11.589154150162432</c:v>
                </c:pt>
                <c:pt idx="20">
                  <c:v>10.448280723840154</c:v>
                </c:pt>
                <c:pt idx="21">
                  <c:v>9.3074072975178783</c:v>
                </c:pt>
                <c:pt idx="22">
                  <c:v>9.3074072975178783</c:v>
                </c:pt>
                <c:pt idx="23">
                  <c:v>9.3074072975178783</c:v>
                </c:pt>
                <c:pt idx="24">
                  <c:v>9.3074072975178783</c:v>
                </c:pt>
                <c:pt idx="25">
                  <c:v>9.3074072975178783</c:v>
                </c:pt>
              </c:numCache>
            </c:numRef>
          </c:val>
        </c:ser>
        <c:ser>
          <c:idx val="2"/>
          <c:order val="2"/>
          <c:tx>
            <c:strRef>
              <c:f>'Output tables'!$A$226</c:f>
              <c:strCache>
                <c:ptCount val="1"/>
                <c:pt idx="0">
                  <c:v>OCGT liquid fuels</c:v>
                </c:pt>
              </c:strCache>
            </c:strRef>
          </c:tx>
          <c:cat>
            <c:numRef>
              <c:f>'Output tables'!$B$223:$AA$223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tables'!$B$226:$AA$226</c:f>
              <c:numCache>
                <c:formatCode>General</c:formatCode>
                <c:ptCount val="26"/>
                <c:pt idx="0">
                  <c:v>0.55239991945704037</c:v>
                </c:pt>
                <c:pt idx="1">
                  <c:v>0.55239991945704037</c:v>
                </c:pt>
                <c:pt idx="2">
                  <c:v>0.55239991945704037</c:v>
                </c:pt>
                <c:pt idx="3">
                  <c:v>0.55239991945704037</c:v>
                </c:pt>
                <c:pt idx="4">
                  <c:v>0.55239991945704037</c:v>
                </c:pt>
                <c:pt idx="5">
                  <c:v>0.55239991945704037</c:v>
                </c:pt>
                <c:pt idx="6">
                  <c:v>0.80097988321270841</c:v>
                </c:pt>
                <c:pt idx="7">
                  <c:v>0.80097988321270841</c:v>
                </c:pt>
                <c:pt idx="8">
                  <c:v>0.80097988321270841</c:v>
                </c:pt>
                <c:pt idx="9">
                  <c:v>0.80097988321270841</c:v>
                </c:pt>
                <c:pt idx="10">
                  <c:v>0.80097988321270841</c:v>
                </c:pt>
                <c:pt idx="11">
                  <c:v>0.80097988321270841</c:v>
                </c:pt>
                <c:pt idx="12">
                  <c:v>0.80097988321270841</c:v>
                </c:pt>
                <c:pt idx="13">
                  <c:v>0.80097988321270841</c:v>
                </c:pt>
                <c:pt idx="14">
                  <c:v>0.80097988321270841</c:v>
                </c:pt>
                <c:pt idx="15">
                  <c:v>0.80097988321270841</c:v>
                </c:pt>
                <c:pt idx="16">
                  <c:v>0.80097988321270841</c:v>
                </c:pt>
                <c:pt idx="17">
                  <c:v>0.80097988321270841</c:v>
                </c:pt>
                <c:pt idx="18">
                  <c:v>0.96669985904982081</c:v>
                </c:pt>
                <c:pt idx="19">
                  <c:v>0.96669985904982081</c:v>
                </c:pt>
                <c:pt idx="20">
                  <c:v>0.96669985904982081</c:v>
                </c:pt>
                <c:pt idx="21">
                  <c:v>1.1324198348869328</c:v>
                </c:pt>
                <c:pt idx="22">
                  <c:v>1.1324198348869328</c:v>
                </c:pt>
                <c:pt idx="23">
                  <c:v>1.1324198348869328</c:v>
                </c:pt>
                <c:pt idx="24">
                  <c:v>1.2981398107240447</c:v>
                </c:pt>
                <c:pt idx="25">
                  <c:v>1.2587813164627306</c:v>
                </c:pt>
              </c:numCache>
            </c:numRef>
          </c:val>
        </c:ser>
        <c:ser>
          <c:idx val="3"/>
          <c:order val="3"/>
          <c:tx>
            <c:strRef>
              <c:f>'Output tables'!$A$227</c:f>
              <c:strCache>
                <c:ptCount val="1"/>
                <c:pt idx="0">
                  <c:v>PWR nuclear</c:v>
                </c:pt>
              </c:strCache>
            </c:strRef>
          </c:tx>
          <c:cat>
            <c:numRef>
              <c:f>'Output tables'!$B$223:$AA$223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tables'!$B$227:$AA$227</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4"/>
          <c:order val="4"/>
          <c:tx>
            <c:strRef>
              <c:f>'Output tables'!$A$228</c:f>
              <c:strCache>
                <c:ptCount val="1"/>
                <c:pt idx="0">
                  <c:v>Hydro</c:v>
                </c:pt>
              </c:strCache>
            </c:strRef>
          </c:tx>
          <c:cat>
            <c:numRef>
              <c:f>'Output tables'!$B$223:$AA$223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tables'!$B$228:$AA$228</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5"/>
          <c:order val="5"/>
          <c:tx>
            <c:strRef>
              <c:f>'Output tables'!$A$229</c:f>
              <c:strCache>
                <c:ptCount val="1"/>
                <c:pt idx="0">
                  <c:v>Landfill gas</c:v>
                </c:pt>
              </c:strCache>
            </c:strRef>
          </c:tx>
          <c:cat>
            <c:numRef>
              <c:f>'Output tables'!$B$223:$AA$223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tables'!$B$229:$AA$229</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6"/>
          <c:order val="6"/>
          <c:tx>
            <c:strRef>
              <c:f>'Output tables'!$A$230</c:f>
              <c:strCache>
                <c:ptCount val="1"/>
                <c:pt idx="0">
                  <c:v>Biomass</c:v>
                </c:pt>
              </c:strCache>
            </c:strRef>
          </c:tx>
          <c:cat>
            <c:numRef>
              <c:f>'Output tables'!$B$223:$AA$223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tables'!$B$230:$AA$230</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7"/>
          <c:order val="7"/>
          <c:tx>
            <c:strRef>
              <c:f>'Output tables'!$A$231</c:f>
              <c:strCache>
                <c:ptCount val="1"/>
                <c:pt idx="0">
                  <c:v>Supercritical coal</c:v>
                </c:pt>
              </c:strCache>
            </c:strRef>
          </c:tx>
          <c:cat>
            <c:numRef>
              <c:f>'Output tables'!$B$223:$AA$223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tables'!$B$231:$AA$231</c:f>
              <c:numCache>
                <c:formatCode>General</c:formatCode>
                <c:ptCount val="26"/>
                <c:pt idx="0">
                  <c:v>0</c:v>
                </c:pt>
                <c:pt idx="1">
                  <c:v>0</c:v>
                </c:pt>
                <c:pt idx="2">
                  <c:v>0</c:v>
                </c:pt>
                <c:pt idx="3">
                  <c:v>0</c:v>
                </c:pt>
                <c:pt idx="4">
                  <c:v>0</c:v>
                </c:pt>
                <c:pt idx="5">
                  <c:v>0</c:v>
                </c:pt>
                <c:pt idx="6">
                  <c:v>0</c:v>
                </c:pt>
                <c:pt idx="7">
                  <c:v>1.5897728804899998</c:v>
                </c:pt>
                <c:pt idx="8">
                  <c:v>4.76931864147</c:v>
                </c:pt>
                <c:pt idx="9">
                  <c:v>12.941522995109445</c:v>
                </c:pt>
                <c:pt idx="10">
                  <c:v>20.752734510708375</c:v>
                </c:pt>
                <c:pt idx="11">
                  <c:v>29.072633915251078</c:v>
                </c:pt>
                <c:pt idx="12">
                  <c:v>37.256963286151127</c:v>
                </c:pt>
                <c:pt idx="13">
                  <c:v>45.910448324008541</c:v>
                </c:pt>
                <c:pt idx="14">
                  <c:v>54.965622350437165</c:v>
                </c:pt>
                <c:pt idx="15">
                  <c:v>65.851537713376061</c:v>
                </c:pt>
                <c:pt idx="16">
                  <c:v>77.209437637886197</c:v>
                </c:pt>
                <c:pt idx="17">
                  <c:v>86.824099733765138</c:v>
                </c:pt>
                <c:pt idx="18">
                  <c:v>96.920529941090919</c:v>
                </c:pt>
                <c:pt idx="19">
                  <c:v>115.71725469652476</c:v>
                </c:pt>
                <c:pt idx="20">
                  <c:v>135.85144693636423</c:v>
                </c:pt>
                <c:pt idx="21">
                  <c:v>158.73091336126248</c:v>
                </c:pt>
                <c:pt idx="22">
                  <c:v>181.43555848727209</c:v>
                </c:pt>
                <c:pt idx="23">
                  <c:v>206.67928887579041</c:v>
                </c:pt>
                <c:pt idx="24">
                  <c:v>244.36091197914661</c:v>
                </c:pt>
                <c:pt idx="25">
                  <c:v>266.58849708575184</c:v>
                </c:pt>
              </c:numCache>
            </c:numRef>
          </c:val>
        </c:ser>
        <c:ser>
          <c:idx val="8"/>
          <c:order val="8"/>
          <c:tx>
            <c:strRef>
              <c:f>'Output tables'!$A$232</c:f>
              <c:strCache>
                <c:ptCount val="1"/>
                <c:pt idx="0">
                  <c:v>Wind 30% </c:v>
                </c:pt>
              </c:strCache>
            </c:strRef>
          </c:tx>
          <c:cat>
            <c:numRef>
              <c:f>'Output tables'!$B$223:$AA$223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tables'!$B$232:$AA$232</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9"/>
          <c:order val="9"/>
          <c:tx>
            <c:strRef>
              <c:f>'Output tables'!$A$233</c:f>
              <c:strCache>
                <c:ptCount val="1"/>
                <c:pt idx="0">
                  <c:v>Wind 25%</c:v>
                </c:pt>
              </c:strCache>
            </c:strRef>
          </c:tx>
          <c:cat>
            <c:numRef>
              <c:f>'Output tables'!$B$223:$AA$223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tables'!$B$233:$AA$233</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0"/>
          <c:order val="10"/>
          <c:tx>
            <c:strRef>
              <c:f>'Output tables'!$A$234</c:f>
              <c:strCache>
                <c:ptCount val="1"/>
                <c:pt idx="0">
                  <c:v>solar thermal central reciever</c:v>
                </c:pt>
              </c:strCache>
            </c:strRef>
          </c:tx>
          <c:cat>
            <c:numRef>
              <c:f>'Output tables'!$B$223:$AA$223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tables'!$B$234:$AA$234</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1"/>
          <c:order val="11"/>
          <c:tx>
            <c:strRef>
              <c:f>'Output tables'!$A$235</c:f>
              <c:strCache>
                <c:ptCount val="1"/>
                <c:pt idx="0">
                  <c:v>solar thermal trough</c:v>
                </c:pt>
              </c:strCache>
            </c:strRef>
          </c:tx>
          <c:cat>
            <c:numRef>
              <c:f>'Output tables'!$B$223:$AA$223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tables'!$B$235:$AA$235</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2"/>
          <c:order val="12"/>
          <c:tx>
            <c:strRef>
              <c:f>'Output tables'!$A$236</c:f>
              <c:strCache>
                <c:ptCount val="1"/>
                <c:pt idx="0">
                  <c:v>solar PV</c:v>
                </c:pt>
              </c:strCache>
            </c:strRef>
          </c:tx>
          <c:cat>
            <c:numRef>
              <c:f>'Output tables'!$B$223:$AA$223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tables'!$B$236:$AA$236</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3"/>
          <c:order val="13"/>
          <c:tx>
            <c:strRef>
              <c:f>'Output tables'!$A$237</c:f>
              <c:strCache>
                <c:ptCount val="1"/>
                <c:pt idx="0">
                  <c:v>combined cycle gas</c:v>
                </c:pt>
              </c:strCache>
            </c:strRef>
          </c:tx>
          <c:cat>
            <c:numRef>
              <c:f>'Output tables'!$B$223:$AA$223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tables'!$B$237:$AA$237</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4"/>
          <c:order val="14"/>
          <c:tx>
            <c:strRef>
              <c:f>'Output tables'!$A$238</c:f>
              <c:strCache>
                <c:ptCount val="1"/>
                <c:pt idx="0">
                  <c:v>PBMR</c:v>
                </c:pt>
              </c:strCache>
            </c:strRef>
          </c:tx>
          <c:cat>
            <c:numRef>
              <c:f>'Output tables'!$B$223:$AA$223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tables'!$B$238:$AA$238</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5"/>
          <c:order val="15"/>
          <c:tx>
            <c:strRef>
              <c:f>'Output tables'!$A$239</c:f>
              <c:strCache>
                <c:ptCount val="1"/>
                <c:pt idx="0">
                  <c:v>IGCC</c:v>
                </c:pt>
              </c:strCache>
            </c:strRef>
          </c:tx>
          <c:cat>
            <c:numRef>
              <c:f>'Output tables'!$B$223:$AA$223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tables'!$B$239:$AA$239</c:f>
              <c:numCache>
                <c:formatCode>General</c:formatCode>
                <c:ptCount val="26"/>
                <c:pt idx="0">
                  <c:v>0</c:v>
                </c:pt>
                <c:pt idx="1">
                  <c:v>2.602576242861687E-14</c:v>
                </c:pt>
                <c:pt idx="2">
                  <c:v>0</c:v>
                </c:pt>
                <c:pt idx="3">
                  <c:v>2.602576242861687E-14</c:v>
                </c:pt>
                <c:pt idx="4">
                  <c:v>2.602576242861687E-14</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6"/>
          <c:order val="16"/>
          <c:tx>
            <c:strRef>
              <c:f>'Output tables'!$A$240</c:f>
              <c:strCache>
                <c:ptCount val="1"/>
                <c:pt idx="0">
                  <c:v>-</c:v>
                </c:pt>
              </c:strCache>
            </c:strRef>
          </c:tx>
          <c:cat>
            <c:numRef>
              <c:f>'Output tables'!$B$223:$AA$223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tables'!$B$240:$AA$240</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7"/>
          <c:order val="17"/>
          <c:tx>
            <c:strRef>
              <c:f>'Output tables'!$A$241</c:f>
              <c:strCache>
                <c:ptCount val="1"/>
                <c:pt idx="0">
                  <c:v>-</c:v>
                </c:pt>
              </c:strCache>
            </c:strRef>
          </c:tx>
          <c:cat>
            <c:numRef>
              <c:f>'Output tables'!$B$223:$AA$223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tables'!$B$241:$AA$241</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8"/>
          <c:order val="18"/>
          <c:tx>
            <c:strRef>
              <c:f>'Output tables'!$A$242</c:f>
              <c:strCache>
                <c:ptCount val="1"/>
                <c:pt idx="0">
                  <c:v>-</c:v>
                </c:pt>
              </c:strCache>
            </c:strRef>
          </c:tx>
          <c:cat>
            <c:numRef>
              <c:f>'Output tables'!$B$223:$AA$223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tables'!$B$242:$AA$242</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9"/>
          <c:order val="19"/>
          <c:tx>
            <c:strRef>
              <c:f>'Output tables'!$A$243</c:f>
              <c:strCache>
                <c:ptCount val="1"/>
                <c:pt idx="0">
                  <c:v>Pumped storage</c:v>
                </c:pt>
              </c:strCache>
            </c:strRef>
          </c:tx>
          <c:cat>
            <c:numRef>
              <c:f>'Output tables'!$B$223:$AA$223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tables'!$B$243:$AA$243</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axId val="108242048"/>
        <c:axId val="108243584"/>
      </c:areaChart>
      <c:catAx>
        <c:axId val="108242048"/>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08243584"/>
        <c:crosses val="autoZero"/>
        <c:auto val="1"/>
        <c:lblAlgn val="ctr"/>
        <c:lblOffset val="100"/>
      </c:catAx>
      <c:valAx>
        <c:axId val="108243584"/>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 CO2-eq</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8242048"/>
        <c:crosses val="autoZero"/>
        <c:crossBetween val="midCat"/>
      </c:valAx>
    </c:plotArea>
    <c:legend>
      <c:legendPos val="b"/>
      <c:layout>
        <c:manualLayout>
          <c:xMode val="edge"/>
          <c:yMode val="edge"/>
          <c:x val="1.4929611071343354E-2"/>
          <c:y val="0.66274588403722334"/>
          <c:w val="0.92942813966436011"/>
          <c:h val="0.31955499880696775"/>
        </c:manualLayout>
      </c:layout>
      <c:txPr>
        <a:bodyPr/>
        <a:lstStyle/>
        <a:p>
          <a:pPr>
            <a:defRPr lang="en-ZA" sz="845" b="0" i="0" u="none" strike="noStrike" baseline="0">
              <a:solidFill>
                <a:srgbClr val="000000"/>
              </a:solidFill>
              <a:latin typeface="Calibri"/>
              <a:ea typeface="Calibri"/>
              <a:cs typeface="Calibri"/>
            </a:defRPr>
          </a:pPr>
          <a:endParaRPr lang="en-US"/>
        </a:p>
      </c:txPr>
    </c:legend>
    <c:plotVisOnly val="1"/>
    <c:dispBlanksAs val="zero"/>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178" l="0.70000000000000062" r="0.70000000000000062" t="0.75000000000000178" header="0.30000000000000032" footer="0.30000000000000032"/>
    <c:pageSetup/>
  </c:printSettings>
</c:chartSpace>
</file>

<file path=xl/charts/chart39.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050" b="1" i="0" u="none" strike="noStrike" baseline="0">
                <a:solidFill>
                  <a:srgbClr val="000000"/>
                </a:solidFill>
                <a:latin typeface="Calibri"/>
                <a:ea typeface="Calibri"/>
                <a:cs typeface="Calibri"/>
              </a:defRPr>
            </a:pPr>
            <a:r>
              <a:rPr lang="en-ZA"/>
              <a:t>SOx emissions</a:t>
            </a:r>
          </a:p>
        </c:rich>
      </c:tx>
    </c:title>
    <c:plotArea>
      <c:layout>
        <c:manualLayout>
          <c:layoutTarget val="inner"/>
          <c:xMode val="edge"/>
          <c:yMode val="edge"/>
          <c:x val="0.22583305762968187"/>
          <c:y val="0.11860843721342183"/>
          <c:w val="0.71595344004549832"/>
          <c:h val="0.64309170738920141"/>
        </c:manualLayout>
      </c:layout>
      <c:lineChart>
        <c:grouping val="standard"/>
        <c:ser>
          <c:idx val="0"/>
          <c:order val="0"/>
          <c:tx>
            <c:strRef>
              <c:f>'Output tables'!$A$259</c:f>
              <c:strCache>
                <c:ptCount val="1"/>
                <c:pt idx="0">
                  <c:v>SOx emissions</c:v>
                </c:pt>
              </c:strCache>
            </c:strRef>
          </c:tx>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tables'!$B$259:$AA$259</c:f>
              <c:numCache>
                <c:formatCode>General</c:formatCode>
                <c:ptCount val="26"/>
                <c:pt idx="0">
                  <c:v>1.3313893391371041</c:v>
                </c:pt>
                <c:pt idx="1">
                  <c:v>1.3313893391371041</c:v>
                </c:pt>
                <c:pt idx="2">
                  <c:v>1.3751866101901404</c:v>
                </c:pt>
                <c:pt idx="3">
                  <c:v>1.3904430998690211</c:v>
                </c:pt>
                <c:pt idx="4">
                  <c:v>1.3904430998690211</c:v>
                </c:pt>
                <c:pt idx="5">
                  <c:v>1.4232244480936109</c:v>
                </c:pt>
                <c:pt idx="6">
                  <c:v>1.4489208243110523</c:v>
                </c:pt>
                <c:pt idx="7">
                  <c:v>1.4765441369429868</c:v>
                </c:pt>
                <c:pt idx="8">
                  <c:v>1.5022023732254983</c:v>
                </c:pt>
                <c:pt idx="9">
                  <c:v>1.503492532121494</c:v>
                </c:pt>
                <c:pt idx="10">
                  <c:v>1.503492532121494</c:v>
                </c:pt>
                <c:pt idx="11">
                  <c:v>1.503492532121494</c:v>
                </c:pt>
                <c:pt idx="12">
                  <c:v>1.503492532121494</c:v>
                </c:pt>
                <c:pt idx="13">
                  <c:v>1.503492532121494</c:v>
                </c:pt>
                <c:pt idx="14">
                  <c:v>1.503492532121494</c:v>
                </c:pt>
                <c:pt idx="15">
                  <c:v>1.503492532121494</c:v>
                </c:pt>
                <c:pt idx="16">
                  <c:v>1.503492532121494</c:v>
                </c:pt>
                <c:pt idx="17">
                  <c:v>1.503492532121494</c:v>
                </c:pt>
                <c:pt idx="18">
                  <c:v>1.5040564853896354</c:v>
                </c:pt>
                <c:pt idx="19">
                  <c:v>1.4479088662070998</c:v>
                </c:pt>
                <c:pt idx="20">
                  <c:v>1.3917612470245642</c:v>
                </c:pt>
                <c:pt idx="21">
                  <c:v>1.3221406763145358</c:v>
                </c:pt>
                <c:pt idx="22">
                  <c:v>1.251956152336366</c:v>
                </c:pt>
                <c:pt idx="23">
                  <c:v>1.1669959390996345</c:v>
                </c:pt>
                <c:pt idx="24">
                  <c:v>0.99763946589431252</c:v>
                </c:pt>
                <c:pt idx="25">
                  <c:v>0.91254531375639703</c:v>
                </c:pt>
              </c:numCache>
            </c:numRef>
          </c:val>
        </c:ser>
        <c:marker val="1"/>
        <c:axId val="106750720"/>
        <c:axId val="106752256"/>
      </c:lineChart>
      <c:catAx>
        <c:axId val="106750720"/>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06752256"/>
        <c:crosses val="autoZero"/>
        <c:auto val="1"/>
        <c:lblAlgn val="ctr"/>
        <c:lblOffset val="100"/>
      </c:catAx>
      <c:valAx>
        <c:axId val="106752256"/>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6750720"/>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178" l="0.70000000000000062" r="0.70000000000000062" t="0.75000000000000178" header="0.30000000000000032" footer="0.30000000000000032"/>
    <c:pageSetup/>
  </c:printSettings>
</c:chartSpace>
</file>

<file path=xl/charts/chart40.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050" b="1" i="0" u="none" strike="noStrike" baseline="0">
                <a:solidFill>
                  <a:srgbClr val="000000"/>
                </a:solidFill>
                <a:latin typeface="Calibri"/>
                <a:ea typeface="Calibri"/>
                <a:cs typeface="Calibri"/>
              </a:defRPr>
            </a:pPr>
            <a:r>
              <a:rPr lang="en-ZA"/>
              <a:t>NOx emissions</a:t>
            </a:r>
          </a:p>
        </c:rich>
      </c:tx>
      <c:layout>
        <c:manualLayout>
          <c:xMode val="edge"/>
          <c:yMode val="edge"/>
          <c:x val="0.38354104613327833"/>
          <c:y val="1.5526638117603721E-2"/>
        </c:manualLayout>
      </c:layout>
    </c:title>
    <c:plotArea>
      <c:layout>
        <c:manualLayout>
          <c:layoutTarget val="inner"/>
          <c:xMode val="edge"/>
          <c:yMode val="edge"/>
          <c:x val="0.22921073068113723"/>
          <c:y val="0.11835241950649759"/>
          <c:w val="0.7114103433700002"/>
          <c:h val="0.63433880136775433"/>
        </c:manualLayout>
      </c:layout>
      <c:lineChart>
        <c:grouping val="standard"/>
        <c:ser>
          <c:idx val="0"/>
          <c:order val="0"/>
          <c:tx>
            <c:strRef>
              <c:f>'Output tables'!$A$260</c:f>
              <c:strCache>
                <c:ptCount val="1"/>
                <c:pt idx="0">
                  <c:v>NOx emissions</c:v>
                </c:pt>
              </c:strCache>
            </c:strRef>
          </c:tx>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tables'!$B$260:$AA$260</c:f>
              <c:numCache>
                <c:formatCode>General</c:formatCode>
                <c:ptCount val="26"/>
                <c:pt idx="0">
                  <c:v>0.68236889703791037</c:v>
                </c:pt>
                <c:pt idx="1">
                  <c:v>0.68236889703791048</c:v>
                </c:pt>
                <c:pt idx="2">
                  <c:v>0.70335130092789899</c:v>
                </c:pt>
                <c:pt idx="3">
                  <c:v>0.71066038253707231</c:v>
                </c:pt>
                <c:pt idx="4">
                  <c:v>0.71066038253707231</c:v>
                </c:pt>
                <c:pt idx="5">
                  <c:v>0.73188772763380827</c:v>
                </c:pt>
                <c:pt idx="6">
                  <c:v>0.74772864173364495</c:v>
                </c:pt>
                <c:pt idx="7">
                  <c:v>0.76589424511944237</c:v>
                </c:pt>
                <c:pt idx="8">
                  <c:v>0.78805024158377557</c:v>
                </c:pt>
                <c:pt idx="9">
                  <c:v>0.81402029126972819</c:v>
                </c:pt>
                <c:pt idx="10">
                  <c:v>0.83825237290645516</c:v>
                </c:pt>
                <c:pt idx="11">
                  <c:v>0.86375930605110585</c:v>
                </c:pt>
                <c:pt idx="12">
                  <c:v>0.88884567138547987</c:v>
                </c:pt>
                <c:pt idx="13">
                  <c:v>0.91528639016125557</c:v>
                </c:pt>
                <c:pt idx="14">
                  <c:v>0.94297323578229642</c:v>
                </c:pt>
                <c:pt idx="15">
                  <c:v>0.9690624180180738</c:v>
                </c:pt>
                <c:pt idx="16">
                  <c:v>0.99661579929703792</c:v>
                </c:pt>
                <c:pt idx="17">
                  <c:v>1.0264425779409931</c:v>
                </c:pt>
                <c:pt idx="18">
                  <c:v>1.0582098954739871</c:v>
                </c:pt>
                <c:pt idx="19">
                  <c:v>1.08962222424354</c:v>
                </c:pt>
                <c:pt idx="20">
                  <c:v>1.1216444306556661</c:v>
                </c:pt>
                <c:pt idx="21">
                  <c:v>1.1559042627552485</c:v>
                </c:pt>
                <c:pt idx="22">
                  <c:v>1.1927150100960242</c:v>
                </c:pt>
                <c:pt idx="23">
                  <c:v>1.2303238139959218</c:v>
                </c:pt>
                <c:pt idx="24">
                  <c:v>1.2662609096994066</c:v>
                </c:pt>
                <c:pt idx="25">
                  <c:v>1.2944070507350918</c:v>
                </c:pt>
              </c:numCache>
            </c:numRef>
          </c:val>
        </c:ser>
        <c:marker val="1"/>
        <c:axId val="108373888"/>
        <c:axId val="108375424"/>
      </c:lineChart>
      <c:catAx>
        <c:axId val="108373888"/>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08375424"/>
        <c:crosses val="autoZero"/>
        <c:auto val="1"/>
        <c:lblAlgn val="ctr"/>
        <c:lblOffset val="100"/>
      </c:catAx>
      <c:valAx>
        <c:axId val="108375424"/>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8373888"/>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2" l="0.70000000000000062" r="0.70000000000000062" t="0.750000000000002" header="0.30000000000000032" footer="0.30000000000000032"/>
    <c:pageSetup/>
  </c:printSettings>
</c:chartSpace>
</file>

<file path=xl/charts/chart41.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050" b="1" i="0" u="none" strike="noStrike" baseline="0">
                <a:solidFill>
                  <a:srgbClr val="000000"/>
                </a:solidFill>
                <a:latin typeface="Calibri"/>
                <a:ea typeface="Calibri"/>
                <a:cs typeface="Calibri"/>
              </a:defRPr>
            </a:pPr>
            <a:r>
              <a:rPr lang="en-ZA"/>
              <a:t>CO emissions</a:t>
            </a:r>
          </a:p>
        </c:rich>
      </c:tx>
      <c:layout>
        <c:manualLayout>
          <c:xMode val="edge"/>
          <c:yMode val="edge"/>
          <c:x val="0.3451635523171544"/>
          <c:y val="3.030286431587359E-2"/>
        </c:manualLayout>
      </c:layout>
    </c:title>
    <c:plotArea>
      <c:layout>
        <c:manualLayout>
          <c:layoutTarget val="inner"/>
          <c:xMode val="edge"/>
          <c:yMode val="edge"/>
          <c:x val="0.23495608883591557"/>
          <c:y val="0.14829441971927473"/>
          <c:w val="0.70692168709344294"/>
          <c:h val="0.61063517060367789"/>
        </c:manualLayout>
      </c:layout>
      <c:lineChart>
        <c:grouping val="standard"/>
        <c:ser>
          <c:idx val="0"/>
          <c:order val="0"/>
          <c:tx>
            <c:strRef>
              <c:f>'Output tables'!$A$261</c:f>
              <c:strCache>
                <c:ptCount val="1"/>
                <c:pt idx="0">
                  <c:v>CO emissions</c:v>
                </c:pt>
              </c:strCache>
            </c:strRef>
          </c:tx>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tables'!$B$261:$AA$261</c:f>
              <c:numCache>
                <c:formatCode>General</c:formatCode>
                <c:ptCount val="26"/>
                <c:pt idx="0">
                  <c:v>4.5503648389763007E-2</c:v>
                </c:pt>
                <c:pt idx="1">
                  <c:v>4.5503648389763014E-2</c:v>
                </c:pt>
                <c:pt idx="2">
                  <c:v>4.6902475315762256E-2</c:v>
                </c:pt>
                <c:pt idx="3">
                  <c:v>4.7389747423040474E-2</c:v>
                </c:pt>
                <c:pt idx="4">
                  <c:v>4.7389747423040474E-2</c:v>
                </c:pt>
                <c:pt idx="5">
                  <c:v>4.8804903762822871E-2</c:v>
                </c:pt>
                <c:pt idx="6">
                  <c:v>4.9866539567068026E-2</c:v>
                </c:pt>
                <c:pt idx="7">
                  <c:v>5.1077579792787854E-2</c:v>
                </c:pt>
                <c:pt idx="8">
                  <c:v>5.2554646223743395E-2</c:v>
                </c:pt>
                <c:pt idx="9">
                  <c:v>5.4285982869473573E-2</c:v>
                </c:pt>
                <c:pt idx="10">
                  <c:v>5.5901454978588706E-2</c:v>
                </c:pt>
                <c:pt idx="11">
                  <c:v>5.7601917188232078E-2</c:v>
                </c:pt>
                <c:pt idx="12">
                  <c:v>5.9274341543857016E-2</c:v>
                </c:pt>
                <c:pt idx="13">
                  <c:v>6.103705612890873E-2</c:v>
                </c:pt>
                <c:pt idx="14">
                  <c:v>6.2882845836978118E-2</c:v>
                </c:pt>
                <c:pt idx="15">
                  <c:v>6.4622124652696608E-2</c:v>
                </c:pt>
                <c:pt idx="16">
                  <c:v>6.6459016737960883E-2</c:v>
                </c:pt>
                <c:pt idx="17">
                  <c:v>6.8447468647557894E-2</c:v>
                </c:pt>
                <c:pt idx="18">
                  <c:v>7.0569006392594849E-2</c:v>
                </c:pt>
                <c:pt idx="19">
                  <c:v>7.2663161643898397E-2</c:v>
                </c:pt>
                <c:pt idx="20">
                  <c:v>7.4797975404706799E-2</c:v>
                </c:pt>
                <c:pt idx="21">
                  <c:v>7.7085680787516306E-2</c:v>
                </c:pt>
                <c:pt idx="22">
                  <c:v>7.9539730610234699E-2</c:v>
                </c:pt>
                <c:pt idx="23">
                  <c:v>8.2046984203561213E-2</c:v>
                </c:pt>
                <c:pt idx="24">
                  <c:v>8.4446507159964213E-2</c:v>
                </c:pt>
                <c:pt idx="25">
                  <c:v>8.6322033875502691E-2</c:v>
                </c:pt>
              </c:numCache>
            </c:numRef>
          </c:val>
        </c:ser>
        <c:marker val="1"/>
        <c:axId val="108473344"/>
        <c:axId val="108483328"/>
      </c:lineChart>
      <c:catAx>
        <c:axId val="108473344"/>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08483328"/>
        <c:crosses val="autoZero"/>
        <c:auto val="1"/>
        <c:lblAlgn val="ctr"/>
        <c:lblOffset val="100"/>
      </c:catAx>
      <c:valAx>
        <c:axId val="108483328"/>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8473344"/>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2" l="0.70000000000000062" r="0.70000000000000062" t="0.750000000000002" header="0.30000000000000032" footer="0.30000000000000032"/>
    <c:pageSetup/>
  </c:printSettings>
</c:chartSpace>
</file>

<file path=xl/charts/chart42.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050" b="1" i="0" u="none" strike="noStrike" baseline="0">
                <a:solidFill>
                  <a:srgbClr val="000000"/>
                </a:solidFill>
                <a:latin typeface="Calibri"/>
                <a:ea typeface="Calibri"/>
                <a:cs typeface="Calibri"/>
              </a:defRPr>
            </a:pPr>
            <a:r>
              <a:rPr lang="en-ZA"/>
              <a:t>NMVOC emissions</a:t>
            </a:r>
          </a:p>
        </c:rich>
      </c:tx>
      <c:layout>
        <c:manualLayout>
          <c:xMode val="edge"/>
          <c:yMode val="edge"/>
          <c:x val="0.28145305030787532"/>
          <c:y val="1.7283748622331299E-2"/>
        </c:manualLayout>
      </c:layout>
    </c:title>
    <c:plotArea>
      <c:layout>
        <c:manualLayout>
          <c:layoutTarget val="inner"/>
          <c:xMode val="edge"/>
          <c:yMode val="edge"/>
          <c:x val="0.25838843478590895"/>
          <c:y val="0.11977410202879968"/>
          <c:w val="0.68048639721374049"/>
          <c:h val="0.60513628004162656"/>
        </c:manualLayout>
      </c:layout>
      <c:lineChart>
        <c:grouping val="standard"/>
        <c:ser>
          <c:idx val="0"/>
          <c:order val="0"/>
          <c:tx>
            <c:strRef>
              <c:f>'Output tables'!$A$262</c:f>
              <c:strCache>
                <c:ptCount val="1"/>
                <c:pt idx="0">
                  <c:v>NMVOC emissions</c:v>
                </c:pt>
              </c:strCache>
            </c:strRef>
          </c:tx>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tables'!$B$262:$AA$262</c:f>
              <c:numCache>
                <c:formatCode>General</c:formatCode>
                <c:ptCount val="26"/>
                <c:pt idx="0">
                  <c:v>1.1385203537867488E-2</c:v>
                </c:pt>
                <c:pt idx="1">
                  <c:v>1.138520353786749E-2</c:v>
                </c:pt>
                <c:pt idx="2">
                  <c:v>1.17349102693673E-2</c:v>
                </c:pt>
                <c:pt idx="3">
                  <c:v>1.1856728296186855E-2</c:v>
                </c:pt>
                <c:pt idx="4">
                  <c:v>1.1856728296186855E-2</c:v>
                </c:pt>
                <c:pt idx="5">
                  <c:v>1.2210517381132454E-2</c:v>
                </c:pt>
                <c:pt idx="6">
                  <c:v>1.2480107480385777E-2</c:v>
                </c:pt>
                <c:pt idx="7">
                  <c:v>1.2782867536815734E-2</c:v>
                </c:pt>
                <c:pt idx="8">
                  <c:v>1.3152134144554619E-2</c:v>
                </c:pt>
                <c:pt idx="9">
                  <c:v>1.3584968305987166E-2</c:v>
                </c:pt>
                <c:pt idx="10">
                  <c:v>1.3988836333265947E-2</c:v>
                </c:pt>
                <c:pt idx="11">
                  <c:v>1.441395188567679E-2</c:v>
                </c:pt>
                <c:pt idx="12">
                  <c:v>1.4832057974583025E-2</c:v>
                </c:pt>
                <c:pt idx="13">
                  <c:v>1.5272736620845953E-2</c:v>
                </c:pt>
                <c:pt idx="14">
                  <c:v>1.5734184047863302E-2</c:v>
                </c:pt>
                <c:pt idx="15">
                  <c:v>1.6169003751792921E-2</c:v>
                </c:pt>
                <c:pt idx="16">
                  <c:v>1.6628226773108989E-2</c:v>
                </c:pt>
                <c:pt idx="17">
                  <c:v>1.7125339750508242E-2</c:v>
                </c:pt>
                <c:pt idx="18">
                  <c:v>1.7658511618895503E-2</c:v>
                </c:pt>
                <c:pt idx="19">
                  <c:v>1.8182050431721389E-2</c:v>
                </c:pt>
                <c:pt idx="20">
                  <c:v>1.871575387192349E-2</c:v>
                </c:pt>
                <c:pt idx="21">
                  <c:v>1.9290467649753888E-2</c:v>
                </c:pt>
                <c:pt idx="22">
                  <c:v>1.990398010543349E-2</c:v>
                </c:pt>
                <c:pt idx="23">
                  <c:v>2.0530793503765115E-2</c:v>
                </c:pt>
                <c:pt idx="24">
                  <c:v>2.1133461674993886E-2</c:v>
                </c:pt>
                <c:pt idx="25">
                  <c:v>2.1601681338748104E-2</c:v>
                </c:pt>
              </c:numCache>
            </c:numRef>
          </c:val>
        </c:ser>
        <c:marker val="1"/>
        <c:axId val="108507520"/>
        <c:axId val="108509056"/>
      </c:lineChart>
      <c:catAx>
        <c:axId val="108507520"/>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08509056"/>
        <c:crosses val="autoZero"/>
        <c:auto val="1"/>
        <c:lblAlgn val="ctr"/>
        <c:lblOffset val="100"/>
      </c:catAx>
      <c:valAx>
        <c:axId val="108509056"/>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8507520"/>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2" l="0.70000000000000062" r="0.70000000000000062" t="0.750000000000002" header="0.30000000000000032" footer="0.30000000000000032"/>
    <c:pageSetup/>
  </c:printSettings>
</c:chartSpace>
</file>

<file path=xl/charts/chart43.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050" b="1" i="0" u="none" strike="noStrike" baseline="0">
                <a:solidFill>
                  <a:srgbClr val="000000"/>
                </a:solidFill>
                <a:latin typeface="Calibri"/>
                <a:ea typeface="Calibri"/>
                <a:cs typeface="Calibri"/>
              </a:defRPr>
            </a:pPr>
            <a:r>
              <a:rPr lang="en-ZA"/>
              <a:t>GHG emissions</a:t>
            </a:r>
          </a:p>
        </c:rich>
      </c:tx>
      <c:layout>
        <c:manualLayout>
          <c:xMode val="edge"/>
          <c:yMode val="edge"/>
          <c:x val="0.38735336194563741"/>
          <c:y val="2.3952405949256343E-2"/>
        </c:manualLayout>
      </c:layout>
      <c:overlay val="1"/>
    </c:title>
    <c:plotArea>
      <c:layout>
        <c:manualLayout>
          <c:layoutTarget val="inner"/>
          <c:xMode val="edge"/>
          <c:yMode val="edge"/>
          <c:x val="0.13541572324918613"/>
          <c:y val="0.19467108012772291"/>
          <c:w val="0.80646209996282558"/>
          <c:h val="0.44758533852294768"/>
        </c:manualLayout>
      </c:layout>
      <c:lineChart>
        <c:grouping val="standard"/>
        <c:ser>
          <c:idx val="0"/>
          <c:order val="0"/>
          <c:tx>
            <c:strRef>
              <c:f>'Output tables'!$A$291</c:f>
              <c:strCache>
                <c:ptCount val="1"/>
                <c:pt idx="0">
                  <c:v>GHG emissions</c:v>
                </c:pt>
              </c:strCache>
            </c:strRef>
          </c:tx>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tables'!$B$291:$AA$291</c:f>
              <c:numCache>
                <c:formatCode>General</c:formatCode>
                <c:ptCount val="26"/>
                <c:pt idx="0">
                  <c:v>205.31813431055303</c:v>
                </c:pt>
                <c:pt idx="1">
                  <c:v>205.31813431055303</c:v>
                </c:pt>
                <c:pt idx="2">
                  <c:v>212.08181220449086</c:v>
                </c:pt>
                <c:pt idx="3">
                  <c:v>214.43789466120785</c:v>
                </c:pt>
                <c:pt idx="4">
                  <c:v>214.43789466120785</c:v>
                </c:pt>
                <c:pt idx="5">
                  <c:v>219.50036716210047</c:v>
                </c:pt>
                <c:pt idx="6">
                  <c:v>223.33805865190286</c:v>
                </c:pt>
                <c:pt idx="7">
                  <c:v>227.60396802282463</c:v>
                </c:pt>
                <c:pt idx="8">
                  <c:v>231.56640772212245</c:v>
                </c:pt>
                <c:pt idx="9">
                  <c:v>231.76564888474982</c:v>
                </c:pt>
                <c:pt idx="10">
                  <c:v>231.76564888474982</c:v>
                </c:pt>
                <c:pt idx="11">
                  <c:v>231.76564888474982</c:v>
                </c:pt>
                <c:pt idx="12">
                  <c:v>231.76564888474982</c:v>
                </c:pt>
                <c:pt idx="13">
                  <c:v>231.76564888474982</c:v>
                </c:pt>
                <c:pt idx="14">
                  <c:v>231.76564888474982</c:v>
                </c:pt>
                <c:pt idx="15">
                  <c:v>231.76564888474982</c:v>
                </c:pt>
                <c:pt idx="16">
                  <c:v>231.76564888474982</c:v>
                </c:pt>
                <c:pt idx="17">
                  <c:v>231.76564888474982</c:v>
                </c:pt>
                <c:pt idx="18">
                  <c:v>231.76564888474982</c:v>
                </c:pt>
                <c:pt idx="19">
                  <c:v>223.09468830818147</c:v>
                </c:pt>
                <c:pt idx="20">
                  <c:v>214.42372773161313</c:v>
                </c:pt>
                <c:pt idx="21">
                  <c:v>203.58502701090265</c:v>
                </c:pt>
                <c:pt idx="22">
                  <c:v>192.74632629019214</c:v>
                </c:pt>
                <c:pt idx="23">
                  <c:v>179.62579383880583</c:v>
                </c:pt>
                <c:pt idx="24">
                  <c:v>153.3847289360331</c:v>
                </c:pt>
                <c:pt idx="25">
                  <c:v>140.26419648464673</c:v>
                </c:pt>
              </c:numCache>
            </c:numRef>
          </c:val>
        </c:ser>
        <c:marker val="1"/>
        <c:axId val="108422656"/>
        <c:axId val="108424192"/>
      </c:lineChart>
      <c:catAx>
        <c:axId val="108422656"/>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08424192"/>
        <c:crosses val="autoZero"/>
        <c:auto val="1"/>
        <c:lblAlgn val="ctr"/>
        <c:lblOffset val="100"/>
      </c:catAx>
      <c:valAx>
        <c:axId val="108424192"/>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8422656"/>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266" l="0.70000000000000062" r="0.70000000000000062" t="0.75000000000000266" header="0.30000000000000032" footer="0.30000000000000032"/>
    <c:pageSetup/>
  </c:printSettings>
</c:chartSpace>
</file>

<file path=xl/charts/chart44.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050" b="1" i="0" u="none" strike="noStrike" baseline="0">
                <a:solidFill>
                  <a:srgbClr val="000000"/>
                </a:solidFill>
                <a:latin typeface="Calibri"/>
                <a:ea typeface="Calibri"/>
                <a:cs typeface="Calibri"/>
              </a:defRPr>
            </a:pPr>
            <a:r>
              <a:rPr lang="en-ZA"/>
              <a:t>GHG emissions </a:t>
            </a:r>
          </a:p>
        </c:rich>
      </c:tx>
      <c:layout>
        <c:manualLayout>
          <c:xMode val="edge"/>
          <c:yMode val="edge"/>
          <c:x val="0.366022346558732"/>
          <c:y val="2.2655468066491692E-2"/>
        </c:manualLayout>
      </c:layout>
    </c:title>
    <c:plotArea>
      <c:layout>
        <c:manualLayout>
          <c:layoutTarget val="inner"/>
          <c:xMode val="edge"/>
          <c:yMode val="edge"/>
          <c:x val="0.13526752894927982"/>
          <c:y val="0.19467108012772291"/>
          <c:w val="0.80661020104746506"/>
          <c:h val="0.43651342983324792"/>
        </c:manualLayout>
      </c:layout>
      <c:lineChart>
        <c:grouping val="standard"/>
        <c:ser>
          <c:idx val="0"/>
          <c:order val="0"/>
          <c:tx>
            <c:strRef>
              <c:f>'Output tables'!$A$298</c:f>
              <c:strCache>
                <c:ptCount val="1"/>
                <c:pt idx="0">
                  <c:v>GHG emissions</c:v>
                </c:pt>
              </c:strCache>
            </c:strRef>
          </c:tx>
          <c:spPr>
            <a:ln>
              <a:solidFill>
                <a:srgbClr val="FF0000"/>
              </a:solidFill>
            </a:ln>
          </c:spPr>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tables'!$B$298:$AA$298</c:f>
              <c:numCache>
                <c:formatCode>General</c:formatCode>
                <c:ptCount val="26"/>
                <c:pt idx="0">
                  <c:v>0</c:v>
                </c:pt>
                <c:pt idx="1">
                  <c:v>0</c:v>
                </c:pt>
                <c:pt idx="2">
                  <c:v>0</c:v>
                </c:pt>
                <c:pt idx="3">
                  <c:v>0</c:v>
                </c:pt>
                <c:pt idx="4">
                  <c:v>0</c:v>
                </c:pt>
                <c:pt idx="5">
                  <c:v>0</c:v>
                </c:pt>
                <c:pt idx="6">
                  <c:v>0</c:v>
                </c:pt>
                <c:pt idx="7">
                  <c:v>1.5897728804899998</c:v>
                </c:pt>
                <c:pt idx="8">
                  <c:v>4.76931864147</c:v>
                </c:pt>
                <c:pt idx="9">
                  <c:v>12.941522995109445</c:v>
                </c:pt>
                <c:pt idx="10">
                  <c:v>20.752734510708375</c:v>
                </c:pt>
                <c:pt idx="11">
                  <c:v>29.072633915251078</c:v>
                </c:pt>
                <c:pt idx="12">
                  <c:v>37.256963286151127</c:v>
                </c:pt>
                <c:pt idx="13">
                  <c:v>45.910448324008541</c:v>
                </c:pt>
                <c:pt idx="14">
                  <c:v>54.965622350437165</c:v>
                </c:pt>
                <c:pt idx="15">
                  <c:v>65.851537713376061</c:v>
                </c:pt>
                <c:pt idx="16">
                  <c:v>77.209437637886197</c:v>
                </c:pt>
                <c:pt idx="17">
                  <c:v>86.824099733765138</c:v>
                </c:pt>
                <c:pt idx="18">
                  <c:v>96.920529941090919</c:v>
                </c:pt>
                <c:pt idx="19">
                  <c:v>115.71725469652476</c:v>
                </c:pt>
                <c:pt idx="20">
                  <c:v>135.85144693636423</c:v>
                </c:pt>
                <c:pt idx="21">
                  <c:v>158.73091336126248</c:v>
                </c:pt>
                <c:pt idx="22">
                  <c:v>181.43555848727209</c:v>
                </c:pt>
                <c:pt idx="23">
                  <c:v>206.67928887579041</c:v>
                </c:pt>
                <c:pt idx="24">
                  <c:v>244.36091197914661</c:v>
                </c:pt>
                <c:pt idx="25">
                  <c:v>266.58849708575184</c:v>
                </c:pt>
              </c:numCache>
            </c:numRef>
          </c:val>
        </c:ser>
        <c:marker val="1"/>
        <c:axId val="108432000"/>
        <c:axId val="108597632"/>
      </c:lineChart>
      <c:catAx>
        <c:axId val="108432000"/>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08597632"/>
        <c:crosses val="autoZero"/>
        <c:auto val="1"/>
        <c:lblAlgn val="ctr"/>
        <c:lblOffset val="100"/>
      </c:catAx>
      <c:valAx>
        <c:axId val="108597632"/>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8432000"/>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289" l="0.70000000000000062" r="0.70000000000000062" t="0.75000000000000289" header="0.30000000000000032" footer="0.30000000000000032"/>
    <c:pageSetup/>
  </c:printSettings>
</c:chartSpace>
</file>

<file path=xl/charts/chart45.xml><?xml version="1.0" encoding="utf-8"?>
<c:chartSpace xmlns:c="http://schemas.openxmlformats.org/drawingml/2006/chart" xmlns:a="http://schemas.openxmlformats.org/drawingml/2006/main" xmlns:r="http://schemas.openxmlformats.org/officeDocument/2006/relationships">
  <c:lang val="en-ZA"/>
  <c:chart>
    <c:title>
      <c:tx>
        <c:strRef>
          <c:f>'Output tables'!$A$292</c:f>
          <c:strCache>
            <c:ptCount val="1"/>
            <c:pt idx="0">
              <c:v>SOx emissions</c:v>
            </c:pt>
          </c:strCache>
        </c:strRef>
      </c:tx>
      <c:layout>
        <c:manualLayout>
          <c:xMode val="edge"/>
          <c:yMode val="edge"/>
          <c:x val="0.37703173466952994"/>
          <c:y val="2.3952005999250087E-2"/>
        </c:manualLayout>
      </c:layout>
      <c:overlay val="1"/>
      <c:txPr>
        <a:bodyPr/>
        <a:lstStyle/>
        <a:p>
          <a:pPr>
            <a:defRPr lang="en-ZA" sz="1050" b="1" i="0" u="none" strike="noStrike" baseline="0">
              <a:solidFill>
                <a:srgbClr val="000000"/>
              </a:solidFill>
              <a:latin typeface="Calibri"/>
              <a:ea typeface="Calibri"/>
              <a:cs typeface="Calibri"/>
            </a:defRPr>
          </a:pPr>
          <a:endParaRPr lang="en-US"/>
        </a:p>
      </c:txPr>
    </c:title>
    <c:plotArea>
      <c:layout>
        <c:manualLayout>
          <c:layoutTarget val="inner"/>
          <c:xMode val="edge"/>
          <c:yMode val="edge"/>
          <c:x val="0.3218816511572426"/>
          <c:y val="0.17959580052493496"/>
          <c:w val="0.60100787401574862"/>
          <c:h val="0.40620322459692426"/>
        </c:manualLayout>
      </c:layout>
      <c:lineChart>
        <c:grouping val="standard"/>
        <c:ser>
          <c:idx val="0"/>
          <c:order val="0"/>
          <c:tx>
            <c:strRef>
              <c:f>'Output tables'!$A$292</c:f>
              <c:strCache>
                <c:ptCount val="1"/>
                <c:pt idx="0">
                  <c:v>SOx emissions</c:v>
                </c:pt>
              </c:strCache>
            </c:strRef>
          </c:tx>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tables'!$B$292:$AA$292</c:f>
              <c:numCache>
                <c:formatCode>General</c:formatCode>
                <c:ptCount val="26"/>
                <c:pt idx="0">
                  <c:v>1.3295094949099666</c:v>
                </c:pt>
                <c:pt idx="1">
                  <c:v>1.3295094949099666</c:v>
                </c:pt>
                <c:pt idx="2">
                  <c:v>1.3733067659630029</c:v>
                </c:pt>
                <c:pt idx="3">
                  <c:v>1.3885632556418837</c:v>
                </c:pt>
                <c:pt idx="4">
                  <c:v>1.3885632556418837</c:v>
                </c:pt>
                <c:pt idx="5">
                  <c:v>1.4213446038664734</c:v>
                </c:pt>
                <c:pt idx="6">
                  <c:v>1.4461950501817029</c:v>
                </c:pt>
                <c:pt idx="7">
                  <c:v>1.4738183628136374</c:v>
                </c:pt>
                <c:pt idx="8">
                  <c:v>1.4994765990961489</c:v>
                </c:pt>
                <c:pt idx="9">
                  <c:v>1.5007667579921447</c:v>
                </c:pt>
                <c:pt idx="10">
                  <c:v>1.5007667579921447</c:v>
                </c:pt>
                <c:pt idx="11">
                  <c:v>1.5007667579921447</c:v>
                </c:pt>
                <c:pt idx="12">
                  <c:v>1.5007667579921447</c:v>
                </c:pt>
                <c:pt idx="13">
                  <c:v>1.5007667579921447</c:v>
                </c:pt>
                <c:pt idx="14">
                  <c:v>1.5007667579921447</c:v>
                </c:pt>
                <c:pt idx="15">
                  <c:v>1.5007667579921447</c:v>
                </c:pt>
                <c:pt idx="16">
                  <c:v>1.5007667579921447</c:v>
                </c:pt>
                <c:pt idx="17">
                  <c:v>1.5007667579921447</c:v>
                </c:pt>
                <c:pt idx="18">
                  <c:v>1.5007667579921447</c:v>
                </c:pt>
                <c:pt idx="19">
                  <c:v>1.444619138809609</c:v>
                </c:pt>
                <c:pt idx="20">
                  <c:v>1.3884715196270734</c:v>
                </c:pt>
                <c:pt idx="21">
                  <c:v>1.3182869956489038</c:v>
                </c:pt>
                <c:pt idx="22">
                  <c:v>1.2481024716707341</c:v>
                </c:pt>
                <c:pt idx="23">
                  <c:v>1.1631422584340025</c:v>
                </c:pt>
                <c:pt idx="24">
                  <c:v>0.99322183196053926</c:v>
                </c:pt>
                <c:pt idx="25">
                  <c:v>0.9082616187238074</c:v>
                </c:pt>
              </c:numCache>
            </c:numRef>
          </c:val>
        </c:ser>
        <c:marker val="1"/>
        <c:axId val="108630016"/>
        <c:axId val="108631552"/>
      </c:lineChart>
      <c:catAx>
        <c:axId val="108630016"/>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08631552"/>
        <c:crosses val="autoZero"/>
        <c:auto val="1"/>
        <c:lblAlgn val="ctr"/>
        <c:lblOffset val="100"/>
      </c:catAx>
      <c:valAx>
        <c:axId val="108631552"/>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8630016"/>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377" l="0.70000000000000062" r="0.70000000000000062" t="0.75000000000000377" header="0.30000000000000032" footer="0.30000000000000032"/>
    <c:pageSetup/>
  </c:printSettings>
</c:chartSpace>
</file>

<file path=xl/charts/chart46.xml><?xml version="1.0" encoding="utf-8"?>
<c:chartSpace xmlns:c="http://schemas.openxmlformats.org/drawingml/2006/chart" xmlns:a="http://schemas.openxmlformats.org/drawingml/2006/main" xmlns:r="http://schemas.openxmlformats.org/officeDocument/2006/relationships">
  <c:lang val="en-ZA"/>
  <c:chart>
    <c:title>
      <c:tx>
        <c:strRef>
          <c:f>'Output tables'!$A$293</c:f>
          <c:strCache>
            <c:ptCount val="1"/>
            <c:pt idx="0">
              <c:v>NOx emissions</c:v>
            </c:pt>
          </c:strCache>
        </c:strRef>
      </c:tx>
      <c:layout>
        <c:manualLayout>
          <c:xMode val="edge"/>
          <c:yMode val="edge"/>
          <c:x val="0.32248628012407626"/>
          <c:y val="2.3952005999250087E-2"/>
        </c:manualLayout>
      </c:layout>
      <c:overlay val="1"/>
      <c:txPr>
        <a:bodyPr/>
        <a:lstStyle/>
        <a:p>
          <a:pPr>
            <a:defRPr lang="en-ZA" sz="1050" b="1" i="0" u="none" strike="noStrike" baseline="0">
              <a:solidFill>
                <a:srgbClr val="000000"/>
              </a:solidFill>
              <a:latin typeface="Calibri"/>
              <a:ea typeface="Calibri"/>
              <a:cs typeface="Calibri"/>
            </a:defRPr>
          </a:pPr>
          <a:endParaRPr lang="en-US"/>
        </a:p>
      </c:txPr>
    </c:title>
    <c:plotArea>
      <c:layout>
        <c:manualLayout>
          <c:layoutTarget val="inner"/>
          <c:xMode val="edge"/>
          <c:yMode val="edge"/>
          <c:x val="0.32690002386065459"/>
          <c:y val="0.17007199100112491"/>
          <c:w val="0.59589119541875468"/>
          <c:h val="0.45382227221597443"/>
        </c:manualLayout>
      </c:layout>
      <c:lineChart>
        <c:grouping val="standard"/>
        <c:ser>
          <c:idx val="0"/>
          <c:order val="0"/>
          <c:tx>
            <c:strRef>
              <c:f>'Output tables'!$A$293</c:f>
              <c:strCache>
                <c:ptCount val="1"/>
                <c:pt idx="0">
                  <c:v>NOx emissions</c:v>
                </c:pt>
              </c:strCache>
            </c:strRef>
          </c:tx>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tables'!$B$293:$AA$293</c:f>
              <c:numCache>
                <c:formatCode>General</c:formatCode>
                <c:ptCount val="26"/>
                <c:pt idx="0">
                  <c:v>0.63694162962789846</c:v>
                </c:pt>
                <c:pt idx="1">
                  <c:v>0.63694162962789846</c:v>
                </c:pt>
                <c:pt idx="2">
                  <c:v>0.65792403351788709</c:v>
                </c:pt>
                <c:pt idx="3">
                  <c:v>0.66523311512706018</c:v>
                </c:pt>
                <c:pt idx="4">
                  <c:v>0.66523311512706018</c:v>
                </c:pt>
                <c:pt idx="5">
                  <c:v>0.68093800887885991</c:v>
                </c:pt>
                <c:pt idx="6">
                  <c:v>0.69284336482675002</c:v>
                </c:pt>
                <c:pt idx="7">
                  <c:v>0.70607714603016802</c:v>
                </c:pt>
                <c:pt idx="8">
                  <c:v>0.71836949812974238</c:v>
                </c:pt>
                <c:pt idx="9">
                  <c:v>0.71898758766790716</c:v>
                </c:pt>
                <c:pt idx="10">
                  <c:v>0.71898758766790716</c:v>
                </c:pt>
                <c:pt idx="11">
                  <c:v>0.71898758766790716</c:v>
                </c:pt>
                <c:pt idx="12">
                  <c:v>0.71898758766790716</c:v>
                </c:pt>
                <c:pt idx="13">
                  <c:v>0.71898758766790716</c:v>
                </c:pt>
                <c:pt idx="14">
                  <c:v>0.71898758766790716</c:v>
                </c:pt>
                <c:pt idx="15">
                  <c:v>0.71898758766790716</c:v>
                </c:pt>
                <c:pt idx="16">
                  <c:v>0.71898758766790716</c:v>
                </c:pt>
                <c:pt idx="17">
                  <c:v>0.71898758766790716</c:v>
                </c:pt>
                <c:pt idx="18">
                  <c:v>0.71898758766790716</c:v>
                </c:pt>
                <c:pt idx="19">
                  <c:v>0.69208837694487824</c:v>
                </c:pt>
                <c:pt idx="20">
                  <c:v>0.66518916622184932</c:v>
                </c:pt>
                <c:pt idx="21">
                  <c:v>0.63156515281806325</c:v>
                </c:pt>
                <c:pt idx="22">
                  <c:v>0.59794113941427696</c:v>
                </c:pt>
                <c:pt idx="23">
                  <c:v>0.55723838634653589</c:v>
                </c:pt>
                <c:pt idx="24">
                  <c:v>0.47583288021105363</c:v>
                </c:pt>
                <c:pt idx="25">
                  <c:v>0.4351301271433124</c:v>
                </c:pt>
              </c:numCache>
            </c:numRef>
          </c:val>
        </c:ser>
        <c:marker val="1"/>
        <c:axId val="108659840"/>
        <c:axId val="108661376"/>
      </c:lineChart>
      <c:catAx>
        <c:axId val="108659840"/>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08661376"/>
        <c:crosses val="autoZero"/>
        <c:auto val="1"/>
        <c:lblAlgn val="ctr"/>
        <c:lblOffset val="100"/>
      </c:catAx>
      <c:valAx>
        <c:axId val="108661376"/>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8659840"/>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4" l="0.70000000000000062" r="0.70000000000000062" t="0.750000000000004" header="0.30000000000000032" footer="0.30000000000000032"/>
    <c:pageSetup/>
  </c:printSettings>
</c:chartSpace>
</file>

<file path=xl/charts/chart47.xml><?xml version="1.0" encoding="utf-8"?>
<c:chartSpace xmlns:c="http://schemas.openxmlformats.org/drawingml/2006/chart" xmlns:a="http://schemas.openxmlformats.org/drawingml/2006/main" xmlns:r="http://schemas.openxmlformats.org/officeDocument/2006/relationships">
  <c:lang val="en-ZA"/>
  <c:chart>
    <c:title>
      <c:tx>
        <c:strRef>
          <c:f>'Output tables'!$A$301</c:f>
          <c:strCache>
            <c:ptCount val="1"/>
            <c:pt idx="0">
              <c:v>CO emissions</c:v>
            </c:pt>
          </c:strCache>
        </c:strRef>
      </c:tx>
      <c:layout>
        <c:manualLayout>
          <c:xMode val="edge"/>
          <c:yMode val="edge"/>
          <c:x val="0.32854688618468225"/>
          <c:y val="2.3952005999250087E-2"/>
        </c:manualLayout>
      </c:layout>
      <c:overlay val="1"/>
      <c:txPr>
        <a:bodyPr/>
        <a:lstStyle/>
        <a:p>
          <a:pPr>
            <a:defRPr lang="en-ZA" sz="1050" b="1" i="0" u="none" strike="noStrike" baseline="0">
              <a:solidFill>
                <a:srgbClr val="000000"/>
              </a:solidFill>
              <a:latin typeface="Calibri"/>
              <a:ea typeface="Calibri"/>
              <a:cs typeface="Calibri"/>
            </a:defRPr>
          </a:pPr>
          <a:endParaRPr lang="en-US"/>
        </a:p>
      </c:txPr>
    </c:title>
    <c:plotArea>
      <c:layout>
        <c:manualLayout>
          <c:layoutTarget val="inner"/>
          <c:xMode val="edge"/>
          <c:yMode val="edge"/>
          <c:x val="0.38029730374612264"/>
          <c:y val="0.16054818147731625"/>
          <c:w val="0.54144691004533529"/>
          <c:h val="0.44663142107236575"/>
        </c:manualLayout>
      </c:layout>
      <c:lineChart>
        <c:grouping val="standard"/>
        <c:ser>
          <c:idx val="0"/>
          <c:order val="0"/>
          <c:tx>
            <c:strRef>
              <c:f>'Output tables'!$A$294</c:f>
              <c:strCache>
                <c:ptCount val="1"/>
                <c:pt idx="0">
                  <c:v>CO emissions</c:v>
                </c:pt>
              </c:strCache>
            </c:strRef>
          </c:tx>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tables'!$B$294:$AA$294</c:f>
              <c:numCache>
                <c:formatCode>General</c:formatCode>
                <c:ptCount val="26"/>
                <c:pt idx="0">
                  <c:v>4.246277530852656E-2</c:v>
                </c:pt>
                <c:pt idx="1">
                  <c:v>4.246277530852656E-2</c:v>
                </c:pt>
                <c:pt idx="2">
                  <c:v>4.3861602234525808E-2</c:v>
                </c:pt>
                <c:pt idx="3">
                  <c:v>4.4348874341804019E-2</c:v>
                </c:pt>
                <c:pt idx="4">
                  <c:v>4.4348874341804019E-2</c:v>
                </c:pt>
                <c:pt idx="5">
                  <c:v>4.5395867258590662E-2</c:v>
                </c:pt>
                <c:pt idx="6">
                  <c:v>4.6189557655116668E-2</c:v>
                </c:pt>
                <c:pt idx="7">
                  <c:v>4.7071809735344534E-2</c:v>
                </c:pt>
                <c:pt idx="8">
                  <c:v>4.7891299875316158E-2</c:v>
                </c:pt>
                <c:pt idx="9">
                  <c:v>4.7932505844527143E-2</c:v>
                </c:pt>
                <c:pt idx="10">
                  <c:v>4.7932505844527143E-2</c:v>
                </c:pt>
                <c:pt idx="11">
                  <c:v>4.7932505844527143E-2</c:v>
                </c:pt>
                <c:pt idx="12">
                  <c:v>4.7932505844527143E-2</c:v>
                </c:pt>
                <c:pt idx="13">
                  <c:v>4.7932505844527143E-2</c:v>
                </c:pt>
                <c:pt idx="14">
                  <c:v>4.7932505844527143E-2</c:v>
                </c:pt>
                <c:pt idx="15">
                  <c:v>4.7932505844527143E-2</c:v>
                </c:pt>
                <c:pt idx="16">
                  <c:v>4.7932505844527143E-2</c:v>
                </c:pt>
                <c:pt idx="17">
                  <c:v>4.7932505844527143E-2</c:v>
                </c:pt>
                <c:pt idx="18">
                  <c:v>4.7932505844527143E-2</c:v>
                </c:pt>
                <c:pt idx="19">
                  <c:v>4.6139225129658547E-2</c:v>
                </c:pt>
                <c:pt idx="20">
                  <c:v>4.4345944414789958E-2</c:v>
                </c:pt>
                <c:pt idx="21">
                  <c:v>4.2104343521204214E-2</c:v>
                </c:pt>
                <c:pt idx="22">
                  <c:v>3.9862742627618464E-2</c:v>
                </c:pt>
                <c:pt idx="23">
                  <c:v>3.7149225756435728E-2</c:v>
                </c:pt>
                <c:pt idx="24">
                  <c:v>3.1722192014070241E-2</c:v>
                </c:pt>
                <c:pt idx="25">
                  <c:v>2.9008675142887495E-2</c:v>
                </c:pt>
              </c:numCache>
            </c:numRef>
          </c:val>
        </c:ser>
        <c:marker val="1"/>
        <c:axId val="108681472"/>
        <c:axId val="108687360"/>
      </c:lineChart>
      <c:catAx>
        <c:axId val="108681472"/>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08687360"/>
        <c:crosses val="autoZero"/>
        <c:auto val="1"/>
        <c:lblAlgn val="ctr"/>
        <c:lblOffset val="100"/>
      </c:catAx>
      <c:valAx>
        <c:axId val="108687360"/>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8681472"/>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4" l="0.70000000000000062" r="0.70000000000000062" t="0.750000000000004" header="0.30000000000000032" footer="0.30000000000000032"/>
    <c:pageSetup/>
  </c:printSettings>
</c:chartSpace>
</file>

<file path=xl/charts/chart48.xml><?xml version="1.0" encoding="utf-8"?>
<c:chartSpace xmlns:c="http://schemas.openxmlformats.org/drawingml/2006/chart" xmlns:a="http://schemas.openxmlformats.org/drawingml/2006/main" xmlns:r="http://schemas.openxmlformats.org/officeDocument/2006/relationships">
  <c:lang val="en-ZA"/>
  <c:chart>
    <c:title>
      <c:tx>
        <c:strRef>
          <c:f>'Output tables'!$A$295</c:f>
          <c:strCache>
            <c:ptCount val="1"/>
            <c:pt idx="0">
              <c:v>NMVOC emissions</c:v>
            </c:pt>
          </c:strCache>
        </c:strRef>
      </c:tx>
      <c:layout>
        <c:manualLayout>
          <c:xMode val="edge"/>
          <c:yMode val="edge"/>
          <c:x val="0.33460749224528796"/>
          <c:y val="2.3952005999250087E-2"/>
        </c:manualLayout>
      </c:layout>
      <c:overlay val="1"/>
      <c:txPr>
        <a:bodyPr/>
        <a:lstStyle/>
        <a:p>
          <a:pPr>
            <a:defRPr lang="en-ZA" sz="1050" b="1" i="0" u="none" strike="noStrike" baseline="0">
              <a:solidFill>
                <a:srgbClr val="000000"/>
              </a:solidFill>
              <a:latin typeface="Calibri"/>
              <a:ea typeface="Calibri"/>
              <a:cs typeface="Calibri"/>
            </a:defRPr>
          </a:pPr>
          <a:endParaRPr lang="en-US"/>
        </a:p>
      </c:txPr>
    </c:title>
    <c:plotArea>
      <c:layout>
        <c:manualLayout>
          <c:layoutTarget val="inner"/>
          <c:xMode val="edge"/>
          <c:yMode val="edge"/>
          <c:x val="0.43430971128608975"/>
          <c:y val="0.18911961004874392"/>
          <c:w val="0.48637556669052767"/>
          <c:h val="0.39901237345331947"/>
        </c:manualLayout>
      </c:layout>
      <c:lineChart>
        <c:grouping val="standard"/>
        <c:ser>
          <c:idx val="0"/>
          <c:order val="0"/>
          <c:tx>
            <c:strRef>
              <c:f>'Output tables'!$A$295</c:f>
              <c:strCache>
                <c:ptCount val="1"/>
                <c:pt idx="0">
                  <c:v>NMVOC emissions</c:v>
                </c:pt>
              </c:strCache>
            </c:strRef>
          </c:tx>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tables'!$B$295:$AA$295</c:f>
              <c:numCache>
                <c:formatCode>General</c:formatCode>
                <c:ptCount val="26"/>
                <c:pt idx="0">
                  <c:v>1.061569382713164E-2</c:v>
                </c:pt>
                <c:pt idx="1">
                  <c:v>1.061569382713164E-2</c:v>
                </c:pt>
                <c:pt idx="2">
                  <c:v>1.0965400558631452E-2</c:v>
                </c:pt>
                <c:pt idx="3">
                  <c:v>1.1087218585451005E-2</c:v>
                </c:pt>
                <c:pt idx="4">
                  <c:v>1.1087218585451005E-2</c:v>
                </c:pt>
                <c:pt idx="5">
                  <c:v>1.1348966814647666E-2</c:v>
                </c:pt>
                <c:pt idx="6">
                  <c:v>1.1547389413779167E-2</c:v>
                </c:pt>
                <c:pt idx="7">
                  <c:v>1.1767952433836134E-2</c:v>
                </c:pt>
                <c:pt idx="8">
                  <c:v>1.197282496882904E-2</c:v>
                </c:pt>
                <c:pt idx="9">
                  <c:v>1.1983126461131786E-2</c:v>
                </c:pt>
                <c:pt idx="10">
                  <c:v>1.1983126461131786E-2</c:v>
                </c:pt>
                <c:pt idx="11">
                  <c:v>1.1983126461131786E-2</c:v>
                </c:pt>
                <c:pt idx="12">
                  <c:v>1.1983126461131786E-2</c:v>
                </c:pt>
                <c:pt idx="13">
                  <c:v>1.1983126461131786E-2</c:v>
                </c:pt>
                <c:pt idx="14">
                  <c:v>1.1983126461131786E-2</c:v>
                </c:pt>
                <c:pt idx="15">
                  <c:v>1.1983126461131786E-2</c:v>
                </c:pt>
                <c:pt idx="16">
                  <c:v>1.1983126461131786E-2</c:v>
                </c:pt>
                <c:pt idx="17">
                  <c:v>1.1983126461131786E-2</c:v>
                </c:pt>
                <c:pt idx="18">
                  <c:v>1.1983126461131786E-2</c:v>
                </c:pt>
                <c:pt idx="19">
                  <c:v>1.1534806282414637E-2</c:v>
                </c:pt>
                <c:pt idx="20">
                  <c:v>1.1086486103697489E-2</c:v>
                </c:pt>
                <c:pt idx="21">
                  <c:v>1.0526085880301054E-2</c:v>
                </c:pt>
                <c:pt idx="22">
                  <c:v>9.9656856569046159E-3</c:v>
                </c:pt>
                <c:pt idx="23">
                  <c:v>9.2873064391089319E-3</c:v>
                </c:pt>
                <c:pt idx="24">
                  <c:v>7.9305480035175603E-3</c:v>
                </c:pt>
                <c:pt idx="25">
                  <c:v>7.2521687857218737E-3</c:v>
                </c:pt>
              </c:numCache>
            </c:numRef>
          </c:val>
        </c:ser>
        <c:marker val="1"/>
        <c:axId val="108715392"/>
        <c:axId val="108803200"/>
      </c:lineChart>
      <c:catAx>
        <c:axId val="108715392"/>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08803200"/>
        <c:crosses val="autoZero"/>
        <c:auto val="1"/>
        <c:lblAlgn val="ctr"/>
        <c:lblOffset val="100"/>
      </c:catAx>
      <c:valAx>
        <c:axId val="108803200"/>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8715392"/>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4" l="0.70000000000000062" r="0.70000000000000062" t="0.750000000000004" header="0.30000000000000032" footer="0.30000000000000032"/>
    <c:pageSetup/>
  </c:printSettings>
</c:chartSpace>
</file>

<file path=xl/charts/chart49.xml><?xml version="1.0" encoding="utf-8"?>
<c:chartSpace xmlns:c="http://schemas.openxmlformats.org/drawingml/2006/chart" xmlns:a="http://schemas.openxmlformats.org/drawingml/2006/main" xmlns:r="http://schemas.openxmlformats.org/officeDocument/2006/relationships">
  <c:lang val="en-ZA"/>
  <c:chart>
    <c:title>
      <c:tx>
        <c:strRef>
          <c:f>'Output tables'!$A$292</c:f>
          <c:strCache>
            <c:ptCount val="1"/>
            <c:pt idx="0">
              <c:v>SOx emissions</c:v>
            </c:pt>
          </c:strCache>
        </c:strRef>
      </c:tx>
      <c:layout>
        <c:manualLayout>
          <c:xMode val="edge"/>
          <c:yMode val="edge"/>
          <c:x val="0.37703173466952994"/>
          <c:y val="2.3952005999250087E-2"/>
        </c:manualLayout>
      </c:layout>
      <c:overlay val="1"/>
      <c:txPr>
        <a:bodyPr/>
        <a:lstStyle/>
        <a:p>
          <a:pPr>
            <a:defRPr lang="en-ZA" sz="1050" b="1" i="0" u="none" strike="noStrike" baseline="0">
              <a:solidFill>
                <a:srgbClr val="000000"/>
              </a:solidFill>
              <a:latin typeface="Calibri"/>
              <a:ea typeface="Calibri"/>
              <a:cs typeface="Calibri"/>
            </a:defRPr>
          </a:pPr>
          <a:endParaRPr lang="en-US"/>
        </a:p>
      </c:txPr>
    </c:title>
    <c:plotArea>
      <c:layout>
        <c:manualLayout>
          <c:layoutTarget val="inner"/>
          <c:xMode val="edge"/>
          <c:yMode val="edge"/>
          <c:x val="0.2424899821092916"/>
          <c:y val="0.17959580052493501"/>
          <c:w val="0.65512209252107734"/>
          <c:h val="0.40620322459692415"/>
        </c:manualLayout>
      </c:layout>
      <c:lineChart>
        <c:grouping val="standard"/>
        <c:ser>
          <c:idx val="0"/>
          <c:order val="0"/>
          <c:tx>
            <c:strRef>
              <c:f>'Output tables'!$A$299</c:f>
              <c:strCache>
                <c:ptCount val="1"/>
                <c:pt idx="0">
                  <c:v>SOx emissions</c:v>
                </c:pt>
              </c:strCache>
            </c:strRef>
          </c:tx>
          <c:spPr>
            <a:ln>
              <a:solidFill>
                <a:srgbClr val="FF0000"/>
              </a:solidFill>
            </a:ln>
          </c:spPr>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tables'!$B$299:$AA$299</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marker val="1"/>
        <c:axId val="108831488"/>
        <c:axId val="108833024"/>
      </c:lineChart>
      <c:catAx>
        <c:axId val="108831488"/>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08833024"/>
        <c:crosses val="autoZero"/>
        <c:auto val="1"/>
        <c:lblAlgn val="ctr"/>
        <c:lblOffset val="100"/>
      </c:catAx>
      <c:valAx>
        <c:axId val="108833024"/>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8831488"/>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4" l="0.70000000000000062" r="0.70000000000000062" t="0.750000000000004" header="0.30000000000000032" footer="0.30000000000000032"/>
    <c:pageSetup/>
  </c:printSettings>
</c:chartSpace>
</file>

<file path=xl/charts/chart50.xml><?xml version="1.0" encoding="utf-8"?>
<c:chartSpace xmlns:c="http://schemas.openxmlformats.org/drawingml/2006/chart" xmlns:a="http://schemas.openxmlformats.org/drawingml/2006/main" xmlns:r="http://schemas.openxmlformats.org/officeDocument/2006/relationships">
  <c:lang val="en-ZA"/>
  <c:chart>
    <c:title>
      <c:tx>
        <c:strRef>
          <c:f>'Output tables'!$A$293</c:f>
          <c:strCache>
            <c:ptCount val="1"/>
            <c:pt idx="0">
              <c:v>NOx emissions</c:v>
            </c:pt>
          </c:strCache>
        </c:strRef>
      </c:tx>
      <c:layout>
        <c:manualLayout>
          <c:xMode val="edge"/>
          <c:yMode val="edge"/>
          <c:x val="0.32248628012407626"/>
          <c:y val="2.3952005999250087E-2"/>
        </c:manualLayout>
      </c:layout>
      <c:overlay val="1"/>
      <c:txPr>
        <a:bodyPr/>
        <a:lstStyle/>
        <a:p>
          <a:pPr>
            <a:defRPr lang="en-ZA" sz="1050" b="1" i="0" u="none" strike="noStrike" baseline="0">
              <a:solidFill>
                <a:srgbClr val="000000"/>
              </a:solidFill>
              <a:latin typeface="Calibri"/>
              <a:ea typeface="Calibri"/>
              <a:cs typeface="Calibri"/>
            </a:defRPr>
          </a:pPr>
          <a:endParaRPr lang="en-US"/>
        </a:p>
      </c:txPr>
    </c:title>
    <c:plotArea>
      <c:layout>
        <c:manualLayout>
          <c:layoutTarget val="inner"/>
          <c:xMode val="edge"/>
          <c:yMode val="edge"/>
          <c:x val="0.24248998210929176"/>
          <c:y val="0.17007199100112491"/>
          <c:w val="0.65512209252107789"/>
          <c:h val="0.45382227221597465"/>
        </c:manualLayout>
      </c:layout>
      <c:lineChart>
        <c:grouping val="standard"/>
        <c:ser>
          <c:idx val="0"/>
          <c:order val="0"/>
          <c:tx>
            <c:strRef>
              <c:f>'Output tables'!$A$300</c:f>
              <c:strCache>
                <c:ptCount val="1"/>
                <c:pt idx="0">
                  <c:v>NOx emissions</c:v>
                </c:pt>
              </c:strCache>
            </c:strRef>
          </c:tx>
          <c:spPr>
            <a:ln>
              <a:solidFill>
                <a:srgbClr val="FF0000"/>
              </a:solidFill>
            </a:ln>
          </c:spPr>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tables'!$B$300:$AA$300</c:f>
              <c:numCache>
                <c:formatCode>General</c:formatCode>
                <c:ptCount val="26"/>
                <c:pt idx="0">
                  <c:v>0</c:v>
                </c:pt>
                <c:pt idx="1">
                  <c:v>0</c:v>
                </c:pt>
                <c:pt idx="2">
                  <c:v>0</c:v>
                </c:pt>
                <c:pt idx="3">
                  <c:v>0</c:v>
                </c:pt>
                <c:pt idx="4">
                  <c:v>0</c:v>
                </c:pt>
                <c:pt idx="5">
                  <c:v>0</c:v>
                </c:pt>
                <c:pt idx="6">
                  <c:v>0</c:v>
                </c:pt>
                <c:pt idx="7">
                  <c:v>4.9318221823794004E-3</c:v>
                </c:pt>
                <c:pt idx="8">
                  <c:v>1.4795466547138203E-2</c:v>
                </c:pt>
                <c:pt idx="9">
                  <c:v>4.0147426694926144E-2</c:v>
                </c:pt>
                <c:pt idx="10">
                  <c:v>6.4379508331653096E-2</c:v>
                </c:pt>
                <c:pt idx="11">
                  <c:v>9.0189650737555679E-2</c:v>
                </c:pt>
                <c:pt idx="12">
                  <c:v>0.11557922533318173</c:v>
                </c:pt>
                <c:pt idx="13">
                  <c:v>0.14242422312396011</c:v>
                </c:pt>
                <c:pt idx="14">
                  <c:v>0.1705153477600036</c:v>
                </c:pt>
                <c:pt idx="15">
                  <c:v>0.20428583128083155</c:v>
                </c:pt>
                <c:pt idx="16">
                  <c:v>0.23952051384484624</c:v>
                </c:pt>
                <c:pt idx="17">
                  <c:v>0.2693472924888014</c:v>
                </c:pt>
                <c:pt idx="18">
                  <c:v>0.30066862088131197</c:v>
                </c:pt>
                <c:pt idx="19">
                  <c:v>0.35898016037389402</c:v>
                </c:pt>
                <c:pt idx="20">
                  <c:v>0.42144081568594449</c:v>
                </c:pt>
                <c:pt idx="21">
                  <c:v>0.49241791022572506</c:v>
                </c:pt>
                <c:pt idx="22">
                  <c:v>0.56285267097028724</c:v>
                </c:pt>
                <c:pt idx="23">
                  <c:v>0.64116422793792582</c:v>
                </c:pt>
                <c:pt idx="24">
                  <c:v>0.75806084063640944</c:v>
                </c:pt>
                <c:pt idx="25">
                  <c:v>0.82701565716070058</c:v>
                </c:pt>
              </c:numCache>
            </c:numRef>
          </c:val>
        </c:ser>
        <c:marker val="1"/>
        <c:axId val="108869504"/>
        <c:axId val="108871040"/>
      </c:lineChart>
      <c:catAx>
        <c:axId val="108869504"/>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08871040"/>
        <c:crosses val="autoZero"/>
        <c:auto val="1"/>
        <c:lblAlgn val="ctr"/>
        <c:lblOffset val="100"/>
      </c:catAx>
      <c:valAx>
        <c:axId val="108871040"/>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8869504"/>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422" l="0.70000000000000062" r="0.70000000000000062" t="0.75000000000000422" header="0.30000000000000032" footer="0.30000000000000032"/>
    <c:pageSetup/>
  </c:printSettings>
</c:chartSpace>
</file>

<file path=xl/charts/chart51.xml><?xml version="1.0" encoding="utf-8"?>
<c:chartSpace xmlns:c="http://schemas.openxmlformats.org/drawingml/2006/chart" xmlns:a="http://schemas.openxmlformats.org/drawingml/2006/main" xmlns:r="http://schemas.openxmlformats.org/officeDocument/2006/relationships">
  <c:lang val="en-ZA"/>
  <c:chart>
    <c:title>
      <c:tx>
        <c:strRef>
          <c:f>'Output tables'!$A$301</c:f>
          <c:strCache>
            <c:ptCount val="1"/>
            <c:pt idx="0">
              <c:v>CO emissions</c:v>
            </c:pt>
          </c:strCache>
        </c:strRef>
      </c:tx>
      <c:layout>
        <c:manualLayout>
          <c:xMode val="edge"/>
          <c:yMode val="edge"/>
          <c:x val="0.32854688618468225"/>
          <c:y val="2.3952005999250087E-2"/>
        </c:manualLayout>
      </c:layout>
      <c:overlay val="1"/>
      <c:txPr>
        <a:bodyPr/>
        <a:lstStyle/>
        <a:p>
          <a:pPr>
            <a:defRPr lang="en-ZA" sz="1050" b="1" i="0" u="none" strike="noStrike" baseline="0">
              <a:solidFill>
                <a:srgbClr val="000000"/>
              </a:solidFill>
              <a:latin typeface="Calibri"/>
              <a:ea typeface="Calibri"/>
              <a:cs typeface="Calibri"/>
            </a:defRPr>
          </a:pPr>
          <a:endParaRPr lang="en-US"/>
        </a:p>
      </c:txPr>
    </c:title>
    <c:plotArea>
      <c:layout>
        <c:manualLayout>
          <c:layoutTarget val="inner"/>
          <c:xMode val="edge"/>
          <c:yMode val="edge"/>
          <c:x val="0.30915661696176738"/>
          <c:y val="0.16054818147731637"/>
          <c:w val="0.59435667174579998"/>
          <c:h val="0.44663142107236575"/>
        </c:manualLayout>
      </c:layout>
      <c:lineChart>
        <c:grouping val="standard"/>
        <c:ser>
          <c:idx val="0"/>
          <c:order val="0"/>
          <c:tx>
            <c:strRef>
              <c:f>'Output tables'!$A$301</c:f>
              <c:strCache>
                <c:ptCount val="1"/>
                <c:pt idx="0">
                  <c:v>CO emissions</c:v>
                </c:pt>
              </c:strCache>
            </c:strRef>
          </c:tx>
          <c:spPr>
            <a:ln>
              <a:solidFill>
                <a:srgbClr val="FF0000"/>
              </a:solidFill>
            </a:ln>
          </c:spPr>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tables'!$B$301:$AA$301</c:f>
              <c:numCache>
                <c:formatCode>General</c:formatCode>
                <c:ptCount val="26"/>
                <c:pt idx="0">
                  <c:v>0</c:v>
                </c:pt>
                <c:pt idx="1">
                  <c:v>0</c:v>
                </c:pt>
                <c:pt idx="2">
                  <c:v>0</c:v>
                </c:pt>
                <c:pt idx="3">
                  <c:v>0</c:v>
                </c:pt>
                <c:pt idx="4">
                  <c:v>0</c:v>
                </c:pt>
                <c:pt idx="5">
                  <c:v>0</c:v>
                </c:pt>
                <c:pt idx="6">
                  <c:v>0</c:v>
                </c:pt>
                <c:pt idx="7">
                  <c:v>3.2878814549196006E-4</c:v>
                </c:pt>
                <c:pt idx="8">
                  <c:v>9.8636443647588017E-4</c:v>
                </c:pt>
                <c:pt idx="9">
                  <c:v>2.6764951129950761E-3</c:v>
                </c:pt>
                <c:pt idx="10">
                  <c:v>4.2919672221102059E-3</c:v>
                </c:pt>
                <c:pt idx="11">
                  <c:v>6.0126433825037125E-3</c:v>
                </c:pt>
                <c:pt idx="12">
                  <c:v>7.7052816888787817E-3</c:v>
                </c:pt>
                <c:pt idx="13">
                  <c:v>9.4949482082640063E-3</c:v>
                </c:pt>
                <c:pt idx="14">
                  <c:v>1.1367689850666909E-2</c:v>
                </c:pt>
                <c:pt idx="15">
                  <c:v>1.3619055418722104E-2</c:v>
                </c:pt>
                <c:pt idx="16">
                  <c:v>1.5968034256323083E-2</c:v>
                </c:pt>
                <c:pt idx="17">
                  <c:v>1.7956486165920094E-2</c:v>
                </c:pt>
                <c:pt idx="18">
                  <c:v>2.0044574725420795E-2</c:v>
                </c:pt>
                <c:pt idx="19">
                  <c:v>2.3932010691592936E-2</c:v>
                </c:pt>
                <c:pt idx="20">
                  <c:v>2.8096054379062967E-2</c:v>
                </c:pt>
                <c:pt idx="21">
                  <c:v>3.2827860681715004E-2</c:v>
                </c:pt>
                <c:pt idx="22">
                  <c:v>3.7523511398019148E-2</c:v>
                </c:pt>
                <c:pt idx="23">
                  <c:v>4.2744281862528391E-2</c:v>
                </c:pt>
                <c:pt idx="24">
                  <c:v>5.0537389375760633E-2</c:v>
                </c:pt>
                <c:pt idx="25">
                  <c:v>5.513437714404671E-2</c:v>
                </c:pt>
              </c:numCache>
            </c:numRef>
          </c:val>
        </c:ser>
        <c:marker val="1"/>
        <c:axId val="108891136"/>
        <c:axId val="108917504"/>
      </c:lineChart>
      <c:catAx>
        <c:axId val="108891136"/>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08917504"/>
        <c:crosses val="autoZero"/>
        <c:auto val="1"/>
        <c:lblAlgn val="ctr"/>
        <c:lblOffset val="100"/>
      </c:catAx>
      <c:valAx>
        <c:axId val="108917504"/>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8891136"/>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422" l="0.70000000000000062" r="0.70000000000000062" t="0.75000000000000422" header="0.30000000000000032" footer="0.30000000000000032"/>
    <c:pageSetup/>
  </c:printSettings>
</c:chartSpace>
</file>

<file path=xl/charts/chart52.xml><?xml version="1.0" encoding="utf-8"?>
<c:chartSpace xmlns:c="http://schemas.openxmlformats.org/drawingml/2006/chart" xmlns:a="http://schemas.openxmlformats.org/drawingml/2006/main" xmlns:r="http://schemas.openxmlformats.org/officeDocument/2006/relationships">
  <c:lang val="en-ZA"/>
  <c:chart>
    <c:title>
      <c:tx>
        <c:strRef>
          <c:f>'Output tables'!$A$295</c:f>
          <c:strCache>
            <c:ptCount val="1"/>
            <c:pt idx="0">
              <c:v>NMVOC emissions</c:v>
            </c:pt>
          </c:strCache>
        </c:strRef>
      </c:tx>
      <c:layout>
        <c:manualLayout>
          <c:xMode val="edge"/>
          <c:yMode val="edge"/>
          <c:x val="0.33460749224528796"/>
          <c:y val="2.3952005999250087E-2"/>
        </c:manualLayout>
      </c:layout>
      <c:overlay val="1"/>
      <c:txPr>
        <a:bodyPr/>
        <a:lstStyle/>
        <a:p>
          <a:pPr>
            <a:defRPr lang="en-ZA" sz="1050" b="1" i="0" u="none" strike="noStrike" baseline="0">
              <a:solidFill>
                <a:srgbClr val="000000"/>
              </a:solidFill>
              <a:latin typeface="Calibri"/>
              <a:ea typeface="Calibri"/>
              <a:cs typeface="Calibri"/>
            </a:defRPr>
          </a:pPr>
          <a:endParaRPr lang="en-US"/>
        </a:p>
      </c:txPr>
    </c:title>
    <c:plotArea>
      <c:layout>
        <c:manualLayout>
          <c:layoutTarget val="inner"/>
          <c:xMode val="edge"/>
          <c:yMode val="edge"/>
          <c:x val="0.31593733431766552"/>
          <c:y val="0.18911961004874392"/>
          <c:w val="0.60706866758832589"/>
          <c:h val="0.39901237345331958"/>
        </c:manualLayout>
      </c:layout>
      <c:lineChart>
        <c:grouping val="standard"/>
        <c:ser>
          <c:idx val="0"/>
          <c:order val="0"/>
          <c:tx>
            <c:strRef>
              <c:f>'Output tables'!$A$302</c:f>
              <c:strCache>
                <c:ptCount val="1"/>
                <c:pt idx="0">
                  <c:v>NMVOC emissions</c:v>
                </c:pt>
              </c:strCache>
            </c:strRef>
          </c:tx>
          <c:spPr>
            <a:ln>
              <a:solidFill>
                <a:srgbClr val="FF0000"/>
              </a:solidFill>
            </a:ln>
          </c:spPr>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tables'!$B$302:$AA$302</c:f>
              <c:numCache>
                <c:formatCode>General</c:formatCode>
                <c:ptCount val="26"/>
                <c:pt idx="0">
                  <c:v>0</c:v>
                </c:pt>
                <c:pt idx="1">
                  <c:v>0</c:v>
                </c:pt>
                <c:pt idx="2">
                  <c:v>0</c:v>
                </c:pt>
                <c:pt idx="3">
                  <c:v>0</c:v>
                </c:pt>
                <c:pt idx="4">
                  <c:v>0</c:v>
                </c:pt>
                <c:pt idx="5">
                  <c:v>0</c:v>
                </c:pt>
                <c:pt idx="6">
                  <c:v>0</c:v>
                </c:pt>
                <c:pt idx="7">
                  <c:v>8.2197036372990014E-5</c:v>
                </c:pt>
                <c:pt idx="8">
                  <c:v>2.4659110911897004E-4</c:v>
                </c:pt>
                <c:pt idx="9">
                  <c:v>6.6912377824876901E-4</c:v>
                </c:pt>
                <c:pt idx="10">
                  <c:v>1.0729918055275515E-3</c:v>
                </c:pt>
                <c:pt idx="11">
                  <c:v>1.5031608456259281E-3</c:v>
                </c:pt>
                <c:pt idx="12">
                  <c:v>1.9263204222196954E-3</c:v>
                </c:pt>
                <c:pt idx="13">
                  <c:v>2.3737370520660016E-3</c:v>
                </c:pt>
                <c:pt idx="14">
                  <c:v>2.8419224626667272E-3</c:v>
                </c:pt>
                <c:pt idx="15">
                  <c:v>3.4047638546805259E-3</c:v>
                </c:pt>
                <c:pt idx="16">
                  <c:v>3.9920085640807708E-3</c:v>
                </c:pt>
                <c:pt idx="17">
                  <c:v>4.4891215414800236E-3</c:v>
                </c:pt>
                <c:pt idx="18">
                  <c:v>5.0111436813551988E-3</c:v>
                </c:pt>
                <c:pt idx="19">
                  <c:v>5.9830026728982339E-3</c:v>
                </c:pt>
                <c:pt idx="20">
                  <c:v>7.0240135947657418E-3</c:v>
                </c:pt>
                <c:pt idx="21">
                  <c:v>8.2069651704287511E-3</c:v>
                </c:pt>
                <c:pt idx="22">
                  <c:v>9.380877849504787E-3</c:v>
                </c:pt>
                <c:pt idx="23">
                  <c:v>1.0686070465632098E-2</c:v>
                </c:pt>
                <c:pt idx="24">
                  <c:v>1.2634347343940158E-2</c:v>
                </c:pt>
                <c:pt idx="25">
                  <c:v>1.3783594286011678E-2</c:v>
                </c:pt>
              </c:numCache>
            </c:numRef>
          </c:val>
        </c:ser>
        <c:marker val="1"/>
        <c:axId val="108753664"/>
        <c:axId val="108755200"/>
      </c:lineChart>
      <c:catAx>
        <c:axId val="108753664"/>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08755200"/>
        <c:crosses val="autoZero"/>
        <c:auto val="1"/>
        <c:lblAlgn val="ctr"/>
        <c:lblOffset val="100"/>
      </c:catAx>
      <c:valAx>
        <c:axId val="108755200"/>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8753664"/>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422" l="0.70000000000000062" r="0.70000000000000062" t="0.75000000000000422" header="0.30000000000000032" footer="0.30000000000000032"/>
    <c:pageSetup/>
  </c:printSettings>
</c:chartSpace>
</file>

<file path=xl/charts/chart53.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050" b="1" i="0" u="none" strike="noStrike" baseline="0">
                <a:solidFill>
                  <a:srgbClr val="000000"/>
                </a:solidFill>
                <a:latin typeface="Calibri"/>
                <a:ea typeface="Calibri"/>
                <a:cs typeface="Calibri"/>
              </a:defRPr>
            </a:pPr>
            <a:r>
              <a:rPr lang="en-ZA"/>
              <a:t>Reference electricity system greenhouse gases</a:t>
            </a:r>
          </a:p>
        </c:rich>
      </c:tx>
      <c:layout>
        <c:manualLayout>
          <c:xMode val="edge"/>
          <c:yMode val="edge"/>
          <c:x val="0.21840531297224247"/>
          <c:y val="5.8995466475781494E-3"/>
        </c:manualLayout>
      </c:layout>
      <c:overlay val="1"/>
    </c:title>
    <c:plotArea>
      <c:layout>
        <c:manualLayout>
          <c:layoutTarget val="inner"/>
          <c:xMode val="edge"/>
          <c:yMode val="edge"/>
          <c:x val="0.19233542372088985"/>
          <c:y val="6.8149025619585149E-2"/>
          <c:w val="0.74106496229956065"/>
          <c:h val="0.48472626762362814"/>
        </c:manualLayout>
      </c:layout>
      <c:areaChart>
        <c:grouping val="stacked"/>
        <c:ser>
          <c:idx val="0"/>
          <c:order val="0"/>
          <c:tx>
            <c:strRef>
              <c:f>'Output tables'!$A$224</c:f>
              <c:strCache>
                <c:ptCount val="1"/>
                <c:pt idx="0">
                  <c:v>Existing coal Large</c:v>
                </c:pt>
              </c:strCache>
            </c:strRef>
          </c:tx>
          <c:cat>
            <c:numRef>
              <c:f>'Output tables'!$B$223:$AA$223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tables'!$B$224:$AA$224</c:f>
              <c:numCache>
                <c:formatCode>General</c:formatCode>
                <c:ptCount val="26"/>
                <c:pt idx="0">
                  <c:v>205.31813431055303</c:v>
                </c:pt>
                <c:pt idx="1">
                  <c:v>205.31813431055303</c:v>
                </c:pt>
                <c:pt idx="2">
                  <c:v>212.08181220449086</c:v>
                </c:pt>
                <c:pt idx="3">
                  <c:v>214.43789466120785</c:v>
                </c:pt>
                <c:pt idx="4">
                  <c:v>214.43789466120785</c:v>
                </c:pt>
                <c:pt idx="5">
                  <c:v>219.50036716210047</c:v>
                </c:pt>
                <c:pt idx="6">
                  <c:v>223.33805865190286</c:v>
                </c:pt>
                <c:pt idx="7">
                  <c:v>227.60396802282463</c:v>
                </c:pt>
                <c:pt idx="8">
                  <c:v>231.56640772212245</c:v>
                </c:pt>
                <c:pt idx="9">
                  <c:v>231.76564888474982</c:v>
                </c:pt>
                <c:pt idx="10">
                  <c:v>231.76564888474982</c:v>
                </c:pt>
                <c:pt idx="11">
                  <c:v>231.76564888474982</c:v>
                </c:pt>
                <c:pt idx="12">
                  <c:v>231.76564888474982</c:v>
                </c:pt>
                <c:pt idx="13">
                  <c:v>231.76564888474982</c:v>
                </c:pt>
                <c:pt idx="14">
                  <c:v>231.76564888474982</c:v>
                </c:pt>
                <c:pt idx="15">
                  <c:v>231.76564888474982</c:v>
                </c:pt>
                <c:pt idx="16">
                  <c:v>231.76564888474982</c:v>
                </c:pt>
                <c:pt idx="17">
                  <c:v>231.76564888474982</c:v>
                </c:pt>
                <c:pt idx="18">
                  <c:v>231.76564888474982</c:v>
                </c:pt>
                <c:pt idx="19">
                  <c:v>223.09468830818147</c:v>
                </c:pt>
                <c:pt idx="20">
                  <c:v>214.42372773161313</c:v>
                </c:pt>
                <c:pt idx="21">
                  <c:v>203.58502701090265</c:v>
                </c:pt>
                <c:pt idx="22">
                  <c:v>192.74632629019214</c:v>
                </c:pt>
                <c:pt idx="23">
                  <c:v>179.62579383880583</c:v>
                </c:pt>
                <c:pt idx="24">
                  <c:v>153.3847289360331</c:v>
                </c:pt>
                <c:pt idx="25">
                  <c:v>140.26419648464673</c:v>
                </c:pt>
              </c:numCache>
            </c:numRef>
          </c:val>
        </c:ser>
        <c:ser>
          <c:idx val="1"/>
          <c:order val="1"/>
          <c:tx>
            <c:strRef>
              <c:f>'Output tables'!$A$225</c:f>
              <c:strCache>
                <c:ptCount val="1"/>
                <c:pt idx="0">
                  <c:v>Existing coal Small</c:v>
                </c:pt>
              </c:strCache>
            </c:strRef>
          </c:tx>
          <c:cat>
            <c:numRef>
              <c:f>'Output tables'!$B$223:$AA$223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tables'!$B$225:$AA$225</c:f>
              <c:numCache>
                <c:formatCode>General</c:formatCode>
                <c:ptCount val="26"/>
                <c:pt idx="0">
                  <c:v>14.164264318167939</c:v>
                </c:pt>
                <c:pt idx="1">
                  <c:v>14.164264318167939</c:v>
                </c:pt>
                <c:pt idx="2">
                  <c:v>14.164264318167939</c:v>
                </c:pt>
                <c:pt idx="3">
                  <c:v>14.164264318167939</c:v>
                </c:pt>
                <c:pt idx="4">
                  <c:v>14.164264318167939</c:v>
                </c:pt>
                <c:pt idx="5">
                  <c:v>15.944426509208181</c:v>
                </c:pt>
                <c:pt idx="6">
                  <c:v>16.997406780335936</c:v>
                </c:pt>
                <c:pt idx="7">
                  <c:v>16.997406780335936</c:v>
                </c:pt>
                <c:pt idx="8">
                  <c:v>16.997406780335936</c:v>
                </c:pt>
                <c:pt idx="9">
                  <c:v>16.997406780335936</c:v>
                </c:pt>
                <c:pt idx="10">
                  <c:v>16.997406780335936</c:v>
                </c:pt>
                <c:pt idx="11">
                  <c:v>16.899667274971357</c:v>
                </c:pt>
                <c:pt idx="12">
                  <c:v>16.801927769606777</c:v>
                </c:pt>
                <c:pt idx="13">
                  <c:v>16.671608429120667</c:v>
                </c:pt>
                <c:pt idx="14">
                  <c:v>16.54128908863456</c:v>
                </c:pt>
                <c:pt idx="15">
                  <c:v>14.065221619398496</c:v>
                </c:pt>
                <c:pt idx="16">
                  <c:v>11.589154150162432</c:v>
                </c:pt>
                <c:pt idx="17">
                  <c:v>11.589154150162432</c:v>
                </c:pt>
                <c:pt idx="18">
                  <c:v>11.589154150162432</c:v>
                </c:pt>
                <c:pt idx="19">
                  <c:v>11.589154150162432</c:v>
                </c:pt>
                <c:pt idx="20">
                  <c:v>10.448280723840154</c:v>
                </c:pt>
                <c:pt idx="21">
                  <c:v>9.3074072975178783</c:v>
                </c:pt>
                <c:pt idx="22">
                  <c:v>9.3074072975178783</c:v>
                </c:pt>
                <c:pt idx="23">
                  <c:v>9.3074072975178783</c:v>
                </c:pt>
                <c:pt idx="24">
                  <c:v>9.3074072975178783</c:v>
                </c:pt>
                <c:pt idx="25">
                  <c:v>9.3074072975178783</c:v>
                </c:pt>
              </c:numCache>
            </c:numRef>
          </c:val>
        </c:ser>
        <c:ser>
          <c:idx val="2"/>
          <c:order val="2"/>
          <c:tx>
            <c:strRef>
              <c:f>'Output tables'!$A$226</c:f>
              <c:strCache>
                <c:ptCount val="1"/>
                <c:pt idx="0">
                  <c:v>OCGT liquid fuels</c:v>
                </c:pt>
              </c:strCache>
            </c:strRef>
          </c:tx>
          <c:cat>
            <c:numRef>
              <c:f>'Output tables'!$B$223:$AA$223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tables'!$B$226:$AA$226</c:f>
              <c:numCache>
                <c:formatCode>General</c:formatCode>
                <c:ptCount val="26"/>
                <c:pt idx="0">
                  <c:v>0.55239991945704037</c:v>
                </c:pt>
                <c:pt idx="1">
                  <c:v>0.55239991945704037</c:v>
                </c:pt>
                <c:pt idx="2">
                  <c:v>0.55239991945704037</c:v>
                </c:pt>
                <c:pt idx="3">
                  <c:v>0.55239991945704037</c:v>
                </c:pt>
                <c:pt idx="4">
                  <c:v>0.55239991945704037</c:v>
                </c:pt>
                <c:pt idx="5">
                  <c:v>0.55239991945704037</c:v>
                </c:pt>
                <c:pt idx="6">
                  <c:v>0.80097988321270841</c:v>
                </c:pt>
                <c:pt idx="7">
                  <c:v>0.80097988321270841</c:v>
                </c:pt>
                <c:pt idx="8">
                  <c:v>0.80097988321270841</c:v>
                </c:pt>
                <c:pt idx="9">
                  <c:v>0.80097988321270841</c:v>
                </c:pt>
                <c:pt idx="10">
                  <c:v>0.80097988321270841</c:v>
                </c:pt>
                <c:pt idx="11">
                  <c:v>0.80097988321270841</c:v>
                </c:pt>
                <c:pt idx="12">
                  <c:v>0.80097988321270841</c:v>
                </c:pt>
                <c:pt idx="13">
                  <c:v>0.80097988321270841</c:v>
                </c:pt>
                <c:pt idx="14">
                  <c:v>0.80097988321270841</c:v>
                </c:pt>
                <c:pt idx="15">
                  <c:v>0.80097988321270841</c:v>
                </c:pt>
                <c:pt idx="16">
                  <c:v>0.80097988321270841</c:v>
                </c:pt>
                <c:pt idx="17">
                  <c:v>0.80097988321270841</c:v>
                </c:pt>
                <c:pt idx="18">
                  <c:v>0.96669985904982081</c:v>
                </c:pt>
                <c:pt idx="19">
                  <c:v>0.96669985904982081</c:v>
                </c:pt>
                <c:pt idx="20">
                  <c:v>0.96669985904982081</c:v>
                </c:pt>
                <c:pt idx="21">
                  <c:v>1.1324198348869328</c:v>
                </c:pt>
                <c:pt idx="22">
                  <c:v>1.1324198348869328</c:v>
                </c:pt>
                <c:pt idx="23">
                  <c:v>1.1324198348869328</c:v>
                </c:pt>
                <c:pt idx="24">
                  <c:v>1.2981398107240447</c:v>
                </c:pt>
                <c:pt idx="25">
                  <c:v>1.2587813164627306</c:v>
                </c:pt>
              </c:numCache>
            </c:numRef>
          </c:val>
        </c:ser>
        <c:ser>
          <c:idx val="3"/>
          <c:order val="3"/>
          <c:tx>
            <c:strRef>
              <c:f>'Output tables'!$A$227</c:f>
              <c:strCache>
                <c:ptCount val="1"/>
                <c:pt idx="0">
                  <c:v>PWR nuclear</c:v>
                </c:pt>
              </c:strCache>
            </c:strRef>
          </c:tx>
          <c:cat>
            <c:numRef>
              <c:f>'Output tables'!$B$223:$AA$223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tables'!$B$227:$AA$227</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4"/>
          <c:order val="4"/>
          <c:tx>
            <c:strRef>
              <c:f>'Output tables'!$A$228</c:f>
              <c:strCache>
                <c:ptCount val="1"/>
                <c:pt idx="0">
                  <c:v>Hydro</c:v>
                </c:pt>
              </c:strCache>
            </c:strRef>
          </c:tx>
          <c:cat>
            <c:numRef>
              <c:f>'Output tables'!$B$223:$AA$223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tables'!$B$228:$AA$228</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5"/>
          <c:order val="5"/>
          <c:tx>
            <c:strRef>
              <c:f>'Output tables'!$A$229</c:f>
              <c:strCache>
                <c:ptCount val="1"/>
                <c:pt idx="0">
                  <c:v>Landfill gas</c:v>
                </c:pt>
              </c:strCache>
            </c:strRef>
          </c:tx>
          <c:cat>
            <c:numRef>
              <c:f>'Output tables'!$B$223:$AA$223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tables'!$B$229:$AA$229</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6"/>
          <c:order val="6"/>
          <c:tx>
            <c:strRef>
              <c:f>'Output tables'!$A$230</c:f>
              <c:strCache>
                <c:ptCount val="1"/>
                <c:pt idx="0">
                  <c:v>Biomass</c:v>
                </c:pt>
              </c:strCache>
            </c:strRef>
          </c:tx>
          <c:cat>
            <c:numRef>
              <c:f>'Output tables'!$B$223:$AA$223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tables'!$B$230:$AA$230</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7"/>
          <c:order val="7"/>
          <c:tx>
            <c:strRef>
              <c:f>'Output tables'!$A$231</c:f>
              <c:strCache>
                <c:ptCount val="1"/>
                <c:pt idx="0">
                  <c:v>Supercritical coal</c:v>
                </c:pt>
              </c:strCache>
            </c:strRef>
          </c:tx>
          <c:cat>
            <c:numRef>
              <c:f>'Output tables'!$B$223:$AA$223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tables'!$B$231:$AA$231</c:f>
              <c:numCache>
                <c:formatCode>General</c:formatCode>
                <c:ptCount val="26"/>
                <c:pt idx="0">
                  <c:v>0</c:v>
                </c:pt>
                <c:pt idx="1">
                  <c:v>0</c:v>
                </c:pt>
                <c:pt idx="2">
                  <c:v>0</c:v>
                </c:pt>
                <c:pt idx="3">
                  <c:v>0</c:v>
                </c:pt>
                <c:pt idx="4">
                  <c:v>0</c:v>
                </c:pt>
                <c:pt idx="5">
                  <c:v>0</c:v>
                </c:pt>
                <c:pt idx="6">
                  <c:v>0</c:v>
                </c:pt>
                <c:pt idx="7">
                  <c:v>1.5897728804899998</c:v>
                </c:pt>
                <c:pt idx="8">
                  <c:v>4.76931864147</c:v>
                </c:pt>
                <c:pt idx="9">
                  <c:v>12.941522995109445</c:v>
                </c:pt>
                <c:pt idx="10">
                  <c:v>20.752734510708375</c:v>
                </c:pt>
                <c:pt idx="11">
                  <c:v>29.072633915251078</c:v>
                </c:pt>
                <c:pt idx="12">
                  <c:v>37.256963286151127</c:v>
                </c:pt>
                <c:pt idx="13">
                  <c:v>45.910448324008541</c:v>
                </c:pt>
                <c:pt idx="14">
                  <c:v>54.965622350437165</c:v>
                </c:pt>
                <c:pt idx="15">
                  <c:v>65.851537713376061</c:v>
                </c:pt>
                <c:pt idx="16">
                  <c:v>77.209437637886197</c:v>
                </c:pt>
                <c:pt idx="17">
                  <c:v>86.824099733765138</c:v>
                </c:pt>
                <c:pt idx="18">
                  <c:v>96.920529941090919</c:v>
                </c:pt>
                <c:pt idx="19">
                  <c:v>115.71725469652476</c:v>
                </c:pt>
                <c:pt idx="20">
                  <c:v>135.85144693636423</c:v>
                </c:pt>
                <c:pt idx="21">
                  <c:v>158.73091336126248</c:v>
                </c:pt>
                <c:pt idx="22">
                  <c:v>181.43555848727209</c:v>
                </c:pt>
                <c:pt idx="23">
                  <c:v>206.67928887579041</c:v>
                </c:pt>
                <c:pt idx="24">
                  <c:v>244.36091197914661</c:v>
                </c:pt>
                <c:pt idx="25">
                  <c:v>266.58849708575184</c:v>
                </c:pt>
              </c:numCache>
            </c:numRef>
          </c:val>
        </c:ser>
        <c:ser>
          <c:idx val="8"/>
          <c:order val="8"/>
          <c:tx>
            <c:strRef>
              <c:f>'Output tables'!$A$232</c:f>
              <c:strCache>
                <c:ptCount val="1"/>
                <c:pt idx="0">
                  <c:v>Wind 30% </c:v>
                </c:pt>
              </c:strCache>
            </c:strRef>
          </c:tx>
          <c:cat>
            <c:numRef>
              <c:f>'Output tables'!$B$223:$AA$223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tables'!$B$232:$AA$232</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9"/>
          <c:order val="9"/>
          <c:tx>
            <c:strRef>
              <c:f>'Output tables'!$A$233</c:f>
              <c:strCache>
                <c:ptCount val="1"/>
                <c:pt idx="0">
                  <c:v>Wind 25%</c:v>
                </c:pt>
              </c:strCache>
            </c:strRef>
          </c:tx>
          <c:cat>
            <c:numRef>
              <c:f>'Output tables'!$B$223:$AA$223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tables'!$B$233:$AA$233</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0"/>
          <c:order val="10"/>
          <c:tx>
            <c:strRef>
              <c:f>'Output tables'!$A$234</c:f>
              <c:strCache>
                <c:ptCount val="1"/>
                <c:pt idx="0">
                  <c:v>solar thermal central reciever</c:v>
                </c:pt>
              </c:strCache>
            </c:strRef>
          </c:tx>
          <c:cat>
            <c:numRef>
              <c:f>'Output tables'!$B$223:$AA$223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tables'!$B$234:$AA$234</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1"/>
          <c:order val="11"/>
          <c:tx>
            <c:strRef>
              <c:f>'Output tables'!$A$235</c:f>
              <c:strCache>
                <c:ptCount val="1"/>
                <c:pt idx="0">
                  <c:v>solar thermal trough</c:v>
                </c:pt>
              </c:strCache>
            </c:strRef>
          </c:tx>
          <c:cat>
            <c:numRef>
              <c:f>'Output tables'!$B$223:$AA$223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tables'!$B$235:$AA$235</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2"/>
          <c:order val="12"/>
          <c:tx>
            <c:strRef>
              <c:f>'Output tables'!$A$236</c:f>
              <c:strCache>
                <c:ptCount val="1"/>
                <c:pt idx="0">
                  <c:v>solar PV</c:v>
                </c:pt>
              </c:strCache>
            </c:strRef>
          </c:tx>
          <c:cat>
            <c:numRef>
              <c:f>'Output tables'!$B$223:$AA$223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tables'!$B$236:$AA$236</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3"/>
          <c:order val="13"/>
          <c:tx>
            <c:strRef>
              <c:f>'Output tables'!$A$237</c:f>
              <c:strCache>
                <c:ptCount val="1"/>
                <c:pt idx="0">
                  <c:v>combined cycle gas</c:v>
                </c:pt>
              </c:strCache>
            </c:strRef>
          </c:tx>
          <c:cat>
            <c:numRef>
              <c:f>'Output tables'!$B$223:$AA$223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tables'!$B$237:$AA$237</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4"/>
          <c:order val="14"/>
          <c:tx>
            <c:strRef>
              <c:f>'Output tables'!$A$238</c:f>
              <c:strCache>
                <c:ptCount val="1"/>
                <c:pt idx="0">
                  <c:v>PBMR</c:v>
                </c:pt>
              </c:strCache>
            </c:strRef>
          </c:tx>
          <c:cat>
            <c:numRef>
              <c:f>'Output tables'!$B$223:$AA$223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tables'!$B$238:$AA$238</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5"/>
          <c:order val="15"/>
          <c:tx>
            <c:strRef>
              <c:f>'Output tables'!$A$239</c:f>
              <c:strCache>
                <c:ptCount val="1"/>
                <c:pt idx="0">
                  <c:v>IGCC</c:v>
                </c:pt>
              </c:strCache>
            </c:strRef>
          </c:tx>
          <c:cat>
            <c:numRef>
              <c:f>'Output tables'!$B$223:$AA$223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tables'!$B$239:$AA$239</c:f>
              <c:numCache>
                <c:formatCode>General</c:formatCode>
                <c:ptCount val="26"/>
                <c:pt idx="0">
                  <c:v>0</c:v>
                </c:pt>
                <c:pt idx="1">
                  <c:v>2.602576242861687E-14</c:v>
                </c:pt>
                <c:pt idx="2">
                  <c:v>0</c:v>
                </c:pt>
                <c:pt idx="3">
                  <c:v>2.602576242861687E-14</c:v>
                </c:pt>
                <c:pt idx="4">
                  <c:v>2.602576242861687E-14</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6"/>
          <c:order val="16"/>
          <c:tx>
            <c:strRef>
              <c:f>'Output tables'!$A$240</c:f>
              <c:strCache>
                <c:ptCount val="1"/>
                <c:pt idx="0">
                  <c:v>-</c:v>
                </c:pt>
              </c:strCache>
            </c:strRef>
          </c:tx>
          <c:cat>
            <c:numRef>
              <c:f>'Output tables'!$B$223:$AA$223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tables'!$B$240:$AA$240</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7"/>
          <c:order val="17"/>
          <c:tx>
            <c:strRef>
              <c:f>'Output tables'!$A$241</c:f>
              <c:strCache>
                <c:ptCount val="1"/>
                <c:pt idx="0">
                  <c:v>-</c:v>
                </c:pt>
              </c:strCache>
            </c:strRef>
          </c:tx>
          <c:cat>
            <c:numRef>
              <c:f>'Output tables'!$B$223:$AA$223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tables'!$B$241:$AA$241</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8"/>
          <c:order val="18"/>
          <c:tx>
            <c:strRef>
              <c:f>'Output tables'!$A$242</c:f>
              <c:strCache>
                <c:ptCount val="1"/>
                <c:pt idx="0">
                  <c:v>-</c:v>
                </c:pt>
              </c:strCache>
            </c:strRef>
          </c:tx>
          <c:cat>
            <c:numRef>
              <c:f>'Output tables'!$B$223:$AA$223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tables'!$B$242:$AA$242</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9"/>
          <c:order val="19"/>
          <c:tx>
            <c:strRef>
              <c:f>'Output tables'!$A$243</c:f>
              <c:strCache>
                <c:ptCount val="1"/>
                <c:pt idx="0">
                  <c:v>Pumped storage</c:v>
                </c:pt>
              </c:strCache>
            </c:strRef>
          </c:tx>
          <c:cat>
            <c:numRef>
              <c:f>'Output tables'!$B$223:$AA$223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tables'!$B$243:$AA$243</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axId val="108967040"/>
        <c:axId val="108968576"/>
      </c:areaChart>
      <c:catAx>
        <c:axId val="108967040"/>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08968576"/>
        <c:crosses val="autoZero"/>
        <c:auto val="1"/>
        <c:lblAlgn val="ctr"/>
        <c:lblOffset val="100"/>
      </c:catAx>
      <c:valAx>
        <c:axId val="108968576"/>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 CO2-eq</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8967040"/>
        <c:crosses val="autoZero"/>
        <c:crossBetween val="midCat"/>
      </c:valAx>
    </c:plotArea>
    <c:legend>
      <c:legendPos val="b"/>
      <c:layout>
        <c:manualLayout>
          <c:xMode val="edge"/>
          <c:yMode val="edge"/>
          <c:x val="1.4929345952968E-2"/>
          <c:y val="0.66274588403722334"/>
          <c:w val="0.92942840478273536"/>
          <c:h val="0.31955499880696775"/>
        </c:manualLayout>
      </c:layout>
      <c:txPr>
        <a:bodyPr/>
        <a:lstStyle/>
        <a:p>
          <a:pPr>
            <a:defRPr lang="en-ZA" sz="845" b="0" i="0" u="none" strike="noStrike" baseline="0">
              <a:solidFill>
                <a:srgbClr val="000000"/>
              </a:solidFill>
              <a:latin typeface="Calibri"/>
              <a:ea typeface="Calibri"/>
              <a:cs typeface="Calibri"/>
            </a:defRPr>
          </a:pPr>
          <a:endParaRPr lang="en-US"/>
        </a:p>
      </c:txPr>
    </c:legend>
    <c:plotVisOnly val="1"/>
    <c:dispBlanksAs val="zero"/>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2" l="0.70000000000000062" r="0.70000000000000062" t="0.750000000000002" header="0.30000000000000032" footer="0.30000000000000032"/>
    <c:pageSetup/>
  </c:printSettings>
</c:chartSpace>
</file>

<file path=xl/charts/chart54.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050" b="1" i="0" u="none" strike="noStrike" baseline="0">
                <a:solidFill>
                  <a:srgbClr val="000000"/>
                </a:solidFill>
                <a:latin typeface="Calibri"/>
                <a:ea typeface="Calibri"/>
                <a:cs typeface="Calibri"/>
              </a:defRPr>
            </a:pPr>
            <a:r>
              <a:rPr lang="en-ZA"/>
              <a:t>SOx emissions</a:t>
            </a:r>
          </a:p>
        </c:rich>
      </c:tx>
    </c:title>
    <c:plotArea>
      <c:layout>
        <c:manualLayout>
          <c:layoutTarget val="inner"/>
          <c:xMode val="edge"/>
          <c:yMode val="edge"/>
          <c:x val="0.22583305762968187"/>
          <c:y val="0.11860843721342183"/>
          <c:w val="0.71595344004549855"/>
          <c:h val="0.64309170738920174"/>
        </c:manualLayout>
      </c:layout>
      <c:lineChart>
        <c:grouping val="standard"/>
        <c:ser>
          <c:idx val="0"/>
          <c:order val="0"/>
          <c:tx>
            <c:strRef>
              <c:f>'Output tables'!$A$259</c:f>
              <c:strCache>
                <c:ptCount val="1"/>
                <c:pt idx="0">
                  <c:v>SOx emissions</c:v>
                </c:pt>
              </c:strCache>
            </c:strRef>
          </c:tx>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tables'!$B$259:$AA$259</c:f>
              <c:numCache>
                <c:formatCode>General</c:formatCode>
                <c:ptCount val="26"/>
                <c:pt idx="0">
                  <c:v>1.3313893391371041</c:v>
                </c:pt>
                <c:pt idx="1">
                  <c:v>1.3313893391371041</c:v>
                </c:pt>
                <c:pt idx="2">
                  <c:v>1.3751866101901404</c:v>
                </c:pt>
                <c:pt idx="3">
                  <c:v>1.3904430998690211</c:v>
                </c:pt>
                <c:pt idx="4">
                  <c:v>1.3904430998690211</c:v>
                </c:pt>
                <c:pt idx="5">
                  <c:v>1.4232244480936109</c:v>
                </c:pt>
                <c:pt idx="6">
                  <c:v>1.4489208243110523</c:v>
                </c:pt>
                <c:pt idx="7">
                  <c:v>1.4765441369429868</c:v>
                </c:pt>
                <c:pt idx="8">
                  <c:v>1.5022023732254983</c:v>
                </c:pt>
                <c:pt idx="9">
                  <c:v>1.503492532121494</c:v>
                </c:pt>
                <c:pt idx="10">
                  <c:v>1.503492532121494</c:v>
                </c:pt>
                <c:pt idx="11">
                  <c:v>1.503492532121494</c:v>
                </c:pt>
                <c:pt idx="12">
                  <c:v>1.503492532121494</c:v>
                </c:pt>
                <c:pt idx="13">
                  <c:v>1.503492532121494</c:v>
                </c:pt>
                <c:pt idx="14">
                  <c:v>1.503492532121494</c:v>
                </c:pt>
                <c:pt idx="15">
                  <c:v>1.503492532121494</c:v>
                </c:pt>
                <c:pt idx="16">
                  <c:v>1.503492532121494</c:v>
                </c:pt>
                <c:pt idx="17">
                  <c:v>1.503492532121494</c:v>
                </c:pt>
                <c:pt idx="18">
                  <c:v>1.5040564853896354</c:v>
                </c:pt>
                <c:pt idx="19">
                  <c:v>1.4479088662070998</c:v>
                </c:pt>
                <c:pt idx="20">
                  <c:v>1.3917612470245642</c:v>
                </c:pt>
                <c:pt idx="21">
                  <c:v>1.3221406763145358</c:v>
                </c:pt>
                <c:pt idx="22">
                  <c:v>1.251956152336366</c:v>
                </c:pt>
                <c:pt idx="23">
                  <c:v>1.1669959390996345</c:v>
                </c:pt>
                <c:pt idx="24">
                  <c:v>0.99763946589431252</c:v>
                </c:pt>
                <c:pt idx="25">
                  <c:v>0.91254531375639703</c:v>
                </c:pt>
              </c:numCache>
            </c:numRef>
          </c:val>
        </c:ser>
        <c:marker val="1"/>
        <c:axId val="109127936"/>
        <c:axId val="109137920"/>
      </c:lineChart>
      <c:catAx>
        <c:axId val="109127936"/>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09137920"/>
        <c:crosses val="autoZero"/>
        <c:auto val="1"/>
        <c:lblAlgn val="ctr"/>
        <c:lblOffset val="100"/>
      </c:catAx>
      <c:valAx>
        <c:axId val="109137920"/>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9127936"/>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2" l="0.70000000000000062" r="0.70000000000000062" t="0.750000000000002" header="0.30000000000000032" footer="0.30000000000000032"/>
    <c:pageSetup/>
  </c:printSettings>
</c:chartSpace>
</file>

<file path=xl/charts/chart55.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050" b="1" i="0" u="none" strike="noStrike" baseline="0">
                <a:solidFill>
                  <a:srgbClr val="000000"/>
                </a:solidFill>
                <a:latin typeface="Calibri"/>
                <a:ea typeface="Calibri"/>
                <a:cs typeface="Calibri"/>
              </a:defRPr>
            </a:pPr>
            <a:r>
              <a:rPr lang="en-ZA"/>
              <a:t>NOx emissions</a:t>
            </a:r>
          </a:p>
        </c:rich>
      </c:tx>
      <c:layout>
        <c:manualLayout>
          <c:xMode val="edge"/>
          <c:yMode val="edge"/>
          <c:x val="0.38354115571619113"/>
          <c:y val="1.552700649260948E-2"/>
        </c:manualLayout>
      </c:layout>
    </c:title>
    <c:plotArea>
      <c:layout>
        <c:manualLayout>
          <c:layoutTarget val="inner"/>
          <c:xMode val="edge"/>
          <c:yMode val="edge"/>
          <c:x val="0.22921073068113729"/>
          <c:y val="0.11835241950649755"/>
          <c:w val="0.7114103433700002"/>
          <c:h val="0.63433880136775433"/>
        </c:manualLayout>
      </c:layout>
      <c:lineChart>
        <c:grouping val="standard"/>
        <c:ser>
          <c:idx val="0"/>
          <c:order val="0"/>
          <c:tx>
            <c:strRef>
              <c:f>'Output tables'!$A$260</c:f>
              <c:strCache>
                <c:ptCount val="1"/>
                <c:pt idx="0">
                  <c:v>NOx emissions</c:v>
                </c:pt>
              </c:strCache>
            </c:strRef>
          </c:tx>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tables'!$B$260:$AA$260</c:f>
              <c:numCache>
                <c:formatCode>General</c:formatCode>
                <c:ptCount val="26"/>
                <c:pt idx="0">
                  <c:v>0.68236889703791037</c:v>
                </c:pt>
                <c:pt idx="1">
                  <c:v>0.68236889703791048</c:v>
                </c:pt>
                <c:pt idx="2">
                  <c:v>0.70335130092789899</c:v>
                </c:pt>
                <c:pt idx="3">
                  <c:v>0.71066038253707231</c:v>
                </c:pt>
                <c:pt idx="4">
                  <c:v>0.71066038253707231</c:v>
                </c:pt>
                <c:pt idx="5">
                  <c:v>0.73188772763380827</c:v>
                </c:pt>
                <c:pt idx="6">
                  <c:v>0.74772864173364495</c:v>
                </c:pt>
                <c:pt idx="7">
                  <c:v>0.76589424511944237</c:v>
                </c:pt>
                <c:pt idx="8">
                  <c:v>0.78805024158377557</c:v>
                </c:pt>
                <c:pt idx="9">
                  <c:v>0.81402029126972819</c:v>
                </c:pt>
                <c:pt idx="10">
                  <c:v>0.83825237290645516</c:v>
                </c:pt>
                <c:pt idx="11">
                  <c:v>0.86375930605110585</c:v>
                </c:pt>
                <c:pt idx="12">
                  <c:v>0.88884567138547987</c:v>
                </c:pt>
                <c:pt idx="13">
                  <c:v>0.91528639016125557</c:v>
                </c:pt>
                <c:pt idx="14">
                  <c:v>0.94297323578229642</c:v>
                </c:pt>
                <c:pt idx="15">
                  <c:v>0.9690624180180738</c:v>
                </c:pt>
                <c:pt idx="16">
                  <c:v>0.99661579929703792</c:v>
                </c:pt>
                <c:pt idx="17">
                  <c:v>1.0264425779409931</c:v>
                </c:pt>
                <c:pt idx="18">
                  <c:v>1.0582098954739871</c:v>
                </c:pt>
                <c:pt idx="19">
                  <c:v>1.08962222424354</c:v>
                </c:pt>
                <c:pt idx="20">
                  <c:v>1.1216444306556661</c:v>
                </c:pt>
                <c:pt idx="21">
                  <c:v>1.1559042627552485</c:v>
                </c:pt>
                <c:pt idx="22">
                  <c:v>1.1927150100960242</c:v>
                </c:pt>
                <c:pt idx="23">
                  <c:v>1.2303238139959218</c:v>
                </c:pt>
                <c:pt idx="24">
                  <c:v>1.2662609096994066</c:v>
                </c:pt>
                <c:pt idx="25">
                  <c:v>1.2944070507350918</c:v>
                </c:pt>
              </c:numCache>
            </c:numRef>
          </c:val>
        </c:ser>
        <c:marker val="1"/>
        <c:axId val="109157760"/>
        <c:axId val="109171840"/>
      </c:lineChart>
      <c:catAx>
        <c:axId val="109157760"/>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09171840"/>
        <c:crosses val="autoZero"/>
        <c:auto val="1"/>
        <c:lblAlgn val="ctr"/>
        <c:lblOffset val="100"/>
      </c:catAx>
      <c:valAx>
        <c:axId val="109171840"/>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9157760"/>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222" l="0.70000000000000062" r="0.70000000000000062" t="0.75000000000000222" header="0.30000000000000032" footer="0.30000000000000032"/>
    <c:pageSetup/>
  </c:printSettings>
</c:chartSpace>
</file>

<file path=xl/charts/chart56.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050" b="1" i="0" u="none" strike="noStrike" baseline="0">
                <a:solidFill>
                  <a:srgbClr val="000000"/>
                </a:solidFill>
                <a:latin typeface="Calibri"/>
                <a:ea typeface="Calibri"/>
                <a:cs typeface="Calibri"/>
              </a:defRPr>
            </a:pPr>
            <a:r>
              <a:rPr lang="en-ZA"/>
              <a:t>CO emissions</a:t>
            </a:r>
          </a:p>
        </c:rich>
      </c:tx>
      <c:layout>
        <c:manualLayout>
          <c:xMode val="edge"/>
          <c:yMode val="edge"/>
          <c:x val="0.34516358294719335"/>
          <c:y val="3.03029884422342E-2"/>
        </c:manualLayout>
      </c:layout>
    </c:title>
    <c:plotArea>
      <c:layout>
        <c:manualLayout>
          <c:layoutTarget val="inner"/>
          <c:xMode val="edge"/>
          <c:yMode val="edge"/>
          <c:x val="0.23495608883591568"/>
          <c:y val="0.14829441971927479"/>
          <c:w val="0.70692168709344316"/>
          <c:h val="0.61063517060367833"/>
        </c:manualLayout>
      </c:layout>
      <c:lineChart>
        <c:grouping val="standard"/>
        <c:ser>
          <c:idx val="0"/>
          <c:order val="0"/>
          <c:tx>
            <c:strRef>
              <c:f>'Output tables'!$A$261</c:f>
              <c:strCache>
                <c:ptCount val="1"/>
                <c:pt idx="0">
                  <c:v>CO emissions</c:v>
                </c:pt>
              </c:strCache>
            </c:strRef>
          </c:tx>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tables'!$B$261:$AA$261</c:f>
              <c:numCache>
                <c:formatCode>General</c:formatCode>
                <c:ptCount val="26"/>
                <c:pt idx="0">
                  <c:v>4.5503648389763007E-2</c:v>
                </c:pt>
                <c:pt idx="1">
                  <c:v>4.5503648389763014E-2</c:v>
                </c:pt>
                <c:pt idx="2">
                  <c:v>4.6902475315762256E-2</c:v>
                </c:pt>
                <c:pt idx="3">
                  <c:v>4.7389747423040474E-2</c:v>
                </c:pt>
                <c:pt idx="4">
                  <c:v>4.7389747423040474E-2</c:v>
                </c:pt>
                <c:pt idx="5">
                  <c:v>4.8804903762822871E-2</c:v>
                </c:pt>
                <c:pt idx="6">
                  <c:v>4.9866539567068026E-2</c:v>
                </c:pt>
                <c:pt idx="7">
                  <c:v>5.1077579792787854E-2</c:v>
                </c:pt>
                <c:pt idx="8">
                  <c:v>5.2554646223743395E-2</c:v>
                </c:pt>
                <c:pt idx="9">
                  <c:v>5.4285982869473573E-2</c:v>
                </c:pt>
                <c:pt idx="10">
                  <c:v>5.5901454978588706E-2</c:v>
                </c:pt>
                <c:pt idx="11">
                  <c:v>5.7601917188232078E-2</c:v>
                </c:pt>
                <c:pt idx="12">
                  <c:v>5.9274341543857016E-2</c:v>
                </c:pt>
                <c:pt idx="13">
                  <c:v>6.103705612890873E-2</c:v>
                </c:pt>
                <c:pt idx="14">
                  <c:v>6.2882845836978118E-2</c:v>
                </c:pt>
                <c:pt idx="15">
                  <c:v>6.4622124652696608E-2</c:v>
                </c:pt>
                <c:pt idx="16">
                  <c:v>6.6459016737960883E-2</c:v>
                </c:pt>
                <c:pt idx="17">
                  <c:v>6.8447468647557894E-2</c:v>
                </c:pt>
                <c:pt idx="18">
                  <c:v>7.0569006392594849E-2</c:v>
                </c:pt>
                <c:pt idx="19">
                  <c:v>7.2663161643898397E-2</c:v>
                </c:pt>
                <c:pt idx="20">
                  <c:v>7.4797975404706799E-2</c:v>
                </c:pt>
                <c:pt idx="21">
                  <c:v>7.7085680787516306E-2</c:v>
                </c:pt>
                <c:pt idx="22">
                  <c:v>7.9539730610234699E-2</c:v>
                </c:pt>
                <c:pt idx="23">
                  <c:v>8.2046984203561213E-2</c:v>
                </c:pt>
                <c:pt idx="24">
                  <c:v>8.4446507159964213E-2</c:v>
                </c:pt>
                <c:pt idx="25">
                  <c:v>8.6322033875502691E-2</c:v>
                </c:pt>
              </c:numCache>
            </c:numRef>
          </c:val>
        </c:ser>
        <c:marker val="1"/>
        <c:axId val="109249280"/>
        <c:axId val="109250816"/>
      </c:lineChart>
      <c:catAx>
        <c:axId val="109249280"/>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09250816"/>
        <c:crosses val="autoZero"/>
        <c:auto val="1"/>
        <c:lblAlgn val="ctr"/>
        <c:lblOffset val="100"/>
      </c:catAx>
      <c:valAx>
        <c:axId val="109250816"/>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9249280"/>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222" l="0.70000000000000062" r="0.70000000000000062" t="0.75000000000000222" header="0.30000000000000032" footer="0.30000000000000032"/>
    <c:pageSetup/>
  </c:printSettings>
</c:chartSpace>
</file>

<file path=xl/charts/chart57.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050" b="1" i="0" u="none" strike="noStrike" baseline="0">
                <a:solidFill>
                  <a:srgbClr val="000000"/>
                </a:solidFill>
                <a:latin typeface="Calibri"/>
                <a:ea typeface="Calibri"/>
                <a:cs typeface="Calibri"/>
              </a:defRPr>
            </a:pPr>
            <a:r>
              <a:rPr lang="en-ZA"/>
              <a:t>NMVOC emissions</a:t>
            </a:r>
          </a:p>
        </c:rich>
      </c:tx>
      <c:layout>
        <c:manualLayout>
          <c:xMode val="edge"/>
          <c:yMode val="edge"/>
          <c:x val="0.28145296652733232"/>
          <c:y val="1.7283522379085883E-2"/>
        </c:manualLayout>
      </c:layout>
    </c:title>
    <c:plotArea>
      <c:layout>
        <c:manualLayout>
          <c:layoutTarget val="inner"/>
          <c:xMode val="edge"/>
          <c:yMode val="edge"/>
          <c:x val="0.25838843478590906"/>
          <c:y val="0.11977410202879973"/>
          <c:w val="0.68048639721374049"/>
          <c:h val="0.60513628004162656"/>
        </c:manualLayout>
      </c:layout>
      <c:lineChart>
        <c:grouping val="standard"/>
        <c:ser>
          <c:idx val="0"/>
          <c:order val="0"/>
          <c:tx>
            <c:strRef>
              <c:f>'Output tables'!$A$262</c:f>
              <c:strCache>
                <c:ptCount val="1"/>
                <c:pt idx="0">
                  <c:v>NMVOC emissions</c:v>
                </c:pt>
              </c:strCache>
            </c:strRef>
          </c:tx>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tables'!$B$262:$AA$262</c:f>
              <c:numCache>
                <c:formatCode>General</c:formatCode>
                <c:ptCount val="26"/>
                <c:pt idx="0">
                  <c:v>1.1385203537867488E-2</c:v>
                </c:pt>
                <c:pt idx="1">
                  <c:v>1.138520353786749E-2</c:v>
                </c:pt>
                <c:pt idx="2">
                  <c:v>1.17349102693673E-2</c:v>
                </c:pt>
                <c:pt idx="3">
                  <c:v>1.1856728296186855E-2</c:v>
                </c:pt>
                <c:pt idx="4">
                  <c:v>1.1856728296186855E-2</c:v>
                </c:pt>
                <c:pt idx="5">
                  <c:v>1.2210517381132454E-2</c:v>
                </c:pt>
                <c:pt idx="6">
                  <c:v>1.2480107480385777E-2</c:v>
                </c:pt>
                <c:pt idx="7">
                  <c:v>1.2782867536815734E-2</c:v>
                </c:pt>
                <c:pt idx="8">
                  <c:v>1.3152134144554619E-2</c:v>
                </c:pt>
                <c:pt idx="9">
                  <c:v>1.3584968305987166E-2</c:v>
                </c:pt>
                <c:pt idx="10">
                  <c:v>1.3988836333265947E-2</c:v>
                </c:pt>
                <c:pt idx="11">
                  <c:v>1.441395188567679E-2</c:v>
                </c:pt>
                <c:pt idx="12">
                  <c:v>1.4832057974583025E-2</c:v>
                </c:pt>
                <c:pt idx="13">
                  <c:v>1.5272736620845953E-2</c:v>
                </c:pt>
                <c:pt idx="14">
                  <c:v>1.5734184047863302E-2</c:v>
                </c:pt>
                <c:pt idx="15">
                  <c:v>1.6169003751792921E-2</c:v>
                </c:pt>
                <c:pt idx="16">
                  <c:v>1.6628226773108989E-2</c:v>
                </c:pt>
                <c:pt idx="17">
                  <c:v>1.7125339750508242E-2</c:v>
                </c:pt>
                <c:pt idx="18">
                  <c:v>1.7658511618895503E-2</c:v>
                </c:pt>
                <c:pt idx="19">
                  <c:v>1.8182050431721389E-2</c:v>
                </c:pt>
                <c:pt idx="20">
                  <c:v>1.871575387192349E-2</c:v>
                </c:pt>
                <c:pt idx="21">
                  <c:v>1.9290467649753888E-2</c:v>
                </c:pt>
                <c:pt idx="22">
                  <c:v>1.990398010543349E-2</c:v>
                </c:pt>
                <c:pt idx="23">
                  <c:v>2.0530793503765115E-2</c:v>
                </c:pt>
                <c:pt idx="24">
                  <c:v>2.1133461674993886E-2</c:v>
                </c:pt>
                <c:pt idx="25">
                  <c:v>2.1601681338748104E-2</c:v>
                </c:pt>
              </c:numCache>
            </c:numRef>
          </c:val>
        </c:ser>
        <c:marker val="1"/>
        <c:axId val="109287296"/>
        <c:axId val="109288832"/>
      </c:lineChart>
      <c:catAx>
        <c:axId val="109287296"/>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09288832"/>
        <c:crosses val="autoZero"/>
        <c:auto val="1"/>
        <c:lblAlgn val="ctr"/>
        <c:lblOffset val="100"/>
      </c:catAx>
      <c:valAx>
        <c:axId val="109288832"/>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9287296"/>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222" l="0.70000000000000062" r="0.70000000000000062" t="0.75000000000000222" header="0.30000000000000032" footer="0.30000000000000032"/>
    <c:pageSetup/>
  </c:printSettings>
</c:chartSpace>
</file>

<file path=xl/charts/chart58.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050" b="1" i="0" u="none" strike="noStrike" baseline="0">
                <a:solidFill>
                  <a:srgbClr val="000000"/>
                </a:solidFill>
                <a:latin typeface="Calibri"/>
                <a:ea typeface="Calibri"/>
                <a:cs typeface="Calibri"/>
              </a:defRPr>
            </a:pPr>
            <a:r>
              <a:rPr lang="en-ZA"/>
              <a:t>GHG emissions </a:t>
            </a:r>
          </a:p>
        </c:rich>
      </c:tx>
      <c:layout>
        <c:manualLayout>
          <c:xMode val="edge"/>
          <c:yMode val="edge"/>
          <c:x val="0.37703152985705152"/>
          <c:y val="2.3952095808383235E-2"/>
        </c:manualLayout>
      </c:layout>
      <c:overlay val="1"/>
    </c:title>
    <c:plotArea>
      <c:layout>
        <c:manualLayout>
          <c:layoutTarget val="inner"/>
          <c:xMode val="edge"/>
          <c:yMode val="edge"/>
          <c:x val="0.10680342871251523"/>
          <c:y val="0.19467108012772291"/>
          <c:w val="0.83507441937856286"/>
          <c:h val="0.41813971883651524"/>
        </c:manualLayout>
      </c:layout>
      <c:lineChart>
        <c:grouping val="standard"/>
        <c:ser>
          <c:idx val="0"/>
          <c:order val="0"/>
          <c:tx>
            <c:strRef>
              <c:f>'Output tables'!$A$291</c:f>
              <c:strCache>
                <c:ptCount val="1"/>
                <c:pt idx="0">
                  <c:v>GHG emissions</c:v>
                </c:pt>
              </c:strCache>
            </c:strRef>
          </c:tx>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tables'!$BW$291:$CV$291</c:f>
              <c:numCache>
                <c:formatCode>General</c:formatCode>
                <c:ptCount val="26"/>
                <c:pt idx="0">
                  <c:v>0</c:v>
                </c:pt>
                <c:pt idx="1">
                  <c:v>0</c:v>
                </c:pt>
                <c:pt idx="2">
                  <c:v>0</c:v>
                </c:pt>
                <c:pt idx="3">
                  <c:v>0</c:v>
                </c:pt>
                <c:pt idx="4">
                  <c:v>0</c:v>
                </c:pt>
                <c:pt idx="5">
                  <c:v>0</c:v>
                </c:pt>
                <c:pt idx="6">
                  <c:v>0</c:v>
                </c:pt>
                <c:pt idx="7">
                  <c:v>1.5897728804899998</c:v>
                </c:pt>
                <c:pt idx="8">
                  <c:v>4.76931864147</c:v>
                </c:pt>
                <c:pt idx="9">
                  <c:v>12.941522995109445</c:v>
                </c:pt>
                <c:pt idx="10">
                  <c:v>20.752734510708375</c:v>
                </c:pt>
                <c:pt idx="11">
                  <c:v>29.072633915251078</c:v>
                </c:pt>
                <c:pt idx="12">
                  <c:v>37.256963286151127</c:v>
                </c:pt>
                <c:pt idx="13">
                  <c:v>45.910448324008541</c:v>
                </c:pt>
                <c:pt idx="14">
                  <c:v>54.965622350437165</c:v>
                </c:pt>
                <c:pt idx="15">
                  <c:v>65.851537713376061</c:v>
                </c:pt>
                <c:pt idx="16">
                  <c:v>77.209437637886197</c:v>
                </c:pt>
                <c:pt idx="17">
                  <c:v>86.824099733765138</c:v>
                </c:pt>
                <c:pt idx="18">
                  <c:v>96.920529941090919</c:v>
                </c:pt>
                <c:pt idx="19">
                  <c:v>115.71725469652476</c:v>
                </c:pt>
                <c:pt idx="20">
                  <c:v>135.85144693636423</c:v>
                </c:pt>
                <c:pt idx="21">
                  <c:v>158.73091336126248</c:v>
                </c:pt>
                <c:pt idx="22">
                  <c:v>181.43555848727209</c:v>
                </c:pt>
                <c:pt idx="23">
                  <c:v>206.67928887579041</c:v>
                </c:pt>
                <c:pt idx="24">
                  <c:v>244.36091197914661</c:v>
                </c:pt>
                <c:pt idx="25">
                  <c:v>266.58849708575184</c:v>
                </c:pt>
              </c:numCache>
            </c:numRef>
          </c:val>
        </c:ser>
        <c:marker val="1"/>
        <c:axId val="109186048"/>
        <c:axId val="109212416"/>
      </c:lineChart>
      <c:catAx>
        <c:axId val="109186048"/>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09212416"/>
        <c:crosses val="autoZero"/>
        <c:auto val="1"/>
        <c:lblAlgn val="ctr"/>
        <c:lblOffset val="100"/>
      </c:catAx>
      <c:valAx>
        <c:axId val="109212416"/>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9186048"/>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333" l="0.70000000000000062" r="0.70000000000000062" t="0.75000000000000333" header="0.30000000000000032" footer="0.30000000000000032"/>
    <c:pageSetup/>
  </c:printSettings>
</c:chartSpace>
</file>

<file path=xl/charts/chart59.xml><?xml version="1.0" encoding="utf-8"?>
<c:chartSpace xmlns:c="http://schemas.openxmlformats.org/drawingml/2006/chart" xmlns:a="http://schemas.openxmlformats.org/drawingml/2006/main" xmlns:r="http://schemas.openxmlformats.org/officeDocument/2006/relationships">
  <c:lang val="en-ZA"/>
  <c:chart>
    <c:title>
      <c:tx>
        <c:strRef>
          <c:f>'Output tables'!$A$292</c:f>
          <c:strCache>
            <c:ptCount val="1"/>
            <c:pt idx="0">
              <c:v>SOx emissions</c:v>
            </c:pt>
          </c:strCache>
        </c:strRef>
      </c:tx>
      <c:layout>
        <c:manualLayout>
          <c:xMode val="edge"/>
          <c:yMode val="edge"/>
          <c:x val="0.37703173466952994"/>
          <c:y val="2.3952005999250087E-2"/>
        </c:manualLayout>
      </c:layout>
      <c:overlay val="1"/>
      <c:txPr>
        <a:bodyPr/>
        <a:lstStyle/>
        <a:p>
          <a:pPr>
            <a:defRPr lang="en-ZA" sz="1050" b="1" i="0" u="none" strike="noStrike" baseline="0">
              <a:solidFill>
                <a:srgbClr val="000000"/>
              </a:solidFill>
              <a:latin typeface="Calibri"/>
              <a:ea typeface="Calibri"/>
              <a:cs typeface="Calibri"/>
            </a:defRPr>
          </a:pPr>
          <a:endParaRPr lang="en-US"/>
        </a:p>
      </c:txPr>
    </c:title>
    <c:plotArea>
      <c:layout>
        <c:manualLayout>
          <c:layoutTarget val="inner"/>
          <c:xMode val="edge"/>
          <c:yMode val="edge"/>
          <c:x val="0.2424899821092916"/>
          <c:y val="0.17959580052493501"/>
          <c:w val="0.65512209252107734"/>
          <c:h val="0.40620322459692415"/>
        </c:manualLayout>
      </c:layout>
      <c:lineChart>
        <c:grouping val="standard"/>
        <c:ser>
          <c:idx val="0"/>
          <c:order val="0"/>
          <c:tx>
            <c:strRef>
              <c:f>'Output tables'!$A$292</c:f>
              <c:strCache>
                <c:ptCount val="1"/>
                <c:pt idx="0">
                  <c:v>SOx emissions</c:v>
                </c:pt>
              </c:strCache>
            </c:strRef>
          </c:tx>
          <c:marker>
            <c:symbol val="none"/>
          </c:marker>
          <c:cat>
            <c:numRef>
              <c:f>'Output tables'!$BW$258:$CV$258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tables'!$BW$292:$CV$292</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marker val="1"/>
        <c:axId val="109236608"/>
        <c:axId val="109238144"/>
      </c:lineChart>
      <c:catAx>
        <c:axId val="109236608"/>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09238144"/>
        <c:crosses val="autoZero"/>
        <c:auto val="1"/>
        <c:lblAlgn val="ctr"/>
        <c:lblOffset val="100"/>
      </c:catAx>
      <c:valAx>
        <c:axId val="109238144"/>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9236608"/>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4" l="0.70000000000000062" r="0.70000000000000062" t="0.750000000000004" header="0.30000000000000032" footer="0.30000000000000032"/>
    <c:pageSetup/>
  </c:printSettings>
</c:chartSpace>
</file>

<file path=xl/charts/chart60.xml><?xml version="1.0" encoding="utf-8"?>
<c:chartSpace xmlns:c="http://schemas.openxmlformats.org/drawingml/2006/chart" xmlns:a="http://schemas.openxmlformats.org/drawingml/2006/main" xmlns:r="http://schemas.openxmlformats.org/officeDocument/2006/relationships">
  <c:lang val="en-ZA"/>
  <c:chart>
    <c:title>
      <c:tx>
        <c:strRef>
          <c:f>'Output tables'!$A$293</c:f>
          <c:strCache>
            <c:ptCount val="1"/>
            <c:pt idx="0">
              <c:v>NOx emissions</c:v>
            </c:pt>
          </c:strCache>
        </c:strRef>
      </c:tx>
      <c:layout>
        <c:manualLayout>
          <c:xMode val="edge"/>
          <c:yMode val="edge"/>
          <c:x val="0.32248628012407626"/>
          <c:y val="2.3952005999250087E-2"/>
        </c:manualLayout>
      </c:layout>
      <c:overlay val="1"/>
      <c:txPr>
        <a:bodyPr/>
        <a:lstStyle/>
        <a:p>
          <a:pPr>
            <a:defRPr lang="en-ZA" sz="1050" b="1" i="0" u="none" strike="noStrike" baseline="0">
              <a:solidFill>
                <a:srgbClr val="000000"/>
              </a:solidFill>
              <a:latin typeface="Calibri"/>
              <a:ea typeface="Calibri"/>
              <a:cs typeface="Calibri"/>
            </a:defRPr>
          </a:pPr>
          <a:endParaRPr lang="en-US"/>
        </a:p>
      </c:txPr>
    </c:title>
    <c:plotArea>
      <c:layout>
        <c:manualLayout>
          <c:layoutTarget val="inner"/>
          <c:xMode val="edge"/>
          <c:yMode val="edge"/>
          <c:x val="0.24248998210929176"/>
          <c:y val="0.17007199100112491"/>
          <c:w val="0.65512209252107789"/>
          <c:h val="0.45382227221597465"/>
        </c:manualLayout>
      </c:layout>
      <c:lineChart>
        <c:grouping val="standard"/>
        <c:ser>
          <c:idx val="0"/>
          <c:order val="0"/>
          <c:tx>
            <c:strRef>
              <c:f>'Output tables'!$A$293</c:f>
              <c:strCache>
                <c:ptCount val="1"/>
                <c:pt idx="0">
                  <c:v>NOx emissions</c:v>
                </c:pt>
              </c:strCache>
            </c:strRef>
          </c:tx>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tables'!$BU$293:$CT$293</c:f>
              <c:numCache>
                <c:formatCode>General</c:formatCode>
                <c:ptCount val="26"/>
                <c:pt idx="2">
                  <c:v>0</c:v>
                </c:pt>
                <c:pt idx="3">
                  <c:v>0</c:v>
                </c:pt>
                <c:pt idx="4">
                  <c:v>0</c:v>
                </c:pt>
                <c:pt idx="5">
                  <c:v>0</c:v>
                </c:pt>
                <c:pt idx="6">
                  <c:v>0</c:v>
                </c:pt>
                <c:pt idx="7">
                  <c:v>0</c:v>
                </c:pt>
                <c:pt idx="8">
                  <c:v>0</c:v>
                </c:pt>
                <c:pt idx="9">
                  <c:v>4.9318221823794004E-3</c:v>
                </c:pt>
                <c:pt idx="10">
                  <c:v>1.4795466547138203E-2</c:v>
                </c:pt>
                <c:pt idx="11">
                  <c:v>4.0147426694926144E-2</c:v>
                </c:pt>
                <c:pt idx="12">
                  <c:v>6.4379508331653096E-2</c:v>
                </c:pt>
                <c:pt idx="13">
                  <c:v>9.0189650737555679E-2</c:v>
                </c:pt>
                <c:pt idx="14">
                  <c:v>0.11557922533318173</c:v>
                </c:pt>
                <c:pt idx="15">
                  <c:v>0.14242422312396011</c:v>
                </c:pt>
                <c:pt idx="16">
                  <c:v>0.1705153477600036</c:v>
                </c:pt>
                <c:pt idx="17">
                  <c:v>0.20428583128083155</c:v>
                </c:pt>
                <c:pt idx="18">
                  <c:v>0.23952051384484624</c:v>
                </c:pt>
                <c:pt idx="19">
                  <c:v>0.2693472924888014</c:v>
                </c:pt>
                <c:pt idx="20">
                  <c:v>0.30066862088131197</c:v>
                </c:pt>
                <c:pt idx="21">
                  <c:v>0.35898016037389402</c:v>
                </c:pt>
                <c:pt idx="22">
                  <c:v>0.42144081568594449</c:v>
                </c:pt>
                <c:pt idx="23">
                  <c:v>0.49241791022572506</c:v>
                </c:pt>
                <c:pt idx="24">
                  <c:v>0.56285267097028724</c:v>
                </c:pt>
                <c:pt idx="25">
                  <c:v>0.64116422793792582</c:v>
                </c:pt>
              </c:numCache>
            </c:numRef>
          </c:val>
        </c:ser>
        <c:marker val="1"/>
        <c:axId val="109397504"/>
        <c:axId val="109399040"/>
      </c:lineChart>
      <c:catAx>
        <c:axId val="109397504"/>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09399040"/>
        <c:crosses val="autoZero"/>
        <c:auto val="1"/>
        <c:lblAlgn val="ctr"/>
        <c:lblOffset val="100"/>
      </c:catAx>
      <c:valAx>
        <c:axId val="109399040"/>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9397504"/>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422" l="0.70000000000000062" r="0.70000000000000062" t="0.75000000000000422" header="0.30000000000000032" footer="0.30000000000000032"/>
    <c:pageSetup/>
  </c:printSettings>
</c:chartSpace>
</file>

<file path=xl/charts/chart61.xml><?xml version="1.0" encoding="utf-8"?>
<c:chartSpace xmlns:c="http://schemas.openxmlformats.org/drawingml/2006/chart" xmlns:a="http://schemas.openxmlformats.org/drawingml/2006/main" xmlns:r="http://schemas.openxmlformats.org/officeDocument/2006/relationships">
  <c:lang val="en-ZA"/>
  <c:chart>
    <c:title>
      <c:tx>
        <c:strRef>
          <c:f>'Output tables'!$A$301</c:f>
          <c:strCache>
            <c:ptCount val="1"/>
            <c:pt idx="0">
              <c:v>CO emissions</c:v>
            </c:pt>
          </c:strCache>
        </c:strRef>
      </c:tx>
      <c:layout>
        <c:manualLayout>
          <c:xMode val="edge"/>
          <c:yMode val="edge"/>
          <c:x val="0.32854688618468225"/>
          <c:y val="2.3952005999250087E-2"/>
        </c:manualLayout>
      </c:layout>
      <c:overlay val="1"/>
      <c:txPr>
        <a:bodyPr/>
        <a:lstStyle/>
        <a:p>
          <a:pPr>
            <a:defRPr lang="en-ZA" sz="1050" b="1" i="0" u="none" strike="noStrike" baseline="0">
              <a:solidFill>
                <a:srgbClr val="000000"/>
              </a:solidFill>
              <a:latin typeface="Calibri"/>
              <a:ea typeface="Calibri"/>
              <a:cs typeface="Calibri"/>
            </a:defRPr>
          </a:pPr>
          <a:endParaRPr lang="en-US"/>
        </a:p>
      </c:txPr>
    </c:title>
    <c:plotArea>
      <c:layout>
        <c:manualLayout>
          <c:layoutTarget val="inner"/>
          <c:xMode val="edge"/>
          <c:yMode val="edge"/>
          <c:x val="0.30915661696176738"/>
          <c:y val="0.16054818147731637"/>
          <c:w val="0.59435667174579998"/>
          <c:h val="0.44663142107236575"/>
        </c:manualLayout>
      </c:layout>
      <c:lineChart>
        <c:grouping val="standard"/>
        <c:ser>
          <c:idx val="0"/>
          <c:order val="0"/>
          <c:tx>
            <c:strRef>
              <c:f>'Output tables'!$A$294</c:f>
              <c:strCache>
                <c:ptCount val="1"/>
                <c:pt idx="0">
                  <c:v>CO emissions</c:v>
                </c:pt>
              </c:strCache>
            </c:strRef>
          </c:tx>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tables'!$BW$294:$CV$294</c:f>
              <c:numCache>
                <c:formatCode>General</c:formatCode>
                <c:ptCount val="26"/>
                <c:pt idx="0">
                  <c:v>0</c:v>
                </c:pt>
                <c:pt idx="1">
                  <c:v>0</c:v>
                </c:pt>
                <c:pt idx="2">
                  <c:v>0</c:v>
                </c:pt>
                <c:pt idx="3">
                  <c:v>0</c:v>
                </c:pt>
                <c:pt idx="4">
                  <c:v>0</c:v>
                </c:pt>
                <c:pt idx="5">
                  <c:v>0</c:v>
                </c:pt>
                <c:pt idx="6">
                  <c:v>0</c:v>
                </c:pt>
                <c:pt idx="7">
                  <c:v>3.2878814549196006E-4</c:v>
                </c:pt>
                <c:pt idx="8">
                  <c:v>9.8636443647588017E-4</c:v>
                </c:pt>
                <c:pt idx="9">
                  <c:v>2.6764951129950761E-3</c:v>
                </c:pt>
                <c:pt idx="10">
                  <c:v>4.2919672221102059E-3</c:v>
                </c:pt>
                <c:pt idx="11">
                  <c:v>6.0126433825037125E-3</c:v>
                </c:pt>
                <c:pt idx="12">
                  <c:v>7.7052816888787817E-3</c:v>
                </c:pt>
                <c:pt idx="13">
                  <c:v>9.4949482082640063E-3</c:v>
                </c:pt>
                <c:pt idx="14">
                  <c:v>1.1367689850666909E-2</c:v>
                </c:pt>
                <c:pt idx="15">
                  <c:v>1.3619055418722104E-2</c:v>
                </c:pt>
                <c:pt idx="16">
                  <c:v>1.5968034256323083E-2</c:v>
                </c:pt>
                <c:pt idx="17">
                  <c:v>1.7956486165920094E-2</c:v>
                </c:pt>
                <c:pt idx="18">
                  <c:v>2.0044574725420795E-2</c:v>
                </c:pt>
                <c:pt idx="19">
                  <c:v>2.3932010691592936E-2</c:v>
                </c:pt>
                <c:pt idx="20">
                  <c:v>2.8096054379062967E-2</c:v>
                </c:pt>
                <c:pt idx="21">
                  <c:v>3.2827860681715004E-2</c:v>
                </c:pt>
                <c:pt idx="22">
                  <c:v>3.7523511398019148E-2</c:v>
                </c:pt>
                <c:pt idx="23">
                  <c:v>4.2744281862528391E-2</c:v>
                </c:pt>
                <c:pt idx="24">
                  <c:v>5.0537389375760633E-2</c:v>
                </c:pt>
                <c:pt idx="25">
                  <c:v>5.513437714404671E-2</c:v>
                </c:pt>
              </c:numCache>
            </c:numRef>
          </c:val>
        </c:ser>
        <c:marker val="1"/>
        <c:axId val="109431424"/>
        <c:axId val="109318528"/>
      </c:lineChart>
      <c:catAx>
        <c:axId val="109431424"/>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09318528"/>
        <c:crosses val="autoZero"/>
        <c:auto val="1"/>
        <c:lblAlgn val="ctr"/>
        <c:lblOffset val="100"/>
      </c:catAx>
      <c:valAx>
        <c:axId val="109318528"/>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9431424"/>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422" l="0.70000000000000062" r="0.70000000000000062" t="0.75000000000000422" header="0.30000000000000032" footer="0.30000000000000032"/>
    <c:pageSetup/>
  </c:printSettings>
</c:chartSpace>
</file>

<file path=xl/charts/chart62.xml><?xml version="1.0" encoding="utf-8"?>
<c:chartSpace xmlns:c="http://schemas.openxmlformats.org/drawingml/2006/chart" xmlns:a="http://schemas.openxmlformats.org/drawingml/2006/main" xmlns:r="http://schemas.openxmlformats.org/officeDocument/2006/relationships">
  <c:lang val="en-ZA"/>
  <c:chart>
    <c:title>
      <c:tx>
        <c:strRef>
          <c:f>'Output tables'!$A$295</c:f>
          <c:strCache>
            <c:ptCount val="1"/>
            <c:pt idx="0">
              <c:v>NMVOC emissions</c:v>
            </c:pt>
          </c:strCache>
        </c:strRef>
      </c:tx>
      <c:layout>
        <c:manualLayout>
          <c:xMode val="edge"/>
          <c:yMode val="edge"/>
          <c:x val="0.33460749224528796"/>
          <c:y val="2.3952005999250087E-2"/>
        </c:manualLayout>
      </c:layout>
      <c:overlay val="1"/>
      <c:txPr>
        <a:bodyPr/>
        <a:lstStyle/>
        <a:p>
          <a:pPr>
            <a:defRPr lang="en-ZA" sz="1050" b="1" i="0" u="none" strike="noStrike" baseline="0">
              <a:solidFill>
                <a:srgbClr val="000000"/>
              </a:solidFill>
              <a:latin typeface="Calibri"/>
              <a:ea typeface="Calibri"/>
              <a:cs typeface="Calibri"/>
            </a:defRPr>
          </a:pPr>
          <a:endParaRPr lang="en-US"/>
        </a:p>
      </c:txPr>
    </c:title>
    <c:plotArea>
      <c:layout>
        <c:manualLayout>
          <c:layoutTarget val="inner"/>
          <c:xMode val="edge"/>
          <c:yMode val="edge"/>
          <c:x val="0.31593733431766552"/>
          <c:y val="0.18911961004874392"/>
          <c:w val="0.60706866758832589"/>
          <c:h val="0.39901237345331958"/>
        </c:manualLayout>
      </c:layout>
      <c:lineChart>
        <c:grouping val="standard"/>
        <c:ser>
          <c:idx val="0"/>
          <c:order val="0"/>
          <c:tx>
            <c:strRef>
              <c:f>'Output tables'!$A$295</c:f>
              <c:strCache>
                <c:ptCount val="1"/>
                <c:pt idx="0">
                  <c:v>NMVOC emissions</c:v>
                </c:pt>
              </c:strCache>
            </c:strRef>
          </c:tx>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tables'!$BW$295:$CV$295</c:f>
              <c:numCache>
                <c:formatCode>General</c:formatCode>
                <c:ptCount val="26"/>
                <c:pt idx="0">
                  <c:v>0</c:v>
                </c:pt>
                <c:pt idx="1">
                  <c:v>0</c:v>
                </c:pt>
                <c:pt idx="2">
                  <c:v>0</c:v>
                </c:pt>
                <c:pt idx="3">
                  <c:v>0</c:v>
                </c:pt>
                <c:pt idx="4">
                  <c:v>0</c:v>
                </c:pt>
                <c:pt idx="5">
                  <c:v>0</c:v>
                </c:pt>
                <c:pt idx="6">
                  <c:v>0</c:v>
                </c:pt>
                <c:pt idx="7">
                  <c:v>8.2197036372990014E-5</c:v>
                </c:pt>
                <c:pt idx="8">
                  <c:v>2.4659110911897004E-4</c:v>
                </c:pt>
                <c:pt idx="9">
                  <c:v>6.6912377824876901E-4</c:v>
                </c:pt>
                <c:pt idx="10">
                  <c:v>1.0729918055275515E-3</c:v>
                </c:pt>
                <c:pt idx="11">
                  <c:v>1.5031608456259281E-3</c:v>
                </c:pt>
                <c:pt idx="12">
                  <c:v>1.9263204222196954E-3</c:v>
                </c:pt>
                <c:pt idx="13">
                  <c:v>2.3737370520660016E-3</c:v>
                </c:pt>
                <c:pt idx="14">
                  <c:v>2.8419224626667272E-3</c:v>
                </c:pt>
                <c:pt idx="15">
                  <c:v>3.4047638546805259E-3</c:v>
                </c:pt>
                <c:pt idx="16">
                  <c:v>3.9920085640807708E-3</c:v>
                </c:pt>
                <c:pt idx="17">
                  <c:v>4.4891215414800236E-3</c:v>
                </c:pt>
                <c:pt idx="18">
                  <c:v>5.0111436813551988E-3</c:v>
                </c:pt>
                <c:pt idx="19">
                  <c:v>5.9830026728982339E-3</c:v>
                </c:pt>
                <c:pt idx="20">
                  <c:v>7.0240135947657418E-3</c:v>
                </c:pt>
                <c:pt idx="21">
                  <c:v>8.2069651704287511E-3</c:v>
                </c:pt>
                <c:pt idx="22">
                  <c:v>9.380877849504787E-3</c:v>
                </c:pt>
                <c:pt idx="23">
                  <c:v>1.0686070465632098E-2</c:v>
                </c:pt>
                <c:pt idx="24">
                  <c:v>1.2634347343940158E-2</c:v>
                </c:pt>
                <c:pt idx="25">
                  <c:v>1.3783594286011678E-2</c:v>
                </c:pt>
              </c:numCache>
            </c:numRef>
          </c:val>
        </c:ser>
        <c:marker val="1"/>
        <c:axId val="109231488"/>
        <c:axId val="109343872"/>
      </c:lineChart>
      <c:catAx>
        <c:axId val="109231488"/>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09343872"/>
        <c:crosses val="autoZero"/>
        <c:auto val="1"/>
        <c:lblAlgn val="ctr"/>
        <c:lblOffset val="100"/>
      </c:catAx>
      <c:valAx>
        <c:axId val="109343872"/>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9231488"/>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422" l="0.70000000000000062" r="0.70000000000000062" t="0.75000000000000422" header="0.30000000000000032" footer="0.30000000000000032"/>
    <c:pageSetup/>
  </c:printSettings>
</c:chartSpace>
</file>

<file path=xl/charts/chart63.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050" b="1" i="0" u="none" strike="noStrike" baseline="0">
                <a:solidFill>
                  <a:srgbClr val="000000"/>
                </a:solidFill>
                <a:latin typeface="Calibri"/>
                <a:ea typeface="Calibri"/>
                <a:cs typeface="Calibri"/>
              </a:defRPr>
            </a:pPr>
            <a:r>
              <a:rPr lang="en-ZA"/>
              <a:t>Electricity system greenhouse gases</a:t>
            </a:r>
          </a:p>
        </c:rich>
      </c:tx>
      <c:layout>
        <c:manualLayout>
          <c:xMode val="edge"/>
          <c:yMode val="edge"/>
          <c:x val="0.21840531297224247"/>
          <c:y val="5.8995466475781494E-3"/>
        </c:manualLayout>
      </c:layout>
      <c:overlay val="1"/>
    </c:title>
    <c:plotArea>
      <c:layout>
        <c:manualLayout>
          <c:layoutTarget val="inner"/>
          <c:xMode val="edge"/>
          <c:yMode val="edge"/>
          <c:x val="0.19233542372088985"/>
          <c:y val="6.8149025619585149E-2"/>
          <c:w val="0.74106496229956065"/>
          <c:h val="0.48472626762362847"/>
        </c:manualLayout>
      </c:layout>
      <c:areaChart>
        <c:grouping val="stacked"/>
        <c:ser>
          <c:idx val="0"/>
          <c:order val="0"/>
          <c:tx>
            <c:strRef>
              <c:f>'Output tables'!$A$224</c:f>
              <c:strCache>
                <c:ptCount val="1"/>
                <c:pt idx="0">
                  <c:v>Existing coal Large</c:v>
                </c:pt>
              </c:strCache>
            </c:strRef>
          </c:tx>
          <c:cat>
            <c:numRef>
              <c:f>'Output tables'!$AP$223:$BO$223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tables'!$AP$224:$BO$224</c:f>
              <c:numCache>
                <c:formatCode>General</c:formatCode>
                <c:ptCount val="26"/>
                <c:pt idx="0">
                  <c:v>205.31813431055303</c:v>
                </c:pt>
                <c:pt idx="1">
                  <c:v>205.31813431055303</c:v>
                </c:pt>
                <c:pt idx="2">
                  <c:v>212.08181220449086</c:v>
                </c:pt>
                <c:pt idx="3">
                  <c:v>214.43789466120785</c:v>
                </c:pt>
                <c:pt idx="4">
                  <c:v>214.43789466120785</c:v>
                </c:pt>
                <c:pt idx="5">
                  <c:v>219.50036716210047</c:v>
                </c:pt>
                <c:pt idx="6">
                  <c:v>222.81384605475711</c:v>
                </c:pt>
                <c:pt idx="7">
                  <c:v>226.55554282853311</c:v>
                </c:pt>
                <c:pt idx="8">
                  <c:v>229.4695573335394</c:v>
                </c:pt>
                <c:pt idx="9">
                  <c:v>231.76564888474982</c:v>
                </c:pt>
                <c:pt idx="10">
                  <c:v>231.76564888474982</c:v>
                </c:pt>
                <c:pt idx="11">
                  <c:v>231.76564888474982</c:v>
                </c:pt>
                <c:pt idx="12">
                  <c:v>231.76564888474982</c:v>
                </c:pt>
                <c:pt idx="13">
                  <c:v>231.76564888474982</c:v>
                </c:pt>
                <c:pt idx="14">
                  <c:v>231.76564888474982</c:v>
                </c:pt>
                <c:pt idx="15">
                  <c:v>231.76564888474982</c:v>
                </c:pt>
                <c:pt idx="16">
                  <c:v>231.76564888474982</c:v>
                </c:pt>
                <c:pt idx="17">
                  <c:v>231.76564888474982</c:v>
                </c:pt>
                <c:pt idx="18">
                  <c:v>226.34761677155512</c:v>
                </c:pt>
                <c:pt idx="19">
                  <c:v>219.73914008096773</c:v>
                </c:pt>
                <c:pt idx="20">
                  <c:v>214.42372773161313</c:v>
                </c:pt>
                <c:pt idx="21">
                  <c:v>203.58502701090265</c:v>
                </c:pt>
                <c:pt idx="22">
                  <c:v>192.74632629019214</c:v>
                </c:pt>
                <c:pt idx="23">
                  <c:v>179.62579383880583</c:v>
                </c:pt>
                <c:pt idx="24">
                  <c:v>153.3847289360331</c:v>
                </c:pt>
                <c:pt idx="25">
                  <c:v>140.26419648464673</c:v>
                </c:pt>
              </c:numCache>
            </c:numRef>
          </c:val>
        </c:ser>
        <c:ser>
          <c:idx val="1"/>
          <c:order val="1"/>
          <c:tx>
            <c:strRef>
              <c:f>'Output tables'!$A$225</c:f>
              <c:strCache>
                <c:ptCount val="1"/>
                <c:pt idx="0">
                  <c:v>Existing coal Small</c:v>
                </c:pt>
              </c:strCache>
            </c:strRef>
          </c:tx>
          <c:cat>
            <c:numRef>
              <c:f>'Output tables'!$AP$223:$BO$223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tables'!$AP$225:$BO$225</c:f>
              <c:numCache>
                <c:formatCode>General</c:formatCode>
                <c:ptCount val="26"/>
                <c:pt idx="0">
                  <c:v>14.164264318167939</c:v>
                </c:pt>
                <c:pt idx="1">
                  <c:v>14.164264318167939</c:v>
                </c:pt>
                <c:pt idx="2">
                  <c:v>14.164264318167939</c:v>
                </c:pt>
                <c:pt idx="3">
                  <c:v>14.164264318167939</c:v>
                </c:pt>
                <c:pt idx="4">
                  <c:v>14.164264318167939</c:v>
                </c:pt>
                <c:pt idx="5">
                  <c:v>15.944426509208181</c:v>
                </c:pt>
                <c:pt idx="6">
                  <c:v>16.997406780335936</c:v>
                </c:pt>
                <c:pt idx="7">
                  <c:v>16.997406780335936</c:v>
                </c:pt>
                <c:pt idx="8">
                  <c:v>16.997406780335936</c:v>
                </c:pt>
                <c:pt idx="9">
                  <c:v>16.997406780335936</c:v>
                </c:pt>
                <c:pt idx="10">
                  <c:v>16.997406780335936</c:v>
                </c:pt>
                <c:pt idx="11">
                  <c:v>16.899667274971357</c:v>
                </c:pt>
                <c:pt idx="12">
                  <c:v>16.801927769606777</c:v>
                </c:pt>
                <c:pt idx="13">
                  <c:v>16.671608429120667</c:v>
                </c:pt>
                <c:pt idx="14">
                  <c:v>16.54128908863456</c:v>
                </c:pt>
                <c:pt idx="15">
                  <c:v>14.065221619398496</c:v>
                </c:pt>
                <c:pt idx="16">
                  <c:v>11.589154150162432</c:v>
                </c:pt>
                <c:pt idx="17">
                  <c:v>11.589154150162432</c:v>
                </c:pt>
                <c:pt idx="18">
                  <c:v>11.589154150162432</c:v>
                </c:pt>
                <c:pt idx="19">
                  <c:v>11.589154150162432</c:v>
                </c:pt>
                <c:pt idx="20">
                  <c:v>10.448280723840154</c:v>
                </c:pt>
                <c:pt idx="21">
                  <c:v>9.3074072975178783</c:v>
                </c:pt>
                <c:pt idx="22">
                  <c:v>9.3074072975178783</c:v>
                </c:pt>
                <c:pt idx="23">
                  <c:v>9.3074072975178783</c:v>
                </c:pt>
                <c:pt idx="24">
                  <c:v>9.3074072975178783</c:v>
                </c:pt>
                <c:pt idx="25">
                  <c:v>9.3074072975178783</c:v>
                </c:pt>
              </c:numCache>
            </c:numRef>
          </c:val>
        </c:ser>
        <c:ser>
          <c:idx val="2"/>
          <c:order val="2"/>
          <c:tx>
            <c:strRef>
              <c:f>'Output tables'!$A$226</c:f>
              <c:strCache>
                <c:ptCount val="1"/>
                <c:pt idx="0">
                  <c:v>OCGT liquid fuels</c:v>
                </c:pt>
              </c:strCache>
            </c:strRef>
          </c:tx>
          <c:cat>
            <c:numRef>
              <c:f>'Output tables'!$AP$223:$BO$223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tables'!$AP$226:$BO$226</c:f>
              <c:numCache>
                <c:formatCode>General</c:formatCode>
                <c:ptCount val="26"/>
                <c:pt idx="0">
                  <c:v>0.55239991945704037</c:v>
                </c:pt>
                <c:pt idx="1">
                  <c:v>0.55239991945704037</c:v>
                </c:pt>
                <c:pt idx="2">
                  <c:v>0.55239991945704037</c:v>
                </c:pt>
                <c:pt idx="3">
                  <c:v>0.55239991945704037</c:v>
                </c:pt>
                <c:pt idx="4">
                  <c:v>0.55239991945704037</c:v>
                </c:pt>
                <c:pt idx="5">
                  <c:v>0.55239991945704037</c:v>
                </c:pt>
                <c:pt idx="6">
                  <c:v>0.80097988321270841</c:v>
                </c:pt>
                <c:pt idx="7">
                  <c:v>0.80097988321270841</c:v>
                </c:pt>
                <c:pt idx="8">
                  <c:v>0.80097988321270841</c:v>
                </c:pt>
                <c:pt idx="9">
                  <c:v>0.80097988321270841</c:v>
                </c:pt>
                <c:pt idx="10">
                  <c:v>0.80097988321270841</c:v>
                </c:pt>
                <c:pt idx="11">
                  <c:v>0.80097988321270841</c:v>
                </c:pt>
                <c:pt idx="12">
                  <c:v>0.80097988321270841</c:v>
                </c:pt>
                <c:pt idx="13">
                  <c:v>0.80097988321270841</c:v>
                </c:pt>
                <c:pt idx="14">
                  <c:v>0.80097988321270841</c:v>
                </c:pt>
                <c:pt idx="15">
                  <c:v>0.80097988321270841</c:v>
                </c:pt>
                <c:pt idx="16">
                  <c:v>0.80097988321270841</c:v>
                </c:pt>
                <c:pt idx="17">
                  <c:v>0.80097988321270841</c:v>
                </c:pt>
                <c:pt idx="18">
                  <c:v>0.80097988321270841</c:v>
                </c:pt>
                <c:pt idx="19">
                  <c:v>0.80097988321270841</c:v>
                </c:pt>
                <c:pt idx="20">
                  <c:v>0.80097988321270841</c:v>
                </c:pt>
                <c:pt idx="21">
                  <c:v>0.96669985904982081</c:v>
                </c:pt>
                <c:pt idx="22">
                  <c:v>0.96669985904982081</c:v>
                </c:pt>
                <c:pt idx="23">
                  <c:v>0.96669985904982081</c:v>
                </c:pt>
                <c:pt idx="24">
                  <c:v>1.1876598268326366</c:v>
                </c:pt>
                <c:pt idx="25">
                  <c:v>1.3692613003541387</c:v>
                </c:pt>
              </c:numCache>
            </c:numRef>
          </c:val>
        </c:ser>
        <c:ser>
          <c:idx val="3"/>
          <c:order val="3"/>
          <c:tx>
            <c:strRef>
              <c:f>'Output tables'!$A$227</c:f>
              <c:strCache>
                <c:ptCount val="1"/>
                <c:pt idx="0">
                  <c:v>PWR nuclear</c:v>
                </c:pt>
              </c:strCache>
            </c:strRef>
          </c:tx>
          <c:cat>
            <c:numRef>
              <c:f>'Output tables'!$AP$223:$BO$223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tables'!$AP$227:$BO$227</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4"/>
          <c:order val="4"/>
          <c:tx>
            <c:strRef>
              <c:f>'Output tables'!$A$228</c:f>
              <c:strCache>
                <c:ptCount val="1"/>
                <c:pt idx="0">
                  <c:v>Hydro</c:v>
                </c:pt>
              </c:strCache>
            </c:strRef>
          </c:tx>
          <c:cat>
            <c:numRef>
              <c:f>'Output tables'!$AP$223:$BO$223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tables'!$AP$228:$BO$228</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5"/>
          <c:order val="5"/>
          <c:tx>
            <c:strRef>
              <c:f>'Output tables'!$A$229</c:f>
              <c:strCache>
                <c:ptCount val="1"/>
                <c:pt idx="0">
                  <c:v>Landfill gas</c:v>
                </c:pt>
              </c:strCache>
            </c:strRef>
          </c:tx>
          <c:cat>
            <c:numRef>
              <c:f>'Output tables'!$AP$223:$BO$223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tables'!$AP$229:$BO$229</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6"/>
          <c:order val="6"/>
          <c:tx>
            <c:strRef>
              <c:f>'Output tables'!$A$230</c:f>
              <c:strCache>
                <c:ptCount val="1"/>
                <c:pt idx="0">
                  <c:v>Biomass</c:v>
                </c:pt>
              </c:strCache>
            </c:strRef>
          </c:tx>
          <c:cat>
            <c:numRef>
              <c:f>'Output tables'!$AP$223:$BO$223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tables'!$AP$230:$BO$230</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7"/>
          <c:order val="7"/>
          <c:tx>
            <c:strRef>
              <c:f>'Output tables'!$A$231</c:f>
              <c:strCache>
                <c:ptCount val="1"/>
                <c:pt idx="0">
                  <c:v>Supercritical coal</c:v>
                </c:pt>
              </c:strCache>
            </c:strRef>
          </c:tx>
          <c:cat>
            <c:numRef>
              <c:f>'Output tables'!$AP$223:$BO$223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tables'!$AP$231:$BO$231</c:f>
              <c:numCache>
                <c:formatCode>General</c:formatCode>
                <c:ptCount val="26"/>
                <c:pt idx="0">
                  <c:v>0</c:v>
                </c:pt>
                <c:pt idx="1">
                  <c:v>0</c:v>
                </c:pt>
                <c:pt idx="2">
                  <c:v>0</c:v>
                </c:pt>
                <c:pt idx="3">
                  <c:v>0</c:v>
                </c:pt>
                <c:pt idx="4">
                  <c:v>0</c:v>
                </c:pt>
                <c:pt idx="5">
                  <c:v>0</c:v>
                </c:pt>
                <c:pt idx="6">
                  <c:v>0</c:v>
                </c:pt>
                <c:pt idx="7">
                  <c:v>1.5897728804899998</c:v>
                </c:pt>
                <c:pt idx="8">
                  <c:v>4.76931864147</c:v>
                </c:pt>
                <c:pt idx="9">
                  <c:v>9.981494968181412</c:v>
                </c:pt>
                <c:pt idx="10">
                  <c:v>15.779114604001057</c:v>
                </c:pt>
                <c:pt idx="11">
                  <c:v>21.592084124276493</c:v>
                </c:pt>
                <c:pt idx="12">
                  <c:v>25.336371454784519</c:v>
                </c:pt>
                <c:pt idx="13">
                  <c:v>27.576462434297909</c:v>
                </c:pt>
                <c:pt idx="14">
                  <c:v>27.011545373210616</c:v>
                </c:pt>
                <c:pt idx="15">
                  <c:v>26.304017630681393</c:v>
                </c:pt>
                <c:pt idx="16">
                  <c:v>22.861777420551583</c:v>
                </c:pt>
                <c:pt idx="17">
                  <c:v>20.554104407970506</c:v>
                </c:pt>
                <c:pt idx="18">
                  <c:v>19.077274565880003</c:v>
                </c:pt>
                <c:pt idx="19">
                  <c:v>19.077274565880003</c:v>
                </c:pt>
                <c:pt idx="20">
                  <c:v>19.197835426423797</c:v>
                </c:pt>
                <c:pt idx="21">
                  <c:v>25.221586697982048</c:v>
                </c:pt>
                <c:pt idx="22">
                  <c:v>27.691949386680839</c:v>
                </c:pt>
                <c:pt idx="23">
                  <c:v>31.012113695903075</c:v>
                </c:pt>
                <c:pt idx="24">
                  <c:v>42.832671502947825</c:v>
                </c:pt>
                <c:pt idx="25">
                  <c:v>44.08351296332367</c:v>
                </c:pt>
              </c:numCache>
            </c:numRef>
          </c:val>
        </c:ser>
        <c:ser>
          <c:idx val="8"/>
          <c:order val="8"/>
          <c:tx>
            <c:strRef>
              <c:f>'Output tables'!$A$232</c:f>
              <c:strCache>
                <c:ptCount val="1"/>
                <c:pt idx="0">
                  <c:v>Wind 30% </c:v>
                </c:pt>
              </c:strCache>
            </c:strRef>
          </c:tx>
          <c:cat>
            <c:numRef>
              <c:f>'Output tables'!$AP$223:$BO$223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tables'!$AP$232:$BO$232</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9"/>
          <c:order val="9"/>
          <c:tx>
            <c:strRef>
              <c:f>'Output tables'!$A$233</c:f>
              <c:strCache>
                <c:ptCount val="1"/>
                <c:pt idx="0">
                  <c:v>Wind 25%</c:v>
                </c:pt>
              </c:strCache>
            </c:strRef>
          </c:tx>
          <c:cat>
            <c:numRef>
              <c:f>'Output tables'!$AP$223:$BO$223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tables'!$AP$233:$BO$233</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0"/>
          <c:order val="10"/>
          <c:tx>
            <c:strRef>
              <c:f>'Output tables'!$A$234</c:f>
              <c:strCache>
                <c:ptCount val="1"/>
                <c:pt idx="0">
                  <c:v>solar thermal central reciever</c:v>
                </c:pt>
              </c:strCache>
            </c:strRef>
          </c:tx>
          <c:cat>
            <c:numRef>
              <c:f>'Output tables'!$AP$223:$BO$223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tables'!$AP$234:$BO$234</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1"/>
          <c:order val="11"/>
          <c:tx>
            <c:strRef>
              <c:f>'Output tables'!$A$235</c:f>
              <c:strCache>
                <c:ptCount val="1"/>
                <c:pt idx="0">
                  <c:v>solar thermal trough</c:v>
                </c:pt>
              </c:strCache>
            </c:strRef>
          </c:tx>
          <c:cat>
            <c:numRef>
              <c:f>'Output tables'!$AP$223:$BO$223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tables'!$AP$235:$BO$235</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2"/>
          <c:order val="12"/>
          <c:tx>
            <c:strRef>
              <c:f>'Output tables'!$A$236</c:f>
              <c:strCache>
                <c:ptCount val="1"/>
                <c:pt idx="0">
                  <c:v>solar PV</c:v>
                </c:pt>
              </c:strCache>
            </c:strRef>
          </c:tx>
          <c:cat>
            <c:numRef>
              <c:f>'Output tables'!$AP$223:$BO$223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tables'!$AP$236:$BO$236</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3"/>
          <c:order val="13"/>
          <c:tx>
            <c:strRef>
              <c:f>'Output tables'!$A$237</c:f>
              <c:strCache>
                <c:ptCount val="1"/>
                <c:pt idx="0">
                  <c:v>combined cycle gas</c:v>
                </c:pt>
              </c:strCache>
            </c:strRef>
          </c:tx>
          <c:cat>
            <c:numRef>
              <c:f>'Output tables'!$AP$223:$BO$223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tables'!$AP$237:$BO$237</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1.5344480858326417</c:v>
                </c:pt>
                <c:pt idx="23">
                  <c:v>3.8361202145816047</c:v>
                </c:pt>
                <c:pt idx="24">
                  <c:v>6.1377923433305668</c:v>
                </c:pt>
                <c:pt idx="25">
                  <c:v>6.1377923433305668</c:v>
                </c:pt>
              </c:numCache>
            </c:numRef>
          </c:val>
        </c:ser>
        <c:ser>
          <c:idx val="14"/>
          <c:order val="14"/>
          <c:tx>
            <c:strRef>
              <c:f>'Output tables'!$A$238</c:f>
              <c:strCache>
                <c:ptCount val="1"/>
                <c:pt idx="0">
                  <c:v>PBMR</c:v>
                </c:pt>
              </c:strCache>
            </c:strRef>
          </c:tx>
          <c:cat>
            <c:numRef>
              <c:f>'Output tables'!$AP$223:$BO$223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tables'!$AP$238:$BO$238</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5"/>
          <c:order val="15"/>
          <c:tx>
            <c:strRef>
              <c:f>'Output tables'!$A$239</c:f>
              <c:strCache>
                <c:ptCount val="1"/>
                <c:pt idx="0">
                  <c:v>IGCC</c:v>
                </c:pt>
              </c:strCache>
            </c:strRef>
          </c:tx>
          <c:cat>
            <c:numRef>
              <c:f>'Output tables'!$AP$223:$BO$223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tables'!$AP$239:$BO$239</c:f>
              <c:numCache>
                <c:formatCode>General</c:formatCode>
                <c:ptCount val="26"/>
                <c:pt idx="0">
                  <c:v>0</c:v>
                </c:pt>
                <c:pt idx="1">
                  <c:v>2.602576242861687E-14</c:v>
                </c:pt>
                <c:pt idx="2">
                  <c:v>0</c:v>
                </c:pt>
                <c:pt idx="3">
                  <c:v>2.602576242861687E-14</c:v>
                </c:pt>
                <c:pt idx="4">
                  <c:v>2.602576242861687E-14</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3.6930401379846161</c:v>
                </c:pt>
                <c:pt idx="25">
                  <c:v>7.3860802759692321</c:v>
                </c:pt>
              </c:numCache>
            </c:numRef>
          </c:val>
        </c:ser>
        <c:ser>
          <c:idx val="16"/>
          <c:order val="16"/>
          <c:tx>
            <c:strRef>
              <c:f>'Output tables'!$A$240</c:f>
              <c:strCache>
                <c:ptCount val="1"/>
                <c:pt idx="0">
                  <c:v>-</c:v>
                </c:pt>
              </c:strCache>
            </c:strRef>
          </c:tx>
          <c:cat>
            <c:numRef>
              <c:f>'Output tables'!$AP$223:$BO$223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tables'!$AP$240:$BO$240</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7"/>
          <c:order val="17"/>
          <c:tx>
            <c:strRef>
              <c:f>'Output tables'!$A$241</c:f>
              <c:strCache>
                <c:ptCount val="1"/>
                <c:pt idx="0">
                  <c:v>-</c:v>
                </c:pt>
              </c:strCache>
            </c:strRef>
          </c:tx>
          <c:cat>
            <c:numRef>
              <c:f>'Output tables'!$AP$223:$BO$223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tables'!$AP$241:$BO$241</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8"/>
          <c:order val="18"/>
          <c:tx>
            <c:strRef>
              <c:f>'Output tables'!$A$242</c:f>
              <c:strCache>
                <c:ptCount val="1"/>
                <c:pt idx="0">
                  <c:v>-</c:v>
                </c:pt>
              </c:strCache>
            </c:strRef>
          </c:tx>
          <c:cat>
            <c:numRef>
              <c:f>'Output tables'!$AP$223:$BO$223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tables'!$AP$242:$BO$242</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9"/>
          <c:order val="19"/>
          <c:tx>
            <c:strRef>
              <c:f>'Output tables'!$A$243</c:f>
              <c:strCache>
                <c:ptCount val="1"/>
                <c:pt idx="0">
                  <c:v>Pumped storage</c:v>
                </c:pt>
              </c:strCache>
            </c:strRef>
          </c:tx>
          <c:cat>
            <c:numRef>
              <c:f>'Output tables'!$AP$223:$BO$223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tables'!$AP$243:$BO$243</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axId val="109568000"/>
        <c:axId val="109569536"/>
      </c:areaChart>
      <c:catAx>
        <c:axId val="109568000"/>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09569536"/>
        <c:crosses val="autoZero"/>
        <c:auto val="1"/>
        <c:lblAlgn val="ctr"/>
        <c:lblOffset val="100"/>
      </c:catAx>
      <c:valAx>
        <c:axId val="109569536"/>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 CO2-eq</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9568000"/>
        <c:crosses val="autoZero"/>
        <c:crossBetween val="midCat"/>
      </c:valAx>
    </c:plotArea>
    <c:legend>
      <c:legendPos val="b"/>
      <c:layout>
        <c:manualLayout>
          <c:xMode val="edge"/>
          <c:yMode val="edge"/>
          <c:x val="1.4929345952968E-2"/>
          <c:y val="0.66274588403722334"/>
          <c:w val="0.92942840478273536"/>
          <c:h val="0.31955499880696775"/>
        </c:manualLayout>
      </c:layout>
      <c:txPr>
        <a:bodyPr/>
        <a:lstStyle/>
        <a:p>
          <a:pPr>
            <a:defRPr lang="en-ZA" sz="845" b="0" i="0" u="none" strike="noStrike" baseline="0">
              <a:solidFill>
                <a:srgbClr val="000000"/>
              </a:solidFill>
              <a:latin typeface="Calibri"/>
              <a:ea typeface="Calibri"/>
              <a:cs typeface="Calibri"/>
            </a:defRPr>
          </a:pPr>
          <a:endParaRPr lang="en-US"/>
        </a:p>
      </c:txPr>
    </c:legend>
    <c:plotVisOnly val="1"/>
    <c:dispBlanksAs val="zero"/>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244" l="0.70000000000000062" r="0.70000000000000062" t="0.75000000000000244" header="0.30000000000000032" footer="0.30000000000000032"/>
    <c:pageSetup/>
  </c:printSettings>
</c:chartSpace>
</file>

<file path=xl/charts/chart64.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050" b="1" i="0" u="none" strike="noStrike" baseline="0">
                <a:solidFill>
                  <a:srgbClr val="000000"/>
                </a:solidFill>
                <a:latin typeface="Calibri"/>
                <a:ea typeface="Calibri"/>
                <a:cs typeface="Calibri"/>
              </a:defRPr>
            </a:pPr>
            <a:r>
              <a:rPr lang="en-ZA"/>
              <a:t>scenario electricity system greenhouse gases</a:t>
            </a:r>
          </a:p>
        </c:rich>
      </c:tx>
      <c:layout>
        <c:manualLayout>
          <c:xMode val="edge"/>
          <c:yMode val="edge"/>
          <c:x val="0.21840531297224247"/>
          <c:y val="5.8995466475781494E-3"/>
        </c:manualLayout>
      </c:layout>
      <c:overlay val="1"/>
    </c:title>
    <c:plotArea>
      <c:layout>
        <c:manualLayout>
          <c:layoutTarget val="inner"/>
          <c:xMode val="edge"/>
          <c:yMode val="edge"/>
          <c:x val="0.19233542372088985"/>
          <c:y val="6.8149025619585149E-2"/>
          <c:w val="0.74106496229956065"/>
          <c:h val="0.48472626762362864"/>
        </c:manualLayout>
      </c:layout>
      <c:areaChart>
        <c:grouping val="stacked"/>
        <c:ser>
          <c:idx val="0"/>
          <c:order val="0"/>
          <c:tx>
            <c:strRef>
              <c:f>'Output tables'!$A$224</c:f>
              <c:strCache>
                <c:ptCount val="1"/>
                <c:pt idx="0">
                  <c:v>Existing coal Large</c:v>
                </c:pt>
              </c:strCache>
            </c:strRef>
          </c:tx>
          <c:cat>
            <c:numRef>
              <c:f>'Output tables'!$AP$223:$BO$223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tables'!$AP$224:$BO$224</c:f>
              <c:numCache>
                <c:formatCode>General</c:formatCode>
                <c:ptCount val="26"/>
                <c:pt idx="0">
                  <c:v>205.31813431055303</c:v>
                </c:pt>
                <c:pt idx="1">
                  <c:v>205.31813431055303</c:v>
                </c:pt>
                <c:pt idx="2">
                  <c:v>212.08181220449086</c:v>
                </c:pt>
                <c:pt idx="3">
                  <c:v>214.43789466120785</c:v>
                </c:pt>
                <c:pt idx="4">
                  <c:v>214.43789466120785</c:v>
                </c:pt>
                <c:pt idx="5">
                  <c:v>219.50036716210047</c:v>
                </c:pt>
                <c:pt idx="6">
                  <c:v>222.81384605475711</c:v>
                </c:pt>
                <c:pt idx="7">
                  <c:v>226.55554282853311</c:v>
                </c:pt>
                <c:pt idx="8">
                  <c:v>229.4695573335394</c:v>
                </c:pt>
                <c:pt idx="9">
                  <c:v>231.76564888474982</c:v>
                </c:pt>
                <c:pt idx="10">
                  <c:v>231.76564888474982</c:v>
                </c:pt>
                <c:pt idx="11">
                  <c:v>231.76564888474982</c:v>
                </c:pt>
                <c:pt idx="12">
                  <c:v>231.76564888474982</c:v>
                </c:pt>
                <c:pt idx="13">
                  <c:v>231.76564888474982</c:v>
                </c:pt>
                <c:pt idx="14">
                  <c:v>231.76564888474982</c:v>
                </c:pt>
                <c:pt idx="15">
                  <c:v>231.76564888474982</c:v>
                </c:pt>
                <c:pt idx="16">
                  <c:v>231.76564888474982</c:v>
                </c:pt>
                <c:pt idx="17">
                  <c:v>231.76564888474982</c:v>
                </c:pt>
                <c:pt idx="18">
                  <c:v>226.34761677155512</c:v>
                </c:pt>
                <c:pt idx="19">
                  <c:v>219.73914008096773</c:v>
                </c:pt>
                <c:pt idx="20">
                  <c:v>214.42372773161313</c:v>
                </c:pt>
                <c:pt idx="21">
                  <c:v>203.58502701090265</c:v>
                </c:pt>
                <c:pt idx="22">
                  <c:v>192.74632629019214</c:v>
                </c:pt>
                <c:pt idx="23">
                  <c:v>179.62579383880583</c:v>
                </c:pt>
                <c:pt idx="24">
                  <c:v>153.3847289360331</c:v>
                </c:pt>
                <c:pt idx="25">
                  <c:v>140.26419648464673</c:v>
                </c:pt>
              </c:numCache>
            </c:numRef>
          </c:val>
        </c:ser>
        <c:ser>
          <c:idx val="1"/>
          <c:order val="1"/>
          <c:tx>
            <c:strRef>
              <c:f>'Output tables'!$A$225</c:f>
              <c:strCache>
                <c:ptCount val="1"/>
                <c:pt idx="0">
                  <c:v>Existing coal Small</c:v>
                </c:pt>
              </c:strCache>
            </c:strRef>
          </c:tx>
          <c:cat>
            <c:numRef>
              <c:f>'Output tables'!$AP$223:$BO$223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tables'!$AP$225:$BO$225</c:f>
              <c:numCache>
                <c:formatCode>General</c:formatCode>
                <c:ptCount val="26"/>
                <c:pt idx="0">
                  <c:v>14.164264318167939</c:v>
                </c:pt>
                <c:pt idx="1">
                  <c:v>14.164264318167939</c:v>
                </c:pt>
                <c:pt idx="2">
                  <c:v>14.164264318167939</c:v>
                </c:pt>
                <c:pt idx="3">
                  <c:v>14.164264318167939</c:v>
                </c:pt>
                <c:pt idx="4">
                  <c:v>14.164264318167939</c:v>
                </c:pt>
                <c:pt idx="5">
                  <c:v>15.944426509208181</c:v>
                </c:pt>
                <c:pt idx="6">
                  <c:v>16.997406780335936</c:v>
                </c:pt>
                <c:pt idx="7">
                  <c:v>16.997406780335936</c:v>
                </c:pt>
                <c:pt idx="8">
                  <c:v>16.997406780335936</c:v>
                </c:pt>
                <c:pt idx="9">
                  <c:v>16.997406780335936</c:v>
                </c:pt>
                <c:pt idx="10">
                  <c:v>16.997406780335936</c:v>
                </c:pt>
                <c:pt idx="11">
                  <c:v>16.899667274971357</c:v>
                </c:pt>
                <c:pt idx="12">
                  <c:v>16.801927769606777</c:v>
                </c:pt>
                <c:pt idx="13">
                  <c:v>16.671608429120667</c:v>
                </c:pt>
                <c:pt idx="14">
                  <c:v>16.54128908863456</c:v>
                </c:pt>
                <c:pt idx="15">
                  <c:v>14.065221619398496</c:v>
                </c:pt>
                <c:pt idx="16">
                  <c:v>11.589154150162432</c:v>
                </c:pt>
                <c:pt idx="17">
                  <c:v>11.589154150162432</c:v>
                </c:pt>
                <c:pt idx="18">
                  <c:v>11.589154150162432</c:v>
                </c:pt>
                <c:pt idx="19">
                  <c:v>11.589154150162432</c:v>
                </c:pt>
                <c:pt idx="20">
                  <c:v>10.448280723840154</c:v>
                </c:pt>
                <c:pt idx="21">
                  <c:v>9.3074072975178783</c:v>
                </c:pt>
                <c:pt idx="22">
                  <c:v>9.3074072975178783</c:v>
                </c:pt>
                <c:pt idx="23">
                  <c:v>9.3074072975178783</c:v>
                </c:pt>
                <c:pt idx="24">
                  <c:v>9.3074072975178783</c:v>
                </c:pt>
                <c:pt idx="25">
                  <c:v>9.3074072975178783</c:v>
                </c:pt>
              </c:numCache>
            </c:numRef>
          </c:val>
        </c:ser>
        <c:ser>
          <c:idx val="2"/>
          <c:order val="2"/>
          <c:tx>
            <c:strRef>
              <c:f>'Output tables'!$A$226</c:f>
              <c:strCache>
                <c:ptCount val="1"/>
                <c:pt idx="0">
                  <c:v>OCGT liquid fuels</c:v>
                </c:pt>
              </c:strCache>
            </c:strRef>
          </c:tx>
          <c:cat>
            <c:numRef>
              <c:f>'Output tables'!$AP$223:$BO$223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tables'!$AP$226:$BO$226</c:f>
              <c:numCache>
                <c:formatCode>General</c:formatCode>
                <c:ptCount val="26"/>
                <c:pt idx="0">
                  <c:v>0.55239991945704037</c:v>
                </c:pt>
                <c:pt idx="1">
                  <c:v>0.55239991945704037</c:v>
                </c:pt>
                <c:pt idx="2">
                  <c:v>0.55239991945704037</c:v>
                </c:pt>
                <c:pt idx="3">
                  <c:v>0.55239991945704037</c:v>
                </c:pt>
                <c:pt idx="4">
                  <c:v>0.55239991945704037</c:v>
                </c:pt>
                <c:pt idx="5">
                  <c:v>0.55239991945704037</c:v>
                </c:pt>
                <c:pt idx="6">
                  <c:v>0.80097988321270841</c:v>
                </c:pt>
                <c:pt idx="7">
                  <c:v>0.80097988321270841</c:v>
                </c:pt>
                <c:pt idx="8">
                  <c:v>0.80097988321270841</c:v>
                </c:pt>
                <c:pt idx="9">
                  <c:v>0.80097988321270841</c:v>
                </c:pt>
                <c:pt idx="10">
                  <c:v>0.80097988321270841</c:v>
                </c:pt>
                <c:pt idx="11">
                  <c:v>0.80097988321270841</c:v>
                </c:pt>
                <c:pt idx="12">
                  <c:v>0.80097988321270841</c:v>
                </c:pt>
                <c:pt idx="13">
                  <c:v>0.80097988321270841</c:v>
                </c:pt>
                <c:pt idx="14">
                  <c:v>0.80097988321270841</c:v>
                </c:pt>
                <c:pt idx="15">
                  <c:v>0.80097988321270841</c:v>
                </c:pt>
                <c:pt idx="16">
                  <c:v>0.80097988321270841</c:v>
                </c:pt>
                <c:pt idx="17">
                  <c:v>0.80097988321270841</c:v>
                </c:pt>
                <c:pt idx="18">
                  <c:v>0.80097988321270841</c:v>
                </c:pt>
                <c:pt idx="19">
                  <c:v>0.80097988321270841</c:v>
                </c:pt>
                <c:pt idx="20">
                  <c:v>0.80097988321270841</c:v>
                </c:pt>
                <c:pt idx="21">
                  <c:v>0.96669985904982081</c:v>
                </c:pt>
                <c:pt idx="22">
                  <c:v>0.96669985904982081</c:v>
                </c:pt>
                <c:pt idx="23">
                  <c:v>0.96669985904982081</c:v>
                </c:pt>
                <c:pt idx="24">
                  <c:v>1.1876598268326366</c:v>
                </c:pt>
                <c:pt idx="25">
                  <c:v>1.3692613003541387</c:v>
                </c:pt>
              </c:numCache>
            </c:numRef>
          </c:val>
        </c:ser>
        <c:ser>
          <c:idx val="3"/>
          <c:order val="3"/>
          <c:tx>
            <c:strRef>
              <c:f>'Output tables'!$A$227</c:f>
              <c:strCache>
                <c:ptCount val="1"/>
                <c:pt idx="0">
                  <c:v>PWR nuclear</c:v>
                </c:pt>
              </c:strCache>
            </c:strRef>
          </c:tx>
          <c:cat>
            <c:numRef>
              <c:f>'Output tables'!$AP$223:$BO$223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tables'!$AP$227:$BO$227</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4"/>
          <c:order val="4"/>
          <c:tx>
            <c:strRef>
              <c:f>'Output tables'!$A$228</c:f>
              <c:strCache>
                <c:ptCount val="1"/>
                <c:pt idx="0">
                  <c:v>Hydro</c:v>
                </c:pt>
              </c:strCache>
            </c:strRef>
          </c:tx>
          <c:cat>
            <c:numRef>
              <c:f>'Output tables'!$AP$223:$BO$223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tables'!$AP$228:$BO$228</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5"/>
          <c:order val="5"/>
          <c:tx>
            <c:strRef>
              <c:f>'Output tables'!$A$229</c:f>
              <c:strCache>
                <c:ptCount val="1"/>
                <c:pt idx="0">
                  <c:v>Landfill gas</c:v>
                </c:pt>
              </c:strCache>
            </c:strRef>
          </c:tx>
          <c:cat>
            <c:numRef>
              <c:f>'Output tables'!$AP$223:$BO$223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tables'!$AP$229:$BO$229</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6"/>
          <c:order val="6"/>
          <c:tx>
            <c:strRef>
              <c:f>'Output tables'!$A$230</c:f>
              <c:strCache>
                <c:ptCount val="1"/>
                <c:pt idx="0">
                  <c:v>Biomass</c:v>
                </c:pt>
              </c:strCache>
            </c:strRef>
          </c:tx>
          <c:cat>
            <c:numRef>
              <c:f>'Output tables'!$AP$223:$BO$223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tables'!$AP$230:$BO$230</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7"/>
          <c:order val="7"/>
          <c:tx>
            <c:strRef>
              <c:f>'Output tables'!$A$231</c:f>
              <c:strCache>
                <c:ptCount val="1"/>
                <c:pt idx="0">
                  <c:v>Supercritical coal</c:v>
                </c:pt>
              </c:strCache>
            </c:strRef>
          </c:tx>
          <c:cat>
            <c:numRef>
              <c:f>'Output tables'!$AP$223:$BO$223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tables'!$AP$231:$BO$231</c:f>
              <c:numCache>
                <c:formatCode>General</c:formatCode>
                <c:ptCount val="26"/>
                <c:pt idx="0">
                  <c:v>0</c:v>
                </c:pt>
                <c:pt idx="1">
                  <c:v>0</c:v>
                </c:pt>
                <c:pt idx="2">
                  <c:v>0</c:v>
                </c:pt>
                <c:pt idx="3">
                  <c:v>0</c:v>
                </c:pt>
                <c:pt idx="4">
                  <c:v>0</c:v>
                </c:pt>
                <c:pt idx="5">
                  <c:v>0</c:v>
                </c:pt>
                <c:pt idx="6">
                  <c:v>0</c:v>
                </c:pt>
                <c:pt idx="7">
                  <c:v>1.5897728804899998</c:v>
                </c:pt>
                <c:pt idx="8">
                  <c:v>4.76931864147</c:v>
                </c:pt>
                <c:pt idx="9">
                  <c:v>9.981494968181412</c:v>
                </c:pt>
                <c:pt idx="10">
                  <c:v>15.779114604001057</c:v>
                </c:pt>
                <c:pt idx="11">
                  <c:v>21.592084124276493</c:v>
                </c:pt>
                <c:pt idx="12">
                  <c:v>25.336371454784519</c:v>
                </c:pt>
                <c:pt idx="13">
                  <c:v>27.576462434297909</c:v>
                </c:pt>
                <c:pt idx="14">
                  <c:v>27.011545373210616</c:v>
                </c:pt>
                <c:pt idx="15">
                  <c:v>26.304017630681393</c:v>
                </c:pt>
                <c:pt idx="16">
                  <c:v>22.861777420551583</c:v>
                </c:pt>
                <c:pt idx="17">
                  <c:v>20.554104407970506</c:v>
                </c:pt>
                <c:pt idx="18">
                  <c:v>19.077274565880003</c:v>
                </c:pt>
                <c:pt idx="19">
                  <c:v>19.077274565880003</c:v>
                </c:pt>
                <c:pt idx="20">
                  <c:v>19.197835426423797</c:v>
                </c:pt>
                <c:pt idx="21">
                  <c:v>25.221586697982048</c:v>
                </c:pt>
                <c:pt idx="22">
                  <c:v>27.691949386680839</c:v>
                </c:pt>
                <c:pt idx="23">
                  <c:v>31.012113695903075</c:v>
                </c:pt>
                <c:pt idx="24">
                  <c:v>42.832671502947825</c:v>
                </c:pt>
                <c:pt idx="25">
                  <c:v>44.08351296332367</c:v>
                </c:pt>
              </c:numCache>
            </c:numRef>
          </c:val>
        </c:ser>
        <c:ser>
          <c:idx val="8"/>
          <c:order val="8"/>
          <c:tx>
            <c:strRef>
              <c:f>'Output tables'!$A$232</c:f>
              <c:strCache>
                <c:ptCount val="1"/>
                <c:pt idx="0">
                  <c:v>Wind 30% </c:v>
                </c:pt>
              </c:strCache>
            </c:strRef>
          </c:tx>
          <c:cat>
            <c:numRef>
              <c:f>'Output tables'!$AP$223:$BO$223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tables'!$AP$232:$BO$232</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9"/>
          <c:order val="9"/>
          <c:tx>
            <c:strRef>
              <c:f>'Output tables'!$A$233</c:f>
              <c:strCache>
                <c:ptCount val="1"/>
                <c:pt idx="0">
                  <c:v>Wind 25%</c:v>
                </c:pt>
              </c:strCache>
            </c:strRef>
          </c:tx>
          <c:cat>
            <c:numRef>
              <c:f>'Output tables'!$AP$223:$BO$223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tables'!$AP$233:$BO$233</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0"/>
          <c:order val="10"/>
          <c:tx>
            <c:strRef>
              <c:f>'Output tables'!$A$234</c:f>
              <c:strCache>
                <c:ptCount val="1"/>
                <c:pt idx="0">
                  <c:v>solar thermal central reciever</c:v>
                </c:pt>
              </c:strCache>
            </c:strRef>
          </c:tx>
          <c:cat>
            <c:numRef>
              <c:f>'Output tables'!$AP$223:$BO$223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tables'!$AP$234:$BO$234</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1"/>
          <c:order val="11"/>
          <c:tx>
            <c:strRef>
              <c:f>'Output tables'!$A$235</c:f>
              <c:strCache>
                <c:ptCount val="1"/>
                <c:pt idx="0">
                  <c:v>solar thermal trough</c:v>
                </c:pt>
              </c:strCache>
            </c:strRef>
          </c:tx>
          <c:cat>
            <c:numRef>
              <c:f>'Output tables'!$AP$223:$BO$223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tables'!$AP$235:$BO$235</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2"/>
          <c:order val="12"/>
          <c:tx>
            <c:strRef>
              <c:f>'Output tables'!$A$236</c:f>
              <c:strCache>
                <c:ptCount val="1"/>
                <c:pt idx="0">
                  <c:v>solar PV</c:v>
                </c:pt>
              </c:strCache>
            </c:strRef>
          </c:tx>
          <c:cat>
            <c:numRef>
              <c:f>'Output tables'!$AP$223:$BO$223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tables'!$AP$236:$BO$236</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3"/>
          <c:order val="13"/>
          <c:tx>
            <c:strRef>
              <c:f>'Output tables'!$A$237</c:f>
              <c:strCache>
                <c:ptCount val="1"/>
                <c:pt idx="0">
                  <c:v>combined cycle gas</c:v>
                </c:pt>
              </c:strCache>
            </c:strRef>
          </c:tx>
          <c:cat>
            <c:numRef>
              <c:f>'Output tables'!$AP$223:$BO$223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tables'!$AP$237:$BO$237</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1.5344480858326417</c:v>
                </c:pt>
                <c:pt idx="23">
                  <c:v>3.8361202145816047</c:v>
                </c:pt>
                <c:pt idx="24">
                  <c:v>6.1377923433305668</c:v>
                </c:pt>
                <c:pt idx="25">
                  <c:v>6.1377923433305668</c:v>
                </c:pt>
              </c:numCache>
            </c:numRef>
          </c:val>
        </c:ser>
        <c:ser>
          <c:idx val="14"/>
          <c:order val="14"/>
          <c:tx>
            <c:strRef>
              <c:f>'Output tables'!$A$238</c:f>
              <c:strCache>
                <c:ptCount val="1"/>
                <c:pt idx="0">
                  <c:v>PBMR</c:v>
                </c:pt>
              </c:strCache>
            </c:strRef>
          </c:tx>
          <c:cat>
            <c:numRef>
              <c:f>'Output tables'!$AP$223:$BO$223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tables'!$AP$238:$BO$238</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5"/>
          <c:order val="15"/>
          <c:tx>
            <c:strRef>
              <c:f>'Output tables'!$A$239</c:f>
              <c:strCache>
                <c:ptCount val="1"/>
                <c:pt idx="0">
                  <c:v>IGCC</c:v>
                </c:pt>
              </c:strCache>
            </c:strRef>
          </c:tx>
          <c:cat>
            <c:numRef>
              <c:f>'Output tables'!$AP$223:$BO$223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tables'!$AP$239:$BO$239</c:f>
              <c:numCache>
                <c:formatCode>General</c:formatCode>
                <c:ptCount val="26"/>
                <c:pt idx="0">
                  <c:v>0</c:v>
                </c:pt>
                <c:pt idx="1">
                  <c:v>2.602576242861687E-14</c:v>
                </c:pt>
                <c:pt idx="2">
                  <c:v>0</c:v>
                </c:pt>
                <c:pt idx="3">
                  <c:v>2.602576242861687E-14</c:v>
                </c:pt>
                <c:pt idx="4">
                  <c:v>2.602576242861687E-14</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3.6930401379846161</c:v>
                </c:pt>
                <c:pt idx="25">
                  <c:v>7.3860802759692321</c:v>
                </c:pt>
              </c:numCache>
            </c:numRef>
          </c:val>
        </c:ser>
        <c:ser>
          <c:idx val="16"/>
          <c:order val="16"/>
          <c:tx>
            <c:strRef>
              <c:f>'Output tables'!$A$240</c:f>
              <c:strCache>
                <c:ptCount val="1"/>
                <c:pt idx="0">
                  <c:v>-</c:v>
                </c:pt>
              </c:strCache>
            </c:strRef>
          </c:tx>
          <c:cat>
            <c:numRef>
              <c:f>'Output tables'!$AP$223:$BO$223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tables'!$AP$240:$BO$240</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7"/>
          <c:order val="17"/>
          <c:tx>
            <c:strRef>
              <c:f>'Output tables'!$A$241</c:f>
              <c:strCache>
                <c:ptCount val="1"/>
                <c:pt idx="0">
                  <c:v>-</c:v>
                </c:pt>
              </c:strCache>
            </c:strRef>
          </c:tx>
          <c:cat>
            <c:numRef>
              <c:f>'Output tables'!$AP$223:$BO$223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tables'!$AP$241:$BO$241</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8"/>
          <c:order val="18"/>
          <c:tx>
            <c:strRef>
              <c:f>'Output tables'!$A$242</c:f>
              <c:strCache>
                <c:ptCount val="1"/>
                <c:pt idx="0">
                  <c:v>-</c:v>
                </c:pt>
              </c:strCache>
            </c:strRef>
          </c:tx>
          <c:cat>
            <c:numRef>
              <c:f>'Output tables'!$AP$223:$BO$223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tables'!$AP$242:$BO$242</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9"/>
          <c:order val="19"/>
          <c:tx>
            <c:strRef>
              <c:f>'Output tables'!$A$243</c:f>
              <c:strCache>
                <c:ptCount val="1"/>
                <c:pt idx="0">
                  <c:v>Pumped storage</c:v>
                </c:pt>
              </c:strCache>
            </c:strRef>
          </c:tx>
          <c:cat>
            <c:numRef>
              <c:f>'Output tables'!$AP$223:$BO$223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tables'!$AP$243:$BO$243</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axId val="109749760"/>
        <c:axId val="109751296"/>
      </c:areaChart>
      <c:catAx>
        <c:axId val="109749760"/>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09751296"/>
        <c:crosses val="autoZero"/>
        <c:auto val="1"/>
        <c:lblAlgn val="ctr"/>
        <c:lblOffset val="100"/>
      </c:catAx>
      <c:valAx>
        <c:axId val="109751296"/>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 CO2-eq</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9749760"/>
        <c:crosses val="autoZero"/>
        <c:crossBetween val="midCat"/>
      </c:valAx>
    </c:plotArea>
    <c:legend>
      <c:legendPos val="b"/>
      <c:layout>
        <c:manualLayout>
          <c:xMode val="edge"/>
          <c:yMode val="edge"/>
          <c:x val="1.4929345952968E-2"/>
          <c:y val="0.66274588403722334"/>
          <c:w val="0.92942840478273536"/>
          <c:h val="0.31955499880696775"/>
        </c:manualLayout>
      </c:layout>
      <c:txPr>
        <a:bodyPr/>
        <a:lstStyle/>
        <a:p>
          <a:pPr>
            <a:defRPr lang="en-ZA" sz="845" b="0" i="0" u="none" strike="noStrike" baseline="0">
              <a:solidFill>
                <a:srgbClr val="000000"/>
              </a:solidFill>
              <a:latin typeface="Calibri"/>
              <a:ea typeface="Calibri"/>
              <a:cs typeface="Calibri"/>
            </a:defRPr>
          </a:pPr>
          <a:endParaRPr lang="en-US"/>
        </a:p>
      </c:txPr>
    </c:legend>
    <c:plotVisOnly val="1"/>
    <c:dispBlanksAs val="zero"/>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266" l="0.70000000000000062" r="0.70000000000000062" t="0.75000000000000266" header="0.30000000000000032" footer="0.30000000000000032"/>
    <c:pageSetup/>
  </c:printSettings>
</c:chartSpace>
</file>

<file path=xl/charts/chart65.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050" b="1" i="0" u="none" strike="noStrike" baseline="0">
                <a:solidFill>
                  <a:srgbClr val="000000"/>
                </a:solidFill>
                <a:latin typeface="Calibri"/>
                <a:ea typeface="Calibri"/>
                <a:cs typeface="Calibri"/>
              </a:defRPr>
            </a:pPr>
            <a:r>
              <a:rPr lang="en-ZA"/>
              <a:t>NMVOC emissions</a:t>
            </a:r>
          </a:p>
        </c:rich>
      </c:tx>
    </c:title>
    <c:plotArea>
      <c:layout>
        <c:manualLayout>
          <c:layoutTarget val="inner"/>
          <c:xMode val="edge"/>
          <c:yMode val="edge"/>
          <c:x val="0.26025615219150205"/>
          <c:y val="0.19467108012772291"/>
          <c:w val="0.67947585499181118"/>
          <c:h val="0.54240602533378979"/>
        </c:manualLayout>
      </c:layout>
      <c:lineChart>
        <c:grouping val="standard"/>
        <c:ser>
          <c:idx val="0"/>
          <c:order val="0"/>
          <c:tx>
            <c:strRef>
              <c:f>'Output tables'!$A$262</c:f>
              <c:strCache>
                <c:ptCount val="1"/>
                <c:pt idx="0">
                  <c:v>NMVOC emissions</c:v>
                </c:pt>
              </c:strCache>
            </c:strRef>
          </c:tx>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tables'!$AP$262:$BO$262</c:f>
              <c:numCache>
                <c:formatCode>General</c:formatCode>
                <c:ptCount val="26"/>
                <c:pt idx="0">
                  <c:v>1.1385203537867488E-2</c:v>
                </c:pt>
                <c:pt idx="1">
                  <c:v>1.138520353786749E-2</c:v>
                </c:pt>
                <c:pt idx="2">
                  <c:v>1.17349102693673E-2</c:v>
                </c:pt>
                <c:pt idx="3">
                  <c:v>1.1856728296186855E-2</c:v>
                </c:pt>
                <c:pt idx="4">
                  <c:v>1.1856728296186855E-2</c:v>
                </c:pt>
                <c:pt idx="5">
                  <c:v>1.2210517381132454E-2</c:v>
                </c:pt>
                <c:pt idx="6">
                  <c:v>1.2453003783723469E-2</c:v>
                </c:pt>
                <c:pt idx="7">
                  <c:v>1.2728660143491112E-2</c:v>
                </c:pt>
                <c:pt idx="8">
                  <c:v>1.3043719357905376E-2</c:v>
                </c:pt>
                <c:pt idx="9">
                  <c:v>1.3431924097987163E-2</c:v>
                </c:pt>
                <c:pt idx="10">
                  <c:v>1.3731682106147012E-2</c:v>
                </c:pt>
                <c:pt idx="11">
                  <c:v>1.4027180271438924E-2</c:v>
                </c:pt>
                <c:pt idx="12">
                  <c:v>1.4215720048345155E-2</c:v>
                </c:pt>
                <c:pt idx="13">
                  <c:v>1.4324802910608083E-2</c:v>
                </c:pt>
                <c:pt idx="14">
                  <c:v>1.4288856661625436E-2</c:v>
                </c:pt>
                <c:pt idx="15">
                  <c:v>1.4124253217555052E-2</c:v>
                </c:pt>
                <c:pt idx="16">
                  <c:v>1.3818255198871122E-2</c:v>
                </c:pt>
                <c:pt idx="17">
                  <c:v>1.3698940116270373E-2</c:v>
                </c:pt>
                <c:pt idx="18">
                  <c:v>1.3342450691975601E-2</c:v>
                </c:pt>
                <c:pt idx="19">
                  <c:v>1.3000768426808989E-2</c:v>
                </c:pt>
                <c:pt idx="20">
                  <c:v>1.2673188419822118E-2</c:v>
                </c:pt>
                <c:pt idx="21">
                  <c:v>1.2376400457652516E-2</c:v>
                </c:pt>
                <c:pt idx="22">
                  <c:v>1.2080360395658431E-2</c:v>
                </c:pt>
                <c:pt idx="23">
                  <c:v>1.1778595887479544E-2</c:v>
                </c:pt>
                <c:pt idx="24">
                  <c:v>1.1443763305431174E-2</c:v>
                </c:pt>
                <c:pt idx="25">
                  <c:v>1.1033218980282273E-2</c:v>
                </c:pt>
              </c:numCache>
            </c:numRef>
          </c:val>
        </c:ser>
        <c:marker val="1"/>
        <c:axId val="109771392"/>
        <c:axId val="109793664"/>
      </c:lineChart>
      <c:catAx>
        <c:axId val="109771392"/>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09793664"/>
        <c:crosses val="autoZero"/>
        <c:auto val="1"/>
        <c:lblAlgn val="ctr"/>
        <c:lblOffset val="100"/>
      </c:catAx>
      <c:valAx>
        <c:axId val="109793664"/>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9771392"/>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222" l="0.70000000000000062" r="0.70000000000000062" t="0.75000000000000222" header="0.30000000000000032" footer="0.30000000000000032"/>
    <c:pageSetup/>
  </c:printSettings>
</c:chartSpace>
</file>

<file path=xl/charts/chart66.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050" b="1" i="0" u="none" strike="noStrike" baseline="0">
                <a:solidFill>
                  <a:srgbClr val="000000"/>
                </a:solidFill>
                <a:latin typeface="Calibri"/>
                <a:ea typeface="Calibri"/>
                <a:cs typeface="Calibri"/>
              </a:defRPr>
            </a:pPr>
            <a:r>
              <a:rPr lang="en-ZA"/>
              <a:t>SOx emissions</a:t>
            </a:r>
          </a:p>
        </c:rich>
      </c:tx>
    </c:title>
    <c:plotArea>
      <c:layout>
        <c:manualLayout>
          <c:layoutTarget val="inner"/>
          <c:xMode val="edge"/>
          <c:yMode val="edge"/>
          <c:x val="0.20653126846229125"/>
          <c:y val="0.11860843721342183"/>
          <c:w val="0.73563374688865002"/>
          <c:h val="0.6486474190726168"/>
        </c:manualLayout>
      </c:layout>
      <c:lineChart>
        <c:grouping val="standard"/>
        <c:ser>
          <c:idx val="0"/>
          <c:order val="0"/>
          <c:tx>
            <c:strRef>
              <c:f>'Output tables'!$A$259</c:f>
              <c:strCache>
                <c:ptCount val="1"/>
                <c:pt idx="0">
                  <c:v>SOx emissions</c:v>
                </c:pt>
              </c:strCache>
            </c:strRef>
          </c:tx>
          <c:marker>
            <c:symbol val="none"/>
          </c:marker>
          <c:cat>
            <c:numRef>
              <c:f>'Output tables'!$AP$258:$BO$258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tables'!$AP$259:$BO$259</c:f>
              <c:numCache>
                <c:formatCode>General</c:formatCode>
                <c:ptCount val="26"/>
                <c:pt idx="0">
                  <c:v>1.3313893391371041</c:v>
                </c:pt>
                <c:pt idx="1">
                  <c:v>1.3313893391371041</c:v>
                </c:pt>
                <c:pt idx="2">
                  <c:v>1.3751866101901404</c:v>
                </c:pt>
                <c:pt idx="3">
                  <c:v>1.3904430998690211</c:v>
                </c:pt>
                <c:pt idx="4">
                  <c:v>1.3904430998690211</c:v>
                </c:pt>
                <c:pt idx="5">
                  <c:v>1.4232244480936109</c:v>
                </c:pt>
                <c:pt idx="6">
                  <c:v>1.4455263573410646</c:v>
                </c:pt>
                <c:pt idx="7">
                  <c:v>1.469755203003011</c:v>
                </c:pt>
                <c:pt idx="8">
                  <c:v>1.4886245053455469</c:v>
                </c:pt>
                <c:pt idx="9">
                  <c:v>1.503492532121494</c:v>
                </c:pt>
                <c:pt idx="10">
                  <c:v>1.503492532121494</c:v>
                </c:pt>
                <c:pt idx="11">
                  <c:v>1.503492532121494</c:v>
                </c:pt>
                <c:pt idx="12">
                  <c:v>1.503492532121494</c:v>
                </c:pt>
                <c:pt idx="13">
                  <c:v>1.503492532121494</c:v>
                </c:pt>
                <c:pt idx="14">
                  <c:v>1.503492532121494</c:v>
                </c:pt>
                <c:pt idx="15">
                  <c:v>1.503492532121494</c:v>
                </c:pt>
                <c:pt idx="16">
                  <c:v>1.503492532121494</c:v>
                </c:pt>
                <c:pt idx="17">
                  <c:v>1.503492532121494</c:v>
                </c:pt>
                <c:pt idx="18">
                  <c:v>1.468408806261585</c:v>
                </c:pt>
                <c:pt idx="19">
                  <c:v>1.4256165193721186</c:v>
                </c:pt>
                <c:pt idx="20">
                  <c:v>1.3911972937564228</c:v>
                </c:pt>
                <c:pt idx="21">
                  <c:v>1.3215767230463946</c:v>
                </c:pt>
                <c:pt idx="22">
                  <c:v>1.2513921990682249</c:v>
                </c:pt>
                <c:pt idx="23">
                  <c:v>1.1664319858314933</c:v>
                </c:pt>
                <c:pt idx="24">
                  <c:v>0.99726349704888495</c:v>
                </c:pt>
                <c:pt idx="25">
                  <c:v>0.91292128260182459</c:v>
                </c:pt>
              </c:numCache>
            </c:numRef>
          </c:val>
        </c:ser>
        <c:marker val="1"/>
        <c:axId val="109817856"/>
        <c:axId val="109819392"/>
      </c:lineChart>
      <c:catAx>
        <c:axId val="109817856"/>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09819392"/>
        <c:crosses val="autoZero"/>
        <c:auto val="1"/>
        <c:lblAlgn val="ctr"/>
        <c:lblOffset val="100"/>
      </c:catAx>
      <c:valAx>
        <c:axId val="109819392"/>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9817856"/>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244" l="0.70000000000000062" r="0.70000000000000062" t="0.75000000000000244" header="0.30000000000000032" footer="0.30000000000000032"/>
    <c:pageSetup/>
  </c:printSettings>
</c:chartSpace>
</file>

<file path=xl/charts/chart67.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050" b="1" i="0" u="none" strike="noStrike" baseline="0">
                <a:solidFill>
                  <a:srgbClr val="000000"/>
                </a:solidFill>
                <a:latin typeface="Calibri"/>
                <a:ea typeface="Calibri"/>
                <a:cs typeface="Calibri"/>
              </a:defRPr>
            </a:pPr>
            <a:r>
              <a:rPr lang="en-ZA"/>
              <a:t>NOx emissions</a:t>
            </a:r>
          </a:p>
        </c:rich>
      </c:tx>
      <c:layout>
        <c:manualLayout>
          <c:xMode val="edge"/>
          <c:yMode val="edge"/>
          <c:x val="0.38354104613327833"/>
          <c:y val="1.5526684164479439E-2"/>
        </c:manualLayout>
      </c:layout>
    </c:title>
    <c:plotArea>
      <c:layout>
        <c:manualLayout>
          <c:layoutTarget val="inner"/>
          <c:xMode val="edge"/>
          <c:yMode val="edge"/>
          <c:x val="0.22921073068113743"/>
          <c:y val="0.11835241950649748"/>
          <c:w val="0.7114103433700002"/>
          <c:h val="0.63433880136775433"/>
        </c:manualLayout>
      </c:layout>
      <c:lineChart>
        <c:grouping val="standard"/>
        <c:ser>
          <c:idx val="0"/>
          <c:order val="0"/>
          <c:tx>
            <c:strRef>
              <c:f>'Output tables'!$A$260</c:f>
              <c:strCache>
                <c:ptCount val="1"/>
                <c:pt idx="0">
                  <c:v>NOx emissions</c:v>
                </c:pt>
              </c:strCache>
            </c:strRef>
          </c:tx>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tables'!$AP$260:$BO$260</c:f>
              <c:numCache>
                <c:formatCode>General</c:formatCode>
                <c:ptCount val="26"/>
                <c:pt idx="0">
                  <c:v>0.68236889703791037</c:v>
                </c:pt>
                <c:pt idx="1">
                  <c:v>0.68236889703791048</c:v>
                </c:pt>
                <c:pt idx="2">
                  <c:v>0.70335130092789899</c:v>
                </c:pt>
                <c:pt idx="3">
                  <c:v>0.71066038253707231</c:v>
                </c:pt>
                <c:pt idx="4">
                  <c:v>0.71066038253707231</c:v>
                </c:pt>
                <c:pt idx="5">
                  <c:v>0.73188772763380827</c:v>
                </c:pt>
                <c:pt idx="6">
                  <c:v>0.74610241993390647</c:v>
                </c:pt>
                <c:pt idx="7">
                  <c:v>0.76264180151996508</c:v>
                </c:pt>
                <c:pt idx="8">
                  <c:v>0.78154535438482098</c:v>
                </c:pt>
                <c:pt idx="9">
                  <c:v>0.80483763878972814</c:v>
                </c:pt>
                <c:pt idx="10">
                  <c:v>0.82282311927931906</c:v>
                </c:pt>
                <c:pt idx="11">
                  <c:v>0.84055300919683384</c:v>
                </c:pt>
                <c:pt idx="12">
                  <c:v>0.85186539581120768</c:v>
                </c:pt>
                <c:pt idx="13">
                  <c:v>0.85841036754698341</c:v>
                </c:pt>
                <c:pt idx="14">
                  <c:v>0.85625359260802447</c:v>
                </c:pt>
                <c:pt idx="15">
                  <c:v>0.84637738596380152</c:v>
                </c:pt>
                <c:pt idx="16">
                  <c:v>0.82801750484276582</c:v>
                </c:pt>
                <c:pt idx="17">
                  <c:v>0.82085859988672083</c:v>
                </c:pt>
                <c:pt idx="18">
                  <c:v>0.7994692344290345</c:v>
                </c:pt>
                <c:pt idx="19">
                  <c:v>0.77896829851903782</c:v>
                </c:pt>
                <c:pt idx="20">
                  <c:v>0.7593134980998254</c:v>
                </c:pt>
                <c:pt idx="21">
                  <c:v>0.74128322579940775</c:v>
                </c:pt>
                <c:pt idx="22">
                  <c:v>0.71942181914353787</c:v>
                </c:pt>
                <c:pt idx="23">
                  <c:v>0.69516744424846733</c:v>
                </c:pt>
                <c:pt idx="24">
                  <c:v>0.66863165882757236</c:v>
                </c:pt>
                <c:pt idx="25">
                  <c:v>0.64375463443541514</c:v>
                </c:pt>
              </c:numCache>
            </c:numRef>
          </c:val>
        </c:ser>
        <c:marker val="1"/>
        <c:axId val="109921408"/>
        <c:axId val="109922944"/>
      </c:lineChart>
      <c:catAx>
        <c:axId val="109921408"/>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09922944"/>
        <c:crosses val="autoZero"/>
        <c:auto val="1"/>
        <c:lblAlgn val="ctr"/>
        <c:lblOffset val="100"/>
      </c:catAx>
      <c:valAx>
        <c:axId val="109922944"/>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9921408"/>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266" l="0.70000000000000062" r="0.70000000000000062" t="0.75000000000000266" header="0.30000000000000032" footer="0.30000000000000032"/>
    <c:pageSetup/>
  </c:printSettings>
</c:chartSpace>
</file>

<file path=xl/charts/chart68.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050" b="1" i="0" u="none" strike="noStrike" baseline="0">
                <a:solidFill>
                  <a:srgbClr val="000000"/>
                </a:solidFill>
                <a:latin typeface="Calibri"/>
                <a:ea typeface="Calibri"/>
                <a:cs typeface="Calibri"/>
              </a:defRPr>
            </a:pPr>
            <a:r>
              <a:rPr lang="en-ZA"/>
              <a:t>CO emissions</a:t>
            </a:r>
          </a:p>
        </c:rich>
      </c:tx>
      <c:layout>
        <c:manualLayout>
          <c:xMode val="edge"/>
          <c:yMode val="edge"/>
          <c:x val="0.3451635523171544"/>
          <c:y val="3.030286431587359E-2"/>
        </c:manualLayout>
      </c:layout>
    </c:title>
    <c:plotArea>
      <c:layout>
        <c:manualLayout>
          <c:layoutTarget val="inner"/>
          <c:xMode val="edge"/>
          <c:yMode val="edge"/>
          <c:x val="0.23495608883591582"/>
          <c:y val="0.19467108012772291"/>
          <c:w val="0.70692168709344383"/>
          <c:h val="0.56425823315295454"/>
        </c:manualLayout>
      </c:layout>
      <c:lineChart>
        <c:grouping val="standard"/>
        <c:ser>
          <c:idx val="0"/>
          <c:order val="0"/>
          <c:tx>
            <c:strRef>
              <c:f>'Output tables'!$A$261</c:f>
              <c:strCache>
                <c:ptCount val="1"/>
                <c:pt idx="0">
                  <c:v>CO emissions</c:v>
                </c:pt>
              </c:strCache>
            </c:strRef>
          </c:tx>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tables'!$AP$261:$BO$261</c:f>
              <c:numCache>
                <c:formatCode>General</c:formatCode>
                <c:ptCount val="26"/>
                <c:pt idx="0">
                  <c:v>4.5503648389763007E-2</c:v>
                </c:pt>
                <c:pt idx="1">
                  <c:v>4.5503648389763014E-2</c:v>
                </c:pt>
                <c:pt idx="2">
                  <c:v>4.6902475315762256E-2</c:v>
                </c:pt>
                <c:pt idx="3">
                  <c:v>4.7389747423040474E-2</c:v>
                </c:pt>
                <c:pt idx="4">
                  <c:v>4.7389747423040474E-2</c:v>
                </c:pt>
                <c:pt idx="5">
                  <c:v>4.8804903762822871E-2</c:v>
                </c:pt>
                <c:pt idx="6">
                  <c:v>4.9758124780418793E-2</c:v>
                </c:pt>
                <c:pt idx="7">
                  <c:v>5.0860750219489367E-2</c:v>
                </c:pt>
                <c:pt idx="8">
                  <c:v>5.2120987077146422E-2</c:v>
                </c:pt>
                <c:pt idx="9">
                  <c:v>5.367380603747357E-2</c:v>
                </c:pt>
                <c:pt idx="10">
                  <c:v>5.4872838070112964E-2</c:v>
                </c:pt>
                <c:pt idx="11">
                  <c:v>5.6054830731280605E-2</c:v>
                </c:pt>
                <c:pt idx="12">
                  <c:v>5.6808989838905539E-2</c:v>
                </c:pt>
                <c:pt idx="13">
                  <c:v>5.7245321287957257E-2</c:v>
                </c:pt>
                <c:pt idx="14">
                  <c:v>5.7101536292026661E-2</c:v>
                </c:pt>
                <c:pt idx="15">
                  <c:v>5.6443122515745126E-2</c:v>
                </c:pt>
                <c:pt idx="16">
                  <c:v>5.5219130441009408E-2</c:v>
                </c:pt>
                <c:pt idx="17">
                  <c:v>5.4741870110606411E-2</c:v>
                </c:pt>
                <c:pt idx="18">
                  <c:v>5.331591241342732E-2</c:v>
                </c:pt>
                <c:pt idx="19">
                  <c:v>5.1949183352760872E-2</c:v>
                </c:pt>
                <c:pt idx="20">
                  <c:v>5.0638863324813391E-2</c:v>
                </c:pt>
                <c:pt idx="21">
                  <c:v>4.9440561747622902E-2</c:v>
                </c:pt>
                <c:pt idx="22">
                  <c:v>4.8256401499646565E-2</c:v>
                </c:pt>
                <c:pt idx="23">
                  <c:v>4.7049343466931015E-2</c:v>
                </c:pt>
                <c:pt idx="24">
                  <c:v>4.5695146834054755E-2</c:v>
                </c:pt>
                <c:pt idx="25">
                  <c:v>4.4040751289297991E-2</c:v>
                </c:pt>
              </c:numCache>
            </c:numRef>
          </c:val>
        </c:ser>
        <c:marker val="1"/>
        <c:axId val="109955328"/>
        <c:axId val="109961216"/>
      </c:lineChart>
      <c:catAx>
        <c:axId val="109955328"/>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09961216"/>
        <c:crosses val="autoZero"/>
        <c:auto val="1"/>
        <c:lblAlgn val="ctr"/>
        <c:lblOffset val="100"/>
      </c:catAx>
      <c:valAx>
        <c:axId val="109961216"/>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9955328"/>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266" l="0.70000000000000062" r="0.70000000000000062" t="0.75000000000000266" header="0.30000000000000032" footer="0.30000000000000032"/>
    <c:pageSetup/>
  </c:printSettings>
</c:chartSpace>
</file>

<file path=xl/charts/chart69.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050" b="1" i="0" u="none" strike="noStrike" baseline="0">
                <a:solidFill>
                  <a:srgbClr val="000000"/>
                </a:solidFill>
                <a:latin typeface="Calibri"/>
                <a:ea typeface="Calibri"/>
                <a:cs typeface="Calibri"/>
              </a:defRPr>
            </a:pPr>
            <a:r>
              <a:rPr lang="en-ZA"/>
              <a:t>GHG emissions </a:t>
            </a:r>
          </a:p>
        </c:rich>
      </c:tx>
      <c:layout>
        <c:manualLayout>
          <c:xMode val="edge"/>
          <c:yMode val="edge"/>
          <c:x val="0.37703140555706433"/>
          <c:y val="2.3951913418230174E-2"/>
        </c:manualLayout>
      </c:layout>
      <c:overlay val="1"/>
    </c:title>
    <c:plotArea>
      <c:layout>
        <c:manualLayout>
          <c:layoutTarget val="inner"/>
          <c:xMode val="edge"/>
          <c:yMode val="edge"/>
          <c:x val="0.10680342871251523"/>
          <c:y val="0.19467108012772291"/>
          <c:w val="0.83507441937856286"/>
          <c:h val="0.41813971883651524"/>
        </c:manualLayout>
      </c:layout>
      <c:lineChart>
        <c:grouping val="standard"/>
        <c:ser>
          <c:idx val="0"/>
          <c:order val="0"/>
          <c:tx>
            <c:strRef>
              <c:f>'Output tables'!$A$291</c:f>
              <c:strCache>
                <c:ptCount val="1"/>
                <c:pt idx="0">
                  <c:v>GHG emissions</c:v>
                </c:pt>
              </c:strCache>
            </c:strRef>
          </c:tx>
          <c:marker>
            <c:symbol val="none"/>
          </c:marker>
          <c:cat>
            <c:numRef>
              <c:f>'Output tables'!$AP$258:$BO$258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tables'!$AP$291:$BO$291</c:f>
              <c:numCache>
                <c:formatCode>General</c:formatCode>
                <c:ptCount val="26"/>
                <c:pt idx="0">
                  <c:v>14.164264318167939</c:v>
                </c:pt>
                <c:pt idx="1">
                  <c:v>14.164264318167939</c:v>
                </c:pt>
                <c:pt idx="2">
                  <c:v>14.164264318167939</c:v>
                </c:pt>
                <c:pt idx="3">
                  <c:v>14.164264318167939</c:v>
                </c:pt>
                <c:pt idx="4">
                  <c:v>14.164264318167939</c:v>
                </c:pt>
                <c:pt idx="5">
                  <c:v>15.944426509208181</c:v>
                </c:pt>
                <c:pt idx="6">
                  <c:v>16.997406780335936</c:v>
                </c:pt>
                <c:pt idx="7">
                  <c:v>16.997406780335936</c:v>
                </c:pt>
                <c:pt idx="8">
                  <c:v>16.997406780335936</c:v>
                </c:pt>
                <c:pt idx="9">
                  <c:v>16.997406780335936</c:v>
                </c:pt>
                <c:pt idx="10">
                  <c:v>16.997406780335936</c:v>
                </c:pt>
                <c:pt idx="11">
                  <c:v>16.899667274971357</c:v>
                </c:pt>
                <c:pt idx="12">
                  <c:v>16.801927769606777</c:v>
                </c:pt>
                <c:pt idx="13">
                  <c:v>16.671608429120667</c:v>
                </c:pt>
                <c:pt idx="14">
                  <c:v>16.54128908863456</c:v>
                </c:pt>
                <c:pt idx="15">
                  <c:v>14.065221619398496</c:v>
                </c:pt>
                <c:pt idx="16">
                  <c:v>11.589154150162432</c:v>
                </c:pt>
                <c:pt idx="17">
                  <c:v>11.589154150162432</c:v>
                </c:pt>
                <c:pt idx="18">
                  <c:v>11.589154150162432</c:v>
                </c:pt>
                <c:pt idx="19">
                  <c:v>11.589154150162432</c:v>
                </c:pt>
                <c:pt idx="20">
                  <c:v>10.448280723840154</c:v>
                </c:pt>
                <c:pt idx="21">
                  <c:v>9.3074072975178783</c:v>
                </c:pt>
                <c:pt idx="22">
                  <c:v>9.3074072975178783</c:v>
                </c:pt>
                <c:pt idx="23">
                  <c:v>9.3074072975178783</c:v>
                </c:pt>
                <c:pt idx="24">
                  <c:v>9.3074072975178783</c:v>
                </c:pt>
                <c:pt idx="25">
                  <c:v>9.3074072975178783</c:v>
                </c:pt>
              </c:numCache>
            </c:numRef>
          </c:val>
        </c:ser>
        <c:marker val="1"/>
        <c:axId val="110054784"/>
        <c:axId val="110056576"/>
      </c:lineChart>
      <c:catAx>
        <c:axId val="110054784"/>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10056576"/>
        <c:crosses val="autoZero"/>
        <c:auto val="1"/>
        <c:lblAlgn val="ctr"/>
        <c:lblOffset val="100"/>
      </c:catAx>
      <c:valAx>
        <c:axId val="110056576"/>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0054784"/>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333" l="0.70000000000000062" r="0.70000000000000062" t="0.75000000000000333" header="0.30000000000000032" footer="0.30000000000000032"/>
    <c:pageSetup/>
  </c:printSettings>
</c:chartSpace>
</file>

<file path=xl/charts/chart70.xml><?xml version="1.0" encoding="utf-8"?>
<c:chartSpace xmlns:c="http://schemas.openxmlformats.org/drawingml/2006/chart" xmlns:a="http://schemas.openxmlformats.org/drawingml/2006/main" xmlns:r="http://schemas.openxmlformats.org/officeDocument/2006/relationships">
  <c:lang val="en-ZA"/>
  <c:chart>
    <c:title>
      <c:tx>
        <c:strRef>
          <c:f>'Output tables'!$A$292</c:f>
          <c:strCache>
            <c:ptCount val="1"/>
            <c:pt idx="0">
              <c:v>SOx emissions</c:v>
            </c:pt>
          </c:strCache>
        </c:strRef>
      </c:tx>
      <c:layout>
        <c:manualLayout>
          <c:xMode val="edge"/>
          <c:yMode val="edge"/>
          <c:x val="0.37703184362228698"/>
          <c:y val="2.3951783804802177E-2"/>
        </c:manualLayout>
      </c:layout>
      <c:overlay val="1"/>
      <c:txPr>
        <a:bodyPr/>
        <a:lstStyle/>
        <a:p>
          <a:pPr>
            <a:defRPr lang="en-ZA" sz="1050" b="1" i="0" u="none" strike="noStrike" baseline="0">
              <a:solidFill>
                <a:srgbClr val="000000"/>
              </a:solidFill>
              <a:latin typeface="Calibri"/>
              <a:ea typeface="Calibri"/>
              <a:cs typeface="Calibri"/>
            </a:defRPr>
          </a:pPr>
          <a:endParaRPr lang="en-US"/>
        </a:p>
      </c:txPr>
    </c:title>
    <c:plotArea>
      <c:layout>
        <c:manualLayout>
          <c:layoutTarget val="inner"/>
          <c:xMode val="edge"/>
          <c:yMode val="edge"/>
          <c:x val="0.2424899821092916"/>
          <c:y val="0.17959580052493501"/>
          <c:w val="0.65512209252107734"/>
          <c:h val="0.40620322459692415"/>
        </c:manualLayout>
      </c:layout>
      <c:lineChart>
        <c:grouping val="standard"/>
        <c:ser>
          <c:idx val="0"/>
          <c:order val="0"/>
          <c:tx>
            <c:strRef>
              <c:f>'Output tables'!$A$292</c:f>
              <c:strCache>
                <c:ptCount val="1"/>
                <c:pt idx="0">
                  <c:v>SOx emissions</c:v>
                </c:pt>
              </c:strCache>
            </c:strRef>
          </c:tx>
          <c:marker>
            <c:symbol val="none"/>
          </c:marker>
          <c:cat>
            <c:numRef>
              <c:f>'Output tables'!$AP$258:$BO$258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tables'!$AP$292:$BO$292</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marker val="1"/>
        <c:axId val="110080768"/>
        <c:axId val="110082304"/>
      </c:lineChart>
      <c:catAx>
        <c:axId val="110080768"/>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10082304"/>
        <c:crosses val="autoZero"/>
        <c:auto val="1"/>
        <c:lblAlgn val="ctr"/>
        <c:lblOffset val="100"/>
      </c:catAx>
      <c:valAx>
        <c:axId val="110082304"/>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0080768"/>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4" l="0.70000000000000062" r="0.70000000000000062" t="0.750000000000004" header="0.30000000000000032" footer="0.30000000000000032"/>
    <c:pageSetup/>
  </c:printSettings>
</c:chartSpace>
</file>

<file path=xl/charts/chart71.xml><?xml version="1.0" encoding="utf-8"?>
<c:chartSpace xmlns:c="http://schemas.openxmlformats.org/drawingml/2006/chart" xmlns:a="http://schemas.openxmlformats.org/drawingml/2006/main" xmlns:r="http://schemas.openxmlformats.org/officeDocument/2006/relationships">
  <c:lang val="en-ZA"/>
  <c:chart>
    <c:title>
      <c:tx>
        <c:strRef>
          <c:f>'Output tables'!$A$293</c:f>
          <c:strCache>
            <c:ptCount val="1"/>
            <c:pt idx="0">
              <c:v>NOx emissions</c:v>
            </c:pt>
          </c:strCache>
        </c:strRef>
      </c:tx>
      <c:layout>
        <c:manualLayout>
          <c:xMode val="edge"/>
          <c:yMode val="edge"/>
          <c:x val="0.32248612759021628"/>
          <c:y val="2.3951783804802177E-2"/>
        </c:manualLayout>
      </c:layout>
      <c:overlay val="1"/>
      <c:txPr>
        <a:bodyPr/>
        <a:lstStyle/>
        <a:p>
          <a:pPr>
            <a:defRPr lang="en-ZA" sz="1050" b="1" i="0" u="none" strike="noStrike" baseline="0">
              <a:solidFill>
                <a:srgbClr val="000000"/>
              </a:solidFill>
              <a:latin typeface="Calibri"/>
              <a:ea typeface="Calibri"/>
              <a:cs typeface="Calibri"/>
            </a:defRPr>
          </a:pPr>
          <a:endParaRPr lang="en-US"/>
        </a:p>
      </c:txPr>
    </c:title>
    <c:plotArea>
      <c:layout>
        <c:manualLayout>
          <c:layoutTarget val="inner"/>
          <c:xMode val="edge"/>
          <c:yMode val="edge"/>
          <c:x val="0.24248998210929176"/>
          <c:y val="0.17007199100112491"/>
          <c:w val="0.65512209252107789"/>
          <c:h val="0.45382227221597465"/>
        </c:manualLayout>
      </c:layout>
      <c:lineChart>
        <c:grouping val="standard"/>
        <c:ser>
          <c:idx val="0"/>
          <c:order val="0"/>
          <c:tx>
            <c:strRef>
              <c:f>'Output tables'!$A$293</c:f>
              <c:strCache>
                <c:ptCount val="1"/>
                <c:pt idx="0">
                  <c:v>NOx emissions</c:v>
                </c:pt>
              </c:strCache>
            </c:strRef>
          </c:tx>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tables'!$AP$293:$BO$293</c:f>
              <c:numCache>
                <c:formatCode>General</c:formatCode>
                <c:ptCount val="26"/>
                <c:pt idx="0">
                  <c:v>4.3940636941733946E-2</c:v>
                </c:pt>
                <c:pt idx="1">
                  <c:v>4.3940636941733946E-2</c:v>
                </c:pt>
                <c:pt idx="2">
                  <c:v>4.3940636941733946E-2</c:v>
                </c:pt>
                <c:pt idx="3">
                  <c:v>4.3940636941733946E-2</c:v>
                </c:pt>
                <c:pt idx="4">
                  <c:v>4.3940636941733946E-2</c:v>
                </c:pt>
                <c:pt idx="5">
                  <c:v>4.9463088286670329E-2</c:v>
                </c:pt>
                <c:pt idx="6">
                  <c:v>5.2729662727891848E-2</c:v>
                </c:pt>
                <c:pt idx="7">
                  <c:v>5.2729662727891848E-2</c:v>
                </c:pt>
                <c:pt idx="8">
                  <c:v>5.2729662727891848E-2</c:v>
                </c:pt>
                <c:pt idx="9">
                  <c:v>5.2729662727891848E-2</c:v>
                </c:pt>
                <c:pt idx="10">
                  <c:v>5.2729662727891848E-2</c:v>
                </c:pt>
                <c:pt idx="11">
                  <c:v>5.2426453466639857E-2</c:v>
                </c:pt>
                <c:pt idx="12">
                  <c:v>5.2123244205387859E-2</c:v>
                </c:pt>
                <c:pt idx="13">
                  <c:v>5.1718965190385199E-2</c:v>
                </c:pt>
                <c:pt idx="14">
                  <c:v>5.1314686175382533E-2</c:v>
                </c:pt>
                <c:pt idx="15">
                  <c:v>4.3633384890331924E-2</c:v>
                </c:pt>
                <c:pt idx="16">
                  <c:v>3.5952083605281321E-2</c:v>
                </c:pt>
                <c:pt idx="17">
                  <c:v>3.5952083605281321E-2</c:v>
                </c:pt>
                <c:pt idx="18">
                  <c:v>3.5952083605281321E-2</c:v>
                </c:pt>
                <c:pt idx="19">
                  <c:v>3.5952083605281321E-2</c:v>
                </c:pt>
                <c:pt idx="20">
                  <c:v>3.2412845428385774E-2</c:v>
                </c:pt>
                <c:pt idx="21">
                  <c:v>2.8873607251490237E-2</c:v>
                </c:pt>
                <c:pt idx="22">
                  <c:v>2.8873607251490237E-2</c:v>
                </c:pt>
                <c:pt idx="23">
                  <c:v>2.8873607251490237E-2</c:v>
                </c:pt>
                <c:pt idx="24">
                  <c:v>2.8873607251490237E-2</c:v>
                </c:pt>
                <c:pt idx="25">
                  <c:v>2.8873607251490237E-2</c:v>
                </c:pt>
              </c:numCache>
            </c:numRef>
          </c:val>
        </c:ser>
        <c:marker val="1"/>
        <c:axId val="109856640"/>
        <c:axId val="109858176"/>
      </c:lineChart>
      <c:catAx>
        <c:axId val="109856640"/>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09858176"/>
        <c:crosses val="autoZero"/>
        <c:auto val="1"/>
        <c:lblAlgn val="ctr"/>
        <c:lblOffset val="100"/>
      </c:catAx>
      <c:valAx>
        <c:axId val="109858176"/>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9856640"/>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422" l="0.70000000000000062" r="0.70000000000000062" t="0.75000000000000422" header="0.30000000000000032" footer="0.30000000000000032"/>
    <c:pageSetup/>
  </c:printSettings>
</c:chartSpace>
</file>

<file path=xl/charts/chart72.xml><?xml version="1.0" encoding="utf-8"?>
<c:chartSpace xmlns:c="http://schemas.openxmlformats.org/drawingml/2006/chart" xmlns:a="http://schemas.openxmlformats.org/drawingml/2006/main" xmlns:r="http://schemas.openxmlformats.org/officeDocument/2006/relationships">
  <c:lang val="en-ZA"/>
  <c:chart>
    <c:title>
      <c:tx>
        <c:strRef>
          <c:f>'Output tables'!$A$301</c:f>
          <c:strCache>
            <c:ptCount val="1"/>
            <c:pt idx="0">
              <c:v>CO emissions</c:v>
            </c:pt>
          </c:strCache>
        </c:strRef>
      </c:tx>
      <c:layout>
        <c:manualLayout>
          <c:xMode val="edge"/>
          <c:yMode val="edge"/>
          <c:x val="0.32854708229964485"/>
          <c:y val="2.3951675158252278E-2"/>
        </c:manualLayout>
      </c:layout>
      <c:overlay val="1"/>
      <c:txPr>
        <a:bodyPr/>
        <a:lstStyle/>
        <a:p>
          <a:pPr>
            <a:defRPr lang="en-ZA" sz="1050" b="1" i="0" u="none" strike="noStrike" baseline="0">
              <a:solidFill>
                <a:srgbClr val="000000"/>
              </a:solidFill>
              <a:latin typeface="Calibri"/>
              <a:ea typeface="Calibri"/>
              <a:cs typeface="Calibri"/>
            </a:defRPr>
          </a:pPr>
          <a:endParaRPr lang="en-US"/>
        </a:p>
      </c:txPr>
    </c:title>
    <c:plotArea>
      <c:layout>
        <c:manualLayout>
          <c:layoutTarget val="inner"/>
          <c:xMode val="edge"/>
          <c:yMode val="edge"/>
          <c:x val="0.30915661696176738"/>
          <c:y val="0.16054818147731637"/>
          <c:w val="0.59435667174579998"/>
          <c:h val="0.44663142107236575"/>
        </c:manualLayout>
      </c:layout>
      <c:lineChart>
        <c:grouping val="standard"/>
        <c:ser>
          <c:idx val="0"/>
          <c:order val="0"/>
          <c:tx>
            <c:strRef>
              <c:f>'Output tables'!$A$294</c:f>
              <c:strCache>
                <c:ptCount val="1"/>
                <c:pt idx="0">
                  <c:v>CO emissions</c:v>
                </c:pt>
              </c:strCache>
            </c:strRef>
          </c:tx>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tables'!$AP$294:$BO$294</c:f>
              <c:numCache>
                <c:formatCode>General</c:formatCode>
                <c:ptCount val="26"/>
                <c:pt idx="0">
                  <c:v>2.9293757961155967E-3</c:v>
                </c:pt>
                <c:pt idx="1">
                  <c:v>2.9293757961155967E-3</c:v>
                </c:pt>
                <c:pt idx="2">
                  <c:v>2.9293757961155967E-3</c:v>
                </c:pt>
                <c:pt idx="3">
                  <c:v>2.9293757961155967E-3</c:v>
                </c:pt>
                <c:pt idx="4">
                  <c:v>2.9293757961155967E-3</c:v>
                </c:pt>
                <c:pt idx="5">
                  <c:v>3.2975392191113557E-3</c:v>
                </c:pt>
                <c:pt idx="6">
                  <c:v>3.5153108485261233E-3</c:v>
                </c:pt>
                <c:pt idx="7">
                  <c:v>3.5153108485261233E-3</c:v>
                </c:pt>
                <c:pt idx="8">
                  <c:v>3.5153108485261233E-3</c:v>
                </c:pt>
                <c:pt idx="9">
                  <c:v>3.5153108485261233E-3</c:v>
                </c:pt>
                <c:pt idx="10">
                  <c:v>3.5153108485261233E-3</c:v>
                </c:pt>
                <c:pt idx="11">
                  <c:v>3.4950968977759908E-3</c:v>
                </c:pt>
                <c:pt idx="12">
                  <c:v>3.4748829470258578E-3</c:v>
                </c:pt>
                <c:pt idx="13">
                  <c:v>3.4479310126923472E-3</c:v>
                </c:pt>
                <c:pt idx="14">
                  <c:v>3.4209790783588357E-3</c:v>
                </c:pt>
                <c:pt idx="15">
                  <c:v>2.9088923260221287E-3</c:v>
                </c:pt>
                <c:pt idx="16">
                  <c:v>2.3968055736854213E-3</c:v>
                </c:pt>
                <c:pt idx="17">
                  <c:v>2.3968055736854213E-3</c:v>
                </c:pt>
                <c:pt idx="18">
                  <c:v>2.3968055736854213E-3</c:v>
                </c:pt>
                <c:pt idx="19">
                  <c:v>2.3968055736854213E-3</c:v>
                </c:pt>
                <c:pt idx="20">
                  <c:v>2.160856361892385E-3</c:v>
                </c:pt>
                <c:pt idx="21">
                  <c:v>1.9249071500993492E-3</c:v>
                </c:pt>
                <c:pt idx="22">
                  <c:v>1.9249071500993492E-3</c:v>
                </c:pt>
                <c:pt idx="23">
                  <c:v>1.9249071500993492E-3</c:v>
                </c:pt>
                <c:pt idx="24">
                  <c:v>1.9249071500993492E-3</c:v>
                </c:pt>
                <c:pt idx="25">
                  <c:v>1.9249071500993492E-3</c:v>
                </c:pt>
              </c:numCache>
            </c:numRef>
          </c:val>
        </c:ser>
        <c:marker val="1"/>
        <c:axId val="109886464"/>
        <c:axId val="109900544"/>
      </c:lineChart>
      <c:catAx>
        <c:axId val="109886464"/>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09900544"/>
        <c:crosses val="autoZero"/>
        <c:auto val="1"/>
        <c:lblAlgn val="ctr"/>
        <c:lblOffset val="100"/>
      </c:catAx>
      <c:valAx>
        <c:axId val="109900544"/>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9886464"/>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422" l="0.70000000000000062" r="0.70000000000000062" t="0.75000000000000422" header="0.30000000000000032" footer="0.30000000000000032"/>
    <c:pageSetup/>
  </c:printSettings>
</c:chartSpace>
</file>

<file path=xl/charts/chart73.xml><?xml version="1.0" encoding="utf-8"?>
<c:chartSpace xmlns:c="http://schemas.openxmlformats.org/drawingml/2006/chart" xmlns:a="http://schemas.openxmlformats.org/drawingml/2006/main" xmlns:r="http://schemas.openxmlformats.org/officeDocument/2006/relationships">
  <c:lang val="en-ZA"/>
  <c:chart>
    <c:title>
      <c:tx>
        <c:strRef>
          <c:f>'Output tables'!$A$295</c:f>
          <c:strCache>
            <c:ptCount val="1"/>
            <c:pt idx="0">
              <c:v>NMVOC emissions</c:v>
            </c:pt>
          </c:strCache>
        </c:strRef>
      </c:tx>
      <c:layout>
        <c:manualLayout>
          <c:xMode val="edge"/>
          <c:yMode val="edge"/>
          <c:x val="0.33460755761694205"/>
          <c:y val="2.3951675158252278E-2"/>
        </c:manualLayout>
      </c:layout>
      <c:overlay val="1"/>
      <c:txPr>
        <a:bodyPr/>
        <a:lstStyle/>
        <a:p>
          <a:pPr>
            <a:defRPr lang="en-ZA" sz="1050" b="1" i="0" u="none" strike="noStrike" baseline="0">
              <a:solidFill>
                <a:srgbClr val="000000"/>
              </a:solidFill>
              <a:latin typeface="Calibri"/>
              <a:ea typeface="Calibri"/>
              <a:cs typeface="Calibri"/>
            </a:defRPr>
          </a:pPr>
          <a:endParaRPr lang="en-US"/>
        </a:p>
      </c:txPr>
    </c:title>
    <c:plotArea>
      <c:layout>
        <c:manualLayout>
          <c:layoutTarget val="inner"/>
          <c:xMode val="edge"/>
          <c:yMode val="edge"/>
          <c:x val="0.31593733431766552"/>
          <c:y val="0.18911961004874392"/>
          <c:w val="0.60706866758832589"/>
          <c:h val="0.39901237345331958"/>
        </c:manualLayout>
      </c:layout>
      <c:lineChart>
        <c:grouping val="standard"/>
        <c:ser>
          <c:idx val="0"/>
          <c:order val="0"/>
          <c:tx>
            <c:strRef>
              <c:f>'Output tables'!$A$295</c:f>
              <c:strCache>
                <c:ptCount val="1"/>
                <c:pt idx="0">
                  <c:v>NMVOC emissions</c:v>
                </c:pt>
              </c:strCache>
            </c:strRef>
          </c:tx>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tables'!$AP$295:$BO$295</c:f>
              <c:numCache>
                <c:formatCode>General</c:formatCode>
                <c:ptCount val="26"/>
                <c:pt idx="0">
                  <c:v>7.3234394902889919E-4</c:v>
                </c:pt>
                <c:pt idx="1">
                  <c:v>7.3234394902889919E-4</c:v>
                </c:pt>
                <c:pt idx="2">
                  <c:v>7.3234394902889919E-4</c:v>
                </c:pt>
                <c:pt idx="3">
                  <c:v>7.3234394902889919E-4</c:v>
                </c:pt>
                <c:pt idx="4">
                  <c:v>7.3234394902889919E-4</c:v>
                </c:pt>
                <c:pt idx="5">
                  <c:v>8.2438480477783893E-4</c:v>
                </c:pt>
                <c:pt idx="6">
                  <c:v>8.7882771213153082E-4</c:v>
                </c:pt>
                <c:pt idx="7">
                  <c:v>8.7882771213153082E-4</c:v>
                </c:pt>
                <c:pt idx="8">
                  <c:v>8.7882771213153082E-4</c:v>
                </c:pt>
                <c:pt idx="9">
                  <c:v>8.7882771213153082E-4</c:v>
                </c:pt>
                <c:pt idx="10">
                  <c:v>8.7882771213153082E-4</c:v>
                </c:pt>
                <c:pt idx="11">
                  <c:v>8.7377422444399769E-4</c:v>
                </c:pt>
                <c:pt idx="12">
                  <c:v>8.6872073675646445E-4</c:v>
                </c:pt>
                <c:pt idx="13">
                  <c:v>8.6198275317308679E-4</c:v>
                </c:pt>
                <c:pt idx="14">
                  <c:v>8.5524476958970892E-4</c:v>
                </c:pt>
                <c:pt idx="15">
                  <c:v>7.2722308150553218E-4</c:v>
                </c:pt>
                <c:pt idx="16">
                  <c:v>5.9920139342135533E-4</c:v>
                </c:pt>
                <c:pt idx="17">
                  <c:v>5.9920139342135533E-4</c:v>
                </c:pt>
                <c:pt idx="18">
                  <c:v>5.9920139342135533E-4</c:v>
                </c:pt>
                <c:pt idx="19">
                  <c:v>5.9920139342135533E-4</c:v>
                </c:pt>
                <c:pt idx="20">
                  <c:v>5.4021409047309626E-4</c:v>
                </c:pt>
                <c:pt idx="21">
                  <c:v>4.812267875248373E-4</c:v>
                </c:pt>
                <c:pt idx="22">
                  <c:v>4.812267875248373E-4</c:v>
                </c:pt>
                <c:pt idx="23">
                  <c:v>4.812267875248373E-4</c:v>
                </c:pt>
                <c:pt idx="24">
                  <c:v>4.812267875248373E-4</c:v>
                </c:pt>
                <c:pt idx="25">
                  <c:v>4.812267875248373E-4</c:v>
                </c:pt>
              </c:numCache>
            </c:numRef>
          </c:val>
        </c:ser>
        <c:marker val="1"/>
        <c:axId val="110137728"/>
        <c:axId val="110139264"/>
      </c:lineChart>
      <c:catAx>
        <c:axId val="110137728"/>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10139264"/>
        <c:crosses val="autoZero"/>
        <c:auto val="1"/>
        <c:lblAlgn val="ctr"/>
        <c:lblOffset val="100"/>
      </c:catAx>
      <c:valAx>
        <c:axId val="110139264"/>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0137728"/>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422" l="0.70000000000000062" r="0.70000000000000062" t="0.75000000000000422" header="0.30000000000000032" footer="0.30000000000000032"/>
    <c:pageSetup/>
  </c:printSettings>
</c:chartSpace>
</file>

<file path=xl/charts/chart74.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050" b="1" i="0" u="none" strike="noStrike" baseline="0">
                <a:solidFill>
                  <a:srgbClr val="000000"/>
                </a:solidFill>
                <a:latin typeface="Calibri"/>
                <a:ea typeface="Calibri"/>
                <a:cs typeface="Calibri"/>
              </a:defRPr>
            </a:pPr>
            <a:r>
              <a:rPr lang="en-ZA"/>
              <a:t>GHG emissions </a:t>
            </a:r>
          </a:p>
        </c:rich>
      </c:tx>
      <c:layout>
        <c:manualLayout>
          <c:xMode val="edge"/>
          <c:yMode val="edge"/>
          <c:x val="0.31994602626949342"/>
          <c:y val="3.1726126826739247E-2"/>
        </c:manualLayout>
      </c:layout>
    </c:title>
    <c:plotArea>
      <c:layout>
        <c:manualLayout>
          <c:layoutTarget val="inner"/>
          <c:xMode val="edge"/>
          <c:yMode val="edge"/>
          <c:x val="0.13526752894927982"/>
          <c:y val="0.19467108012772291"/>
          <c:w val="0.80661020104746506"/>
          <c:h val="0.43651342983324842"/>
        </c:manualLayout>
      </c:layout>
      <c:lineChart>
        <c:grouping val="standard"/>
        <c:ser>
          <c:idx val="0"/>
          <c:order val="0"/>
          <c:tx>
            <c:strRef>
              <c:f>'Output tables'!$A$298</c:f>
              <c:strCache>
                <c:ptCount val="1"/>
                <c:pt idx="0">
                  <c:v>GHG emissions</c:v>
                </c:pt>
              </c:strCache>
            </c:strRef>
          </c:tx>
          <c:spPr>
            <a:ln>
              <a:solidFill>
                <a:srgbClr val="FF0000"/>
              </a:solidFill>
            </a:ln>
          </c:spPr>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tables'!$AP$298:$BO$298</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marker val="1"/>
        <c:axId val="110179456"/>
        <c:axId val="110180992"/>
      </c:lineChart>
      <c:catAx>
        <c:axId val="110179456"/>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10180992"/>
        <c:crosses val="autoZero"/>
        <c:auto val="1"/>
        <c:lblAlgn val="ctr"/>
        <c:lblOffset val="100"/>
      </c:catAx>
      <c:valAx>
        <c:axId val="110180992"/>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0179456"/>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355" l="0.70000000000000062" r="0.70000000000000062" t="0.75000000000000355" header="0.30000000000000032" footer="0.30000000000000032"/>
    <c:pageSetup/>
  </c:printSettings>
</c:chartSpace>
</file>

<file path=xl/charts/chart75.xml><?xml version="1.0" encoding="utf-8"?>
<c:chartSpace xmlns:c="http://schemas.openxmlformats.org/drawingml/2006/chart" xmlns:a="http://schemas.openxmlformats.org/drawingml/2006/main" xmlns:r="http://schemas.openxmlformats.org/officeDocument/2006/relationships">
  <c:lang val="en-ZA"/>
  <c:chart>
    <c:title>
      <c:tx>
        <c:strRef>
          <c:f>'Output tables'!$A$292</c:f>
          <c:strCache>
            <c:ptCount val="1"/>
            <c:pt idx="0">
              <c:v>SOx emissions</c:v>
            </c:pt>
          </c:strCache>
        </c:strRef>
      </c:tx>
      <c:layout>
        <c:manualLayout>
          <c:xMode val="edge"/>
          <c:yMode val="edge"/>
          <c:x val="0.37703184362228698"/>
          <c:y val="2.3951675158252278E-2"/>
        </c:manualLayout>
      </c:layout>
      <c:overlay val="1"/>
      <c:txPr>
        <a:bodyPr/>
        <a:lstStyle/>
        <a:p>
          <a:pPr>
            <a:defRPr lang="en-ZA" sz="1050" b="1" i="0" u="none" strike="noStrike" baseline="0">
              <a:solidFill>
                <a:srgbClr val="000000"/>
              </a:solidFill>
              <a:latin typeface="Calibri"/>
              <a:ea typeface="Calibri"/>
              <a:cs typeface="Calibri"/>
            </a:defRPr>
          </a:pPr>
          <a:endParaRPr lang="en-US"/>
        </a:p>
      </c:txPr>
    </c:title>
    <c:plotArea>
      <c:layout>
        <c:manualLayout>
          <c:layoutTarget val="inner"/>
          <c:xMode val="edge"/>
          <c:yMode val="edge"/>
          <c:x val="0.24248998210929176"/>
          <c:y val="0.17959580052493507"/>
          <c:w val="0.65512209252107789"/>
          <c:h val="0.40620322459692404"/>
        </c:manualLayout>
      </c:layout>
      <c:lineChart>
        <c:grouping val="standard"/>
        <c:ser>
          <c:idx val="0"/>
          <c:order val="0"/>
          <c:tx>
            <c:strRef>
              <c:f>'Output tables'!$A$299</c:f>
              <c:strCache>
                <c:ptCount val="1"/>
                <c:pt idx="0">
                  <c:v>SOx emissions</c:v>
                </c:pt>
              </c:strCache>
            </c:strRef>
          </c:tx>
          <c:spPr>
            <a:ln>
              <a:solidFill>
                <a:srgbClr val="FF0000"/>
              </a:solidFill>
            </a:ln>
          </c:spPr>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tables'!$AP$299:$BO$299</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marker val="1"/>
        <c:axId val="110201088"/>
        <c:axId val="110219264"/>
      </c:lineChart>
      <c:catAx>
        <c:axId val="110201088"/>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10219264"/>
        <c:crosses val="autoZero"/>
        <c:auto val="1"/>
        <c:lblAlgn val="ctr"/>
        <c:lblOffset val="100"/>
      </c:catAx>
      <c:valAx>
        <c:axId val="110219264"/>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0201088"/>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422" l="0.70000000000000062" r="0.70000000000000062" t="0.75000000000000422" header="0.30000000000000032" footer="0.30000000000000032"/>
    <c:pageSetup/>
  </c:printSettings>
</c:chartSpace>
</file>

<file path=xl/charts/chart76.xml><?xml version="1.0" encoding="utf-8"?>
<c:chartSpace xmlns:c="http://schemas.openxmlformats.org/drawingml/2006/chart" xmlns:a="http://schemas.openxmlformats.org/drawingml/2006/main" xmlns:r="http://schemas.openxmlformats.org/officeDocument/2006/relationships">
  <c:lang val="en-ZA"/>
  <c:chart>
    <c:title>
      <c:tx>
        <c:strRef>
          <c:f>'Output tables'!$A$293</c:f>
          <c:strCache>
            <c:ptCount val="1"/>
            <c:pt idx="0">
              <c:v>NOx emissions</c:v>
            </c:pt>
          </c:strCache>
        </c:strRef>
      </c:tx>
      <c:layout>
        <c:manualLayout>
          <c:xMode val="edge"/>
          <c:yMode val="edge"/>
          <c:x val="0.32248612759021628"/>
          <c:y val="2.3951783804802177E-2"/>
        </c:manualLayout>
      </c:layout>
      <c:overlay val="1"/>
      <c:txPr>
        <a:bodyPr/>
        <a:lstStyle/>
        <a:p>
          <a:pPr>
            <a:defRPr lang="en-ZA" sz="1050" b="1" i="0" u="none" strike="noStrike" baseline="0">
              <a:solidFill>
                <a:srgbClr val="000000"/>
              </a:solidFill>
              <a:latin typeface="Calibri"/>
              <a:ea typeface="Calibri"/>
              <a:cs typeface="Calibri"/>
            </a:defRPr>
          </a:pPr>
          <a:endParaRPr lang="en-US"/>
        </a:p>
      </c:txPr>
    </c:title>
    <c:plotArea>
      <c:layout>
        <c:manualLayout>
          <c:layoutTarget val="inner"/>
          <c:xMode val="edge"/>
          <c:yMode val="edge"/>
          <c:x val="0.2424899821092919"/>
          <c:y val="0.17007199100112491"/>
          <c:w val="0.65512209252107834"/>
          <c:h val="0.45382227221597488"/>
        </c:manualLayout>
      </c:layout>
      <c:lineChart>
        <c:grouping val="standard"/>
        <c:ser>
          <c:idx val="0"/>
          <c:order val="0"/>
          <c:tx>
            <c:strRef>
              <c:f>'Output tables'!$A$300</c:f>
              <c:strCache>
                <c:ptCount val="1"/>
                <c:pt idx="0">
                  <c:v>NOx emissions</c:v>
                </c:pt>
              </c:strCache>
            </c:strRef>
          </c:tx>
          <c:spPr>
            <a:ln>
              <a:solidFill>
                <a:srgbClr val="FF0000"/>
              </a:solidFill>
            </a:ln>
          </c:spPr>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tables'!$AP$300:$BO$300</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marker val="1"/>
        <c:axId val="110243200"/>
        <c:axId val="110261376"/>
      </c:lineChart>
      <c:catAx>
        <c:axId val="110243200"/>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10261376"/>
        <c:crosses val="autoZero"/>
        <c:auto val="1"/>
        <c:lblAlgn val="ctr"/>
        <c:lblOffset val="100"/>
      </c:catAx>
      <c:valAx>
        <c:axId val="110261376"/>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0243200"/>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444" l="0.70000000000000062" r="0.70000000000000062" t="0.75000000000000444" header="0.30000000000000032" footer="0.30000000000000032"/>
    <c:pageSetup/>
  </c:printSettings>
</c:chartSpace>
</file>

<file path=xl/charts/chart77.xml><?xml version="1.0" encoding="utf-8"?>
<c:chartSpace xmlns:c="http://schemas.openxmlformats.org/drawingml/2006/chart" xmlns:a="http://schemas.openxmlformats.org/drawingml/2006/main" xmlns:r="http://schemas.openxmlformats.org/officeDocument/2006/relationships">
  <c:lang val="en-ZA"/>
  <c:chart>
    <c:title>
      <c:tx>
        <c:strRef>
          <c:f>'Output tables'!$A$301</c:f>
          <c:strCache>
            <c:ptCount val="1"/>
            <c:pt idx="0">
              <c:v>CO emissions</c:v>
            </c:pt>
          </c:strCache>
        </c:strRef>
      </c:tx>
      <c:layout>
        <c:manualLayout>
          <c:xMode val="edge"/>
          <c:yMode val="edge"/>
          <c:x val="0.32854708229964485"/>
          <c:y val="2.3951675158252278E-2"/>
        </c:manualLayout>
      </c:layout>
      <c:overlay val="1"/>
      <c:txPr>
        <a:bodyPr/>
        <a:lstStyle/>
        <a:p>
          <a:pPr>
            <a:defRPr lang="en-ZA" sz="1050" b="1" i="0" u="none" strike="noStrike" baseline="0">
              <a:solidFill>
                <a:srgbClr val="000000"/>
              </a:solidFill>
              <a:latin typeface="Calibri"/>
              <a:ea typeface="Calibri"/>
              <a:cs typeface="Calibri"/>
            </a:defRPr>
          </a:pPr>
          <a:endParaRPr lang="en-US"/>
        </a:p>
      </c:txPr>
    </c:title>
    <c:plotArea>
      <c:layout>
        <c:manualLayout>
          <c:layoutTarget val="inner"/>
          <c:xMode val="edge"/>
          <c:yMode val="edge"/>
          <c:x val="0.30915661696176738"/>
          <c:y val="0.1605481814773165"/>
          <c:w val="0.59435667174579976"/>
          <c:h val="0.44663142107236575"/>
        </c:manualLayout>
      </c:layout>
      <c:lineChart>
        <c:grouping val="standard"/>
        <c:ser>
          <c:idx val="0"/>
          <c:order val="0"/>
          <c:tx>
            <c:strRef>
              <c:f>'Output tables'!$A$301</c:f>
              <c:strCache>
                <c:ptCount val="1"/>
                <c:pt idx="0">
                  <c:v>CO emissions</c:v>
                </c:pt>
              </c:strCache>
            </c:strRef>
          </c:tx>
          <c:spPr>
            <a:ln>
              <a:solidFill>
                <a:srgbClr val="FF0000"/>
              </a:solidFill>
            </a:ln>
          </c:spPr>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tables'!$AP$301:$BO$301</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marker val="1"/>
        <c:axId val="110281472"/>
        <c:axId val="110283008"/>
      </c:lineChart>
      <c:catAx>
        <c:axId val="110281472"/>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10283008"/>
        <c:crosses val="autoZero"/>
        <c:auto val="1"/>
        <c:lblAlgn val="ctr"/>
        <c:lblOffset val="100"/>
      </c:catAx>
      <c:valAx>
        <c:axId val="110283008"/>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0281472"/>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444" l="0.70000000000000062" r="0.70000000000000062" t="0.75000000000000444" header="0.30000000000000032" footer="0.30000000000000032"/>
    <c:pageSetup/>
  </c:printSettings>
</c:chartSpace>
</file>

<file path=xl/charts/chart78.xml><?xml version="1.0" encoding="utf-8"?>
<c:chartSpace xmlns:c="http://schemas.openxmlformats.org/drawingml/2006/chart" xmlns:a="http://schemas.openxmlformats.org/drawingml/2006/main" xmlns:r="http://schemas.openxmlformats.org/officeDocument/2006/relationships">
  <c:lang val="en-ZA"/>
  <c:chart>
    <c:title>
      <c:tx>
        <c:strRef>
          <c:f>'Output tables'!$A$295</c:f>
          <c:strCache>
            <c:ptCount val="1"/>
            <c:pt idx="0">
              <c:v>NMVOC emissions</c:v>
            </c:pt>
          </c:strCache>
        </c:strRef>
      </c:tx>
      <c:layout>
        <c:manualLayout>
          <c:xMode val="edge"/>
          <c:yMode val="edge"/>
          <c:x val="0.33460755761694205"/>
          <c:y val="2.3951675158252278E-2"/>
        </c:manualLayout>
      </c:layout>
      <c:overlay val="1"/>
      <c:txPr>
        <a:bodyPr/>
        <a:lstStyle/>
        <a:p>
          <a:pPr>
            <a:defRPr lang="en-ZA" sz="1050" b="1" i="0" u="none" strike="noStrike" baseline="0">
              <a:solidFill>
                <a:srgbClr val="000000"/>
              </a:solidFill>
              <a:latin typeface="Calibri"/>
              <a:ea typeface="Calibri"/>
              <a:cs typeface="Calibri"/>
            </a:defRPr>
          </a:pPr>
          <a:endParaRPr lang="en-US"/>
        </a:p>
      </c:txPr>
    </c:title>
    <c:plotArea>
      <c:layout>
        <c:manualLayout>
          <c:layoutTarget val="inner"/>
          <c:xMode val="edge"/>
          <c:yMode val="edge"/>
          <c:x val="0.31593733431766563"/>
          <c:y val="0.18911961004874392"/>
          <c:w val="0.60706866758832612"/>
          <c:h val="0.39901237345331975"/>
        </c:manualLayout>
      </c:layout>
      <c:lineChart>
        <c:grouping val="standard"/>
        <c:ser>
          <c:idx val="0"/>
          <c:order val="0"/>
          <c:tx>
            <c:strRef>
              <c:f>'Output tables'!$A$302</c:f>
              <c:strCache>
                <c:ptCount val="1"/>
                <c:pt idx="0">
                  <c:v>NMVOC emissions</c:v>
                </c:pt>
              </c:strCache>
            </c:strRef>
          </c:tx>
          <c:spPr>
            <a:ln>
              <a:solidFill>
                <a:srgbClr val="FF0000"/>
              </a:solidFill>
            </a:ln>
          </c:spPr>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tables'!$AP$302:$BO$302</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marker val="1"/>
        <c:axId val="110327680"/>
        <c:axId val="110329216"/>
      </c:lineChart>
      <c:catAx>
        <c:axId val="110327680"/>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10329216"/>
        <c:crosses val="autoZero"/>
        <c:auto val="1"/>
        <c:lblAlgn val="ctr"/>
        <c:lblOffset val="100"/>
      </c:catAx>
      <c:valAx>
        <c:axId val="110329216"/>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0327680"/>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444" l="0.70000000000000062" r="0.70000000000000062" t="0.75000000000000444" header="0.30000000000000032" footer="0.30000000000000032"/>
    <c:pageSetup/>
  </c:printSettings>
</c:chartSpace>
</file>

<file path=xl/charts/chart79.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050" b="1" i="0" u="none" strike="noStrike" baseline="0">
                <a:solidFill>
                  <a:srgbClr val="000000"/>
                </a:solidFill>
                <a:latin typeface="Calibri"/>
                <a:ea typeface="Calibri"/>
                <a:cs typeface="Calibri"/>
              </a:defRPr>
            </a:pPr>
            <a:r>
              <a:rPr lang="en-ZA"/>
              <a:t>NMVOC emissions</a:t>
            </a:r>
          </a:p>
        </c:rich>
      </c:tx>
    </c:title>
    <c:plotArea>
      <c:layout>
        <c:manualLayout>
          <c:layoutTarget val="inner"/>
          <c:xMode val="edge"/>
          <c:yMode val="edge"/>
          <c:x val="0.28052877536649456"/>
          <c:y val="0.19467108012772291"/>
          <c:w val="0.65272688474916263"/>
          <c:h val="0.54240602533378979"/>
        </c:manualLayout>
      </c:layout>
      <c:lineChart>
        <c:grouping val="standard"/>
        <c:ser>
          <c:idx val="0"/>
          <c:order val="0"/>
          <c:tx>
            <c:strRef>
              <c:f>'Output tables'!$A$262</c:f>
              <c:strCache>
                <c:ptCount val="1"/>
                <c:pt idx="0">
                  <c:v>NMVOC emissions</c:v>
                </c:pt>
              </c:strCache>
            </c:strRef>
          </c:tx>
          <c:spPr>
            <a:ln>
              <a:solidFill>
                <a:srgbClr val="FF0000"/>
              </a:solidFill>
            </a:ln>
          </c:spPr>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tables'!$AP$262:$BO$262</c:f>
              <c:numCache>
                <c:formatCode>General</c:formatCode>
                <c:ptCount val="26"/>
                <c:pt idx="0">
                  <c:v>1.1385203537867488E-2</c:v>
                </c:pt>
                <c:pt idx="1">
                  <c:v>1.138520353786749E-2</c:v>
                </c:pt>
                <c:pt idx="2">
                  <c:v>1.17349102693673E-2</c:v>
                </c:pt>
                <c:pt idx="3">
                  <c:v>1.1856728296186855E-2</c:v>
                </c:pt>
                <c:pt idx="4">
                  <c:v>1.1856728296186855E-2</c:v>
                </c:pt>
                <c:pt idx="5">
                  <c:v>1.2210517381132454E-2</c:v>
                </c:pt>
                <c:pt idx="6">
                  <c:v>1.2453003783723469E-2</c:v>
                </c:pt>
                <c:pt idx="7">
                  <c:v>1.2728660143491112E-2</c:v>
                </c:pt>
                <c:pt idx="8">
                  <c:v>1.3043719357905376E-2</c:v>
                </c:pt>
                <c:pt idx="9">
                  <c:v>1.3431924097987163E-2</c:v>
                </c:pt>
                <c:pt idx="10">
                  <c:v>1.3731682106147012E-2</c:v>
                </c:pt>
                <c:pt idx="11">
                  <c:v>1.4027180271438924E-2</c:v>
                </c:pt>
                <c:pt idx="12">
                  <c:v>1.4215720048345155E-2</c:v>
                </c:pt>
                <c:pt idx="13">
                  <c:v>1.4324802910608083E-2</c:v>
                </c:pt>
                <c:pt idx="14">
                  <c:v>1.4288856661625436E-2</c:v>
                </c:pt>
                <c:pt idx="15">
                  <c:v>1.4124253217555052E-2</c:v>
                </c:pt>
                <c:pt idx="16">
                  <c:v>1.3818255198871122E-2</c:v>
                </c:pt>
                <c:pt idx="17">
                  <c:v>1.3698940116270373E-2</c:v>
                </c:pt>
                <c:pt idx="18">
                  <c:v>1.3342450691975601E-2</c:v>
                </c:pt>
                <c:pt idx="19">
                  <c:v>1.3000768426808989E-2</c:v>
                </c:pt>
                <c:pt idx="20">
                  <c:v>1.2673188419822118E-2</c:v>
                </c:pt>
                <c:pt idx="21">
                  <c:v>1.2376400457652516E-2</c:v>
                </c:pt>
                <c:pt idx="22">
                  <c:v>1.2080360395658431E-2</c:v>
                </c:pt>
                <c:pt idx="23">
                  <c:v>1.1778595887479544E-2</c:v>
                </c:pt>
                <c:pt idx="24">
                  <c:v>1.1443763305431174E-2</c:v>
                </c:pt>
                <c:pt idx="25">
                  <c:v>1.1033218980282273E-2</c:v>
                </c:pt>
              </c:numCache>
            </c:numRef>
          </c:val>
        </c:ser>
        <c:marker val="1"/>
        <c:axId val="110345216"/>
        <c:axId val="110371584"/>
      </c:lineChart>
      <c:catAx>
        <c:axId val="110345216"/>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10371584"/>
        <c:crosses val="autoZero"/>
        <c:auto val="1"/>
        <c:lblAlgn val="ctr"/>
        <c:lblOffset val="100"/>
      </c:catAx>
      <c:valAx>
        <c:axId val="110371584"/>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0345216"/>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244" l="0.70000000000000062" r="0.70000000000000062" t="0.75000000000000244" header="0.30000000000000032" footer="0.30000000000000032"/>
    <c:pageSetup/>
  </c:printSettings>
</c:chartSpace>
</file>

<file path=xl/charts/chart80.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050" b="1" i="0" u="none" strike="noStrike" baseline="0">
                <a:solidFill>
                  <a:srgbClr val="000000"/>
                </a:solidFill>
                <a:latin typeface="Calibri"/>
                <a:ea typeface="Calibri"/>
                <a:cs typeface="Calibri"/>
              </a:defRPr>
            </a:pPr>
            <a:r>
              <a:rPr lang="en-ZA"/>
              <a:t>SOx emissions</a:t>
            </a:r>
          </a:p>
        </c:rich>
      </c:tx>
    </c:title>
    <c:plotArea>
      <c:layout>
        <c:manualLayout>
          <c:layoutTarget val="inner"/>
          <c:xMode val="edge"/>
          <c:yMode val="edge"/>
          <c:x val="0.20653126846229136"/>
          <c:y val="0.11860843721342183"/>
          <c:w val="0.73563374688865002"/>
          <c:h val="0.64864741907261703"/>
        </c:manualLayout>
      </c:layout>
      <c:lineChart>
        <c:grouping val="standard"/>
        <c:ser>
          <c:idx val="0"/>
          <c:order val="0"/>
          <c:tx>
            <c:strRef>
              <c:f>'Output tables'!$A$259</c:f>
              <c:strCache>
                <c:ptCount val="1"/>
                <c:pt idx="0">
                  <c:v>SOx emissions</c:v>
                </c:pt>
              </c:strCache>
            </c:strRef>
          </c:tx>
          <c:spPr>
            <a:ln>
              <a:solidFill>
                <a:srgbClr val="FF0000"/>
              </a:solidFill>
            </a:ln>
          </c:spPr>
          <c:marker>
            <c:symbol val="none"/>
          </c:marker>
          <c:cat>
            <c:numRef>
              <c:f>'Output tables'!$AP$258:$BO$258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tables'!$AP$259:$BO$259</c:f>
              <c:numCache>
                <c:formatCode>General</c:formatCode>
                <c:ptCount val="26"/>
                <c:pt idx="0">
                  <c:v>1.3313893391371041</c:v>
                </c:pt>
                <c:pt idx="1">
                  <c:v>1.3313893391371041</c:v>
                </c:pt>
                <c:pt idx="2">
                  <c:v>1.3751866101901404</c:v>
                </c:pt>
                <c:pt idx="3">
                  <c:v>1.3904430998690211</c:v>
                </c:pt>
                <c:pt idx="4">
                  <c:v>1.3904430998690211</c:v>
                </c:pt>
                <c:pt idx="5">
                  <c:v>1.4232244480936109</c:v>
                </c:pt>
                <c:pt idx="6">
                  <c:v>1.4455263573410646</c:v>
                </c:pt>
                <c:pt idx="7">
                  <c:v>1.469755203003011</c:v>
                </c:pt>
                <c:pt idx="8">
                  <c:v>1.4886245053455469</c:v>
                </c:pt>
                <c:pt idx="9">
                  <c:v>1.503492532121494</c:v>
                </c:pt>
                <c:pt idx="10">
                  <c:v>1.503492532121494</c:v>
                </c:pt>
                <c:pt idx="11">
                  <c:v>1.503492532121494</c:v>
                </c:pt>
                <c:pt idx="12">
                  <c:v>1.503492532121494</c:v>
                </c:pt>
                <c:pt idx="13">
                  <c:v>1.503492532121494</c:v>
                </c:pt>
                <c:pt idx="14">
                  <c:v>1.503492532121494</c:v>
                </c:pt>
                <c:pt idx="15">
                  <c:v>1.503492532121494</c:v>
                </c:pt>
                <c:pt idx="16">
                  <c:v>1.503492532121494</c:v>
                </c:pt>
                <c:pt idx="17">
                  <c:v>1.503492532121494</c:v>
                </c:pt>
                <c:pt idx="18">
                  <c:v>1.468408806261585</c:v>
                </c:pt>
                <c:pt idx="19">
                  <c:v>1.4256165193721186</c:v>
                </c:pt>
                <c:pt idx="20">
                  <c:v>1.3911972937564228</c:v>
                </c:pt>
                <c:pt idx="21">
                  <c:v>1.3215767230463946</c:v>
                </c:pt>
                <c:pt idx="22">
                  <c:v>1.2513921990682249</c:v>
                </c:pt>
                <c:pt idx="23">
                  <c:v>1.1664319858314933</c:v>
                </c:pt>
                <c:pt idx="24">
                  <c:v>0.99726349704888495</c:v>
                </c:pt>
                <c:pt idx="25">
                  <c:v>0.91292128260182459</c:v>
                </c:pt>
              </c:numCache>
            </c:numRef>
          </c:val>
        </c:ser>
        <c:marker val="1"/>
        <c:axId val="110403968"/>
        <c:axId val="110405504"/>
      </c:lineChart>
      <c:catAx>
        <c:axId val="110403968"/>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10405504"/>
        <c:crosses val="autoZero"/>
        <c:auto val="1"/>
        <c:lblAlgn val="ctr"/>
        <c:lblOffset val="100"/>
      </c:catAx>
      <c:valAx>
        <c:axId val="110405504"/>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0403968"/>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266" l="0.70000000000000062" r="0.70000000000000062" t="0.75000000000000266" header="0.30000000000000032" footer="0.30000000000000032"/>
    <c:pageSetup/>
  </c:printSettings>
</c:chartSpace>
</file>

<file path=xl/charts/chart81.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050" b="1" i="0" u="none" strike="noStrike" baseline="0">
                <a:solidFill>
                  <a:srgbClr val="000000"/>
                </a:solidFill>
                <a:latin typeface="Calibri"/>
                <a:ea typeface="Calibri"/>
                <a:cs typeface="Calibri"/>
              </a:defRPr>
            </a:pPr>
            <a:r>
              <a:rPr lang="en-ZA"/>
              <a:t>NOx emissions</a:t>
            </a:r>
          </a:p>
        </c:rich>
      </c:tx>
      <c:layout>
        <c:manualLayout>
          <c:xMode val="edge"/>
          <c:yMode val="edge"/>
          <c:x val="0.3835410573678294"/>
          <c:y val="1.5526596293367289E-2"/>
        </c:manualLayout>
      </c:layout>
    </c:title>
    <c:plotArea>
      <c:layout>
        <c:manualLayout>
          <c:layoutTarget val="inner"/>
          <c:xMode val="edge"/>
          <c:yMode val="edge"/>
          <c:x val="0.22921073068113748"/>
          <c:y val="0.11835241950649746"/>
          <c:w val="0.7114103433700002"/>
          <c:h val="0.63433880136775433"/>
        </c:manualLayout>
      </c:layout>
      <c:lineChart>
        <c:grouping val="standard"/>
        <c:ser>
          <c:idx val="0"/>
          <c:order val="0"/>
          <c:tx>
            <c:strRef>
              <c:f>'Output tables'!$A$260</c:f>
              <c:strCache>
                <c:ptCount val="1"/>
                <c:pt idx="0">
                  <c:v>NOx emissions</c:v>
                </c:pt>
              </c:strCache>
            </c:strRef>
          </c:tx>
          <c:spPr>
            <a:ln>
              <a:solidFill>
                <a:srgbClr val="FF0000"/>
              </a:solidFill>
            </a:ln>
          </c:spPr>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tables'!$AP$260:$BO$260</c:f>
              <c:numCache>
                <c:formatCode>General</c:formatCode>
                <c:ptCount val="26"/>
                <c:pt idx="0">
                  <c:v>0.68236889703791037</c:v>
                </c:pt>
                <c:pt idx="1">
                  <c:v>0.68236889703791048</c:v>
                </c:pt>
                <c:pt idx="2">
                  <c:v>0.70335130092789899</c:v>
                </c:pt>
                <c:pt idx="3">
                  <c:v>0.71066038253707231</c:v>
                </c:pt>
                <c:pt idx="4">
                  <c:v>0.71066038253707231</c:v>
                </c:pt>
                <c:pt idx="5">
                  <c:v>0.73188772763380827</c:v>
                </c:pt>
                <c:pt idx="6">
                  <c:v>0.74610241993390647</c:v>
                </c:pt>
                <c:pt idx="7">
                  <c:v>0.76264180151996508</c:v>
                </c:pt>
                <c:pt idx="8">
                  <c:v>0.78154535438482098</c:v>
                </c:pt>
                <c:pt idx="9">
                  <c:v>0.80483763878972814</c:v>
                </c:pt>
                <c:pt idx="10">
                  <c:v>0.82282311927931906</c:v>
                </c:pt>
                <c:pt idx="11">
                  <c:v>0.84055300919683384</c:v>
                </c:pt>
                <c:pt idx="12">
                  <c:v>0.85186539581120768</c:v>
                </c:pt>
                <c:pt idx="13">
                  <c:v>0.85841036754698341</c:v>
                </c:pt>
                <c:pt idx="14">
                  <c:v>0.85625359260802447</c:v>
                </c:pt>
                <c:pt idx="15">
                  <c:v>0.84637738596380152</c:v>
                </c:pt>
                <c:pt idx="16">
                  <c:v>0.82801750484276582</c:v>
                </c:pt>
                <c:pt idx="17">
                  <c:v>0.82085859988672083</c:v>
                </c:pt>
                <c:pt idx="18">
                  <c:v>0.7994692344290345</c:v>
                </c:pt>
                <c:pt idx="19">
                  <c:v>0.77896829851903782</c:v>
                </c:pt>
                <c:pt idx="20">
                  <c:v>0.7593134980998254</c:v>
                </c:pt>
                <c:pt idx="21">
                  <c:v>0.74128322579940775</c:v>
                </c:pt>
                <c:pt idx="22">
                  <c:v>0.71942181914353787</c:v>
                </c:pt>
                <c:pt idx="23">
                  <c:v>0.69516744424846733</c:v>
                </c:pt>
                <c:pt idx="24">
                  <c:v>0.66863165882757236</c:v>
                </c:pt>
                <c:pt idx="25">
                  <c:v>0.64375463443541514</c:v>
                </c:pt>
              </c:numCache>
            </c:numRef>
          </c:val>
        </c:ser>
        <c:marker val="1"/>
        <c:axId val="110511616"/>
        <c:axId val="110513152"/>
      </c:lineChart>
      <c:catAx>
        <c:axId val="110511616"/>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10513152"/>
        <c:crosses val="autoZero"/>
        <c:auto val="1"/>
        <c:lblAlgn val="ctr"/>
        <c:lblOffset val="100"/>
      </c:catAx>
      <c:valAx>
        <c:axId val="110513152"/>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0511616"/>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289" l="0.70000000000000062" r="0.70000000000000062" t="0.75000000000000289" header="0.30000000000000032" footer="0.30000000000000032"/>
    <c:pageSetup/>
  </c:printSettings>
</c:chartSpace>
</file>

<file path=xl/charts/chart82.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050" b="1" i="0" u="none" strike="noStrike" baseline="0">
                <a:solidFill>
                  <a:srgbClr val="000000"/>
                </a:solidFill>
                <a:latin typeface="Calibri"/>
                <a:ea typeface="Calibri"/>
                <a:cs typeface="Calibri"/>
              </a:defRPr>
            </a:pPr>
            <a:r>
              <a:rPr lang="en-ZA"/>
              <a:t>CO emissions</a:t>
            </a:r>
          </a:p>
        </c:rich>
      </c:tx>
      <c:layout>
        <c:manualLayout>
          <c:xMode val="edge"/>
          <c:yMode val="edge"/>
          <c:x val="0.3451634069934808"/>
          <c:y val="3.0302650221819619E-2"/>
        </c:manualLayout>
      </c:layout>
    </c:title>
    <c:plotArea>
      <c:layout>
        <c:manualLayout>
          <c:layoutTarget val="inner"/>
          <c:xMode val="edge"/>
          <c:yMode val="edge"/>
          <c:x val="0.23495608883591593"/>
          <c:y val="0.19467108012772291"/>
          <c:w val="0.70692168709344405"/>
          <c:h val="0.56425823315295454"/>
        </c:manualLayout>
      </c:layout>
      <c:lineChart>
        <c:grouping val="standard"/>
        <c:ser>
          <c:idx val="0"/>
          <c:order val="0"/>
          <c:tx>
            <c:strRef>
              <c:f>'Output tables'!$A$261</c:f>
              <c:strCache>
                <c:ptCount val="1"/>
                <c:pt idx="0">
                  <c:v>CO emissions</c:v>
                </c:pt>
              </c:strCache>
            </c:strRef>
          </c:tx>
          <c:spPr>
            <a:ln>
              <a:solidFill>
                <a:srgbClr val="FF0000"/>
              </a:solidFill>
            </a:ln>
          </c:spPr>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tables'!$AP$261:$BO$261</c:f>
              <c:numCache>
                <c:formatCode>General</c:formatCode>
                <c:ptCount val="26"/>
                <c:pt idx="0">
                  <c:v>4.5503648389763007E-2</c:v>
                </c:pt>
                <c:pt idx="1">
                  <c:v>4.5503648389763014E-2</c:v>
                </c:pt>
                <c:pt idx="2">
                  <c:v>4.6902475315762256E-2</c:v>
                </c:pt>
                <c:pt idx="3">
                  <c:v>4.7389747423040474E-2</c:v>
                </c:pt>
                <c:pt idx="4">
                  <c:v>4.7389747423040474E-2</c:v>
                </c:pt>
                <c:pt idx="5">
                  <c:v>4.8804903762822871E-2</c:v>
                </c:pt>
                <c:pt idx="6">
                  <c:v>4.9758124780418793E-2</c:v>
                </c:pt>
                <c:pt idx="7">
                  <c:v>5.0860750219489367E-2</c:v>
                </c:pt>
                <c:pt idx="8">
                  <c:v>5.2120987077146422E-2</c:v>
                </c:pt>
                <c:pt idx="9">
                  <c:v>5.367380603747357E-2</c:v>
                </c:pt>
                <c:pt idx="10">
                  <c:v>5.4872838070112964E-2</c:v>
                </c:pt>
                <c:pt idx="11">
                  <c:v>5.6054830731280605E-2</c:v>
                </c:pt>
                <c:pt idx="12">
                  <c:v>5.6808989838905539E-2</c:v>
                </c:pt>
                <c:pt idx="13">
                  <c:v>5.7245321287957257E-2</c:v>
                </c:pt>
                <c:pt idx="14">
                  <c:v>5.7101536292026661E-2</c:v>
                </c:pt>
                <c:pt idx="15">
                  <c:v>5.6443122515745126E-2</c:v>
                </c:pt>
                <c:pt idx="16">
                  <c:v>5.5219130441009408E-2</c:v>
                </c:pt>
                <c:pt idx="17">
                  <c:v>5.4741870110606411E-2</c:v>
                </c:pt>
                <c:pt idx="18">
                  <c:v>5.331591241342732E-2</c:v>
                </c:pt>
                <c:pt idx="19">
                  <c:v>5.1949183352760872E-2</c:v>
                </c:pt>
                <c:pt idx="20">
                  <c:v>5.0638863324813391E-2</c:v>
                </c:pt>
                <c:pt idx="21">
                  <c:v>4.9440561747622902E-2</c:v>
                </c:pt>
                <c:pt idx="22">
                  <c:v>4.8256401499646565E-2</c:v>
                </c:pt>
                <c:pt idx="23">
                  <c:v>4.7049343466931015E-2</c:v>
                </c:pt>
                <c:pt idx="24">
                  <c:v>4.5695146834054755E-2</c:v>
                </c:pt>
                <c:pt idx="25">
                  <c:v>4.4040751289297991E-2</c:v>
                </c:pt>
              </c:numCache>
            </c:numRef>
          </c:val>
        </c:ser>
        <c:marker val="1"/>
        <c:axId val="110398080"/>
        <c:axId val="110535040"/>
      </c:lineChart>
      <c:catAx>
        <c:axId val="110398080"/>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10535040"/>
        <c:crosses val="autoZero"/>
        <c:auto val="1"/>
        <c:lblAlgn val="ctr"/>
        <c:lblOffset val="100"/>
      </c:catAx>
      <c:valAx>
        <c:axId val="110535040"/>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0398080"/>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289" l="0.70000000000000062" r="0.70000000000000062" t="0.75000000000000289" header="0.30000000000000032" footer="0.30000000000000032"/>
    <c:pageSetup/>
  </c:printSettings>
</c:chartSpace>
</file>

<file path=xl/charts/chart83.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050" b="1" i="0" u="none" strike="noStrike" baseline="0">
                <a:solidFill>
                  <a:srgbClr val="000000"/>
                </a:solidFill>
                <a:latin typeface="Calibri"/>
                <a:ea typeface="Calibri"/>
                <a:cs typeface="Calibri"/>
              </a:defRPr>
            </a:pPr>
            <a:r>
              <a:rPr lang="en-ZA"/>
              <a:t>GHG emissions </a:t>
            </a:r>
          </a:p>
        </c:rich>
      </c:tx>
      <c:layout>
        <c:manualLayout>
          <c:xMode val="edge"/>
          <c:yMode val="edge"/>
          <c:x val="0.37703147920214525"/>
          <c:y val="2.3951913418230174E-2"/>
        </c:manualLayout>
      </c:layout>
      <c:overlay val="1"/>
    </c:title>
    <c:plotArea>
      <c:layout>
        <c:manualLayout>
          <c:layoutTarget val="inner"/>
          <c:xMode val="edge"/>
          <c:yMode val="edge"/>
          <c:x val="0.10680342871251523"/>
          <c:y val="0.19467108012772291"/>
          <c:w val="0.8350744193785633"/>
          <c:h val="0.41813971883651524"/>
        </c:manualLayout>
      </c:layout>
      <c:lineChart>
        <c:grouping val="standard"/>
        <c:ser>
          <c:idx val="0"/>
          <c:order val="0"/>
          <c:tx>
            <c:strRef>
              <c:f>'Output tables'!$A$291</c:f>
              <c:strCache>
                <c:ptCount val="1"/>
                <c:pt idx="0">
                  <c:v>GHG emissions</c:v>
                </c:pt>
              </c:strCache>
            </c:strRef>
          </c:tx>
          <c:spPr>
            <a:ln>
              <a:solidFill>
                <a:srgbClr val="FF0000"/>
              </a:solidFill>
            </a:ln>
          </c:spPr>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tables'!$BW$298:$CV$298</c:f>
              <c:numCache>
                <c:formatCode>General</c:formatCode>
                <c:ptCount val="26"/>
                <c:pt idx="0">
                  <c:v>0</c:v>
                </c:pt>
                <c:pt idx="1">
                  <c:v>0</c:v>
                </c:pt>
                <c:pt idx="2">
                  <c:v>0</c:v>
                </c:pt>
                <c:pt idx="3">
                  <c:v>0</c:v>
                </c:pt>
                <c:pt idx="4">
                  <c:v>0</c:v>
                </c:pt>
                <c:pt idx="5">
                  <c:v>0</c:v>
                </c:pt>
                <c:pt idx="6">
                  <c:v>0</c:v>
                </c:pt>
                <c:pt idx="7">
                  <c:v>1.5897728804899998</c:v>
                </c:pt>
                <c:pt idx="8">
                  <c:v>4.76931864147</c:v>
                </c:pt>
                <c:pt idx="9">
                  <c:v>9.981494968181412</c:v>
                </c:pt>
                <c:pt idx="10">
                  <c:v>15.779114604001057</c:v>
                </c:pt>
                <c:pt idx="11">
                  <c:v>21.592084124276493</c:v>
                </c:pt>
                <c:pt idx="12">
                  <c:v>25.336371454784519</c:v>
                </c:pt>
                <c:pt idx="13">
                  <c:v>27.576462434297909</c:v>
                </c:pt>
                <c:pt idx="14">
                  <c:v>27.011545373210616</c:v>
                </c:pt>
                <c:pt idx="15">
                  <c:v>26.304017630681393</c:v>
                </c:pt>
                <c:pt idx="16">
                  <c:v>22.861777420551583</c:v>
                </c:pt>
                <c:pt idx="17">
                  <c:v>20.554104407970506</c:v>
                </c:pt>
                <c:pt idx="18">
                  <c:v>19.077274565880003</c:v>
                </c:pt>
                <c:pt idx="19">
                  <c:v>19.077274565880003</c:v>
                </c:pt>
                <c:pt idx="20">
                  <c:v>19.197835426423797</c:v>
                </c:pt>
                <c:pt idx="21">
                  <c:v>25.221586697982048</c:v>
                </c:pt>
                <c:pt idx="22">
                  <c:v>27.691949386680839</c:v>
                </c:pt>
                <c:pt idx="23">
                  <c:v>31.012113695903075</c:v>
                </c:pt>
                <c:pt idx="24">
                  <c:v>42.832671502947825</c:v>
                </c:pt>
                <c:pt idx="25">
                  <c:v>44.08351296332367</c:v>
                </c:pt>
              </c:numCache>
            </c:numRef>
          </c:val>
        </c:ser>
        <c:marker val="1"/>
        <c:axId val="110465024"/>
        <c:axId val="110466560"/>
      </c:lineChart>
      <c:catAx>
        <c:axId val="110465024"/>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10466560"/>
        <c:crosses val="autoZero"/>
        <c:auto val="1"/>
        <c:lblAlgn val="ctr"/>
        <c:lblOffset val="100"/>
      </c:catAx>
      <c:valAx>
        <c:axId val="110466560"/>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0465024"/>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355" l="0.70000000000000062" r="0.70000000000000062" t="0.75000000000000355" header="0.30000000000000032" footer="0.30000000000000032"/>
    <c:pageSetup/>
  </c:printSettings>
</c:chartSpace>
</file>

<file path=xl/charts/chart84.xml><?xml version="1.0" encoding="utf-8"?>
<c:chartSpace xmlns:c="http://schemas.openxmlformats.org/drawingml/2006/chart" xmlns:a="http://schemas.openxmlformats.org/drawingml/2006/main" xmlns:r="http://schemas.openxmlformats.org/officeDocument/2006/relationships">
  <c:lang val="en-ZA"/>
  <c:chart>
    <c:title>
      <c:tx>
        <c:strRef>
          <c:f>'Output tables'!$A$292</c:f>
          <c:strCache>
            <c:ptCount val="1"/>
            <c:pt idx="0">
              <c:v>SOx emissions</c:v>
            </c:pt>
          </c:strCache>
        </c:strRef>
      </c:tx>
      <c:layout>
        <c:manualLayout>
          <c:xMode val="edge"/>
          <c:yMode val="edge"/>
          <c:x val="0.37703173466952994"/>
          <c:y val="2.3951783804802177E-2"/>
        </c:manualLayout>
      </c:layout>
      <c:overlay val="1"/>
      <c:txPr>
        <a:bodyPr/>
        <a:lstStyle/>
        <a:p>
          <a:pPr>
            <a:defRPr lang="en-ZA" sz="1050" b="1" i="0" u="none" strike="noStrike" baseline="0">
              <a:solidFill>
                <a:srgbClr val="000000"/>
              </a:solidFill>
              <a:latin typeface="Calibri"/>
              <a:ea typeface="Calibri"/>
              <a:cs typeface="Calibri"/>
            </a:defRPr>
          </a:pPr>
          <a:endParaRPr lang="en-US"/>
        </a:p>
      </c:txPr>
    </c:title>
    <c:plotArea>
      <c:layout>
        <c:manualLayout>
          <c:layoutTarget val="inner"/>
          <c:xMode val="edge"/>
          <c:yMode val="edge"/>
          <c:x val="0.24248998210929176"/>
          <c:y val="0.17959580052493507"/>
          <c:w val="0.65512209252107789"/>
          <c:h val="0.40620322459692404"/>
        </c:manualLayout>
      </c:layout>
      <c:lineChart>
        <c:grouping val="standard"/>
        <c:ser>
          <c:idx val="0"/>
          <c:order val="0"/>
          <c:tx>
            <c:strRef>
              <c:f>'Output tables'!$A$292</c:f>
              <c:strCache>
                <c:ptCount val="1"/>
                <c:pt idx="0">
                  <c:v>SOx emissions</c:v>
                </c:pt>
              </c:strCache>
            </c:strRef>
          </c:tx>
          <c:spPr>
            <a:ln>
              <a:solidFill>
                <a:srgbClr val="FF0000"/>
              </a:solidFill>
            </a:ln>
          </c:spPr>
          <c:marker>
            <c:symbol val="none"/>
          </c:marker>
          <c:cat>
            <c:numRef>
              <c:f>'Output tables'!$BW$258:$CV$258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tables'!$BW$299:$CV$299</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marker val="1"/>
        <c:axId val="110482560"/>
        <c:axId val="110484096"/>
      </c:lineChart>
      <c:catAx>
        <c:axId val="110482560"/>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10484096"/>
        <c:crosses val="autoZero"/>
        <c:auto val="1"/>
        <c:lblAlgn val="ctr"/>
        <c:lblOffset val="100"/>
      </c:catAx>
      <c:valAx>
        <c:axId val="110484096"/>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0482560"/>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422" l="0.70000000000000062" r="0.70000000000000062" t="0.75000000000000422" header="0.30000000000000032" footer="0.30000000000000032"/>
    <c:pageSetup/>
  </c:printSettings>
</c:chartSpace>
</file>

<file path=xl/charts/chart85.xml><?xml version="1.0" encoding="utf-8"?>
<c:chartSpace xmlns:c="http://schemas.openxmlformats.org/drawingml/2006/chart" xmlns:a="http://schemas.openxmlformats.org/drawingml/2006/main" xmlns:r="http://schemas.openxmlformats.org/officeDocument/2006/relationships">
  <c:lang val="en-ZA"/>
  <c:chart>
    <c:title>
      <c:tx>
        <c:strRef>
          <c:f>'Output tables'!$A$293</c:f>
          <c:strCache>
            <c:ptCount val="1"/>
            <c:pt idx="0">
              <c:v>NOx emissions</c:v>
            </c:pt>
          </c:strCache>
        </c:strRef>
      </c:tx>
      <c:layout>
        <c:manualLayout>
          <c:xMode val="edge"/>
          <c:yMode val="edge"/>
          <c:x val="0.32248643127753907"/>
          <c:y val="2.3951675158252278E-2"/>
        </c:manualLayout>
      </c:layout>
      <c:overlay val="1"/>
      <c:txPr>
        <a:bodyPr/>
        <a:lstStyle/>
        <a:p>
          <a:pPr>
            <a:defRPr lang="en-ZA" sz="1050" b="1" i="0" u="none" strike="noStrike" baseline="0">
              <a:solidFill>
                <a:srgbClr val="000000"/>
              </a:solidFill>
              <a:latin typeface="Calibri"/>
              <a:ea typeface="Calibri"/>
              <a:cs typeface="Calibri"/>
            </a:defRPr>
          </a:pPr>
          <a:endParaRPr lang="en-US"/>
        </a:p>
      </c:txPr>
    </c:title>
    <c:plotArea>
      <c:layout>
        <c:manualLayout>
          <c:layoutTarget val="inner"/>
          <c:xMode val="edge"/>
          <c:yMode val="edge"/>
          <c:x val="0.2424899821092919"/>
          <c:y val="0.17007199100112491"/>
          <c:w val="0.65512209252107834"/>
          <c:h val="0.45382227221597488"/>
        </c:manualLayout>
      </c:layout>
      <c:lineChart>
        <c:grouping val="standard"/>
        <c:ser>
          <c:idx val="0"/>
          <c:order val="0"/>
          <c:tx>
            <c:strRef>
              <c:f>'Output tables'!$A$293</c:f>
              <c:strCache>
                <c:ptCount val="1"/>
                <c:pt idx="0">
                  <c:v>NOx emissions</c:v>
                </c:pt>
              </c:strCache>
            </c:strRef>
          </c:tx>
          <c:spPr>
            <a:ln>
              <a:solidFill>
                <a:srgbClr val="FF0000"/>
              </a:solidFill>
            </a:ln>
          </c:spPr>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tables'!$BW$300:$CV$300</c:f>
              <c:numCache>
                <c:formatCode>General</c:formatCode>
                <c:ptCount val="26"/>
                <c:pt idx="0">
                  <c:v>0</c:v>
                </c:pt>
                <c:pt idx="1">
                  <c:v>0</c:v>
                </c:pt>
                <c:pt idx="2">
                  <c:v>0</c:v>
                </c:pt>
                <c:pt idx="3">
                  <c:v>0</c:v>
                </c:pt>
                <c:pt idx="4">
                  <c:v>0</c:v>
                </c:pt>
                <c:pt idx="5">
                  <c:v>0</c:v>
                </c:pt>
                <c:pt idx="6">
                  <c:v>0</c:v>
                </c:pt>
                <c:pt idx="7">
                  <c:v>4.9318221823794004E-3</c:v>
                </c:pt>
                <c:pt idx="8">
                  <c:v>1.4795466547138203E-2</c:v>
                </c:pt>
                <c:pt idx="9">
                  <c:v>3.0964774214926039E-2</c:v>
                </c:pt>
                <c:pt idx="10">
                  <c:v>4.8950254704516999E-2</c:v>
                </c:pt>
                <c:pt idx="11">
                  <c:v>6.6983353883283664E-2</c:v>
                </c:pt>
                <c:pt idx="12">
                  <c:v>7.8598949758909617E-2</c:v>
                </c:pt>
                <c:pt idx="13">
                  <c:v>8.5548200509687936E-2</c:v>
                </c:pt>
                <c:pt idx="14">
                  <c:v>8.3795704585731698E-2</c:v>
                </c:pt>
                <c:pt idx="15">
                  <c:v>8.1600799226559301E-2</c:v>
                </c:pt>
                <c:pt idx="16">
                  <c:v>7.0922219390574165E-2</c:v>
                </c:pt>
                <c:pt idx="17">
                  <c:v>6.3763314434529247E-2</c:v>
                </c:pt>
                <c:pt idx="18">
                  <c:v>5.9181866188552826E-2</c:v>
                </c:pt>
                <c:pt idx="19">
                  <c:v>5.9181866188552826E-2</c:v>
                </c:pt>
                <c:pt idx="20">
                  <c:v>5.9555872270587236E-2</c:v>
                </c:pt>
                <c:pt idx="21">
                  <c:v>7.824286241036775E-2</c:v>
                </c:pt>
                <c:pt idx="22">
                  <c:v>8.5906466222059372E-2</c:v>
                </c:pt>
                <c:pt idx="23">
                  <c:v>9.6206339990392645E-2</c:v>
                </c:pt>
                <c:pt idx="24">
                  <c:v>0.13287628820520497</c:v>
                </c:pt>
                <c:pt idx="25">
                  <c:v>0.13675667120621582</c:v>
                </c:pt>
              </c:numCache>
            </c:numRef>
          </c:val>
        </c:ser>
        <c:marker val="1"/>
        <c:axId val="108161280"/>
        <c:axId val="108163072"/>
      </c:lineChart>
      <c:catAx>
        <c:axId val="108161280"/>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08163072"/>
        <c:crosses val="autoZero"/>
        <c:auto val="1"/>
        <c:lblAlgn val="ctr"/>
        <c:lblOffset val="100"/>
      </c:catAx>
      <c:valAx>
        <c:axId val="108163072"/>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8161280"/>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444" l="0.70000000000000062" r="0.70000000000000062" t="0.75000000000000444" header="0.30000000000000032" footer="0.30000000000000032"/>
    <c:pageSetup/>
  </c:printSettings>
</c:chartSpace>
</file>

<file path=xl/charts/chart86.xml><?xml version="1.0" encoding="utf-8"?>
<c:chartSpace xmlns:c="http://schemas.openxmlformats.org/drawingml/2006/chart" xmlns:a="http://schemas.openxmlformats.org/drawingml/2006/main" xmlns:r="http://schemas.openxmlformats.org/officeDocument/2006/relationships">
  <c:lang val="en-ZA"/>
  <c:chart>
    <c:title>
      <c:tx>
        <c:strRef>
          <c:f>'Output tables'!$A$301</c:f>
          <c:strCache>
            <c:ptCount val="1"/>
            <c:pt idx="0">
              <c:v>CO emissions</c:v>
            </c:pt>
          </c:strCache>
        </c:strRef>
      </c:tx>
      <c:layout>
        <c:manualLayout>
          <c:xMode val="edge"/>
          <c:yMode val="edge"/>
          <c:x val="0.32854688618468225"/>
          <c:y val="2.3951675158252278E-2"/>
        </c:manualLayout>
      </c:layout>
      <c:overlay val="1"/>
      <c:txPr>
        <a:bodyPr/>
        <a:lstStyle/>
        <a:p>
          <a:pPr>
            <a:defRPr lang="en-ZA" sz="1050" b="1" i="0" u="none" strike="noStrike" baseline="0">
              <a:solidFill>
                <a:srgbClr val="000000"/>
              </a:solidFill>
              <a:latin typeface="Calibri"/>
              <a:ea typeface="Calibri"/>
              <a:cs typeface="Calibri"/>
            </a:defRPr>
          </a:pPr>
          <a:endParaRPr lang="en-US"/>
        </a:p>
      </c:txPr>
    </c:title>
    <c:plotArea>
      <c:layout>
        <c:manualLayout>
          <c:layoutTarget val="inner"/>
          <c:xMode val="edge"/>
          <c:yMode val="edge"/>
          <c:x val="0.30915661696176738"/>
          <c:y val="0.1605481814773165"/>
          <c:w val="0.59435667174579976"/>
          <c:h val="0.44663142107236575"/>
        </c:manualLayout>
      </c:layout>
      <c:lineChart>
        <c:grouping val="standard"/>
        <c:ser>
          <c:idx val="0"/>
          <c:order val="0"/>
          <c:tx>
            <c:strRef>
              <c:f>'Output tables'!$A$294</c:f>
              <c:strCache>
                <c:ptCount val="1"/>
                <c:pt idx="0">
                  <c:v>CO emissions</c:v>
                </c:pt>
              </c:strCache>
            </c:strRef>
          </c:tx>
          <c:spPr>
            <a:ln>
              <a:solidFill>
                <a:srgbClr val="FF0000"/>
              </a:solidFill>
            </a:ln>
          </c:spPr>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tables'!$BW$301:$CV$301</c:f>
              <c:numCache>
                <c:formatCode>General</c:formatCode>
                <c:ptCount val="26"/>
                <c:pt idx="0">
                  <c:v>0</c:v>
                </c:pt>
                <c:pt idx="1">
                  <c:v>0</c:v>
                </c:pt>
                <c:pt idx="2">
                  <c:v>0</c:v>
                </c:pt>
                <c:pt idx="3">
                  <c:v>0</c:v>
                </c:pt>
                <c:pt idx="4">
                  <c:v>0</c:v>
                </c:pt>
                <c:pt idx="5">
                  <c:v>0</c:v>
                </c:pt>
                <c:pt idx="6">
                  <c:v>0</c:v>
                </c:pt>
                <c:pt idx="7">
                  <c:v>3.2878814549196006E-4</c:v>
                </c:pt>
                <c:pt idx="8">
                  <c:v>9.8636443647588017E-4</c:v>
                </c:pt>
                <c:pt idx="9">
                  <c:v>2.0643182809950695E-3</c:v>
                </c:pt>
                <c:pt idx="10">
                  <c:v>3.2633503136344669E-3</c:v>
                </c:pt>
                <c:pt idx="11">
                  <c:v>4.465556925552245E-3</c:v>
                </c:pt>
                <c:pt idx="12">
                  <c:v>5.2399299839273076E-3</c:v>
                </c:pt>
                <c:pt idx="13">
                  <c:v>5.7032133673125297E-3</c:v>
                </c:pt>
                <c:pt idx="14">
                  <c:v>5.586380305715447E-3</c:v>
                </c:pt>
                <c:pt idx="15">
                  <c:v>5.4400532817706201E-3</c:v>
                </c:pt>
                <c:pt idx="16">
                  <c:v>4.7281479593716111E-3</c:v>
                </c:pt>
                <c:pt idx="17">
                  <c:v>4.2508876289686168E-3</c:v>
                </c:pt>
                <c:pt idx="18">
                  <c:v>3.9454577459035215E-3</c:v>
                </c:pt>
                <c:pt idx="19">
                  <c:v>3.9454577459035215E-3</c:v>
                </c:pt>
                <c:pt idx="20">
                  <c:v>3.9703914847058156E-3</c:v>
                </c:pt>
                <c:pt idx="21">
                  <c:v>5.2161908273578505E-3</c:v>
                </c:pt>
                <c:pt idx="22">
                  <c:v>5.7270977481372913E-3</c:v>
                </c:pt>
                <c:pt idx="23">
                  <c:v>6.4137559993595102E-3</c:v>
                </c:pt>
                <c:pt idx="24">
                  <c:v>8.8584192136803314E-3</c:v>
                </c:pt>
                <c:pt idx="25">
                  <c:v>9.1171114137477208E-3</c:v>
                </c:pt>
              </c:numCache>
            </c:numRef>
          </c:val>
        </c:ser>
        <c:marker val="1"/>
        <c:axId val="108170624"/>
        <c:axId val="110642304"/>
      </c:lineChart>
      <c:catAx>
        <c:axId val="108170624"/>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10642304"/>
        <c:crosses val="autoZero"/>
        <c:auto val="1"/>
        <c:lblAlgn val="ctr"/>
        <c:lblOffset val="100"/>
      </c:catAx>
      <c:valAx>
        <c:axId val="110642304"/>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8170624"/>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444" l="0.70000000000000062" r="0.70000000000000062" t="0.75000000000000444" header="0.30000000000000032" footer="0.30000000000000032"/>
    <c:pageSetup/>
  </c:printSettings>
</c:chartSpace>
</file>

<file path=xl/charts/chart87.xml><?xml version="1.0" encoding="utf-8"?>
<c:chartSpace xmlns:c="http://schemas.openxmlformats.org/drawingml/2006/chart" xmlns:a="http://schemas.openxmlformats.org/drawingml/2006/main" xmlns:r="http://schemas.openxmlformats.org/officeDocument/2006/relationships">
  <c:lang val="en-ZA"/>
  <c:chart>
    <c:title>
      <c:tx>
        <c:strRef>
          <c:f>'Output tables'!$A$295</c:f>
          <c:strCache>
            <c:ptCount val="1"/>
            <c:pt idx="0">
              <c:v>NMVOC emissions</c:v>
            </c:pt>
          </c:strCache>
        </c:strRef>
      </c:tx>
      <c:layout>
        <c:manualLayout>
          <c:xMode val="edge"/>
          <c:yMode val="edge"/>
          <c:x val="0.33460742746523198"/>
          <c:y val="2.3951675158252278E-2"/>
        </c:manualLayout>
      </c:layout>
      <c:overlay val="1"/>
      <c:txPr>
        <a:bodyPr/>
        <a:lstStyle/>
        <a:p>
          <a:pPr>
            <a:defRPr lang="en-ZA" sz="1050" b="1" i="0" u="none" strike="noStrike" baseline="0">
              <a:solidFill>
                <a:srgbClr val="000000"/>
              </a:solidFill>
              <a:latin typeface="Calibri"/>
              <a:ea typeface="Calibri"/>
              <a:cs typeface="Calibri"/>
            </a:defRPr>
          </a:pPr>
          <a:endParaRPr lang="en-US"/>
        </a:p>
      </c:txPr>
    </c:title>
    <c:plotArea>
      <c:layout>
        <c:manualLayout>
          <c:layoutTarget val="inner"/>
          <c:xMode val="edge"/>
          <c:yMode val="edge"/>
          <c:x val="0.31593733431766563"/>
          <c:y val="0.18911961004874392"/>
          <c:w val="0.60706866758832612"/>
          <c:h val="0.39901237345331975"/>
        </c:manualLayout>
      </c:layout>
      <c:lineChart>
        <c:grouping val="standard"/>
        <c:ser>
          <c:idx val="0"/>
          <c:order val="0"/>
          <c:tx>
            <c:strRef>
              <c:f>'Output tables'!$A$295</c:f>
              <c:strCache>
                <c:ptCount val="1"/>
                <c:pt idx="0">
                  <c:v>NMVOC emissions</c:v>
                </c:pt>
              </c:strCache>
            </c:strRef>
          </c:tx>
          <c:spPr>
            <a:ln>
              <a:solidFill>
                <a:srgbClr val="FF0000"/>
              </a:solidFill>
            </a:ln>
          </c:spPr>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tables'!$BW$302:$CV$302</c:f>
              <c:numCache>
                <c:formatCode>General</c:formatCode>
                <c:ptCount val="26"/>
                <c:pt idx="0">
                  <c:v>0</c:v>
                </c:pt>
                <c:pt idx="1">
                  <c:v>0</c:v>
                </c:pt>
                <c:pt idx="2">
                  <c:v>0</c:v>
                </c:pt>
                <c:pt idx="3">
                  <c:v>0</c:v>
                </c:pt>
                <c:pt idx="4">
                  <c:v>0</c:v>
                </c:pt>
                <c:pt idx="5">
                  <c:v>0</c:v>
                </c:pt>
                <c:pt idx="6">
                  <c:v>0</c:v>
                </c:pt>
                <c:pt idx="7">
                  <c:v>8.2197036372990014E-5</c:v>
                </c:pt>
                <c:pt idx="8">
                  <c:v>2.4659110911897004E-4</c:v>
                </c:pt>
                <c:pt idx="9">
                  <c:v>5.1607957024876739E-4</c:v>
                </c:pt>
                <c:pt idx="10">
                  <c:v>8.1583757840861671E-4</c:v>
                </c:pt>
                <c:pt idx="11">
                  <c:v>1.1163892313880612E-3</c:v>
                </c:pt>
                <c:pt idx="12">
                  <c:v>1.3099824959818269E-3</c:v>
                </c:pt>
                <c:pt idx="13">
                  <c:v>1.4258033418281324E-3</c:v>
                </c:pt>
                <c:pt idx="14">
                  <c:v>1.3965950764288618E-3</c:v>
                </c:pt>
                <c:pt idx="15">
                  <c:v>1.360013320442655E-3</c:v>
                </c:pt>
                <c:pt idx="16">
                  <c:v>1.1820369898429028E-3</c:v>
                </c:pt>
                <c:pt idx="17">
                  <c:v>1.0627219072421542E-3</c:v>
                </c:pt>
                <c:pt idx="18">
                  <c:v>9.8636443647588039E-4</c:v>
                </c:pt>
                <c:pt idx="19">
                  <c:v>9.8636443647588039E-4</c:v>
                </c:pt>
                <c:pt idx="20">
                  <c:v>9.925978711764539E-4</c:v>
                </c:pt>
                <c:pt idx="21">
                  <c:v>1.3040477068394626E-3</c:v>
                </c:pt>
                <c:pt idx="22">
                  <c:v>1.4317744370343228E-3</c:v>
                </c:pt>
                <c:pt idx="23">
                  <c:v>1.6034389998398776E-3</c:v>
                </c:pt>
                <c:pt idx="24">
                  <c:v>2.2146048034200829E-3</c:v>
                </c:pt>
                <c:pt idx="25">
                  <c:v>2.2792778534369302E-3</c:v>
                </c:pt>
              </c:numCache>
            </c:numRef>
          </c:val>
        </c:ser>
        <c:marker val="1"/>
        <c:axId val="110670592"/>
        <c:axId val="110672128"/>
      </c:lineChart>
      <c:catAx>
        <c:axId val="110670592"/>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10672128"/>
        <c:crosses val="autoZero"/>
        <c:auto val="1"/>
        <c:lblAlgn val="ctr"/>
        <c:lblOffset val="100"/>
      </c:catAx>
      <c:valAx>
        <c:axId val="110672128"/>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0670592"/>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444" l="0.70000000000000062" r="0.70000000000000062" t="0.75000000000000444" header="0.30000000000000032" footer="0.30000000000000032"/>
    <c:pageSetup/>
  </c:printSettings>
</c:chartSpace>
</file>

<file path=xl/charts/chart88.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8.4488407699037621E-2"/>
          <c:y val="2.7609405967111353E-2"/>
          <c:w val="0.86444722447077516"/>
          <c:h val="0.45186173330275597"/>
        </c:manualLayout>
      </c:layout>
      <c:areaChart>
        <c:grouping val="stacked"/>
        <c:ser>
          <c:idx val="0"/>
          <c:order val="0"/>
          <c:tx>
            <c:strRef>
              <c:f>'Output tables'!$A$9:$A$9</c:f>
              <c:strCache>
                <c:ptCount val="1"/>
                <c:pt idx="0">
                  <c:v>Existing coal Large</c:v>
                </c:pt>
              </c:strCache>
            </c:strRef>
          </c:tx>
          <c:cat>
            <c:numRef>
              <c:f>'Output tables'!$B$8:$AA$8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tables'!$B$9:$AA$9</c:f>
              <c:numCache>
                <c:formatCode>General</c:formatCode>
                <c:ptCount val="26"/>
                <c:pt idx="0">
                  <c:v>30.471</c:v>
                </c:pt>
                <c:pt idx="1">
                  <c:v>30.471</c:v>
                </c:pt>
                <c:pt idx="2">
                  <c:v>30.471</c:v>
                </c:pt>
                <c:pt idx="3">
                  <c:v>30.471</c:v>
                </c:pt>
                <c:pt idx="4">
                  <c:v>30.471</c:v>
                </c:pt>
                <c:pt idx="5">
                  <c:v>30.471</c:v>
                </c:pt>
                <c:pt idx="6">
                  <c:v>30.471</c:v>
                </c:pt>
                <c:pt idx="7">
                  <c:v>30.471</c:v>
                </c:pt>
                <c:pt idx="8">
                  <c:v>30.471</c:v>
                </c:pt>
                <c:pt idx="9">
                  <c:v>30.471</c:v>
                </c:pt>
                <c:pt idx="10">
                  <c:v>30.471</c:v>
                </c:pt>
                <c:pt idx="11">
                  <c:v>30.471</c:v>
                </c:pt>
                <c:pt idx="12">
                  <c:v>30.471</c:v>
                </c:pt>
                <c:pt idx="13">
                  <c:v>30.471</c:v>
                </c:pt>
                <c:pt idx="14">
                  <c:v>30.471</c:v>
                </c:pt>
                <c:pt idx="15">
                  <c:v>30.471</c:v>
                </c:pt>
                <c:pt idx="16">
                  <c:v>30.471</c:v>
                </c:pt>
                <c:pt idx="17">
                  <c:v>30.471</c:v>
                </c:pt>
                <c:pt idx="18">
                  <c:v>30.471</c:v>
                </c:pt>
                <c:pt idx="19">
                  <c:v>29.331</c:v>
                </c:pt>
                <c:pt idx="20">
                  <c:v>28.190999999999999</c:v>
                </c:pt>
                <c:pt idx="21">
                  <c:v>26.765999999999998</c:v>
                </c:pt>
                <c:pt idx="22">
                  <c:v>25.340999999999998</c:v>
                </c:pt>
                <c:pt idx="23">
                  <c:v>23.615999999999996</c:v>
                </c:pt>
                <c:pt idx="24">
                  <c:v>20.165999999999997</c:v>
                </c:pt>
                <c:pt idx="25">
                  <c:v>18.440999999999995</c:v>
                </c:pt>
              </c:numCache>
            </c:numRef>
          </c:val>
        </c:ser>
        <c:ser>
          <c:idx val="1"/>
          <c:order val="1"/>
          <c:tx>
            <c:strRef>
              <c:f>'Output tables'!$A$10:$A$10</c:f>
              <c:strCache>
                <c:ptCount val="1"/>
                <c:pt idx="0">
                  <c:v>Existing coal Small</c:v>
                </c:pt>
              </c:strCache>
            </c:strRef>
          </c:tx>
          <c:cat>
            <c:numRef>
              <c:f>'Output tables'!$B$8:$AA$8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tables'!$B$10:$AA$10</c:f>
              <c:numCache>
                <c:formatCode>General</c:formatCode>
                <c:ptCount val="26"/>
                <c:pt idx="0">
                  <c:v>5.434444444444444</c:v>
                </c:pt>
                <c:pt idx="1">
                  <c:v>5.434444444444444</c:v>
                </c:pt>
                <c:pt idx="2">
                  <c:v>5.434444444444444</c:v>
                </c:pt>
                <c:pt idx="3">
                  <c:v>5.434444444444444</c:v>
                </c:pt>
                <c:pt idx="4">
                  <c:v>5.434444444444444</c:v>
                </c:pt>
                <c:pt idx="5">
                  <c:v>6.1174444444444438</c:v>
                </c:pt>
                <c:pt idx="6">
                  <c:v>6.5214444444444437</c:v>
                </c:pt>
                <c:pt idx="7">
                  <c:v>6.5214444444444437</c:v>
                </c:pt>
                <c:pt idx="8">
                  <c:v>6.5214444444444437</c:v>
                </c:pt>
                <c:pt idx="9">
                  <c:v>6.5214444444444437</c:v>
                </c:pt>
                <c:pt idx="10">
                  <c:v>6.5214444444444437</c:v>
                </c:pt>
                <c:pt idx="11">
                  <c:v>6.4839444444444441</c:v>
                </c:pt>
                <c:pt idx="12">
                  <c:v>6.4464444444444444</c:v>
                </c:pt>
                <c:pt idx="13">
                  <c:v>6.3964444444444446</c:v>
                </c:pt>
                <c:pt idx="14">
                  <c:v>6.3464444444444448</c:v>
                </c:pt>
                <c:pt idx="15">
                  <c:v>5.3964444444444446</c:v>
                </c:pt>
                <c:pt idx="16">
                  <c:v>4.4464444444444444</c:v>
                </c:pt>
                <c:pt idx="17">
                  <c:v>4.4464444444444444</c:v>
                </c:pt>
                <c:pt idx="18">
                  <c:v>4.4464444444444444</c:v>
                </c:pt>
                <c:pt idx="19">
                  <c:v>4.4464444444444444</c:v>
                </c:pt>
                <c:pt idx="20">
                  <c:v>4.0087222222222225</c:v>
                </c:pt>
                <c:pt idx="21">
                  <c:v>3.5710000000000002</c:v>
                </c:pt>
                <c:pt idx="22">
                  <c:v>3.5710000000000002</c:v>
                </c:pt>
                <c:pt idx="23">
                  <c:v>3.5710000000000002</c:v>
                </c:pt>
                <c:pt idx="24">
                  <c:v>3.5710000000000002</c:v>
                </c:pt>
                <c:pt idx="25">
                  <c:v>3.5710000000000002</c:v>
                </c:pt>
              </c:numCache>
            </c:numRef>
          </c:val>
        </c:ser>
        <c:ser>
          <c:idx val="2"/>
          <c:order val="2"/>
          <c:tx>
            <c:strRef>
              <c:f>'Output tables'!$A$11:$A$11</c:f>
              <c:strCache>
                <c:ptCount val="1"/>
                <c:pt idx="0">
                  <c:v>OCGT liquid fuels</c:v>
                </c:pt>
              </c:strCache>
            </c:strRef>
          </c:tx>
          <c:cat>
            <c:numRef>
              <c:f>'Output tables'!$B$8:$AA$8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tables'!$B$11:$AA$11</c:f>
              <c:numCache>
                <c:formatCode>General</c:formatCode>
                <c:ptCount val="26"/>
                <c:pt idx="0">
                  <c:v>2.4</c:v>
                </c:pt>
                <c:pt idx="1">
                  <c:v>2.4</c:v>
                </c:pt>
                <c:pt idx="2">
                  <c:v>2.4</c:v>
                </c:pt>
                <c:pt idx="3">
                  <c:v>2.4</c:v>
                </c:pt>
                <c:pt idx="4">
                  <c:v>2.4</c:v>
                </c:pt>
                <c:pt idx="5">
                  <c:v>2.4</c:v>
                </c:pt>
                <c:pt idx="6">
                  <c:v>3.48</c:v>
                </c:pt>
                <c:pt idx="7">
                  <c:v>3.48</c:v>
                </c:pt>
                <c:pt idx="8">
                  <c:v>3.48</c:v>
                </c:pt>
                <c:pt idx="9">
                  <c:v>3.48</c:v>
                </c:pt>
                <c:pt idx="10">
                  <c:v>3.48</c:v>
                </c:pt>
                <c:pt idx="11">
                  <c:v>3.48</c:v>
                </c:pt>
                <c:pt idx="12">
                  <c:v>3.48</c:v>
                </c:pt>
                <c:pt idx="13">
                  <c:v>3.48</c:v>
                </c:pt>
                <c:pt idx="14">
                  <c:v>3.48</c:v>
                </c:pt>
                <c:pt idx="15">
                  <c:v>3.48</c:v>
                </c:pt>
                <c:pt idx="16">
                  <c:v>3.48</c:v>
                </c:pt>
                <c:pt idx="17">
                  <c:v>3.48</c:v>
                </c:pt>
                <c:pt idx="18">
                  <c:v>4.2</c:v>
                </c:pt>
                <c:pt idx="19">
                  <c:v>4.2</c:v>
                </c:pt>
                <c:pt idx="20">
                  <c:v>4.2</c:v>
                </c:pt>
                <c:pt idx="21">
                  <c:v>4.92</c:v>
                </c:pt>
                <c:pt idx="22">
                  <c:v>4.92</c:v>
                </c:pt>
                <c:pt idx="23">
                  <c:v>4.92</c:v>
                </c:pt>
                <c:pt idx="24">
                  <c:v>5.64</c:v>
                </c:pt>
                <c:pt idx="25">
                  <c:v>5.4689999999999994</c:v>
                </c:pt>
              </c:numCache>
            </c:numRef>
          </c:val>
        </c:ser>
        <c:ser>
          <c:idx val="3"/>
          <c:order val="3"/>
          <c:tx>
            <c:strRef>
              <c:f>'Output tables'!$A$12:$A$12</c:f>
              <c:strCache>
                <c:ptCount val="1"/>
                <c:pt idx="0">
                  <c:v>PWR nuclear</c:v>
                </c:pt>
              </c:strCache>
            </c:strRef>
          </c:tx>
          <c:cat>
            <c:numRef>
              <c:f>'Output tables'!$B$8:$AA$8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tables'!$B$12:$AA$12</c:f>
              <c:numCache>
                <c:formatCode>General</c:formatCode>
                <c:ptCount val="26"/>
                <c:pt idx="0">
                  <c:v>1.8</c:v>
                </c:pt>
                <c:pt idx="1">
                  <c:v>1.8</c:v>
                </c:pt>
                <c:pt idx="2">
                  <c:v>1.8</c:v>
                </c:pt>
                <c:pt idx="3">
                  <c:v>1.8</c:v>
                </c:pt>
                <c:pt idx="4">
                  <c:v>1.8</c:v>
                </c:pt>
                <c:pt idx="5">
                  <c:v>1.8</c:v>
                </c:pt>
                <c:pt idx="6">
                  <c:v>1.8</c:v>
                </c:pt>
                <c:pt idx="7">
                  <c:v>1.8</c:v>
                </c:pt>
                <c:pt idx="8">
                  <c:v>1.8</c:v>
                </c:pt>
                <c:pt idx="9">
                  <c:v>1.8</c:v>
                </c:pt>
                <c:pt idx="10">
                  <c:v>1.8</c:v>
                </c:pt>
                <c:pt idx="11">
                  <c:v>1.8</c:v>
                </c:pt>
                <c:pt idx="12">
                  <c:v>1.8</c:v>
                </c:pt>
                <c:pt idx="13">
                  <c:v>1.8</c:v>
                </c:pt>
                <c:pt idx="14">
                  <c:v>1.8</c:v>
                </c:pt>
                <c:pt idx="15">
                  <c:v>1.8</c:v>
                </c:pt>
                <c:pt idx="16">
                  <c:v>1.8</c:v>
                </c:pt>
                <c:pt idx="17">
                  <c:v>1.8</c:v>
                </c:pt>
                <c:pt idx="18">
                  <c:v>1.8</c:v>
                </c:pt>
                <c:pt idx="19">
                  <c:v>1.8</c:v>
                </c:pt>
                <c:pt idx="20">
                  <c:v>1.8</c:v>
                </c:pt>
                <c:pt idx="21">
                  <c:v>1.8</c:v>
                </c:pt>
                <c:pt idx="22">
                  <c:v>1.8</c:v>
                </c:pt>
                <c:pt idx="23">
                  <c:v>1.8</c:v>
                </c:pt>
                <c:pt idx="24">
                  <c:v>1.8</c:v>
                </c:pt>
                <c:pt idx="25">
                  <c:v>1.8</c:v>
                </c:pt>
              </c:numCache>
            </c:numRef>
          </c:val>
        </c:ser>
        <c:ser>
          <c:idx val="4"/>
          <c:order val="4"/>
          <c:tx>
            <c:strRef>
              <c:f>'Output tables'!$A$13:$A$13</c:f>
              <c:strCache>
                <c:ptCount val="1"/>
                <c:pt idx="0">
                  <c:v>Hydro</c:v>
                </c:pt>
              </c:strCache>
            </c:strRef>
          </c:tx>
          <c:cat>
            <c:numRef>
              <c:f>'Output tables'!$B$8:$AA$8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tables'!$B$13:$AA$13</c:f>
              <c:numCache>
                <c:formatCode>General</c:formatCode>
                <c:ptCount val="26"/>
                <c:pt idx="0">
                  <c:v>0.66500000000000004</c:v>
                </c:pt>
                <c:pt idx="1">
                  <c:v>0.66500000000000004</c:v>
                </c:pt>
                <c:pt idx="2">
                  <c:v>0.66500000000000004</c:v>
                </c:pt>
                <c:pt idx="3">
                  <c:v>0.66500000000000004</c:v>
                </c:pt>
                <c:pt idx="4">
                  <c:v>0.66500000000000004</c:v>
                </c:pt>
                <c:pt idx="5">
                  <c:v>0.66500000000000004</c:v>
                </c:pt>
                <c:pt idx="6">
                  <c:v>0.66500000000000004</c:v>
                </c:pt>
                <c:pt idx="7">
                  <c:v>0.66500000000000004</c:v>
                </c:pt>
                <c:pt idx="8">
                  <c:v>0.66500000000000004</c:v>
                </c:pt>
                <c:pt idx="9">
                  <c:v>0.66500000000000004</c:v>
                </c:pt>
                <c:pt idx="10">
                  <c:v>0.66500000000000004</c:v>
                </c:pt>
                <c:pt idx="11">
                  <c:v>0.66500000000000004</c:v>
                </c:pt>
                <c:pt idx="12">
                  <c:v>0.66500000000000004</c:v>
                </c:pt>
                <c:pt idx="13">
                  <c:v>0.66500000000000004</c:v>
                </c:pt>
                <c:pt idx="14">
                  <c:v>0.66500000000000004</c:v>
                </c:pt>
                <c:pt idx="15">
                  <c:v>0.66500000000000004</c:v>
                </c:pt>
                <c:pt idx="16">
                  <c:v>0.66500000000000004</c:v>
                </c:pt>
                <c:pt idx="17">
                  <c:v>0.66500000000000004</c:v>
                </c:pt>
                <c:pt idx="18">
                  <c:v>0.66500000000000004</c:v>
                </c:pt>
                <c:pt idx="19">
                  <c:v>0.66500000000000004</c:v>
                </c:pt>
                <c:pt idx="20">
                  <c:v>0.66500000000000004</c:v>
                </c:pt>
                <c:pt idx="21">
                  <c:v>0.66500000000000004</c:v>
                </c:pt>
                <c:pt idx="22">
                  <c:v>0.66500000000000004</c:v>
                </c:pt>
                <c:pt idx="23">
                  <c:v>0.66500000000000004</c:v>
                </c:pt>
                <c:pt idx="24">
                  <c:v>0.66500000000000004</c:v>
                </c:pt>
                <c:pt idx="25">
                  <c:v>0.66500000000000004</c:v>
                </c:pt>
              </c:numCache>
            </c:numRef>
          </c:val>
        </c:ser>
        <c:ser>
          <c:idx val="5"/>
          <c:order val="5"/>
          <c:tx>
            <c:strRef>
              <c:f>'Output tables'!$A$14:$A$14</c:f>
              <c:strCache>
                <c:ptCount val="1"/>
                <c:pt idx="0">
                  <c:v>Landfill gas</c:v>
                </c:pt>
              </c:strCache>
            </c:strRef>
          </c:tx>
          <c:cat>
            <c:numRef>
              <c:f>'Output tables'!$B$8:$AA$8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tables'!$B$14:$AA$14</c:f>
              <c:numCache>
                <c:formatCode>General</c:formatCode>
                <c:ptCount val="26"/>
                <c:pt idx="0">
                  <c:v>7.0000000000000007E-2</c:v>
                </c:pt>
                <c:pt idx="1">
                  <c:v>7.0000000000000007E-2</c:v>
                </c:pt>
                <c:pt idx="2">
                  <c:v>7.0000000000000007E-2</c:v>
                </c:pt>
                <c:pt idx="3">
                  <c:v>7.0000000000000007E-2</c:v>
                </c:pt>
                <c:pt idx="4">
                  <c:v>7.0000000000000007E-2</c:v>
                </c:pt>
                <c:pt idx="5">
                  <c:v>7.0000000000000007E-2</c:v>
                </c:pt>
                <c:pt idx="6">
                  <c:v>7.0000000000000007E-2</c:v>
                </c:pt>
                <c:pt idx="7">
                  <c:v>7.0000000000000007E-2</c:v>
                </c:pt>
                <c:pt idx="8">
                  <c:v>7.0000000000000007E-2</c:v>
                </c:pt>
                <c:pt idx="9">
                  <c:v>7.0000000000000007E-2</c:v>
                </c:pt>
                <c:pt idx="10">
                  <c:v>7.0000000000000007E-2</c:v>
                </c:pt>
                <c:pt idx="11">
                  <c:v>7.0000000000000007E-2</c:v>
                </c:pt>
                <c:pt idx="12">
                  <c:v>7.0000000000000007E-2</c:v>
                </c:pt>
                <c:pt idx="13">
                  <c:v>7.0000000000000007E-2</c:v>
                </c:pt>
                <c:pt idx="14">
                  <c:v>7.0000000000000007E-2</c:v>
                </c:pt>
                <c:pt idx="15">
                  <c:v>7.0000000000000007E-2</c:v>
                </c:pt>
                <c:pt idx="16">
                  <c:v>7.0000000000000007E-2</c:v>
                </c:pt>
                <c:pt idx="17">
                  <c:v>7.0000000000000007E-2</c:v>
                </c:pt>
                <c:pt idx="18">
                  <c:v>7.0000000000000007E-2</c:v>
                </c:pt>
                <c:pt idx="19">
                  <c:v>7.0000000000000007E-2</c:v>
                </c:pt>
                <c:pt idx="20">
                  <c:v>7.0000000000000007E-2</c:v>
                </c:pt>
                <c:pt idx="21">
                  <c:v>7.0000000000000007E-2</c:v>
                </c:pt>
                <c:pt idx="22">
                  <c:v>7.0000000000000007E-2</c:v>
                </c:pt>
                <c:pt idx="23">
                  <c:v>7.0000000000000007E-2</c:v>
                </c:pt>
                <c:pt idx="24">
                  <c:v>7.0000000000000007E-2</c:v>
                </c:pt>
                <c:pt idx="25">
                  <c:v>7.0000000000000007E-2</c:v>
                </c:pt>
              </c:numCache>
            </c:numRef>
          </c:val>
        </c:ser>
        <c:ser>
          <c:idx val="6"/>
          <c:order val="6"/>
          <c:tx>
            <c:strRef>
              <c:f>'Output tables'!$A$15:$A$15</c:f>
              <c:strCache>
                <c:ptCount val="1"/>
                <c:pt idx="0">
                  <c:v>Biomass</c:v>
                </c:pt>
              </c:strCache>
            </c:strRef>
          </c:tx>
          <c:cat>
            <c:numRef>
              <c:f>'Output tables'!$B$8:$AA$8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tables'!$B$15:$AA$15</c:f>
              <c:numCache>
                <c:formatCode>General</c:formatCode>
                <c:ptCount val="26"/>
                <c:pt idx="0">
                  <c:v>0.19</c:v>
                </c:pt>
                <c:pt idx="1">
                  <c:v>0.19</c:v>
                </c:pt>
                <c:pt idx="2">
                  <c:v>0.19</c:v>
                </c:pt>
                <c:pt idx="3">
                  <c:v>0.19</c:v>
                </c:pt>
                <c:pt idx="4">
                  <c:v>0.19</c:v>
                </c:pt>
                <c:pt idx="5">
                  <c:v>0.19</c:v>
                </c:pt>
                <c:pt idx="6">
                  <c:v>0.19</c:v>
                </c:pt>
                <c:pt idx="7">
                  <c:v>0.19</c:v>
                </c:pt>
                <c:pt idx="8">
                  <c:v>0.19</c:v>
                </c:pt>
                <c:pt idx="9">
                  <c:v>0.19</c:v>
                </c:pt>
                <c:pt idx="10">
                  <c:v>0.19</c:v>
                </c:pt>
                <c:pt idx="11">
                  <c:v>0.19</c:v>
                </c:pt>
                <c:pt idx="12">
                  <c:v>0.19</c:v>
                </c:pt>
                <c:pt idx="13">
                  <c:v>0.19</c:v>
                </c:pt>
                <c:pt idx="14">
                  <c:v>0.19</c:v>
                </c:pt>
                <c:pt idx="15">
                  <c:v>0.19</c:v>
                </c:pt>
                <c:pt idx="16">
                  <c:v>0.19</c:v>
                </c:pt>
                <c:pt idx="17">
                  <c:v>0.19</c:v>
                </c:pt>
                <c:pt idx="18">
                  <c:v>0.19</c:v>
                </c:pt>
                <c:pt idx="19">
                  <c:v>0.19</c:v>
                </c:pt>
                <c:pt idx="20">
                  <c:v>0.19</c:v>
                </c:pt>
                <c:pt idx="21">
                  <c:v>0.19</c:v>
                </c:pt>
                <c:pt idx="22">
                  <c:v>0.19</c:v>
                </c:pt>
                <c:pt idx="23">
                  <c:v>0.19</c:v>
                </c:pt>
                <c:pt idx="24">
                  <c:v>0.19</c:v>
                </c:pt>
                <c:pt idx="25">
                  <c:v>0.19</c:v>
                </c:pt>
              </c:numCache>
            </c:numRef>
          </c:val>
        </c:ser>
        <c:ser>
          <c:idx val="7"/>
          <c:order val="7"/>
          <c:tx>
            <c:strRef>
              <c:f>'Output tables'!$A$16:$A$16</c:f>
              <c:strCache>
                <c:ptCount val="1"/>
                <c:pt idx="0">
                  <c:v>Supercritical coal</c:v>
                </c:pt>
              </c:strCache>
            </c:strRef>
          </c:tx>
          <c:cat>
            <c:numRef>
              <c:f>'Output tables'!$B$8:$AA$8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tables'!$B$16:$AA$16</c:f>
              <c:numCache>
                <c:formatCode>General</c:formatCode>
                <c:ptCount val="26"/>
                <c:pt idx="0">
                  <c:v>0</c:v>
                </c:pt>
                <c:pt idx="1">
                  <c:v>0</c:v>
                </c:pt>
                <c:pt idx="2">
                  <c:v>0</c:v>
                </c:pt>
                <c:pt idx="3">
                  <c:v>0</c:v>
                </c:pt>
                <c:pt idx="4">
                  <c:v>0</c:v>
                </c:pt>
                <c:pt idx="5">
                  <c:v>0</c:v>
                </c:pt>
                <c:pt idx="6">
                  <c:v>0</c:v>
                </c:pt>
                <c:pt idx="7">
                  <c:v>0.79400000000000004</c:v>
                </c:pt>
                <c:pt idx="8">
                  <c:v>2.3820000000000001</c:v>
                </c:pt>
                <c:pt idx="9">
                  <c:v>4.7640000000000002</c:v>
                </c:pt>
                <c:pt idx="10">
                  <c:v>7.1460000000000008</c:v>
                </c:pt>
                <c:pt idx="11">
                  <c:v>8.7340000000000018</c:v>
                </c:pt>
                <c:pt idx="12">
                  <c:v>10.322000000000003</c:v>
                </c:pt>
                <c:pt idx="13">
                  <c:v>12.704000000000002</c:v>
                </c:pt>
                <c:pt idx="14">
                  <c:v>15.086000000000002</c:v>
                </c:pt>
                <c:pt idx="15">
                  <c:v>17.468000000000004</c:v>
                </c:pt>
                <c:pt idx="16">
                  <c:v>20.644000000000005</c:v>
                </c:pt>
                <c:pt idx="17">
                  <c:v>23.820000000000007</c:v>
                </c:pt>
                <c:pt idx="18">
                  <c:v>26.202000000000009</c:v>
                </c:pt>
                <c:pt idx="19">
                  <c:v>29.378000000000007</c:v>
                </c:pt>
                <c:pt idx="20">
                  <c:v>32.554000000000009</c:v>
                </c:pt>
                <c:pt idx="21">
                  <c:v>36.524000000000008</c:v>
                </c:pt>
                <c:pt idx="22">
                  <c:v>40.494000000000007</c:v>
                </c:pt>
                <c:pt idx="23">
                  <c:v>44.464000000000006</c:v>
                </c:pt>
                <c:pt idx="24">
                  <c:v>49.228000000000009</c:v>
                </c:pt>
                <c:pt idx="25">
                  <c:v>53.992000000000012</c:v>
                </c:pt>
              </c:numCache>
            </c:numRef>
          </c:val>
        </c:ser>
        <c:ser>
          <c:idx val="8"/>
          <c:order val="8"/>
          <c:tx>
            <c:strRef>
              <c:f>'Output tables'!$A$17:$A$17</c:f>
              <c:strCache>
                <c:ptCount val="1"/>
                <c:pt idx="0">
                  <c:v>Wind 30% </c:v>
                </c:pt>
              </c:strCache>
            </c:strRef>
          </c:tx>
          <c:cat>
            <c:numRef>
              <c:f>'Output tables'!$B$8:$AA$8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tables'!$B$17:$AA$17</c:f>
              <c:numCache>
                <c:formatCode>General</c:formatCode>
                <c:ptCount val="26"/>
                <c:pt idx="0">
                  <c:v>0</c:v>
                </c:pt>
                <c:pt idx="1">
                  <c:v>0</c:v>
                </c:pt>
                <c:pt idx="2">
                  <c:v>0</c:v>
                </c:pt>
                <c:pt idx="3">
                  <c:v>0</c:v>
                </c:pt>
                <c:pt idx="4">
                  <c:v>0</c:v>
                </c:pt>
                <c:pt idx="5">
                  <c:v>0.1</c:v>
                </c:pt>
                <c:pt idx="6">
                  <c:v>0.1</c:v>
                </c:pt>
                <c:pt idx="7">
                  <c:v>0.1</c:v>
                </c:pt>
                <c:pt idx="8">
                  <c:v>0.1</c:v>
                </c:pt>
                <c:pt idx="9">
                  <c:v>0.1</c:v>
                </c:pt>
                <c:pt idx="10">
                  <c:v>0.1</c:v>
                </c:pt>
                <c:pt idx="11">
                  <c:v>0.1</c:v>
                </c:pt>
                <c:pt idx="12">
                  <c:v>0.1</c:v>
                </c:pt>
                <c:pt idx="13">
                  <c:v>0.1</c:v>
                </c:pt>
                <c:pt idx="14">
                  <c:v>0.1</c:v>
                </c:pt>
                <c:pt idx="15">
                  <c:v>0.1</c:v>
                </c:pt>
                <c:pt idx="16">
                  <c:v>0.1</c:v>
                </c:pt>
                <c:pt idx="17">
                  <c:v>0.1</c:v>
                </c:pt>
                <c:pt idx="18">
                  <c:v>0.1</c:v>
                </c:pt>
                <c:pt idx="19">
                  <c:v>0.1</c:v>
                </c:pt>
                <c:pt idx="20">
                  <c:v>0.1</c:v>
                </c:pt>
                <c:pt idx="21">
                  <c:v>0.1</c:v>
                </c:pt>
                <c:pt idx="22">
                  <c:v>0.1</c:v>
                </c:pt>
                <c:pt idx="23">
                  <c:v>0.1</c:v>
                </c:pt>
                <c:pt idx="24">
                  <c:v>0.1</c:v>
                </c:pt>
                <c:pt idx="25">
                  <c:v>0</c:v>
                </c:pt>
              </c:numCache>
            </c:numRef>
          </c:val>
        </c:ser>
        <c:ser>
          <c:idx val="9"/>
          <c:order val="9"/>
          <c:tx>
            <c:strRef>
              <c:f>'Output tables'!$A$18:$A$18</c:f>
              <c:strCache>
                <c:ptCount val="1"/>
                <c:pt idx="0">
                  <c:v>Wind 25%</c:v>
                </c:pt>
              </c:strCache>
            </c:strRef>
          </c:tx>
          <c:cat>
            <c:numRef>
              <c:f>'Output tables'!$B$8:$AA$8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tables'!$B$18:$AA$18</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0"/>
          <c:order val="10"/>
          <c:tx>
            <c:strRef>
              <c:f>'Output tables'!$A$19:$A$19</c:f>
              <c:strCache>
                <c:ptCount val="1"/>
                <c:pt idx="0">
                  <c:v>solar thermal central reciever</c:v>
                </c:pt>
              </c:strCache>
            </c:strRef>
          </c:tx>
          <c:cat>
            <c:numRef>
              <c:f>'Output tables'!$B$8:$AA$8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tables'!$B$19:$AA$19</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1"/>
          <c:order val="11"/>
          <c:tx>
            <c:strRef>
              <c:f>'Output tables'!$A$20:$A$20</c:f>
              <c:strCache>
                <c:ptCount val="1"/>
                <c:pt idx="0">
                  <c:v>solar thermal trough</c:v>
                </c:pt>
              </c:strCache>
            </c:strRef>
          </c:tx>
          <c:cat>
            <c:numRef>
              <c:f>'Output tables'!$B$8:$AA$8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tables'!$B$20:$AA$20</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2"/>
          <c:order val="12"/>
          <c:tx>
            <c:strRef>
              <c:f>'Output tables'!$A$21:$A$21</c:f>
              <c:strCache>
                <c:ptCount val="1"/>
                <c:pt idx="0">
                  <c:v>solar PV</c:v>
                </c:pt>
              </c:strCache>
            </c:strRef>
          </c:tx>
          <c:cat>
            <c:numRef>
              <c:f>'Output tables'!$B$8:$AA$8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tables'!$B$21:$AA$21</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3"/>
          <c:order val="13"/>
          <c:tx>
            <c:strRef>
              <c:f>'Output tables'!$A$22:$A$22</c:f>
              <c:strCache>
                <c:ptCount val="1"/>
                <c:pt idx="0">
                  <c:v>combined cycle gas</c:v>
                </c:pt>
              </c:strCache>
            </c:strRef>
          </c:tx>
          <c:cat>
            <c:numRef>
              <c:f>'Output tables'!$B$8:$AA$8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tables'!$B$22:$AA$22</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4"/>
          <c:order val="14"/>
          <c:tx>
            <c:strRef>
              <c:f>'Output tables'!$A$23:$A$23</c:f>
              <c:strCache>
                <c:ptCount val="1"/>
                <c:pt idx="0">
                  <c:v>PBMR</c:v>
                </c:pt>
              </c:strCache>
            </c:strRef>
          </c:tx>
          <c:cat>
            <c:numRef>
              <c:f>'Output tables'!$B$8:$AA$8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tables'!$B$23:$AA$23</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5"/>
          <c:order val="15"/>
          <c:tx>
            <c:strRef>
              <c:f>'Output tables'!$A$24:$A$24</c:f>
              <c:strCache>
                <c:ptCount val="1"/>
                <c:pt idx="0">
                  <c:v>IGCC</c:v>
                </c:pt>
              </c:strCache>
            </c:strRef>
          </c:tx>
          <c:cat>
            <c:numRef>
              <c:f>'Output tables'!$B$8:$AA$8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tables'!$B$24:$AA$24</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6"/>
          <c:order val="16"/>
          <c:tx>
            <c:strRef>
              <c:f>'Output tables'!$A$25:$A$25</c:f>
              <c:strCache>
                <c:ptCount val="1"/>
                <c:pt idx="0">
                  <c:v>-</c:v>
                </c:pt>
              </c:strCache>
            </c:strRef>
          </c:tx>
          <c:cat>
            <c:numRef>
              <c:f>'Output tables'!$B$8:$AA$8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tables'!$B$25:$AA$25</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7"/>
          <c:order val="17"/>
          <c:tx>
            <c:strRef>
              <c:f>'Output tables'!$A$26:$A$26</c:f>
              <c:strCache>
                <c:ptCount val="1"/>
                <c:pt idx="0">
                  <c:v>-</c:v>
                </c:pt>
              </c:strCache>
            </c:strRef>
          </c:tx>
          <c:cat>
            <c:numRef>
              <c:f>'Output tables'!$B$8:$AA$8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tables'!$B$26:$AA$26</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8"/>
          <c:order val="18"/>
          <c:tx>
            <c:strRef>
              <c:f>'Output tables'!$A$27:$A$27</c:f>
              <c:strCache>
                <c:ptCount val="1"/>
                <c:pt idx="0">
                  <c:v>-</c:v>
                </c:pt>
              </c:strCache>
            </c:strRef>
          </c:tx>
          <c:cat>
            <c:numRef>
              <c:f>'Output tables'!$B$8:$AA$8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tables'!$B$27:$AA$27</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9"/>
          <c:order val="19"/>
          <c:tx>
            <c:strRef>
              <c:f>'Output tables'!$A$28:$A$28</c:f>
              <c:strCache>
                <c:ptCount val="1"/>
                <c:pt idx="0">
                  <c:v>Pumped storage</c:v>
                </c:pt>
              </c:strCache>
            </c:strRef>
          </c:tx>
          <c:cat>
            <c:numRef>
              <c:f>'Output tables'!$B$8:$AA$8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tables'!$B$28:$AA$28</c:f>
              <c:numCache>
                <c:formatCode>General</c:formatCode>
                <c:ptCount val="26"/>
                <c:pt idx="0">
                  <c:v>1.5799999999999998</c:v>
                </c:pt>
                <c:pt idx="1">
                  <c:v>1.5799999999999998</c:v>
                </c:pt>
                <c:pt idx="2">
                  <c:v>1.5799999999999998</c:v>
                </c:pt>
                <c:pt idx="3">
                  <c:v>1.5799999999999998</c:v>
                </c:pt>
                <c:pt idx="4">
                  <c:v>1.5799999999999998</c:v>
                </c:pt>
                <c:pt idx="5">
                  <c:v>1.5799999999999998</c:v>
                </c:pt>
                <c:pt idx="6">
                  <c:v>1.5799999999999998</c:v>
                </c:pt>
                <c:pt idx="7">
                  <c:v>1.5799999999999998</c:v>
                </c:pt>
                <c:pt idx="8">
                  <c:v>2.246</c:v>
                </c:pt>
                <c:pt idx="9">
                  <c:v>2.9119999999999999</c:v>
                </c:pt>
                <c:pt idx="10">
                  <c:v>2.9119999999999999</c:v>
                </c:pt>
                <c:pt idx="11">
                  <c:v>2.9119999999999999</c:v>
                </c:pt>
                <c:pt idx="12">
                  <c:v>2.9119999999999999</c:v>
                </c:pt>
                <c:pt idx="13">
                  <c:v>2.9119999999999999</c:v>
                </c:pt>
                <c:pt idx="14">
                  <c:v>2.9119999999999999</c:v>
                </c:pt>
                <c:pt idx="15">
                  <c:v>2.9119999999999999</c:v>
                </c:pt>
                <c:pt idx="16">
                  <c:v>2.9119999999999999</c:v>
                </c:pt>
                <c:pt idx="17">
                  <c:v>2.9119999999999999</c:v>
                </c:pt>
                <c:pt idx="18">
                  <c:v>2.9119999999999999</c:v>
                </c:pt>
                <c:pt idx="19">
                  <c:v>2.9119999999999999</c:v>
                </c:pt>
                <c:pt idx="20">
                  <c:v>2.9119999999999999</c:v>
                </c:pt>
                <c:pt idx="21">
                  <c:v>2.9119999999999999</c:v>
                </c:pt>
                <c:pt idx="22">
                  <c:v>2.9119999999999999</c:v>
                </c:pt>
                <c:pt idx="23">
                  <c:v>2.9119999999999999</c:v>
                </c:pt>
                <c:pt idx="24">
                  <c:v>2.9119999999999999</c:v>
                </c:pt>
                <c:pt idx="25">
                  <c:v>2.9119999999999999</c:v>
                </c:pt>
              </c:numCache>
            </c:numRef>
          </c:val>
        </c:ser>
        <c:axId val="111359488"/>
        <c:axId val="111361024"/>
      </c:areaChart>
      <c:catAx>
        <c:axId val="111359488"/>
        <c:scaling>
          <c:orientation val="minMax"/>
        </c:scaling>
        <c:axPos val="b"/>
        <c:numFmt formatCode="General" sourceLinked="1"/>
        <c:tickLblPos val="nextTo"/>
        <c:txPr>
          <a:bodyPr rot="-5400000" vert="horz"/>
          <a:lstStyle/>
          <a:p>
            <a:pPr>
              <a:defRPr lang="en-ZA" sz="1000" b="0" i="0" u="none" strike="noStrike" baseline="0">
                <a:solidFill>
                  <a:srgbClr val="000000"/>
                </a:solidFill>
                <a:latin typeface="Calibri"/>
                <a:ea typeface="Calibri"/>
                <a:cs typeface="Calibri"/>
              </a:defRPr>
            </a:pPr>
            <a:endParaRPr lang="en-US"/>
          </a:p>
        </c:txPr>
        <c:crossAx val="111361024"/>
        <c:crosses val="autoZero"/>
        <c:auto val="1"/>
        <c:lblAlgn val="ctr"/>
        <c:lblOffset val="100"/>
      </c:catAx>
      <c:valAx>
        <c:axId val="111361024"/>
        <c:scaling>
          <c:orientation val="minMax"/>
        </c:scaling>
        <c:axPos val="l"/>
        <c:majorGridlines/>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1359488"/>
        <c:crosses val="autoZero"/>
        <c:crossBetween val="midCat"/>
      </c:valAx>
    </c:plotArea>
    <c:legend>
      <c:legendPos val="b"/>
      <c:layout>
        <c:manualLayout>
          <c:xMode val="edge"/>
          <c:yMode val="edge"/>
          <c:x val="1.4082174307650812E-2"/>
          <c:y val="0.59438167316464086"/>
          <c:w val="0.95688218411950843"/>
          <c:h val="0.38229493158015448"/>
        </c:manualLayout>
      </c:layout>
      <c:txPr>
        <a:bodyPr/>
        <a:lstStyle/>
        <a:p>
          <a:pPr>
            <a:defRPr lang="en-ZA" sz="845" b="0" i="0" u="none" strike="noStrike" baseline="0">
              <a:solidFill>
                <a:srgbClr val="000000"/>
              </a:solidFill>
              <a:latin typeface="Calibri"/>
              <a:ea typeface="Calibri"/>
              <a:cs typeface="Calibri"/>
            </a:defRPr>
          </a:pPr>
          <a:endParaRPr lang="en-US"/>
        </a:p>
      </c:txPr>
    </c:legend>
    <c:plotVisOnly val="1"/>
    <c:dispBlanksAs val="zero"/>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189" l="0.70000000000000062" r="0.70000000000000062" t="0.75000000000000189" header="0.30000000000000032" footer="0.30000000000000032"/>
    <c:pageSetup/>
  </c:printSettings>
</c:chartSpace>
</file>

<file path=xl/charts/chart89.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8.4488407699037621E-2"/>
          <c:y val="2.760940596711137E-2"/>
          <c:w val="0.8644472244707756"/>
          <c:h val="0.45186173330275614"/>
        </c:manualLayout>
      </c:layout>
      <c:areaChart>
        <c:grouping val="stacked"/>
        <c:ser>
          <c:idx val="0"/>
          <c:order val="0"/>
          <c:tx>
            <c:strRef>
              <c:f>'Output tables'!$A$9:$A$9</c:f>
              <c:strCache>
                <c:ptCount val="1"/>
                <c:pt idx="0">
                  <c:v>Existing coal Large</c:v>
                </c:pt>
              </c:strCache>
            </c:strRef>
          </c:tx>
          <c:cat>
            <c:numRef>
              <c:f>'Output tables'!$AP$8:$BO$8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tables'!$AP$9:$BO$9</c:f>
              <c:numCache>
                <c:formatCode>General</c:formatCode>
                <c:ptCount val="26"/>
                <c:pt idx="0">
                  <c:v>30.471</c:v>
                </c:pt>
                <c:pt idx="1">
                  <c:v>30.471</c:v>
                </c:pt>
                <c:pt idx="2">
                  <c:v>30.471</c:v>
                </c:pt>
                <c:pt idx="3">
                  <c:v>30.471</c:v>
                </c:pt>
                <c:pt idx="4">
                  <c:v>30.471</c:v>
                </c:pt>
                <c:pt idx="5">
                  <c:v>30.471</c:v>
                </c:pt>
                <c:pt idx="6">
                  <c:v>30.471</c:v>
                </c:pt>
                <c:pt idx="7">
                  <c:v>30.471</c:v>
                </c:pt>
                <c:pt idx="8">
                  <c:v>30.471</c:v>
                </c:pt>
                <c:pt idx="9">
                  <c:v>30.471</c:v>
                </c:pt>
                <c:pt idx="10">
                  <c:v>30.471</c:v>
                </c:pt>
                <c:pt idx="11">
                  <c:v>30.471</c:v>
                </c:pt>
                <c:pt idx="12">
                  <c:v>30.471</c:v>
                </c:pt>
                <c:pt idx="13">
                  <c:v>30.471</c:v>
                </c:pt>
                <c:pt idx="14">
                  <c:v>30.471</c:v>
                </c:pt>
                <c:pt idx="15">
                  <c:v>30.471</c:v>
                </c:pt>
                <c:pt idx="16">
                  <c:v>30.471</c:v>
                </c:pt>
                <c:pt idx="17">
                  <c:v>30.471</c:v>
                </c:pt>
                <c:pt idx="18">
                  <c:v>30.471</c:v>
                </c:pt>
                <c:pt idx="19">
                  <c:v>29.331</c:v>
                </c:pt>
                <c:pt idx="20">
                  <c:v>28.190999999999999</c:v>
                </c:pt>
                <c:pt idx="21">
                  <c:v>26.765999999999998</c:v>
                </c:pt>
                <c:pt idx="22">
                  <c:v>25.340999999999998</c:v>
                </c:pt>
                <c:pt idx="23">
                  <c:v>23.615999999999996</c:v>
                </c:pt>
                <c:pt idx="24">
                  <c:v>20.165999999999997</c:v>
                </c:pt>
                <c:pt idx="25">
                  <c:v>18.440999999999995</c:v>
                </c:pt>
              </c:numCache>
            </c:numRef>
          </c:val>
        </c:ser>
        <c:ser>
          <c:idx val="1"/>
          <c:order val="1"/>
          <c:tx>
            <c:strRef>
              <c:f>'Output tables'!$A$10:$A$10</c:f>
              <c:strCache>
                <c:ptCount val="1"/>
                <c:pt idx="0">
                  <c:v>Existing coal Small</c:v>
                </c:pt>
              </c:strCache>
            </c:strRef>
          </c:tx>
          <c:cat>
            <c:numRef>
              <c:f>'Output tables'!$AP$8:$BO$8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tables'!$AP$10:$BO$10</c:f>
              <c:numCache>
                <c:formatCode>General</c:formatCode>
                <c:ptCount val="26"/>
                <c:pt idx="0">
                  <c:v>5.434444444444444</c:v>
                </c:pt>
                <c:pt idx="1">
                  <c:v>5.434444444444444</c:v>
                </c:pt>
                <c:pt idx="2">
                  <c:v>5.434444444444444</c:v>
                </c:pt>
                <c:pt idx="3">
                  <c:v>5.434444444444444</c:v>
                </c:pt>
                <c:pt idx="4">
                  <c:v>5.434444444444444</c:v>
                </c:pt>
                <c:pt idx="5">
                  <c:v>6.1174444444444438</c:v>
                </c:pt>
                <c:pt idx="6">
                  <c:v>6.5214444444444437</c:v>
                </c:pt>
                <c:pt idx="7">
                  <c:v>6.5214444444444437</c:v>
                </c:pt>
                <c:pt idx="8">
                  <c:v>6.5214444444444437</c:v>
                </c:pt>
                <c:pt idx="9">
                  <c:v>6.5214444444444437</c:v>
                </c:pt>
                <c:pt idx="10">
                  <c:v>6.5214444444444437</c:v>
                </c:pt>
                <c:pt idx="11">
                  <c:v>6.4839444444444441</c:v>
                </c:pt>
                <c:pt idx="12">
                  <c:v>6.4464444444444444</c:v>
                </c:pt>
                <c:pt idx="13">
                  <c:v>6.3964444444444446</c:v>
                </c:pt>
                <c:pt idx="14">
                  <c:v>6.3464444444444448</c:v>
                </c:pt>
                <c:pt idx="15">
                  <c:v>5.3964444444444446</c:v>
                </c:pt>
                <c:pt idx="16">
                  <c:v>4.4464444444444444</c:v>
                </c:pt>
                <c:pt idx="17">
                  <c:v>4.4464444444444444</c:v>
                </c:pt>
                <c:pt idx="18">
                  <c:v>4.4464444444444444</c:v>
                </c:pt>
                <c:pt idx="19">
                  <c:v>4.4464444444444444</c:v>
                </c:pt>
                <c:pt idx="20">
                  <c:v>4.0087222222222225</c:v>
                </c:pt>
                <c:pt idx="21">
                  <c:v>3.5710000000000002</c:v>
                </c:pt>
                <c:pt idx="22">
                  <c:v>3.5710000000000002</c:v>
                </c:pt>
                <c:pt idx="23">
                  <c:v>3.5710000000000002</c:v>
                </c:pt>
                <c:pt idx="24">
                  <c:v>3.5710000000000002</c:v>
                </c:pt>
                <c:pt idx="25">
                  <c:v>3.5710000000000002</c:v>
                </c:pt>
              </c:numCache>
            </c:numRef>
          </c:val>
        </c:ser>
        <c:ser>
          <c:idx val="2"/>
          <c:order val="2"/>
          <c:tx>
            <c:strRef>
              <c:f>'Output tables'!$A$11:$A$11</c:f>
              <c:strCache>
                <c:ptCount val="1"/>
                <c:pt idx="0">
                  <c:v>OCGT liquid fuels</c:v>
                </c:pt>
              </c:strCache>
            </c:strRef>
          </c:tx>
          <c:cat>
            <c:numRef>
              <c:f>'Output tables'!$AP$8:$BO$8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tables'!$AP$11:$BO$11</c:f>
              <c:numCache>
                <c:formatCode>General</c:formatCode>
                <c:ptCount val="26"/>
                <c:pt idx="0">
                  <c:v>2.4</c:v>
                </c:pt>
                <c:pt idx="1">
                  <c:v>2.4</c:v>
                </c:pt>
                <c:pt idx="2">
                  <c:v>2.4</c:v>
                </c:pt>
                <c:pt idx="3">
                  <c:v>2.4</c:v>
                </c:pt>
                <c:pt idx="4">
                  <c:v>2.4</c:v>
                </c:pt>
                <c:pt idx="5">
                  <c:v>2.4</c:v>
                </c:pt>
                <c:pt idx="6">
                  <c:v>3.48</c:v>
                </c:pt>
                <c:pt idx="7">
                  <c:v>3.48</c:v>
                </c:pt>
                <c:pt idx="8">
                  <c:v>3.48</c:v>
                </c:pt>
                <c:pt idx="9">
                  <c:v>3.48</c:v>
                </c:pt>
                <c:pt idx="10">
                  <c:v>3.48</c:v>
                </c:pt>
                <c:pt idx="11">
                  <c:v>3.48</c:v>
                </c:pt>
                <c:pt idx="12">
                  <c:v>3.48</c:v>
                </c:pt>
                <c:pt idx="13">
                  <c:v>3.48</c:v>
                </c:pt>
                <c:pt idx="14">
                  <c:v>3.48</c:v>
                </c:pt>
                <c:pt idx="15">
                  <c:v>3.48</c:v>
                </c:pt>
                <c:pt idx="16">
                  <c:v>3.48</c:v>
                </c:pt>
                <c:pt idx="17">
                  <c:v>3.48</c:v>
                </c:pt>
                <c:pt idx="18">
                  <c:v>3.48</c:v>
                </c:pt>
                <c:pt idx="19">
                  <c:v>3.48</c:v>
                </c:pt>
                <c:pt idx="20">
                  <c:v>3.48</c:v>
                </c:pt>
                <c:pt idx="21">
                  <c:v>4.2</c:v>
                </c:pt>
                <c:pt idx="22">
                  <c:v>4.2</c:v>
                </c:pt>
                <c:pt idx="23">
                  <c:v>4.2</c:v>
                </c:pt>
                <c:pt idx="24">
                  <c:v>5.16</c:v>
                </c:pt>
                <c:pt idx="25">
                  <c:v>5.9489999999999998</c:v>
                </c:pt>
              </c:numCache>
            </c:numRef>
          </c:val>
        </c:ser>
        <c:ser>
          <c:idx val="3"/>
          <c:order val="3"/>
          <c:tx>
            <c:strRef>
              <c:f>'Output tables'!$A$12:$A$12</c:f>
              <c:strCache>
                <c:ptCount val="1"/>
                <c:pt idx="0">
                  <c:v>PWR nuclear</c:v>
                </c:pt>
              </c:strCache>
            </c:strRef>
          </c:tx>
          <c:cat>
            <c:numRef>
              <c:f>'Output tables'!$AP$8:$BO$8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tables'!$AP$12:$BO$12</c:f>
              <c:numCache>
                <c:formatCode>General</c:formatCode>
                <c:ptCount val="26"/>
                <c:pt idx="0">
                  <c:v>1.8</c:v>
                </c:pt>
                <c:pt idx="1">
                  <c:v>1.8</c:v>
                </c:pt>
                <c:pt idx="2">
                  <c:v>1.8</c:v>
                </c:pt>
                <c:pt idx="3">
                  <c:v>1.8</c:v>
                </c:pt>
                <c:pt idx="4">
                  <c:v>1.8</c:v>
                </c:pt>
                <c:pt idx="5">
                  <c:v>1.8</c:v>
                </c:pt>
                <c:pt idx="6">
                  <c:v>1.8</c:v>
                </c:pt>
                <c:pt idx="7">
                  <c:v>1.8</c:v>
                </c:pt>
                <c:pt idx="8">
                  <c:v>1.8</c:v>
                </c:pt>
                <c:pt idx="9">
                  <c:v>1.8</c:v>
                </c:pt>
                <c:pt idx="10">
                  <c:v>1.8</c:v>
                </c:pt>
                <c:pt idx="11">
                  <c:v>1.8</c:v>
                </c:pt>
                <c:pt idx="12">
                  <c:v>1.8</c:v>
                </c:pt>
                <c:pt idx="13">
                  <c:v>1.8</c:v>
                </c:pt>
                <c:pt idx="14">
                  <c:v>1.8</c:v>
                </c:pt>
                <c:pt idx="15">
                  <c:v>1.8</c:v>
                </c:pt>
                <c:pt idx="16">
                  <c:v>1.8</c:v>
                </c:pt>
                <c:pt idx="17">
                  <c:v>1.8</c:v>
                </c:pt>
                <c:pt idx="18">
                  <c:v>1.8</c:v>
                </c:pt>
                <c:pt idx="19">
                  <c:v>1.8</c:v>
                </c:pt>
                <c:pt idx="20">
                  <c:v>1.8</c:v>
                </c:pt>
                <c:pt idx="21">
                  <c:v>1.8</c:v>
                </c:pt>
                <c:pt idx="22">
                  <c:v>1.8</c:v>
                </c:pt>
                <c:pt idx="23">
                  <c:v>1.8</c:v>
                </c:pt>
                <c:pt idx="24">
                  <c:v>1.8</c:v>
                </c:pt>
                <c:pt idx="25">
                  <c:v>1.8</c:v>
                </c:pt>
              </c:numCache>
            </c:numRef>
          </c:val>
        </c:ser>
        <c:ser>
          <c:idx val="4"/>
          <c:order val="4"/>
          <c:tx>
            <c:strRef>
              <c:f>'Output tables'!$A$13:$A$13</c:f>
              <c:strCache>
                <c:ptCount val="1"/>
                <c:pt idx="0">
                  <c:v>Hydro</c:v>
                </c:pt>
              </c:strCache>
            </c:strRef>
          </c:tx>
          <c:cat>
            <c:numRef>
              <c:f>'Output tables'!$AP$8:$BO$8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tables'!$AP$13:$BO$13</c:f>
              <c:numCache>
                <c:formatCode>General</c:formatCode>
                <c:ptCount val="26"/>
                <c:pt idx="0">
                  <c:v>0.66500000000000004</c:v>
                </c:pt>
                <c:pt idx="1">
                  <c:v>0.66500000000000004</c:v>
                </c:pt>
                <c:pt idx="2">
                  <c:v>0.66500000000000004</c:v>
                </c:pt>
                <c:pt idx="3">
                  <c:v>0.66500000000000004</c:v>
                </c:pt>
                <c:pt idx="4">
                  <c:v>0.66500000000000004</c:v>
                </c:pt>
                <c:pt idx="5">
                  <c:v>0.66500000000000004</c:v>
                </c:pt>
                <c:pt idx="6">
                  <c:v>0.66500000000000004</c:v>
                </c:pt>
                <c:pt idx="7">
                  <c:v>0.66500000000000004</c:v>
                </c:pt>
                <c:pt idx="8">
                  <c:v>0.66500000000000004</c:v>
                </c:pt>
                <c:pt idx="9">
                  <c:v>0.66500000000000004</c:v>
                </c:pt>
                <c:pt idx="10">
                  <c:v>0.66500000000000004</c:v>
                </c:pt>
                <c:pt idx="11">
                  <c:v>0.66500000000000004</c:v>
                </c:pt>
                <c:pt idx="12">
                  <c:v>0.66500000000000004</c:v>
                </c:pt>
                <c:pt idx="13">
                  <c:v>0.66500000000000004</c:v>
                </c:pt>
                <c:pt idx="14">
                  <c:v>0.66500000000000004</c:v>
                </c:pt>
                <c:pt idx="15">
                  <c:v>0.66500000000000004</c:v>
                </c:pt>
                <c:pt idx="16">
                  <c:v>0.66500000000000004</c:v>
                </c:pt>
                <c:pt idx="17">
                  <c:v>0.66500000000000004</c:v>
                </c:pt>
                <c:pt idx="18">
                  <c:v>0.66500000000000004</c:v>
                </c:pt>
                <c:pt idx="19">
                  <c:v>0.66500000000000004</c:v>
                </c:pt>
                <c:pt idx="20">
                  <c:v>0.66500000000000004</c:v>
                </c:pt>
                <c:pt idx="21">
                  <c:v>0.66500000000000004</c:v>
                </c:pt>
                <c:pt idx="22">
                  <c:v>0.66500000000000004</c:v>
                </c:pt>
                <c:pt idx="23">
                  <c:v>0.66500000000000004</c:v>
                </c:pt>
                <c:pt idx="24">
                  <c:v>0.66500000000000004</c:v>
                </c:pt>
                <c:pt idx="25">
                  <c:v>0.66500000000000004</c:v>
                </c:pt>
              </c:numCache>
            </c:numRef>
          </c:val>
        </c:ser>
        <c:ser>
          <c:idx val="5"/>
          <c:order val="5"/>
          <c:tx>
            <c:strRef>
              <c:f>'Output tables'!$A$14:$A$14</c:f>
              <c:strCache>
                <c:ptCount val="1"/>
                <c:pt idx="0">
                  <c:v>Landfill gas</c:v>
                </c:pt>
              </c:strCache>
            </c:strRef>
          </c:tx>
          <c:cat>
            <c:numRef>
              <c:f>'Output tables'!$AP$8:$BO$8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tables'!$AP$14:$BO$14</c:f>
              <c:numCache>
                <c:formatCode>General</c:formatCode>
                <c:ptCount val="26"/>
                <c:pt idx="0">
                  <c:v>7.0000000000000007E-2</c:v>
                </c:pt>
                <c:pt idx="1">
                  <c:v>7.0000000000000007E-2</c:v>
                </c:pt>
                <c:pt idx="2">
                  <c:v>7.0000000000000007E-2</c:v>
                </c:pt>
                <c:pt idx="3">
                  <c:v>7.0000000000000007E-2</c:v>
                </c:pt>
                <c:pt idx="4">
                  <c:v>7.0000000000000007E-2</c:v>
                </c:pt>
                <c:pt idx="5">
                  <c:v>7.0000000000000007E-2</c:v>
                </c:pt>
                <c:pt idx="6">
                  <c:v>7.0000000000000007E-2</c:v>
                </c:pt>
                <c:pt idx="7">
                  <c:v>7.0000000000000007E-2</c:v>
                </c:pt>
                <c:pt idx="8">
                  <c:v>7.0000000000000007E-2</c:v>
                </c:pt>
                <c:pt idx="9">
                  <c:v>7.0000000000000007E-2</c:v>
                </c:pt>
                <c:pt idx="10">
                  <c:v>7.0000000000000007E-2</c:v>
                </c:pt>
                <c:pt idx="11">
                  <c:v>7.0000000000000007E-2</c:v>
                </c:pt>
                <c:pt idx="12">
                  <c:v>7.0000000000000007E-2</c:v>
                </c:pt>
                <c:pt idx="13">
                  <c:v>7.0000000000000007E-2</c:v>
                </c:pt>
                <c:pt idx="14">
                  <c:v>7.0000000000000007E-2</c:v>
                </c:pt>
                <c:pt idx="15">
                  <c:v>7.0000000000000007E-2</c:v>
                </c:pt>
                <c:pt idx="16">
                  <c:v>7.0000000000000007E-2</c:v>
                </c:pt>
                <c:pt idx="17">
                  <c:v>7.0000000000000007E-2</c:v>
                </c:pt>
                <c:pt idx="18">
                  <c:v>7.0000000000000007E-2</c:v>
                </c:pt>
                <c:pt idx="19">
                  <c:v>7.0000000000000007E-2</c:v>
                </c:pt>
                <c:pt idx="20">
                  <c:v>7.0000000000000007E-2</c:v>
                </c:pt>
                <c:pt idx="21">
                  <c:v>7.0000000000000007E-2</c:v>
                </c:pt>
                <c:pt idx="22">
                  <c:v>7.0000000000000007E-2</c:v>
                </c:pt>
                <c:pt idx="23">
                  <c:v>7.0000000000000007E-2</c:v>
                </c:pt>
                <c:pt idx="24">
                  <c:v>7.0000000000000007E-2</c:v>
                </c:pt>
                <c:pt idx="25">
                  <c:v>7.0000000000000007E-2</c:v>
                </c:pt>
              </c:numCache>
            </c:numRef>
          </c:val>
        </c:ser>
        <c:ser>
          <c:idx val="6"/>
          <c:order val="6"/>
          <c:tx>
            <c:strRef>
              <c:f>'Output tables'!$A$15:$A$15</c:f>
              <c:strCache>
                <c:ptCount val="1"/>
                <c:pt idx="0">
                  <c:v>Biomass</c:v>
                </c:pt>
              </c:strCache>
            </c:strRef>
          </c:tx>
          <c:cat>
            <c:numRef>
              <c:f>'Output tables'!$AP$8:$BO$8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tables'!$AP$15:$BO$15</c:f>
              <c:numCache>
                <c:formatCode>General</c:formatCode>
                <c:ptCount val="26"/>
                <c:pt idx="0">
                  <c:v>0.19</c:v>
                </c:pt>
                <c:pt idx="1">
                  <c:v>0.19</c:v>
                </c:pt>
                <c:pt idx="2">
                  <c:v>0.19</c:v>
                </c:pt>
                <c:pt idx="3">
                  <c:v>0.19</c:v>
                </c:pt>
                <c:pt idx="4">
                  <c:v>0.19</c:v>
                </c:pt>
                <c:pt idx="5">
                  <c:v>0.19</c:v>
                </c:pt>
                <c:pt idx="6">
                  <c:v>0.19</c:v>
                </c:pt>
                <c:pt idx="7">
                  <c:v>0.19</c:v>
                </c:pt>
                <c:pt idx="8">
                  <c:v>0.19</c:v>
                </c:pt>
                <c:pt idx="9">
                  <c:v>0.19</c:v>
                </c:pt>
                <c:pt idx="10">
                  <c:v>0.19</c:v>
                </c:pt>
                <c:pt idx="11">
                  <c:v>0.19</c:v>
                </c:pt>
                <c:pt idx="12">
                  <c:v>0.19</c:v>
                </c:pt>
                <c:pt idx="13">
                  <c:v>0.19</c:v>
                </c:pt>
                <c:pt idx="14">
                  <c:v>0.19</c:v>
                </c:pt>
                <c:pt idx="15">
                  <c:v>0.19</c:v>
                </c:pt>
                <c:pt idx="16">
                  <c:v>0.19</c:v>
                </c:pt>
                <c:pt idx="17">
                  <c:v>0.19</c:v>
                </c:pt>
                <c:pt idx="18">
                  <c:v>0.19</c:v>
                </c:pt>
                <c:pt idx="19">
                  <c:v>0.19</c:v>
                </c:pt>
                <c:pt idx="20">
                  <c:v>0.19</c:v>
                </c:pt>
                <c:pt idx="21">
                  <c:v>0.19</c:v>
                </c:pt>
                <c:pt idx="22">
                  <c:v>0.19</c:v>
                </c:pt>
                <c:pt idx="23">
                  <c:v>0.19</c:v>
                </c:pt>
                <c:pt idx="24">
                  <c:v>0.19</c:v>
                </c:pt>
                <c:pt idx="25">
                  <c:v>0.19</c:v>
                </c:pt>
              </c:numCache>
            </c:numRef>
          </c:val>
        </c:ser>
        <c:ser>
          <c:idx val="7"/>
          <c:order val="7"/>
          <c:tx>
            <c:strRef>
              <c:f>'Output tables'!$A$16:$A$16</c:f>
              <c:strCache>
                <c:ptCount val="1"/>
                <c:pt idx="0">
                  <c:v>Supercritical coal</c:v>
                </c:pt>
              </c:strCache>
            </c:strRef>
          </c:tx>
          <c:cat>
            <c:numRef>
              <c:f>'Output tables'!$AP$8:$BO$8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tables'!$AP$16:$BO$16</c:f>
              <c:numCache>
                <c:formatCode>General</c:formatCode>
                <c:ptCount val="26"/>
                <c:pt idx="0">
                  <c:v>0</c:v>
                </c:pt>
                <c:pt idx="1">
                  <c:v>0</c:v>
                </c:pt>
                <c:pt idx="2">
                  <c:v>0</c:v>
                </c:pt>
                <c:pt idx="3">
                  <c:v>0</c:v>
                </c:pt>
                <c:pt idx="4">
                  <c:v>0</c:v>
                </c:pt>
                <c:pt idx="5">
                  <c:v>0</c:v>
                </c:pt>
                <c:pt idx="6">
                  <c:v>0</c:v>
                </c:pt>
                <c:pt idx="7">
                  <c:v>0.79400000000000004</c:v>
                </c:pt>
                <c:pt idx="8">
                  <c:v>2.3820000000000001</c:v>
                </c:pt>
                <c:pt idx="9">
                  <c:v>4.7640000000000002</c:v>
                </c:pt>
                <c:pt idx="10">
                  <c:v>7.1460000000000008</c:v>
                </c:pt>
                <c:pt idx="11">
                  <c:v>8.7340000000000018</c:v>
                </c:pt>
                <c:pt idx="12">
                  <c:v>9.5280000000000022</c:v>
                </c:pt>
                <c:pt idx="13">
                  <c:v>9.5280000000000022</c:v>
                </c:pt>
                <c:pt idx="14">
                  <c:v>9.5280000000000022</c:v>
                </c:pt>
                <c:pt idx="15">
                  <c:v>9.5280000000000022</c:v>
                </c:pt>
                <c:pt idx="16">
                  <c:v>9.5280000000000022</c:v>
                </c:pt>
                <c:pt idx="17">
                  <c:v>9.5280000000000022</c:v>
                </c:pt>
                <c:pt idx="18">
                  <c:v>9.5280000000000022</c:v>
                </c:pt>
                <c:pt idx="19">
                  <c:v>9.5280000000000022</c:v>
                </c:pt>
                <c:pt idx="20">
                  <c:v>9.5280000000000022</c:v>
                </c:pt>
                <c:pt idx="21">
                  <c:v>9.5280000000000022</c:v>
                </c:pt>
                <c:pt idx="22">
                  <c:v>9.5280000000000022</c:v>
                </c:pt>
                <c:pt idx="23">
                  <c:v>9.5280000000000022</c:v>
                </c:pt>
                <c:pt idx="24">
                  <c:v>9.5280000000000022</c:v>
                </c:pt>
                <c:pt idx="25">
                  <c:v>9.5280000000000022</c:v>
                </c:pt>
              </c:numCache>
            </c:numRef>
          </c:val>
        </c:ser>
        <c:ser>
          <c:idx val="8"/>
          <c:order val="8"/>
          <c:tx>
            <c:strRef>
              <c:f>'Output tables'!$A$17:$A$17</c:f>
              <c:strCache>
                <c:ptCount val="1"/>
                <c:pt idx="0">
                  <c:v>Wind 30% </c:v>
                </c:pt>
              </c:strCache>
            </c:strRef>
          </c:tx>
          <c:cat>
            <c:numRef>
              <c:f>'Output tables'!$AP$8:$BO$8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tables'!$AP$17:$BO$17</c:f>
              <c:numCache>
                <c:formatCode>General</c:formatCode>
                <c:ptCount val="26"/>
                <c:pt idx="0">
                  <c:v>0</c:v>
                </c:pt>
                <c:pt idx="1">
                  <c:v>0</c:v>
                </c:pt>
                <c:pt idx="2">
                  <c:v>0</c:v>
                </c:pt>
                <c:pt idx="3">
                  <c:v>0</c:v>
                </c:pt>
                <c:pt idx="4">
                  <c:v>0</c:v>
                </c:pt>
                <c:pt idx="5">
                  <c:v>0.1</c:v>
                </c:pt>
                <c:pt idx="6">
                  <c:v>0.30000000000000004</c:v>
                </c:pt>
                <c:pt idx="7">
                  <c:v>0.5</c:v>
                </c:pt>
                <c:pt idx="8">
                  <c:v>0.9</c:v>
                </c:pt>
                <c:pt idx="9">
                  <c:v>1.3</c:v>
                </c:pt>
                <c:pt idx="10">
                  <c:v>2.1</c:v>
                </c:pt>
                <c:pt idx="11">
                  <c:v>2.9000000000000004</c:v>
                </c:pt>
                <c:pt idx="12">
                  <c:v>3.9000000000000004</c:v>
                </c:pt>
                <c:pt idx="13">
                  <c:v>4.9000000000000004</c:v>
                </c:pt>
                <c:pt idx="14">
                  <c:v>6.4</c:v>
                </c:pt>
                <c:pt idx="15">
                  <c:v>7.9</c:v>
                </c:pt>
                <c:pt idx="16">
                  <c:v>9.9</c:v>
                </c:pt>
                <c:pt idx="17">
                  <c:v>9.9</c:v>
                </c:pt>
                <c:pt idx="18">
                  <c:v>9.9</c:v>
                </c:pt>
                <c:pt idx="19">
                  <c:v>9.9</c:v>
                </c:pt>
                <c:pt idx="20">
                  <c:v>9.9</c:v>
                </c:pt>
                <c:pt idx="21">
                  <c:v>9.9</c:v>
                </c:pt>
                <c:pt idx="22">
                  <c:v>9.9</c:v>
                </c:pt>
                <c:pt idx="23">
                  <c:v>9.9</c:v>
                </c:pt>
                <c:pt idx="24">
                  <c:v>9.9</c:v>
                </c:pt>
                <c:pt idx="25">
                  <c:v>9.8000000000000007</c:v>
                </c:pt>
              </c:numCache>
            </c:numRef>
          </c:val>
        </c:ser>
        <c:ser>
          <c:idx val="9"/>
          <c:order val="9"/>
          <c:tx>
            <c:strRef>
              <c:f>'Output tables'!$A$18:$A$18</c:f>
              <c:strCache>
                <c:ptCount val="1"/>
                <c:pt idx="0">
                  <c:v>Wind 25%</c:v>
                </c:pt>
              </c:strCache>
            </c:strRef>
          </c:tx>
          <c:cat>
            <c:numRef>
              <c:f>'Output tables'!$AP$8:$BO$8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tables'!$AP$18:$BO$18</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1</c:v>
                </c:pt>
                <c:pt idx="18">
                  <c:v>2</c:v>
                </c:pt>
                <c:pt idx="19">
                  <c:v>3</c:v>
                </c:pt>
                <c:pt idx="20">
                  <c:v>4</c:v>
                </c:pt>
                <c:pt idx="21">
                  <c:v>5</c:v>
                </c:pt>
                <c:pt idx="22">
                  <c:v>6</c:v>
                </c:pt>
                <c:pt idx="23">
                  <c:v>7</c:v>
                </c:pt>
                <c:pt idx="24">
                  <c:v>8</c:v>
                </c:pt>
                <c:pt idx="25">
                  <c:v>9</c:v>
                </c:pt>
              </c:numCache>
            </c:numRef>
          </c:val>
        </c:ser>
        <c:ser>
          <c:idx val="10"/>
          <c:order val="10"/>
          <c:tx>
            <c:strRef>
              <c:f>'Output tables'!$A$19:$A$19</c:f>
              <c:strCache>
                <c:ptCount val="1"/>
                <c:pt idx="0">
                  <c:v>solar thermal central reciever</c:v>
                </c:pt>
              </c:strCache>
            </c:strRef>
          </c:tx>
          <c:cat>
            <c:numRef>
              <c:f>'Output tables'!$AP$8:$BO$8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tables'!$AP$19:$BO$19</c:f>
              <c:numCache>
                <c:formatCode>General</c:formatCode>
                <c:ptCount val="26"/>
                <c:pt idx="0">
                  <c:v>0</c:v>
                </c:pt>
                <c:pt idx="1">
                  <c:v>0</c:v>
                </c:pt>
                <c:pt idx="2">
                  <c:v>0</c:v>
                </c:pt>
                <c:pt idx="3">
                  <c:v>0</c:v>
                </c:pt>
                <c:pt idx="4">
                  <c:v>0</c:v>
                </c:pt>
                <c:pt idx="5">
                  <c:v>0</c:v>
                </c:pt>
                <c:pt idx="6">
                  <c:v>0</c:v>
                </c:pt>
                <c:pt idx="7">
                  <c:v>0</c:v>
                </c:pt>
                <c:pt idx="8">
                  <c:v>0</c:v>
                </c:pt>
                <c:pt idx="9">
                  <c:v>0</c:v>
                </c:pt>
                <c:pt idx="10">
                  <c:v>0.1</c:v>
                </c:pt>
                <c:pt idx="11">
                  <c:v>0.30000000000000004</c:v>
                </c:pt>
                <c:pt idx="12">
                  <c:v>0.70000000000000007</c:v>
                </c:pt>
                <c:pt idx="13">
                  <c:v>1.5</c:v>
                </c:pt>
                <c:pt idx="14">
                  <c:v>2.7</c:v>
                </c:pt>
                <c:pt idx="15">
                  <c:v>4.3000000000000007</c:v>
                </c:pt>
                <c:pt idx="16">
                  <c:v>6.3000000000000007</c:v>
                </c:pt>
                <c:pt idx="17">
                  <c:v>8.3000000000000007</c:v>
                </c:pt>
                <c:pt idx="18">
                  <c:v>11.3</c:v>
                </c:pt>
                <c:pt idx="19">
                  <c:v>14.3</c:v>
                </c:pt>
                <c:pt idx="20">
                  <c:v>17.3</c:v>
                </c:pt>
                <c:pt idx="21">
                  <c:v>20.3</c:v>
                </c:pt>
                <c:pt idx="22">
                  <c:v>23.3</c:v>
                </c:pt>
                <c:pt idx="23">
                  <c:v>26.3</c:v>
                </c:pt>
                <c:pt idx="24">
                  <c:v>29.3</c:v>
                </c:pt>
                <c:pt idx="25">
                  <c:v>32.299999999999997</c:v>
                </c:pt>
              </c:numCache>
            </c:numRef>
          </c:val>
        </c:ser>
        <c:ser>
          <c:idx val="11"/>
          <c:order val="11"/>
          <c:tx>
            <c:strRef>
              <c:f>'Output tables'!$A$20:$A$20</c:f>
              <c:strCache>
                <c:ptCount val="1"/>
                <c:pt idx="0">
                  <c:v>solar thermal trough</c:v>
                </c:pt>
              </c:strCache>
            </c:strRef>
          </c:tx>
          <c:cat>
            <c:numRef>
              <c:f>'Output tables'!$AP$8:$BO$8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tables'!$AP$20:$BO$20</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2"/>
          <c:order val="12"/>
          <c:tx>
            <c:strRef>
              <c:f>'Output tables'!$A$21:$A$21</c:f>
              <c:strCache>
                <c:ptCount val="1"/>
                <c:pt idx="0">
                  <c:v>solar PV</c:v>
                </c:pt>
              </c:strCache>
            </c:strRef>
          </c:tx>
          <c:cat>
            <c:numRef>
              <c:f>'Output tables'!$AP$8:$BO$8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tables'!$AP$21:$BO$21</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3"/>
          <c:order val="13"/>
          <c:tx>
            <c:strRef>
              <c:f>'Output tables'!$A$22:$A$22</c:f>
              <c:strCache>
                <c:ptCount val="1"/>
                <c:pt idx="0">
                  <c:v>combined cycle gas</c:v>
                </c:pt>
              </c:strCache>
            </c:strRef>
          </c:tx>
          <c:cat>
            <c:numRef>
              <c:f>'Output tables'!$AP$8:$BO$8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tables'!$AP$22:$BO$22</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0.77400000000000002</c:v>
                </c:pt>
                <c:pt idx="23">
                  <c:v>1.9350000000000001</c:v>
                </c:pt>
                <c:pt idx="24">
                  <c:v>3.0960000000000001</c:v>
                </c:pt>
                <c:pt idx="25">
                  <c:v>3.0960000000000001</c:v>
                </c:pt>
              </c:numCache>
            </c:numRef>
          </c:val>
        </c:ser>
        <c:ser>
          <c:idx val="14"/>
          <c:order val="14"/>
          <c:tx>
            <c:strRef>
              <c:f>'Output tables'!$A$23:$A$23</c:f>
              <c:strCache>
                <c:ptCount val="1"/>
                <c:pt idx="0">
                  <c:v>PBMR</c:v>
                </c:pt>
              </c:strCache>
            </c:strRef>
          </c:tx>
          <c:cat>
            <c:numRef>
              <c:f>'Output tables'!$AP$8:$BO$8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tables'!$AP$23:$BO$23</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5"/>
          <c:order val="15"/>
          <c:tx>
            <c:strRef>
              <c:f>'Output tables'!$A$24:$A$24</c:f>
              <c:strCache>
                <c:ptCount val="1"/>
                <c:pt idx="0">
                  <c:v>IGCC</c:v>
                </c:pt>
              </c:strCache>
            </c:strRef>
          </c:tx>
          <c:cat>
            <c:numRef>
              <c:f>'Output tables'!$AP$8:$BO$8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tables'!$AP$24:$BO$24</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0.55000000000000004</c:v>
                </c:pt>
                <c:pt idx="25">
                  <c:v>1.1000000000000001</c:v>
                </c:pt>
              </c:numCache>
            </c:numRef>
          </c:val>
        </c:ser>
        <c:ser>
          <c:idx val="16"/>
          <c:order val="16"/>
          <c:tx>
            <c:strRef>
              <c:f>'Output tables'!$A$25:$A$25</c:f>
              <c:strCache>
                <c:ptCount val="1"/>
                <c:pt idx="0">
                  <c:v>-</c:v>
                </c:pt>
              </c:strCache>
            </c:strRef>
          </c:tx>
          <c:cat>
            <c:numRef>
              <c:f>'Output tables'!$AP$8:$BO$8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tables'!$AP$25:$BO$25</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7"/>
          <c:order val="17"/>
          <c:tx>
            <c:strRef>
              <c:f>'Output tables'!$A$26:$A$26</c:f>
              <c:strCache>
                <c:ptCount val="1"/>
                <c:pt idx="0">
                  <c:v>-</c:v>
                </c:pt>
              </c:strCache>
            </c:strRef>
          </c:tx>
          <c:cat>
            <c:numRef>
              <c:f>'Output tables'!$AP$8:$BO$8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tables'!$AP$26:$BO$26</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8"/>
          <c:order val="18"/>
          <c:tx>
            <c:strRef>
              <c:f>'Output tables'!$A$27:$A$27</c:f>
              <c:strCache>
                <c:ptCount val="1"/>
                <c:pt idx="0">
                  <c:v>-</c:v>
                </c:pt>
              </c:strCache>
            </c:strRef>
          </c:tx>
          <c:cat>
            <c:numRef>
              <c:f>'Output tables'!$AP$8:$BO$8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tables'!$AP$27:$BO$27</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9"/>
          <c:order val="19"/>
          <c:tx>
            <c:strRef>
              <c:f>'Output tables'!$A$28:$A$28</c:f>
              <c:strCache>
                <c:ptCount val="1"/>
                <c:pt idx="0">
                  <c:v>Pumped storage</c:v>
                </c:pt>
              </c:strCache>
            </c:strRef>
          </c:tx>
          <c:cat>
            <c:numRef>
              <c:f>'Output tables'!$AP$8:$BO$8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tables'!$AP$28:$BO$28</c:f>
              <c:numCache>
                <c:formatCode>General</c:formatCode>
                <c:ptCount val="26"/>
                <c:pt idx="0">
                  <c:v>1.5799999999999998</c:v>
                </c:pt>
                <c:pt idx="1">
                  <c:v>1.5799999999999998</c:v>
                </c:pt>
                <c:pt idx="2">
                  <c:v>1.5799999999999998</c:v>
                </c:pt>
                <c:pt idx="3">
                  <c:v>1.5799999999999998</c:v>
                </c:pt>
                <c:pt idx="4">
                  <c:v>1.5799999999999998</c:v>
                </c:pt>
                <c:pt idx="5">
                  <c:v>1.5799999999999998</c:v>
                </c:pt>
                <c:pt idx="6">
                  <c:v>1.5799999999999998</c:v>
                </c:pt>
                <c:pt idx="7">
                  <c:v>1.5799999999999998</c:v>
                </c:pt>
                <c:pt idx="8">
                  <c:v>2.246</c:v>
                </c:pt>
                <c:pt idx="9">
                  <c:v>2.9119999999999999</c:v>
                </c:pt>
                <c:pt idx="10">
                  <c:v>3.5779999999999998</c:v>
                </c:pt>
                <c:pt idx="11">
                  <c:v>4.2439999999999998</c:v>
                </c:pt>
                <c:pt idx="12">
                  <c:v>4.2439999999999998</c:v>
                </c:pt>
                <c:pt idx="13">
                  <c:v>4.2439999999999998</c:v>
                </c:pt>
                <c:pt idx="14">
                  <c:v>4.2439999999999998</c:v>
                </c:pt>
                <c:pt idx="15">
                  <c:v>4.2439999999999998</c:v>
                </c:pt>
                <c:pt idx="16">
                  <c:v>4.2439999999999998</c:v>
                </c:pt>
                <c:pt idx="17">
                  <c:v>4.2439999999999998</c:v>
                </c:pt>
                <c:pt idx="18">
                  <c:v>4.2439999999999998</c:v>
                </c:pt>
                <c:pt idx="19">
                  <c:v>4.2439999999999998</c:v>
                </c:pt>
                <c:pt idx="20">
                  <c:v>4.2439999999999998</c:v>
                </c:pt>
                <c:pt idx="21">
                  <c:v>4.2439999999999998</c:v>
                </c:pt>
                <c:pt idx="22">
                  <c:v>4.2439999999999998</c:v>
                </c:pt>
                <c:pt idx="23">
                  <c:v>4.2439999999999998</c:v>
                </c:pt>
                <c:pt idx="24">
                  <c:v>4.2439999999999998</c:v>
                </c:pt>
                <c:pt idx="25">
                  <c:v>4.2439999999999998</c:v>
                </c:pt>
              </c:numCache>
            </c:numRef>
          </c:val>
        </c:ser>
        <c:axId val="111490944"/>
        <c:axId val="111492480"/>
      </c:areaChart>
      <c:catAx>
        <c:axId val="111490944"/>
        <c:scaling>
          <c:orientation val="minMax"/>
        </c:scaling>
        <c:axPos val="b"/>
        <c:numFmt formatCode="General" sourceLinked="1"/>
        <c:tickLblPos val="nextTo"/>
        <c:txPr>
          <a:bodyPr rot="-5400000" vert="horz"/>
          <a:lstStyle/>
          <a:p>
            <a:pPr>
              <a:defRPr lang="en-ZA" sz="1000" b="0" i="0" u="none" strike="noStrike" baseline="0">
                <a:solidFill>
                  <a:srgbClr val="000000"/>
                </a:solidFill>
                <a:latin typeface="Calibri"/>
                <a:ea typeface="Calibri"/>
                <a:cs typeface="Calibri"/>
              </a:defRPr>
            </a:pPr>
            <a:endParaRPr lang="en-US"/>
          </a:p>
        </c:txPr>
        <c:crossAx val="111492480"/>
        <c:crosses val="autoZero"/>
        <c:auto val="1"/>
        <c:lblAlgn val="ctr"/>
        <c:lblOffset val="100"/>
      </c:catAx>
      <c:valAx>
        <c:axId val="111492480"/>
        <c:scaling>
          <c:orientation val="minMax"/>
        </c:scaling>
        <c:axPos val="l"/>
        <c:majorGridlines/>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1490944"/>
        <c:crosses val="autoZero"/>
        <c:crossBetween val="midCat"/>
      </c:valAx>
    </c:plotArea>
    <c:legend>
      <c:legendPos val="b"/>
      <c:layout>
        <c:manualLayout>
          <c:xMode val="edge"/>
          <c:yMode val="edge"/>
          <c:x val="1.4082174307650812E-2"/>
          <c:y val="0.59438167316464086"/>
          <c:w val="0.95688218411950843"/>
          <c:h val="0.38229493158015448"/>
        </c:manualLayout>
      </c:layout>
      <c:txPr>
        <a:bodyPr/>
        <a:lstStyle/>
        <a:p>
          <a:pPr>
            <a:defRPr lang="en-ZA" sz="845" b="0" i="0" u="none" strike="noStrike" baseline="0">
              <a:solidFill>
                <a:srgbClr val="000000"/>
              </a:solidFill>
              <a:latin typeface="Calibri"/>
              <a:ea typeface="Calibri"/>
              <a:cs typeface="Calibri"/>
            </a:defRPr>
          </a:pPr>
          <a:endParaRPr lang="en-US"/>
        </a:p>
      </c:txPr>
    </c:legend>
    <c:plotVisOnly val="1"/>
    <c:dispBlanksAs val="zero"/>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211" l="0.70000000000000062" r="0.70000000000000062" t="0.75000000000000211" header="0.30000000000000032" footer="0.30000000000000032"/>
    <c:pageSetup/>
  </c:printSettings>
</c:chartSpace>
</file>

<file path=xl/charts/chart90.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050" b="1" i="0" u="none" strike="noStrike" baseline="0">
                <a:solidFill>
                  <a:srgbClr val="000000"/>
                </a:solidFill>
                <a:latin typeface="Calibri"/>
                <a:ea typeface="Calibri"/>
                <a:cs typeface="Calibri"/>
              </a:defRPr>
            </a:pPr>
            <a:r>
              <a:rPr lang="en-ZA"/>
              <a:t>Electricity sent out - reference</a:t>
            </a:r>
          </a:p>
        </c:rich>
      </c:tx>
      <c:overlay val="1"/>
    </c:title>
    <c:plotArea>
      <c:layout>
        <c:manualLayout>
          <c:layoutTarget val="inner"/>
          <c:xMode val="edge"/>
          <c:yMode val="edge"/>
          <c:x val="0.1491550743657043"/>
          <c:y val="7.3868967817871931E-2"/>
          <c:w val="0.80045603674540677"/>
          <c:h val="0.44392479717013861"/>
        </c:manualLayout>
      </c:layout>
      <c:areaChart>
        <c:grouping val="stacked"/>
        <c:ser>
          <c:idx val="0"/>
          <c:order val="0"/>
          <c:tx>
            <c:strRef>
              <c:f>'Output tables'!$A$38</c:f>
              <c:strCache>
                <c:ptCount val="1"/>
                <c:pt idx="0">
                  <c:v>Existing coal Large</c:v>
                </c:pt>
              </c:strCache>
            </c:strRef>
          </c:tx>
          <c:cat>
            <c:numRef>
              <c:f>'Output tables'!$B$37:$AA$37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tables'!$B$38:$AA$38</c:f>
              <c:numCache>
                <c:formatCode>General</c:formatCode>
                <c:ptCount val="26"/>
                <c:pt idx="0">
                  <c:v>205861.53782111834</c:v>
                </c:pt>
                <c:pt idx="1">
                  <c:v>205861.53782111834</c:v>
                </c:pt>
                <c:pt idx="2">
                  <c:v>212643.1167461767</c:v>
                </c:pt>
                <c:pt idx="3">
                  <c:v>215005.43490868001</c:v>
                </c:pt>
                <c:pt idx="4">
                  <c:v>215005.43490868001</c:v>
                </c:pt>
                <c:pt idx="5">
                  <c:v>220081.30595977066</c:v>
                </c:pt>
                <c:pt idx="6">
                  <c:v>223929.15444342568</c:v>
                </c:pt>
                <c:pt idx="7">
                  <c:v>228206.35414744783</c:v>
                </c:pt>
                <c:pt idx="8">
                  <c:v>232179.28100439603</c:v>
                </c:pt>
                <c:pt idx="9">
                  <c:v>232379.04948696808</c:v>
                </c:pt>
                <c:pt idx="10">
                  <c:v>232379.04948696808</c:v>
                </c:pt>
                <c:pt idx="11">
                  <c:v>232379.04948696808</c:v>
                </c:pt>
                <c:pt idx="12">
                  <c:v>232379.04948696808</c:v>
                </c:pt>
                <c:pt idx="13">
                  <c:v>232379.04948696808</c:v>
                </c:pt>
                <c:pt idx="14">
                  <c:v>232379.04948696808</c:v>
                </c:pt>
                <c:pt idx="15">
                  <c:v>232379.04948696808</c:v>
                </c:pt>
                <c:pt idx="16">
                  <c:v>232379.04948696808</c:v>
                </c:pt>
                <c:pt idx="17">
                  <c:v>232379.04948696808</c:v>
                </c:pt>
                <c:pt idx="18">
                  <c:v>232379.04948696808</c:v>
                </c:pt>
                <c:pt idx="19">
                  <c:v>223685.13998563425</c:v>
                </c:pt>
                <c:pt idx="20">
                  <c:v>214991.23048430041</c:v>
                </c:pt>
                <c:pt idx="21">
                  <c:v>204123.84360763311</c:v>
                </c:pt>
                <c:pt idx="22">
                  <c:v>193256.45673096576</c:v>
                </c:pt>
                <c:pt idx="23">
                  <c:v>180101.19893289483</c:v>
                </c:pt>
                <c:pt idx="24">
                  <c:v>153790.68333675293</c:v>
                </c:pt>
                <c:pt idx="25">
                  <c:v>140635.42553868194</c:v>
                </c:pt>
              </c:numCache>
            </c:numRef>
          </c:val>
        </c:ser>
        <c:ser>
          <c:idx val="1"/>
          <c:order val="1"/>
          <c:tx>
            <c:strRef>
              <c:f>'Output tables'!$A$39</c:f>
              <c:strCache>
                <c:ptCount val="1"/>
                <c:pt idx="0">
                  <c:v>Existing coal Small</c:v>
                </c:pt>
              </c:strCache>
            </c:strRef>
          </c:tx>
          <c:cat>
            <c:numRef>
              <c:f>'Output tables'!$B$37:$AA$37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tables'!$B$39:$AA$39</c:f>
              <c:numCache>
                <c:formatCode>General</c:formatCode>
                <c:ptCount val="26"/>
                <c:pt idx="0">
                  <c:v>11481.108051601606</c:v>
                </c:pt>
                <c:pt idx="1">
                  <c:v>11481.108051601606</c:v>
                </c:pt>
                <c:pt idx="2">
                  <c:v>11481.108051601606</c:v>
                </c:pt>
                <c:pt idx="3">
                  <c:v>11481.108051601606</c:v>
                </c:pt>
                <c:pt idx="4">
                  <c:v>11481.108051601606</c:v>
                </c:pt>
                <c:pt idx="5">
                  <c:v>12924.051645819456</c:v>
                </c:pt>
                <c:pt idx="6">
                  <c:v>13777.564401403659</c:v>
                </c:pt>
                <c:pt idx="7">
                  <c:v>13777.564401403659</c:v>
                </c:pt>
                <c:pt idx="8">
                  <c:v>13777.564401403659</c:v>
                </c:pt>
                <c:pt idx="9">
                  <c:v>13777.564401403659</c:v>
                </c:pt>
                <c:pt idx="10">
                  <c:v>13777.564401403659</c:v>
                </c:pt>
                <c:pt idx="11">
                  <c:v>13698.339826318494</c:v>
                </c:pt>
                <c:pt idx="12">
                  <c:v>13619.115251233326</c:v>
                </c:pt>
                <c:pt idx="13">
                  <c:v>13513.482484453105</c:v>
                </c:pt>
                <c:pt idx="14">
                  <c:v>13407.84971767288</c:v>
                </c:pt>
                <c:pt idx="15">
                  <c:v>11400.827148848637</c:v>
                </c:pt>
                <c:pt idx="16">
                  <c:v>9393.8045800243945</c:v>
                </c:pt>
                <c:pt idx="17">
                  <c:v>9393.8045800243945</c:v>
                </c:pt>
                <c:pt idx="18">
                  <c:v>9393.8045800243945</c:v>
                </c:pt>
                <c:pt idx="19">
                  <c:v>9393.8045800243945</c:v>
                </c:pt>
                <c:pt idx="20">
                  <c:v>8469.0483917339716</c:v>
                </c:pt>
                <c:pt idx="21">
                  <c:v>7544.2922034435505</c:v>
                </c:pt>
                <c:pt idx="22">
                  <c:v>7544.2922034435505</c:v>
                </c:pt>
                <c:pt idx="23">
                  <c:v>7544.2922034435505</c:v>
                </c:pt>
                <c:pt idx="24">
                  <c:v>7544.2922034435505</c:v>
                </c:pt>
                <c:pt idx="25">
                  <c:v>7544.2922034435505</c:v>
                </c:pt>
              </c:numCache>
            </c:numRef>
          </c:val>
        </c:ser>
        <c:ser>
          <c:idx val="2"/>
          <c:order val="2"/>
          <c:tx>
            <c:strRef>
              <c:f>'Output tables'!$A$40</c:f>
              <c:strCache>
                <c:ptCount val="1"/>
                <c:pt idx="0">
                  <c:v>OCGT liquid fuels</c:v>
                </c:pt>
              </c:strCache>
            </c:strRef>
          </c:tx>
          <c:cat>
            <c:numRef>
              <c:f>'Output tables'!$B$37:$AA$37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tables'!$B$40:$AA$40</c:f>
              <c:numCache>
                <c:formatCode>General</c:formatCode>
                <c:ptCount val="26"/>
                <c:pt idx="0">
                  <c:v>651.77077055999985</c:v>
                </c:pt>
                <c:pt idx="1">
                  <c:v>651.77077055999985</c:v>
                </c:pt>
                <c:pt idx="2">
                  <c:v>651.77077055999985</c:v>
                </c:pt>
                <c:pt idx="3">
                  <c:v>651.77077055999985</c:v>
                </c:pt>
                <c:pt idx="4">
                  <c:v>651.77077055999985</c:v>
                </c:pt>
                <c:pt idx="5">
                  <c:v>651.77077055999985</c:v>
                </c:pt>
                <c:pt idx="6">
                  <c:v>945.06761731199981</c:v>
                </c:pt>
                <c:pt idx="7">
                  <c:v>945.06761731199981</c:v>
                </c:pt>
                <c:pt idx="8">
                  <c:v>945.06761731199981</c:v>
                </c:pt>
                <c:pt idx="9">
                  <c:v>945.06761731199981</c:v>
                </c:pt>
                <c:pt idx="10">
                  <c:v>945.06761731199981</c:v>
                </c:pt>
                <c:pt idx="11">
                  <c:v>945.06761731199981</c:v>
                </c:pt>
                <c:pt idx="12">
                  <c:v>945.06761731199981</c:v>
                </c:pt>
                <c:pt idx="13">
                  <c:v>945.06761731199981</c:v>
                </c:pt>
                <c:pt idx="14">
                  <c:v>945.06761731199981</c:v>
                </c:pt>
                <c:pt idx="15">
                  <c:v>945.06761731199981</c:v>
                </c:pt>
                <c:pt idx="16">
                  <c:v>945.06761731199981</c:v>
                </c:pt>
                <c:pt idx="17">
                  <c:v>945.06761731199981</c:v>
                </c:pt>
                <c:pt idx="18">
                  <c:v>1140.59884848</c:v>
                </c:pt>
                <c:pt idx="19">
                  <c:v>1140.59884848</c:v>
                </c:pt>
                <c:pt idx="20">
                  <c:v>1140.59884848</c:v>
                </c:pt>
                <c:pt idx="21">
                  <c:v>1336.1300796479998</c:v>
                </c:pt>
                <c:pt idx="22">
                  <c:v>1336.1300796479998</c:v>
                </c:pt>
                <c:pt idx="23">
                  <c:v>1336.1300796479998</c:v>
                </c:pt>
                <c:pt idx="24">
                  <c:v>1531.6613108159995</c:v>
                </c:pt>
                <c:pt idx="25">
                  <c:v>1485.2226434135996</c:v>
                </c:pt>
              </c:numCache>
            </c:numRef>
          </c:val>
        </c:ser>
        <c:ser>
          <c:idx val="3"/>
          <c:order val="3"/>
          <c:tx>
            <c:strRef>
              <c:f>'Output tables'!$A$41</c:f>
              <c:strCache>
                <c:ptCount val="1"/>
                <c:pt idx="0">
                  <c:v>PWR nuclear</c:v>
                </c:pt>
              </c:strCache>
            </c:strRef>
          </c:tx>
          <c:cat>
            <c:numRef>
              <c:f>'Output tables'!$B$37:$AA$37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tables'!$B$41:$AA$41</c:f>
              <c:numCache>
                <c:formatCode>General</c:formatCode>
                <c:ptCount val="26"/>
                <c:pt idx="0">
                  <c:v>13197.815999999999</c:v>
                </c:pt>
                <c:pt idx="1">
                  <c:v>13197.815999999999</c:v>
                </c:pt>
                <c:pt idx="2">
                  <c:v>13197.815999999999</c:v>
                </c:pt>
                <c:pt idx="3">
                  <c:v>13197.815999999999</c:v>
                </c:pt>
                <c:pt idx="4">
                  <c:v>13197.815999999999</c:v>
                </c:pt>
                <c:pt idx="5">
                  <c:v>13197.815999999999</c:v>
                </c:pt>
                <c:pt idx="6">
                  <c:v>13197.815999999999</c:v>
                </c:pt>
                <c:pt idx="7">
                  <c:v>13197.815999999999</c:v>
                </c:pt>
                <c:pt idx="8">
                  <c:v>13197.815999999999</c:v>
                </c:pt>
                <c:pt idx="9">
                  <c:v>13197.815999999999</c:v>
                </c:pt>
                <c:pt idx="10">
                  <c:v>13197.815999999999</c:v>
                </c:pt>
                <c:pt idx="11">
                  <c:v>13197.815999999999</c:v>
                </c:pt>
                <c:pt idx="12">
                  <c:v>13197.815999999999</c:v>
                </c:pt>
                <c:pt idx="13">
                  <c:v>13197.815999999999</c:v>
                </c:pt>
                <c:pt idx="14">
                  <c:v>13197.815999999999</c:v>
                </c:pt>
                <c:pt idx="15">
                  <c:v>13197.815999999999</c:v>
                </c:pt>
                <c:pt idx="16">
                  <c:v>13197.815999999999</c:v>
                </c:pt>
                <c:pt idx="17">
                  <c:v>13197.815999999999</c:v>
                </c:pt>
                <c:pt idx="18">
                  <c:v>13197.815999999999</c:v>
                </c:pt>
                <c:pt idx="19">
                  <c:v>13197.815999999999</c:v>
                </c:pt>
                <c:pt idx="20">
                  <c:v>13197.815999999999</c:v>
                </c:pt>
                <c:pt idx="21">
                  <c:v>13197.815999999999</c:v>
                </c:pt>
                <c:pt idx="22">
                  <c:v>13197.815999999999</c:v>
                </c:pt>
                <c:pt idx="23">
                  <c:v>13197.815999999999</c:v>
                </c:pt>
                <c:pt idx="24">
                  <c:v>13197.815999999999</c:v>
                </c:pt>
                <c:pt idx="25">
                  <c:v>13197.815999999999</c:v>
                </c:pt>
              </c:numCache>
            </c:numRef>
          </c:val>
        </c:ser>
        <c:ser>
          <c:idx val="4"/>
          <c:order val="4"/>
          <c:tx>
            <c:strRef>
              <c:f>'Output tables'!$A$42</c:f>
              <c:strCache>
                <c:ptCount val="1"/>
                <c:pt idx="0">
                  <c:v>Hydro</c:v>
                </c:pt>
              </c:strCache>
            </c:strRef>
          </c:tx>
          <c:cat>
            <c:numRef>
              <c:f>'Output tables'!$B$37:$AA$37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tables'!$B$42:$AA$42</c:f>
              <c:numCache>
                <c:formatCode>General</c:formatCode>
                <c:ptCount val="26"/>
                <c:pt idx="0">
                  <c:v>878.42652000000021</c:v>
                </c:pt>
                <c:pt idx="1">
                  <c:v>878.42652000000021</c:v>
                </c:pt>
                <c:pt idx="2">
                  <c:v>878.42652000000021</c:v>
                </c:pt>
                <c:pt idx="3">
                  <c:v>878.42652000000021</c:v>
                </c:pt>
                <c:pt idx="4">
                  <c:v>878.42652000000021</c:v>
                </c:pt>
                <c:pt idx="5">
                  <c:v>878.42652000000021</c:v>
                </c:pt>
                <c:pt idx="6">
                  <c:v>878.42652000000021</c:v>
                </c:pt>
                <c:pt idx="7">
                  <c:v>878.42652000000021</c:v>
                </c:pt>
                <c:pt idx="8">
                  <c:v>878.42652000000021</c:v>
                </c:pt>
                <c:pt idx="9">
                  <c:v>878.42652000000021</c:v>
                </c:pt>
                <c:pt idx="10">
                  <c:v>878.42652000000021</c:v>
                </c:pt>
                <c:pt idx="11">
                  <c:v>878.42652000000021</c:v>
                </c:pt>
                <c:pt idx="12">
                  <c:v>878.42652000000021</c:v>
                </c:pt>
                <c:pt idx="13">
                  <c:v>878.42652000000021</c:v>
                </c:pt>
                <c:pt idx="14">
                  <c:v>878.42652000000021</c:v>
                </c:pt>
                <c:pt idx="15">
                  <c:v>878.42652000000021</c:v>
                </c:pt>
                <c:pt idx="16">
                  <c:v>878.42652000000021</c:v>
                </c:pt>
                <c:pt idx="17">
                  <c:v>878.42652000000021</c:v>
                </c:pt>
                <c:pt idx="18">
                  <c:v>878.42652000000021</c:v>
                </c:pt>
                <c:pt idx="19">
                  <c:v>878.42652000000021</c:v>
                </c:pt>
                <c:pt idx="20">
                  <c:v>878.42652000000021</c:v>
                </c:pt>
                <c:pt idx="21">
                  <c:v>878.42652000000021</c:v>
                </c:pt>
                <c:pt idx="22">
                  <c:v>878.42652000000021</c:v>
                </c:pt>
                <c:pt idx="23">
                  <c:v>878.42652000000021</c:v>
                </c:pt>
                <c:pt idx="24">
                  <c:v>878.42652000000021</c:v>
                </c:pt>
                <c:pt idx="25">
                  <c:v>878.42652000000021</c:v>
                </c:pt>
              </c:numCache>
            </c:numRef>
          </c:val>
        </c:ser>
        <c:ser>
          <c:idx val="5"/>
          <c:order val="5"/>
          <c:tx>
            <c:strRef>
              <c:f>'Output tables'!$A$43</c:f>
              <c:strCache>
                <c:ptCount val="1"/>
                <c:pt idx="0">
                  <c:v>Landfill gas</c:v>
                </c:pt>
              </c:strCache>
            </c:strRef>
          </c:tx>
          <c:cat>
            <c:numRef>
              <c:f>'Output tables'!$B$37:$AA$37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tables'!$B$43:$AA$43</c:f>
              <c:numCache>
                <c:formatCode>General</c:formatCode>
                <c:ptCount val="26"/>
                <c:pt idx="0">
                  <c:v>524.66925000000003</c:v>
                </c:pt>
                <c:pt idx="1">
                  <c:v>524.66925000000003</c:v>
                </c:pt>
                <c:pt idx="2">
                  <c:v>524.66925000000003</c:v>
                </c:pt>
                <c:pt idx="3">
                  <c:v>524.66925000000003</c:v>
                </c:pt>
                <c:pt idx="4">
                  <c:v>524.66925000000003</c:v>
                </c:pt>
                <c:pt idx="5">
                  <c:v>524.66925000000003</c:v>
                </c:pt>
                <c:pt idx="6">
                  <c:v>524.66925000000003</c:v>
                </c:pt>
                <c:pt idx="7">
                  <c:v>524.66925000000003</c:v>
                </c:pt>
                <c:pt idx="8">
                  <c:v>524.66925000000003</c:v>
                </c:pt>
                <c:pt idx="9">
                  <c:v>524.66925000000003</c:v>
                </c:pt>
                <c:pt idx="10">
                  <c:v>524.66925000000003</c:v>
                </c:pt>
                <c:pt idx="11">
                  <c:v>524.66925000000003</c:v>
                </c:pt>
                <c:pt idx="12">
                  <c:v>524.66925000000003</c:v>
                </c:pt>
                <c:pt idx="13">
                  <c:v>524.66925000000003</c:v>
                </c:pt>
                <c:pt idx="14">
                  <c:v>524.66925000000003</c:v>
                </c:pt>
                <c:pt idx="15">
                  <c:v>524.66925000000003</c:v>
                </c:pt>
                <c:pt idx="16">
                  <c:v>524.66925000000003</c:v>
                </c:pt>
                <c:pt idx="17">
                  <c:v>524.66925000000003</c:v>
                </c:pt>
                <c:pt idx="18">
                  <c:v>524.66925000000003</c:v>
                </c:pt>
                <c:pt idx="19">
                  <c:v>524.66925000000003</c:v>
                </c:pt>
                <c:pt idx="20">
                  <c:v>524.66925000000003</c:v>
                </c:pt>
                <c:pt idx="21">
                  <c:v>524.66925000000003</c:v>
                </c:pt>
                <c:pt idx="22">
                  <c:v>524.66925000000003</c:v>
                </c:pt>
                <c:pt idx="23">
                  <c:v>524.66925000000003</c:v>
                </c:pt>
                <c:pt idx="24">
                  <c:v>524.66925000000003</c:v>
                </c:pt>
                <c:pt idx="25">
                  <c:v>524.66925000000003</c:v>
                </c:pt>
              </c:numCache>
            </c:numRef>
          </c:val>
        </c:ser>
        <c:ser>
          <c:idx val="6"/>
          <c:order val="6"/>
          <c:tx>
            <c:strRef>
              <c:f>'Output tables'!$A$44</c:f>
              <c:strCache>
                <c:ptCount val="1"/>
                <c:pt idx="0">
                  <c:v>Biomass</c:v>
                </c:pt>
              </c:strCache>
            </c:strRef>
          </c:tx>
          <c:cat>
            <c:numRef>
              <c:f>'Output tables'!$B$37:$AA$37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tables'!$B$44:$AA$44</c:f>
              <c:numCache>
                <c:formatCode>General</c:formatCode>
                <c:ptCount val="26"/>
                <c:pt idx="0">
                  <c:v>1502.121000000029</c:v>
                </c:pt>
                <c:pt idx="1">
                  <c:v>1502.1209999999999</c:v>
                </c:pt>
                <c:pt idx="2">
                  <c:v>1502.1209999999999</c:v>
                </c:pt>
                <c:pt idx="3">
                  <c:v>1502.1209999999999</c:v>
                </c:pt>
                <c:pt idx="4">
                  <c:v>1502.1209999999999</c:v>
                </c:pt>
                <c:pt idx="5">
                  <c:v>1502.1209999999999</c:v>
                </c:pt>
                <c:pt idx="6">
                  <c:v>1502.1209999999999</c:v>
                </c:pt>
                <c:pt idx="7">
                  <c:v>1502.1209999999999</c:v>
                </c:pt>
                <c:pt idx="8">
                  <c:v>1502.1209999999999</c:v>
                </c:pt>
                <c:pt idx="9">
                  <c:v>1502.1209999999999</c:v>
                </c:pt>
                <c:pt idx="10">
                  <c:v>1502.1209999999999</c:v>
                </c:pt>
                <c:pt idx="11">
                  <c:v>1502.1209999999999</c:v>
                </c:pt>
                <c:pt idx="12">
                  <c:v>1502.1209999999999</c:v>
                </c:pt>
                <c:pt idx="13">
                  <c:v>1502.1209999999999</c:v>
                </c:pt>
                <c:pt idx="14">
                  <c:v>1502.1209999999999</c:v>
                </c:pt>
                <c:pt idx="15">
                  <c:v>1502.1209999999999</c:v>
                </c:pt>
                <c:pt idx="16">
                  <c:v>1502.1209999999999</c:v>
                </c:pt>
                <c:pt idx="17">
                  <c:v>1502.1209999999999</c:v>
                </c:pt>
                <c:pt idx="18">
                  <c:v>1502.1209999999999</c:v>
                </c:pt>
                <c:pt idx="19">
                  <c:v>1502.1209999999999</c:v>
                </c:pt>
                <c:pt idx="20">
                  <c:v>1502.1209999999999</c:v>
                </c:pt>
                <c:pt idx="21">
                  <c:v>1502.1209999999999</c:v>
                </c:pt>
                <c:pt idx="22">
                  <c:v>1502.1209999999999</c:v>
                </c:pt>
                <c:pt idx="23">
                  <c:v>1502.1209999999999</c:v>
                </c:pt>
                <c:pt idx="24">
                  <c:v>1502.1209999999999</c:v>
                </c:pt>
                <c:pt idx="25">
                  <c:v>1502.1209999999999</c:v>
                </c:pt>
              </c:numCache>
            </c:numRef>
          </c:val>
        </c:ser>
        <c:ser>
          <c:idx val="7"/>
          <c:order val="7"/>
          <c:tx>
            <c:strRef>
              <c:f>'Output tables'!$A$45</c:f>
              <c:strCache>
                <c:ptCount val="1"/>
                <c:pt idx="0">
                  <c:v>Supercritical coal</c:v>
                </c:pt>
              </c:strCache>
            </c:strRef>
          </c:tx>
          <c:cat>
            <c:numRef>
              <c:f>'Output tables'!$B$37:$AA$37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tables'!$B$45:$AA$45</c:f>
              <c:numCache>
                <c:formatCode>General</c:formatCode>
                <c:ptCount val="26"/>
                <c:pt idx="0">
                  <c:v>0</c:v>
                </c:pt>
                <c:pt idx="1">
                  <c:v>0</c:v>
                </c:pt>
                <c:pt idx="2">
                  <c:v>0</c:v>
                </c:pt>
                <c:pt idx="3">
                  <c:v>0</c:v>
                </c:pt>
                <c:pt idx="4">
                  <c:v>0</c:v>
                </c:pt>
                <c:pt idx="5">
                  <c:v>0</c:v>
                </c:pt>
                <c:pt idx="6">
                  <c:v>0</c:v>
                </c:pt>
                <c:pt idx="7">
                  <c:v>1693.7365830000003</c:v>
                </c:pt>
                <c:pt idx="8">
                  <c:v>5081.2097490000015</c:v>
                </c:pt>
                <c:pt idx="9">
                  <c:v>13787.838002241275</c:v>
                </c:pt>
                <c:pt idx="10">
                  <c:v>22109.866176129231</c:v>
                </c:pt>
                <c:pt idx="11">
                  <c:v>30973.848045042821</c:v>
                </c:pt>
                <c:pt idx="12">
                  <c:v>39693.39423489997</c:v>
                </c:pt>
                <c:pt idx="13">
                  <c:v>48912.77667558215</c:v>
                </c:pt>
                <c:pt idx="14">
                  <c:v>58560.11668383942</c:v>
                </c:pt>
                <c:pt idx="15">
                  <c:v>70157.919939841871</c:v>
                </c:pt>
                <c:pt idx="16">
                  <c:v>82258.573337745125</c:v>
                </c:pt>
                <c:pt idx="17">
                  <c:v>92501.989315475454</c:v>
                </c:pt>
                <c:pt idx="18">
                  <c:v>103258.67878333401</c:v>
                </c:pt>
                <c:pt idx="19">
                  <c:v>123284.62132491726</c:v>
                </c:pt>
                <c:pt idx="20">
                  <c:v>144735.49546189455</c:v>
                </c:pt>
                <c:pt idx="21">
                  <c:v>169111.17186129716</c:v>
                </c:pt>
                <c:pt idx="22">
                  <c:v>193300.59446743844</c:v>
                </c:pt>
                <c:pt idx="23">
                  <c:v>220195.14662336902</c:v>
                </c:pt>
                <c:pt idx="24">
                  <c:v>260340.97143911308</c:v>
                </c:pt>
                <c:pt idx="25">
                  <c:v>284022.13653434324</c:v>
                </c:pt>
              </c:numCache>
            </c:numRef>
          </c:val>
        </c:ser>
        <c:ser>
          <c:idx val="8"/>
          <c:order val="8"/>
          <c:tx>
            <c:strRef>
              <c:f>'Output tables'!$A$46</c:f>
              <c:strCache>
                <c:ptCount val="1"/>
                <c:pt idx="0">
                  <c:v>Wind 30% </c:v>
                </c:pt>
              </c:strCache>
            </c:strRef>
          </c:tx>
          <c:cat>
            <c:numRef>
              <c:f>'Output tables'!$B$37:$AA$37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tables'!$B$46:$AA$46</c:f>
              <c:numCache>
                <c:formatCode>General</c:formatCode>
                <c:ptCount val="26"/>
                <c:pt idx="0">
                  <c:v>0</c:v>
                </c:pt>
                <c:pt idx="1">
                  <c:v>0</c:v>
                </c:pt>
                <c:pt idx="2">
                  <c:v>0</c:v>
                </c:pt>
                <c:pt idx="3">
                  <c:v>0</c:v>
                </c:pt>
                <c:pt idx="4">
                  <c:v>0</c:v>
                </c:pt>
                <c:pt idx="5">
                  <c:v>262.8</c:v>
                </c:pt>
                <c:pt idx="6">
                  <c:v>262.8</c:v>
                </c:pt>
                <c:pt idx="7">
                  <c:v>262.8</c:v>
                </c:pt>
                <c:pt idx="8">
                  <c:v>262.8</c:v>
                </c:pt>
                <c:pt idx="9">
                  <c:v>262.8</c:v>
                </c:pt>
                <c:pt idx="10">
                  <c:v>262.8</c:v>
                </c:pt>
                <c:pt idx="11">
                  <c:v>262.8</c:v>
                </c:pt>
                <c:pt idx="12">
                  <c:v>262.8</c:v>
                </c:pt>
                <c:pt idx="13">
                  <c:v>262.8</c:v>
                </c:pt>
                <c:pt idx="14">
                  <c:v>262.8</c:v>
                </c:pt>
                <c:pt idx="15">
                  <c:v>262.8</c:v>
                </c:pt>
                <c:pt idx="16">
                  <c:v>262.8</c:v>
                </c:pt>
                <c:pt idx="17">
                  <c:v>262.8</c:v>
                </c:pt>
                <c:pt idx="18">
                  <c:v>262.8</c:v>
                </c:pt>
                <c:pt idx="19">
                  <c:v>262.8</c:v>
                </c:pt>
                <c:pt idx="20">
                  <c:v>262.8</c:v>
                </c:pt>
                <c:pt idx="21">
                  <c:v>262.8</c:v>
                </c:pt>
                <c:pt idx="22">
                  <c:v>262.8</c:v>
                </c:pt>
                <c:pt idx="23">
                  <c:v>262.8</c:v>
                </c:pt>
                <c:pt idx="24">
                  <c:v>262.8</c:v>
                </c:pt>
                <c:pt idx="25">
                  <c:v>0</c:v>
                </c:pt>
              </c:numCache>
            </c:numRef>
          </c:val>
        </c:ser>
        <c:ser>
          <c:idx val="9"/>
          <c:order val="9"/>
          <c:tx>
            <c:strRef>
              <c:f>'Output tables'!$A$47</c:f>
              <c:strCache>
                <c:ptCount val="1"/>
                <c:pt idx="0">
                  <c:v>Wind 25%</c:v>
                </c:pt>
              </c:strCache>
            </c:strRef>
          </c:tx>
          <c:cat>
            <c:numRef>
              <c:f>'Output tables'!$B$37:$AA$37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tables'!$B$47:$AA$47</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0"/>
          <c:order val="10"/>
          <c:tx>
            <c:strRef>
              <c:f>'Output tables'!$A$48</c:f>
              <c:strCache>
                <c:ptCount val="1"/>
                <c:pt idx="0">
                  <c:v>solar thermal central reciever</c:v>
                </c:pt>
              </c:strCache>
            </c:strRef>
          </c:tx>
          <c:cat>
            <c:numRef>
              <c:f>'Output tables'!$B$37:$AA$37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tables'!$B$48:$AA$48</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1"/>
          <c:order val="11"/>
          <c:tx>
            <c:strRef>
              <c:f>'Output tables'!$A$49</c:f>
              <c:strCache>
                <c:ptCount val="1"/>
                <c:pt idx="0">
                  <c:v>solar thermal trough</c:v>
                </c:pt>
              </c:strCache>
            </c:strRef>
          </c:tx>
          <c:cat>
            <c:numRef>
              <c:f>'Output tables'!$B$37:$AA$37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tables'!$B$49:$AA$49</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2"/>
          <c:order val="12"/>
          <c:tx>
            <c:strRef>
              <c:f>'Output tables'!$A$50</c:f>
              <c:strCache>
                <c:ptCount val="1"/>
                <c:pt idx="0">
                  <c:v>solar PV</c:v>
                </c:pt>
              </c:strCache>
            </c:strRef>
          </c:tx>
          <c:cat>
            <c:numRef>
              <c:f>'Output tables'!$B$37:$AA$37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tables'!$B$50:$AA$50</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3"/>
          <c:order val="13"/>
          <c:tx>
            <c:strRef>
              <c:f>'Output tables'!$A$51</c:f>
              <c:strCache>
                <c:ptCount val="1"/>
                <c:pt idx="0">
                  <c:v>combined cycle gas</c:v>
                </c:pt>
              </c:strCache>
            </c:strRef>
          </c:tx>
          <c:cat>
            <c:numRef>
              <c:f>'Output tables'!$B$37:$AA$37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tables'!$B$51:$AA$51</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4"/>
          <c:order val="14"/>
          <c:tx>
            <c:strRef>
              <c:f>'Output tables'!$A$52</c:f>
              <c:strCache>
                <c:ptCount val="1"/>
                <c:pt idx="0">
                  <c:v>PBMR</c:v>
                </c:pt>
              </c:strCache>
            </c:strRef>
          </c:tx>
          <c:cat>
            <c:numRef>
              <c:f>'Output tables'!$B$37:$AA$37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tables'!$B$52:$AA$52</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5"/>
          <c:order val="15"/>
          <c:tx>
            <c:strRef>
              <c:f>'Output tables'!$A$53</c:f>
              <c:strCache>
                <c:ptCount val="1"/>
                <c:pt idx="0">
                  <c:v>IGCC</c:v>
                </c:pt>
              </c:strCache>
            </c:strRef>
          </c:tx>
          <c:cat>
            <c:numRef>
              <c:f>'Output tables'!$B$37:$AA$37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tables'!$B$53:$AA$53</c:f>
              <c:numCache>
                <c:formatCode>General</c:formatCode>
                <c:ptCount val="26"/>
                <c:pt idx="0">
                  <c:v>0</c:v>
                </c:pt>
                <c:pt idx="1">
                  <c:v>2.9103830456733704E-11</c:v>
                </c:pt>
                <c:pt idx="2">
                  <c:v>0</c:v>
                </c:pt>
                <c:pt idx="3">
                  <c:v>2.9103830456733704E-11</c:v>
                </c:pt>
                <c:pt idx="4">
                  <c:v>2.9103830456733704E-11</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6"/>
          <c:order val="16"/>
          <c:tx>
            <c:strRef>
              <c:f>'Output tables'!$A$54</c:f>
              <c:strCache>
                <c:ptCount val="1"/>
                <c:pt idx="0">
                  <c:v>-</c:v>
                </c:pt>
              </c:strCache>
            </c:strRef>
          </c:tx>
          <c:cat>
            <c:numRef>
              <c:f>'Output tables'!$B$37:$AA$37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tables'!$B$54:$AA$54</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7"/>
          <c:order val="17"/>
          <c:tx>
            <c:strRef>
              <c:f>'Output tables'!$A$55</c:f>
              <c:strCache>
                <c:ptCount val="1"/>
                <c:pt idx="0">
                  <c:v>-</c:v>
                </c:pt>
              </c:strCache>
            </c:strRef>
          </c:tx>
          <c:cat>
            <c:numRef>
              <c:f>'Output tables'!$B$37:$AA$37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tables'!$B$55:$AA$55</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8"/>
          <c:order val="18"/>
          <c:tx>
            <c:strRef>
              <c:f>'Output tables'!$A$56</c:f>
              <c:strCache>
                <c:ptCount val="1"/>
                <c:pt idx="0">
                  <c:v>-</c:v>
                </c:pt>
              </c:strCache>
            </c:strRef>
          </c:tx>
          <c:cat>
            <c:numRef>
              <c:f>'Output tables'!$B$37:$AA$37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tables'!$B$56:$AA$56</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9"/>
          <c:order val="19"/>
          <c:tx>
            <c:strRef>
              <c:f>'Output tables'!$A$57</c:f>
              <c:strCache>
                <c:ptCount val="1"/>
                <c:pt idx="0">
                  <c:v>Pumped storage</c:v>
                </c:pt>
              </c:strCache>
            </c:strRef>
          </c:tx>
          <c:cat>
            <c:numRef>
              <c:f>'Output tables'!$B$37:$AA$37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tables'!$B$57:$AA$57</c:f>
              <c:numCache>
                <c:formatCode>General</c:formatCode>
                <c:ptCount val="26"/>
                <c:pt idx="0">
                  <c:v>3096.0000000000005</c:v>
                </c:pt>
                <c:pt idx="1">
                  <c:v>3096.0000000000005</c:v>
                </c:pt>
                <c:pt idx="2">
                  <c:v>3096.0000000000005</c:v>
                </c:pt>
                <c:pt idx="3">
                  <c:v>3096.0000000000005</c:v>
                </c:pt>
                <c:pt idx="4">
                  <c:v>3096.0000000000005</c:v>
                </c:pt>
                <c:pt idx="5">
                  <c:v>3096.0000000000005</c:v>
                </c:pt>
                <c:pt idx="6">
                  <c:v>3096.0000000000005</c:v>
                </c:pt>
                <c:pt idx="7">
                  <c:v>3096.0000000000005</c:v>
                </c:pt>
                <c:pt idx="8">
                  <c:v>4401.0227848101276</c:v>
                </c:pt>
                <c:pt idx="9">
                  <c:v>5706.0455696202544</c:v>
                </c:pt>
                <c:pt idx="10">
                  <c:v>5706.0455696202544</c:v>
                </c:pt>
                <c:pt idx="11">
                  <c:v>5706.0455696202544</c:v>
                </c:pt>
                <c:pt idx="12">
                  <c:v>5706.0455696202544</c:v>
                </c:pt>
                <c:pt idx="13">
                  <c:v>5706.0455696202544</c:v>
                </c:pt>
                <c:pt idx="14">
                  <c:v>5706.0455696202544</c:v>
                </c:pt>
                <c:pt idx="15">
                  <c:v>5706.0455696202544</c:v>
                </c:pt>
                <c:pt idx="16">
                  <c:v>5706.0455696202544</c:v>
                </c:pt>
                <c:pt idx="17">
                  <c:v>5706.0455696202544</c:v>
                </c:pt>
                <c:pt idx="18">
                  <c:v>5706.0455696202544</c:v>
                </c:pt>
                <c:pt idx="19">
                  <c:v>5706.0455696202544</c:v>
                </c:pt>
                <c:pt idx="20">
                  <c:v>5706.0455696202544</c:v>
                </c:pt>
                <c:pt idx="21">
                  <c:v>5706.0455696202544</c:v>
                </c:pt>
                <c:pt idx="22">
                  <c:v>5706.0455696202544</c:v>
                </c:pt>
                <c:pt idx="23">
                  <c:v>5706.0455696202544</c:v>
                </c:pt>
                <c:pt idx="24">
                  <c:v>5706.0455696202544</c:v>
                </c:pt>
                <c:pt idx="25">
                  <c:v>5706.0455696202544</c:v>
                </c:pt>
              </c:numCache>
            </c:numRef>
          </c:val>
        </c:ser>
        <c:axId val="111679360"/>
        <c:axId val="111680896"/>
      </c:areaChart>
      <c:catAx>
        <c:axId val="111679360"/>
        <c:scaling>
          <c:orientation val="minMax"/>
        </c:scaling>
        <c:axPos val="b"/>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1680896"/>
        <c:crosses val="autoZero"/>
        <c:auto val="1"/>
        <c:lblAlgn val="ctr"/>
        <c:lblOffset val="100"/>
      </c:catAx>
      <c:valAx>
        <c:axId val="111680896"/>
        <c:scaling>
          <c:orientation val="minMax"/>
        </c:scaling>
        <c:axPos val="l"/>
        <c:majorGridlines/>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1679360"/>
        <c:crosses val="autoZero"/>
        <c:crossBetween val="midCat"/>
      </c:valAx>
    </c:plotArea>
    <c:legend>
      <c:legendPos val="b"/>
      <c:layout>
        <c:manualLayout>
          <c:xMode val="edge"/>
          <c:yMode val="edge"/>
          <c:x val="3.6181977252843452E-2"/>
          <c:y val="0.59926735776732809"/>
          <c:w val="0.89985826771653543"/>
          <c:h val="0.38154798995449396"/>
        </c:manualLayout>
      </c:layout>
      <c:txPr>
        <a:bodyPr/>
        <a:lstStyle/>
        <a:p>
          <a:pPr>
            <a:defRPr lang="en-ZA" sz="845" b="0" i="0" u="none" strike="noStrike" baseline="0">
              <a:solidFill>
                <a:srgbClr val="000000"/>
              </a:solidFill>
              <a:latin typeface="Calibri"/>
              <a:ea typeface="Calibri"/>
              <a:cs typeface="Calibri"/>
            </a:defRPr>
          </a:pPr>
          <a:endParaRPr lang="en-US"/>
        </a:p>
      </c:txPr>
    </c:legend>
    <c:plotVisOnly val="1"/>
    <c:dispBlanksAs val="zero"/>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178" l="0.70000000000000062" r="0.70000000000000062" t="0.75000000000000178" header="0.30000000000000032" footer="0.30000000000000032"/>
    <c:pageSetup/>
  </c:printSettings>
</c:chartSpace>
</file>

<file path=xl/charts/chart91.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050" b="1" i="0" u="none" strike="noStrike" baseline="0">
                <a:solidFill>
                  <a:srgbClr val="000000"/>
                </a:solidFill>
                <a:latin typeface="Calibri"/>
                <a:ea typeface="Calibri"/>
                <a:cs typeface="Calibri"/>
              </a:defRPr>
            </a:pPr>
            <a:r>
              <a:rPr lang="en-ZA"/>
              <a:t>Electricity system costs and average electricity cost</a:t>
            </a:r>
          </a:p>
        </c:rich>
      </c:tx>
      <c:overlay val="1"/>
    </c:title>
    <c:plotArea>
      <c:layout>
        <c:manualLayout>
          <c:layoutTarget val="inner"/>
          <c:xMode val="edge"/>
          <c:yMode val="edge"/>
          <c:x val="0.14896062992125983"/>
          <c:y val="6.5850887763337612E-2"/>
          <c:w val="0.70378696412948383"/>
          <c:h val="0.49487289499769593"/>
        </c:manualLayout>
      </c:layout>
      <c:areaChart>
        <c:grouping val="stacked"/>
        <c:ser>
          <c:idx val="0"/>
          <c:order val="0"/>
          <c:tx>
            <c:strRef>
              <c:f>'Output tables'!$A$110</c:f>
              <c:strCache>
                <c:ptCount val="1"/>
                <c:pt idx="0">
                  <c:v>Existing coal Large</c:v>
                </c:pt>
              </c:strCache>
            </c:strRef>
          </c:tx>
          <c:cat>
            <c:numRef>
              <c:f>'Output tables'!$B$109:$AA$109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tables'!$B$110:$AA$110</c:f>
              <c:numCache>
                <c:formatCode>General</c:formatCode>
                <c:ptCount val="26"/>
                <c:pt idx="0">
                  <c:v>16255.848534235311</c:v>
                </c:pt>
                <c:pt idx="1">
                  <c:v>17848.075230169379</c:v>
                </c:pt>
                <c:pt idx="2">
                  <c:v>19881.448596266746</c:v>
                </c:pt>
                <c:pt idx="3">
                  <c:v>20778.472732023358</c:v>
                </c:pt>
                <c:pt idx="4">
                  <c:v>20778.472732023358</c:v>
                </c:pt>
                <c:pt idx="5">
                  <c:v>21202.080907823816</c:v>
                </c:pt>
                <c:pt idx="6">
                  <c:v>21544.21256869131</c:v>
                </c:pt>
                <c:pt idx="7">
                  <c:v>21918.855286541409</c:v>
                </c:pt>
                <c:pt idx="8">
                  <c:v>22275.182280814239</c:v>
                </c:pt>
                <c:pt idx="9">
                  <c:v>22369.252860877034</c:v>
                </c:pt>
                <c:pt idx="10">
                  <c:v>22449.36221189766</c:v>
                </c:pt>
                <c:pt idx="11">
                  <c:v>22529.47156291829</c:v>
                </c:pt>
                <c:pt idx="12">
                  <c:v>22609.580913938917</c:v>
                </c:pt>
                <c:pt idx="13">
                  <c:v>22689.690264959547</c:v>
                </c:pt>
                <c:pt idx="14">
                  <c:v>22769.799615980173</c:v>
                </c:pt>
                <c:pt idx="15">
                  <c:v>22849.908967000803</c:v>
                </c:pt>
                <c:pt idx="16">
                  <c:v>22930.01831802143</c:v>
                </c:pt>
                <c:pt idx="17">
                  <c:v>23010.127669042056</c:v>
                </c:pt>
                <c:pt idx="18">
                  <c:v>23090.237020062686</c:v>
                </c:pt>
                <c:pt idx="19">
                  <c:v>22303.482964466039</c:v>
                </c:pt>
                <c:pt idx="20">
                  <c:v>21510.734707158685</c:v>
                </c:pt>
                <c:pt idx="21">
                  <c:v>20493.777846058623</c:v>
                </c:pt>
                <c:pt idx="22">
                  <c:v>19469.328232820168</c:v>
                </c:pt>
                <c:pt idx="23">
                  <c:v>18206.109075327888</c:v>
                </c:pt>
                <c:pt idx="24">
                  <c:v>15599.443102709989</c:v>
                </c:pt>
                <c:pt idx="25">
                  <c:v>14313.548511114688</c:v>
                </c:pt>
              </c:numCache>
            </c:numRef>
          </c:val>
        </c:ser>
        <c:ser>
          <c:idx val="1"/>
          <c:order val="1"/>
          <c:tx>
            <c:strRef>
              <c:f>'Output tables'!$A$111</c:f>
              <c:strCache>
                <c:ptCount val="1"/>
                <c:pt idx="0">
                  <c:v>Existing coal Small</c:v>
                </c:pt>
              </c:strCache>
            </c:strRef>
          </c:tx>
          <c:cat>
            <c:numRef>
              <c:f>'Output tables'!$B$109:$AA$109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tables'!$B$111:$AA$111</c:f>
              <c:numCache>
                <c:formatCode>General</c:formatCode>
                <c:ptCount val="26"/>
                <c:pt idx="0">
                  <c:v>2346.7001846771027</c:v>
                </c:pt>
                <c:pt idx="1">
                  <c:v>2456.5429896070436</c:v>
                </c:pt>
                <c:pt idx="2">
                  <c:v>2566.3857945369841</c:v>
                </c:pt>
                <c:pt idx="3">
                  <c:v>2680.9661728977972</c:v>
                </c:pt>
                <c:pt idx="4">
                  <c:v>2680.9661728977972</c:v>
                </c:pt>
                <c:pt idx="5">
                  <c:v>3024.8324517331271</c:v>
                </c:pt>
                <c:pt idx="6">
                  <c:v>3231.974476853894</c:v>
                </c:pt>
                <c:pt idx="7">
                  <c:v>3239.3546044048408</c:v>
                </c:pt>
                <c:pt idx="8">
                  <c:v>3246.7347319557866</c:v>
                </c:pt>
                <c:pt idx="9">
                  <c:v>3254.1148595067334</c:v>
                </c:pt>
                <c:pt idx="10">
                  <c:v>3261.4949870576793</c:v>
                </c:pt>
                <c:pt idx="11">
                  <c:v>3250.078233359066</c:v>
                </c:pt>
                <c:pt idx="12">
                  <c:v>3238.5766043585108</c:v>
                </c:pt>
                <c:pt idx="13">
                  <c:v>3220.6961812055124</c:v>
                </c:pt>
                <c:pt idx="14">
                  <c:v>3202.7025909832582</c:v>
                </c:pt>
                <c:pt idx="15">
                  <c:v>2729.3966692090917</c:v>
                </c:pt>
                <c:pt idx="16">
                  <c:v>2253.9405731190573</c:v>
                </c:pt>
                <c:pt idx="17">
                  <c:v>2258.9724839829387</c:v>
                </c:pt>
                <c:pt idx="18">
                  <c:v>2264.0043948468197</c:v>
                </c:pt>
                <c:pt idx="19">
                  <c:v>2269.0363057107006</c:v>
                </c:pt>
                <c:pt idx="20">
                  <c:v>2050.2016630437815</c:v>
                </c:pt>
                <c:pt idx="21">
                  <c:v>1830.3763055561185</c:v>
                </c:pt>
                <c:pt idx="22">
                  <c:v>1834.4175015992557</c:v>
                </c:pt>
                <c:pt idx="23">
                  <c:v>1838.458697642393</c:v>
                </c:pt>
                <c:pt idx="24">
                  <c:v>1842.4998936855307</c:v>
                </c:pt>
                <c:pt idx="25">
                  <c:v>1846.5410897286679</c:v>
                </c:pt>
              </c:numCache>
            </c:numRef>
          </c:val>
        </c:ser>
        <c:ser>
          <c:idx val="2"/>
          <c:order val="2"/>
          <c:tx>
            <c:strRef>
              <c:f>'Output tables'!$A$112</c:f>
              <c:strCache>
                <c:ptCount val="1"/>
                <c:pt idx="0">
                  <c:v>OCGT liquid fuels</c:v>
                </c:pt>
              </c:strCache>
            </c:strRef>
          </c:tx>
          <c:cat>
            <c:numRef>
              <c:f>'Output tables'!$B$109:$AA$109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tables'!$B$112:$AA$112</c:f>
              <c:numCache>
                <c:formatCode>General</c:formatCode>
                <c:ptCount val="26"/>
                <c:pt idx="0">
                  <c:v>1203.429722858983</c:v>
                </c:pt>
                <c:pt idx="1">
                  <c:v>1333.4299474905283</c:v>
                </c:pt>
                <c:pt idx="2">
                  <c:v>1333.1218239168195</c:v>
                </c:pt>
                <c:pt idx="3">
                  <c:v>1771.1195126279106</c:v>
                </c:pt>
                <c:pt idx="4">
                  <c:v>1291.5694060722121</c:v>
                </c:pt>
                <c:pt idx="5">
                  <c:v>1344.4644260844339</c:v>
                </c:pt>
                <c:pt idx="6">
                  <c:v>2707.0090326218919</c:v>
                </c:pt>
                <c:pt idx="7">
                  <c:v>2783.7068116396131</c:v>
                </c:pt>
                <c:pt idx="8">
                  <c:v>2860.4045906573351</c:v>
                </c:pt>
                <c:pt idx="9">
                  <c:v>2937.1023696750563</c:v>
                </c:pt>
                <c:pt idx="10">
                  <c:v>3013.8001486927778</c:v>
                </c:pt>
                <c:pt idx="11">
                  <c:v>3090.4979277104985</c:v>
                </c:pt>
                <c:pt idx="12">
                  <c:v>3167.1957067282201</c:v>
                </c:pt>
                <c:pt idx="13">
                  <c:v>3243.8934857459412</c:v>
                </c:pt>
                <c:pt idx="14">
                  <c:v>3320.5912647636628</c:v>
                </c:pt>
                <c:pt idx="15">
                  <c:v>3397.2890437813844</c:v>
                </c:pt>
                <c:pt idx="16">
                  <c:v>3473.9868227991051</c:v>
                </c:pt>
                <c:pt idx="17">
                  <c:v>3550.6846018168262</c:v>
                </c:pt>
                <c:pt idx="18">
                  <c:v>4690.9041772287037</c:v>
                </c:pt>
                <c:pt idx="19">
                  <c:v>4783.4704622500922</c:v>
                </c:pt>
                <c:pt idx="20">
                  <c:v>4876.0367472714797</c:v>
                </c:pt>
                <c:pt idx="21">
                  <c:v>6079.7303466980229</c:v>
                </c:pt>
                <c:pt idx="22">
                  <c:v>6188.1651377230755</c:v>
                </c:pt>
                <c:pt idx="23">
                  <c:v>6296.59992874813</c:v>
                </c:pt>
                <c:pt idx="24">
                  <c:v>7563.7675521893389</c:v>
                </c:pt>
                <c:pt idx="25">
                  <c:v>7516.9023553421284</c:v>
                </c:pt>
              </c:numCache>
            </c:numRef>
          </c:val>
        </c:ser>
        <c:ser>
          <c:idx val="3"/>
          <c:order val="3"/>
          <c:tx>
            <c:strRef>
              <c:f>'Output tables'!$A$113</c:f>
              <c:strCache>
                <c:ptCount val="1"/>
                <c:pt idx="0">
                  <c:v>PWR nuclear</c:v>
                </c:pt>
              </c:strCache>
            </c:strRef>
          </c:tx>
          <c:cat>
            <c:numRef>
              <c:f>'Output tables'!$B$109:$AA$109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tables'!$B$113:$AA$113</c:f>
              <c:numCache>
                <c:formatCode>General</c:formatCode>
                <c:ptCount val="26"/>
                <c:pt idx="0">
                  <c:v>1841.3944454507421</c:v>
                </c:pt>
                <c:pt idx="1">
                  <c:v>1914.0285561278479</c:v>
                </c:pt>
                <c:pt idx="2">
                  <c:v>1986.6626668049537</c:v>
                </c:pt>
                <c:pt idx="3">
                  <c:v>2059.2967774820595</c:v>
                </c:pt>
                <c:pt idx="4">
                  <c:v>2168.8768214349784</c:v>
                </c:pt>
                <c:pt idx="5">
                  <c:v>2172.6932566352129</c:v>
                </c:pt>
                <c:pt idx="6">
                  <c:v>2176.5287740114481</c:v>
                </c:pt>
                <c:pt idx="7">
                  <c:v>2180.3834689745649</c:v>
                </c:pt>
                <c:pt idx="8">
                  <c:v>2184.257437412497</c:v>
                </c:pt>
                <c:pt idx="9">
                  <c:v>2188.1507756926189</c:v>
                </c:pt>
                <c:pt idx="10">
                  <c:v>2192.0635806641412</c:v>
                </c:pt>
                <c:pt idx="11">
                  <c:v>2195.9959496605215</c:v>
                </c:pt>
                <c:pt idx="12">
                  <c:v>2199.9479805018836</c:v>
                </c:pt>
                <c:pt idx="13">
                  <c:v>2203.9197714974525</c:v>
                </c:pt>
                <c:pt idx="14">
                  <c:v>2207.9114214479987</c:v>
                </c:pt>
                <c:pt idx="15">
                  <c:v>2211.9230296482983</c:v>
                </c:pt>
                <c:pt idx="16">
                  <c:v>2215.9546958895994</c:v>
                </c:pt>
                <c:pt idx="17">
                  <c:v>2220.0065204621064</c:v>
                </c:pt>
                <c:pt idx="18">
                  <c:v>2224.0786041574765</c:v>
                </c:pt>
                <c:pt idx="19">
                  <c:v>2228.1710482713233</c:v>
                </c:pt>
                <c:pt idx="20">
                  <c:v>2232.2839546057394</c:v>
                </c:pt>
                <c:pt idx="21">
                  <c:v>2236.4174254718273</c:v>
                </c:pt>
                <c:pt idx="22">
                  <c:v>2240.5715636922455</c:v>
                </c:pt>
                <c:pt idx="23">
                  <c:v>2244.7464726037661</c:v>
                </c:pt>
                <c:pt idx="24">
                  <c:v>2248.9422560598446</c:v>
                </c:pt>
                <c:pt idx="25">
                  <c:v>2253.1590184332031</c:v>
                </c:pt>
              </c:numCache>
            </c:numRef>
          </c:val>
        </c:ser>
        <c:ser>
          <c:idx val="4"/>
          <c:order val="4"/>
          <c:tx>
            <c:strRef>
              <c:f>'Output tables'!$A$114</c:f>
              <c:strCache>
                <c:ptCount val="1"/>
                <c:pt idx="0">
                  <c:v>Hydro</c:v>
                </c:pt>
              </c:strCache>
            </c:strRef>
          </c:tx>
          <c:cat>
            <c:numRef>
              <c:f>'Output tables'!$B$109:$AA$109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tables'!$B$114:$AA$114</c:f>
              <c:numCache>
                <c:formatCode>General</c:formatCode>
                <c:ptCount val="26"/>
                <c:pt idx="0">
                  <c:v>86.627408640520088</c:v>
                </c:pt>
                <c:pt idx="1">
                  <c:v>86.627408640520088</c:v>
                </c:pt>
                <c:pt idx="2">
                  <c:v>86.627408640520088</c:v>
                </c:pt>
                <c:pt idx="3">
                  <c:v>86.627408640520088</c:v>
                </c:pt>
                <c:pt idx="4">
                  <c:v>86.627408640520088</c:v>
                </c:pt>
                <c:pt idx="5">
                  <c:v>86.627408640520088</c:v>
                </c:pt>
                <c:pt idx="6">
                  <c:v>86.627408640520088</c:v>
                </c:pt>
                <c:pt idx="7">
                  <c:v>86.627408640520088</c:v>
                </c:pt>
                <c:pt idx="8">
                  <c:v>86.627408640520088</c:v>
                </c:pt>
                <c:pt idx="9">
                  <c:v>86.627408640520088</c:v>
                </c:pt>
                <c:pt idx="10">
                  <c:v>86.627408640520088</c:v>
                </c:pt>
                <c:pt idx="11">
                  <c:v>86.627408640520088</c:v>
                </c:pt>
                <c:pt idx="12">
                  <c:v>86.627408640520088</c:v>
                </c:pt>
                <c:pt idx="13">
                  <c:v>86.627408640520088</c:v>
                </c:pt>
                <c:pt idx="14">
                  <c:v>86.627408640520088</c:v>
                </c:pt>
                <c:pt idx="15">
                  <c:v>86.627408640520088</c:v>
                </c:pt>
                <c:pt idx="16">
                  <c:v>86.627408640520088</c:v>
                </c:pt>
                <c:pt idx="17">
                  <c:v>86.627408640520088</c:v>
                </c:pt>
                <c:pt idx="18">
                  <c:v>86.627408640520088</c:v>
                </c:pt>
                <c:pt idx="19">
                  <c:v>86.627408640520088</c:v>
                </c:pt>
                <c:pt idx="20">
                  <c:v>86.627408640520088</c:v>
                </c:pt>
                <c:pt idx="21">
                  <c:v>86.627408640520088</c:v>
                </c:pt>
                <c:pt idx="22">
                  <c:v>86.627408640520088</c:v>
                </c:pt>
                <c:pt idx="23">
                  <c:v>86.627408640520088</c:v>
                </c:pt>
                <c:pt idx="24">
                  <c:v>86.627408640520088</c:v>
                </c:pt>
                <c:pt idx="25">
                  <c:v>86.627408640520088</c:v>
                </c:pt>
              </c:numCache>
            </c:numRef>
          </c:val>
        </c:ser>
        <c:ser>
          <c:idx val="5"/>
          <c:order val="5"/>
          <c:tx>
            <c:strRef>
              <c:f>'Output tables'!$A$115</c:f>
              <c:strCache>
                <c:ptCount val="1"/>
                <c:pt idx="0">
                  <c:v>Landfill gas</c:v>
                </c:pt>
              </c:strCache>
            </c:strRef>
          </c:tx>
          <c:cat>
            <c:numRef>
              <c:f>'Output tables'!$B$109:$AA$109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tables'!$B$115:$AA$115</c:f>
              <c:numCache>
                <c:formatCode>General</c:formatCode>
                <c:ptCount val="26"/>
                <c:pt idx="0">
                  <c:v>66.755984508378774</c:v>
                </c:pt>
                <c:pt idx="1">
                  <c:v>66.755984508378774</c:v>
                </c:pt>
                <c:pt idx="2">
                  <c:v>66.755984508378774</c:v>
                </c:pt>
                <c:pt idx="3">
                  <c:v>66.755984508378774</c:v>
                </c:pt>
                <c:pt idx="4">
                  <c:v>66.755984508378774</c:v>
                </c:pt>
                <c:pt idx="5">
                  <c:v>66.755984508378774</c:v>
                </c:pt>
                <c:pt idx="6">
                  <c:v>66.755984508378774</c:v>
                </c:pt>
                <c:pt idx="7">
                  <c:v>66.755984508378774</c:v>
                </c:pt>
                <c:pt idx="8">
                  <c:v>66.755984508378774</c:v>
                </c:pt>
                <c:pt idx="9">
                  <c:v>66.755984508378774</c:v>
                </c:pt>
                <c:pt idx="10">
                  <c:v>66.755984508378774</c:v>
                </c:pt>
                <c:pt idx="11">
                  <c:v>66.755984508378774</c:v>
                </c:pt>
                <c:pt idx="12">
                  <c:v>66.755984508378774</c:v>
                </c:pt>
                <c:pt idx="13">
                  <c:v>66.755984508378774</c:v>
                </c:pt>
                <c:pt idx="14">
                  <c:v>66.755984508378774</c:v>
                </c:pt>
                <c:pt idx="15">
                  <c:v>66.755984508378774</c:v>
                </c:pt>
                <c:pt idx="16">
                  <c:v>66.755984508378774</c:v>
                </c:pt>
                <c:pt idx="17">
                  <c:v>66.755984508378774</c:v>
                </c:pt>
                <c:pt idx="18">
                  <c:v>66.755984508378774</c:v>
                </c:pt>
                <c:pt idx="19">
                  <c:v>66.755984508378774</c:v>
                </c:pt>
                <c:pt idx="20">
                  <c:v>66.755984508378774</c:v>
                </c:pt>
                <c:pt idx="21">
                  <c:v>66.755984508378774</c:v>
                </c:pt>
                <c:pt idx="22">
                  <c:v>66.755984508378774</c:v>
                </c:pt>
                <c:pt idx="23">
                  <c:v>66.755984508378774</c:v>
                </c:pt>
                <c:pt idx="24">
                  <c:v>66.755984508378774</c:v>
                </c:pt>
                <c:pt idx="25">
                  <c:v>66.755984508378774</c:v>
                </c:pt>
              </c:numCache>
            </c:numRef>
          </c:val>
        </c:ser>
        <c:ser>
          <c:idx val="6"/>
          <c:order val="6"/>
          <c:tx>
            <c:strRef>
              <c:f>'Output tables'!$A$116</c:f>
              <c:strCache>
                <c:ptCount val="1"/>
                <c:pt idx="0">
                  <c:v>Biomass</c:v>
                </c:pt>
              </c:strCache>
            </c:strRef>
          </c:tx>
          <c:cat>
            <c:numRef>
              <c:f>'Output tables'!$B$109:$AA$109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tables'!$B$116:$AA$116</c:f>
              <c:numCache>
                <c:formatCode>General</c:formatCode>
                <c:ptCount val="26"/>
                <c:pt idx="0">
                  <c:v>186.22474442860573</c:v>
                </c:pt>
                <c:pt idx="1">
                  <c:v>186.22474442860408</c:v>
                </c:pt>
                <c:pt idx="2">
                  <c:v>186.22474442860408</c:v>
                </c:pt>
                <c:pt idx="3">
                  <c:v>186.22474442860408</c:v>
                </c:pt>
                <c:pt idx="4">
                  <c:v>186.22474442860408</c:v>
                </c:pt>
                <c:pt idx="5">
                  <c:v>186.22474442860408</c:v>
                </c:pt>
                <c:pt idx="6">
                  <c:v>186.22474442860408</c:v>
                </c:pt>
                <c:pt idx="7">
                  <c:v>186.22474442860408</c:v>
                </c:pt>
                <c:pt idx="8">
                  <c:v>186.22474442860408</c:v>
                </c:pt>
                <c:pt idx="9">
                  <c:v>186.22474442860408</c:v>
                </c:pt>
                <c:pt idx="10">
                  <c:v>186.22474442860408</c:v>
                </c:pt>
                <c:pt idx="11">
                  <c:v>186.22474442860408</c:v>
                </c:pt>
                <c:pt idx="12">
                  <c:v>186.22474442860408</c:v>
                </c:pt>
                <c:pt idx="13">
                  <c:v>186.22474442860408</c:v>
                </c:pt>
                <c:pt idx="14">
                  <c:v>186.22474442860408</c:v>
                </c:pt>
                <c:pt idx="15">
                  <c:v>186.22474442860408</c:v>
                </c:pt>
                <c:pt idx="16">
                  <c:v>186.22474442860408</c:v>
                </c:pt>
                <c:pt idx="17">
                  <c:v>186.22474442860408</c:v>
                </c:pt>
                <c:pt idx="18">
                  <c:v>186.22474442860408</c:v>
                </c:pt>
                <c:pt idx="19">
                  <c:v>186.22474442860408</c:v>
                </c:pt>
                <c:pt idx="20">
                  <c:v>186.22474442860408</c:v>
                </c:pt>
                <c:pt idx="21">
                  <c:v>186.22474442860408</c:v>
                </c:pt>
                <c:pt idx="22">
                  <c:v>186.22474442860408</c:v>
                </c:pt>
                <c:pt idx="23">
                  <c:v>186.22474442860408</c:v>
                </c:pt>
                <c:pt idx="24">
                  <c:v>186.22474442860408</c:v>
                </c:pt>
                <c:pt idx="25">
                  <c:v>186.22474442860408</c:v>
                </c:pt>
              </c:numCache>
            </c:numRef>
          </c:val>
        </c:ser>
        <c:ser>
          <c:idx val="7"/>
          <c:order val="7"/>
          <c:tx>
            <c:strRef>
              <c:f>'Output tables'!$A$117</c:f>
              <c:strCache>
                <c:ptCount val="1"/>
                <c:pt idx="0">
                  <c:v>Supercritical coal</c:v>
                </c:pt>
              </c:strCache>
            </c:strRef>
          </c:tx>
          <c:cat>
            <c:numRef>
              <c:f>'Output tables'!$B$109:$AA$109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tables'!$B$117:$AA$117</c:f>
              <c:numCache>
                <c:formatCode>General</c:formatCode>
                <c:ptCount val="26"/>
                <c:pt idx="0">
                  <c:v>0</c:v>
                </c:pt>
                <c:pt idx="1">
                  <c:v>0</c:v>
                </c:pt>
                <c:pt idx="2">
                  <c:v>0</c:v>
                </c:pt>
                <c:pt idx="3">
                  <c:v>0</c:v>
                </c:pt>
                <c:pt idx="4">
                  <c:v>0</c:v>
                </c:pt>
                <c:pt idx="5">
                  <c:v>0</c:v>
                </c:pt>
                <c:pt idx="6">
                  <c:v>0</c:v>
                </c:pt>
                <c:pt idx="7">
                  <c:v>2017.0741489649656</c:v>
                </c:pt>
                <c:pt idx="8">
                  <c:v>6042.9945992936546</c:v>
                </c:pt>
                <c:pt idx="9">
                  <c:v>12439.591951574404</c:v>
                </c:pt>
                <c:pt idx="10">
                  <c:v>18788.423797161042</c:v>
                </c:pt>
                <c:pt idx="11">
                  <c:v>23359.379437289736</c:v>
                </c:pt>
                <c:pt idx="12">
                  <c:v>27912.341672893061</c:v>
                </c:pt>
                <c:pt idx="13">
                  <c:v>34328.620601601884</c:v>
                </c:pt>
                <c:pt idx="14">
                  <c:v>40781.521193336659</c:v>
                </c:pt>
                <c:pt idx="15">
                  <c:v>47430.696757504877</c:v>
                </c:pt>
                <c:pt idx="16">
                  <c:v>55925.865082017495</c:v>
                </c:pt>
                <c:pt idx="17">
                  <c:v>64214.669569650039</c:v>
                </c:pt>
                <c:pt idx="18">
                  <c:v>70756.573268164022</c:v>
                </c:pt>
                <c:pt idx="19">
                  <c:v>80061.729588537331</c:v>
                </c:pt>
                <c:pt idx="20">
                  <c:v>89516.683011088913</c:v>
                </c:pt>
                <c:pt idx="21">
                  <c:v>101058.7636176855</c:v>
                </c:pt>
                <c:pt idx="22">
                  <c:v>112577.76277643123</c:v>
                </c:pt>
                <c:pt idx="23">
                  <c:v>124385.08279082377</c:v>
                </c:pt>
                <c:pt idx="24">
                  <c:v>139386.36566762257</c:v>
                </c:pt>
                <c:pt idx="25">
                  <c:v>152604.86670531984</c:v>
                </c:pt>
              </c:numCache>
            </c:numRef>
          </c:val>
        </c:ser>
        <c:ser>
          <c:idx val="8"/>
          <c:order val="8"/>
          <c:tx>
            <c:strRef>
              <c:f>'Output tables'!$A$118</c:f>
              <c:strCache>
                <c:ptCount val="1"/>
                <c:pt idx="0">
                  <c:v>Wind 30% </c:v>
                </c:pt>
              </c:strCache>
            </c:strRef>
          </c:tx>
          <c:cat>
            <c:numRef>
              <c:f>'Output tables'!$B$109:$AA$109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tables'!$B$118:$AA$118</c:f>
              <c:numCache>
                <c:formatCode>General</c:formatCode>
                <c:ptCount val="26"/>
                <c:pt idx="0">
                  <c:v>0</c:v>
                </c:pt>
                <c:pt idx="1">
                  <c:v>0</c:v>
                </c:pt>
                <c:pt idx="2">
                  <c:v>0</c:v>
                </c:pt>
                <c:pt idx="3">
                  <c:v>0</c:v>
                </c:pt>
                <c:pt idx="4">
                  <c:v>0</c:v>
                </c:pt>
                <c:pt idx="5">
                  <c:v>208.54071752916499</c:v>
                </c:pt>
                <c:pt idx="6">
                  <c:v>208.54071752916499</c:v>
                </c:pt>
                <c:pt idx="7">
                  <c:v>208.54071752916499</c:v>
                </c:pt>
                <c:pt idx="8">
                  <c:v>208.54071752916499</c:v>
                </c:pt>
                <c:pt idx="9">
                  <c:v>208.54071752916499</c:v>
                </c:pt>
                <c:pt idx="10">
                  <c:v>208.54071752916499</c:v>
                </c:pt>
                <c:pt idx="11">
                  <c:v>208.54071752916499</c:v>
                </c:pt>
                <c:pt idx="12">
                  <c:v>208.54071752916499</c:v>
                </c:pt>
                <c:pt idx="13">
                  <c:v>208.54071752916499</c:v>
                </c:pt>
                <c:pt idx="14">
                  <c:v>208.54071752916499</c:v>
                </c:pt>
                <c:pt idx="15">
                  <c:v>208.54071752916499</c:v>
                </c:pt>
                <c:pt idx="16">
                  <c:v>208.54071752916499</c:v>
                </c:pt>
                <c:pt idx="17">
                  <c:v>208.54071752916499</c:v>
                </c:pt>
                <c:pt idx="18">
                  <c:v>208.54071752916499</c:v>
                </c:pt>
                <c:pt idx="19">
                  <c:v>208.54071752916499</c:v>
                </c:pt>
                <c:pt idx="20">
                  <c:v>208.54071752916499</c:v>
                </c:pt>
                <c:pt idx="21">
                  <c:v>208.54071752916499</c:v>
                </c:pt>
                <c:pt idx="22">
                  <c:v>208.54071752916499</c:v>
                </c:pt>
                <c:pt idx="23">
                  <c:v>208.54071752916499</c:v>
                </c:pt>
                <c:pt idx="24">
                  <c:v>208.54071752916499</c:v>
                </c:pt>
                <c:pt idx="25">
                  <c:v>0</c:v>
                </c:pt>
              </c:numCache>
            </c:numRef>
          </c:val>
        </c:ser>
        <c:ser>
          <c:idx val="9"/>
          <c:order val="9"/>
          <c:tx>
            <c:strRef>
              <c:f>'Output tables'!$A$119</c:f>
              <c:strCache>
                <c:ptCount val="1"/>
                <c:pt idx="0">
                  <c:v>Wind 25%</c:v>
                </c:pt>
              </c:strCache>
            </c:strRef>
          </c:tx>
          <c:cat>
            <c:numRef>
              <c:f>'Output tables'!$B$109:$AA$109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tables'!$B$119:$AA$119</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0"/>
          <c:order val="10"/>
          <c:tx>
            <c:strRef>
              <c:f>'Output tables'!$A$120</c:f>
              <c:strCache>
                <c:ptCount val="1"/>
                <c:pt idx="0">
                  <c:v>solar thermal central reciever</c:v>
                </c:pt>
              </c:strCache>
            </c:strRef>
          </c:tx>
          <c:cat>
            <c:numRef>
              <c:f>'Output tables'!$B$109:$AA$109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tables'!$B$120:$AA$120</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1"/>
          <c:order val="11"/>
          <c:tx>
            <c:strRef>
              <c:f>'Output tables'!$A$121</c:f>
              <c:strCache>
                <c:ptCount val="1"/>
                <c:pt idx="0">
                  <c:v>solar thermal trough</c:v>
                </c:pt>
              </c:strCache>
            </c:strRef>
          </c:tx>
          <c:cat>
            <c:numRef>
              <c:f>'Output tables'!$B$109:$AA$109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tables'!$B$121:$AA$121</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2"/>
          <c:order val="12"/>
          <c:tx>
            <c:strRef>
              <c:f>'Output tables'!$A$122</c:f>
              <c:strCache>
                <c:ptCount val="1"/>
                <c:pt idx="0">
                  <c:v>solar PV</c:v>
                </c:pt>
              </c:strCache>
            </c:strRef>
          </c:tx>
          <c:cat>
            <c:numRef>
              <c:f>'Output tables'!$B$109:$AA$109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tables'!$B$122:$AA$122</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3"/>
          <c:order val="13"/>
          <c:tx>
            <c:strRef>
              <c:f>'Output tables'!$A$123</c:f>
              <c:strCache>
                <c:ptCount val="1"/>
                <c:pt idx="0">
                  <c:v>combined cycle gas</c:v>
                </c:pt>
              </c:strCache>
            </c:strRef>
          </c:tx>
          <c:cat>
            <c:numRef>
              <c:f>'Output tables'!$B$109:$AA$109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tables'!$B$123:$AA$123</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4"/>
          <c:order val="14"/>
          <c:tx>
            <c:strRef>
              <c:f>'Output tables'!$A$124</c:f>
              <c:strCache>
                <c:ptCount val="1"/>
                <c:pt idx="0">
                  <c:v>PBMR</c:v>
                </c:pt>
              </c:strCache>
            </c:strRef>
          </c:tx>
          <c:cat>
            <c:numRef>
              <c:f>'Output tables'!$B$109:$AA$109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tables'!$B$124:$AA$124</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5"/>
          <c:order val="15"/>
          <c:tx>
            <c:strRef>
              <c:f>'Output tables'!$A$125</c:f>
              <c:strCache>
                <c:ptCount val="1"/>
                <c:pt idx="0">
                  <c:v>IGCC</c:v>
                </c:pt>
              </c:strCache>
            </c:strRef>
          </c:tx>
          <c:cat>
            <c:numRef>
              <c:f>'Output tables'!$B$109:$AA$109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tables'!$B$125:$AA$125</c:f>
              <c:numCache>
                <c:formatCode>General</c:formatCode>
                <c:ptCount val="26"/>
                <c:pt idx="0">
                  <c:v>0</c:v>
                </c:pt>
                <c:pt idx="1">
                  <c:v>2.274066347231097E-12</c:v>
                </c:pt>
                <c:pt idx="2">
                  <c:v>0</c:v>
                </c:pt>
                <c:pt idx="3">
                  <c:v>2.686426941512535E-12</c:v>
                </c:pt>
                <c:pt idx="4">
                  <c:v>2.686426941512535E-12</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6"/>
          <c:order val="16"/>
          <c:tx>
            <c:strRef>
              <c:f>'Output tables'!$A$126</c:f>
              <c:strCache>
                <c:ptCount val="1"/>
                <c:pt idx="0">
                  <c:v>-</c:v>
                </c:pt>
              </c:strCache>
            </c:strRef>
          </c:tx>
          <c:cat>
            <c:numRef>
              <c:f>'Output tables'!$B$109:$AA$109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tables'!$B$126:$AA$126</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7"/>
          <c:order val="17"/>
          <c:tx>
            <c:strRef>
              <c:f>'Output tables'!$A$127</c:f>
              <c:strCache>
                <c:ptCount val="1"/>
                <c:pt idx="0">
                  <c:v>-</c:v>
                </c:pt>
              </c:strCache>
            </c:strRef>
          </c:tx>
          <c:cat>
            <c:numRef>
              <c:f>'Output tables'!$B$109:$AA$109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tables'!$B$127:$AA$127</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8"/>
          <c:order val="18"/>
          <c:tx>
            <c:strRef>
              <c:f>'Output tables'!$A$128</c:f>
              <c:strCache>
                <c:ptCount val="1"/>
                <c:pt idx="0">
                  <c:v>-</c:v>
                </c:pt>
              </c:strCache>
            </c:strRef>
          </c:tx>
          <c:cat>
            <c:numRef>
              <c:f>'Output tables'!$B$109:$AA$109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tables'!$B$128:$AA$128</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9"/>
          <c:order val="19"/>
          <c:tx>
            <c:strRef>
              <c:f>'Output tables'!$A$129</c:f>
              <c:strCache>
                <c:ptCount val="1"/>
                <c:pt idx="0">
                  <c:v>Pumped storage</c:v>
                </c:pt>
              </c:strCache>
            </c:strRef>
          </c:tx>
          <c:cat>
            <c:numRef>
              <c:f>'Output tables'!$B$109:$AA$109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tables'!$B$129:$AA$129</c:f>
              <c:numCache>
                <c:formatCode>General</c:formatCode>
                <c:ptCount val="26"/>
                <c:pt idx="0">
                  <c:v>91.355013587921817</c:v>
                </c:pt>
                <c:pt idx="1">
                  <c:v>91.355013587921817</c:v>
                </c:pt>
                <c:pt idx="2">
                  <c:v>91.355013587921817</c:v>
                </c:pt>
                <c:pt idx="3">
                  <c:v>91.355013587921817</c:v>
                </c:pt>
                <c:pt idx="4">
                  <c:v>91.355013587921817</c:v>
                </c:pt>
                <c:pt idx="5">
                  <c:v>91.355013587921817</c:v>
                </c:pt>
                <c:pt idx="6">
                  <c:v>91.355013587921817</c:v>
                </c:pt>
                <c:pt idx="7">
                  <c:v>91.355013587921817</c:v>
                </c:pt>
                <c:pt idx="8">
                  <c:v>1003.7456618954134</c:v>
                </c:pt>
                <c:pt idx="9">
                  <c:v>1916.136310202905</c:v>
                </c:pt>
                <c:pt idx="10">
                  <c:v>1916.136310202905</c:v>
                </c:pt>
                <c:pt idx="11">
                  <c:v>1916.136310202905</c:v>
                </c:pt>
                <c:pt idx="12">
                  <c:v>1916.136310202905</c:v>
                </c:pt>
                <c:pt idx="13">
                  <c:v>1916.136310202905</c:v>
                </c:pt>
                <c:pt idx="14">
                  <c:v>1916.136310202905</c:v>
                </c:pt>
                <c:pt idx="15">
                  <c:v>1916.136310202905</c:v>
                </c:pt>
                <c:pt idx="16">
                  <c:v>1916.136310202905</c:v>
                </c:pt>
                <c:pt idx="17">
                  <c:v>1916.136310202905</c:v>
                </c:pt>
                <c:pt idx="18">
                  <c:v>1916.136310202905</c:v>
                </c:pt>
                <c:pt idx="19">
                  <c:v>1916.136310202905</c:v>
                </c:pt>
                <c:pt idx="20">
                  <c:v>1916.136310202905</c:v>
                </c:pt>
                <c:pt idx="21">
                  <c:v>1916.136310202905</c:v>
                </c:pt>
                <c:pt idx="22">
                  <c:v>1916.136310202905</c:v>
                </c:pt>
                <c:pt idx="23">
                  <c:v>1916.136310202905</c:v>
                </c:pt>
                <c:pt idx="24">
                  <c:v>1916.136310202905</c:v>
                </c:pt>
                <c:pt idx="25">
                  <c:v>1916.136310202905</c:v>
                </c:pt>
              </c:numCache>
            </c:numRef>
          </c:val>
        </c:ser>
        <c:ser>
          <c:idx val="21"/>
          <c:order val="21"/>
          <c:tx>
            <c:strRef>
              <c:f>'Output tables'!$A$130</c:f>
              <c:strCache>
                <c:ptCount val="1"/>
                <c:pt idx="0">
                  <c:v>carbon tax</c:v>
                </c:pt>
              </c:strCache>
            </c:strRef>
          </c:tx>
          <c:val>
            <c:numRef>
              <c:f>'Output tables'!$B$130:$AA$130</c:f>
              <c:numCache>
                <c:formatCode>General</c:formatCode>
                <c:ptCount val="26"/>
                <c:pt idx="0">
                  <c:v>0</c:v>
                </c:pt>
                <c:pt idx="1">
                  <c:v>0</c:v>
                </c:pt>
                <c:pt idx="2">
                  <c:v>0</c:v>
                </c:pt>
                <c:pt idx="3">
                  <c:v>0</c:v>
                </c:pt>
                <c:pt idx="4">
                  <c:v>0</c:v>
                </c:pt>
                <c:pt idx="5">
                  <c:v>0</c:v>
                </c:pt>
                <c:pt idx="6">
                  <c:v>0</c:v>
                </c:pt>
                <c:pt idx="7">
                  <c:v>24583.11069036174</c:v>
                </c:pt>
                <c:pt idx="8">
                  <c:v>25293.9489102591</c:v>
                </c:pt>
                <c:pt idx="9">
                  <c:v>26127.154671016746</c:v>
                </c:pt>
                <c:pt idx="10">
                  <c:v>26904.600623528404</c:v>
                </c:pt>
                <c:pt idx="11">
                  <c:v>83168.844185757815</c:v>
                </c:pt>
                <c:pt idx="12">
                  <c:v>85583.406849191335</c:v>
                </c:pt>
                <c:pt idx="13">
                  <c:v>88128.326031359742</c:v>
                </c:pt>
                <c:pt idx="14">
                  <c:v>90793.184922384913</c:v>
                </c:pt>
                <c:pt idx="15">
                  <c:v>155507.11452096413</c:v>
                </c:pt>
                <c:pt idx="16">
                  <c:v>159927.1361011313</c:v>
                </c:pt>
                <c:pt idx="17">
                  <c:v>164711.8485085991</c:v>
                </c:pt>
                <c:pt idx="18">
                  <c:v>169818.8939645763</c:v>
                </c:pt>
                <c:pt idx="19">
                  <c:v>174857.95503802545</c:v>
                </c:pt>
                <c:pt idx="20">
                  <c:v>179994.85064997067</c:v>
                </c:pt>
                <c:pt idx="21">
                  <c:v>185501.73698433806</c:v>
                </c:pt>
                <c:pt idx="22">
                  <c:v>191406.79437025421</c:v>
                </c:pt>
                <c:pt idx="23">
                  <c:v>197439.8733291961</c:v>
                </c:pt>
                <c:pt idx="24">
                  <c:v>203215.82070002286</c:v>
                </c:pt>
                <c:pt idx="25">
                  <c:v>207728.30923575407</c:v>
                </c:pt>
              </c:numCache>
            </c:numRef>
          </c:val>
        </c:ser>
        <c:axId val="111769472"/>
        <c:axId val="111771008"/>
      </c:areaChart>
      <c:lineChart>
        <c:grouping val="standard"/>
        <c:ser>
          <c:idx val="20"/>
          <c:order val="20"/>
          <c:tx>
            <c:v>Average electricity cost</c:v>
          </c:tx>
          <c:marker>
            <c:symbol val="none"/>
          </c:marker>
          <c:val>
            <c:numRef>
              <c:f>'Output tables'!$B$132:$AA$132</c:f>
              <c:numCache>
                <c:formatCode>General</c:formatCode>
                <c:ptCount val="26"/>
                <c:pt idx="0">
                  <c:v>9.3081558925848837E-2</c:v>
                </c:pt>
                <c:pt idx="1">
                  <c:v>0.10111172940856715</c:v>
                </c:pt>
                <c:pt idx="2">
                  <c:v>0.1073822276448695</c:v>
                </c:pt>
                <c:pt idx="3">
                  <c:v>0.11253193533162395</c:v>
                </c:pt>
                <c:pt idx="4">
                  <c:v>0.11103005156183383</c:v>
                </c:pt>
                <c:pt idx="5">
                  <c:v>0.11213531685831545</c:v>
                </c:pt>
                <c:pt idx="6">
                  <c:v>0.11738717550437631</c:v>
                </c:pt>
                <c:pt idx="7">
                  <c:v>0.12412266262515818</c:v>
                </c:pt>
                <c:pt idx="8">
                  <c:v>0.13991373488358169</c:v>
                </c:pt>
                <c:pt idx="9">
                  <c:v>0.16133825436935464</c:v>
                </c:pt>
                <c:pt idx="10">
                  <c:v>0.17910195098757228</c:v>
                </c:pt>
                <c:pt idx="11">
                  <c:v>0.18958927150392835</c:v>
                </c:pt>
                <c:pt idx="12">
                  <c:v>0.19951484024610688</c:v>
                </c:pt>
                <c:pt idx="13">
                  <c:v>0.21443150843935896</c:v>
                </c:pt>
                <c:pt idx="14">
                  <c:v>0.22832938247221654</c:v>
                </c:pt>
                <c:pt idx="15">
                  <c:v>0.24063617274836691</c:v>
                </c:pt>
                <c:pt idx="16">
                  <c:v>0.25720924663182743</c:v>
                </c:pt>
                <c:pt idx="17">
                  <c:v>0.27349843720432687</c:v>
                </c:pt>
                <c:pt idx="18">
                  <c:v>0.2864678847559835</c:v>
                </c:pt>
                <c:pt idx="19">
                  <c:v>0.30062533612241965</c:v>
                </c:pt>
                <c:pt idx="20">
                  <c:v>0.31335625851087034</c:v>
                </c:pt>
                <c:pt idx="21">
                  <c:v>0.33193359951048179</c:v>
                </c:pt>
                <c:pt idx="22">
                  <c:v>0.34675757500063115</c:v>
                </c:pt>
                <c:pt idx="23">
                  <c:v>0.3604307712213598</c:v>
                </c:pt>
                <c:pt idx="24">
                  <c:v>0.37977339786638209</c:v>
                </c:pt>
                <c:pt idx="25">
                  <c:v>0.39690952391183165</c:v>
                </c:pt>
              </c:numCache>
            </c:numRef>
          </c:val>
        </c:ser>
        <c:ser>
          <c:idx val="22"/>
          <c:order val="22"/>
          <c:tx>
            <c:strRef>
              <c:f>'Output tables'!$A$133</c:f>
              <c:strCache>
                <c:ptCount val="1"/>
                <c:pt idx="0">
                  <c:v>Average an elec cost with carbon tax</c:v>
                </c:pt>
              </c:strCache>
            </c:strRef>
          </c:tx>
          <c:marker>
            <c:symbol val="none"/>
          </c:marker>
          <c:val>
            <c:numRef>
              <c:f>'Output tables'!$B$133:$AA$133</c:f>
              <c:numCache>
                <c:formatCode>General</c:formatCode>
                <c:ptCount val="26"/>
                <c:pt idx="0">
                  <c:v>9.3081558925848837E-2</c:v>
                </c:pt>
                <c:pt idx="1">
                  <c:v>0.10111172940856715</c:v>
                </c:pt>
                <c:pt idx="2">
                  <c:v>0.1073822276448695</c:v>
                </c:pt>
                <c:pt idx="3">
                  <c:v>0.11253193533162395</c:v>
                </c:pt>
                <c:pt idx="4">
                  <c:v>0.11103005156183383</c:v>
                </c:pt>
                <c:pt idx="5">
                  <c:v>0.11213531685831545</c:v>
                </c:pt>
                <c:pt idx="6">
                  <c:v>0.11738717550437631</c:v>
                </c:pt>
                <c:pt idx="7">
                  <c:v>0.21721069135154028</c:v>
                </c:pt>
                <c:pt idx="8">
                  <c:v>0.23265049352757847</c:v>
                </c:pt>
                <c:pt idx="9">
                  <c:v>0.25367295044367077</c:v>
                </c:pt>
                <c:pt idx="10">
                  <c:v>0.27146766156373364</c:v>
                </c:pt>
                <c:pt idx="11">
                  <c:v>0.46675575835661087</c:v>
                </c:pt>
                <c:pt idx="12">
                  <c:v>0.47674531975164608</c:v>
                </c:pt>
                <c:pt idx="13">
                  <c:v>0.49171959873115961</c:v>
                </c:pt>
                <c:pt idx="14">
                  <c:v>0.50567568659978923</c:v>
                </c:pt>
                <c:pt idx="15">
                  <c:v>0.70214359464174836</c:v>
                </c:pt>
                <c:pt idx="16">
                  <c:v>0.71803012457458693</c:v>
                </c:pt>
                <c:pt idx="17">
                  <c:v>0.73449937095972107</c:v>
                </c:pt>
                <c:pt idx="18">
                  <c:v>0.74762648974416923</c:v>
                </c:pt>
                <c:pt idx="19">
                  <c:v>0.76129180395264029</c:v>
                </c:pt>
                <c:pt idx="20">
                  <c:v>0.77322099040705206</c:v>
                </c:pt>
                <c:pt idx="21">
                  <c:v>0.79088352099262671</c:v>
                </c:pt>
                <c:pt idx="22">
                  <c:v>0.80520669364998632</c:v>
                </c:pt>
                <c:pt idx="23">
                  <c:v>0.81826379882292377</c:v>
                </c:pt>
                <c:pt idx="24">
                  <c:v>0.83615153070635007</c:v>
                </c:pt>
                <c:pt idx="25">
                  <c:v>0.85295795996813228</c:v>
                </c:pt>
              </c:numCache>
            </c:numRef>
          </c:val>
        </c:ser>
        <c:marker val="1"/>
        <c:axId val="111789568"/>
        <c:axId val="111791104"/>
      </c:lineChart>
      <c:catAx>
        <c:axId val="111769472"/>
        <c:scaling>
          <c:orientation val="minMax"/>
        </c:scaling>
        <c:axPos val="b"/>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1771008"/>
        <c:crosses val="autoZero"/>
        <c:auto val="1"/>
        <c:lblAlgn val="ctr"/>
        <c:lblOffset val="100"/>
      </c:catAx>
      <c:valAx>
        <c:axId val="111771008"/>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R million</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1769472"/>
        <c:crossesAt val="1"/>
        <c:crossBetween val="between"/>
      </c:valAx>
      <c:catAx>
        <c:axId val="111789568"/>
        <c:scaling>
          <c:orientation val="minMax"/>
        </c:scaling>
        <c:delete val="1"/>
        <c:axPos val="t"/>
        <c:tickLblPos val="none"/>
        <c:crossAx val="111791104"/>
        <c:crosses val="max"/>
        <c:auto val="1"/>
        <c:lblAlgn val="ctr"/>
        <c:lblOffset val="100"/>
      </c:catAx>
      <c:valAx>
        <c:axId val="111791104"/>
        <c:scaling>
          <c:orientation val="minMax"/>
        </c:scaling>
        <c:axPos val="r"/>
        <c:title>
          <c:tx>
            <c:rich>
              <a:bodyPr/>
              <a:lstStyle/>
              <a:p>
                <a:pPr>
                  <a:defRPr lang="en-ZA" sz="1000" b="1" i="0" u="none" strike="noStrike" baseline="0">
                    <a:solidFill>
                      <a:srgbClr val="000000"/>
                    </a:solidFill>
                    <a:latin typeface="Calibri"/>
                    <a:ea typeface="Calibri"/>
                    <a:cs typeface="Calibri"/>
                  </a:defRPr>
                </a:pPr>
                <a:r>
                  <a:rPr lang="en-ZA"/>
                  <a:t>Rands / kWh</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1789568"/>
        <c:crosses val="max"/>
        <c:crossBetween val="between"/>
      </c:valAx>
    </c:plotArea>
    <c:legend>
      <c:legendPos val="b"/>
      <c:layout>
        <c:manualLayout>
          <c:xMode val="edge"/>
          <c:yMode val="edge"/>
          <c:x val="4.4515312412670753E-2"/>
          <c:y val="0.62872547364328202"/>
          <c:w val="0.83407098121085599"/>
          <c:h val="0.37127452635671998"/>
        </c:manualLayout>
      </c:layout>
      <c:txPr>
        <a:bodyPr/>
        <a:lstStyle/>
        <a:p>
          <a:pPr>
            <a:defRPr lang="en-ZA" sz="845" b="0" i="0" u="none" strike="noStrike" baseline="0">
              <a:solidFill>
                <a:srgbClr val="000000"/>
              </a:solidFill>
              <a:latin typeface="Calibri"/>
              <a:ea typeface="Calibri"/>
              <a:cs typeface="Calibri"/>
            </a:defRPr>
          </a:pPr>
          <a:endParaRPr lang="en-US"/>
        </a:p>
      </c:txPr>
    </c:legend>
    <c:plotVisOnly val="1"/>
    <c:dispBlanksAs val="zero"/>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167" l="0.70000000000000062" r="0.70000000000000062" t="0.75000000000000167" header="0.30000000000000032" footer="0.30000000000000032"/>
    <c:pageSetup/>
  </c:printSettings>
</c:chartSpace>
</file>

<file path=xl/charts/chart92.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050" b="1" i="0" u="none" strike="noStrike" baseline="0">
                <a:solidFill>
                  <a:srgbClr val="000000"/>
                </a:solidFill>
                <a:latin typeface="Calibri"/>
                <a:ea typeface="Calibri"/>
                <a:cs typeface="Calibri"/>
              </a:defRPr>
            </a:pPr>
            <a:r>
              <a:rPr lang="en-ZA"/>
              <a:t>Annual investment requirement</a:t>
            </a:r>
          </a:p>
        </c:rich>
      </c:tx>
      <c:overlay val="1"/>
    </c:title>
    <c:plotArea>
      <c:layout>
        <c:manualLayout>
          <c:layoutTarget val="inner"/>
          <c:xMode val="edge"/>
          <c:yMode val="edge"/>
          <c:x val="0.15451618547681614"/>
          <c:y val="6.1014547094656674E-2"/>
          <c:w val="0.78676159230096232"/>
          <c:h val="0.50886813061410863"/>
        </c:manualLayout>
      </c:layout>
      <c:areaChart>
        <c:grouping val="stacked"/>
        <c:ser>
          <c:idx val="0"/>
          <c:order val="0"/>
          <c:tx>
            <c:strRef>
              <c:f>'Output tables'!$A$144</c:f>
              <c:strCache>
                <c:ptCount val="1"/>
                <c:pt idx="0">
                  <c:v>Existing coal Large</c:v>
                </c:pt>
              </c:strCache>
            </c:strRef>
          </c:tx>
          <c:cat>
            <c:numRef>
              <c:f>'Output tables'!$B$143:$AA$143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tables'!$B$144:$AA$144</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
          <c:order val="1"/>
          <c:tx>
            <c:strRef>
              <c:f>'Output tables'!$A$145</c:f>
              <c:strCache>
                <c:ptCount val="1"/>
                <c:pt idx="0">
                  <c:v>Existing coal Small</c:v>
                </c:pt>
              </c:strCache>
            </c:strRef>
          </c:tx>
          <c:cat>
            <c:numRef>
              <c:f>'Output tables'!$B$143:$AA$143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tables'!$B$145:$AA$145</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2"/>
          <c:order val="2"/>
          <c:tx>
            <c:strRef>
              <c:f>'Output tables'!$A$146</c:f>
              <c:strCache>
                <c:ptCount val="1"/>
                <c:pt idx="0">
                  <c:v>OCGT liquid fuels</c:v>
                </c:pt>
              </c:strCache>
            </c:strRef>
          </c:tx>
          <c:cat>
            <c:numRef>
              <c:f>'Output tables'!$B$143:$AA$143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tables'!$B$146:$AA$146</c:f>
              <c:numCache>
                <c:formatCode>General</c:formatCode>
                <c:ptCount val="26"/>
                <c:pt idx="0">
                  <c:v>0</c:v>
                </c:pt>
                <c:pt idx="1">
                  <c:v>0</c:v>
                </c:pt>
                <c:pt idx="2">
                  <c:v>0</c:v>
                </c:pt>
                <c:pt idx="3">
                  <c:v>299.85406508081212</c:v>
                </c:pt>
                <c:pt idx="4">
                  <c:v>1229.4016668313295</c:v>
                </c:pt>
                <c:pt idx="5">
                  <c:v>4650.7365494033957</c:v>
                </c:pt>
                <c:pt idx="6">
                  <c:v>0</c:v>
                </c:pt>
                <c:pt idx="7">
                  <c:v>0</c:v>
                </c:pt>
                <c:pt idx="8">
                  <c:v>0</c:v>
                </c:pt>
                <c:pt idx="9">
                  <c:v>0</c:v>
                </c:pt>
                <c:pt idx="10">
                  <c:v>0</c:v>
                </c:pt>
                <c:pt idx="11">
                  <c:v>0</c:v>
                </c:pt>
                <c:pt idx="12">
                  <c:v>0</c:v>
                </c:pt>
                <c:pt idx="13">
                  <c:v>0</c:v>
                </c:pt>
                <c:pt idx="14">
                  <c:v>0</c:v>
                </c:pt>
                <c:pt idx="15">
                  <c:v>199.90271005387473</c:v>
                </c:pt>
                <c:pt idx="16">
                  <c:v>819.6011112208862</c:v>
                </c:pt>
                <c:pt idx="17">
                  <c:v>3100.4910329355966</c:v>
                </c:pt>
                <c:pt idx="18">
                  <c:v>199.90271005387473</c:v>
                </c:pt>
                <c:pt idx="19">
                  <c:v>819.6011112208862</c:v>
                </c:pt>
                <c:pt idx="20">
                  <c:v>3100.4910329355966</c:v>
                </c:pt>
                <c:pt idx="21">
                  <c:v>199.90271005387473</c:v>
                </c:pt>
                <c:pt idx="22">
                  <c:v>819.6011112208862</c:v>
                </c:pt>
                <c:pt idx="23">
                  <c:v>3100.4910329355966</c:v>
                </c:pt>
                <c:pt idx="24">
                  <c:v>0</c:v>
                </c:pt>
                <c:pt idx="25">
                  <c:v>0</c:v>
                </c:pt>
              </c:numCache>
            </c:numRef>
          </c:val>
        </c:ser>
        <c:ser>
          <c:idx val="3"/>
          <c:order val="3"/>
          <c:tx>
            <c:strRef>
              <c:f>'Output tables'!$A$147</c:f>
              <c:strCache>
                <c:ptCount val="1"/>
                <c:pt idx="0">
                  <c:v>PWR nuclear</c:v>
                </c:pt>
              </c:strCache>
            </c:strRef>
          </c:tx>
          <c:cat>
            <c:numRef>
              <c:f>'Output tables'!$B$143:$AA$143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tables'!$B$147:$AA$147</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4"/>
          <c:order val="4"/>
          <c:tx>
            <c:strRef>
              <c:f>'Output tables'!$A$148</c:f>
              <c:strCache>
                <c:ptCount val="1"/>
                <c:pt idx="0">
                  <c:v>Hydro</c:v>
                </c:pt>
              </c:strCache>
            </c:strRef>
          </c:tx>
          <c:cat>
            <c:numRef>
              <c:f>'Output tables'!$B$143:$AA$143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tables'!$B$148:$AA$148</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5"/>
          <c:order val="5"/>
          <c:tx>
            <c:strRef>
              <c:f>'Output tables'!$A$149</c:f>
              <c:strCache>
                <c:ptCount val="1"/>
                <c:pt idx="0">
                  <c:v>Landfill gas</c:v>
                </c:pt>
              </c:strCache>
            </c:strRef>
          </c:tx>
          <c:cat>
            <c:numRef>
              <c:f>'Output tables'!$B$143:$AA$143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tables'!$B$149:$AA$149</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6"/>
          <c:order val="6"/>
          <c:tx>
            <c:strRef>
              <c:f>'Output tables'!$A$150</c:f>
              <c:strCache>
                <c:ptCount val="1"/>
                <c:pt idx="0">
                  <c:v>Biomass</c:v>
                </c:pt>
              </c:strCache>
            </c:strRef>
          </c:tx>
          <c:cat>
            <c:numRef>
              <c:f>'Output tables'!$B$143:$AA$143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tables'!$B$150:$AA$150</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7"/>
          <c:order val="7"/>
          <c:tx>
            <c:strRef>
              <c:f>'Output tables'!$A$151</c:f>
              <c:strCache>
                <c:ptCount val="1"/>
                <c:pt idx="0">
                  <c:v>Supercritical coal</c:v>
                </c:pt>
              </c:strCache>
            </c:strRef>
          </c:tx>
          <c:cat>
            <c:numRef>
              <c:f>'Output tables'!$B$143:$AA$143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tables'!$B$151:$AA$151</c:f>
              <c:numCache>
                <c:formatCode>General</c:formatCode>
                <c:ptCount val="26"/>
                <c:pt idx="0">
                  <c:v>0</c:v>
                </c:pt>
                <c:pt idx="1">
                  <c:v>663.75232174368716</c:v>
                </c:pt>
                <c:pt idx="2">
                  <c:v>2053.5222759085655</c:v>
                </c:pt>
                <c:pt idx="3">
                  <c:v>3813.0002183239285</c:v>
                </c:pt>
                <c:pt idx="4">
                  <c:v>9740.6803993905232</c:v>
                </c:pt>
                <c:pt idx="5">
                  <c:v>21245.764687606472</c:v>
                </c:pt>
                <c:pt idx="6">
                  <c:v>34313.993522929261</c:v>
                </c:pt>
                <c:pt idx="7">
                  <c:v>43505.386962536453</c:v>
                </c:pt>
                <c:pt idx="8">
                  <c:v>41373.521424703482</c:v>
                </c:pt>
                <c:pt idx="9">
                  <c:v>34708.857909120299</c:v>
                </c:pt>
                <c:pt idx="10">
                  <c:v>37940.691924532643</c:v>
                </c:pt>
                <c:pt idx="11">
                  <c:v>45394.067356270752</c:v>
                </c:pt>
                <c:pt idx="12">
                  <c:v>47015.681989247241</c:v>
                </c:pt>
                <c:pt idx="13">
                  <c:v>51503.338923124145</c:v>
                </c:pt>
                <c:pt idx="14">
                  <c:v>58477.174735643042</c:v>
                </c:pt>
                <c:pt idx="15">
                  <c:v>56640.067418795952</c:v>
                </c:pt>
                <c:pt idx="16">
                  <c:v>55069.273424150328</c:v>
                </c:pt>
                <c:pt idx="17">
                  <c:v>60000.483870990036</c:v>
                </c:pt>
                <c:pt idx="18">
                  <c:v>67090.983809082973</c:v>
                </c:pt>
                <c:pt idx="19">
                  <c:v>74288.037740997534</c:v>
                </c:pt>
                <c:pt idx="20">
                  <c:v>72662.922563527696</c:v>
                </c:pt>
                <c:pt idx="21">
                  <c:v>72909.761059705561</c:v>
                </c:pt>
                <c:pt idx="22">
                  <c:v>77194.778554316377</c:v>
                </c:pt>
                <c:pt idx="23">
                  <c:v>51550.631258786714</c:v>
                </c:pt>
                <c:pt idx="24">
                  <c:v>11797.18765209939</c:v>
                </c:pt>
                <c:pt idx="25">
                  <c:v>0</c:v>
                </c:pt>
              </c:numCache>
            </c:numRef>
          </c:val>
        </c:ser>
        <c:ser>
          <c:idx val="8"/>
          <c:order val="8"/>
          <c:tx>
            <c:strRef>
              <c:f>'Output tables'!$A$152</c:f>
              <c:strCache>
                <c:ptCount val="1"/>
                <c:pt idx="0">
                  <c:v>Wind 30% </c:v>
                </c:pt>
              </c:strCache>
            </c:strRef>
          </c:tx>
          <c:cat>
            <c:numRef>
              <c:f>'Output tables'!$B$143:$AA$143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tables'!$B$152:$AA$152</c:f>
              <c:numCache>
                <c:formatCode>General</c:formatCode>
                <c:ptCount val="26"/>
                <c:pt idx="0">
                  <c:v>0</c:v>
                </c:pt>
                <c:pt idx="1">
                  <c:v>0</c:v>
                </c:pt>
                <c:pt idx="2">
                  <c:v>75.703206024444654</c:v>
                </c:pt>
                <c:pt idx="3">
                  <c:v>310.38314470022311</c:v>
                </c:pt>
                <c:pt idx="4">
                  <c:v>1174.1567254391368</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9"/>
          <c:order val="9"/>
          <c:tx>
            <c:strRef>
              <c:f>'Output tables'!$A$153</c:f>
              <c:strCache>
                <c:ptCount val="1"/>
                <c:pt idx="0">
                  <c:v>Wind 25%</c:v>
                </c:pt>
              </c:strCache>
            </c:strRef>
          </c:tx>
          <c:cat>
            <c:numRef>
              <c:f>'Output tables'!$B$143:$AA$143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tables'!$B$153:$AA$153</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0"/>
          <c:order val="10"/>
          <c:tx>
            <c:strRef>
              <c:f>'Output tables'!$A$154</c:f>
              <c:strCache>
                <c:ptCount val="1"/>
                <c:pt idx="0">
                  <c:v>solar thermal central reciever</c:v>
                </c:pt>
              </c:strCache>
            </c:strRef>
          </c:tx>
          <c:cat>
            <c:numRef>
              <c:f>'Output tables'!$B$143:$AA$143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tables'!$B$154:$AA$154</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1"/>
          <c:order val="11"/>
          <c:tx>
            <c:strRef>
              <c:f>'Output tables'!$A$155</c:f>
              <c:strCache>
                <c:ptCount val="1"/>
                <c:pt idx="0">
                  <c:v>solar thermal trough</c:v>
                </c:pt>
              </c:strCache>
            </c:strRef>
          </c:tx>
          <c:cat>
            <c:numRef>
              <c:f>'Output tables'!$B$143:$AA$143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tables'!$B$155:$AA$155</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2"/>
          <c:order val="12"/>
          <c:tx>
            <c:strRef>
              <c:f>'Output tables'!$A$156</c:f>
              <c:strCache>
                <c:ptCount val="1"/>
                <c:pt idx="0">
                  <c:v>solar PV</c:v>
                </c:pt>
              </c:strCache>
            </c:strRef>
          </c:tx>
          <c:cat>
            <c:numRef>
              <c:f>'Output tables'!$B$143:$AA$143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tables'!$B$156:$AA$156</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3"/>
          <c:order val="13"/>
          <c:tx>
            <c:strRef>
              <c:f>'Output tables'!$A$157</c:f>
              <c:strCache>
                <c:ptCount val="1"/>
                <c:pt idx="0">
                  <c:v>combined cycle gas</c:v>
                </c:pt>
              </c:strCache>
            </c:strRef>
          </c:tx>
          <c:cat>
            <c:numRef>
              <c:f>'Output tables'!$B$143:$AA$143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tables'!$B$157:$AA$157</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4"/>
          <c:order val="14"/>
          <c:tx>
            <c:strRef>
              <c:f>'Output tables'!$A$158</c:f>
              <c:strCache>
                <c:ptCount val="1"/>
                <c:pt idx="0">
                  <c:v>PBMR</c:v>
                </c:pt>
              </c:strCache>
            </c:strRef>
          </c:tx>
          <c:cat>
            <c:numRef>
              <c:f>'Output tables'!$B$143:$AA$143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tables'!$B$158:$AA$158</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5"/>
          <c:order val="15"/>
          <c:tx>
            <c:strRef>
              <c:f>'Output tables'!$A$159</c:f>
              <c:strCache>
                <c:ptCount val="1"/>
                <c:pt idx="0">
                  <c:v>IGCC</c:v>
                </c:pt>
              </c:strCache>
            </c:strRef>
          </c:tx>
          <c:cat>
            <c:numRef>
              <c:f>'Output tables'!$B$143:$AA$143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tables'!$B$159:$AA$159</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6"/>
          <c:order val="16"/>
          <c:tx>
            <c:strRef>
              <c:f>'Output tables'!$A$160</c:f>
              <c:strCache>
                <c:ptCount val="1"/>
                <c:pt idx="0">
                  <c:v>-</c:v>
                </c:pt>
              </c:strCache>
            </c:strRef>
          </c:tx>
          <c:cat>
            <c:numRef>
              <c:f>'Output tables'!$B$143:$AA$143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tables'!$B$160:$AA$160</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7"/>
          <c:order val="17"/>
          <c:tx>
            <c:strRef>
              <c:f>'Output tables'!$A$161</c:f>
              <c:strCache>
                <c:ptCount val="1"/>
                <c:pt idx="0">
                  <c:v>-</c:v>
                </c:pt>
              </c:strCache>
            </c:strRef>
          </c:tx>
          <c:cat>
            <c:numRef>
              <c:f>'Output tables'!$B$143:$AA$143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tables'!$B$161:$AA$161</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8"/>
          <c:order val="18"/>
          <c:tx>
            <c:strRef>
              <c:f>'Output tables'!$A$162</c:f>
              <c:strCache>
                <c:ptCount val="1"/>
                <c:pt idx="0">
                  <c:v>-</c:v>
                </c:pt>
              </c:strCache>
            </c:strRef>
          </c:tx>
          <c:cat>
            <c:numRef>
              <c:f>'Output tables'!$B$143:$AA$143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tables'!$B$162:$AA$162</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9"/>
          <c:order val="19"/>
          <c:tx>
            <c:strRef>
              <c:f>'Output tables'!$A$163</c:f>
              <c:strCache>
                <c:ptCount val="1"/>
                <c:pt idx="0">
                  <c:v>Pumped storage</c:v>
                </c:pt>
              </c:strCache>
            </c:strRef>
          </c:tx>
          <c:cat>
            <c:numRef>
              <c:f>'Output tables'!$B$143:$AA$143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tables'!$B$163:$AA$163</c:f>
              <c:numCache>
                <c:formatCode>General</c:formatCode>
                <c:ptCount val="26"/>
                <c:pt idx="0">
                  <c:v>1152.7675173263508</c:v>
                </c:pt>
                <c:pt idx="1">
                  <c:v>1268.0442690589857</c:v>
                </c:pt>
                <c:pt idx="2">
                  <c:v>1551.6878139684695</c:v>
                </c:pt>
                <c:pt idx="3">
                  <c:v>1863.6957133689016</c:v>
                </c:pt>
                <c:pt idx="4">
                  <c:v>2050.0652847057918</c:v>
                </c:pt>
                <c:pt idx="5">
                  <c:v>2255.0718131763715</c:v>
                </c:pt>
                <c:pt idx="6">
                  <c:v>2480.5789944940079</c:v>
                </c:pt>
                <c:pt idx="7">
                  <c:v>2728.6368939434087</c:v>
                </c:pt>
                <c:pt idx="8">
                  <c:v>1429.2859920655951</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20"/>
          <c:order val="20"/>
          <c:tx>
            <c:strRef>
              <c:f>'Output tables'!$A$164</c:f>
              <c:strCache>
                <c:ptCount val="1"/>
                <c:pt idx="0">
                  <c:v>Demand reduction  (PV and SWH)</c:v>
                </c:pt>
              </c:strCache>
            </c:strRef>
          </c:tx>
          <c:spPr>
            <a:ln w="25400">
              <a:noFill/>
            </a:ln>
          </c:spPr>
          <c:cat>
            <c:numRef>
              <c:f>'Output tables'!$B$143:$AA$143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tables'!$B$164:$AA$164</c:f>
              <c:numCache>
                <c:formatCode>General</c:formatCode>
                <c:ptCount val="26"/>
                <c:pt idx="0">
                  <c:v>0</c:v>
                </c:pt>
                <c:pt idx="1">
                  <c:v>0</c:v>
                </c:pt>
                <c:pt idx="2">
                  <c:v>0</c:v>
                </c:pt>
                <c:pt idx="3">
                  <c:v>0</c:v>
                </c:pt>
                <c:pt idx="4">
                  <c:v>0</c:v>
                </c:pt>
                <c:pt idx="5">
                  <c:v>3351.7211896980557</c:v>
                </c:pt>
                <c:pt idx="6">
                  <c:v>3228.6179183161726</c:v>
                </c:pt>
                <c:pt idx="7">
                  <c:v>3105.514646934289</c:v>
                </c:pt>
                <c:pt idx="8">
                  <c:v>2982.4113755524058</c:v>
                </c:pt>
                <c:pt idx="9">
                  <c:v>2830.9943517526899</c:v>
                </c:pt>
                <c:pt idx="10">
                  <c:v>2679.5773279529726</c:v>
                </c:pt>
                <c:pt idx="11">
                  <c:v>2596.8026882757945</c:v>
                </c:pt>
                <c:pt idx="12">
                  <c:v>2514.0280485986159</c:v>
                </c:pt>
                <c:pt idx="13">
                  <c:v>2431.2534089214378</c:v>
                </c:pt>
                <c:pt idx="14">
                  <c:v>2363.3782043861515</c:v>
                </c:pt>
                <c:pt idx="15">
                  <c:v>4591.0059997017306</c:v>
                </c:pt>
                <c:pt idx="16">
                  <c:v>4455.2555906311582</c:v>
                </c:pt>
                <c:pt idx="17">
                  <c:v>4371.7690890527565</c:v>
                </c:pt>
                <c:pt idx="18">
                  <c:v>4288.2825874743539</c:v>
                </c:pt>
                <c:pt idx="19">
                  <c:v>4204.7960858959523</c:v>
                </c:pt>
                <c:pt idx="20">
                  <c:v>4121.3095843175506</c:v>
                </c:pt>
                <c:pt idx="21">
                  <c:v>4121.3095843175506</c:v>
                </c:pt>
                <c:pt idx="22">
                  <c:v>4121.3095843175506</c:v>
                </c:pt>
                <c:pt idx="23">
                  <c:v>4121.3095843175506</c:v>
                </c:pt>
                <c:pt idx="24">
                  <c:v>4121.3095843175506</c:v>
                </c:pt>
                <c:pt idx="25">
                  <c:v>4121.3095843175506</c:v>
                </c:pt>
              </c:numCache>
            </c:numRef>
          </c:val>
        </c:ser>
        <c:axId val="10513408"/>
        <c:axId val="10539776"/>
      </c:areaChart>
      <c:catAx>
        <c:axId val="10513408"/>
        <c:scaling>
          <c:orientation val="minMax"/>
        </c:scaling>
        <c:axPos val="b"/>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539776"/>
        <c:crosses val="autoZero"/>
        <c:auto val="1"/>
        <c:lblAlgn val="ctr"/>
        <c:lblOffset val="100"/>
      </c:catAx>
      <c:valAx>
        <c:axId val="10539776"/>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R million</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513408"/>
        <c:crosses val="autoZero"/>
        <c:crossBetween val="midCat"/>
      </c:valAx>
    </c:plotArea>
    <c:legend>
      <c:legendPos val="b"/>
      <c:layout>
        <c:manualLayout>
          <c:xMode val="edge"/>
          <c:yMode val="edge"/>
          <c:x val="6.1181926250250096E-2"/>
          <c:y val="0.66230732522071101"/>
          <c:w val="0.74779374551275268"/>
          <c:h val="0.33769267477928966"/>
        </c:manualLayout>
      </c:layout>
      <c:txPr>
        <a:bodyPr/>
        <a:lstStyle/>
        <a:p>
          <a:pPr>
            <a:defRPr lang="en-ZA" sz="845" b="0" i="0" u="none" strike="noStrike" baseline="0">
              <a:solidFill>
                <a:srgbClr val="000000"/>
              </a:solidFill>
              <a:latin typeface="Calibri"/>
              <a:ea typeface="Calibri"/>
              <a:cs typeface="Calibri"/>
            </a:defRPr>
          </a:pPr>
          <a:endParaRPr lang="en-US"/>
        </a:p>
      </c:txPr>
    </c:legend>
    <c:plotVisOnly val="1"/>
    <c:dispBlanksAs val="zero"/>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155" l="0.70000000000000062" r="0.70000000000000062" t="0.75000000000000155" header="0.30000000000000032" footer="0.30000000000000032"/>
    <c:pageSetup/>
  </c:printSettings>
</c:chartSpace>
</file>

<file path=xl/charts/chart93.xml><?xml version="1.0" encoding="utf-8"?>
<c:chartSpace xmlns:c="http://schemas.openxmlformats.org/drawingml/2006/chart" xmlns:a="http://schemas.openxmlformats.org/drawingml/2006/main" xmlns:r="http://schemas.openxmlformats.org/officeDocument/2006/relationships">
  <c:lang val="en-ZA"/>
  <c:chart>
    <c:plotArea>
      <c:layout/>
      <c:barChart>
        <c:barDir val="col"/>
        <c:grouping val="clustered"/>
        <c:ser>
          <c:idx val="0"/>
          <c:order val="0"/>
          <c:tx>
            <c:strRef>
              <c:f>'Output tables'!$A$66</c:f>
              <c:strCache>
                <c:ptCount val="1"/>
                <c:pt idx="0">
                  <c:v>Supercritical coal capacity</c:v>
                </c:pt>
              </c:strCache>
            </c:strRef>
          </c:tx>
          <c:spPr>
            <a:solidFill>
              <a:schemeClr val="accent3">
                <a:lumMod val="60000"/>
                <a:lumOff val="40000"/>
              </a:schemeClr>
            </a:solidFill>
          </c:spPr>
          <c:cat>
            <c:numRef>
              <c:f>'Output tables'!$B$65:$AA$65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tables'!$B$66:$AA$66</c:f>
              <c:numCache>
                <c:formatCode>General</c:formatCode>
                <c:ptCount val="26"/>
                <c:pt idx="0">
                  <c:v>0</c:v>
                </c:pt>
                <c:pt idx="1">
                  <c:v>0</c:v>
                </c:pt>
                <c:pt idx="2">
                  <c:v>0</c:v>
                </c:pt>
                <c:pt idx="3">
                  <c:v>0</c:v>
                </c:pt>
                <c:pt idx="4">
                  <c:v>0</c:v>
                </c:pt>
                <c:pt idx="5">
                  <c:v>0</c:v>
                </c:pt>
                <c:pt idx="6">
                  <c:v>0</c:v>
                </c:pt>
                <c:pt idx="7">
                  <c:v>0.79400000000000004</c:v>
                </c:pt>
                <c:pt idx="8">
                  <c:v>2.3820000000000001</c:v>
                </c:pt>
                <c:pt idx="9">
                  <c:v>4.7640000000000002</c:v>
                </c:pt>
                <c:pt idx="10">
                  <c:v>7.1460000000000008</c:v>
                </c:pt>
                <c:pt idx="11">
                  <c:v>8.7340000000000018</c:v>
                </c:pt>
                <c:pt idx="12">
                  <c:v>10.322000000000003</c:v>
                </c:pt>
                <c:pt idx="13">
                  <c:v>12.704000000000002</c:v>
                </c:pt>
                <c:pt idx="14">
                  <c:v>15.086000000000002</c:v>
                </c:pt>
                <c:pt idx="15">
                  <c:v>17.468000000000004</c:v>
                </c:pt>
                <c:pt idx="16">
                  <c:v>20.644000000000005</c:v>
                </c:pt>
                <c:pt idx="17">
                  <c:v>23.820000000000007</c:v>
                </c:pt>
                <c:pt idx="18">
                  <c:v>26.202000000000009</c:v>
                </c:pt>
                <c:pt idx="19">
                  <c:v>29.378000000000007</c:v>
                </c:pt>
                <c:pt idx="20">
                  <c:v>32.554000000000009</c:v>
                </c:pt>
                <c:pt idx="21">
                  <c:v>36.524000000000008</c:v>
                </c:pt>
                <c:pt idx="22">
                  <c:v>40.494000000000007</c:v>
                </c:pt>
                <c:pt idx="23">
                  <c:v>44.464000000000006</c:v>
                </c:pt>
                <c:pt idx="24">
                  <c:v>49.228000000000009</c:v>
                </c:pt>
                <c:pt idx="25">
                  <c:v>53.992000000000012</c:v>
                </c:pt>
              </c:numCache>
            </c:numRef>
          </c:val>
        </c:ser>
        <c:ser>
          <c:idx val="1"/>
          <c:order val="1"/>
          <c:tx>
            <c:strRef>
              <c:f>'Output tables'!$A$67</c:f>
              <c:strCache>
                <c:ptCount val="1"/>
                <c:pt idx="0">
                  <c:v>Existing coal Large capacity</c:v>
                </c:pt>
              </c:strCache>
            </c:strRef>
          </c:tx>
          <c:cat>
            <c:numRef>
              <c:f>'Output tables'!$B$65:$AA$65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tables'!$B$67:$AA$67</c:f>
              <c:numCache>
                <c:formatCode>General</c:formatCode>
                <c:ptCount val="26"/>
                <c:pt idx="0">
                  <c:v>30.471</c:v>
                </c:pt>
                <c:pt idx="1">
                  <c:v>30.471</c:v>
                </c:pt>
                <c:pt idx="2">
                  <c:v>30.471</c:v>
                </c:pt>
                <c:pt idx="3">
                  <c:v>30.471</c:v>
                </c:pt>
                <c:pt idx="4">
                  <c:v>30.471</c:v>
                </c:pt>
                <c:pt idx="5">
                  <c:v>30.471</c:v>
                </c:pt>
                <c:pt idx="6">
                  <c:v>30.471</c:v>
                </c:pt>
                <c:pt idx="7">
                  <c:v>30.471</c:v>
                </c:pt>
                <c:pt idx="8">
                  <c:v>30.471</c:v>
                </c:pt>
                <c:pt idx="9">
                  <c:v>30.471</c:v>
                </c:pt>
                <c:pt idx="10">
                  <c:v>30.471</c:v>
                </c:pt>
                <c:pt idx="11">
                  <c:v>30.471</c:v>
                </c:pt>
                <c:pt idx="12">
                  <c:v>30.471</c:v>
                </c:pt>
                <c:pt idx="13">
                  <c:v>30.471</c:v>
                </c:pt>
                <c:pt idx="14">
                  <c:v>30.471</c:v>
                </c:pt>
                <c:pt idx="15">
                  <c:v>30.471</c:v>
                </c:pt>
                <c:pt idx="16">
                  <c:v>30.471</c:v>
                </c:pt>
                <c:pt idx="17">
                  <c:v>30.471</c:v>
                </c:pt>
                <c:pt idx="18">
                  <c:v>30.471</c:v>
                </c:pt>
                <c:pt idx="19">
                  <c:v>29.331</c:v>
                </c:pt>
                <c:pt idx="20">
                  <c:v>28.190999999999999</c:v>
                </c:pt>
                <c:pt idx="21">
                  <c:v>26.765999999999998</c:v>
                </c:pt>
                <c:pt idx="22">
                  <c:v>25.340999999999998</c:v>
                </c:pt>
                <c:pt idx="23">
                  <c:v>23.615999999999996</c:v>
                </c:pt>
                <c:pt idx="24">
                  <c:v>20.165999999999997</c:v>
                </c:pt>
                <c:pt idx="25">
                  <c:v>18.440999999999995</c:v>
                </c:pt>
              </c:numCache>
            </c:numRef>
          </c:val>
        </c:ser>
        <c:axId val="112107904"/>
        <c:axId val="112109440"/>
      </c:barChart>
      <c:lineChart>
        <c:grouping val="standard"/>
        <c:ser>
          <c:idx val="2"/>
          <c:order val="2"/>
          <c:tx>
            <c:strRef>
              <c:f>'Output tables'!$A$68</c:f>
              <c:strCache>
                <c:ptCount val="1"/>
                <c:pt idx="0">
                  <c:v>Supercritical coal output</c:v>
                </c:pt>
              </c:strCache>
            </c:strRef>
          </c:tx>
          <c:marker>
            <c:symbol val="none"/>
          </c:marker>
          <c:cat>
            <c:numRef>
              <c:f>'Output tables'!$B$65:$AA$65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tables'!$B$68:$AA$68</c:f>
              <c:numCache>
                <c:formatCode>General</c:formatCode>
                <c:ptCount val="26"/>
                <c:pt idx="0">
                  <c:v>0</c:v>
                </c:pt>
                <c:pt idx="1">
                  <c:v>0</c:v>
                </c:pt>
                <c:pt idx="2">
                  <c:v>0</c:v>
                </c:pt>
                <c:pt idx="3">
                  <c:v>0</c:v>
                </c:pt>
                <c:pt idx="4">
                  <c:v>0</c:v>
                </c:pt>
                <c:pt idx="5">
                  <c:v>0</c:v>
                </c:pt>
                <c:pt idx="6">
                  <c:v>0</c:v>
                </c:pt>
                <c:pt idx="7">
                  <c:v>1693.7365830000003</c:v>
                </c:pt>
                <c:pt idx="8">
                  <c:v>5081.2097490000015</c:v>
                </c:pt>
                <c:pt idx="9">
                  <c:v>13787.838002241275</c:v>
                </c:pt>
                <c:pt idx="10">
                  <c:v>22109.866176129231</c:v>
                </c:pt>
                <c:pt idx="11">
                  <c:v>30973.848045042821</c:v>
                </c:pt>
                <c:pt idx="12">
                  <c:v>39693.39423489997</c:v>
                </c:pt>
                <c:pt idx="13">
                  <c:v>48912.77667558215</c:v>
                </c:pt>
                <c:pt idx="14">
                  <c:v>58560.11668383942</c:v>
                </c:pt>
                <c:pt idx="15">
                  <c:v>70157.919939841871</c:v>
                </c:pt>
                <c:pt idx="16">
                  <c:v>82258.573337745125</c:v>
                </c:pt>
                <c:pt idx="17">
                  <c:v>92501.989315475454</c:v>
                </c:pt>
                <c:pt idx="18">
                  <c:v>103258.67878333401</c:v>
                </c:pt>
                <c:pt idx="19">
                  <c:v>123284.62132491726</c:v>
                </c:pt>
                <c:pt idx="20">
                  <c:v>144735.49546189455</c:v>
                </c:pt>
                <c:pt idx="21">
                  <c:v>169111.17186129716</c:v>
                </c:pt>
                <c:pt idx="22">
                  <c:v>193300.59446743844</c:v>
                </c:pt>
                <c:pt idx="23">
                  <c:v>220195.14662336902</c:v>
                </c:pt>
                <c:pt idx="24">
                  <c:v>260340.97143911308</c:v>
                </c:pt>
                <c:pt idx="25">
                  <c:v>284022.13653434324</c:v>
                </c:pt>
              </c:numCache>
            </c:numRef>
          </c:val>
        </c:ser>
        <c:ser>
          <c:idx val="3"/>
          <c:order val="3"/>
          <c:tx>
            <c:strRef>
              <c:f>'Output tables'!$A$69</c:f>
              <c:strCache>
                <c:ptCount val="1"/>
                <c:pt idx="0">
                  <c:v>Existing coal Large output</c:v>
                </c:pt>
              </c:strCache>
            </c:strRef>
          </c:tx>
          <c:spPr>
            <a:ln>
              <a:solidFill>
                <a:schemeClr val="accent2">
                  <a:lumMod val="75000"/>
                </a:schemeClr>
              </a:solidFill>
            </a:ln>
          </c:spPr>
          <c:marker>
            <c:symbol val="none"/>
          </c:marker>
          <c:cat>
            <c:numRef>
              <c:f>'Output tables'!$B$65:$AA$65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tables'!$B$69:$AA$69</c:f>
              <c:numCache>
                <c:formatCode>General</c:formatCode>
                <c:ptCount val="26"/>
                <c:pt idx="0">
                  <c:v>205861.53782111834</c:v>
                </c:pt>
                <c:pt idx="1">
                  <c:v>205861.53782111834</c:v>
                </c:pt>
                <c:pt idx="2">
                  <c:v>212643.1167461767</c:v>
                </c:pt>
                <c:pt idx="3">
                  <c:v>215005.43490868001</c:v>
                </c:pt>
                <c:pt idx="4">
                  <c:v>215005.43490868001</c:v>
                </c:pt>
                <c:pt idx="5">
                  <c:v>220081.30595977066</c:v>
                </c:pt>
                <c:pt idx="6">
                  <c:v>223929.15444342568</c:v>
                </c:pt>
                <c:pt idx="7">
                  <c:v>228206.35414744783</c:v>
                </c:pt>
                <c:pt idx="8">
                  <c:v>232179.28100439603</c:v>
                </c:pt>
                <c:pt idx="9">
                  <c:v>232379.04948696808</c:v>
                </c:pt>
                <c:pt idx="10">
                  <c:v>232379.04948696808</c:v>
                </c:pt>
                <c:pt idx="11">
                  <c:v>232379.04948696808</c:v>
                </c:pt>
                <c:pt idx="12">
                  <c:v>232379.04948696808</c:v>
                </c:pt>
                <c:pt idx="13">
                  <c:v>232379.04948696808</c:v>
                </c:pt>
                <c:pt idx="14">
                  <c:v>232379.04948696808</c:v>
                </c:pt>
                <c:pt idx="15">
                  <c:v>232379.04948696808</c:v>
                </c:pt>
                <c:pt idx="16">
                  <c:v>232379.04948696808</c:v>
                </c:pt>
                <c:pt idx="17">
                  <c:v>232379.04948696808</c:v>
                </c:pt>
                <c:pt idx="18">
                  <c:v>232379.04948696808</c:v>
                </c:pt>
                <c:pt idx="19">
                  <c:v>223685.13998563425</c:v>
                </c:pt>
                <c:pt idx="20">
                  <c:v>214991.23048430041</c:v>
                </c:pt>
                <c:pt idx="21">
                  <c:v>204123.84360763311</c:v>
                </c:pt>
                <c:pt idx="22">
                  <c:v>193256.45673096576</c:v>
                </c:pt>
                <c:pt idx="23">
                  <c:v>180101.19893289483</c:v>
                </c:pt>
                <c:pt idx="24">
                  <c:v>153790.68333675293</c:v>
                </c:pt>
                <c:pt idx="25">
                  <c:v>140635.42553868194</c:v>
                </c:pt>
              </c:numCache>
            </c:numRef>
          </c:val>
        </c:ser>
        <c:marker val="1"/>
        <c:axId val="112128000"/>
        <c:axId val="112129536"/>
      </c:lineChart>
      <c:catAx>
        <c:axId val="112107904"/>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12109440"/>
        <c:crosses val="autoZero"/>
        <c:auto val="1"/>
        <c:lblAlgn val="ctr"/>
        <c:lblOffset val="100"/>
      </c:catAx>
      <c:valAx>
        <c:axId val="112109440"/>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GW</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2107904"/>
        <c:crosses val="autoZero"/>
        <c:crossBetween val="between"/>
      </c:valAx>
      <c:catAx>
        <c:axId val="112128000"/>
        <c:scaling>
          <c:orientation val="minMax"/>
        </c:scaling>
        <c:delete val="1"/>
        <c:axPos val="b"/>
        <c:numFmt formatCode="General" sourceLinked="1"/>
        <c:tickLblPos val="none"/>
        <c:crossAx val="112129536"/>
        <c:crosses val="autoZero"/>
        <c:auto val="1"/>
        <c:lblAlgn val="ctr"/>
        <c:lblOffset val="100"/>
      </c:catAx>
      <c:valAx>
        <c:axId val="112129536"/>
        <c:scaling>
          <c:orientation val="minMax"/>
        </c:scaling>
        <c:axPos val="r"/>
        <c:title>
          <c:tx>
            <c:rich>
              <a:bodyPr/>
              <a:lstStyle/>
              <a:p>
                <a:pPr>
                  <a:defRPr lang="en-ZA" sz="1000" b="1" i="0" u="none" strike="noStrike" baseline="0">
                    <a:solidFill>
                      <a:srgbClr val="000000"/>
                    </a:solidFill>
                    <a:latin typeface="Calibri"/>
                    <a:ea typeface="Calibri"/>
                    <a:cs typeface="Calibri"/>
                  </a:defRPr>
                </a:pPr>
                <a:r>
                  <a:rPr lang="en-ZA"/>
                  <a:t>GWh</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2128000"/>
        <c:crosses val="max"/>
        <c:crossBetween val="between"/>
      </c:valAx>
    </c:plotArea>
    <c:legend>
      <c:legendPos val="b"/>
      <c:txPr>
        <a:bodyPr/>
        <a:lstStyle/>
        <a:p>
          <a:pPr>
            <a:defRPr lang="en-ZA" sz="845" b="0" i="0" u="none" strike="noStrike" baseline="0">
              <a:solidFill>
                <a:srgbClr val="000000"/>
              </a:solidFill>
              <a:latin typeface="Calibri"/>
              <a:ea typeface="Calibri"/>
              <a:cs typeface="Calibri"/>
            </a:defRPr>
          </a:pPr>
          <a:endParaRPr lang="en-US"/>
        </a:p>
      </c:txPr>
    </c:legend>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155" l="0.70000000000000062" r="0.70000000000000062" t="0.75000000000000155" header="0.30000000000000032" footer="0.30000000000000032"/>
    <c:pageSetup/>
  </c:printSettings>
</c:chartSpace>
</file>

<file path=xl/charts/chart94.xml><?xml version="1.0" encoding="utf-8"?>
<c:chartSpace xmlns:c="http://schemas.openxmlformats.org/drawingml/2006/chart" xmlns:a="http://schemas.openxmlformats.org/drawingml/2006/main" xmlns:r="http://schemas.openxmlformats.org/officeDocument/2006/relationships">
  <c:lang val="en-ZA"/>
  <c:chart>
    <c:plotArea>
      <c:layout/>
      <c:lineChart>
        <c:grouping val="standard"/>
        <c:ser>
          <c:idx val="0"/>
          <c:order val="0"/>
          <c:tx>
            <c:strRef>
              <c:f>'Output tables'!$A$73</c:f>
              <c:strCache>
                <c:ptCount val="1"/>
                <c:pt idx="0">
                  <c:v>Supercritical coal capacity utilisation</c:v>
                </c:pt>
              </c:strCache>
            </c:strRef>
          </c:tx>
          <c:marker>
            <c:symbol val="none"/>
          </c:marker>
          <c:cat>
            <c:numRef>
              <c:f>'Output tables'!$B$72:$AA$72</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tables'!$B$73:$AA$73</c:f>
              <c:numCache>
                <c:formatCode>0%</c:formatCode>
                <c:ptCount val="26"/>
                <c:pt idx="0">
                  <c:v>0</c:v>
                </c:pt>
                <c:pt idx="1">
                  <c:v>0</c:v>
                </c:pt>
                <c:pt idx="2">
                  <c:v>0</c:v>
                </c:pt>
                <c:pt idx="3">
                  <c:v>0</c:v>
                </c:pt>
                <c:pt idx="4">
                  <c:v>0</c:v>
                </c:pt>
                <c:pt idx="5">
                  <c:v>0</c:v>
                </c:pt>
                <c:pt idx="6">
                  <c:v>0</c:v>
                </c:pt>
                <c:pt idx="7">
                  <c:v>0.24351250000000005</c:v>
                </c:pt>
                <c:pt idx="8">
                  <c:v>0.24351250000000005</c:v>
                </c:pt>
                <c:pt idx="9">
                  <c:v>0.3303849936702129</c:v>
                </c:pt>
                <c:pt idx="10">
                  <c:v>0.35319861825386922</c:v>
                </c:pt>
                <c:pt idx="11">
                  <c:v>0.40483482967736983</c:v>
                </c:pt>
                <c:pt idx="12">
                  <c:v>0.43898560235861828</c:v>
                </c:pt>
                <c:pt idx="13">
                  <c:v>0.43951907316055977</c:v>
                </c:pt>
                <c:pt idx="14">
                  <c:v>0.44312241992060902</c:v>
                </c:pt>
                <c:pt idx="15">
                  <c:v>0.45848952200031956</c:v>
                </c:pt>
                <c:pt idx="16">
                  <c:v>0.4548657284400362</c:v>
                </c:pt>
                <c:pt idx="17">
                  <c:v>0.44330763314027305</c:v>
                </c:pt>
                <c:pt idx="18">
                  <c:v>0.44987101782521904</c:v>
                </c:pt>
                <c:pt idx="19">
                  <c:v>0.4790519065027275</c:v>
                </c:pt>
                <c:pt idx="20">
                  <c:v>0.5075356894252504</c:v>
                </c:pt>
                <c:pt idx="21">
                  <c:v>0.5285546023072123</c:v>
                </c:pt>
                <c:pt idx="22">
                  <c:v>0.54492709802049255</c:v>
                </c:pt>
                <c:pt idx="23">
                  <c:v>0.56532098468292691</c:v>
                </c:pt>
                <c:pt idx="24">
                  <c:v>0.60370701586633002</c:v>
                </c:pt>
                <c:pt idx="25">
                  <c:v>0.60050782200767261</c:v>
                </c:pt>
              </c:numCache>
            </c:numRef>
          </c:val>
        </c:ser>
        <c:ser>
          <c:idx val="1"/>
          <c:order val="1"/>
          <c:tx>
            <c:strRef>
              <c:f>'Output tables'!$A$74</c:f>
              <c:strCache>
                <c:ptCount val="1"/>
                <c:pt idx="0">
                  <c:v>Existing coal Large capacity utilisation</c:v>
                </c:pt>
              </c:strCache>
            </c:strRef>
          </c:tx>
          <c:marker>
            <c:symbol val="none"/>
          </c:marker>
          <c:cat>
            <c:numRef>
              <c:f>'Output tables'!$B$72:$AA$72</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tables'!$B$74:$AA$74</c:f>
              <c:numCache>
                <c:formatCode>0%</c:formatCode>
                <c:ptCount val="26"/>
                <c:pt idx="0">
                  <c:v>0.77123086050198464</c:v>
                </c:pt>
                <c:pt idx="1">
                  <c:v>0.77123086050198464</c:v>
                </c:pt>
                <c:pt idx="2">
                  <c:v>0.79663707773562631</c:v>
                </c:pt>
                <c:pt idx="3">
                  <c:v>0.80548716546221288</c:v>
                </c:pt>
                <c:pt idx="4">
                  <c:v>0.80548716546221288</c:v>
                </c:pt>
                <c:pt idx="5">
                  <c:v>0.82450319167071895</c:v>
                </c:pt>
                <c:pt idx="6">
                  <c:v>0.83891860665566464</c:v>
                </c:pt>
                <c:pt idx="7">
                  <c:v>0.85494252468904797</c:v>
                </c:pt>
                <c:pt idx="8">
                  <c:v>0.86982652794204074</c:v>
                </c:pt>
                <c:pt idx="9">
                  <c:v>0.87057493204096037</c:v>
                </c:pt>
                <c:pt idx="10">
                  <c:v>0.87057493204096037</c:v>
                </c:pt>
                <c:pt idx="11">
                  <c:v>0.87057493204096037</c:v>
                </c:pt>
                <c:pt idx="12">
                  <c:v>0.87057493204096037</c:v>
                </c:pt>
                <c:pt idx="13">
                  <c:v>0.87057493204096037</c:v>
                </c:pt>
                <c:pt idx="14">
                  <c:v>0.87057493204096037</c:v>
                </c:pt>
                <c:pt idx="15">
                  <c:v>0.87057493204096037</c:v>
                </c:pt>
                <c:pt idx="16">
                  <c:v>0.87057493204096037</c:v>
                </c:pt>
                <c:pt idx="17">
                  <c:v>0.87057493204096037</c:v>
                </c:pt>
                <c:pt idx="18">
                  <c:v>0.87057493204096037</c:v>
                </c:pt>
                <c:pt idx="19">
                  <c:v>0.87057493204096037</c:v>
                </c:pt>
                <c:pt idx="20">
                  <c:v>0.87057493204096048</c:v>
                </c:pt>
                <c:pt idx="21">
                  <c:v>0.87057493204096048</c:v>
                </c:pt>
                <c:pt idx="22">
                  <c:v>0.87057493204096037</c:v>
                </c:pt>
                <c:pt idx="23">
                  <c:v>0.87057493204096048</c:v>
                </c:pt>
                <c:pt idx="24">
                  <c:v>0.87057493204096048</c:v>
                </c:pt>
                <c:pt idx="25">
                  <c:v>0.87057493204096037</c:v>
                </c:pt>
              </c:numCache>
            </c:numRef>
          </c:val>
        </c:ser>
        <c:marker val="1"/>
        <c:axId val="112150400"/>
        <c:axId val="112151936"/>
      </c:lineChart>
      <c:catAx>
        <c:axId val="112150400"/>
        <c:scaling>
          <c:orientation val="minMax"/>
        </c:scaling>
        <c:axPos val="b"/>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2151936"/>
        <c:crosses val="autoZero"/>
        <c:auto val="1"/>
        <c:lblAlgn val="ctr"/>
        <c:lblOffset val="100"/>
      </c:catAx>
      <c:valAx>
        <c:axId val="112151936"/>
        <c:scaling>
          <c:orientation val="minMax"/>
        </c:scaling>
        <c:axPos val="l"/>
        <c:majorGridlines/>
        <c:numFmt formatCode="0%"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2150400"/>
        <c:crosses val="autoZero"/>
        <c:crossBetween val="between"/>
      </c:valAx>
    </c:plotArea>
    <c:legend>
      <c:legendPos val="b"/>
      <c:txPr>
        <a:bodyPr/>
        <a:lstStyle/>
        <a:p>
          <a:pPr>
            <a:defRPr lang="en-ZA" sz="845" b="0" i="0" u="none" strike="noStrike" baseline="0">
              <a:solidFill>
                <a:srgbClr val="000000"/>
              </a:solidFill>
              <a:latin typeface="Calibri"/>
              <a:ea typeface="Calibri"/>
              <a:cs typeface="Calibri"/>
            </a:defRPr>
          </a:pPr>
          <a:endParaRPr lang="en-US"/>
        </a:p>
      </c:txPr>
    </c:legend>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155" l="0.70000000000000062" r="0.70000000000000062" t="0.75000000000000155" header="0.30000000000000032" footer="0.30000000000000032"/>
    <c:pageSetup/>
  </c:printSettings>
</c:chartSpace>
</file>

<file path=xl/charts/chart95.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0.20484532716992512"/>
          <c:y val="7.1733689538807863E-2"/>
          <c:w val="0.74863895744375486"/>
          <c:h val="0.62471011436070645"/>
        </c:manualLayout>
      </c:layout>
      <c:areaChart>
        <c:grouping val="stacked"/>
        <c:ser>
          <c:idx val="0"/>
          <c:order val="0"/>
          <c:tx>
            <c:strRef>
              <c:f>'Output tables'!$A$176</c:f>
              <c:strCache>
                <c:ptCount val="1"/>
                <c:pt idx="0">
                  <c:v>Annualised capital cost</c:v>
                </c:pt>
              </c:strCache>
            </c:strRef>
          </c:tx>
          <c:cat>
            <c:numRef>
              <c:f>'Output tables'!$B$175:$AA$175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tables'!$B$176:$AA$176</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
          <c:order val="1"/>
          <c:tx>
            <c:strRef>
              <c:f>'Output tables'!$A$177</c:f>
              <c:strCache>
                <c:ptCount val="1"/>
                <c:pt idx="0">
                  <c:v>Fixed O&amp;M</c:v>
                </c:pt>
              </c:strCache>
            </c:strRef>
          </c:tx>
          <c:cat>
            <c:numRef>
              <c:f>'Output tables'!$B$175:$AA$175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tables'!$B$177:$AA$177</c:f>
              <c:numCache>
                <c:formatCode>General</c:formatCode>
                <c:ptCount val="26"/>
                <c:pt idx="0">
                  <c:v>6048.8582920974877</c:v>
                </c:pt>
                <c:pt idx="1">
                  <c:v>6048.8582920974877</c:v>
                </c:pt>
                <c:pt idx="2">
                  <c:v>6048.8582920974877</c:v>
                </c:pt>
                <c:pt idx="3">
                  <c:v>6048.8582920974877</c:v>
                </c:pt>
                <c:pt idx="4">
                  <c:v>6048.8582920974877</c:v>
                </c:pt>
                <c:pt idx="5">
                  <c:v>6048.8582920974877</c:v>
                </c:pt>
                <c:pt idx="6">
                  <c:v>6048.8582920974877</c:v>
                </c:pt>
                <c:pt idx="7">
                  <c:v>6048.8582920974877</c:v>
                </c:pt>
                <c:pt idx="8">
                  <c:v>6048.8582920974877</c:v>
                </c:pt>
                <c:pt idx="9">
                  <c:v>6048.8582920974877</c:v>
                </c:pt>
                <c:pt idx="10">
                  <c:v>6048.8582920974877</c:v>
                </c:pt>
                <c:pt idx="11">
                  <c:v>6048.8582920974877</c:v>
                </c:pt>
                <c:pt idx="12">
                  <c:v>6048.8582920974877</c:v>
                </c:pt>
                <c:pt idx="13">
                  <c:v>6048.8582920974877</c:v>
                </c:pt>
                <c:pt idx="14">
                  <c:v>6048.8582920974877</c:v>
                </c:pt>
                <c:pt idx="15">
                  <c:v>6048.8582920974877</c:v>
                </c:pt>
                <c:pt idx="16">
                  <c:v>6048.8582920974877</c:v>
                </c:pt>
                <c:pt idx="17">
                  <c:v>6048.8582920974877</c:v>
                </c:pt>
                <c:pt idx="18">
                  <c:v>6048.8582920974877</c:v>
                </c:pt>
                <c:pt idx="19">
                  <c:v>5822.5546442686946</c:v>
                </c:pt>
                <c:pt idx="20">
                  <c:v>5596.2509964399023</c:v>
                </c:pt>
                <c:pt idx="21">
                  <c:v>5313.3714366539116</c:v>
                </c:pt>
                <c:pt idx="22">
                  <c:v>5030.4918768679208</c:v>
                </c:pt>
                <c:pt idx="23">
                  <c:v>4688.0587255480368</c:v>
                </c:pt>
                <c:pt idx="24">
                  <c:v>4003.1924229082706</c:v>
                </c:pt>
                <c:pt idx="25">
                  <c:v>3660.759271588387</c:v>
                </c:pt>
              </c:numCache>
            </c:numRef>
          </c:val>
        </c:ser>
        <c:ser>
          <c:idx val="2"/>
          <c:order val="2"/>
          <c:tx>
            <c:strRef>
              <c:f>'Output tables'!$A$178</c:f>
              <c:strCache>
                <c:ptCount val="1"/>
                <c:pt idx="0">
                  <c:v>Variable O&amp;M</c:v>
                </c:pt>
              </c:strCache>
            </c:strRef>
          </c:tx>
          <c:cat>
            <c:numRef>
              <c:f>'Output tables'!$B$175:$AA$175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tables'!$B$178:$AA$178</c:f>
              <c:numCache>
                <c:formatCode>General</c:formatCode>
                <c:ptCount val="26"/>
                <c:pt idx="0">
                  <c:v>1683.8151698604067</c:v>
                </c:pt>
                <c:pt idx="1">
                  <c:v>1683.8151698604067</c:v>
                </c:pt>
                <c:pt idx="2">
                  <c:v>1739.2841301648871</c:v>
                </c:pt>
                <c:pt idx="3">
                  <c:v>1758.6063755933469</c:v>
                </c:pt>
                <c:pt idx="4">
                  <c:v>1758.6063755933469</c:v>
                </c:pt>
                <c:pt idx="5">
                  <c:v>1800.1237409377582</c:v>
                </c:pt>
                <c:pt idx="6">
                  <c:v>1831.5966703478778</c:v>
                </c:pt>
                <c:pt idx="7">
                  <c:v>1866.5814170003246</c:v>
                </c:pt>
                <c:pt idx="8">
                  <c:v>1899.0774071754693</c:v>
                </c:pt>
                <c:pt idx="9">
                  <c:v>1900.7113850665073</c:v>
                </c:pt>
                <c:pt idx="10">
                  <c:v>1900.7113850665073</c:v>
                </c:pt>
                <c:pt idx="11">
                  <c:v>1900.7113850665073</c:v>
                </c:pt>
                <c:pt idx="12">
                  <c:v>1900.7113850665073</c:v>
                </c:pt>
                <c:pt idx="13">
                  <c:v>1900.7113850665073</c:v>
                </c:pt>
                <c:pt idx="14">
                  <c:v>1900.7113850665073</c:v>
                </c:pt>
                <c:pt idx="15">
                  <c:v>1900.7113850665073</c:v>
                </c:pt>
                <c:pt idx="16">
                  <c:v>1900.7113850665073</c:v>
                </c:pt>
                <c:pt idx="17">
                  <c:v>1900.7113850665073</c:v>
                </c:pt>
                <c:pt idx="18">
                  <c:v>1900.7113850665073</c:v>
                </c:pt>
                <c:pt idx="19">
                  <c:v>1829.6007887954358</c:v>
                </c:pt>
                <c:pt idx="20">
                  <c:v>1758.4901925243644</c:v>
                </c:pt>
                <c:pt idx="21">
                  <c:v>1669.6019471855252</c:v>
                </c:pt>
                <c:pt idx="22">
                  <c:v>1580.7137018466856</c:v>
                </c:pt>
                <c:pt idx="23">
                  <c:v>1473.1121416996696</c:v>
                </c:pt>
                <c:pt idx="24">
                  <c:v>1257.9090214056378</c:v>
                </c:pt>
                <c:pt idx="25">
                  <c:v>1150.3074612586215</c:v>
                </c:pt>
              </c:numCache>
            </c:numRef>
          </c:val>
        </c:ser>
        <c:ser>
          <c:idx val="3"/>
          <c:order val="3"/>
          <c:tx>
            <c:strRef>
              <c:f>'Output tables'!$A$179</c:f>
              <c:strCache>
                <c:ptCount val="1"/>
                <c:pt idx="0">
                  <c:v>Fuel cost</c:v>
                </c:pt>
              </c:strCache>
            </c:strRef>
          </c:tx>
          <c:cat>
            <c:numRef>
              <c:f>'Output tables'!$B$175:$AA$175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tables'!$B$179:$AA$179</c:f>
              <c:numCache>
                <c:formatCode>General</c:formatCode>
                <c:ptCount val="26"/>
                <c:pt idx="0">
                  <c:v>8523.1750722774159</c:v>
                </c:pt>
                <c:pt idx="1">
                  <c:v>10115.401768211486</c:v>
                </c:pt>
                <c:pt idx="2">
                  <c:v>12093.306174004372</c:v>
                </c:pt>
                <c:pt idx="3">
                  <c:v>12971.008064332525</c:v>
                </c:pt>
                <c:pt idx="4">
                  <c:v>12971.008064332525</c:v>
                </c:pt>
                <c:pt idx="5">
                  <c:v>13353.098874788571</c:v>
                </c:pt>
                <c:pt idx="6">
                  <c:v>13663.757606245945</c:v>
                </c:pt>
                <c:pt idx="7">
                  <c:v>14003.415577443595</c:v>
                </c:pt>
                <c:pt idx="8">
                  <c:v>14327.24658154128</c:v>
                </c:pt>
                <c:pt idx="9">
                  <c:v>14419.683183713039</c:v>
                </c:pt>
                <c:pt idx="10">
                  <c:v>14499.792534733666</c:v>
                </c:pt>
                <c:pt idx="11">
                  <c:v>14579.901885754294</c:v>
                </c:pt>
                <c:pt idx="12">
                  <c:v>14660.011236774921</c:v>
                </c:pt>
                <c:pt idx="13">
                  <c:v>14740.120587795551</c:v>
                </c:pt>
                <c:pt idx="14">
                  <c:v>14820.229938816179</c:v>
                </c:pt>
                <c:pt idx="15">
                  <c:v>14900.339289836807</c:v>
                </c:pt>
                <c:pt idx="16">
                  <c:v>14980.448640857434</c:v>
                </c:pt>
                <c:pt idx="17">
                  <c:v>15060.557991878062</c:v>
                </c:pt>
                <c:pt idx="18">
                  <c:v>15140.667342898691</c:v>
                </c:pt>
                <c:pt idx="19">
                  <c:v>14651.327531401908</c:v>
                </c:pt>
                <c:pt idx="20">
                  <c:v>14155.993518194417</c:v>
                </c:pt>
                <c:pt idx="21">
                  <c:v>13510.804462219186</c:v>
                </c:pt>
                <c:pt idx="22">
                  <c:v>12858.122654105562</c:v>
                </c:pt>
                <c:pt idx="23">
                  <c:v>12044.938208080182</c:v>
                </c:pt>
                <c:pt idx="24">
                  <c:v>10338.341658396081</c:v>
                </c:pt>
                <c:pt idx="25">
                  <c:v>9502.4817782676801</c:v>
                </c:pt>
              </c:numCache>
            </c:numRef>
          </c:val>
        </c:ser>
        <c:ser>
          <c:idx val="5"/>
          <c:order val="5"/>
          <c:tx>
            <c:strRef>
              <c:f>'Output tables'!$A$180</c:f>
              <c:strCache>
                <c:ptCount val="1"/>
                <c:pt idx="0">
                  <c:v>Carbon tax</c:v>
                </c:pt>
              </c:strCache>
            </c:strRef>
          </c:tx>
          <c:val>
            <c:numRef>
              <c:f>'Output tables'!$B$180:$AA$180</c:f>
              <c:numCache>
                <c:formatCode>General</c:formatCode>
                <c:ptCount val="26"/>
                <c:pt idx="0">
                  <c:v>0</c:v>
                </c:pt>
                <c:pt idx="1">
                  <c:v>0</c:v>
                </c:pt>
                <c:pt idx="2">
                  <c:v>0</c:v>
                </c:pt>
                <c:pt idx="3">
                  <c:v>0</c:v>
                </c:pt>
                <c:pt idx="4">
                  <c:v>0</c:v>
                </c:pt>
                <c:pt idx="5">
                  <c:v>0</c:v>
                </c:pt>
                <c:pt idx="6">
                  <c:v>0</c:v>
                </c:pt>
                <c:pt idx="7">
                  <c:v>22653.308435134553</c:v>
                </c:pt>
                <c:pt idx="8">
                  <c:v>23047.688064995898</c:v>
                </c:pt>
                <c:pt idx="9">
                  <c:v>23067.518437678682</c:v>
                </c:pt>
                <c:pt idx="10">
                  <c:v>23067.518437678682</c:v>
                </c:pt>
                <c:pt idx="11">
                  <c:v>69202.555313036049</c:v>
                </c:pt>
                <c:pt idx="12">
                  <c:v>69202.555313036049</c:v>
                </c:pt>
                <c:pt idx="13">
                  <c:v>69202.555313036049</c:v>
                </c:pt>
                <c:pt idx="14">
                  <c:v>69202.555313036049</c:v>
                </c:pt>
                <c:pt idx="15">
                  <c:v>115337.59218839342</c:v>
                </c:pt>
                <c:pt idx="16">
                  <c:v>115337.59218839342</c:v>
                </c:pt>
                <c:pt idx="17">
                  <c:v>115337.59218839342</c:v>
                </c:pt>
                <c:pt idx="18">
                  <c:v>115337.59218839342</c:v>
                </c:pt>
                <c:pt idx="19">
                  <c:v>111022.51046824087</c:v>
                </c:pt>
                <c:pt idx="20">
                  <c:v>106707.42874808832</c:v>
                </c:pt>
                <c:pt idx="21">
                  <c:v>101313.57659789764</c:v>
                </c:pt>
                <c:pt idx="22">
                  <c:v>95919.724447706918</c:v>
                </c:pt>
                <c:pt idx="23">
                  <c:v>89390.324476423455</c:v>
                </c:pt>
                <c:pt idx="24">
                  <c:v>76331.524533856515</c:v>
                </c:pt>
                <c:pt idx="25">
                  <c:v>69802.124562573023</c:v>
                </c:pt>
              </c:numCache>
            </c:numRef>
          </c:val>
        </c:ser>
        <c:axId val="112212992"/>
        <c:axId val="112222976"/>
      </c:areaChart>
      <c:lineChart>
        <c:grouping val="standard"/>
        <c:ser>
          <c:idx val="4"/>
          <c:order val="4"/>
          <c:tx>
            <c:strRef>
              <c:f>'Output tables'!$A$181</c:f>
              <c:strCache>
                <c:ptCount val="1"/>
                <c:pt idx="0">
                  <c:v>Annual investment requirement</c:v>
                </c:pt>
              </c:strCache>
            </c:strRef>
          </c:tx>
          <c:marker>
            <c:symbol val="none"/>
          </c:marker>
          <c:cat>
            <c:numRef>
              <c:f>'Output tables'!$B$175:$AA$175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tables'!$B$181:$AA$181</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marker val="1"/>
        <c:axId val="112212992"/>
        <c:axId val="112222976"/>
      </c:lineChart>
      <c:catAx>
        <c:axId val="112212992"/>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12222976"/>
        <c:crosses val="autoZero"/>
        <c:auto val="1"/>
        <c:lblAlgn val="ctr"/>
        <c:lblOffset val="100"/>
      </c:catAx>
      <c:valAx>
        <c:axId val="112222976"/>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R million</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2212992"/>
        <c:crosses val="autoZero"/>
        <c:crossBetween val="between"/>
      </c:valAx>
    </c:plotArea>
    <c:legend>
      <c:legendPos val="b"/>
      <c:txPr>
        <a:bodyPr/>
        <a:lstStyle/>
        <a:p>
          <a:pPr>
            <a:defRPr lang="en-ZA" sz="845" b="0" i="0" u="none" strike="noStrike" baseline="0">
              <a:solidFill>
                <a:srgbClr val="000000"/>
              </a:solidFill>
              <a:latin typeface="Calibri"/>
              <a:ea typeface="Calibri"/>
              <a:cs typeface="Calibri"/>
            </a:defRPr>
          </a:pPr>
          <a:endParaRPr lang="en-US"/>
        </a:p>
      </c:txPr>
    </c:legend>
    <c:plotVisOnly val="1"/>
    <c:dispBlanksAs val="zero"/>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155" l="0.70000000000000062" r="0.70000000000000062" t="0.75000000000000155" header="0.30000000000000032" footer="0.30000000000000032"/>
    <c:pageSetup/>
  </c:printSettings>
</c:chartSpace>
</file>

<file path=xl/charts/chart96.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0.20484532716992523"/>
          <c:y val="7.173368953880789E-2"/>
          <c:w val="0.7486389574437553"/>
          <c:h val="0.62471011436070678"/>
        </c:manualLayout>
      </c:layout>
      <c:areaChart>
        <c:grouping val="stacked"/>
        <c:ser>
          <c:idx val="0"/>
          <c:order val="0"/>
          <c:tx>
            <c:strRef>
              <c:f>'Output tables'!$A$185</c:f>
              <c:strCache>
                <c:ptCount val="1"/>
                <c:pt idx="0">
                  <c:v>Annualised capital cost</c:v>
                </c:pt>
              </c:strCache>
            </c:strRef>
          </c:tx>
          <c:cat>
            <c:numRef>
              <c:f>'Output tables'!$B$175:$AA$175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tables'!$B$185:$AA$185</c:f>
              <c:numCache>
                <c:formatCode>General</c:formatCode>
                <c:ptCount val="26"/>
                <c:pt idx="0">
                  <c:v>0</c:v>
                </c:pt>
                <c:pt idx="1">
                  <c:v>0</c:v>
                </c:pt>
                <c:pt idx="2">
                  <c:v>0</c:v>
                </c:pt>
                <c:pt idx="3">
                  <c:v>0</c:v>
                </c:pt>
                <c:pt idx="4">
                  <c:v>0</c:v>
                </c:pt>
                <c:pt idx="5">
                  <c:v>0</c:v>
                </c:pt>
                <c:pt idx="6">
                  <c:v>0</c:v>
                </c:pt>
                <c:pt idx="7">
                  <c:v>1663.2311120001971</c:v>
                </c:pt>
                <c:pt idx="8">
                  <c:v>4979.3946913442433</c:v>
                </c:pt>
                <c:pt idx="9">
                  <c:v>9938.1920933757901</c:v>
                </c:pt>
                <c:pt idx="10">
                  <c:v>14881.541528422815</c:v>
                </c:pt>
                <c:pt idx="11">
                  <c:v>18166.809173797817</c:v>
                </c:pt>
                <c:pt idx="12">
                  <c:v>21441.778174516472</c:v>
                </c:pt>
                <c:pt idx="13">
                  <c:v>26338.783708609932</c:v>
                </c:pt>
                <c:pt idx="14">
                  <c:v>31220.341275718871</c:v>
                </c:pt>
                <c:pt idx="15">
                  <c:v>36086.450875843286</c:v>
                </c:pt>
                <c:pt idx="16">
                  <c:v>42553.999720029809</c:v>
                </c:pt>
                <c:pt idx="17">
                  <c:v>49000.951274903637</c:v>
                </c:pt>
                <c:pt idx="18">
                  <c:v>53820.716974074487</c:v>
                </c:pt>
                <c:pt idx="19">
                  <c:v>60228.710227448304</c:v>
                </c:pt>
                <c:pt idx="20">
                  <c:v>66618.342468634801</c:v>
                </c:pt>
                <c:pt idx="21">
                  <c:v>74582.431504883774</c:v>
                </c:pt>
                <c:pt idx="22">
                  <c:v>82523.569275898597</c:v>
                </c:pt>
                <c:pt idx="23">
                  <c:v>90441.755781679283</c:v>
                </c:pt>
                <c:pt idx="24">
                  <c:v>99916.038070335126</c:v>
                </c:pt>
                <c:pt idx="25">
                  <c:v>109362.77884070999</c:v>
                </c:pt>
              </c:numCache>
            </c:numRef>
          </c:val>
        </c:ser>
        <c:ser>
          <c:idx val="1"/>
          <c:order val="1"/>
          <c:tx>
            <c:strRef>
              <c:f>'Output tables'!$A$186</c:f>
              <c:strCache>
                <c:ptCount val="1"/>
                <c:pt idx="0">
                  <c:v>Fixed O&amp;M</c:v>
                </c:pt>
              </c:strCache>
            </c:strRef>
          </c:tx>
          <c:cat>
            <c:numRef>
              <c:f>'Output tables'!$B$175:$AA$175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tables'!$B$186:$AA$186</c:f>
              <c:numCache>
                <c:formatCode>General</c:formatCode>
                <c:ptCount val="26"/>
                <c:pt idx="0">
                  <c:v>0</c:v>
                </c:pt>
                <c:pt idx="1">
                  <c:v>0</c:v>
                </c:pt>
                <c:pt idx="2">
                  <c:v>0</c:v>
                </c:pt>
                <c:pt idx="3">
                  <c:v>0</c:v>
                </c:pt>
                <c:pt idx="4">
                  <c:v>0</c:v>
                </c:pt>
                <c:pt idx="5">
                  <c:v>0</c:v>
                </c:pt>
                <c:pt idx="6">
                  <c:v>0</c:v>
                </c:pt>
                <c:pt idx="7">
                  <c:v>182.33827776393036</c:v>
                </c:pt>
                <c:pt idx="8">
                  <c:v>547.01483329179109</c:v>
                </c:pt>
                <c:pt idx="9">
                  <c:v>1094.0296665835822</c:v>
                </c:pt>
                <c:pt idx="10">
                  <c:v>1641.0444998753735</c:v>
                </c:pt>
                <c:pt idx="11">
                  <c:v>2005.7210554032342</c:v>
                </c:pt>
                <c:pt idx="12">
                  <c:v>2370.3976109310952</c:v>
                </c:pt>
                <c:pt idx="13">
                  <c:v>2917.4124442228863</c:v>
                </c:pt>
                <c:pt idx="14">
                  <c:v>3464.4272775146774</c:v>
                </c:pt>
                <c:pt idx="15">
                  <c:v>4011.4421108064685</c:v>
                </c:pt>
                <c:pt idx="16">
                  <c:v>4740.7952218621904</c:v>
                </c:pt>
                <c:pt idx="17">
                  <c:v>5470.1483329179127</c:v>
                </c:pt>
                <c:pt idx="18">
                  <c:v>6017.1631662097034</c:v>
                </c:pt>
                <c:pt idx="19">
                  <c:v>6746.5162772654248</c:v>
                </c:pt>
                <c:pt idx="20">
                  <c:v>7475.8693883211472</c:v>
                </c:pt>
                <c:pt idx="21">
                  <c:v>8387.5607771407977</c:v>
                </c:pt>
                <c:pt idx="22">
                  <c:v>9299.2521659604499</c:v>
                </c:pt>
                <c:pt idx="23">
                  <c:v>10210.943554780102</c:v>
                </c:pt>
                <c:pt idx="24">
                  <c:v>11304.973221363683</c:v>
                </c:pt>
                <c:pt idx="25">
                  <c:v>12399.002887947267</c:v>
                </c:pt>
              </c:numCache>
            </c:numRef>
          </c:val>
        </c:ser>
        <c:ser>
          <c:idx val="2"/>
          <c:order val="2"/>
          <c:tx>
            <c:strRef>
              <c:f>'Output tables'!$A$187</c:f>
              <c:strCache>
                <c:ptCount val="1"/>
                <c:pt idx="0">
                  <c:v>Variable O&amp;M</c:v>
                </c:pt>
              </c:strCache>
            </c:strRef>
          </c:tx>
          <c:cat>
            <c:numRef>
              <c:f>'Output tables'!$B$175:$AA$175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tables'!$B$187:$AA$187</c:f>
              <c:numCache>
                <c:formatCode>General</c:formatCode>
                <c:ptCount val="26"/>
                <c:pt idx="0">
                  <c:v>0</c:v>
                </c:pt>
                <c:pt idx="1">
                  <c:v>0</c:v>
                </c:pt>
                <c:pt idx="2">
                  <c:v>0</c:v>
                </c:pt>
                <c:pt idx="3">
                  <c:v>0</c:v>
                </c:pt>
                <c:pt idx="4">
                  <c:v>0</c:v>
                </c:pt>
                <c:pt idx="5">
                  <c:v>0</c:v>
                </c:pt>
                <c:pt idx="6">
                  <c:v>0</c:v>
                </c:pt>
                <c:pt idx="7">
                  <c:v>48.637467264562815</c:v>
                </c:pt>
                <c:pt idx="8">
                  <c:v>145.91240179368845</c:v>
                </c:pt>
                <c:pt idx="9">
                  <c:v>395.93259436795495</c:v>
                </c:pt>
                <c:pt idx="10">
                  <c:v>634.90858210113413</c:v>
                </c:pt>
                <c:pt idx="11">
                  <c:v>889.44735295258897</c:v>
                </c:pt>
                <c:pt idx="12">
                  <c:v>1139.8384979675045</c:v>
                </c:pt>
                <c:pt idx="13">
                  <c:v>1404.5829784013692</c:v>
                </c:pt>
                <c:pt idx="14">
                  <c:v>1681.6167205731413</c:v>
                </c:pt>
                <c:pt idx="15">
                  <c:v>2014.6601122471457</c:v>
                </c:pt>
                <c:pt idx="16">
                  <c:v>2362.1433864631931</c:v>
                </c:pt>
                <c:pt idx="17">
                  <c:v>2656.2940910619604</c:v>
                </c:pt>
                <c:pt idx="18">
                  <c:v>2965.1839958554015</c:v>
                </c:pt>
                <c:pt idx="19">
                  <c:v>3540.2504699366732</c:v>
                </c:pt>
                <c:pt idx="20">
                  <c:v>4156.2353870160068</c:v>
                </c:pt>
                <c:pt idx="21">
                  <c:v>4856.2091461159016</c:v>
                </c:pt>
                <c:pt idx="22">
                  <c:v>5550.8344272626282</c:v>
                </c:pt>
                <c:pt idx="23">
                  <c:v>6323.1404122713675</c:v>
                </c:pt>
                <c:pt idx="24">
                  <c:v>7475.9709408687568</c:v>
                </c:pt>
                <c:pt idx="25">
                  <c:v>8156.0010610577383</c:v>
                </c:pt>
              </c:numCache>
            </c:numRef>
          </c:val>
        </c:ser>
        <c:ser>
          <c:idx val="3"/>
          <c:order val="3"/>
          <c:tx>
            <c:strRef>
              <c:f>'Output tables'!$A$188</c:f>
              <c:strCache>
                <c:ptCount val="1"/>
                <c:pt idx="0">
                  <c:v>Fuel cost</c:v>
                </c:pt>
              </c:strCache>
            </c:strRef>
          </c:tx>
          <c:cat>
            <c:numRef>
              <c:f>'Output tables'!$B$175:$AA$175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tables'!$B$188:$AA$188</c:f>
              <c:numCache>
                <c:formatCode>General</c:formatCode>
                <c:ptCount val="26"/>
                <c:pt idx="0">
                  <c:v>0</c:v>
                </c:pt>
                <c:pt idx="1">
                  <c:v>0</c:v>
                </c:pt>
                <c:pt idx="2">
                  <c:v>0</c:v>
                </c:pt>
                <c:pt idx="3">
                  <c:v>0</c:v>
                </c:pt>
                <c:pt idx="4">
                  <c:v>0</c:v>
                </c:pt>
                <c:pt idx="5">
                  <c:v>0</c:v>
                </c:pt>
                <c:pt idx="6">
                  <c:v>0</c:v>
                </c:pt>
                <c:pt idx="7">
                  <c:v>122.86729193627549</c:v>
                </c:pt>
                <c:pt idx="8">
                  <c:v>370.67267286393223</c:v>
                </c:pt>
                <c:pt idx="9">
                  <c:v>1011.4375972470781</c:v>
                </c:pt>
                <c:pt idx="10">
                  <c:v>1630.9291867617192</c:v>
                </c:pt>
                <c:pt idx="11">
                  <c:v>2297.4018551360937</c:v>
                </c:pt>
                <c:pt idx="12">
                  <c:v>2960.3273894779927</c:v>
                </c:pt>
                <c:pt idx="13">
                  <c:v>3667.8414703676976</c:v>
                </c:pt>
                <c:pt idx="14">
                  <c:v>4415.1359195299719</c:v>
                </c:pt>
                <c:pt idx="15">
                  <c:v>5318.143658607969</c:v>
                </c:pt>
                <c:pt idx="16">
                  <c:v>6268.9267536622992</c:v>
                </c:pt>
                <c:pt idx="17">
                  <c:v>7087.2758707665353</c:v>
                </c:pt>
                <c:pt idx="18">
                  <c:v>7953.509132024421</c:v>
                </c:pt>
                <c:pt idx="19">
                  <c:v>9546.2526138869216</c:v>
                </c:pt>
                <c:pt idx="20">
                  <c:v>11266.235767116954</c:v>
                </c:pt>
                <c:pt idx="21">
                  <c:v>13232.562189545028</c:v>
                </c:pt>
                <c:pt idx="22">
                  <c:v>15204.106907309551</c:v>
                </c:pt>
                <c:pt idx="23">
                  <c:v>17409.243042093018</c:v>
                </c:pt>
                <c:pt idx="24">
                  <c:v>20689.383435054984</c:v>
                </c:pt>
                <c:pt idx="25">
                  <c:v>22687.083915604861</c:v>
                </c:pt>
              </c:numCache>
            </c:numRef>
          </c:val>
        </c:ser>
        <c:ser>
          <c:idx val="5"/>
          <c:order val="5"/>
          <c:tx>
            <c:strRef>
              <c:f>'Output tables'!$A$189</c:f>
              <c:strCache>
                <c:ptCount val="1"/>
                <c:pt idx="0">
                  <c:v>Carbon tax</c:v>
                </c:pt>
              </c:strCache>
            </c:strRef>
          </c:tx>
          <c:val>
            <c:numRef>
              <c:f>'Output tables'!$B$189:$AA$189</c:f>
              <c:numCache>
                <c:formatCode>General</c:formatCode>
                <c:ptCount val="26"/>
                <c:pt idx="0">
                  <c:v>0</c:v>
                </c:pt>
                <c:pt idx="1">
                  <c:v>0</c:v>
                </c:pt>
                <c:pt idx="2">
                  <c:v>0</c:v>
                </c:pt>
                <c:pt idx="3">
                  <c:v>0</c:v>
                </c:pt>
                <c:pt idx="4">
                  <c:v>0</c:v>
                </c:pt>
                <c:pt idx="5">
                  <c:v>0</c:v>
                </c:pt>
                <c:pt idx="6">
                  <c:v>0</c:v>
                </c:pt>
                <c:pt idx="7">
                  <c:v>158.22929501800579</c:v>
                </c:pt>
                <c:pt idx="8">
                  <c:v>474.68788505401739</c:v>
                </c:pt>
                <c:pt idx="9">
                  <c:v>1288.0632731288806</c:v>
                </c:pt>
                <c:pt idx="10">
                  <c:v>2065.5092256405369</c:v>
                </c:pt>
                <c:pt idx="11">
                  <c:v>8680.753883489735</c:v>
                </c:pt>
                <c:pt idx="12">
                  <c:v>11124.500438318741</c:v>
                </c:pt>
                <c:pt idx="13">
                  <c:v>13708.331475681161</c:v>
                </c:pt>
                <c:pt idx="14">
                  <c:v>16412.10222190035</c:v>
                </c:pt>
                <c:pt idx="15">
                  <c:v>32770.852101300065</c:v>
                </c:pt>
                <c:pt idx="16">
                  <c:v>38423.08242927742</c:v>
                </c:pt>
                <c:pt idx="17">
                  <c:v>43207.794836745226</c:v>
                </c:pt>
                <c:pt idx="18">
                  <c:v>48232.257933043795</c:v>
                </c:pt>
                <c:pt idx="19">
                  <c:v>57586.400726645508</c:v>
                </c:pt>
                <c:pt idx="20">
                  <c:v>67606.130849620269</c:v>
                </c:pt>
                <c:pt idx="21">
                  <c:v>78992.039765376729</c:v>
                </c:pt>
                <c:pt idx="22">
                  <c:v>90290.949301483575</c:v>
                </c:pt>
                <c:pt idx="23">
                  <c:v>102853.42823170895</c:v>
                </c:pt>
                <c:pt idx="24">
                  <c:v>121605.59318542403</c:v>
                </c:pt>
                <c:pt idx="25">
                  <c:v>132667.09500286239</c:v>
                </c:pt>
              </c:numCache>
            </c:numRef>
          </c:val>
        </c:ser>
        <c:axId val="112247936"/>
        <c:axId val="112249472"/>
      </c:areaChart>
      <c:lineChart>
        <c:grouping val="standard"/>
        <c:ser>
          <c:idx val="4"/>
          <c:order val="4"/>
          <c:tx>
            <c:strRef>
              <c:f>'Output tables'!$A$190</c:f>
              <c:strCache>
                <c:ptCount val="1"/>
                <c:pt idx="0">
                  <c:v>Annual investment requirement</c:v>
                </c:pt>
              </c:strCache>
            </c:strRef>
          </c:tx>
          <c:marker>
            <c:symbol val="none"/>
          </c:marker>
          <c:cat>
            <c:numRef>
              <c:f>'Output tables'!$B$175:$AA$175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tables'!$B$190:$AA$190</c:f>
              <c:numCache>
                <c:formatCode>General</c:formatCode>
                <c:ptCount val="26"/>
                <c:pt idx="0">
                  <c:v>0</c:v>
                </c:pt>
                <c:pt idx="1">
                  <c:v>663.75232174368716</c:v>
                </c:pt>
                <c:pt idx="2">
                  <c:v>2053.5222759085655</c:v>
                </c:pt>
                <c:pt idx="3">
                  <c:v>3813.0002183239285</c:v>
                </c:pt>
                <c:pt idx="4">
                  <c:v>9740.6803993905232</c:v>
                </c:pt>
                <c:pt idx="5">
                  <c:v>21245.764687606472</c:v>
                </c:pt>
                <c:pt idx="6">
                  <c:v>34313.993522929261</c:v>
                </c:pt>
                <c:pt idx="7">
                  <c:v>43505.386962536453</c:v>
                </c:pt>
                <c:pt idx="8">
                  <c:v>41373.521424703482</c:v>
                </c:pt>
                <c:pt idx="9">
                  <c:v>34708.857909120299</c:v>
                </c:pt>
                <c:pt idx="10">
                  <c:v>37940.691924532643</c:v>
                </c:pt>
                <c:pt idx="11">
                  <c:v>45394.067356270752</c:v>
                </c:pt>
                <c:pt idx="12">
                  <c:v>47015.681989247241</c:v>
                </c:pt>
                <c:pt idx="13">
                  <c:v>51503.338923124145</c:v>
                </c:pt>
                <c:pt idx="14">
                  <c:v>58477.174735643042</c:v>
                </c:pt>
                <c:pt idx="15">
                  <c:v>56640.067418795952</c:v>
                </c:pt>
                <c:pt idx="16">
                  <c:v>55069.273424150328</c:v>
                </c:pt>
                <c:pt idx="17">
                  <c:v>60000.483870990036</c:v>
                </c:pt>
                <c:pt idx="18">
                  <c:v>67090.983809082973</c:v>
                </c:pt>
                <c:pt idx="19">
                  <c:v>74288.037740997534</c:v>
                </c:pt>
                <c:pt idx="20">
                  <c:v>72662.922563527696</c:v>
                </c:pt>
                <c:pt idx="21">
                  <c:v>72909.761059705561</c:v>
                </c:pt>
                <c:pt idx="22">
                  <c:v>77194.778554316377</c:v>
                </c:pt>
                <c:pt idx="23">
                  <c:v>51550.631258786714</c:v>
                </c:pt>
                <c:pt idx="24">
                  <c:v>11797.18765209939</c:v>
                </c:pt>
                <c:pt idx="25">
                  <c:v>0</c:v>
                </c:pt>
              </c:numCache>
            </c:numRef>
          </c:val>
        </c:ser>
        <c:marker val="1"/>
        <c:axId val="112247936"/>
        <c:axId val="112249472"/>
      </c:lineChart>
      <c:catAx>
        <c:axId val="112247936"/>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12249472"/>
        <c:crosses val="autoZero"/>
        <c:auto val="1"/>
        <c:lblAlgn val="ctr"/>
        <c:lblOffset val="100"/>
      </c:catAx>
      <c:valAx>
        <c:axId val="112249472"/>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R million</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2247936"/>
        <c:crosses val="autoZero"/>
        <c:crossBetween val="between"/>
      </c:valAx>
    </c:plotArea>
    <c:legend>
      <c:legendPos val="b"/>
      <c:layout>
        <c:manualLayout>
          <c:xMode val="edge"/>
          <c:yMode val="edge"/>
          <c:x val="1.9569152901233434E-3"/>
          <c:y val="0.82465915085676322"/>
          <c:w val="0.85361998008005568"/>
          <c:h val="0.15594849651237824"/>
        </c:manualLayout>
      </c:layout>
      <c:txPr>
        <a:bodyPr/>
        <a:lstStyle/>
        <a:p>
          <a:pPr>
            <a:defRPr lang="en-ZA" sz="845" b="0" i="0" u="none" strike="noStrike" baseline="0">
              <a:solidFill>
                <a:srgbClr val="000000"/>
              </a:solidFill>
              <a:latin typeface="Calibri"/>
              <a:ea typeface="Calibri"/>
              <a:cs typeface="Calibri"/>
            </a:defRPr>
          </a:pPr>
          <a:endParaRPr lang="en-US"/>
        </a:p>
      </c:txPr>
    </c:legend>
    <c:plotVisOnly val="1"/>
    <c:dispBlanksAs val="zero"/>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178" l="0.70000000000000062" r="0.70000000000000062" t="0.75000000000000178" header="0.30000000000000032" footer="0.30000000000000032"/>
    <c:pageSetup/>
  </c:printSettings>
</c:chartSpace>
</file>

<file path=xl/charts/chart97.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0.20484532716992523"/>
          <c:y val="4.7924165729283805E-2"/>
          <c:w val="0.7486389574437553"/>
          <c:h val="0.64851963817022873"/>
        </c:manualLayout>
      </c:layout>
      <c:areaChart>
        <c:grouping val="stacked"/>
        <c:ser>
          <c:idx val="0"/>
          <c:order val="0"/>
          <c:tx>
            <c:strRef>
              <c:f>'Output tables'!$A$176</c:f>
              <c:strCache>
                <c:ptCount val="1"/>
                <c:pt idx="0">
                  <c:v>Annualised capital cost</c:v>
                </c:pt>
              </c:strCache>
            </c:strRef>
          </c:tx>
          <c:cat>
            <c:numRef>
              <c:f>'Output tables'!$BW$175:$CV$175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tables'!$BW$176:$CV$176</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
          <c:order val="1"/>
          <c:tx>
            <c:strRef>
              <c:f>'Output tables'!$A$177</c:f>
              <c:strCache>
                <c:ptCount val="1"/>
                <c:pt idx="0">
                  <c:v>Fixed O&amp;M</c:v>
                </c:pt>
              </c:strCache>
            </c:strRef>
          </c:tx>
          <c:cat>
            <c:numRef>
              <c:f>'Output tables'!$BW$175:$CV$175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tables'!$BW$177:$CV$177</c:f>
              <c:numCache>
                <c:formatCode>General</c:formatCode>
                <c:ptCount val="26"/>
                <c:pt idx="0">
                  <c:v>6048.8582920974877</c:v>
                </c:pt>
                <c:pt idx="1">
                  <c:v>6048.8582920974877</c:v>
                </c:pt>
                <c:pt idx="2">
                  <c:v>6048.8582920974877</c:v>
                </c:pt>
                <c:pt idx="3">
                  <c:v>6048.8582920974877</c:v>
                </c:pt>
                <c:pt idx="4">
                  <c:v>6048.8582920974877</c:v>
                </c:pt>
                <c:pt idx="5">
                  <c:v>6048.8582920974877</c:v>
                </c:pt>
                <c:pt idx="6">
                  <c:v>6048.8582920974877</c:v>
                </c:pt>
                <c:pt idx="7">
                  <c:v>6048.8582920974877</c:v>
                </c:pt>
                <c:pt idx="8">
                  <c:v>6048.8582920974877</c:v>
                </c:pt>
                <c:pt idx="9">
                  <c:v>6048.8582920974877</c:v>
                </c:pt>
                <c:pt idx="10">
                  <c:v>6048.8582920974877</c:v>
                </c:pt>
                <c:pt idx="11">
                  <c:v>6048.8582920974877</c:v>
                </c:pt>
                <c:pt idx="12">
                  <c:v>6048.8582920974877</c:v>
                </c:pt>
                <c:pt idx="13">
                  <c:v>6048.8582920974877</c:v>
                </c:pt>
                <c:pt idx="14">
                  <c:v>6048.8582920974877</c:v>
                </c:pt>
                <c:pt idx="15">
                  <c:v>6048.8582920974877</c:v>
                </c:pt>
                <c:pt idx="16">
                  <c:v>6048.8582920974877</c:v>
                </c:pt>
                <c:pt idx="17">
                  <c:v>6048.8582920974877</c:v>
                </c:pt>
                <c:pt idx="18">
                  <c:v>6048.8582920974877</c:v>
                </c:pt>
                <c:pt idx="19">
                  <c:v>5822.5546442686946</c:v>
                </c:pt>
                <c:pt idx="20">
                  <c:v>5596.2509964399023</c:v>
                </c:pt>
                <c:pt idx="21">
                  <c:v>5313.3714366539116</c:v>
                </c:pt>
                <c:pt idx="22">
                  <c:v>5030.4918768679208</c:v>
                </c:pt>
                <c:pt idx="23">
                  <c:v>4688.0587255480368</c:v>
                </c:pt>
                <c:pt idx="24">
                  <c:v>4003.1924229082706</c:v>
                </c:pt>
                <c:pt idx="25">
                  <c:v>3660.759271588387</c:v>
                </c:pt>
              </c:numCache>
            </c:numRef>
          </c:val>
        </c:ser>
        <c:ser>
          <c:idx val="2"/>
          <c:order val="2"/>
          <c:tx>
            <c:strRef>
              <c:f>'Output tables'!$A$178</c:f>
              <c:strCache>
                <c:ptCount val="1"/>
                <c:pt idx="0">
                  <c:v>Variable O&amp;M</c:v>
                </c:pt>
              </c:strCache>
            </c:strRef>
          </c:tx>
          <c:cat>
            <c:numRef>
              <c:f>'Output tables'!$BW$175:$CV$175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tables'!$BW$178:$CV$178</c:f>
              <c:numCache>
                <c:formatCode>General</c:formatCode>
                <c:ptCount val="26"/>
                <c:pt idx="0">
                  <c:v>1683.8151698604067</c:v>
                </c:pt>
                <c:pt idx="1">
                  <c:v>1683.8151698604067</c:v>
                </c:pt>
                <c:pt idx="2">
                  <c:v>1739.2841301648871</c:v>
                </c:pt>
                <c:pt idx="3">
                  <c:v>1758.6063755933469</c:v>
                </c:pt>
                <c:pt idx="4">
                  <c:v>1758.6063755933469</c:v>
                </c:pt>
                <c:pt idx="5">
                  <c:v>1800.1237409377582</c:v>
                </c:pt>
                <c:pt idx="6">
                  <c:v>1831.5966703478778</c:v>
                </c:pt>
                <c:pt idx="7">
                  <c:v>1866.5814170003246</c:v>
                </c:pt>
                <c:pt idx="8">
                  <c:v>1899.0774071754693</c:v>
                </c:pt>
                <c:pt idx="9">
                  <c:v>1900.7113850665073</c:v>
                </c:pt>
                <c:pt idx="10">
                  <c:v>1900.7113850665073</c:v>
                </c:pt>
                <c:pt idx="11">
                  <c:v>1900.7113850665073</c:v>
                </c:pt>
                <c:pt idx="12">
                  <c:v>1900.7113850665073</c:v>
                </c:pt>
                <c:pt idx="13">
                  <c:v>1900.7113850665073</c:v>
                </c:pt>
                <c:pt idx="14">
                  <c:v>1900.7113850665073</c:v>
                </c:pt>
                <c:pt idx="15">
                  <c:v>1900.7113850665073</c:v>
                </c:pt>
                <c:pt idx="16">
                  <c:v>1900.7113850665073</c:v>
                </c:pt>
                <c:pt idx="17">
                  <c:v>1900.7113850665073</c:v>
                </c:pt>
                <c:pt idx="18">
                  <c:v>1900.7113850665073</c:v>
                </c:pt>
                <c:pt idx="19">
                  <c:v>1829.6007887954358</c:v>
                </c:pt>
                <c:pt idx="20">
                  <c:v>1758.4901925243644</c:v>
                </c:pt>
                <c:pt idx="21">
                  <c:v>1669.6019471855252</c:v>
                </c:pt>
                <c:pt idx="22">
                  <c:v>1580.7137018466856</c:v>
                </c:pt>
                <c:pt idx="23">
                  <c:v>1473.1121416996696</c:v>
                </c:pt>
                <c:pt idx="24">
                  <c:v>1257.9090214056378</c:v>
                </c:pt>
                <c:pt idx="25">
                  <c:v>1150.3074612586215</c:v>
                </c:pt>
              </c:numCache>
            </c:numRef>
          </c:val>
        </c:ser>
        <c:ser>
          <c:idx val="3"/>
          <c:order val="3"/>
          <c:tx>
            <c:strRef>
              <c:f>'Output tables'!$A$179</c:f>
              <c:strCache>
                <c:ptCount val="1"/>
                <c:pt idx="0">
                  <c:v>Fuel cost</c:v>
                </c:pt>
              </c:strCache>
            </c:strRef>
          </c:tx>
          <c:cat>
            <c:numRef>
              <c:f>'Output tables'!$BW$175:$CV$175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tables'!$BW$179:$CV$179</c:f>
              <c:numCache>
                <c:formatCode>General</c:formatCode>
                <c:ptCount val="26"/>
                <c:pt idx="0">
                  <c:v>8523.1750722774159</c:v>
                </c:pt>
                <c:pt idx="1">
                  <c:v>10115.401768211486</c:v>
                </c:pt>
                <c:pt idx="2">
                  <c:v>12093.306174004372</c:v>
                </c:pt>
                <c:pt idx="3">
                  <c:v>12971.008064332525</c:v>
                </c:pt>
                <c:pt idx="4">
                  <c:v>12971.008064332525</c:v>
                </c:pt>
                <c:pt idx="5">
                  <c:v>13353.098874788571</c:v>
                </c:pt>
                <c:pt idx="6">
                  <c:v>13663.757606245945</c:v>
                </c:pt>
                <c:pt idx="7">
                  <c:v>14003.415577443595</c:v>
                </c:pt>
                <c:pt idx="8">
                  <c:v>14327.24658154128</c:v>
                </c:pt>
                <c:pt idx="9">
                  <c:v>14419.683183713039</c:v>
                </c:pt>
                <c:pt idx="10">
                  <c:v>14499.792534733666</c:v>
                </c:pt>
                <c:pt idx="11">
                  <c:v>14579.901885754294</c:v>
                </c:pt>
                <c:pt idx="12">
                  <c:v>14660.011236774921</c:v>
                </c:pt>
                <c:pt idx="13">
                  <c:v>14740.120587795551</c:v>
                </c:pt>
                <c:pt idx="14">
                  <c:v>14820.229938816179</c:v>
                </c:pt>
                <c:pt idx="15">
                  <c:v>14900.339289836807</c:v>
                </c:pt>
                <c:pt idx="16">
                  <c:v>14980.448640857434</c:v>
                </c:pt>
                <c:pt idx="17">
                  <c:v>15060.557991878062</c:v>
                </c:pt>
                <c:pt idx="18">
                  <c:v>15140.667342898691</c:v>
                </c:pt>
                <c:pt idx="19">
                  <c:v>14651.327531401908</c:v>
                </c:pt>
                <c:pt idx="20">
                  <c:v>14155.993518194417</c:v>
                </c:pt>
                <c:pt idx="21">
                  <c:v>13510.804462219186</c:v>
                </c:pt>
                <c:pt idx="22">
                  <c:v>12858.122654105562</c:v>
                </c:pt>
                <c:pt idx="23">
                  <c:v>12044.938208080182</c:v>
                </c:pt>
                <c:pt idx="24">
                  <c:v>10338.341658396081</c:v>
                </c:pt>
                <c:pt idx="25">
                  <c:v>9502.4817782676801</c:v>
                </c:pt>
              </c:numCache>
            </c:numRef>
          </c:val>
        </c:ser>
        <c:ser>
          <c:idx val="5"/>
          <c:order val="5"/>
          <c:tx>
            <c:strRef>
              <c:f>'Output tables'!$A$180</c:f>
              <c:strCache>
                <c:ptCount val="1"/>
                <c:pt idx="0">
                  <c:v>Carbon tax</c:v>
                </c:pt>
              </c:strCache>
            </c:strRef>
          </c:tx>
          <c:val>
            <c:numRef>
              <c:f>'Output tables'!$BW$180:$CV$180</c:f>
              <c:numCache>
                <c:formatCode>General</c:formatCode>
                <c:ptCount val="26"/>
                <c:pt idx="0">
                  <c:v>0</c:v>
                </c:pt>
                <c:pt idx="1">
                  <c:v>0</c:v>
                </c:pt>
                <c:pt idx="2">
                  <c:v>0</c:v>
                </c:pt>
                <c:pt idx="3">
                  <c:v>0</c:v>
                </c:pt>
                <c:pt idx="4">
                  <c:v>0</c:v>
                </c:pt>
                <c:pt idx="5">
                  <c:v>0</c:v>
                </c:pt>
                <c:pt idx="6">
                  <c:v>0</c:v>
                </c:pt>
                <c:pt idx="7">
                  <c:v>22653.308435134553</c:v>
                </c:pt>
                <c:pt idx="8">
                  <c:v>23047.688064995898</c:v>
                </c:pt>
                <c:pt idx="9">
                  <c:v>23067.518437678682</c:v>
                </c:pt>
                <c:pt idx="10">
                  <c:v>23067.518437678682</c:v>
                </c:pt>
                <c:pt idx="11">
                  <c:v>69202.555313036049</c:v>
                </c:pt>
                <c:pt idx="12">
                  <c:v>69202.555313036049</c:v>
                </c:pt>
                <c:pt idx="13">
                  <c:v>69202.555313036049</c:v>
                </c:pt>
                <c:pt idx="14">
                  <c:v>69202.555313036049</c:v>
                </c:pt>
                <c:pt idx="15">
                  <c:v>115337.59218839342</c:v>
                </c:pt>
                <c:pt idx="16">
                  <c:v>115337.59218839342</c:v>
                </c:pt>
                <c:pt idx="17">
                  <c:v>115337.59218839342</c:v>
                </c:pt>
                <c:pt idx="18">
                  <c:v>115337.59218839342</c:v>
                </c:pt>
                <c:pt idx="19">
                  <c:v>111022.51046824087</c:v>
                </c:pt>
                <c:pt idx="20">
                  <c:v>106707.42874808832</c:v>
                </c:pt>
                <c:pt idx="21">
                  <c:v>101313.57659789764</c:v>
                </c:pt>
                <c:pt idx="22">
                  <c:v>95919.724447706918</c:v>
                </c:pt>
                <c:pt idx="23">
                  <c:v>89390.324476423455</c:v>
                </c:pt>
                <c:pt idx="24">
                  <c:v>76331.524533856515</c:v>
                </c:pt>
                <c:pt idx="25">
                  <c:v>69802.124562573023</c:v>
                </c:pt>
              </c:numCache>
            </c:numRef>
          </c:val>
        </c:ser>
        <c:axId val="112286336"/>
        <c:axId val="112316800"/>
      </c:areaChart>
      <c:lineChart>
        <c:grouping val="standard"/>
        <c:ser>
          <c:idx val="4"/>
          <c:order val="4"/>
          <c:tx>
            <c:strRef>
              <c:f>'Output tables'!$A$181</c:f>
              <c:strCache>
                <c:ptCount val="1"/>
                <c:pt idx="0">
                  <c:v>Annual investment requirement</c:v>
                </c:pt>
              </c:strCache>
            </c:strRef>
          </c:tx>
          <c:marker>
            <c:symbol val="none"/>
          </c:marker>
          <c:cat>
            <c:numRef>
              <c:f>'Output tables'!$BW$175:$CV$175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tables'!$BW$181:$CV$181</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marker val="1"/>
        <c:axId val="112286336"/>
        <c:axId val="112316800"/>
      </c:lineChart>
      <c:catAx>
        <c:axId val="112286336"/>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12316800"/>
        <c:crosses val="autoZero"/>
        <c:auto val="1"/>
        <c:lblAlgn val="ctr"/>
        <c:lblOffset val="100"/>
      </c:catAx>
      <c:valAx>
        <c:axId val="112316800"/>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R million</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2286336"/>
        <c:crosses val="autoZero"/>
        <c:crossBetween val="between"/>
      </c:valAx>
    </c:plotArea>
    <c:legend>
      <c:legendPos val="b"/>
      <c:layout>
        <c:manualLayout>
          <c:xMode val="edge"/>
          <c:yMode val="edge"/>
          <c:x val="0"/>
          <c:y val="0.79735768506115157"/>
          <c:w val="0.88971833744662532"/>
          <c:h val="0.13038847322507918"/>
        </c:manualLayout>
      </c:layout>
      <c:txPr>
        <a:bodyPr/>
        <a:lstStyle/>
        <a:p>
          <a:pPr>
            <a:defRPr lang="en-ZA" sz="845" b="0" i="0" u="none" strike="noStrike" baseline="0">
              <a:solidFill>
                <a:srgbClr val="000000"/>
              </a:solidFill>
              <a:latin typeface="Calibri"/>
              <a:ea typeface="Calibri"/>
              <a:cs typeface="Calibri"/>
            </a:defRPr>
          </a:pPr>
          <a:endParaRPr lang="en-US"/>
        </a:p>
      </c:txPr>
    </c:legend>
    <c:plotVisOnly val="1"/>
    <c:dispBlanksAs val="zero"/>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178" l="0.70000000000000062" r="0.70000000000000062" t="0.75000000000000178" header="0.30000000000000032" footer="0.30000000000000032"/>
    <c:pageSetup/>
  </c:printSettings>
</c:chartSpace>
</file>

<file path=xl/charts/chart98.xml><?xml version="1.0" encoding="utf-8"?>
<c:chartSpace xmlns:c="http://schemas.openxmlformats.org/drawingml/2006/chart" xmlns:a="http://schemas.openxmlformats.org/drawingml/2006/main" xmlns:r="http://schemas.openxmlformats.org/officeDocument/2006/relationships">
  <c:lang val="en-ZA"/>
  <c:chart>
    <c:title>
      <c:tx>
        <c:strRef>
          <c:f>'Output tables'!$A$262</c:f>
          <c:strCache>
            <c:ptCount val="1"/>
            <c:pt idx="0">
              <c:v>NMVOC emissions</c:v>
            </c:pt>
          </c:strCache>
        </c:strRef>
      </c:tx>
      <c:txPr>
        <a:bodyPr/>
        <a:lstStyle/>
        <a:p>
          <a:pPr>
            <a:defRPr lang="en-ZA" sz="1800" b="1" i="0" u="none" strike="noStrike" baseline="0">
              <a:solidFill>
                <a:srgbClr val="000000"/>
              </a:solidFill>
              <a:latin typeface="Calibri"/>
              <a:ea typeface="Calibri"/>
              <a:cs typeface="Calibri"/>
            </a:defRPr>
          </a:pPr>
          <a:endParaRPr lang="en-US"/>
        </a:p>
      </c:txPr>
    </c:title>
    <c:plotArea>
      <c:layout>
        <c:manualLayout>
          <c:layoutTarget val="inner"/>
          <c:xMode val="edge"/>
          <c:yMode val="edge"/>
          <c:x val="0.11196143339225455"/>
          <c:y val="0.19467108012772291"/>
          <c:w val="0.8533303337082867"/>
          <c:h val="0.43805807713526446"/>
        </c:manualLayout>
      </c:layout>
      <c:lineChart>
        <c:grouping val="standard"/>
        <c:ser>
          <c:idx val="0"/>
          <c:order val="0"/>
          <c:tx>
            <c:strRef>
              <c:f>'Output tables'!$A$262</c:f>
              <c:strCache>
                <c:ptCount val="1"/>
                <c:pt idx="0">
                  <c:v>NMVOC emissions</c:v>
                </c:pt>
              </c:strCache>
            </c:strRef>
          </c:tx>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tables'!$B$262:$AA$262</c:f>
              <c:numCache>
                <c:formatCode>General</c:formatCode>
                <c:ptCount val="26"/>
                <c:pt idx="0">
                  <c:v>1.1385203537867488E-2</c:v>
                </c:pt>
                <c:pt idx="1">
                  <c:v>1.138520353786749E-2</c:v>
                </c:pt>
                <c:pt idx="2">
                  <c:v>1.17349102693673E-2</c:v>
                </c:pt>
                <c:pt idx="3">
                  <c:v>1.1856728296186855E-2</c:v>
                </c:pt>
                <c:pt idx="4">
                  <c:v>1.1856728296186855E-2</c:v>
                </c:pt>
                <c:pt idx="5">
                  <c:v>1.2210517381132454E-2</c:v>
                </c:pt>
                <c:pt idx="6">
                  <c:v>1.2480107480385777E-2</c:v>
                </c:pt>
                <c:pt idx="7">
                  <c:v>1.2782867536815734E-2</c:v>
                </c:pt>
                <c:pt idx="8">
                  <c:v>1.3152134144554619E-2</c:v>
                </c:pt>
                <c:pt idx="9">
                  <c:v>1.3584968305987166E-2</c:v>
                </c:pt>
                <c:pt idx="10">
                  <c:v>1.3988836333265947E-2</c:v>
                </c:pt>
                <c:pt idx="11">
                  <c:v>1.441395188567679E-2</c:v>
                </c:pt>
                <c:pt idx="12">
                  <c:v>1.4832057974583025E-2</c:v>
                </c:pt>
                <c:pt idx="13">
                  <c:v>1.5272736620845953E-2</c:v>
                </c:pt>
                <c:pt idx="14">
                  <c:v>1.5734184047863302E-2</c:v>
                </c:pt>
                <c:pt idx="15">
                  <c:v>1.6169003751792921E-2</c:v>
                </c:pt>
                <c:pt idx="16">
                  <c:v>1.6628226773108989E-2</c:v>
                </c:pt>
                <c:pt idx="17">
                  <c:v>1.7125339750508242E-2</c:v>
                </c:pt>
                <c:pt idx="18">
                  <c:v>1.7658511618895503E-2</c:v>
                </c:pt>
                <c:pt idx="19">
                  <c:v>1.8182050431721389E-2</c:v>
                </c:pt>
                <c:pt idx="20">
                  <c:v>1.871575387192349E-2</c:v>
                </c:pt>
                <c:pt idx="21">
                  <c:v>1.9290467649753888E-2</c:v>
                </c:pt>
                <c:pt idx="22">
                  <c:v>1.990398010543349E-2</c:v>
                </c:pt>
                <c:pt idx="23">
                  <c:v>2.0530793503765115E-2</c:v>
                </c:pt>
                <c:pt idx="24">
                  <c:v>2.1133461674993886E-2</c:v>
                </c:pt>
                <c:pt idx="25">
                  <c:v>2.1601681338748104E-2</c:v>
                </c:pt>
              </c:numCache>
            </c:numRef>
          </c:val>
        </c:ser>
        <c:marker val="1"/>
        <c:axId val="112349568"/>
        <c:axId val="112351104"/>
      </c:lineChart>
      <c:catAx>
        <c:axId val="112349568"/>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12351104"/>
        <c:crosses val="autoZero"/>
        <c:auto val="1"/>
        <c:lblAlgn val="ctr"/>
        <c:lblOffset val="100"/>
      </c:catAx>
      <c:valAx>
        <c:axId val="112351104"/>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2349568"/>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178" l="0.70000000000000062" r="0.70000000000000062" t="0.75000000000000178" header="0.30000000000000032" footer="0.30000000000000032"/>
    <c:pageSetup/>
  </c:printSettings>
</c:chartSpace>
</file>

<file path=xl/charts/chart99.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050" b="1" i="0" u="none" strike="noStrike" baseline="0">
                <a:solidFill>
                  <a:srgbClr val="000000"/>
                </a:solidFill>
                <a:latin typeface="Calibri"/>
                <a:ea typeface="Calibri"/>
                <a:cs typeface="Calibri"/>
              </a:defRPr>
            </a:pPr>
            <a:r>
              <a:rPr lang="en-ZA"/>
              <a:t>Electricity system greenhouse gases</a:t>
            </a:r>
          </a:p>
        </c:rich>
      </c:tx>
      <c:layout>
        <c:manualLayout>
          <c:xMode val="edge"/>
          <c:yMode val="edge"/>
          <c:x val="0.21840531297224247"/>
          <c:y val="5.8995466475781494E-3"/>
        </c:manualLayout>
      </c:layout>
      <c:overlay val="1"/>
    </c:title>
    <c:plotArea>
      <c:layout>
        <c:manualLayout>
          <c:layoutTarget val="inner"/>
          <c:xMode val="edge"/>
          <c:yMode val="edge"/>
          <c:x val="0.19233542372088985"/>
          <c:y val="6.8149025619585149E-2"/>
          <c:w val="0.74106496229956065"/>
          <c:h val="0.48472626762362814"/>
        </c:manualLayout>
      </c:layout>
      <c:areaChart>
        <c:grouping val="stacked"/>
        <c:ser>
          <c:idx val="0"/>
          <c:order val="0"/>
          <c:tx>
            <c:strRef>
              <c:f>'Output tables'!$A$224</c:f>
              <c:strCache>
                <c:ptCount val="1"/>
                <c:pt idx="0">
                  <c:v>Existing coal Large</c:v>
                </c:pt>
              </c:strCache>
            </c:strRef>
          </c:tx>
          <c:cat>
            <c:numRef>
              <c:f>'Output tables'!$B$223:$AA$223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tables'!$B$224:$AA$224</c:f>
              <c:numCache>
                <c:formatCode>General</c:formatCode>
                <c:ptCount val="26"/>
                <c:pt idx="0">
                  <c:v>205.31813431055303</c:v>
                </c:pt>
                <c:pt idx="1">
                  <c:v>205.31813431055303</c:v>
                </c:pt>
                <c:pt idx="2">
                  <c:v>212.08181220449086</c:v>
                </c:pt>
                <c:pt idx="3">
                  <c:v>214.43789466120785</c:v>
                </c:pt>
                <c:pt idx="4">
                  <c:v>214.43789466120785</c:v>
                </c:pt>
                <c:pt idx="5">
                  <c:v>219.50036716210047</c:v>
                </c:pt>
                <c:pt idx="6">
                  <c:v>223.33805865190286</c:v>
                </c:pt>
                <c:pt idx="7">
                  <c:v>227.60396802282463</c:v>
                </c:pt>
                <c:pt idx="8">
                  <c:v>231.56640772212245</c:v>
                </c:pt>
                <c:pt idx="9">
                  <c:v>231.76564888474982</c:v>
                </c:pt>
                <c:pt idx="10">
                  <c:v>231.76564888474982</c:v>
                </c:pt>
                <c:pt idx="11">
                  <c:v>231.76564888474982</c:v>
                </c:pt>
                <c:pt idx="12">
                  <c:v>231.76564888474982</c:v>
                </c:pt>
                <c:pt idx="13">
                  <c:v>231.76564888474982</c:v>
                </c:pt>
                <c:pt idx="14">
                  <c:v>231.76564888474982</c:v>
                </c:pt>
                <c:pt idx="15">
                  <c:v>231.76564888474982</c:v>
                </c:pt>
                <c:pt idx="16">
                  <c:v>231.76564888474982</c:v>
                </c:pt>
                <c:pt idx="17">
                  <c:v>231.76564888474982</c:v>
                </c:pt>
                <c:pt idx="18">
                  <c:v>231.76564888474982</c:v>
                </c:pt>
                <c:pt idx="19">
                  <c:v>223.09468830818147</c:v>
                </c:pt>
                <c:pt idx="20">
                  <c:v>214.42372773161313</c:v>
                </c:pt>
                <c:pt idx="21">
                  <c:v>203.58502701090265</c:v>
                </c:pt>
                <c:pt idx="22">
                  <c:v>192.74632629019214</c:v>
                </c:pt>
                <c:pt idx="23">
                  <c:v>179.62579383880583</c:v>
                </c:pt>
                <c:pt idx="24">
                  <c:v>153.3847289360331</c:v>
                </c:pt>
                <c:pt idx="25">
                  <c:v>140.26419648464673</c:v>
                </c:pt>
              </c:numCache>
            </c:numRef>
          </c:val>
        </c:ser>
        <c:ser>
          <c:idx val="1"/>
          <c:order val="1"/>
          <c:tx>
            <c:strRef>
              <c:f>'Output tables'!$A$225</c:f>
              <c:strCache>
                <c:ptCount val="1"/>
                <c:pt idx="0">
                  <c:v>Existing coal Small</c:v>
                </c:pt>
              </c:strCache>
            </c:strRef>
          </c:tx>
          <c:cat>
            <c:numRef>
              <c:f>'Output tables'!$B$223:$AA$223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tables'!$B$225:$AA$225</c:f>
              <c:numCache>
                <c:formatCode>General</c:formatCode>
                <c:ptCount val="26"/>
                <c:pt idx="0">
                  <c:v>14.164264318167939</c:v>
                </c:pt>
                <c:pt idx="1">
                  <c:v>14.164264318167939</c:v>
                </c:pt>
                <c:pt idx="2">
                  <c:v>14.164264318167939</c:v>
                </c:pt>
                <c:pt idx="3">
                  <c:v>14.164264318167939</c:v>
                </c:pt>
                <c:pt idx="4">
                  <c:v>14.164264318167939</c:v>
                </c:pt>
                <c:pt idx="5">
                  <c:v>15.944426509208181</c:v>
                </c:pt>
                <c:pt idx="6">
                  <c:v>16.997406780335936</c:v>
                </c:pt>
                <c:pt idx="7">
                  <c:v>16.997406780335936</c:v>
                </c:pt>
                <c:pt idx="8">
                  <c:v>16.997406780335936</c:v>
                </c:pt>
                <c:pt idx="9">
                  <c:v>16.997406780335936</c:v>
                </c:pt>
                <c:pt idx="10">
                  <c:v>16.997406780335936</c:v>
                </c:pt>
                <c:pt idx="11">
                  <c:v>16.899667274971357</c:v>
                </c:pt>
                <c:pt idx="12">
                  <c:v>16.801927769606777</c:v>
                </c:pt>
                <c:pt idx="13">
                  <c:v>16.671608429120667</c:v>
                </c:pt>
                <c:pt idx="14">
                  <c:v>16.54128908863456</c:v>
                </c:pt>
                <c:pt idx="15">
                  <c:v>14.065221619398496</c:v>
                </c:pt>
                <c:pt idx="16">
                  <c:v>11.589154150162432</c:v>
                </c:pt>
                <c:pt idx="17">
                  <c:v>11.589154150162432</c:v>
                </c:pt>
                <c:pt idx="18">
                  <c:v>11.589154150162432</c:v>
                </c:pt>
                <c:pt idx="19">
                  <c:v>11.589154150162432</c:v>
                </c:pt>
                <c:pt idx="20">
                  <c:v>10.448280723840154</c:v>
                </c:pt>
                <c:pt idx="21">
                  <c:v>9.3074072975178783</c:v>
                </c:pt>
                <c:pt idx="22">
                  <c:v>9.3074072975178783</c:v>
                </c:pt>
                <c:pt idx="23">
                  <c:v>9.3074072975178783</c:v>
                </c:pt>
                <c:pt idx="24">
                  <c:v>9.3074072975178783</c:v>
                </c:pt>
                <c:pt idx="25">
                  <c:v>9.3074072975178783</c:v>
                </c:pt>
              </c:numCache>
            </c:numRef>
          </c:val>
        </c:ser>
        <c:ser>
          <c:idx val="2"/>
          <c:order val="2"/>
          <c:tx>
            <c:strRef>
              <c:f>'Output tables'!$A$226</c:f>
              <c:strCache>
                <c:ptCount val="1"/>
                <c:pt idx="0">
                  <c:v>OCGT liquid fuels</c:v>
                </c:pt>
              </c:strCache>
            </c:strRef>
          </c:tx>
          <c:cat>
            <c:numRef>
              <c:f>'Output tables'!$B$223:$AA$223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tables'!$B$226:$AA$226</c:f>
              <c:numCache>
                <c:formatCode>General</c:formatCode>
                <c:ptCount val="26"/>
                <c:pt idx="0">
                  <c:v>0.55239991945704037</c:v>
                </c:pt>
                <c:pt idx="1">
                  <c:v>0.55239991945704037</c:v>
                </c:pt>
                <c:pt idx="2">
                  <c:v>0.55239991945704037</c:v>
                </c:pt>
                <c:pt idx="3">
                  <c:v>0.55239991945704037</c:v>
                </c:pt>
                <c:pt idx="4">
                  <c:v>0.55239991945704037</c:v>
                </c:pt>
                <c:pt idx="5">
                  <c:v>0.55239991945704037</c:v>
                </c:pt>
                <c:pt idx="6">
                  <c:v>0.80097988321270841</c:v>
                </c:pt>
                <c:pt idx="7">
                  <c:v>0.80097988321270841</c:v>
                </c:pt>
                <c:pt idx="8">
                  <c:v>0.80097988321270841</c:v>
                </c:pt>
                <c:pt idx="9">
                  <c:v>0.80097988321270841</c:v>
                </c:pt>
                <c:pt idx="10">
                  <c:v>0.80097988321270841</c:v>
                </c:pt>
                <c:pt idx="11">
                  <c:v>0.80097988321270841</c:v>
                </c:pt>
                <c:pt idx="12">
                  <c:v>0.80097988321270841</c:v>
                </c:pt>
                <c:pt idx="13">
                  <c:v>0.80097988321270841</c:v>
                </c:pt>
                <c:pt idx="14">
                  <c:v>0.80097988321270841</c:v>
                </c:pt>
                <c:pt idx="15">
                  <c:v>0.80097988321270841</c:v>
                </c:pt>
                <c:pt idx="16">
                  <c:v>0.80097988321270841</c:v>
                </c:pt>
                <c:pt idx="17">
                  <c:v>0.80097988321270841</c:v>
                </c:pt>
                <c:pt idx="18">
                  <c:v>0.96669985904982081</c:v>
                </c:pt>
                <c:pt idx="19">
                  <c:v>0.96669985904982081</c:v>
                </c:pt>
                <c:pt idx="20">
                  <c:v>0.96669985904982081</c:v>
                </c:pt>
                <c:pt idx="21">
                  <c:v>1.1324198348869328</c:v>
                </c:pt>
                <c:pt idx="22">
                  <c:v>1.1324198348869328</c:v>
                </c:pt>
                <c:pt idx="23">
                  <c:v>1.1324198348869328</c:v>
                </c:pt>
                <c:pt idx="24">
                  <c:v>1.2981398107240447</c:v>
                </c:pt>
                <c:pt idx="25">
                  <c:v>1.2587813164627306</c:v>
                </c:pt>
              </c:numCache>
            </c:numRef>
          </c:val>
        </c:ser>
        <c:ser>
          <c:idx val="3"/>
          <c:order val="3"/>
          <c:tx>
            <c:strRef>
              <c:f>'Output tables'!$A$227</c:f>
              <c:strCache>
                <c:ptCount val="1"/>
                <c:pt idx="0">
                  <c:v>PWR nuclear</c:v>
                </c:pt>
              </c:strCache>
            </c:strRef>
          </c:tx>
          <c:cat>
            <c:numRef>
              <c:f>'Output tables'!$B$223:$AA$223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tables'!$B$227:$AA$227</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4"/>
          <c:order val="4"/>
          <c:tx>
            <c:strRef>
              <c:f>'Output tables'!$A$228</c:f>
              <c:strCache>
                <c:ptCount val="1"/>
                <c:pt idx="0">
                  <c:v>Hydro</c:v>
                </c:pt>
              </c:strCache>
            </c:strRef>
          </c:tx>
          <c:cat>
            <c:numRef>
              <c:f>'Output tables'!$B$223:$AA$223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tables'!$B$228:$AA$228</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5"/>
          <c:order val="5"/>
          <c:tx>
            <c:strRef>
              <c:f>'Output tables'!$A$229</c:f>
              <c:strCache>
                <c:ptCount val="1"/>
                <c:pt idx="0">
                  <c:v>Landfill gas</c:v>
                </c:pt>
              </c:strCache>
            </c:strRef>
          </c:tx>
          <c:cat>
            <c:numRef>
              <c:f>'Output tables'!$B$223:$AA$223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tables'!$B$229:$AA$229</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6"/>
          <c:order val="6"/>
          <c:tx>
            <c:strRef>
              <c:f>'Output tables'!$A$230</c:f>
              <c:strCache>
                <c:ptCount val="1"/>
                <c:pt idx="0">
                  <c:v>Biomass</c:v>
                </c:pt>
              </c:strCache>
            </c:strRef>
          </c:tx>
          <c:cat>
            <c:numRef>
              <c:f>'Output tables'!$B$223:$AA$223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tables'!$B$230:$AA$230</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7"/>
          <c:order val="7"/>
          <c:tx>
            <c:strRef>
              <c:f>'Output tables'!$A$231</c:f>
              <c:strCache>
                <c:ptCount val="1"/>
                <c:pt idx="0">
                  <c:v>Supercritical coal</c:v>
                </c:pt>
              </c:strCache>
            </c:strRef>
          </c:tx>
          <c:cat>
            <c:numRef>
              <c:f>'Output tables'!$B$223:$AA$223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tables'!$B$231:$AA$231</c:f>
              <c:numCache>
                <c:formatCode>General</c:formatCode>
                <c:ptCount val="26"/>
                <c:pt idx="0">
                  <c:v>0</c:v>
                </c:pt>
                <c:pt idx="1">
                  <c:v>0</c:v>
                </c:pt>
                <c:pt idx="2">
                  <c:v>0</c:v>
                </c:pt>
                <c:pt idx="3">
                  <c:v>0</c:v>
                </c:pt>
                <c:pt idx="4">
                  <c:v>0</c:v>
                </c:pt>
                <c:pt idx="5">
                  <c:v>0</c:v>
                </c:pt>
                <c:pt idx="6">
                  <c:v>0</c:v>
                </c:pt>
                <c:pt idx="7">
                  <c:v>1.5897728804899998</c:v>
                </c:pt>
                <c:pt idx="8">
                  <c:v>4.76931864147</c:v>
                </c:pt>
                <c:pt idx="9">
                  <c:v>12.941522995109445</c:v>
                </c:pt>
                <c:pt idx="10">
                  <c:v>20.752734510708375</c:v>
                </c:pt>
                <c:pt idx="11">
                  <c:v>29.072633915251078</c:v>
                </c:pt>
                <c:pt idx="12">
                  <c:v>37.256963286151127</c:v>
                </c:pt>
                <c:pt idx="13">
                  <c:v>45.910448324008541</c:v>
                </c:pt>
                <c:pt idx="14">
                  <c:v>54.965622350437165</c:v>
                </c:pt>
                <c:pt idx="15">
                  <c:v>65.851537713376061</c:v>
                </c:pt>
                <c:pt idx="16">
                  <c:v>77.209437637886197</c:v>
                </c:pt>
                <c:pt idx="17">
                  <c:v>86.824099733765138</c:v>
                </c:pt>
                <c:pt idx="18">
                  <c:v>96.920529941090919</c:v>
                </c:pt>
                <c:pt idx="19">
                  <c:v>115.71725469652476</c:v>
                </c:pt>
                <c:pt idx="20">
                  <c:v>135.85144693636423</c:v>
                </c:pt>
                <c:pt idx="21">
                  <c:v>158.73091336126248</c:v>
                </c:pt>
                <c:pt idx="22">
                  <c:v>181.43555848727209</c:v>
                </c:pt>
                <c:pt idx="23">
                  <c:v>206.67928887579041</c:v>
                </c:pt>
                <c:pt idx="24">
                  <c:v>244.36091197914661</c:v>
                </c:pt>
                <c:pt idx="25">
                  <c:v>266.58849708575184</c:v>
                </c:pt>
              </c:numCache>
            </c:numRef>
          </c:val>
        </c:ser>
        <c:ser>
          <c:idx val="8"/>
          <c:order val="8"/>
          <c:tx>
            <c:strRef>
              <c:f>'Output tables'!$A$232</c:f>
              <c:strCache>
                <c:ptCount val="1"/>
                <c:pt idx="0">
                  <c:v>Wind 30% </c:v>
                </c:pt>
              </c:strCache>
            </c:strRef>
          </c:tx>
          <c:cat>
            <c:numRef>
              <c:f>'Output tables'!$B$223:$AA$223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tables'!$B$232:$AA$232</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9"/>
          <c:order val="9"/>
          <c:tx>
            <c:strRef>
              <c:f>'Output tables'!$A$233</c:f>
              <c:strCache>
                <c:ptCount val="1"/>
                <c:pt idx="0">
                  <c:v>Wind 25%</c:v>
                </c:pt>
              </c:strCache>
            </c:strRef>
          </c:tx>
          <c:cat>
            <c:numRef>
              <c:f>'Output tables'!$B$223:$AA$223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tables'!$B$233:$AA$233</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0"/>
          <c:order val="10"/>
          <c:tx>
            <c:strRef>
              <c:f>'Output tables'!$A$234</c:f>
              <c:strCache>
                <c:ptCount val="1"/>
                <c:pt idx="0">
                  <c:v>solar thermal central reciever</c:v>
                </c:pt>
              </c:strCache>
            </c:strRef>
          </c:tx>
          <c:cat>
            <c:numRef>
              <c:f>'Output tables'!$B$223:$AA$223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tables'!$B$234:$AA$234</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1"/>
          <c:order val="11"/>
          <c:tx>
            <c:strRef>
              <c:f>'Output tables'!$A$235</c:f>
              <c:strCache>
                <c:ptCount val="1"/>
                <c:pt idx="0">
                  <c:v>solar thermal trough</c:v>
                </c:pt>
              </c:strCache>
            </c:strRef>
          </c:tx>
          <c:cat>
            <c:numRef>
              <c:f>'Output tables'!$B$223:$AA$223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tables'!$B$235:$AA$235</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2"/>
          <c:order val="12"/>
          <c:tx>
            <c:strRef>
              <c:f>'Output tables'!$A$236</c:f>
              <c:strCache>
                <c:ptCount val="1"/>
                <c:pt idx="0">
                  <c:v>solar PV</c:v>
                </c:pt>
              </c:strCache>
            </c:strRef>
          </c:tx>
          <c:cat>
            <c:numRef>
              <c:f>'Output tables'!$B$223:$AA$223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tables'!$B$236:$AA$236</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3"/>
          <c:order val="13"/>
          <c:tx>
            <c:strRef>
              <c:f>'Output tables'!$A$237</c:f>
              <c:strCache>
                <c:ptCount val="1"/>
                <c:pt idx="0">
                  <c:v>combined cycle gas</c:v>
                </c:pt>
              </c:strCache>
            </c:strRef>
          </c:tx>
          <c:cat>
            <c:numRef>
              <c:f>'Output tables'!$B$223:$AA$223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tables'!$B$237:$AA$237</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4"/>
          <c:order val="14"/>
          <c:tx>
            <c:strRef>
              <c:f>'Output tables'!$A$238</c:f>
              <c:strCache>
                <c:ptCount val="1"/>
                <c:pt idx="0">
                  <c:v>PBMR</c:v>
                </c:pt>
              </c:strCache>
            </c:strRef>
          </c:tx>
          <c:cat>
            <c:numRef>
              <c:f>'Output tables'!$B$223:$AA$223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tables'!$B$238:$AA$238</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5"/>
          <c:order val="15"/>
          <c:tx>
            <c:strRef>
              <c:f>'Output tables'!$A$239</c:f>
              <c:strCache>
                <c:ptCount val="1"/>
                <c:pt idx="0">
                  <c:v>IGCC</c:v>
                </c:pt>
              </c:strCache>
            </c:strRef>
          </c:tx>
          <c:cat>
            <c:numRef>
              <c:f>'Output tables'!$B$223:$AA$223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tables'!$B$239:$AA$239</c:f>
              <c:numCache>
                <c:formatCode>General</c:formatCode>
                <c:ptCount val="26"/>
                <c:pt idx="0">
                  <c:v>0</c:v>
                </c:pt>
                <c:pt idx="1">
                  <c:v>2.602576242861687E-14</c:v>
                </c:pt>
                <c:pt idx="2">
                  <c:v>0</c:v>
                </c:pt>
                <c:pt idx="3">
                  <c:v>2.602576242861687E-14</c:v>
                </c:pt>
                <c:pt idx="4">
                  <c:v>2.602576242861687E-14</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6"/>
          <c:order val="16"/>
          <c:tx>
            <c:strRef>
              <c:f>'Output tables'!$A$240</c:f>
              <c:strCache>
                <c:ptCount val="1"/>
                <c:pt idx="0">
                  <c:v>-</c:v>
                </c:pt>
              </c:strCache>
            </c:strRef>
          </c:tx>
          <c:cat>
            <c:numRef>
              <c:f>'Output tables'!$B$223:$AA$223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tables'!$B$240:$AA$240</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7"/>
          <c:order val="17"/>
          <c:tx>
            <c:strRef>
              <c:f>'Output tables'!$A$241</c:f>
              <c:strCache>
                <c:ptCount val="1"/>
                <c:pt idx="0">
                  <c:v>-</c:v>
                </c:pt>
              </c:strCache>
            </c:strRef>
          </c:tx>
          <c:cat>
            <c:numRef>
              <c:f>'Output tables'!$B$223:$AA$223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tables'!$B$241:$AA$241</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8"/>
          <c:order val="18"/>
          <c:tx>
            <c:strRef>
              <c:f>'Output tables'!$A$242</c:f>
              <c:strCache>
                <c:ptCount val="1"/>
                <c:pt idx="0">
                  <c:v>-</c:v>
                </c:pt>
              </c:strCache>
            </c:strRef>
          </c:tx>
          <c:cat>
            <c:numRef>
              <c:f>'Output tables'!$B$223:$AA$223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tables'!$B$242:$AA$242</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9"/>
          <c:order val="19"/>
          <c:tx>
            <c:strRef>
              <c:f>'Output tables'!$A$243</c:f>
              <c:strCache>
                <c:ptCount val="1"/>
                <c:pt idx="0">
                  <c:v>Pumped storage</c:v>
                </c:pt>
              </c:strCache>
            </c:strRef>
          </c:tx>
          <c:cat>
            <c:numRef>
              <c:f>'Output tables'!$B$223:$AA$223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tables'!$B$243:$AA$243</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axId val="112423680"/>
        <c:axId val="112425216"/>
      </c:areaChart>
      <c:catAx>
        <c:axId val="112423680"/>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12425216"/>
        <c:crosses val="autoZero"/>
        <c:auto val="1"/>
        <c:lblAlgn val="ctr"/>
        <c:lblOffset val="100"/>
      </c:catAx>
      <c:valAx>
        <c:axId val="112425216"/>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 CO2-eq</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2423680"/>
        <c:crosses val="autoZero"/>
        <c:crossBetween val="midCat"/>
      </c:valAx>
    </c:plotArea>
    <c:legend>
      <c:legendPos val="b"/>
      <c:layout>
        <c:manualLayout>
          <c:xMode val="edge"/>
          <c:yMode val="edge"/>
          <c:x val="1.4929345952968E-2"/>
          <c:y val="0.66274588403722334"/>
          <c:w val="0.92942840478273536"/>
          <c:h val="0.31955499880696775"/>
        </c:manualLayout>
      </c:layout>
      <c:txPr>
        <a:bodyPr/>
        <a:lstStyle/>
        <a:p>
          <a:pPr>
            <a:defRPr lang="en-ZA" sz="845" b="0" i="0" u="none" strike="noStrike" baseline="0">
              <a:solidFill>
                <a:srgbClr val="000000"/>
              </a:solidFill>
              <a:latin typeface="Calibri"/>
              <a:ea typeface="Calibri"/>
              <a:cs typeface="Calibri"/>
            </a:defRPr>
          </a:pPr>
          <a:endParaRPr lang="en-US"/>
        </a:p>
      </c:txPr>
    </c:legend>
    <c:plotVisOnly val="1"/>
    <c:dispBlanksAs val="zero"/>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2" l="0.70000000000000062" r="0.70000000000000062" t="0.750000000000002" header="0.30000000000000032" footer="0.30000000000000032"/>
    <c:pageSetup/>
  </c:printSettings>
</c:chartSpace>
</file>

<file path=xl/charts/chart100.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050" b="1" i="0" u="none" strike="noStrike" baseline="0">
                <a:solidFill>
                  <a:srgbClr val="000000"/>
                </a:solidFill>
                <a:latin typeface="Calibri"/>
                <a:ea typeface="Calibri"/>
                <a:cs typeface="Calibri"/>
              </a:defRPr>
            </a:pPr>
            <a:r>
              <a:rPr lang="en-ZA"/>
              <a:t>SOx emissions</a:t>
            </a:r>
          </a:p>
        </c:rich>
      </c:tx>
    </c:title>
    <c:plotArea>
      <c:layout>
        <c:manualLayout>
          <c:layoutTarget val="inner"/>
          <c:xMode val="edge"/>
          <c:yMode val="edge"/>
          <c:x val="0.11196143339225455"/>
          <c:y val="0.11860843721342183"/>
          <c:w val="0.8533303337082867"/>
          <c:h val="0.69309189631380153"/>
        </c:manualLayout>
      </c:layout>
      <c:lineChart>
        <c:grouping val="standard"/>
        <c:ser>
          <c:idx val="0"/>
          <c:order val="0"/>
          <c:tx>
            <c:strRef>
              <c:f>'Output tables'!$A$259</c:f>
              <c:strCache>
                <c:ptCount val="1"/>
                <c:pt idx="0">
                  <c:v>SOx emissions</c:v>
                </c:pt>
              </c:strCache>
            </c:strRef>
          </c:tx>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tables'!$B$259:$AA$259</c:f>
              <c:numCache>
                <c:formatCode>General</c:formatCode>
                <c:ptCount val="26"/>
                <c:pt idx="0">
                  <c:v>1.3313893391371041</c:v>
                </c:pt>
                <c:pt idx="1">
                  <c:v>1.3313893391371041</c:v>
                </c:pt>
                <c:pt idx="2">
                  <c:v>1.3751866101901404</c:v>
                </c:pt>
                <c:pt idx="3">
                  <c:v>1.3904430998690211</c:v>
                </c:pt>
                <c:pt idx="4">
                  <c:v>1.3904430998690211</c:v>
                </c:pt>
                <c:pt idx="5">
                  <c:v>1.4232244480936109</c:v>
                </c:pt>
                <c:pt idx="6">
                  <c:v>1.4489208243110523</c:v>
                </c:pt>
                <c:pt idx="7">
                  <c:v>1.4765441369429868</c:v>
                </c:pt>
                <c:pt idx="8">
                  <c:v>1.5022023732254983</c:v>
                </c:pt>
                <c:pt idx="9">
                  <c:v>1.503492532121494</c:v>
                </c:pt>
                <c:pt idx="10">
                  <c:v>1.503492532121494</c:v>
                </c:pt>
                <c:pt idx="11">
                  <c:v>1.503492532121494</c:v>
                </c:pt>
                <c:pt idx="12">
                  <c:v>1.503492532121494</c:v>
                </c:pt>
                <c:pt idx="13">
                  <c:v>1.503492532121494</c:v>
                </c:pt>
                <c:pt idx="14">
                  <c:v>1.503492532121494</c:v>
                </c:pt>
                <c:pt idx="15">
                  <c:v>1.503492532121494</c:v>
                </c:pt>
                <c:pt idx="16">
                  <c:v>1.503492532121494</c:v>
                </c:pt>
                <c:pt idx="17">
                  <c:v>1.503492532121494</c:v>
                </c:pt>
                <c:pt idx="18">
                  <c:v>1.5040564853896354</c:v>
                </c:pt>
                <c:pt idx="19">
                  <c:v>1.4479088662070998</c:v>
                </c:pt>
                <c:pt idx="20">
                  <c:v>1.3917612470245642</c:v>
                </c:pt>
                <c:pt idx="21">
                  <c:v>1.3221406763145358</c:v>
                </c:pt>
                <c:pt idx="22">
                  <c:v>1.251956152336366</c:v>
                </c:pt>
                <c:pt idx="23">
                  <c:v>1.1669959390996345</c:v>
                </c:pt>
                <c:pt idx="24">
                  <c:v>0.99763946589431252</c:v>
                </c:pt>
                <c:pt idx="25">
                  <c:v>0.91254531375639703</c:v>
                </c:pt>
              </c:numCache>
            </c:numRef>
          </c:val>
        </c:ser>
        <c:marker val="1"/>
        <c:axId val="112453888"/>
        <c:axId val="112533504"/>
      </c:lineChart>
      <c:catAx>
        <c:axId val="112453888"/>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12533504"/>
        <c:crosses val="autoZero"/>
        <c:auto val="1"/>
        <c:lblAlgn val="ctr"/>
        <c:lblOffset val="100"/>
      </c:catAx>
      <c:valAx>
        <c:axId val="112533504"/>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2453888"/>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2" l="0.70000000000000062" r="0.70000000000000062" t="0.750000000000002" header="0.30000000000000032" footer="0.30000000000000032"/>
    <c:pageSetup/>
  </c:printSettings>
</c:chartSpace>
</file>

<file path=xl/charts/chart101.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050" b="1" i="0" u="none" strike="noStrike" baseline="0">
                <a:solidFill>
                  <a:srgbClr val="000000"/>
                </a:solidFill>
                <a:latin typeface="Calibri"/>
                <a:ea typeface="Calibri"/>
                <a:cs typeface="Calibri"/>
              </a:defRPr>
            </a:pPr>
            <a:r>
              <a:rPr lang="en-ZA"/>
              <a:t>NOx emissions</a:t>
            </a:r>
          </a:p>
        </c:rich>
      </c:tx>
      <c:layout>
        <c:manualLayout>
          <c:xMode val="edge"/>
          <c:yMode val="edge"/>
          <c:x val="0.38354104613327833"/>
          <c:y val="1.5526540195133843E-2"/>
        </c:manualLayout>
      </c:layout>
    </c:title>
    <c:plotArea>
      <c:layout>
        <c:manualLayout>
          <c:layoutTarget val="inner"/>
          <c:xMode val="edge"/>
          <c:yMode val="edge"/>
          <c:x val="0.22921073068113729"/>
          <c:y val="0.11835241950649755"/>
          <c:w val="0.7114103433700002"/>
          <c:h val="0.63433880136775433"/>
        </c:manualLayout>
      </c:layout>
      <c:lineChart>
        <c:grouping val="standard"/>
        <c:ser>
          <c:idx val="0"/>
          <c:order val="0"/>
          <c:tx>
            <c:strRef>
              <c:f>'Output tables'!$A$260</c:f>
              <c:strCache>
                <c:ptCount val="1"/>
                <c:pt idx="0">
                  <c:v>NOx emissions</c:v>
                </c:pt>
              </c:strCache>
            </c:strRef>
          </c:tx>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tables'!$B$260:$AA$260</c:f>
              <c:numCache>
                <c:formatCode>General</c:formatCode>
                <c:ptCount val="26"/>
                <c:pt idx="0">
                  <c:v>0.68236889703791037</c:v>
                </c:pt>
                <c:pt idx="1">
                  <c:v>0.68236889703791048</c:v>
                </c:pt>
                <c:pt idx="2">
                  <c:v>0.70335130092789899</c:v>
                </c:pt>
                <c:pt idx="3">
                  <c:v>0.71066038253707231</c:v>
                </c:pt>
                <c:pt idx="4">
                  <c:v>0.71066038253707231</c:v>
                </c:pt>
                <c:pt idx="5">
                  <c:v>0.73188772763380827</c:v>
                </c:pt>
                <c:pt idx="6">
                  <c:v>0.74772864173364495</c:v>
                </c:pt>
                <c:pt idx="7">
                  <c:v>0.76589424511944237</c:v>
                </c:pt>
                <c:pt idx="8">
                  <c:v>0.78805024158377557</c:v>
                </c:pt>
                <c:pt idx="9">
                  <c:v>0.81402029126972819</c:v>
                </c:pt>
                <c:pt idx="10">
                  <c:v>0.83825237290645516</c:v>
                </c:pt>
                <c:pt idx="11">
                  <c:v>0.86375930605110585</c:v>
                </c:pt>
                <c:pt idx="12">
                  <c:v>0.88884567138547987</c:v>
                </c:pt>
                <c:pt idx="13">
                  <c:v>0.91528639016125557</c:v>
                </c:pt>
                <c:pt idx="14">
                  <c:v>0.94297323578229642</c:v>
                </c:pt>
                <c:pt idx="15">
                  <c:v>0.9690624180180738</c:v>
                </c:pt>
                <c:pt idx="16">
                  <c:v>0.99661579929703792</c:v>
                </c:pt>
                <c:pt idx="17">
                  <c:v>1.0264425779409931</c:v>
                </c:pt>
                <c:pt idx="18">
                  <c:v>1.0582098954739871</c:v>
                </c:pt>
                <c:pt idx="19">
                  <c:v>1.08962222424354</c:v>
                </c:pt>
                <c:pt idx="20">
                  <c:v>1.1216444306556661</c:v>
                </c:pt>
                <c:pt idx="21">
                  <c:v>1.1559042627552485</c:v>
                </c:pt>
                <c:pt idx="22">
                  <c:v>1.1927150100960242</c:v>
                </c:pt>
                <c:pt idx="23">
                  <c:v>1.2303238139959218</c:v>
                </c:pt>
                <c:pt idx="24">
                  <c:v>1.2662609096994066</c:v>
                </c:pt>
                <c:pt idx="25">
                  <c:v>1.2944070507350918</c:v>
                </c:pt>
              </c:numCache>
            </c:numRef>
          </c:val>
        </c:ser>
        <c:marker val="1"/>
        <c:axId val="112373120"/>
        <c:axId val="112559232"/>
      </c:lineChart>
      <c:catAx>
        <c:axId val="112373120"/>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12559232"/>
        <c:crosses val="autoZero"/>
        <c:auto val="1"/>
        <c:lblAlgn val="ctr"/>
        <c:lblOffset val="100"/>
      </c:catAx>
      <c:valAx>
        <c:axId val="112559232"/>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2373120"/>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222" l="0.70000000000000062" r="0.70000000000000062" t="0.75000000000000222" header="0.30000000000000032" footer="0.30000000000000032"/>
    <c:pageSetup/>
  </c:printSettings>
</c:chartSpace>
</file>

<file path=xl/charts/chart102.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050" b="1" i="0" u="none" strike="noStrike" baseline="0">
                <a:solidFill>
                  <a:srgbClr val="000000"/>
                </a:solidFill>
                <a:latin typeface="Calibri"/>
                <a:ea typeface="Calibri"/>
                <a:cs typeface="Calibri"/>
              </a:defRPr>
            </a:pPr>
            <a:r>
              <a:rPr lang="en-ZA"/>
              <a:t>CO emissions</a:t>
            </a:r>
          </a:p>
        </c:rich>
      </c:tx>
      <c:layout>
        <c:manualLayout>
          <c:xMode val="edge"/>
          <c:yMode val="edge"/>
          <c:x val="0.3451635523171544"/>
          <c:y val="3.030286431587359E-2"/>
        </c:manualLayout>
      </c:layout>
    </c:title>
    <c:plotArea>
      <c:layout>
        <c:manualLayout>
          <c:layoutTarget val="inner"/>
          <c:xMode val="edge"/>
          <c:yMode val="edge"/>
          <c:x val="0.23495608883591568"/>
          <c:y val="0.19467108012772291"/>
          <c:w val="0.70692168709344316"/>
          <c:h val="0.56425823315295454"/>
        </c:manualLayout>
      </c:layout>
      <c:lineChart>
        <c:grouping val="standard"/>
        <c:ser>
          <c:idx val="0"/>
          <c:order val="0"/>
          <c:tx>
            <c:strRef>
              <c:f>'Output tables'!$A$261</c:f>
              <c:strCache>
                <c:ptCount val="1"/>
                <c:pt idx="0">
                  <c:v>CO emissions</c:v>
                </c:pt>
              </c:strCache>
            </c:strRef>
          </c:tx>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tables'!$B$261:$AA$261</c:f>
              <c:numCache>
                <c:formatCode>General</c:formatCode>
                <c:ptCount val="26"/>
                <c:pt idx="0">
                  <c:v>4.5503648389763007E-2</c:v>
                </c:pt>
                <c:pt idx="1">
                  <c:v>4.5503648389763014E-2</c:v>
                </c:pt>
                <c:pt idx="2">
                  <c:v>4.6902475315762256E-2</c:v>
                </c:pt>
                <c:pt idx="3">
                  <c:v>4.7389747423040474E-2</c:v>
                </c:pt>
                <c:pt idx="4">
                  <c:v>4.7389747423040474E-2</c:v>
                </c:pt>
                <c:pt idx="5">
                  <c:v>4.8804903762822871E-2</c:v>
                </c:pt>
                <c:pt idx="6">
                  <c:v>4.9866539567068026E-2</c:v>
                </c:pt>
                <c:pt idx="7">
                  <c:v>5.1077579792787854E-2</c:v>
                </c:pt>
                <c:pt idx="8">
                  <c:v>5.2554646223743395E-2</c:v>
                </c:pt>
                <c:pt idx="9">
                  <c:v>5.4285982869473573E-2</c:v>
                </c:pt>
                <c:pt idx="10">
                  <c:v>5.5901454978588706E-2</c:v>
                </c:pt>
                <c:pt idx="11">
                  <c:v>5.7601917188232078E-2</c:v>
                </c:pt>
                <c:pt idx="12">
                  <c:v>5.9274341543857016E-2</c:v>
                </c:pt>
                <c:pt idx="13">
                  <c:v>6.103705612890873E-2</c:v>
                </c:pt>
                <c:pt idx="14">
                  <c:v>6.2882845836978118E-2</c:v>
                </c:pt>
                <c:pt idx="15">
                  <c:v>6.4622124652696608E-2</c:v>
                </c:pt>
                <c:pt idx="16">
                  <c:v>6.6459016737960883E-2</c:v>
                </c:pt>
                <c:pt idx="17">
                  <c:v>6.8447468647557894E-2</c:v>
                </c:pt>
                <c:pt idx="18">
                  <c:v>7.0569006392594849E-2</c:v>
                </c:pt>
                <c:pt idx="19">
                  <c:v>7.2663161643898397E-2</c:v>
                </c:pt>
                <c:pt idx="20">
                  <c:v>7.4797975404706799E-2</c:v>
                </c:pt>
                <c:pt idx="21">
                  <c:v>7.7085680787516306E-2</c:v>
                </c:pt>
                <c:pt idx="22">
                  <c:v>7.9539730610234699E-2</c:v>
                </c:pt>
                <c:pt idx="23">
                  <c:v>8.2046984203561213E-2</c:v>
                </c:pt>
                <c:pt idx="24">
                  <c:v>8.4446507159964213E-2</c:v>
                </c:pt>
                <c:pt idx="25">
                  <c:v>8.6322033875502691E-2</c:v>
                </c:pt>
              </c:numCache>
            </c:numRef>
          </c:val>
        </c:ser>
        <c:marker val="1"/>
        <c:axId val="112587520"/>
        <c:axId val="112589056"/>
      </c:lineChart>
      <c:catAx>
        <c:axId val="112587520"/>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12589056"/>
        <c:crosses val="autoZero"/>
        <c:auto val="1"/>
        <c:lblAlgn val="ctr"/>
        <c:lblOffset val="100"/>
      </c:catAx>
      <c:valAx>
        <c:axId val="112589056"/>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2587520"/>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222" l="0.70000000000000062" r="0.70000000000000062" t="0.75000000000000222" header="0.30000000000000032" footer="0.30000000000000032"/>
    <c:pageSetup/>
  </c:printSettings>
</c:chartSpace>
</file>

<file path=xl/charts/chart103.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050" b="1" i="0" u="none" strike="noStrike" baseline="0">
                <a:solidFill>
                  <a:srgbClr val="000000"/>
                </a:solidFill>
                <a:latin typeface="Calibri"/>
                <a:ea typeface="Calibri"/>
                <a:cs typeface="Calibri"/>
              </a:defRPr>
            </a:pPr>
            <a:r>
              <a:rPr lang="en-ZA"/>
              <a:t>GHG emissions </a:t>
            </a:r>
          </a:p>
        </c:rich>
      </c:tx>
      <c:layout>
        <c:manualLayout>
          <c:xMode val="edge"/>
          <c:yMode val="edge"/>
          <c:x val="0.37703152985705152"/>
          <c:y val="2.3952095808383235E-2"/>
        </c:manualLayout>
      </c:layout>
      <c:overlay val="1"/>
    </c:title>
    <c:plotArea>
      <c:layout>
        <c:manualLayout>
          <c:layoutTarget val="inner"/>
          <c:xMode val="edge"/>
          <c:yMode val="edge"/>
          <c:x val="0.10680342871251523"/>
          <c:y val="0.19467108012772291"/>
          <c:w val="0.83507441937856208"/>
          <c:h val="0.41813971883651524"/>
        </c:manualLayout>
      </c:layout>
      <c:lineChart>
        <c:grouping val="standard"/>
        <c:ser>
          <c:idx val="0"/>
          <c:order val="0"/>
          <c:tx>
            <c:strRef>
              <c:f>'Output tables'!$A$291</c:f>
              <c:strCache>
                <c:ptCount val="1"/>
                <c:pt idx="0">
                  <c:v>GHG emissions</c:v>
                </c:pt>
              </c:strCache>
            </c:strRef>
          </c:tx>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tables'!$B$291:$AA$291</c:f>
              <c:numCache>
                <c:formatCode>General</c:formatCode>
                <c:ptCount val="26"/>
                <c:pt idx="0">
                  <c:v>205.31813431055303</c:v>
                </c:pt>
                <c:pt idx="1">
                  <c:v>205.31813431055303</c:v>
                </c:pt>
                <c:pt idx="2">
                  <c:v>212.08181220449086</c:v>
                </c:pt>
                <c:pt idx="3">
                  <c:v>214.43789466120785</c:v>
                </c:pt>
                <c:pt idx="4">
                  <c:v>214.43789466120785</c:v>
                </c:pt>
                <c:pt idx="5">
                  <c:v>219.50036716210047</c:v>
                </c:pt>
                <c:pt idx="6">
                  <c:v>223.33805865190286</c:v>
                </c:pt>
                <c:pt idx="7">
                  <c:v>227.60396802282463</c:v>
                </c:pt>
                <c:pt idx="8">
                  <c:v>231.56640772212245</c:v>
                </c:pt>
                <c:pt idx="9">
                  <c:v>231.76564888474982</c:v>
                </c:pt>
                <c:pt idx="10">
                  <c:v>231.76564888474982</c:v>
                </c:pt>
                <c:pt idx="11">
                  <c:v>231.76564888474982</c:v>
                </c:pt>
                <c:pt idx="12">
                  <c:v>231.76564888474982</c:v>
                </c:pt>
                <c:pt idx="13">
                  <c:v>231.76564888474982</c:v>
                </c:pt>
                <c:pt idx="14">
                  <c:v>231.76564888474982</c:v>
                </c:pt>
                <c:pt idx="15">
                  <c:v>231.76564888474982</c:v>
                </c:pt>
                <c:pt idx="16">
                  <c:v>231.76564888474982</c:v>
                </c:pt>
                <c:pt idx="17">
                  <c:v>231.76564888474982</c:v>
                </c:pt>
                <c:pt idx="18">
                  <c:v>231.76564888474982</c:v>
                </c:pt>
                <c:pt idx="19">
                  <c:v>223.09468830818147</c:v>
                </c:pt>
                <c:pt idx="20">
                  <c:v>214.42372773161313</c:v>
                </c:pt>
                <c:pt idx="21">
                  <c:v>203.58502701090265</c:v>
                </c:pt>
                <c:pt idx="22">
                  <c:v>192.74632629019214</c:v>
                </c:pt>
                <c:pt idx="23">
                  <c:v>179.62579383880583</c:v>
                </c:pt>
                <c:pt idx="24">
                  <c:v>153.3847289360331</c:v>
                </c:pt>
                <c:pt idx="25">
                  <c:v>140.26419648464673</c:v>
                </c:pt>
              </c:numCache>
            </c:numRef>
          </c:val>
        </c:ser>
        <c:marker val="1"/>
        <c:axId val="112691072"/>
        <c:axId val="112692608"/>
      </c:lineChart>
      <c:catAx>
        <c:axId val="112691072"/>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12692608"/>
        <c:crosses val="autoZero"/>
        <c:auto val="1"/>
        <c:lblAlgn val="ctr"/>
        <c:lblOffset val="100"/>
      </c:catAx>
      <c:valAx>
        <c:axId val="112692608"/>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2691072"/>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289" l="0.70000000000000062" r="0.70000000000000062" t="0.75000000000000289" header="0.30000000000000032" footer="0.30000000000000032"/>
    <c:pageSetup/>
  </c:printSettings>
</c:chartSpace>
</file>

<file path=xl/charts/chart104.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050" b="1" i="0" u="none" strike="noStrike" baseline="0">
                <a:solidFill>
                  <a:srgbClr val="000000"/>
                </a:solidFill>
                <a:latin typeface="Calibri"/>
                <a:ea typeface="Calibri"/>
                <a:cs typeface="Calibri"/>
              </a:defRPr>
            </a:pPr>
            <a:r>
              <a:rPr lang="en-ZA"/>
              <a:t>GHG emissions </a:t>
            </a:r>
          </a:p>
        </c:rich>
      </c:tx>
      <c:layout>
        <c:manualLayout>
          <c:xMode val="edge"/>
          <c:yMode val="edge"/>
          <c:x val="0.31994603266384403"/>
          <c:y val="3.172615399123014E-2"/>
        </c:manualLayout>
      </c:layout>
    </c:title>
    <c:plotArea>
      <c:layout>
        <c:manualLayout>
          <c:layoutTarget val="inner"/>
          <c:xMode val="edge"/>
          <c:yMode val="edge"/>
          <c:x val="0.13526752894927982"/>
          <c:y val="0.19467108012772291"/>
          <c:w val="0.80661020104746506"/>
          <c:h val="0.43651342983324803"/>
        </c:manualLayout>
      </c:layout>
      <c:lineChart>
        <c:grouping val="standard"/>
        <c:ser>
          <c:idx val="0"/>
          <c:order val="0"/>
          <c:tx>
            <c:strRef>
              <c:f>'Output tables'!$A$298</c:f>
              <c:strCache>
                <c:ptCount val="1"/>
                <c:pt idx="0">
                  <c:v>GHG emissions</c:v>
                </c:pt>
              </c:strCache>
            </c:strRef>
          </c:tx>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tables'!$B$298:$AA$298</c:f>
              <c:numCache>
                <c:formatCode>General</c:formatCode>
                <c:ptCount val="26"/>
                <c:pt idx="0">
                  <c:v>0</c:v>
                </c:pt>
                <c:pt idx="1">
                  <c:v>0</c:v>
                </c:pt>
                <c:pt idx="2">
                  <c:v>0</c:v>
                </c:pt>
                <c:pt idx="3">
                  <c:v>0</c:v>
                </c:pt>
                <c:pt idx="4">
                  <c:v>0</c:v>
                </c:pt>
                <c:pt idx="5">
                  <c:v>0</c:v>
                </c:pt>
                <c:pt idx="6">
                  <c:v>0</c:v>
                </c:pt>
                <c:pt idx="7">
                  <c:v>1.5897728804899998</c:v>
                </c:pt>
                <c:pt idx="8">
                  <c:v>4.76931864147</c:v>
                </c:pt>
                <c:pt idx="9">
                  <c:v>12.941522995109445</c:v>
                </c:pt>
                <c:pt idx="10">
                  <c:v>20.752734510708375</c:v>
                </c:pt>
                <c:pt idx="11">
                  <c:v>29.072633915251078</c:v>
                </c:pt>
                <c:pt idx="12">
                  <c:v>37.256963286151127</c:v>
                </c:pt>
                <c:pt idx="13">
                  <c:v>45.910448324008541</c:v>
                </c:pt>
                <c:pt idx="14">
                  <c:v>54.965622350437165</c:v>
                </c:pt>
                <c:pt idx="15">
                  <c:v>65.851537713376061</c:v>
                </c:pt>
                <c:pt idx="16">
                  <c:v>77.209437637886197</c:v>
                </c:pt>
                <c:pt idx="17">
                  <c:v>86.824099733765138</c:v>
                </c:pt>
                <c:pt idx="18">
                  <c:v>96.920529941090919</c:v>
                </c:pt>
                <c:pt idx="19">
                  <c:v>115.71725469652476</c:v>
                </c:pt>
                <c:pt idx="20">
                  <c:v>135.85144693636423</c:v>
                </c:pt>
                <c:pt idx="21">
                  <c:v>158.73091336126248</c:v>
                </c:pt>
                <c:pt idx="22">
                  <c:v>181.43555848727209</c:v>
                </c:pt>
                <c:pt idx="23">
                  <c:v>206.67928887579041</c:v>
                </c:pt>
                <c:pt idx="24">
                  <c:v>244.36091197914661</c:v>
                </c:pt>
                <c:pt idx="25">
                  <c:v>266.58849708575184</c:v>
                </c:pt>
              </c:numCache>
            </c:numRef>
          </c:val>
        </c:ser>
        <c:marker val="1"/>
        <c:axId val="112700416"/>
        <c:axId val="112730880"/>
      </c:lineChart>
      <c:catAx>
        <c:axId val="112700416"/>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12730880"/>
        <c:crosses val="autoZero"/>
        <c:auto val="1"/>
        <c:lblAlgn val="ctr"/>
        <c:lblOffset val="100"/>
      </c:catAx>
      <c:valAx>
        <c:axId val="112730880"/>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2700416"/>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311" l="0.70000000000000062" r="0.70000000000000062" t="0.75000000000000311" header="0.30000000000000032" footer="0.30000000000000032"/>
    <c:pageSetup/>
  </c:printSettings>
</c:chartSpace>
</file>

<file path=xl/charts/chart105.xml><?xml version="1.0" encoding="utf-8"?>
<c:chartSpace xmlns:c="http://schemas.openxmlformats.org/drawingml/2006/chart" xmlns:a="http://schemas.openxmlformats.org/drawingml/2006/main" xmlns:r="http://schemas.openxmlformats.org/officeDocument/2006/relationships">
  <c:lang val="en-ZA"/>
  <c:chart>
    <c:title>
      <c:tx>
        <c:strRef>
          <c:f>'Output tables'!$A$292</c:f>
          <c:strCache>
            <c:ptCount val="1"/>
            <c:pt idx="0">
              <c:v>SOx emissions</c:v>
            </c:pt>
          </c:strCache>
        </c:strRef>
      </c:tx>
      <c:layout>
        <c:manualLayout>
          <c:xMode val="edge"/>
          <c:yMode val="edge"/>
          <c:x val="0.37703173466952994"/>
          <c:y val="2.3952005999250087E-2"/>
        </c:manualLayout>
      </c:layout>
      <c:overlay val="1"/>
      <c:txPr>
        <a:bodyPr/>
        <a:lstStyle/>
        <a:p>
          <a:pPr>
            <a:defRPr lang="en-ZA" sz="1050" b="1" i="0" u="none" strike="noStrike" baseline="0">
              <a:solidFill>
                <a:srgbClr val="000000"/>
              </a:solidFill>
              <a:latin typeface="Calibri"/>
              <a:ea typeface="Calibri"/>
              <a:cs typeface="Calibri"/>
            </a:defRPr>
          </a:pPr>
          <a:endParaRPr lang="en-US"/>
        </a:p>
      </c:txPr>
    </c:title>
    <c:plotArea>
      <c:layout>
        <c:manualLayout>
          <c:layoutTarget val="inner"/>
          <c:xMode val="edge"/>
          <c:yMode val="edge"/>
          <c:x val="0.24248998210929135"/>
          <c:y val="0.17959580052493487"/>
          <c:w val="0.65512209252107634"/>
          <c:h val="0.40620322459692448"/>
        </c:manualLayout>
      </c:layout>
      <c:lineChart>
        <c:grouping val="standard"/>
        <c:ser>
          <c:idx val="0"/>
          <c:order val="0"/>
          <c:tx>
            <c:strRef>
              <c:f>'Output tables'!$A$292</c:f>
              <c:strCache>
                <c:ptCount val="1"/>
                <c:pt idx="0">
                  <c:v>SOx emissions</c:v>
                </c:pt>
              </c:strCache>
            </c:strRef>
          </c:tx>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tables'!$B$292:$AA$292</c:f>
              <c:numCache>
                <c:formatCode>General</c:formatCode>
                <c:ptCount val="26"/>
                <c:pt idx="0">
                  <c:v>1.3295094949099666</c:v>
                </c:pt>
                <c:pt idx="1">
                  <c:v>1.3295094949099666</c:v>
                </c:pt>
                <c:pt idx="2">
                  <c:v>1.3733067659630029</c:v>
                </c:pt>
                <c:pt idx="3">
                  <c:v>1.3885632556418837</c:v>
                </c:pt>
                <c:pt idx="4">
                  <c:v>1.3885632556418837</c:v>
                </c:pt>
                <c:pt idx="5">
                  <c:v>1.4213446038664734</c:v>
                </c:pt>
                <c:pt idx="6">
                  <c:v>1.4461950501817029</c:v>
                </c:pt>
                <c:pt idx="7">
                  <c:v>1.4738183628136374</c:v>
                </c:pt>
                <c:pt idx="8">
                  <c:v>1.4994765990961489</c:v>
                </c:pt>
                <c:pt idx="9">
                  <c:v>1.5007667579921447</c:v>
                </c:pt>
                <c:pt idx="10">
                  <c:v>1.5007667579921447</c:v>
                </c:pt>
                <c:pt idx="11">
                  <c:v>1.5007667579921447</c:v>
                </c:pt>
                <c:pt idx="12">
                  <c:v>1.5007667579921447</c:v>
                </c:pt>
                <c:pt idx="13">
                  <c:v>1.5007667579921447</c:v>
                </c:pt>
                <c:pt idx="14">
                  <c:v>1.5007667579921447</c:v>
                </c:pt>
                <c:pt idx="15">
                  <c:v>1.5007667579921447</c:v>
                </c:pt>
                <c:pt idx="16">
                  <c:v>1.5007667579921447</c:v>
                </c:pt>
                <c:pt idx="17">
                  <c:v>1.5007667579921447</c:v>
                </c:pt>
                <c:pt idx="18">
                  <c:v>1.5007667579921447</c:v>
                </c:pt>
                <c:pt idx="19">
                  <c:v>1.444619138809609</c:v>
                </c:pt>
                <c:pt idx="20">
                  <c:v>1.3884715196270734</c:v>
                </c:pt>
                <c:pt idx="21">
                  <c:v>1.3182869956489038</c:v>
                </c:pt>
                <c:pt idx="22">
                  <c:v>1.2481024716707341</c:v>
                </c:pt>
                <c:pt idx="23">
                  <c:v>1.1631422584340025</c:v>
                </c:pt>
                <c:pt idx="24">
                  <c:v>0.99322183196053926</c:v>
                </c:pt>
                <c:pt idx="25">
                  <c:v>0.9082616187238074</c:v>
                </c:pt>
              </c:numCache>
            </c:numRef>
          </c:val>
        </c:ser>
        <c:marker val="1"/>
        <c:axId val="112759168"/>
        <c:axId val="112760704"/>
      </c:lineChart>
      <c:catAx>
        <c:axId val="112759168"/>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12760704"/>
        <c:crosses val="autoZero"/>
        <c:auto val="1"/>
        <c:lblAlgn val="ctr"/>
        <c:lblOffset val="100"/>
      </c:catAx>
      <c:valAx>
        <c:axId val="112760704"/>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2759168"/>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355" l="0.70000000000000062" r="0.70000000000000062" t="0.75000000000000355" header="0.30000000000000032" footer="0.30000000000000032"/>
    <c:pageSetup/>
  </c:printSettings>
</c:chartSpace>
</file>

<file path=xl/charts/chart106.xml><?xml version="1.0" encoding="utf-8"?>
<c:chartSpace xmlns:c="http://schemas.openxmlformats.org/drawingml/2006/chart" xmlns:a="http://schemas.openxmlformats.org/drawingml/2006/main" xmlns:r="http://schemas.openxmlformats.org/officeDocument/2006/relationships">
  <c:lang val="en-ZA"/>
  <c:chart>
    <c:title>
      <c:tx>
        <c:strRef>
          <c:f>'Output tables'!$A$293</c:f>
          <c:strCache>
            <c:ptCount val="1"/>
            <c:pt idx="0">
              <c:v>NOx emissions</c:v>
            </c:pt>
          </c:strCache>
        </c:strRef>
      </c:tx>
      <c:layout>
        <c:manualLayout>
          <c:xMode val="edge"/>
          <c:yMode val="edge"/>
          <c:x val="0.32248628012407626"/>
          <c:y val="2.3952005999250087E-2"/>
        </c:manualLayout>
      </c:layout>
      <c:overlay val="1"/>
      <c:txPr>
        <a:bodyPr/>
        <a:lstStyle/>
        <a:p>
          <a:pPr>
            <a:defRPr lang="en-ZA" sz="1050" b="1" i="0" u="none" strike="noStrike" baseline="0">
              <a:solidFill>
                <a:srgbClr val="000000"/>
              </a:solidFill>
              <a:latin typeface="Calibri"/>
              <a:ea typeface="Calibri"/>
              <a:cs typeface="Calibri"/>
            </a:defRPr>
          </a:pPr>
          <a:endParaRPr lang="en-US"/>
        </a:p>
      </c:txPr>
    </c:title>
    <c:plotArea>
      <c:layout>
        <c:manualLayout>
          <c:layoutTarget val="inner"/>
          <c:xMode val="edge"/>
          <c:yMode val="edge"/>
          <c:x val="0.24248998210929149"/>
          <c:y val="0.17007199100112491"/>
          <c:w val="0.65512209252107689"/>
          <c:h val="0.45382227221597427"/>
        </c:manualLayout>
      </c:layout>
      <c:lineChart>
        <c:grouping val="standard"/>
        <c:ser>
          <c:idx val="0"/>
          <c:order val="0"/>
          <c:tx>
            <c:strRef>
              <c:f>'Output tables'!$A$293</c:f>
              <c:strCache>
                <c:ptCount val="1"/>
                <c:pt idx="0">
                  <c:v>NOx emissions</c:v>
                </c:pt>
              </c:strCache>
            </c:strRef>
          </c:tx>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tables'!$B$293:$AA$293</c:f>
              <c:numCache>
                <c:formatCode>General</c:formatCode>
                <c:ptCount val="26"/>
                <c:pt idx="0">
                  <c:v>0.63694162962789846</c:v>
                </c:pt>
                <c:pt idx="1">
                  <c:v>0.63694162962789846</c:v>
                </c:pt>
                <c:pt idx="2">
                  <c:v>0.65792403351788709</c:v>
                </c:pt>
                <c:pt idx="3">
                  <c:v>0.66523311512706018</c:v>
                </c:pt>
                <c:pt idx="4">
                  <c:v>0.66523311512706018</c:v>
                </c:pt>
                <c:pt idx="5">
                  <c:v>0.68093800887885991</c:v>
                </c:pt>
                <c:pt idx="6">
                  <c:v>0.69284336482675002</c:v>
                </c:pt>
                <c:pt idx="7">
                  <c:v>0.70607714603016802</c:v>
                </c:pt>
                <c:pt idx="8">
                  <c:v>0.71836949812974238</c:v>
                </c:pt>
                <c:pt idx="9">
                  <c:v>0.71898758766790716</c:v>
                </c:pt>
                <c:pt idx="10">
                  <c:v>0.71898758766790716</c:v>
                </c:pt>
                <c:pt idx="11">
                  <c:v>0.71898758766790716</c:v>
                </c:pt>
                <c:pt idx="12">
                  <c:v>0.71898758766790716</c:v>
                </c:pt>
                <c:pt idx="13">
                  <c:v>0.71898758766790716</c:v>
                </c:pt>
                <c:pt idx="14">
                  <c:v>0.71898758766790716</c:v>
                </c:pt>
                <c:pt idx="15">
                  <c:v>0.71898758766790716</c:v>
                </c:pt>
                <c:pt idx="16">
                  <c:v>0.71898758766790716</c:v>
                </c:pt>
                <c:pt idx="17">
                  <c:v>0.71898758766790716</c:v>
                </c:pt>
                <c:pt idx="18">
                  <c:v>0.71898758766790716</c:v>
                </c:pt>
                <c:pt idx="19">
                  <c:v>0.69208837694487824</c:v>
                </c:pt>
                <c:pt idx="20">
                  <c:v>0.66518916622184932</c:v>
                </c:pt>
                <c:pt idx="21">
                  <c:v>0.63156515281806325</c:v>
                </c:pt>
                <c:pt idx="22">
                  <c:v>0.59794113941427696</c:v>
                </c:pt>
                <c:pt idx="23">
                  <c:v>0.55723838634653589</c:v>
                </c:pt>
                <c:pt idx="24">
                  <c:v>0.47583288021105363</c:v>
                </c:pt>
                <c:pt idx="25">
                  <c:v>0.4351301271433124</c:v>
                </c:pt>
              </c:numCache>
            </c:numRef>
          </c:val>
        </c:ser>
        <c:marker val="1"/>
        <c:axId val="112780800"/>
        <c:axId val="112782336"/>
      </c:lineChart>
      <c:catAx>
        <c:axId val="112780800"/>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12782336"/>
        <c:crosses val="autoZero"/>
        <c:auto val="1"/>
        <c:lblAlgn val="ctr"/>
        <c:lblOffset val="100"/>
      </c:catAx>
      <c:valAx>
        <c:axId val="112782336"/>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2780800"/>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377" l="0.70000000000000062" r="0.70000000000000062" t="0.75000000000000377" header="0.30000000000000032" footer="0.30000000000000032"/>
    <c:pageSetup/>
  </c:printSettings>
</c:chartSpace>
</file>

<file path=xl/charts/chart107.xml><?xml version="1.0" encoding="utf-8"?>
<c:chartSpace xmlns:c="http://schemas.openxmlformats.org/drawingml/2006/chart" xmlns:a="http://schemas.openxmlformats.org/drawingml/2006/main" xmlns:r="http://schemas.openxmlformats.org/officeDocument/2006/relationships">
  <c:lang val="en-ZA"/>
  <c:chart>
    <c:title>
      <c:tx>
        <c:strRef>
          <c:f>'Output tables'!$A$301</c:f>
          <c:strCache>
            <c:ptCount val="1"/>
            <c:pt idx="0">
              <c:v>CO emissions</c:v>
            </c:pt>
          </c:strCache>
        </c:strRef>
      </c:tx>
      <c:layout>
        <c:manualLayout>
          <c:xMode val="edge"/>
          <c:yMode val="edge"/>
          <c:x val="0.32854700854700852"/>
          <c:y val="2.3952005999250087E-2"/>
        </c:manualLayout>
      </c:layout>
      <c:overlay val="1"/>
      <c:txPr>
        <a:bodyPr/>
        <a:lstStyle/>
        <a:p>
          <a:pPr>
            <a:defRPr lang="en-ZA" sz="1050" b="1" i="0" u="none" strike="noStrike" baseline="0">
              <a:solidFill>
                <a:srgbClr val="000000"/>
              </a:solidFill>
              <a:latin typeface="Calibri"/>
              <a:ea typeface="Calibri"/>
              <a:cs typeface="Calibri"/>
            </a:defRPr>
          </a:pPr>
          <a:endParaRPr lang="en-US"/>
        </a:p>
      </c:txPr>
    </c:title>
    <c:plotArea>
      <c:layout>
        <c:manualLayout>
          <c:layoutTarget val="inner"/>
          <c:xMode val="edge"/>
          <c:yMode val="edge"/>
          <c:x val="0.30915661696176738"/>
          <c:y val="0.16054818147731612"/>
          <c:w val="0.59435667174580042"/>
          <c:h val="0.44663142107236575"/>
        </c:manualLayout>
      </c:layout>
      <c:lineChart>
        <c:grouping val="standard"/>
        <c:ser>
          <c:idx val="0"/>
          <c:order val="0"/>
          <c:tx>
            <c:strRef>
              <c:f>'Output tables'!$A$294</c:f>
              <c:strCache>
                <c:ptCount val="1"/>
                <c:pt idx="0">
                  <c:v>CO emissions</c:v>
                </c:pt>
              </c:strCache>
            </c:strRef>
          </c:tx>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tables'!$B$294:$AA$294</c:f>
              <c:numCache>
                <c:formatCode>General</c:formatCode>
                <c:ptCount val="26"/>
                <c:pt idx="0">
                  <c:v>4.246277530852656E-2</c:v>
                </c:pt>
                <c:pt idx="1">
                  <c:v>4.246277530852656E-2</c:v>
                </c:pt>
                <c:pt idx="2">
                  <c:v>4.3861602234525808E-2</c:v>
                </c:pt>
                <c:pt idx="3">
                  <c:v>4.4348874341804019E-2</c:v>
                </c:pt>
                <c:pt idx="4">
                  <c:v>4.4348874341804019E-2</c:v>
                </c:pt>
                <c:pt idx="5">
                  <c:v>4.5395867258590662E-2</c:v>
                </c:pt>
                <c:pt idx="6">
                  <c:v>4.6189557655116668E-2</c:v>
                </c:pt>
                <c:pt idx="7">
                  <c:v>4.7071809735344534E-2</c:v>
                </c:pt>
                <c:pt idx="8">
                  <c:v>4.7891299875316158E-2</c:v>
                </c:pt>
                <c:pt idx="9">
                  <c:v>4.7932505844527143E-2</c:v>
                </c:pt>
                <c:pt idx="10">
                  <c:v>4.7932505844527143E-2</c:v>
                </c:pt>
                <c:pt idx="11">
                  <c:v>4.7932505844527143E-2</c:v>
                </c:pt>
                <c:pt idx="12">
                  <c:v>4.7932505844527143E-2</c:v>
                </c:pt>
                <c:pt idx="13">
                  <c:v>4.7932505844527143E-2</c:v>
                </c:pt>
                <c:pt idx="14">
                  <c:v>4.7932505844527143E-2</c:v>
                </c:pt>
                <c:pt idx="15">
                  <c:v>4.7932505844527143E-2</c:v>
                </c:pt>
                <c:pt idx="16">
                  <c:v>4.7932505844527143E-2</c:v>
                </c:pt>
                <c:pt idx="17">
                  <c:v>4.7932505844527143E-2</c:v>
                </c:pt>
                <c:pt idx="18">
                  <c:v>4.7932505844527143E-2</c:v>
                </c:pt>
                <c:pt idx="19">
                  <c:v>4.6139225129658547E-2</c:v>
                </c:pt>
                <c:pt idx="20">
                  <c:v>4.4345944414789958E-2</c:v>
                </c:pt>
                <c:pt idx="21">
                  <c:v>4.2104343521204214E-2</c:v>
                </c:pt>
                <c:pt idx="22">
                  <c:v>3.9862742627618464E-2</c:v>
                </c:pt>
                <c:pt idx="23">
                  <c:v>3.7149225756435728E-2</c:v>
                </c:pt>
                <c:pt idx="24">
                  <c:v>3.1722192014070241E-2</c:v>
                </c:pt>
                <c:pt idx="25">
                  <c:v>2.9008675142887495E-2</c:v>
                </c:pt>
              </c:numCache>
            </c:numRef>
          </c:val>
        </c:ser>
        <c:marker val="1"/>
        <c:axId val="112614016"/>
        <c:axId val="112640384"/>
      </c:lineChart>
      <c:catAx>
        <c:axId val="112614016"/>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12640384"/>
        <c:crosses val="autoZero"/>
        <c:auto val="1"/>
        <c:lblAlgn val="ctr"/>
        <c:lblOffset val="100"/>
      </c:catAx>
      <c:valAx>
        <c:axId val="112640384"/>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2614016"/>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377" l="0.70000000000000062" r="0.70000000000000062" t="0.75000000000000377" header="0.30000000000000032" footer="0.30000000000000032"/>
    <c:pageSetup/>
  </c:printSettings>
</c:chartSpace>
</file>

<file path=xl/charts/chart108.xml><?xml version="1.0" encoding="utf-8"?>
<c:chartSpace xmlns:c="http://schemas.openxmlformats.org/drawingml/2006/chart" xmlns:a="http://schemas.openxmlformats.org/drawingml/2006/main" xmlns:r="http://schemas.openxmlformats.org/officeDocument/2006/relationships">
  <c:lang val="en-ZA"/>
  <c:chart>
    <c:title>
      <c:tx>
        <c:strRef>
          <c:f>'Output tables'!$A$295</c:f>
          <c:strCache>
            <c:ptCount val="1"/>
            <c:pt idx="0">
              <c:v>NMVOC emissions</c:v>
            </c:pt>
          </c:strCache>
        </c:strRef>
      </c:tx>
      <c:layout>
        <c:manualLayout>
          <c:xMode val="edge"/>
          <c:yMode val="edge"/>
          <c:x val="0.33460749224528796"/>
          <c:y val="2.3952005999250087E-2"/>
        </c:manualLayout>
      </c:layout>
      <c:overlay val="1"/>
      <c:txPr>
        <a:bodyPr/>
        <a:lstStyle/>
        <a:p>
          <a:pPr>
            <a:defRPr lang="en-ZA" sz="1050" b="1" i="0" u="none" strike="noStrike" baseline="0">
              <a:solidFill>
                <a:srgbClr val="000000"/>
              </a:solidFill>
              <a:latin typeface="Calibri"/>
              <a:ea typeface="Calibri"/>
              <a:cs typeface="Calibri"/>
            </a:defRPr>
          </a:pPr>
          <a:endParaRPr lang="en-US"/>
        </a:p>
      </c:txPr>
    </c:title>
    <c:plotArea>
      <c:layout>
        <c:manualLayout>
          <c:layoutTarget val="inner"/>
          <c:xMode val="edge"/>
          <c:yMode val="edge"/>
          <c:x val="0.31593733431766524"/>
          <c:y val="0.18911961004874392"/>
          <c:w val="0.60706866758832534"/>
          <c:h val="0.39901237345331936"/>
        </c:manualLayout>
      </c:layout>
      <c:lineChart>
        <c:grouping val="standard"/>
        <c:ser>
          <c:idx val="0"/>
          <c:order val="0"/>
          <c:tx>
            <c:strRef>
              <c:f>'Output tables'!$A$295</c:f>
              <c:strCache>
                <c:ptCount val="1"/>
                <c:pt idx="0">
                  <c:v>NMVOC emissions</c:v>
                </c:pt>
              </c:strCache>
            </c:strRef>
          </c:tx>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tables'!$B$295:$AA$295</c:f>
              <c:numCache>
                <c:formatCode>General</c:formatCode>
                <c:ptCount val="26"/>
                <c:pt idx="0">
                  <c:v>1.061569382713164E-2</c:v>
                </c:pt>
                <c:pt idx="1">
                  <c:v>1.061569382713164E-2</c:v>
                </c:pt>
                <c:pt idx="2">
                  <c:v>1.0965400558631452E-2</c:v>
                </c:pt>
                <c:pt idx="3">
                  <c:v>1.1087218585451005E-2</c:v>
                </c:pt>
                <c:pt idx="4">
                  <c:v>1.1087218585451005E-2</c:v>
                </c:pt>
                <c:pt idx="5">
                  <c:v>1.1348966814647666E-2</c:v>
                </c:pt>
                <c:pt idx="6">
                  <c:v>1.1547389413779167E-2</c:v>
                </c:pt>
                <c:pt idx="7">
                  <c:v>1.1767952433836134E-2</c:v>
                </c:pt>
                <c:pt idx="8">
                  <c:v>1.197282496882904E-2</c:v>
                </c:pt>
                <c:pt idx="9">
                  <c:v>1.1983126461131786E-2</c:v>
                </c:pt>
                <c:pt idx="10">
                  <c:v>1.1983126461131786E-2</c:v>
                </c:pt>
                <c:pt idx="11">
                  <c:v>1.1983126461131786E-2</c:v>
                </c:pt>
                <c:pt idx="12">
                  <c:v>1.1983126461131786E-2</c:v>
                </c:pt>
                <c:pt idx="13">
                  <c:v>1.1983126461131786E-2</c:v>
                </c:pt>
                <c:pt idx="14">
                  <c:v>1.1983126461131786E-2</c:v>
                </c:pt>
                <c:pt idx="15">
                  <c:v>1.1983126461131786E-2</c:v>
                </c:pt>
                <c:pt idx="16">
                  <c:v>1.1983126461131786E-2</c:v>
                </c:pt>
                <c:pt idx="17">
                  <c:v>1.1983126461131786E-2</c:v>
                </c:pt>
                <c:pt idx="18">
                  <c:v>1.1983126461131786E-2</c:v>
                </c:pt>
                <c:pt idx="19">
                  <c:v>1.1534806282414637E-2</c:v>
                </c:pt>
                <c:pt idx="20">
                  <c:v>1.1086486103697489E-2</c:v>
                </c:pt>
                <c:pt idx="21">
                  <c:v>1.0526085880301054E-2</c:v>
                </c:pt>
                <c:pt idx="22">
                  <c:v>9.9656856569046159E-3</c:v>
                </c:pt>
                <c:pt idx="23">
                  <c:v>9.2873064391089319E-3</c:v>
                </c:pt>
                <c:pt idx="24">
                  <c:v>7.9305480035175603E-3</c:v>
                </c:pt>
                <c:pt idx="25">
                  <c:v>7.2521687857218737E-3</c:v>
                </c:pt>
              </c:numCache>
            </c:numRef>
          </c:val>
        </c:ser>
        <c:marker val="1"/>
        <c:axId val="112930816"/>
        <c:axId val="112932352"/>
      </c:lineChart>
      <c:catAx>
        <c:axId val="112930816"/>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12932352"/>
        <c:crosses val="autoZero"/>
        <c:auto val="1"/>
        <c:lblAlgn val="ctr"/>
        <c:lblOffset val="100"/>
      </c:catAx>
      <c:valAx>
        <c:axId val="112932352"/>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2930816"/>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377" l="0.70000000000000062" r="0.70000000000000062" t="0.75000000000000377" header="0.30000000000000032" footer="0.30000000000000032"/>
    <c:pageSetup/>
  </c:printSettings>
</c:chartSpace>
</file>

<file path=xl/charts/chart109.xml><?xml version="1.0" encoding="utf-8"?>
<c:chartSpace xmlns:c="http://schemas.openxmlformats.org/drawingml/2006/chart" xmlns:a="http://schemas.openxmlformats.org/drawingml/2006/main" xmlns:r="http://schemas.openxmlformats.org/officeDocument/2006/relationships">
  <c:lang val="en-ZA"/>
  <c:chart>
    <c:title>
      <c:tx>
        <c:strRef>
          <c:f>'Output tables'!$A$292</c:f>
          <c:strCache>
            <c:ptCount val="1"/>
            <c:pt idx="0">
              <c:v>SOx emissions</c:v>
            </c:pt>
          </c:strCache>
        </c:strRef>
      </c:tx>
      <c:layout>
        <c:manualLayout>
          <c:xMode val="edge"/>
          <c:yMode val="edge"/>
          <c:x val="0.37703173466952994"/>
          <c:y val="2.3952005999250087E-2"/>
        </c:manualLayout>
      </c:layout>
      <c:overlay val="1"/>
      <c:txPr>
        <a:bodyPr/>
        <a:lstStyle/>
        <a:p>
          <a:pPr>
            <a:defRPr lang="en-ZA" sz="1050" b="1" i="0" u="none" strike="noStrike" baseline="0">
              <a:solidFill>
                <a:srgbClr val="000000"/>
              </a:solidFill>
              <a:latin typeface="Calibri"/>
              <a:ea typeface="Calibri"/>
              <a:cs typeface="Calibri"/>
            </a:defRPr>
          </a:pPr>
          <a:endParaRPr lang="en-US"/>
        </a:p>
      </c:txPr>
    </c:title>
    <c:plotArea>
      <c:layout>
        <c:manualLayout>
          <c:layoutTarget val="inner"/>
          <c:xMode val="edge"/>
          <c:yMode val="edge"/>
          <c:x val="0.24248998210929149"/>
          <c:y val="0.17959580052493496"/>
          <c:w val="0.65512209252107689"/>
          <c:h val="0.40620322459692426"/>
        </c:manualLayout>
      </c:layout>
      <c:lineChart>
        <c:grouping val="standard"/>
        <c:ser>
          <c:idx val="0"/>
          <c:order val="0"/>
          <c:tx>
            <c:strRef>
              <c:f>'Output tables'!$A$299</c:f>
              <c:strCache>
                <c:ptCount val="1"/>
                <c:pt idx="0">
                  <c:v>SOx emissions</c:v>
                </c:pt>
              </c:strCache>
            </c:strRef>
          </c:tx>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tables'!$B$299:$AA$299</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marker val="1"/>
        <c:axId val="112956544"/>
        <c:axId val="112958080"/>
      </c:lineChart>
      <c:catAx>
        <c:axId val="112956544"/>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12958080"/>
        <c:crosses val="autoZero"/>
        <c:auto val="1"/>
        <c:lblAlgn val="ctr"/>
        <c:lblOffset val="100"/>
      </c:catAx>
      <c:valAx>
        <c:axId val="112958080"/>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2956544"/>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377" l="0.70000000000000062" r="0.70000000000000062" t="0.75000000000000377" header="0.30000000000000032" footer="0.30000000000000032"/>
    <c:pageSetup/>
  </c:printSettings>
</c:chartSpace>
</file>

<file path=xl/charts/chart110.xml><?xml version="1.0" encoding="utf-8"?>
<c:chartSpace xmlns:c="http://schemas.openxmlformats.org/drawingml/2006/chart" xmlns:a="http://schemas.openxmlformats.org/drawingml/2006/main" xmlns:r="http://schemas.openxmlformats.org/officeDocument/2006/relationships">
  <c:lang val="en-ZA"/>
  <c:chart>
    <c:title>
      <c:tx>
        <c:strRef>
          <c:f>'Output tables'!$A$293</c:f>
          <c:strCache>
            <c:ptCount val="1"/>
            <c:pt idx="0">
              <c:v>NOx emissions</c:v>
            </c:pt>
          </c:strCache>
        </c:strRef>
      </c:tx>
      <c:layout>
        <c:manualLayout>
          <c:xMode val="edge"/>
          <c:yMode val="edge"/>
          <c:x val="0.32248628012407626"/>
          <c:y val="2.3952005999250087E-2"/>
        </c:manualLayout>
      </c:layout>
      <c:overlay val="1"/>
      <c:txPr>
        <a:bodyPr/>
        <a:lstStyle/>
        <a:p>
          <a:pPr>
            <a:defRPr lang="en-ZA" sz="1050" b="1" i="0" u="none" strike="noStrike" baseline="0">
              <a:solidFill>
                <a:srgbClr val="000000"/>
              </a:solidFill>
              <a:latin typeface="Calibri"/>
              <a:ea typeface="Calibri"/>
              <a:cs typeface="Calibri"/>
            </a:defRPr>
          </a:pPr>
          <a:endParaRPr lang="en-US"/>
        </a:p>
      </c:txPr>
    </c:title>
    <c:plotArea>
      <c:layout>
        <c:manualLayout>
          <c:layoutTarget val="inner"/>
          <c:xMode val="edge"/>
          <c:yMode val="edge"/>
          <c:x val="0.2424899821092916"/>
          <c:y val="0.17007199100112491"/>
          <c:w val="0.65512209252107734"/>
          <c:h val="0.45382227221597443"/>
        </c:manualLayout>
      </c:layout>
      <c:lineChart>
        <c:grouping val="standard"/>
        <c:ser>
          <c:idx val="0"/>
          <c:order val="0"/>
          <c:tx>
            <c:strRef>
              <c:f>'Output tables'!$A$300</c:f>
              <c:strCache>
                <c:ptCount val="1"/>
                <c:pt idx="0">
                  <c:v>NOx emissions</c:v>
                </c:pt>
              </c:strCache>
            </c:strRef>
          </c:tx>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tables'!$B$300:$AA$300</c:f>
              <c:numCache>
                <c:formatCode>General</c:formatCode>
                <c:ptCount val="26"/>
                <c:pt idx="0">
                  <c:v>0</c:v>
                </c:pt>
                <c:pt idx="1">
                  <c:v>0</c:v>
                </c:pt>
                <c:pt idx="2">
                  <c:v>0</c:v>
                </c:pt>
                <c:pt idx="3">
                  <c:v>0</c:v>
                </c:pt>
                <c:pt idx="4">
                  <c:v>0</c:v>
                </c:pt>
                <c:pt idx="5">
                  <c:v>0</c:v>
                </c:pt>
                <c:pt idx="6">
                  <c:v>0</c:v>
                </c:pt>
                <c:pt idx="7">
                  <c:v>4.9318221823794004E-3</c:v>
                </c:pt>
                <c:pt idx="8">
                  <c:v>1.4795466547138203E-2</c:v>
                </c:pt>
                <c:pt idx="9">
                  <c:v>4.0147426694926144E-2</c:v>
                </c:pt>
                <c:pt idx="10">
                  <c:v>6.4379508331653096E-2</c:v>
                </c:pt>
                <c:pt idx="11">
                  <c:v>9.0189650737555679E-2</c:v>
                </c:pt>
                <c:pt idx="12">
                  <c:v>0.11557922533318173</c:v>
                </c:pt>
                <c:pt idx="13">
                  <c:v>0.14242422312396011</c:v>
                </c:pt>
                <c:pt idx="14">
                  <c:v>0.1705153477600036</c:v>
                </c:pt>
                <c:pt idx="15">
                  <c:v>0.20428583128083155</c:v>
                </c:pt>
                <c:pt idx="16">
                  <c:v>0.23952051384484624</c:v>
                </c:pt>
                <c:pt idx="17">
                  <c:v>0.2693472924888014</c:v>
                </c:pt>
                <c:pt idx="18">
                  <c:v>0.30066862088131197</c:v>
                </c:pt>
                <c:pt idx="19">
                  <c:v>0.35898016037389402</c:v>
                </c:pt>
                <c:pt idx="20">
                  <c:v>0.42144081568594449</c:v>
                </c:pt>
                <c:pt idx="21">
                  <c:v>0.49241791022572506</c:v>
                </c:pt>
                <c:pt idx="22">
                  <c:v>0.56285267097028724</c:v>
                </c:pt>
                <c:pt idx="23">
                  <c:v>0.64116422793792582</c:v>
                </c:pt>
                <c:pt idx="24">
                  <c:v>0.75806084063640944</c:v>
                </c:pt>
                <c:pt idx="25">
                  <c:v>0.82701565716070058</c:v>
                </c:pt>
              </c:numCache>
            </c:numRef>
          </c:val>
        </c:ser>
        <c:marker val="1"/>
        <c:axId val="112867968"/>
        <c:axId val="112877952"/>
      </c:lineChart>
      <c:catAx>
        <c:axId val="112867968"/>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12877952"/>
        <c:crosses val="autoZero"/>
        <c:auto val="1"/>
        <c:lblAlgn val="ctr"/>
        <c:lblOffset val="100"/>
      </c:catAx>
      <c:valAx>
        <c:axId val="112877952"/>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2867968"/>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4" l="0.70000000000000062" r="0.70000000000000062" t="0.750000000000004" header="0.30000000000000032" footer="0.30000000000000032"/>
    <c:pageSetup/>
  </c:printSettings>
</c:chartSpace>
</file>

<file path=xl/charts/chart111.xml><?xml version="1.0" encoding="utf-8"?>
<c:chartSpace xmlns:c="http://schemas.openxmlformats.org/drawingml/2006/chart" xmlns:a="http://schemas.openxmlformats.org/drawingml/2006/main" xmlns:r="http://schemas.openxmlformats.org/officeDocument/2006/relationships">
  <c:lang val="en-ZA"/>
  <c:chart>
    <c:title>
      <c:tx>
        <c:strRef>
          <c:f>'Output tables'!$A$301</c:f>
          <c:strCache>
            <c:ptCount val="1"/>
            <c:pt idx="0">
              <c:v>CO emissions</c:v>
            </c:pt>
          </c:strCache>
        </c:strRef>
      </c:tx>
      <c:layout>
        <c:manualLayout>
          <c:xMode val="edge"/>
          <c:yMode val="edge"/>
          <c:x val="0.32854688618468225"/>
          <c:y val="2.3952005999250087E-2"/>
        </c:manualLayout>
      </c:layout>
      <c:overlay val="1"/>
      <c:txPr>
        <a:bodyPr/>
        <a:lstStyle/>
        <a:p>
          <a:pPr>
            <a:defRPr lang="en-ZA" sz="1050" b="1" i="0" u="none" strike="noStrike" baseline="0">
              <a:solidFill>
                <a:srgbClr val="000000"/>
              </a:solidFill>
              <a:latin typeface="Calibri"/>
              <a:ea typeface="Calibri"/>
              <a:cs typeface="Calibri"/>
            </a:defRPr>
          </a:pPr>
          <a:endParaRPr lang="en-US"/>
        </a:p>
      </c:txPr>
    </c:title>
    <c:plotArea>
      <c:layout>
        <c:manualLayout>
          <c:layoutTarget val="inner"/>
          <c:xMode val="edge"/>
          <c:yMode val="edge"/>
          <c:x val="0.30915661696176738"/>
          <c:y val="0.16054818147731625"/>
          <c:w val="0.5943566717458002"/>
          <c:h val="0.44663142107236575"/>
        </c:manualLayout>
      </c:layout>
      <c:lineChart>
        <c:grouping val="standard"/>
        <c:ser>
          <c:idx val="0"/>
          <c:order val="0"/>
          <c:tx>
            <c:strRef>
              <c:f>'Output tables'!$A$301</c:f>
              <c:strCache>
                <c:ptCount val="1"/>
                <c:pt idx="0">
                  <c:v>CO emissions</c:v>
                </c:pt>
              </c:strCache>
            </c:strRef>
          </c:tx>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tables'!$B$301:$AA$301</c:f>
              <c:numCache>
                <c:formatCode>General</c:formatCode>
                <c:ptCount val="26"/>
                <c:pt idx="0">
                  <c:v>0</c:v>
                </c:pt>
                <c:pt idx="1">
                  <c:v>0</c:v>
                </c:pt>
                <c:pt idx="2">
                  <c:v>0</c:v>
                </c:pt>
                <c:pt idx="3">
                  <c:v>0</c:v>
                </c:pt>
                <c:pt idx="4">
                  <c:v>0</c:v>
                </c:pt>
                <c:pt idx="5">
                  <c:v>0</c:v>
                </c:pt>
                <c:pt idx="6">
                  <c:v>0</c:v>
                </c:pt>
                <c:pt idx="7">
                  <c:v>3.2878814549196006E-4</c:v>
                </c:pt>
                <c:pt idx="8">
                  <c:v>9.8636443647588017E-4</c:v>
                </c:pt>
                <c:pt idx="9">
                  <c:v>2.6764951129950761E-3</c:v>
                </c:pt>
                <c:pt idx="10">
                  <c:v>4.2919672221102059E-3</c:v>
                </c:pt>
                <c:pt idx="11">
                  <c:v>6.0126433825037125E-3</c:v>
                </c:pt>
                <c:pt idx="12">
                  <c:v>7.7052816888787817E-3</c:v>
                </c:pt>
                <c:pt idx="13">
                  <c:v>9.4949482082640063E-3</c:v>
                </c:pt>
                <c:pt idx="14">
                  <c:v>1.1367689850666909E-2</c:v>
                </c:pt>
                <c:pt idx="15">
                  <c:v>1.3619055418722104E-2</c:v>
                </c:pt>
                <c:pt idx="16">
                  <c:v>1.5968034256323083E-2</c:v>
                </c:pt>
                <c:pt idx="17">
                  <c:v>1.7956486165920094E-2</c:v>
                </c:pt>
                <c:pt idx="18">
                  <c:v>2.0044574725420795E-2</c:v>
                </c:pt>
                <c:pt idx="19">
                  <c:v>2.3932010691592936E-2</c:v>
                </c:pt>
                <c:pt idx="20">
                  <c:v>2.8096054379062967E-2</c:v>
                </c:pt>
                <c:pt idx="21">
                  <c:v>3.2827860681715004E-2</c:v>
                </c:pt>
                <c:pt idx="22">
                  <c:v>3.7523511398019148E-2</c:v>
                </c:pt>
                <c:pt idx="23">
                  <c:v>4.2744281862528391E-2</c:v>
                </c:pt>
                <c:pt idx="24">
                  <c:v>5.0537389375760633E-2</c:v>
                </c:pt>
                <c:pt idx="25">
                  <c:v>5.513437714404671E-2</c:v>
                </c:pt>
              </c:numCache>
            </c:numRef>
          </c:val>
        </c:ser>
        <c:marker val="1"/>
        <c:axId val="112902528"/>
        <c:axId val="112904064"/>
      </c:lineChart>
      <c:catAx>
        <c:axId val="112902528"/>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12904064"/>
        <c:crosses val="autoZero"/>
        <c:auto val="1"/>
        <c:lblAlgn val="ctr"/>
        <c:lblOffset val="100"/>
      </c:catAx>
      <c:valAx>
        <c:axId val="112904064"/>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2902528"/>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4" l="0.70000000000000062" r="0.70000000000000062" t="0.750000000000004" header="0.30000000000000032" footer="0.30000000000000032"/>
    <c:pageSetup/>
  </c:printSettings>
</c:chartSpace>
</file>

<file path=xl/charts/chart112.xml><?xml version="1.0" encoding="utf-8"?>
<c:chartSpace xmlns:c="http://schemas.openxmlformats.org/drawingml/2006/chart" xmlns:a="http://schemas.openxmlformats.org/drawingml/2006/main" xmlns:r="http://schemas.openxmlformats.org/officeDocument/2006/relationships">
  <c:lang val="en-ZA"/>
  <c:chart>
    <c:title>
      <c:tx>
        <c:strRef>
          <c:f>'Output tables'!$A$295</c:f>
          <c:strCache>
            <c:ptCount val="1"/>
            <c:pt idx="0">
              <c:v>NMVOC emissions</c:v>
            </c:pt>
          </c:strCache>
        </c:strRef>
      </c:tx>
      <c:layout>
        <c:manualLayout>
          <c:xMode val="edge"/>
          <c:yMode val="edge"/>
          <c:x val="0.33460749224528796"/>
          <c:y val="2.3952005999250087E-2"/>
        </c:manualLayout>
      </c:layout>
      <c:overlay val="1"/>
      <c:txPr>
        <a:bodyPr/>
        <a:lstStyle/>
        <a:p>
          <a:pPr>
            <a:defRPr lang="en-ZA" sz="1050" b="1" i="0" u="none" strike="noStrike" baseline="0">
              <a:solidFill>
                <a:srgbClr val="000000"/>
              </a:solidFill>
              <a:latin typeface="Calibri"/>
              <a:ea typeface="Calibri"/>
              <a:cs typeface="Calibri"/>
            </a:defRPr>
          </a:pPr>
          <a:endParaRPr lang="en-US"/>
        </a:p>
      </c:txPr>
    </c:title>
    <c:plotArea>
      <c:layout>
        <c:manualLayout>
          <c:layoutTarget val="inner"/>
          <c:xMode val="edge"/>
          <c:yMode val="edge"/>
          <c:x val="0.31593733431766541"/>
          <c:y val="0.18911961004874392"/>
          <c:w val="0.60706866758832556"/>
          <c:h val="0.39901237345331947"/>
        </c:manualLayout>
      </c:layout>
      <c:lineChart>
        <c:grouping val="standard"/>
        <c:ser>
          <c:idx val="0"/>
          <c:order val="0"/>
          <c:tx>
            <c:strRef>
              <c:f>'Output tables'!$A$302</c:f>
              <c:strCache>
                <c:ptCount val="1"/>
                <c:pt idx="0">
                  <c:v>NMVOC emissions</c:v>
                </c:pt>
              </c:strCache>
            </c:strRef>
          </c:tx>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tables'!$B$302:$AA$302</c:f>
              <c:numCache>
                <c:formatCode>General</c:formatCode>
                <c:ptCount val="26"/>
                <c:pt idx="0">
                  <c:v>0</c:v>
                </c:pt>
                <c:pt idx="1">
                  <c:v>0</c:v>
                </c:pt>
                <c:pt idx="2">
                  <c:v>0</c:v>
                </c:pt>
                <c:pt idx="3">
                  <c:v>0</c:v>
                </c:pt>
                <c:pt idx="4">
                  <c:v>0</c:v>
                </c:pt>
                <c:pt idx="5">
                  <c:v>0</c:v>
                </c:pt>
                <c:pt idx="6">
                  <c:v>0</c:v>
                </c:pt>
                <c:pt idx="7">
                  <c:v>8.2197036372990014E-5</c:v>
                </c:pt>
                <c:pt idx="8">
                  <c:v>2.4659110911897004E-4</c:v>
                </c:pt>
                <c:pt idx="9">
                  <c:v>6.6912377824876901E-4</c:v>
                </c:pt>
                <c:pt idx="10">
                  <c:v>1.0729918055275515E-3</c:v>
                </c:pt>
                <c:pt idx="11">
                  <c:v>1.5031608456259281E-3</c:v>
                </c:pt>
                <c:pt idx="12">
                  <c:v>1.9263204222196954E-3</c:v>
                </c:pt>
                <c:pt idx="13">
                  <c:v>2.3737370520660016E-3</c:v>
                </c:pt>
                <c:pt idx="14">
                  <c:v>2.8419224626667272E-3</c:v>
                </c:pt>
                <c:pt idx="15">
                  <c:v>3.4047638546805259E-3</c:v>
                </c:pt>
                <c:pt idx="16">
                  <c:v>3.9920085640807708E-3</c:v>
                </c:pt>
                <c:pt idx="17">
                  <c:v>4.4891215414800236E-3</c:v>
                </c:pt>
                <c:pt idx="18">
                  <c:v>5.0111436813551988E-3</c:v>
                </c:pt>
                <c:pt idx="19">
                  <c:v>5.9830026728982339E-3</c:v>
                </c:pt>
                <c:pt idx="20">
                  <c:v>7.0240135947657418E-3</c:v>
                </c:pt>
                <c:pt idx="21">
                  <c:v>8.2069651704287511E-3</c:v>
                </c:pt>
                <c:pt idx="22">
                  <c:v>9.380877849504787E-3</c:v>
                </c:pt>
                <c:pt idx="23">
                  <c:v>1.0686070465632098E-2</c:v>
                </c:pt>
                <c:pt idx="24">
                  <c:v>1.2634347343940158E-2</c:v>
                </c:pt>
                <c:pt idx="25">
                  <c:v>1.3783594286011678E-2</c:v>
                </c:pt>
              </c:numCache>
            </c:numRef>
          </c:val>
        </c:ser>
        <c:marker val="1"/>
        <c:axId val="112993792"/>
        <c:axId val="112995328"/>
      </c:lineChart>
      <c:catAx>
        <c:axId val="112993792"/>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12995328"/>
        <c:crosses val="autoZero"/>
        <c:auto val="1"/>
        <c:lblAlgn val="ctr"/>
        <c:lblOffset val="100"/>
      </c:catAx>
      <c:valAx>
        <c:axId val="112995328"/>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2993792"/>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4" l="0.70000000000000062" r="0.70000000000000062" t="0.750000000000004" header="0.30000000000000032" footer="0.30000000000000032"/>
    <c:pageSetup/>
  </c:printSettings>
</c:chartSpace>
</file>

<file path=xl/charts/chart113.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050" b="1" i="0" u="none" strike="noStrike" baseline="0">
                <a:solidFill>
                  <a:srgbClr val="000000"/>
                </a:solidFill>
                <a:latin typeface="Calibri"/>
                <a:ea typeface="Calibri"/>
                <a:cs typeface="Calibri"/>
              </a:defRPr>
            </a:pPr>
            <a:r>
              <a:rPr lang="en-ZA"/>
              <a:t>GHG emissions </a:t>
            </a:r>
          </a:p>
        </c:rich>
      </c:tx>
      <c:layout>
        <c:manualLayout>
          <c:xMode val="edge"/>
          <c:yMode val="edge"/>
          <c:x val="0.37703152985705152"/>
          <c:y val="2.3952095808383235E-2"/>
        </c:manualLayout>
      </c:layout>
      <c:overlay val="1"/>
    </c:title>
    <c:plotArea>
      <c:layout>
        <c:manualLayout>
          <c:layoutTarget val="inner"/>
          <c:xMode val="edge"/>
          <c:yMode val="edge"/>
          <c:x val="0.10680342871251523"/>
          <c:y val="0.19467108012772291"/>
          <c:w val="0.83507441937856253"/>
          <c:h val="0.41813971883651524"/>
        </c:manualLayout>
      </c:layout>
      <c:lineChart>
        <c:grouping val="standard"/>
        <c:ser>
          <c:idx val="0"/>
          <c:order val="0"/>
          <c:tx>
            <c:strRef>
              <c:f>'Output tables'!$A$291</c:f>
              <c:strCache>
                <c:ptCount val="1"/>
                <c:pt idx="0">
                  <c:v>GHG emissions</c:v>
                </c:pt>
              </c:strCache>
            </c:strRef>
          </c:tx>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tables'!$BW$291:$CV$291</c:f>
              <c:numCache>
                <c:formatCode>General</c:formatCode>
                <c:ptCount val="26"/>
                <c:pt idx="0">
                  <c:v>0</c:v>
                </c:pt>
                <c:pt idx="1">
                  <c:v>0</c:v>
                </c:pt>
                <c:pt idx="2">
                  <c:v>0</c:v>
                </c:pt>
                <c:pt idx="3">
                  <c:v>0</c:v>
                </c:pt>
                <c:pt idx="4">
                  <c:v>0</c:v>
                </c:pt>
                <c:pt idx="5">
                  <c:v>0</c:v>
                </c:pt>
                <c:pt idx="6">
                  <c:v>0</c:v>
                </c:pt>
                <c:pt idx="7">
                  <c:v>1.5897728804899998</c:v>
                </c:pt>
                <c:pt idx="8">
                  <c:v>4.76931864147</c:v>
                </c:pt>
                <c:pt idx="9">
                  <c:v>12.941522995109445</c:v>
                </c:pt>
                <c:pt idx="10">
                  <c:v>20.752734510708375</c:v>
                </c:pt>
                <c:pt idx="11">
                  <c:v>29.072633915251078</c:v>
                </c:pt>
                <c:pt idx="12">
                  <c:v>37.256963286151127</c:v>
                </c:pt>
                <c:pt idx="13">
                  <c:v>45.910448324008541</c:v>
                </c:pt>
                <c:pt idx="14">
                  <c:v>54.965622350437165</c:v>
                </c:pt>
                <c:pt idx="15">
                  <c:v>65.851537713376061</c:v>
                </c:pt>
                <c:pt idx="16">
                  <c:v>77.209437637886197</c:v>
                </c:pt>
                <c:pt idx="17">
                  <c:v>86.824099733765138</c:v>
                </c:pt>
                <c:pt idx="18">
                  <c:v>96.920529941090919</c:v>
                </c:pt>
                <c:pt idx="19">
                  <c:v>115.71725469652476</c:v>
                </c:pt>
                <c:pt idx="20">
                  <c:v>135.85144693636423</c:v>
                </c:pt>
                <c:pt idx="21">
                  <c:v>158.73091336126248</c:v>
                </c:pt>
                <c:pt idx="22">
                  <c:v>181.43555848727209</c:v>
                </c:pt>
                <c:pt idx="23">
                  <c:v>206.67928887579041</c:v>
                </c:pt>
                <c:pt idx="24">
                  <c:v>244.36091197914661</c:v>
                </c:pt>
                <c:pt idx="25">
                  <c:v>266.58849708575184</c:v>
                </c:pt>
              </c:numCache>
            </c:numRef>
          </c:val>
        </c:ser>
        <c:marker val="1"/>
        <c:axId val="113040384"/>
        <c:axId val="113124096"/>
      </c:lineChart>
      <c:catAx>
        <c:axId val="113040384"/>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13124096"/>
        <c:crosses val="autoZero"/>
        <c:auto val="1"/>
        <c:lblAlgn val="ctr"/>
        <c:lblOffset val="100"/>
      </c:catAx>
      <c:valAx>
        <c:axId val="113124096"/>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3040384"/>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311" l="0.70000000000000062" r="0.70000000000000062" t="0.75000000000000311" header="0.30000000000000032" footer="0.30000000000000032"/>
    <c:pageSetup/>
  </c:printSettings>
</c:chartSpace>
</file>

<file path=xl/charts/chart114.xml><?xml version="1.0" encoding="utf-8"?>
<c:chartSpace xmlns:c="http://schemas.openxmlformats.org/drawingml/2006/chart" xmlns:a="http://schemas.openxmlformats.org/drawingml/2006/main" xmlns:r="http://schemas.openxmlformats.org/officeDocument/2006/relationships">
  <c:lang val="en-ZA"/>
  <c:chart>
    <c:title>
      <c:tx>
        <c:strRef>
          <c:f>'Output tables'!$A$292</c:f>
          <c:strCache>
            <c:ptCount val="1"/>
            <c:pt idx="0">
              <c:v>SOx emissions</c:v>
            </c:pt>
          </c:strCache>
        </c:strRef>
      </c:tx>
      <c:layout>
        <c:manualLayout>
          <c:xMode val="edge"/>
          <c:yMode val="edge"/>
          <c:x val="0.37703173466952994"/>
          <c:y val="2.3952005999250087E-2"/>
        </c:manualLayout>
      </c:layout>
      <c:overlay val="1"/>
      <c:txPr>
        <a:bodyPr/>
        <a:lstStyle/>
        <a:p>
          <a:pPr>
            <a:defRPr lang="en-ZA" sz="1050" b="1" i="0" u="none" strike="noStrike" baseline="0">
              <a:solidFill>
                <a:srgbClr val="000000"/>
              </a:solidFill>
              <a:latin typeface="Calibri"/>
              <a:ea typeface="Calibri"/>
              <a:cs typeface="Calibri"/>
            </a:defRPr>
          </a:pPr>
          <a:endParaRPr lang="en-US"/>
        </a:p>
      </c:txPr>
    </c:title>
    <c:plotArea>
      <c:layout>
        <c:manualLayout>
          <c:layoutTarget val="inner"/>
          <c:xMode val="edge"/>
          <c:yMode val="edge"/>
          <c:x val="0.24248998210929149"/>
          <c:y val="0.17959580052493496"/>
          <c:w val="0.65512209252107689"/>
          <c:h val="0.40620322459692426"/>
        </c:manualLayout>
      </c:layout>
      <c:lineChart>
        <c:grouping val="standard"/>
        <c:ser>
          <c:idx val="0"/>
          <c:order val="0"/>
          <c:tx>
            <c:strRef>
              <c:f>'Output tables'!$A$292</c:f>
              <c:strCache>
                <c:ptCount val="1"/>
                <c:pt idx="0">
                  <c:v>SOx emissions</c:v>
                </c:pt>
              </c:strCache>
            </c:strRef>
          </c:tx>
          <c:marker>
            <c:symbol val="none"/>
          </c:marker>
          <c:cat>
            <c:numRef>
              <c:f>'Output tables'!$BW$258:$CV$258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tables'!$BW$292:$CV$292</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marker val="1"/>
        <c:axId val="113152384"/>
        <c:axId val="113153920"/>
      </c:lineChart>
      <c:catAx>
        <c:axId val="113152384"/>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13153920"/>
        <c:crosses val="autoZero"/>
        <c:auto val="1"/>
        <c:lblAlgn val="ctr"/>
        <c:lblOffset val="100"/>
      </c:catAx>
      <c:valAx>
        <c:axId val="113153920"/>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3152384"/>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377" l="0.70000000000000062" r="0.70000000000000062" t="0.75000000000000377" header="0.30000000000000032" footer="0.30000000000000032"/>
    <c:pageSetup/>
  </c:printSettings>
</c:chartSpace>
</file>

<file path=xl/charts/chart115.xml><?xml version="1.0" encoding="utf-8"?>
<c:chartSpace xmlns:c="http://schemas.openxmlformats.org/drawingml/2006/chart" xmlns:a="http://schemas.openxmlformats.org/drawingml/2006/main" xmlns:r="http://schemas.openxmlformats.org/officeDocument/2006/relationships">
  <c:lang val="en-ZA"/>
  <c:chart>
    <c:title>
      <c:tx>
        <c:strRef>
          <c:f>'Output tables'!$A$293</c:f>
          <c:strCache>
            <c:ptCount val="1"/>
            <c:pt idx="0">
              <c:v>NOx emissions</c:v>
            </c:pt>
          </c:strCache>
        </c:strRef>
      </c:tx>
      <c:layout>
        <c:manualLayout>
          <c:xMode val="edge"/>
          <c:yMode val="edge"/>
          <c:x val="0.32248628012407626"/>
          <c:y val="2.3952005999250087E-2"/>
        </c:manualLayout>
      </c:layout>
      <c:overlay val="1"/>
      <c:txPr>
        <a:bodyPr/>
        <a:lstStyle/>
        <a:p>
          <a:pPr>
            <a:defRPr lang="en-ZA" sz="1050" b="1" i="0" u="none" strike="noStrike" baseline="0">
              <a:solidFill>
                <a:srgbClr val="000000"/>
              </a:solidFill>
              <a:latin typeface="Calibri"/>
              <a:ea typeface="Calibri"/>
              <a:cs typeface="Calibri"/>
            </a:defRPr>
          </a:pPr>
          <a:endParaRPr lang="en-US"/>
        </a:p>
      </c:txPr>
    </c:title>
    <c:plotArea>
      <c:layout>
        <c:manualLayout>
          <c:layoutTarget val="inner"/>
          <c:xMode val="edge"/>
          <c:yMode val="edge"/>
          <c:x val="0.2424899821092916"/>
          <c:y val="0.17007199100112491"/>
          <c:w val="0.65512209252107734"/>
          <c:h val="0.45382227221597443"/>
        </c:manualLayout>
      </c:layout>
      <c:lineChart>
        <c:grouping val="standard"/>
        <c:ser>
          <c:idx val="0"/>
          <c:order val="0"/>
          <c:tx>
            <c:strRef>
              <c:f>'Output tables'!$A$293</c:f>
              <c:strCache>
                <c:ptCount val="1"/>
                <c:pt idx="0">
                  <c:v>NOx emissions</c:v>
                </c:pt>
              </c:strCache>
            </c:strRef>
          </c:tx>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tables'!$BW$293:$CV$293</c:f>
              <c:numCache>
                <c:formatCode>General</c:formatCode>
                <c:ptCount val="26"/>
                <c:pt idx="0">
                  <c:v>0</c:v>
                </c:pt>
                <c:pt idx="1">
                  <c:v>0</c:v>
                </c:pt>
                <c:pt idx="2">
                  <c:v>0</c:v>
                </c:pt>
                <c:pt idx="3">
                  <c:v>0</c:v>
                </c:pt>
                <c:pt idx="4">
                  <c:v>0</c:v>
                </c:pt>
                <c:pt idx="5">
                  <c:v>0</c:v>
                </c:pt>
                <c:pt idx="6">
                  <c:v>0</c:v>
                </c:pt>
                <c:pt idx="7">
                  <c:v>4.9318221823794004E-3</c:v>
                </c:pt>
                <c:pt idx="8">
                  <c:v>1.4795466547138203E-2</c:v>
                </c:pt>
                <c:pt idx="9">
                  <c:v>4.0147426694926144E-2</c:v>
                </c:pt>
                <c:pt idx="10">
                  <c:v>6.4379508331653096E-2</c:v>
                </c:pt>
                <c:pt idx="11">
                  <c:v>9.0189650737555679E-2</c:v>
                </c:pt>
                <c:pt idx="12">
                  <c:v>0.11557922533318173</c:v>
                </c:pt>
                <c:pt idx="13">
                  <c:v>0.14242422312396011</c:v>
                </c:pt>
                <c:pt idx="14">
                  <c:v>0.1705153477600036</c:v>
                </c:pt>
                <c:pt idx="15">
                  <c:v>0.20428583128083155</c:v>
                </c:pt>
                <c:pt idx="16">
                  <c:v>0.23952051384484624</c:v>
                </c:pt>
                <c:pt idx="17">
                  <c:v>0.2693472924888014</c:v>
                </c:pt>
                <c:pt idx="18">
                  <c:v>0.30066862088131197</c:v>
                </c:pt>
                <c:pt idx="19">
                  <c:v>0.35898016037389402</c:v>
                </c:pt>
                <c:pt idx="20">
                  <c:v>0.42144081568594449</c:v>
                </c:pt>
                <c:pt idx="21">
                  <c:v>0.49241791022572506</c:v>
                </c:pt>
                <c:pt idx="22">
                  <c:v>0.56285267097028724</c:v>
                </c:pt>
                <c:pt idx="23">
                  <c:v>0.64116422793792582</c:v>
                </c:pt>
                <c:pt idx="24">
                  <c:v>0.75806084063640944</c:v>
                </c:pt>
                <c:pt idx="25">
                  <c:v>0.82701565716070058</c:v>
                </c:pt>
              </c:numCache>
            </c:numRef>
          </c:val>
        </c:ser>
        <c:marker val="1"/>
        <c:axId val="113071616"/>
        <c:axId val="113073152"/>
      </c:lineChart>
      <c:catAx>
        <c:axId val="113071616"/>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13073152"/>
        <c:crosses val="autoZero"/>
        <c:auto val="1"/>
        <c:lblAlgn val="ctr"/>
        <c:lblOffset val="100"/>
      </c:catAx>
      <c:valAx>
        <c:axId val="113073152"/>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3071616"/>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4" l="0.70000000000000062" r="0.70000000000000062" t="0.750000000000004" header="0.30000000000000032" footer="0.30000000000000032"/>
    <c:pageSetup/>
  </c:printSettings>
</c:chartSpace>
</file>

<file path=xl/charts/chart116.xml><?xml version="1.0" encoding="utf-8"?>
<c:chartSpace xmlns:c="http://schemas.openxmlformats.org/drawingml/2006/chart" xmlns:a="http://schemas.openxmlformats.org/drawingml/2006/main" xmlns:r="http://schemas.openxmlformats.org/officeDocument/2006/relationships">
  <c:lang val="en-ZA"/>
  <c:chart>
    <c:title>
      <c:tx>
        <c:strRef>
          <c:f>'Output tables'!$A$301</c:f>
          <c:strCache>
            <c:ptCount val="1"/>
            <c:pt idx="0">
              <c:v>CO emissions</c:v>
            </c:pt>
          </c:strCache>
        </c:strRef>
      </c:tx>
      <c:layout>
        <c:manualLayout>
          <c:xMode val="edge"/>
          <c:yMode val="edge"/>
          <c:x val="0.32854688618468225"/>
          <c:y val="2.3952005999250087E-2"/>
        </c:manualLayout>
      </c:layout>
      <c:overlay val="1"/>
      <c:txPr>
        <a:bodyPr/>
        <a:lstStyle/>
        <a:p>
          <a:pPr>
            <a:defRPr lang="en-ZA" sz="1050" b="1" i="0" u="none" strike="noStrike" baseline="0">
              <a:solidFill>
                <a:srgbClr val="000000"/>
              </a:solidFill>
              <a:latin typeface="Calibri"/>
              <a:ea typeface="Calibri"/>
              <a:cs typeface="Calibri"/>
            </a:defRPr>
          </a:pPr>
          <a:endParaRPr lang="en-US"/>
        </a:p>
      </c:txPr>
    </c:title>
    <c:plotArea>
      <c:layout>
        <c:manualLayout>
          <c:layoutTarget val="inner"/>
          <c:xMode val="edge"/>
          <c:yMode val="edge"/>
          <c:x val="0.30915661696176738"/>
          <c:y val="0.16054818147731625"/>
          <c:w val="0.5943566717458002"/>
          <c:h val="0.44663142107236575"/>
        </c:manualLayout>
      </c:layout>
      <c:lineChart>
        <c:grouping val="standard"/>
        <c:ser>
          <c:idx val="0"/>
          <c:order val="0"/>
          <c:tx>
            <c:strRef>
              <c:f>'Output tables'!$A$294</c:f>
              <c:strCache>
                <c:ptCount val="1"/>
                <c:pt idx="0">
                  <c:v>CO emissions</c:v>
                </c:pt>
              </c:strCache>
            </c:strRef>
          </c:tx>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tables'!$BW$294:$CV$294</c:f>
              <c:numCache>
                <c:formatCode>General</c:formatCode>
                <c:ptCount val="26"/>
                <c:pt idx="0">
                  <c:v>0</c:v>
                </c:pt>
                <c:pt idx="1">
                  <c:v>0</c:v>
                </c:pt>
                <c:pt idx="2">
                  <c:v>0</c:v>
                </c:pt>
                <c:pt idx="3">
                  <c:v>0</c:v>
                </c:pt>
                <c:pt idx="4">
                  <c:v>0</c:v>
                </c:pt>
                <c:pt idx="5">
                  <c:v>0</c:v>
                </c:pt>
                <c:pt idx="6">
                  <c:v>0</c:v>
                </c:pt>
                <c:pt idx="7">
                  <c:v>3.2878814549196006E-4</c:v>
                </c:pt>
                <c:pt idx="8">
                  <c:v>9.8636443647588017E-4</c:v>
                </c:pt>
                <c:pt idx="9">
                  <c:v>2.6764951129950761E-3</c:v>
                </c:pt>
                <c:pt idx="10">
                  <c:v>4.2919672221102059E-3</c:v>
                </c:pt>
                <c:pt idx="11">
                  <c:v>6.0126433825037125E-3</c:v>
                </c:pt>
                <c:pt idx="12">
                  <c:v>7.7052816888787817E-3</c:v>
                </c:pt>
                <c:pt idx="13">
                  <c:v>9.4949482082640063E-3</c:v>
                </c:pt>
                <c:pt idx="14">
                  <c:v>1.1367689850666909E-2</c:v>
                </c:pt>
                <c:pt idx="15">
                  <c:v>1.3619055418722104E-2</c:v>
                </c:pt>
                <c:pt idx="16">
                  <c:v>1.5968034256323083E-2</c:v>
                </c:pt>
                <c:pt idx="17">
                  <c:v>1.7956486165920094E-2</c:v>
                </c:pt>
                <c:pt idx="18">
                  <c:v>2.0044574725420795E-2</c:v>
                </c:pt>
                <c:pt idx="19">
                  <c:v>2.3932010691592936E-2</c:v>
                </c:pt>
                <c:pt idx="20">
                  <c:v>2.8096054379062967E-2</c:v>
                </c:pt>
                <c:pt idx="21">
                  <c:v>3.2827860681715004E-2</c:v>
                </c:pt>
                <c:pt idx="22">
                  <c:v>3.7523511398019148E-2</c:v>
                </c:pt>
                <c:pt idx="23">
                  <c:v>4.2744281862528391E-2</c:v>
                </c:pt>
                <c:pt idx="24">
                  <c:v>5.0537389375760633E-2</c:v>
                </c:pt>
                <c:pt idx="25">
                  <c:v>5.513437714404671E-2</c:v>
                </c:pt>
              </c:numCache>
            </c:numRef>
          </c:val>
        </c:ser>
        <c:marker val="1"/>
        <c:axId val="113085056"/>
        <c:axId val="113107328"/>
      </c:lineChart>
      <c:catAx>
        <c:axId val="113085056"/>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13107328"/>
        <c:crosses val="autoZero"/>
        <c:auto val="1"/>
        <c:lblAlgn val="ctr"/>
        <c:lblOffset val="100"/>
      </c:catAx>
      <c:valAx>
        <c:axId val="113107328"/>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3085056"/>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4" l="0.70000000000000062" r="0.70000000000000062" t="0.750000000000004" header="0.30000000000000032" footer="0.30000000000000032"/>
    <c:pageSetup/>
  </c:printSettings>
</c:chartSpace>
</file>

<file path=xl/charts/chart117.xml><?xml version="1.0" encoding="utf-8"?>
<c:chartSpace xmlns:c="http://schemas.openxmlformats.org/drawingml/2006/chart" xmlns:a="http://schemas.openxmlformats.org/drawingml/2006/main" xmlns:r="http://schemas.openxmlformats.org/officeDocument/2006/relationships">
  <c:lang val="en-ZA"/>
  <c:chart>
    <c:title>
      <c:tx>
        <c:strRef>
          <c:f>'Output tables'!$A$295</c:f>
          <c:strCache>
            <c:ptCount val="1"/>
            <c:pt idx="0">
              <c:v>NMVOC emissions</c:v>
            </c:pt>
          </c:strCache>
        </c:strRef>
      </c:tx>
      <c:layout>
        <c:manualLayout>
          <c:xMode val="edge"/>
          <c:yMode val="edge"/>
          <c:x val="0.33460749224528796"/>
          <c:y val="2.3952005999250087E-2"/>
        </c:manualLayout>
      </c:layout>
      <c:overlay val="1"/>
      <c:txPr>
        <a:bodyPr/>
        <a:lstStyle/>
        <a:p>
          <a:pPr>
            <a:defRPr lang="en-ZA" sz="1050" b="1" i="0" u="none" strike="noStrike" baseline="0">
              <a:solidFill>
                <a:srgbClr val="000000"/>
              </a:solidFill>
              <a:latin typeface="Calibri"/>
              <a:ea typeface="Calibri"/>
              <a:cs typeface="Calibri"/>
            </a:defRPr>
          </a:pPr>
          <a:endParaRPr lang="en-US"/>
        </a:p>
      </c:txPr>
    </c:title>
    <c:plotArea>
      <c:layout>
        <c:manualLayout>
          <c:layoutTarget val="inner"/>
          <c:xMode val="edge"/>
          <c:yMode val="edge"/>
          <c:x val="0.31593733431766541"/>
          <c:y val="0.18911961004874392"/>
          <c:w val="0.60706866758832556"/>
          <c:h val="0.39901237345331947"/>
        </c:manualLayout>
      </c:layout>
      <c:lineChart>
        <c:grouping val="standard"/>
        <c:ser>
          <c:idx val="0"/>
          <c:order val="0"/>
          <c:tx>
            <c:strRef>
              <c:f>'Output tables'!$A$295</c:f>
              <c:strCache>
                <c:ptCount val="1"/>
                <c:pt idx="0">
                  <c:v>NMVOC emissions</c:v>
                </c:pt>
              </c:strCache>
            </c:strRef>
          </c:tx>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tables'!$BW$295:$CV$295</c:f>
              <c:numCache>
                <c:formatCode>General</c:formatCode>
                <c:ptCount val="26"/>
                <c:pt idx="0">
                  <c:v>0</c:v>
                </c:pt>
                <c:pt idx="1">
                  <c:v>0</c:v>
                </c:pt>
                <c:pt idx="2">
                  <c:v>0</c:v>
                </c:pt>
                <c:pt idx="3">
                  <c:v>0</c:v>
                </c:pt>
                <c:pt idx="4">
                  <c:v>0</c:v>
                </c:pt>
                <c:pt idx="5">
                  <c:v>0</c:v>
                </c:pt>
                <c:pt idx="6">
                  <c:v>0</c:v>
                </c:pt>
                <c:pt idx="7">
                  <c:v>8.2197036372990014E-5</c:v>
                </c:pt>
                <c:pt idx="8">
                  <c:v>2.4659110911897004E-4</c:v>
                </c:pt>
                <c:pt idx="9">
                  <c:v>6.6912377824876901E-4</c:v>
                </c:pt>
                <c:pt idx="10">
                  <c:v>1.0729918055275515E-3</c:v>
                </c:pt>
                <c:pt idx="11">
                  <c:v>1.5031608456259281E-3</c:v>
                </c:pt>
                <c:pt idx="12">
                  <c:v>1.9263204222196954E-3</c:v>
                </c:pt>
                <c:pt idx="13">
                  <c:v>2.3737370520660016E-3</c:v>
                </c:pt>
                <c:pt idx="14">
                  <c:v>2.8419224626667272E-3</c:v>
                </c:pt>
                <c:pt idx="15">
                  <c:v>3.4047638546805259E-3</c:v>
                </c:pt>
                <c:pt idx="16">
                  <c:v>3.9920085640807708E-3</c:v>
                </c:pt>
                <c:pt idx="17">
                  <c:v>4.4891215414800236E-3</c:v>
                </c:pt>
                <c:pt idx="18">
                  <c:v>5.0111436813551988E-3</c:v>
                </c:pt>
                <c:pt idx="19">
                  <c:v>5.9830026728982339E-3</c:v>
                </c:pt>
                <c:pt idx="20">
                  <c:v>7.0240135947657418E-3</c:v>
                </c:pt>
                <c:pt idx="21">
                  <c:v>8.2069651704287511E-3</c:v>
                </c:pt>
                <c:pt idx="22">
                  <c:v>9.380877849504787E-3</c:v>
                </c:pt>
                <c:pt idx="23">
                  <c:v>1.0686070465632098E-2</c:v>
                </c:pt>
                <c:pt idx="24">
                  <c:v>1.2634347343940158E-2</c:v>
                </c:pt>
                <c:pt idx="25">
                  <c:v>1.3783594286011678E-2</c:v>
                </c:pt>
              </c:numCache>
            </c:numRef>
          </c:val>
        </c:ser>
        <c:marker val="1"/>
        <c:axId val="113201152"/>
        <c:axId val="113202688"/>
      </c:lineChart>
      <c:catAx>
        <c:axId val="113201152"/>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13202688"/>
        <c:crosses val="autoZero"/>
        <c:auto val="1"/>
        <c:lblAlgn val="ctr"/>
        <c:lblOffset val="100"/>
      </c:catAx>
      <c:valAx>
        <c:axId val="113202688"/>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3201152"/>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4" l="0.70000000000000062" r="0.70000000000000062" t="0.750000000000004" header="0.30000000000000032" footer="0.30000000000000032"/>
    <c:pageSetup/>
  </c:printSettings>
</c:chartSpace>
</file>

<file path=xl/charts/chart118.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050" b="1" i="0" u="none" strike="noStrike" baseline="0">
                <a:solidFill>
                  <a:srgbClr val="000000"/>
                </a:solidFill>
                <a:latin typeface="Calibri"/>
                <a:ea typeface="Calibri"/>
                <a:cs typeface="Calibri"/>
              </a:defRPr>
            </a:pPr>
            <a:r>
              <a:rPr lang="en-ZA"/>
              <a:t>Electricity sent out - reference</a:t>
            </a:r>
          </a:p>
        </c:rich>
      </c:tx>
      <c:overlay val="1"/>
    </c:title>
    <c:plotArea>
      <c:layout>
        <c:manualLayout>
          <c:layoutTarget val="inner"/>
          <c:xMode val="edge"/>
          <c:yMode val="edge"/>
          <c:x val="0.1491550743657043"/>
          <c:y val="7.3868967817871958E-2"/>
          <c:w val="0.80045603674540677"/>
          <c:h val="0.44392479717013872"/>
        </c:manualLayout>
      </c:layout>
      <c:areaChart>
        <c:grouping val="stacked"/>
        <c:ser>
          <c:idx val="0"/>
          <c:order val="0"/>
          <c:tx>
            <c:strRef>
              <c:f>'Output tables'!$A$38</c:f>
              <c:strCache>
                <c:ptCount val="1"/>
                <c:pt idx="0">
                  <c:v>Existing coal Large</c:v>
                </c:pt>
              </c:strCache>
            </c:strRef>
          </c:tx>
          <c:cat>
            <c:numRef>
              <c:f>'Output tables'!$AP$37:$BO$37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tables'!$AP$38:$BO$38</c:f>
              <c:numCache>
                <c:formatCode>General</c:formatCode>
                <c:ptCount val="26"/>
                <c:pt idx="0">
                  <c:v>205861.53782111834</c:v>
                </c:pt>
                <c:pt idx="1">
                  <c:v>205861.53782111834</c:v>
                </c:pt>
                <c:pt idx="2">
                  <c:v>212643.1167461767</c:v>
                </c:pt>
                <c:pt idx="3">
                  <c:v>215005.43490868001</c:v>
                </c:pt>
                <c:pt idx="4">
                  <c:v>215005.43490868001</c:v>
                </c:pt>
                <c:pt idx="5">
                  <c:v>220081.30595977066</c:v>
                </c:pt>
                <c:pt idx="6">
                  <c:v>223403.5544434257</c:v>
                </c:pt>
                <c:pt idx="7">
                  <c:v>227155.15414744781</c:v>
                </c:pt>
                <c:pt idx="8">
                  <c:v>230076.88100439601</c:v>
                </c:pt>
                <c:pt idx="9">
                  <c:v>232379.04948696808</c:v>
                </c:pt>
                <c:pt idx="10">
                  <c:v>232379.04948696808</c:v>
                </c:pt>
                <c:pt idx="11">
                  <c:v>232379.04948696808</c:v>
                </c:pt>
                <c:pt idx="12">
                  <c:v>232379.04948696808</c:v>
                </c:pt>
                <c:pt idx="13">
                  <c:v>232379.04948696808</c:v>
                </c:pt>
                <c:pt idx="14">
                  <c:v>232379.04948696808</c:v>
                </c:pt>
                <c:pt idx="15">
                  <c:v>232379.04948696808</c:v>
                </c:pt>
                <c:pt idx="16">
                  <c:v>232379.04948696808</c:v>
                </c:pt>
                <c:pt idx="17">
                  <c:v>232379.04948696808</c:v>
                </c:pt>
                <c:pt idx="18">
                  <c:v>226946.67778472271</c:v>
                </c:pt>
                <c:pt idx="19">
                  <c:v>220320.71082497219</c:v>
                </c:pt>
                <c:pt idx="20">
                  <c:v>214991.23048430041</c:v>
                </c:pt>
                <c:pt idx="21">
                  <c:v>204123.84360763311</c:v>
                </c:pt>
                <c:pt idx="22">
                  <c:v>193256.45673096576</c:v>
                </c:pt>
                <c:pt idx="23">
                  <c:v>180101.19893289483</c:v>
                </c:pt>
                <c:pt idx="24">
                  <c:v>153790.68333675293</c:v>
                </c:pt>
                <c:pt idx="25">
                  <c:v>140635.42553868194</c:v>
                </c:pt>
              </c:numCache>
            </c:numRef>
          </c:val>
        </c:ser>
        <c:ser>
          <c:idx val="1"/>
          <c:order val="1"/>
          <c:tx>
            <c:strRef>
              <c:f>'Output tables'!$A$39</c:f>
              <c:strCache>
                <c:ptCount val="1"/>
                <c:pt idx="0">
                  <c:v>Existing coal Small</c:v>
                </c:pt>
              </c:strCache>
            </c:strRef>
          </c:tx>
          <c:cat>
            <c:numRef>
              <c:f>'Output tables'!$AP$37:$BO$37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tables'!$AP$39:$BO$39</c:f>
              <c:numCache>
                <c:formatCode>General</c:formatCode>
                <c:ptCount val="26"/>
                <c:pt idx="0">
                  <c:v>11481.108051601606</c:v>
                </c:pt>
                <c:pt idx="1">
                  <c:v>11481.108051601606</c:v>
                </c:pt>
                <c:pt idx="2">
                  <c:v>11481.108051601606</c:v>
                </c:pt>
                <c:pt idx="3">
                  <c:v>11481.108051601606</c:v>
                </c:pt>
                <c:pt idx="4">
                  <c:v>11481.108051601606</c:v>
                </c:pt>
                <c:pt idx="5">
                  <c:v>12924.051645819456</c:v>
                </c:pt>
                <c:pt idx="6">
                  <c:v>13777.564401403659</c:v>
                </c:pt>
                <c:pt idx="7">
                  <c:v>13777.564401403659</c:v>
                </c:pt>
                <c:pt idx="8">
                  <c:v>13777.564401403659</c:v>
                </c:pt>
                <c:pt idx="9">
                  <c:v>13777.564401403659</c:v>
                </c:pt>
                <c:pt idx="10">
                  <c:v>13777.564401403659</c:v>
                </c:pt>
                <c:pt idx="11">
                  <c:v>13698.339826318494</c:v>
                </c:pt>
                <c:pt idx="12">
                  <c:v>13619.115251233326</c:v>
                </c:pt>
                <c:pt idx="13">
                  <c:v>13513.482484453105</c:v>
                </c:pt>
                <c:pt idx="14">
                  <c:v>13407.84971767288</c:v>
                </c:pt>
                <c:pt idx="15">
                  <c:v>11400.827148848637</c:v>
                </c:pt>
                <c:pt idx="16">
                  <c:v>9393.8045800243945</c:v>
                </c:pt>
                <c:pt idx="17">
                  <c:v>9393.8045800243945</c:v>
                </c:pt>
                <c:pt idx="18">
                  <c:v>9393.8045800243945</c:v>
                </c:pt>
                <c:pt idx="19">
                  <c:v>9393.8045800243945</c:v>
                </c:pt>
                <c:pt idx="20">
                  <c:v>8469.0483917339716</c:v>
                </c:pt>
                <c:pt idx="21">
                  <c:v>7544.2922034435505</c:v>
                </c:pt>
                <c:pt idx="22">
                  <c:v>7544.2922034435505</c:v>
                </c:pt>
                <c:pt idx="23">
                  <c:v>7544.2922034435505</c:v>
                </c:pt>
                <c:pt idx="24">
                  <c:v>7544.2922034435505</c:v>
                </c:pt>
                <c:pt idx="25">
                  <c:v>7544.2922034435505</c:v>
                </c:pt>
              </c:numCache>
            </c:numRef>
          </c:val>
        </c:ser>
        <c:ser>
          <c:idx val="2"/>
          <c:order val="2"/>
          <c:tx>
            <c:strRef>
              <c:f>'Output tables'!$A$40</c:f>
              <c:strCache>
                <c:ptCount val="1"/>
                <c:pt idx="0">
                  <c:v>OCGT liquid fuels</c:v>
                </c:pt>
              </c:strCache>
            </c:strRef>
          </c:tx>
          <c:cat>
            <c:numRef>
              <c:f>'Output tables'!$AP$37:$BO$37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tables'!$AP$40:$BO$40</c:f>
              <c:numCache>
                <c:formatCode>General</c:formatCode>
                <c:ptCount val="26"/>
                <c:pt idx="0">
                  <c:v>651.77077055999985</c:v>
                </c:pt>
                <c:pt idx="1">
                  <c:v>651.77077055999985</c:v>
                </c:pt>
                <c:pt idx="2">
                  <c:v>651.77077055999985</c:v>
                </c:pt>
                <c:pt idx="3">
                  <c:v>651.77077055999985</c:v>
                </c:pt>
                <c:pt idx="4">
                  <c:v>651.77077055999985</c:v>
                </c:pt>
                <c:pt idx="5">
                  <c:v>651.77077055999985</c:v>
                </c:pt>
                <c:pt idx="6">
                  <c:v>945.06761731199981</c:v>
                </c:pt>
                <c:pt idx="7">
                  <c:v>945.06761731199981</c:v>
                </c:pt>
                <c:pt idx="8">
                  <c:v>945.06761731199981</c:v>
                </c:pt>
                <c:pt idx="9">
                  <c:v>945.06761731199981</c:v>
                </c:pt>
                <c:pt idx="10">
                  <c:v>945.06761731199981</c:v>
                </c:pt>
                <c:pt idx="11">
                  <c:v>945.06761731199981</c:v>
                </c:pt>
                <c:pt idx="12">
                  <c:v>945.06761731199981</c:v>
                </c:pt>
                <c:pt idx="13">
                  <c:v>945.06761731199981</c:v>
                </c:pt>
                <c:pt idx="14">
                  <c:v>945.06761731199981</c:v>
                </c:pt>
                <c:pt idx="15">
                  <c:v>945.06761731199981</c:v>
                </c:pt>
                <c:pt idx="16">
                  <c:v>945.06761731199981</c:v>
                </c:pt>
                <c:pt idx="17">
                  <c:v>945.06761731199981</c:v>
                </c:pt>
                <c:pt idx="18">
                  <c:v>945.06761731199981</c:v>
                </c:pt>
                <c:pt idx="19">
                  <c:v>945.06761731199981</c:v>
                </c:pt>
                <c:pt idx="20">
                  <c:v>945.06761731199981</c:v>
                </c:pt>
                <c:pt idx="21">
                  <c:v>1140.59884848</c:v>
                </c:pt>
                <c:pt idx="22">
                  <c:v>1140.59884848</c:v>
                </c:pt>
                <c:pt idx="23">
                  <c:v>1140.59884848</c:v>
                </c:pt>
                <c:pt idx="24">
                  <c:v>1401.3071567039999</c:v>
                </c:pt>
                <c:pt idx="25">
                  <c:v>1615.5767975255997</c:v>
                </c:pt>
              </c:numCache>
            </c:numRef>
          </c:val>
        </c:ser>
        <c:ser>
          <c:idx val="3"/>
          <c:order val="3"/>
          <c:tx>
            <c:strRef>
              <c:f>'Output tables'!$A$41</c:f>
              <c:strCache>
                <c:ptCount val="1"/>
                <c:pt idx="0">
                  <c:v>PWR nuclear</c:v>
                </c:pt>
              </c:strCache>
            </c:strRef>
          </c:tx>
          <c:cat>
            <c:numRef>
              <c:f>'Output tables'!$AP$37:$BO$37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tables'!$AP$41:$BO$41</c:f>
              <c:numCache>
                <c:formatCode>General</c:formatCode>
                <c:ptCount val="26"/>
                <c:pt idx="0">
                  <c:v>13197.815999999999</c:v>
                </c:pt>
                <c:pt idx="1">
                  <c:v>13197.815999999999</c:v>
                </c:pt>
                <c:pt idx="2">
                  <c:v>13197.815999999999</c:v>
                </c:pt>
                <c:pt idx="3">
                  <c:v>13197.815999999999</c:v>
                </c:pt>
                <c:pt idx="4">
                  <c:v>13197.815999999999</c:v>
                </c:pt>
                <c:pt idx="5">
                  <c:v>13197.815999999999</c:v>
                </c:pt>
                <c:pt idx="6">
                  <c:v>13197.815999999999</c:v>
                </c:pt>
                <c:pt idx="7">
                  <c:v>13197.815999999999</c:v>
                </c:pt>
                <c:pt idx="8">
                  <c:v>13197.815999999999</c:v>
                </c:pt>
                <c:pt idx="9">
                  <c:v>13197.815999999999</c:v>
                </c:pt>
                <c:pt idx="10">
                  <c:v>13197.815999999999</c:v>
                </c:pt>
                <c:pt idx="11">
                  <c:v>13197.815999999999</c:v>
                </c:pt>
                <c:pt idx="12">
                  <c:v>13197.815999999999</c:v>
                </c:pt>
                <c:pt idx="13">
                  <c:v>13197.815999999999</c:v>
                </c:pt>
                <c:pt idx="14">
                  <c:v>13197.815999999999</c:v>
                </c:pt>
                <c:pt idx="15">
                  <c:v>13197.815999999999</c:v>
                </c:pt>
                <c:pt idx="16">
                  <c:v>13197.815999999999</c:v>
                </c:pt>
                <c:pt idx="17">
                  <c:v>13197.815999999999</c:v>
                </c:pt>
                <c:pt idx="18">
                  <c:v>13197.815999999999</c:v>
                </c:pt>
                <c:pt idx="19">
                  <c:v>13197.815999999999</c:v>
                </c:pt>
                <c:pt idx="20">
                  <c:v>13197.815999999999</c:v>
                </c:pt>
                <c:pt idx="21">
                  <c:v>13197.815999999999</c:v>
                </c:pt>
                <c:pt idx="22">
                  <c:v>13197.815999999999</c:v>
                </c:pt>
                <c:pt idx="23">
                  <c:v>13197.815999999999</c:v>
                </c:pt>
                <c:pt idx="24">
                  <c:v>13197.815999999999</c:v>
                </c:pt>
                <c:pt idx="25">
                  <c:v>13197.815999999999</c:v>
                </c:pt>
              </c:numCache>
            </c:numRef>
          </c:val>
        </c:ser>
        <c:ser>
          <c:idx val="4"/>
          <c:order val="4"/>
          <c:tx>
            <c:strRef>
              <c:f>'Output tables'!$A$42</c:f>
              <c:strCache>
                <c:ptCount val="1"/>
                <c:pt idx="0">
                  <c:v>Hydro</c:v>
                </c:pt>
              </c:strCache>
            </c:strRef>
          </c:tx>
          <c:cat>
            <c:numRef>
              <c:f>'Output tables'!$AP$37:$BO$37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tables'!$AP$42:$BO$42</c:f>
              <c:numCache>
                <c:formatCode>General</c:formatCode>
                <c:ptCount val="26"/>
                <c:pt idx="0">
                  <c:v>878.42652000000021</c:v>
                </c:pt>
                <c:pt idx="1">
                  <c:v>878.42652000000021</c:v>
                </c:pt>
                <c:pt idx="2">
                  <c:v>878.42652000000021</c:v>
                </c:pt>
                <c:pt idx="3">
                  <c:v>878.42652000000021</c:v>
                </c:pt>
                <c:pt idx="4">
                  <c:v>878.42652000000021</c:v>
                </c:pt>
                <c:pt idx="5">
                  <c:v>878.42652000000021</c:v>
                </c:pt>
                <c:pt idx="6">
                  <c:v>878.42652000000021</c:v>
                </c:pt>
                <c:pt idx="7">
                  <c:v>878.42652000000021</c:v>
                </c:pt>
                <c:pt idx="8">
                  <c:v>878.42652000000021</c:v>
                </c:pt>
                <c:pt idx="9">
                  <c:v>878.42652000000021</c:v>
                </c:pt>
                <c:pt idx="10">
                  <c:v>878.42652000000021</c:v>
                </c:pt>
                <c:pt idx="11">
                  <c:v>878.42652000000021</c:v>
                </c:pt>
                <c:pt idx="12">
                  <c:v>878.42652000000021</c:v>
                </c:pt>
                <c:pt idx="13">
                  <c:v>878.42652000000021</c:v>
                </c:pt>
                <c:pt idx="14">
                  <c:v>878.42652000000021</c:v>
                </c:pt>
                <c:pt idx="15">
                  <c:v>878.42652000000021</c:v>
                </c:pt>
                <c:pt idx="16">
                  <c:v>878.42652000000021</c:v>
                </c:pt>
                <c:pt idx="17">
                  <c:v>878.42652000000021</c:v>
                </c:pt>
                <c:pt idx="18">
                  <c:v>878.42652000000021</c:v>
                </c:pt>
                <c:pt idx="19">
                  <c:v>878.42652000000021</c:v>
                </c:pt>
                <c:pt idx="20">
                  <c:v>878.42652000000021</c:v>
                </c:pt>
                <c:pt idx="21">
                  <c:v>878.42652000000021</c:v>
                </c:pt>
                <c:pt idx="22">
                  <c:v>878.42652000000021</c:v>
                </c:pt>
                <c:pt idx="23">
                  <c:v>878.42652000000021</c:v>
                </c:pt>
                <c:pt idx="24">
                  <c:v>878.42652000000021</c:v>
                </c:pt>
                <c:pt idx="25">
                  <c:v>878.42652000000021</c:v>
                </c:pt>
              </c:numCache>
            </c:numRef>
          </c:val>
        </c:ser>
        <c:ser>
          <c:idx val="5"/>
          <c:order val="5"/>
          <c:tx>
            <c:strRef>
              <c:f>'Output tables'!$A$43</c:f>
              <c:strCache>
                <c:ptCount val="1"/>
                <c:pt idx="0">
                  <c:v>Landfill gas</c:v>
                </c:pt>
              </c:strCache>
            </c:strRef>
          </c:tx>
          <c:cat>
            <c:numRef>
              <c:f>'Output tables'!$AP$37:$BO$37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tables'!$AP$43:$BO$43</c:f>
              <c:numCache>
                <c:formatCode>General</c:formatCode>
                <c:ptCount val="26"/>
                <c:pt idx="0">
                  <c:v>524.66925000000003</c:v>
                </c:pt>
                <c:pt idx="1">
                  <c:v>524.66925000000003</c:v>
                </c:pt>
                <c:pt idx="2">
                  <c:v>524.66925000000003</c:v>
                </c:pt>
                <c:pt idx="3">
                  <c:v>524.66925000000003</c:v>
                </c:pt>
                <c:pt idx="4">
                  <c:v>524.66925000000003</c:v>
                </c:pt>
                <c:pt idx="5">
                  <c:v>524.66925000000003</c:v>
                </c:pt>
                <c:pt idx="6">
                  <c:v>524.66925000000003</c:v>
                </c:pt>
                <c:pt idx="7">
                  <c:v>524.66925000000003</c:v>
                </c:pt>
                <c:pt idx="8">
                  <c:v>524.66925000000003</c:v>
                </c:pt>
                <c:pt idx="9">
                  <c:v>524.66925000000003</c:v>
                </c:pt>
                <c:pt idx="10">
                  <c:v>524.66925000000003</c:v>
                </c:pt>
                <c:pt idx="11">
                  <c:v>524.66925000000003</c:v>
                </c:pt>
                <c:pt idx="12">
                  <c:v>524.66925000000003</c:v>
                </c:pt>
                <c:pt idx="13">
                  <c:v>524.66925000000003</c:v>
                </c:pt>
                <c:pt idx="14">
                  <c:v>524.66925000000003</c:v>
                </c:pt>
                <c:pt idx="15">
                  <c:v>524.66925000000003</c:v>
                </c:pt>
                <c:pt idx="16">
                  <c:v>524.66925000000003</c:v>
                </c:pt>
                <c:pt idx="17">
                  <c:v>524.66925000000003</c:v>
                </c:pt>
                <c:pt idx="18">
                  <c:v>524.66925000000003</c:v>
                </c:pt>
                <c:pt idx="19">
                  <c:v>524.66925000000003</c:v>
                </c:pt>
                <c:pt idx="20">
                  <c:v>524.66925000000003</c:v>
                </c:pt>
                <c:pt idx="21">
                  <c:v>524.66925000000003</c:v>
                </c:pt>
                <c:pt idx="22">
                  <c:v>524.66925000000003</c:v>
                </c:pt>
                <c:pt idx="23">
                  <c:v>524.66925000000003</c:v>
                </c:pt>
                <c:pt idx="24">
                  <c:v>524.66925000000003</c:v>
                </c:pt>
                <c:pt idx="25">
                  <c:v>524.66925000000003</c:v>
                </c:pt>
              </c:numCache>
            </c:numRef>
          </c:val>
        </c:ser>
        <c:ser>
          <c:idx val="6"/>
          <c:order val="6"/>
          <c:tx>
            <c:strRef>
              <c:f>'Output tables'!$A$44</c:f>
              <c:strCache>
                <c:ptCount val="1"/>
                <c:pt idx="0">
                  <c:v>Biomass</c:v>
                </c:pt>
              </c:strCache>
            </c:strRef>
          </c:tx>
          <c:cat>
            <c:numRef>
              <c:f>'Output tables'!$AP$37:$BO$37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tables'!$AP$44:$BO$44</c:f>
              <c:numCache>
                <c:formatCode>General</c:formatCode>
                <c:ptCount val="26"/>
                <c:pt idx="0">
                  <c:v>1502.121000000029</c:v>
                </c:pt>
                <c:pt idx="1">
                  <c:v>1502.1209999999999</c:v>
                </c:pt>
                <c:pt idx="2">
                  <c:v>1502.1209999999999</c:v>
                </c:pt>
                <c:pt idx="3">
                  <c:v>1502.1209999999999</c:v>
                </c:pt>
                <c:pt idx="4">
                  <c:v>1502.1209999999999</c:v>
                </c:pt>
                <c:pt idx="5">
                  <c:v>1502.1209999999999</c:v>
                </c:pt>
                <c:pt idx="6">
                  <c:v>1502.1209999999999</c:v>
                </c:pt>
                <c:pt idx="7">
                  <c:v>1502.1209999999999</c:v>
                </c:pt>
                <c:pt idx="8">
                  <c:v>1502.1209999999999</c:v>
                </c:pt>
                <c:pt idx="9">
                  <c:v>1502.1209999999999</c:v>
                </c:pt>
                <c:pt idx="10">
                  <c:v>1502.1209999999999</c:v>
                </c:pt>
                <c:pt idx="11">
                  <c:v>1502.1209999999999</c:v>
                </c:pt>
                <c:pt idx="12">
                  <c:v>1502.1209999999999</c:v>
                </c:pt>
                <c:pt idx="13">
                  <c:v>1502.1209999999999</c:v>
                </c:pt>
                <c:pt idx="14">
                  <c:v>1502.1209999999999</c:v>
                </c:pt>
                <c:pt idx="15">
                  <c:v>1502.1209999999999</c:v>
                </c:pt>
                <c:pt idx="16">
                  <c:v>1502.1209999999999</c:v>
                </c:pt>
                <c:pt idx="17">
                  <c:v>1502.1209999999999</c:v>
                </c:pt>
                <c:pt idx="18">
                  <c:v>1502.1209999999999</c:v>
                </c:pt>
                <c:pt idx="19">
                  <c:v>1502.1209999999999</c:v>
                </c:pt>
                <c:pt idx="20">
                  <c:v>1502.1209999999999</c:v>
                </c:pt>
                <c:pt idx="21">
                  <c:v>1502.1209999999999</c:v>
                </c:pt>
                <c:pt idx="22">
                  <c:v>1502.1209999999999</c:v>
                </c:pt>
                <c:pt idx="23">
                  <c:v>1502.1209999999999</c:v>
                </c:pt>
                <c:pt idx="24">
                  <c:v>1502.1209999999999</c:v>
                </c:pt>
                <c:pt idx="25">
                  <c:v>1502.1209999999999</c:v>
                </c:pt>
              </c:numCache>
            </c:numRef>
          </c:val>
        </c:ser>
        <c:ser>
          <c:idx val="7"/>
          <c:order val="7"/>
          <c:tx>
            <c:strRef>
              <c:f>'Output tables'!$A$45</c:f>
              <c:strCache>
                <c:ptCount val="1"/>
                <c:pt idx="0">
                  <c:v>Supercritical coal</c:v>
                </c:pt>
              </c:strCache>
            </c:strRef>
          </c:tx>
          <c:cat>
            <c:numRef>
              <c:f>'Output tables'!$AP$37:$BO$37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tables'!$AP$45:$BO$45</c:f>
              <c:numCache>
                <c:formatCode>General</c:formatCode>
                <c:ptCount val="26"/>
                <c:pt idx="0">
                  <c:v>0</c:v>
                </c:pt>
                <c:pt idx="1">
                  <c:v>0</c:v>
                </c:pt>
                <c:pt idx="2">
                  <c:v>0</c:v>
                </c:pt>
                <c:pt idx="3">
                  <c:v>0</c:v>
                </c:pt>
                <c:pt idx="4">
                  <c:v>0</c:v>
                </c:pt>
                <c:pt idx="5">
                  <c:v>0</c:v>
                </c:pt>
                <c:pt idx="6">
                  <c:v>0</c:v>
                </c:pt>
                <c:pt idx="7">
                  <c:v>1693.7365830000003</c:v>
                </c:pt>
                <c:pt idx="8">
                  <c:v>5081.2097490000015</c:v>
                </c:pt>
                <c:pt idx="9">
                  <c:v>10634.23800224124</c:v>
                </c:pt>
                <c:pt idx="10">
                  <c:v>16810.994815755548</c:v>
                </c:pt>
                <c:pt idx="11">
                  <c:v>23004.105324295513</c:v>
                </c:pt>
                <c:pt idx="12">
                  <c:v>26993.251514152627</c:v>
                </c:pt>
                <c:pt idx="13">
                  <c:v>29379.83395483479</c:v>
                </c:pt>
                <c:pt idx="14">
                  <c:v>28777.973963092143</c:v>
                </c:pt>
                <c:pt idx="15">
                  <c:v>28024.177219094479</c:v>
                </c:pt>
                <c:pt idx="16">
                  <c:v>24356.830616997791</c:v>
                </c:pt>
                <c:pt idx="17">
                  <c:v>21898.246594728091</c:v>
                </c:pt>
                <c:pt idx="18">
                  <c:v>20324.83899600001</c:v>
                </c:pt>
                <c:pt idx="19">
                  <c:v>20324.83899600001</c:v>
                </c:pt>
                <c:pt idx="20">
                  <c:v>20453.283972315145</c:v>
                </c:pt>
                <c:pt idx="21">
                  <c:v>26870.960371717756</c:v>
                </c:pt>
                <c:pt idx="22">
                  <c:v>29502.873213153161</c:v>
                </c:pt>
                <c:pt idx="23">
                  <c:v>33040.160722025088</c:v>
                </c:pt>
                <c:pt idx="24">
                  <c:v>45633.727661654295</c:v>
                </c:pt>
                <c:pt idx="25">
                  <c:v>46966.368296660425</c:v>
                </c:pt>
              </c:numCache>
            </c:numRef>
          </c:val>
        </c:ser>
        <c:ser>
          <c:idx val="8"/>
          <c:order val="8"/>
          <c:tx>
            <c:strRef>
              <c:f>'Output tables'!$A$46</c:f>
              <c:strCache>
                <c:ptCount val="1"/>
                <c:pt idx="0">
                  <c:v>Wind 30% </c:v>
                </c:pt>
              </c:strCache>
            </c:strRef>
          </c:tx>
          <c:cat>
            <c:numRef>
              <c:f>'Output tables'!$AP$37:$BO$37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tables'!$AP$46:$BO$46</c:f>
              <c:numCache>
                <c:formatCode>General</c:formatCode>
                <c:ptCount val="26"/>
                <c:pt idx="0">
                  <c:v>0</c:v>
                </c:pt>
                <c:pt idx="1">
                  <c:v>0</c:v>
                </c:pt>
                <c:pt idx="2">
                  <c:v>0</c:v>
                </c:pt>
                <c:pt idx="3">
                  <c:v>0</c:v>
                </c:pt>
                <c:pt idx="4">
                  <c:v>0</c:v>
                </c:pt>
                <c:pt idx="5">
                  <c:v>262.8</c:v>
                </c:pt>
                <c:pt idx="6">
                  <c:v>788.40000000000009</c:v>
                </c:pt>
                <c:pt idx="7">
                  <c:v>1314</c:v>
                </c:pt>
                <c:pt idx="8">
                  <c:v>2365.2000000000003</c:v>
                </c:pt>
                <c:pt idx="9">
                  <c:v>3416.4</c:v>
                </c:pt>
                <c:pt idx="10">
                  <c:v>5518.8</c:v>
                </c:pt>
                <c:pt idx="11">
                  <c:v>7621.2000000000007</c:v>
                </c:pt>
                <c:pt idx="12">
                  <c:v>10249.200000000001</c:v>
                </c:pt>
                <c:pt idx="13">
                  <c:v>12877.199999999999</c:v>
                </c:pt>
                <c:pt idx="14">
                  <c:v>16819.2</c:v>
                </c:pt>
                <c:pt idx="15">
                  <c:v>20761.2</c:v>
                </c:pt>
                <c:pt idx="16">
                  <c:v>26017.200000000001</c:v>
                </c:pt>
                <c:pt idx="17">
                  <c:v>26017.200000000001</c:v>
                </c:pt>
                <c:pt idx="18">
                  <c:v>26017.200000000001</c:v>
                </c:pt>
                <c:pt idx="19">
                  <c:v>26017.200000000001</c:v>
                </c:pt>
                <c:pt idx="20">
                  <c:v>26017.200000000001</c:v>
                </c:pt>
                <c:pt idx="21">
                  <c:v>26017.200000000001</c:v>
                </c:pt>
                <c:pt idx="22">
                  <c:v>26017.200000000001</c:v>
                </c:pt>
                <c:pt idx="23">
                  <c:v>26017.200000000001</c:v>
                </c:pt>
                <c:pt idx="24">
                  <c:v>26017.200000000001</c:v>
                </c:pt>
                <c:pt idx="25">
                  <c:v>25754.399999999998</c:v>
                </c:pt>
              </c:numCache>
            </c:numRef>
          </c:val>
        </c:ser>
        <c:ser>
          <c:idx val="9"/>
          <c:order val="9"/>
          <c:tx>
            <c:strRef>
              <c:f>'Output tables'!$A$47</c:f>
              <c:strCache>
                <c:ptCount val="1"/>
                <c:pt idx="0">
                  <c:v>Wind 25%</c:v>
                </c:pt>
              </c:strCache>
            </c:strRef>
          </c:tx>
          <c:cat>
            <c:numRef>
              <c:f>'Output tables'!$AP$37:$BO$37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tables'!$AP$47:$BO$47</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2190</c:v>
                </c:pt>
                <c:pt idx="18">
                  <c:v>4380</c:v>
                </c:pt>
                <c:pt idx="19">
                  <c:v>6570</c:v>
                </c:pt>
                <c:pt idx="20">
                  <c:v>8760</c:v>
                </c:pt>
                <c:pt idx="21">
                  <c:v>10950</c:v>
                </c:pt>
                <c:pt idx="22">
                  <c:v>13140</c:v>
                </c:pt>
                <c:pt idx="23">
                  <c:v>15330</c:v>
                </c:pt>
                <c:pt idx="24">
                  <c:v>17520</c:v>
                </c:pt>
                <c:pt idx="25">
                  <c:v>19710</c:v>
                </c:pt>
              </c:numCache>
            </c:numRef>
          </c:val>
        </c:ser>
        <c:ser>
          <c:idx val="10"/>
          <c:order val="10"/>
          <c:tx>
            <c:strRef>
              <c:f>'Output tables'!$A$48</c:f>
              <c:strCache>
                <c:ptCount val="1"/>
                <c:pt idx="0">
                  <c:v>solar thermal central reciever</c:v>
                </c:pt>
              </c:strCache>
            </c:strRef>
          </c:tx>
          <c:cat>
            <c:numRef>
              <c:f>'Output tables'!$AP$37:$BO$37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tables'!$AP$48:$BO$48</c:f>
              <c:numCache>
                <c:formatCode>General</c:formatCode>
                <c:ptCount val="26"/>
                <c:pt idx="0">
                  <c:v>0</c:v>
                </c:pt>
                <c:pt idx="1">
                  <c:v>0</c:v>
                </c:pt>
                <c:pt idx="2">
                  <c:v>0</c:v>
                </c:pt>
                <c:pt idx="3">
                  <c:v>0</c:v>
                </c:pt>
                <c:pt idx="4">
                  <c:v>0</c:v>
                </c:pt>
                <c:pt idx="5">
                  <c:v>0</c:v>
                </c:pt>
                <c:pt idx="6">
                  <c:v>0</c:v>
                </c:pt>
                <c:pt idx="7">
                  <c:v>0</c:v>
                </c:pt>
                <c:pt idx="8">
                  <c:v>0</c:v>
                </c:pt>
                <c:pt idx="9">
                  <c:v>0</c:v>
                </c:pt>
                <c:pt idx="10">
                  <c:v>525.6</c:v>
                </c:pt>
                <c:pt idx="11">
                  <c:v>1576.8000000000002</c:v>
                </c:pt>
                <c:pt idx="12">
                  <c:v>3679.2000000000003</c:v>
                </c:pt>
                <c:pt idx="13">
                  <c:v>7883.9999999999991</c:v>
                </c:pt>
                <c:pt idx="14">
                  <c:v>14191.2</c:v>
                </c:pt>
                <c:pt idx="15">
                  <c:v>22600.800000000003</c:v>
                </c:pt>
                <c:pt idx="16">
                  <c:v>33112.800000000003</c:v>
                </c:pt>
                <c:pt idx="17">
                  <c:v>43624.800000000003</c:v>
                </c:pt>
                <c:pt idx="18">
                  <c:v>59392.800000000003</c:v>
                </c:pt>
                <c:pt idx="19">
                  <c:v>75160.800000000003</c:v>
                </c:pt>
                <c:pt idx="20">
                  <c:v>90928.8</c:v>
                </c:pt>
                <c:pt idx="21">
                  <c:v>106696.8</c:v>
                </c:pt>
                <c:pt idx="22">
                  <c:v>122464.8</c:v>
                </c:pt>
                <c:pt idx="23">
                  <c:v>138232.79999999999</c:v>
                </c:pt>
                <c:pt idx="24">
                  <c:v>154000.79999999999</c:v>
                </c:pt>
                <c:pt idx="25">
                  <c:v>169768.8</c:v>
                </c:pt>
              </c:numCache>
            </c:numRef>
          </c:val>
        </c:ser>
        <c:ser>
          <c:idx val="11"/>
          <c:order val="11"/>
          <c:tx>
            <c:strRef>
              <c:f>'Output tables'!$A$49</c:f>
              <c:strCache>
                <c:ptCount val="1"/>
                <c:pt idx="0">
                  <c:v>solar thermal trough</c:v>
                </c:pt>
              </c:strCache>
            </c:strRef>
          </c:tx>
          <c:cat>
            <c:numRef>
              <c:f>'Output tables'!$AP$37:$BO$37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tables'!$AP$49:$BO$49</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2"/>
          <c:order val="12"/>
          <c:tx>
            <c:strRef>
              <c:f>'Output tables'!$A$50</c:f>
              <c:strCache>
                <c:ptCount val="1"/>
                <c:pt idx="0">
                  <c:v>solar PV</c:v>
                </c:pt>
              </c:strCache>
            </c:strRef>
          </c:tx>
          <c:cat>
            <c:numRef>
              <c:f>'Output tables'!$AP$37:$BO$37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tables'!$AP$50:$BO$50</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3"/>
          <c:order val="13"/>
          <c:tx>
            <c:strRef>
              <c:f>'Output tables'!$A$51</c:f>
              <c:strCache>
                <c:ptCount val="1"/>
                <c:pt idx="0">
                  <c:v>combined cycle gas</c:v>
                </c:pt>
              </c:strCache>
            </c:strRef>
          </c:tx>
          <c:cat>
            <c:numRef>
              <c:f>'Output tables'!$AP$37:$BO$37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tables'!$AP$51:$BO$51</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3599.5097647058824</c:v>
                </c:pt>
                <c:pt idx="23">
                  <c:v>8998.7744117647071</c:v>
                </c:pt>
                <c:pt idx="24">
                  <c:v>14398.03905882353</c:v>
                </c:pt>
                <c:pt idx="25">
                  <c:v>14398.03905882353</c:v>
                </c:pt>
              </c:numCache>
            </c:numRef>
          </c:val>
        </c:ser>
        <c:ser>
          <c:idx val="14"/>
          <c:order val="14"/>
          <c:tx>
            <c:strRef>
              <c:f>'Output tables'!$A$52</c:f>
              <c:strCache>
                <c:ptCount val="1"/>
                <c:pt idx="0">
                  <c:v>PBMR</c:v>
                </c:pt>
              </c:strCache>
            </c:strRef>
          </c:tx>
          <c:cat>
            <c:numRef>
              <c:f>'Output tables'!$AP$37:$BO$37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tables'!$AP$52:$BO$52</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5"/>
          <c:order val="15"/>
          <c:tx>
            <c:strRef>
              <c:f>'Output tables'!$A$53</c:f>
              <c:strCache>
                <c:ptCount val="1"/>
                <c:pt idx="0">
                  <c:v>IGCC</c:v>
                </c:pt>
              </c:strCache>
            </c:strRef>
          </c:tx>
          <c:cat>
            <c:numRef>
              <c:f>'Output tables'!$AP$37:$BO$37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tables'!$AP$53:$BO$53</c:f>
              <c:numCache>
                <c:formatCode>General</c:formatCode>
                <c:ptCount val="26"/>
                <c:pt idx="0">
                  <c:v>0</c:v>
                </c:pt>
                <c:pt idx="1">
                  <c:v>2.9103830456733704E-11</c:v>
                </c:pt>
                <c:pt idx="2">
                  <c:v>0</c:v>
                </c:pt>
                <c:pt idx="3">
                  <c:v>2.9103830456733704E-11</c:v>
                </c:pt>
                <c:pt idx="4">
                  <c:v>2.9103830456733704E-11</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4129.8161520000003</c:v>
                </c:pt>
                <c:pt idx="25">
                  <c:v>8259.6323040000007</c:v>
                </c:pt>
              </c:numCache>
            </c:numRef>
          </c:val>
        </c:ser>
        <c:ser>
          <c:idx val="16"/>
          <c:order val="16"/>
          <c:tx>
            <c:strRef>
              <c:f>'Output tables'!$A$54</c:f>
              <c:strCache>
                <c:ptCount val="1"/>
                <c:pt idx="0">
                  <c:v>-</c:v>
                </c:pt>
              </c:strCache>
            </c:strRef>
          </c:tx>
          <c:cat>
            <c:numRef>
              <c:f>'Output tables'!$AP$37:$BO$37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tables'!$AP$54:$BO$54</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7"/>
          <c:order val="17"/>
          <c:tx>
            <c:strRef>
              <c:f>'Output tables'!$A$55</c:f>
              <c:strCache>
                <c:ptCount val="1"/>
                <c:pt idx="0">
                  <c:v>-</c:v>
                </c:pt>
              </c:strCache>
            </c:strRef>
          </c:tx>
          <c:cat>
            <c:numRef>
              <c:f>'Output tables'!$AP$37:$BO$37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tables'!$AP$55:$BO$55</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8"/>
          <c:order val="18"/>
          <c:tx>
            <c:strRef>
              <c:f>'Output tables'!$A$56</c:f>
              <c:strCache>
                <c:ptCount val="1"/>
                <c:pt idx="0">
                  <c:v>-</c:v>
                </c:pt>
              </c:strCache>
            </c:strRef>
          </c:tx>
          <c:cat>
            <c:numRef>
              <c:f>'Output tables'!$AP$37:$BO$37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tables'!$AP$56:$BO$56</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9"/>
          <c:order val="19"/>
          <c:tx>
            <c:strRef>
              <c:f>'Output tables'!$A$57</c:f>
              <c:strCache>
                <c:ptCount val="1"/>
                <c:pt idx="0">
                  <c:v>Pumped storage</c:v>
                </c:pt>
              </c:strCache>
            </c:strRef>
          </c:tx>
          <c:cat>
            <c:numRef>
              <c:f>'Output tables'!$AP$37:$BO$37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tables'!$AP$57:$BO$57</c:f>
              <c:numCache>
                <c:formatCode>General</c:formatCode>
                <c:ptCount val="26"/>
                <c:pt idx="0">
                  <c:v>3096.0000000000005</c:v>
                </c:pt>
                <c:pt idx="1">
                  <c:v>3096.0000000000005</c:v>
                </c:pt>
                <c:pt idx="2">
                  <c:v>3096.0000000000005</c:v>
                </c:pt>
                <c:pt idx="3">
                  <c:v>3096.0000000000005</c:v>
                </c:pt>
                <c:pt idx="4">
                  <c:v>3096.0000000000005</c:v>
                </c:pt>
                <c:pt idx="5">
                  <c:v>3096.0000000000005</c:v>
                </c:pt>
                <c:pt idx="6">
                  <c:v>3096.0000000000005</c:v>
                </c:pt>
                <c:pt idx="7">
                  <c:v>3096.0000000000005</c:v>
                </c:pt>
                <c:pt idx="8">
                  <c:v>4401.0227848101276</c:v>
                </c:pt>
                <c:pt idx="9">
                  <c:v>5706.0455696202544</c:v>
                </c:pt>
                <c:pt idx="10">
                  <c:v>7011.0683544303811</c:v>
                </c:pt>
                <c:pt idx="11">
                  <c:v>8316.0911392405087</c:v>
                </c:pt>
                <c:pt idx="12">
                  <c:v>8316.0911392405087</c:v>
                </c:pt>
                <c:pt idx="13">
                  <c:v>8316.0911392405087</c:v>
                </c:pt>
                <c:pt idx="14">
                  <c:v>8316.0911392405087</c:v>
                </c:pt>
                <c:pt idx="15">
                  <c:v>8316.0911392405087</c:v>
                </c:pt>
                <c:pt idx="16">
                  <c:v>8316.0911392405087</c:v>
                </c:pt>
                <c:pt idx="17">
                  <c:v>8316.0911392405087</c:v>
                </c:pt>
                <c:pt idx="18">
                  <c:v>8316.0911392405087</c:v>
                </c:pt>
                <c:pt idx="19">
                  <c:v>8316.0911392405087</c:v>
                </c:pt>
                <c:pt idx="20">
                  <c:v>8316.0911392405087</c:v>
                </c:pt>
                <c:pt idx="21">
                  <c:v>8316.0911392405087</c:v>
                </c:pt>
                <c:pt idx="22">
                  <c:v>8316.0911392405087</c:v>
                </c:pt>
                <c:pt idx="23">
                  <c:v>8316.0911392405087</c:v>
                </c:pt>
                <c:pt idx="24">
                  <c:v>8316.0911392405087</c:v>
                </c:pt>
                <c:pt idx="25">
                  <c:v>8316.0911392405087</c:v>
                </c:pt>
              </c:numCache>
            </c:numRef>
          </c:val>
        </c:ser>
        <c:axId val="113402240"/>
        <c:axId val="113403776"/>
      </c:areaChart>
      <c:catAx>
        <c:axId val="113402240"/>
        <c:scaling>
          <c:orientation val="minMax"/>
        </c:scaling>
        <c:axPos val="b"/>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3403776"/>
        <c:crosses val="autoZero"/>
        <c:auto val="1"/>
        <c:lblAlgn val="ctr"/>
        <c:lblOffset val="100"/>
      </c:catAx>
      <c:valAx>
        <c:axId val="113403776"/>
        <c:scaling>
          <c:orientation val="minMax"/>
        </c:scaling>
        <c:axPos val="l"/>
        <c:majorGridlines/>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3402240"/>
        <c:crosses val="autoZero"/>
        <c:crossBetween val="midCat"/>
      </c:valAx>
    </c:plotArea>
    <c:legend>
      <c:legendPos val="b"/>
      <c:layout>
        <c:manualLayout>
          <c:xMode val="edge"/>
          <c:yMode val="edge"/>
          <c:x val="3.6181977252843452E-2"/>
          <c:y val="0.59926735776732809"/>
          <c:w val="0.89985826771653543"/>
          <c:h val="0.38154798995449396"/>
        </c:manualLayout>
      </c:layout>
      <c:txPr>
        <a:bodyPr/>
        <a:lstStyle/>
        <a:p>
          <a:pPr>
            <a:defRPr lang="en-ZA" sz="845" b="0" i="0" u="none" strike="noStrike" baseline="0">
              <a:solidFill>
                <a:srgbClr val="000000"/>
              </a:solidFill>
              <a:latin typeface="Calibri"/>
              <a:ea typeface="Calibri"/>
              <a:cs typeface="Calibri"/>
            </a:defRPr>
          </a:pPr>
          <a:endParaRPr lang="en-US"/>
        </a:p>
      </c:txPr>
    </c:legend>
    <c:plotVisOnly val="1"/>
    <c:dispBlanksAs val="zero"/>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2" l="0.70000000000000062" r="0.70000000000000062" t="0.750000000000002" header="0.30000000000000032" footer="0.30000000000000032"/>
    <c:pageSetup/>
  </c:printSettings>
</c:chartSpace>
</file>

<file path=xl/charts/chart119.xml><?xml version="1.0" encoding="utf-8"?>
<c:chartSpace xmlns:c="http://schemas.openxmlformats.org/drawingml/2006/chart" xmlns:a="http://schemas.openxmlformats.org/drawingml/2006/main" xmlns:r="http://schemas.openxmlformats.org/officeDocument/2006/relationships">
  <c:lang val="en-ZA"/>
  <c:chart>
    <c:plotArea>
      <c:layout/>
      <c:barChart>
        <c:barDir val="col"/>
        <c:grouping val="clustered"/>
        <c:ser>
          <c:idx val="0"/>
          <c:order val="0"/>
          <c:tx>
            <c:strRef>
              <c:f>'Output tables'!$AO$66</c:f>
              <c:strCache>
                <c:ptCount val="1"/>
                <c:pt idx="0">
                  <c:v>OCGT liquid fuels capacity</c:v>
                </c:pt>
              </c:strCache>
            </c:strRef>
          </c:tx>
          <c:spPr>
            <a:solidFill>
              <a:schemeClr val="accent3">
                <a:lumMod val="60000"/>
                <a:lumOff val="40000"/>
              </a:schemeClr>
            </a:solidFill>
          </c:spPr>
          <c:cat>
            <c:numRef>
              <c:f>'Output tables'!$AP$65:$BO$65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tables'!$AP$66:$BO$66</c:f>
              <c:numCache>
                <c:formatCode>General</c:formatCode>
                <c:ptCount val="26"/>
                <c:pt idx="0">
                  <c:v>2.4</c:v>
                </c:pt>
                <c:pt idx="1">
                  <c:v>2.4</c:v>
                </c:pt>
                <c:pt idx="2">
                  <c:v>2.4</c:v>
                </c:pt>
                <c:pt idx="3">
                  <c:v>2.4</c:v>
                </c:pt>
                <c:pt idx="4">
                  <c:v>2.4</c:v>
                </c:pt>
                <c:pt idx="5">
                  <c:v>2.4</c:v>
                </c:pt>
                <c:pt idx="6">
                  <c:v>3.48</c:v>
                </c:pt>
                <c:pt idx="7">
                  <c:v>3.48</c:v>
                </c:pt>
                <c:pt idx="8">
                  <c:v>3.48</c:v>
                </c:pt>
                <c:pt idx="9">
                  <c:v>3.48</c:v>
                </c:pt>
                <c:pt idx="10">
                  <c:v>3.48</c:v>
                </c:pt>
                <c:pt idx="11">
                  <c:v>3.48</c:v>
                </c:pt>
                <c:pt idx="12">
                  <c:v>3.48</c:v>
                </c:pt>
                <c:pt idx="13">
                  <c:v>3.48</c:v>
                </c:pt>
                <c:pt idx="14">
                  <c:v>3.48</c:v>
                </c:pt>
                <c:pt idx="15">
                  <c:v>3.48</c:v>
                </c:pt>
                <c:pt idx="16">
                  <c:v>3.48</c:v>
                </c:pt>
                <c:pt idx="17">
                  <c:v>3.48</c:v>
                </c:pt>
                <c:pt idx="18">
                  <c:v>3.48</c:v>
                </c:pt>
                <c:pt idx="19">
                  <c:v>3.48</c:v>
                </c:pt>
                <c:pt idx="20">
                  <c:v>3.48</c:v>
                </c:pt>
                <c:pt idx="21">
                  <c:v>4.2</c:v>
                </c:pt>
                <c:pt idx="22">
                  <c:v>4.2</c:v>
                </c:pt>
                <c:pt idx="23">
                  <c:v>4.2</c:v>
                </c:pt>
                <c:pt idx="24">
                  <c:v>5.16</c:v>
                </c:pt>
                <c:pt idx="25">
                  <c:v>5.9489999999999998</c:v>
                </c:pt>
              </c:numCache>
            </c:numRef>
          </c:val>
        </c:ser>
        <c:ser>
          <c:idx val="1"/>
          <c:order val="1"/>
          <c:tx>
            <c:strRef>
              <c:f>'Output tables'!$AO$67</c:f>
              <c:strCache>
                <c:ptCount val="1"/>
                <c:pt idx="0">
                  <c:v>Existing coal Small capacity</c:v>
                </c:pt>
              </c:strCache>
            </c:strRef>
          </c:tx>
          <c:cat>
            <c:numRef>
              <c:f>'Output tables'!$AP$65:$BO$65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tables'!$AP$67:$BO$67</c:f>
              <c:numCache>
                <c:formatCode>General</c:formatCode>
                <c:ptCount val="26"/>
                <c:pt idx="0">
                  <c:v>5.434444444444444</c:v>
                </c:pt>
                <c:pt idx="1">
                  <c:v>5.434444444444444</c:v>
                </c:pt>
                <c:pt idx="2">
                  <c:v>5.434444444444444</c:v>
                </c:pt>
                <c:pt idx="3">
                  <c:v>5.434444444444444</c:v>
                </c:pt>
                <c:pt idx="4">
                  <c:v>5.434444444444444</c:v>
                </c:pt>
                <c:pt idx="5">
                  <c:v>6.1174444444444438</c:v>
                </c:pt>
                <c:pt idx="6">
                  <c:v>6.5214444444444437</c:v>
                </c:pt>
                <c:pt idx="7">
                  <c:v>6.5214444444444437</c:v>
                </c:pt>
                <c:pt idx="8">
                  <c:v>6.5214444444444437</c:v>
                </c:pt>
                <c:pt idx="9">
                  <c:v>6.5214444444444437</c:v>
                </c:pt>
                <c:pt idx="10">
                  <c:v>6.5214444444444437</c:v>
                </c:pt>
                <c:pt idx="11">
                  <c:v>6.4839444444444441</c:v>
                </c:pt>
                <c:pt idx="12">
                  <c:v>6.4464444444444444</c:v>
                </c:pt>
                <c:pt idx="13">
                  <c:v>6.3964444444444446</c:v>
                </c:pt>
                <c:pt idx="14">
                  <c:v>6.3464444444444448</c:v>
                </c:pt>
                <c:pt idx="15">
                  <c:v>5.3964444444444446</c:v>
                </c:pt>
                <c:pt idx="16">
                  <c:v>4.4464444444444444</c:v>
                </c:pt>
                <c:pt idx="17">
                  <c:v>4.4464444444444444</c:v>
                </c:pt>
                <c:pt idx="18">
                  <c:v>4.4464444444444444</c:v>
                </c:pt>
                <c:pt idx="19">
                  <c:v>4.4464444444444444</c:v>
                </c:pt>
                <c:pt idx="20">
                  <c:v>4.0087222222222225</c:v>
                </c:pt>
                <c:pt idx="21">
                  <c:v>3.5710000000000002</c:v>
                </c:pt>
                <c:pt idx="22">
                  <c:v>3.5710000000000002</c:v>
                </c:pt>
                <c:pt idx="23">
                  <c:v>3.5710000000000002</c:v>
                </c:pt>
                <c:pt idx="24">
                  <c:v>3.5710000000000002</c:v>
                </c:pt>
                <c:pt idx="25">
                  <c:v>3.5710000000000002</c:v>
                </c:pt>
              </c:numCache>
            </c:numRef>
          </c:val>
        </c:ser>
        <c:axId val="113529984"/>
        <c:axId val="113531520"/>
      </c:barChart>
      <c:lineChart>
        <c:grouping val="standard"/>
        <c:ser>
          <c:idx val="2"/>
          <c:order val="2"/>
          <c:tx>
            <c:strRef>
              <c:f>'Output tables'!$AO$68</c:f>
              <c:strCache>
                <c:ptCount val="1"/>
                <c:pt idx="0">
                  <c:v>OCGT liquid fuels output</c:v>
                </c:pt>
              </c:strCache>
            </c:strRef>
          </c:tx>
          <c:marker>
            <c:symbol val="none"/>
          </c:marker>
          <c:cat>
            <c:numRef>
              <c:f>'Output tables'!$AP$65:$BO$65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tables'!$AP$68:$BO$68</c:f>
              <c:numCache>
                <c:formatCode>General</c:formatCode>
                <c:ptCount val="26"/>
                <c:pt idx="0">
                  <c:v>651.77077055999985</c:v>
                </c:pt>
                <c:pt idx="1">
                  <c:v>651.77077055999985</c:v>
                </c:pt>
                <c:pt idx="2">
                  <c:v>651.77077055999985</c:v>
                </c:pt>
                <c:pt idx="3">
                  <c:v>651.77077055999985</c:v>
                </c:pt>
                <c:pt idx="4">
                  <c:v>651.77077055999985</c:v>
                </c:pt>
                <c:pt idx="5">
                  <c:v>651.77077055999985</c:v>
                </c:pt>
                <c:pt idx="6">
                  <c:v>945.06761731199981</c:v>
                </c:pt>
                <c:pt idx="7">
                  <c:v>945.06761731199981</c:v>
                </c:pt>
                <c:pt idx="8">
                  <c:v>945.06761731199981</c:v>
                </c:pt>
                <c:pt idx="9">
                  <c:v>945.06761731199981</c:v>
                </c:pt>
                <c:pt idx="10">
                  <c:v>945.06761731199981</c:v>
                </c:pt>
                <c:pt idx="11">
                  <c:v>945.06761731199981</c:v>
                </c:pt>
                <c:pt idx="12">
                  <c:v>945.06761731199981</c:v>
                </c:pt>
                <c:pt idx="13">
                  <c:v>945.06761731199981</c:v>
                </c:pt>
                <c:pt idx="14">
                  <c:v>945.06761731199981</c:v>
                </c:pt>
                <c:pt idx="15">
                  <c:v>945.06761731199981</c:v>
                </c:pt>
                <c:pt idx="16">
                  <c:v>945.06761731199981</c:v>
                </c:pt>
                <c:pt idx="17">
                  <c:v>945.06761731199981</c:v>
                </c:pt>
                <c:pt idx="18">
                  <c:v>945.06761731199981</c:v>
                </c:pt>
                <c:pt idx="19">
                  <c:v>945.06761731199981</c:v>
                </c:pt>
                <c:pt idx="20">
                  <c:v>945.06761731199981</c:v>
                </c:pt>
                <c:pt idx="21">
                  <c:v>1140.59884848</c:v>
                </c:pt>
                <c:pt idx="22">
                  <c:v>1140.59884848</c:v>
                </c:pt>
                <c:pt idx="23">
                  <c:v>1140.59884848</c:v>
                </c:pt>
                <c:pt idx="24">
                  <c:v>1401.3071567039999</c:v>
                </c:pt>
                <c:pt idx="25">
                  <c:v>1615.5767975255997</c:v>
                </c:pt>
              </c:numCache>
            </c:numRef>
          </c:val>
        </c:ser>
        <c:ser>
          <c:idx val="3"/>
          <c:order val="3"/>
          <c:tx>
            <c:strRef>
              <c:f>'Output tables'!$AO$69</c:f>
              <c:strCache>
                <c:ptCount val="1"/>
                <c:pt idx="0">
                  <c:v>Existing coal Small output</c:v>
                </c:pt>
              </c:strCache>
            </c:strRef>
          </c:tx>
          <c:spPr>
            <a:ln>
              <a:solidFill>
                <a:schemeClr val="accent2">
                  <a:lumMod val="75000"/>
                </a:schemeClr>
              </a:solidFill>
            </a:ln>
          </c:spPr>
          <c:marker>
            <c:symbol val="none"/>
          </c:marker>
          <c:cat>
            <c:numRef>
              <c:f>'Output tables'!$AP$65:$BO$65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tables'!$AP$69:$BO$69</c:f>
              <c:numCache>
                <c:formatCode>General</c:formatCode>
                <c:ptCount val="26"/>
                <c:pt idx="0">
                  <c:v>11481.108051601606</c:v>
                </c:pt>
                <c:pt idx="1">
                  <c:v>11481.108051601606</c:v>
                </c:pt>
                <c:pt idx="2">
                  <c:v>11481.108051601606</c:v>
                </c:pt>
                <c:pt idx="3">
                  <c:v>11481.108051601606</c:v>
                </c:pt>
                <c:pt idx="4">
                  <c:v>11481.108051601606</c:v>
                </c:pt>
                <c:pt idx="5">
                  <c:v>12924.051645819456</c:v>
                </c:pt>
                <c:pt idx="6">
                  <c:v>13777.564401403659</c:v>
                </c:pt>
                <c:pt idx="7">
                  <c:v>13777.564401403659</c:v>
                </c:pt>
                <c:pt idx="8">
                  <c:v>13777.564401403659</c:v>
                </c:pt>
                <c:pt idx="9">
                  <c:v>13777.564401403659</c:v>
                </c:pt>
                <c:pt idx="10">
                  <c:v>13777.564401403659</c:v>
                </c:pt>
                <c:pt idx="11">
                  <c:v>13698.339826318494</c:v>
                </c:pt>
                <c:pt idx="12">
                  <c:v>13619.115251233326</c:v>
                </c:pt>
                <c:pt idx="13">
                  <c:v>13513.482484453105</c:v>
                </c:pt>
                <c:pt idx="14">
                  <c:v>13407.84971767288</c:v>
                </c:pt>
                <c:pt idx="15">
                  <c:v>11400.827148848637</c:v>
                </c:pt>
                <c:pt idx="16">
                  <c:v>9393.8045800243945</c:v>
                </c:pt>
                <c:pt idx="17">
                  <c:v>9393.8045800243945</c:v>
                </c:pt>
                <c:pt idx="18">
                  <c:v>9393.8045800243945</c:v>
                </c:pt>
                <c:pt idx="19">
                  <c:v>9393.8045800243945</c:v>
                </c:pt>
                <c:pt idx="20">
                  <c:v>8469.0483917339716</c:v>
                </c:pt>
                <c:pt idx="21">
                  <c:v>7544.2922034435505</c:v>
                </c:pt>
                <c:pt idx="22">
                  <c:v>7544.2922034435505</c:v>
                </c:pt>
                <c:pt idx="23">
                  <c:v>7544.2922034435505</c:v>
                </c:pt>
                <c:pt idx="24">
                  <c:v>7544.2922034435505</c:v>
                </c:pt>
                <c:pt idx="25">
                  <c:v>7544.2922034435505</c:v>
                </c:pt>
              </c:numCache>
            </c:numRef>
          </c:val>
        </c:ser>
        <c:marker val="1"/>
        <c:axId val="113550080"/>
        <c:axId val="113551616"/>
      </c:lineChart>
      <c:catAx>
        <c:axId val="113529984"/>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13531520"/>
        <c:crosses val="autoZero"/>
        <c:auto val="1"/>
        <c:lblAlgn val="ctr"/>
        <c:lblOffset val="100"/>
      </c:catAx>
      <c:valAx>
        <c:axId val="113531520"/>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GW</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3529984"/>
        <c:crosses val="autoZero"/>
        <c:crossBetween val="between"/>
      </c:valAx>
      <c:catAx>
        <c:axId val="113550080"/>
        <c:scaling>
          <c:orientation val="minMax"/>
        </c:scaling>
        <c:delete val="1"/>
        <c:axPos val="b"/>
        <c:numFmt formatCode="General" sourceLinked="1"/>
        <c:tickLblPos val="none"/>
        <c:crossAx val="113551616"/>
        <c:crosses val="autoZero"/>
        <c:auto val="1"/>
        <c:lblAlgn val="ctr"/>
        <c:lblOffset val="100"/>
      </c:catAx>
      <c:valAx>
        <c:axId val="113551616"/>
        <c:scaling>
          <c:orientation val="minMax"/>
        </c:scaling>
        <c:axPos val="r"/>
        <c:title>
          <c:tx>
            <c:rich>
              <a:bodyPr/>
              <a:lstStyle/>
              <a:p>
                <a:pPr>
                  <a:defRPr lang="en-ZA" sz="1000" b="1" i="0" u="none" strike="noStrike" baseline="0">
                    <a:solidFill>
                      <a:srgbClr val="000000"/>
                    </a:solidFill>
                    <a:latin typeface="Calibri"/>
                    <a:ea typeface="Calibri"/>
                    <a:cs typeface="Calibri"/>
                  </a:defRPr>
                </a:pPr>
                <a:r>
                  <a:rPr lang="en-ZA"/>
                  <a:t>GWh</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3550080"/>
        <c:crosses val="max"/>
        <c:crossBetween val="between"/>
      </c:valAx>
    </c:plotArea>
    <c:legend>
      <c:legendPos val="b"/>
      <c:txPr>
        <a:bodyPr/>
        <a:lstStyle/>
        <a:p>
          <a:pPr>
            <a:defRPr lang="en-ZA" sz="845" b="0" i="0" u="none" strike="noStrike" baseline="0">
              <a:solidFill>
                <a:srgbClr val="000000"/>
              </a:solidFill>
              <a:latin typeface="Calibri"/>
              <a:ea typeface="Calibri"/>
              <a:cs typeface="Calibri"/>
            </a:defRPr>
          </a:pPr>
          <a:endParaRPr lang="en-US"/>
        </a:p>
      </c:txPr>
    </c:legend>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178" l="0.70000000000000062" r="0.70000000000000062" t="0.75000000000000178" header="0.30000000000000032" footer="0.30000000000000032"/>
    <c:pageSetup/>
  </c:printSettings>
</c:chartSpace>
</file>

<file path=xl/charts/chart120.xml><?xml version="1.0" encoding="utf-8"?>
<c:chartSpace xmlns:c="http://schemas.openxmlformats.org/drawingml/2006/chart" xmlns:a="http://schemas.openxmlformats.org/drawingml/2006/main" xmlns:r="http://schemas.openxmlformats.org/officeDocument/2006/relationships">
  <c:lang val="en-ZA"/>
  <c:chart>
    <c:plotArea>
      <c:layout/>
      <c:lineChart>
        <c:grouping val="standard"/>
        <c:ser>
          <c:idx val="0"/>
          <c:order val="0"/>
          <c:tx>
            <c:strRef>
              <c:f>'Output tables'!$AO$73</c:f>
              <c:strCache>
                <c:ptCount val="1"/>
                <c:pt idx="0">
                  <c:v>OCGT liquid fuels capacity utilisation</c:v>
                </c:pt>
              </c:strCache>
            </c:strRef>
          </c:tx>
          <c:marker>
            <c:symbol val="none"/>
          </c:marker>
          <c:cat>
            <c:numRef>
              <c:f>'Output tables'!$AP$72:$BO$72</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tables'!$AP$73:$BO$73</c:f>
              <c:numCache>
                <c:formatCode>0%</c:formatCode>
                <c:ptCount val="26"/>
                <c:pt idx="0">
                  <c:v>3.1001273333333329E-2</c:v>
                </c:pt>
                <c:pt idx="1">
                  <c:v>3.1001273333333329E-2</c:v>
                </c:pt>
                <c:pt idx="2">
                  <c:v>3.1001273333333329E-2</c:v>
                </c:pt>
                <c:pt idx="3">
                  <c:v>3.1001273333333329E-2</c:v>
                </c:pt>
                <c:pt idx="4">
                  <c:v>3.1001273333333329E-2</c:v>
                </c:pt>
                <c:pt idx="5">
                  <c:v>3.1001273333333329E-2</c:v>
                </c:pt>
                <c:pt idx="6">
                  <c:v>3.1001273333333329E-2</c:v>
                </c:pt>
                <c:pt idx="7">
                  <c:v>3.1001273333333329E-2</c:v>
                </c:pt>
                <c:pt idx="8">
                  <c:v>3.1001273333333329E-2</c:v>
                </c:pt>
                <c:pt idx="9">
                  <c:v>3.1001273333333329E-2</c:v>
                </c:pt>
                <c:pt idx="10">
                  <c:v>3.1001273333333329E-2</c:v>
                </c:pt>
                <c:pt idx="11">
                  <c:v>3.1001273333333329E-2</c:v>
                </c:pt>
                <c:pt idx="12">
                  <c:v>3.1001273333333329E-2</c:v>
                </c:pt>
                <c:pt idx="13">
                  <c:v>3.1001273333333329E-2</c:v>
                </c:pt>
                <c:pt idx="14">
                  <c:v>3.1001273333333329E-2</c:v>
                </c:pt>
                <c:pt idx="15">
                  <c:v>3.1001273333333329E-2</c:v>
                </c:pt>
                <c:pt idx="16">
                  <c:v>3.1001273333333329E-2</c:v>
                </c:pt>
                <c:pt idx="17">
                  <c:v>3.1001273333333329E-2</c:v>
                </c:pt>
                <c:pt idx="18">
                  <c:v>3.1001273333333329E-2</c:v>
                </c:pt>
                <c:pt idx="19">
                  <c:v>3.1001273333333329E-2</c:v>
                </c:pt>
                <c:pt idx="20">
                  <c:v>3.1001273333333329E-2</c:v>
                </c:pt>
                <c:pt idx="21">
                  <c:v>3.1001273333333336E-2</c:v>
                </c:pt>
                <c:pt idx="22">
                  <c:v>3.1001273333333336E-2</c:v>
                </c:pt>
                <c:pt idx="23">
                  <c:v>3.1001273333333336E-2</c:v>
                </c:pt>
                <c:pt idx="24">
                  <c:v>3.1001273333333329E-2</c:v>
                </c:pt>
                <c:pt idx="25">
                  <c:v>3.1001273333333329E-2</c:v>
                </c:pt>
              </c:numCache>
            </c:numRef>
          </c:val>
        </c:ser>
        <c:ser>
          <c:idx val="1"/>
          <c:order val="1"/>
          <c:tx>
            <c:strRef>
              <c:f>'Output tables'!$AO$74</c:f>
              <c:strCache>
                <c:ptCount val="1"/>
                <c:pt idx="0">
                  <c:v>Existing coal Small capacity utilisation</c:v>
                </c:pt>
              </c:strCache>
            </c:strRef>
          </c:tx>
          <c:marker>
            <c:symbol val="none"/>
          </c:marker>
          <c:cat>
            <c:numRef>
              <c:f>'Output tables'!$AP$72:$BO$72</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tables'!$AP$74:$BO$74</c:f>
              <c:numCache>
                <c:formatCode>0%</c:formatCode>
                <c:ptCount val="26"/>
                <c:pt idx="0">
                  <c:v>0.24117070041146876</c:v>
                </c:pt>
                <c:pt idx="1">
                  <c:v>0.24117070041146876</c:v>
                </c:pt>
                <c:pt idx="2">
                  <c:v>0.24117070041146876</c:v>
                </c:pt>
                <c:pt idx="3">
                  <c:v>0.24117070041146876</c:v>
                </c:pt>
                <c:pt idx="4">
                  <c:v>0.24117070041146876</c:v>
                </c:pt>
                <c:pt idx="5">
                  <c:v>0.24117070041146876</c:v>
                </c:pt>
                <c:pt idx="6">
                  <c:v>0.24117070041146876</c:v>
                </c:pt>
                <c:pt idx="7">
                  <c:v>0.24117070041146876</c:v>
                </c:pt>
                <c:pt idx="8">
                  <c:v>0.24117070041146876</c:v>
                </c:pt>
                <c:pt idx="9">
                  <c:v>0.24117070041146876</c:v>
                </c:pt>
                <c:pt idx="10">
                  <c:v>0.24117070041146876</c:v>
                </c:pt>
                <c:pt idx="11">
                  <c:v>0.24117070041146876</c:v>
                </c:pt>
                <c:pt idx="12">
                  <c:v>0.24117070041146876</c:v>
                </c:pt>
                <c:pt idx="13">
                  <c:v>0.24117070041146882</c:v>
                </c:pt>
                <c:pt idx="14">
                  <c:v>0.24117070041146876</c:v>
                </c:pt>
                <c:pt idx="15">
                  <c:v>0.24117070041146876</c:v>
                </c:pt>
                <c:pt idx="16">
                  <c:v>0.24117070041146882</c:v>
                </c:pt>
                <c:pt idx="17">
                  <c:v>0.24117070041146882</c:v>
                </c:pt>
                <c:pt idx="18">
                  <c:v>0.24117070041146882</c:v>
                </c:pt>
                <c:pt idx="19">
                  <c:v>0.24117070041146882</c:v>
                </c:pt>
                <c:pt idx="20">
                  <c:v>0.24117070041146876</c:v>
                </c:pt>
                <c:pt idx="21">
                  <c:v>0.24117070041146876</c:v>
                </c:pt>
                <c:pt idx="22">
                  <c:v>0.24117070041146876</c:v>
                </c:pt>
                <c:pt idx="23">
                  <c:v>0.24117070041146876</c:v>
                </c:pt>
                <c:pt idx="24">
                  <c:v>0.24117070041146876</c:v>
                </c:pt>
                <c:pt idx="25">
                  <c:v>0.24117070041146876</c:v>
                </c:pt>
              </c:numCache>
            </c:numRef>
          </c:val>
        </c:ser>
        <c:marker val="1"/>
        <c:axId val="113564288"/>
        <c:axId val="113443200"/>
      </c:lineChart>
      <c:catAx>
        <c:axId val="113564288"/>
        <c:scaling>
          <c:orientation val="minMax"/>
        </c:scaling>
        <c:axPos val="b"/>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3443200"/>
        <c:crosses val="autoZero"/>
        <c:auto val="1"/>
        <c:lblAlgn val="ctr"/>
        <c:lblOffset val="100"/>
      </c:catAx>
      <c:valAx>
        <c:axId val="113443200"/>
        <c:scaling>
          <c:orientation val="minMax"/>
        </c:scaling>
        <c:axPos val="l"/>
        <c:majorGridlines/>
        <c:numFmt formatCode="0%"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3564288"/>
        <c:crosses val="autoZero"/>
        <c:crossBetween val="between"/>
      </c:valAx>
    </c:plotArea>
    <c:legend>
      <c:legendPos val="b"/>
      <c:txPr>
        <a:bodyPr/>
        <a:lstStyle/>
        <a:p>
          <a:pPr>
            <a:defRPr lang="en-ZA" sz="845" b="0" i="0" u="none" strike="noStrike" baseline="0">
              <a:solidFill>
                <a:srgbClr val="000000"/>
              </a:solidFill>
              <a:latin typeface="Calibri"/>
              <a:ea typeface="Calibri"/>
              <a:cs typeface="Calibri"/>
            </a:defRPr>
          </a:pPr>
          <a:endParaRPr lang="en-US"/>
        </a:p>
      </c:txPr>
    </c:legend>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178" l="0.70000000000000062" r="0.70000000000000062" t="0.75000000000000178" header="0.30000000000000032" footer="0.30000000000000032"/>
    <c:pageSetup/>
  </c:printSettings>
</c:chartSpace>
</file>

<file path=xl/charts/chart121.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050" b="1" i="0" u="none" strike="noStrike" baseline="0">
                <a:solidFill>
                  <a:srgbClr val="000000"/>
                </a:solidFill>
                <a:latin typeface="Calibri"/>
                <a:ea typeface="Calibri"/>
                <a:cs typeface="Calibri"/>
              </a:defRPr>
            </a:pPr>
            <a:r>
              <a:rPr lang="en-ZA"/>
              <a:t>Electricity system costs and average electricity cost</a:t>
            </a:r>
          </a:p>
        </c:rich>
      </c:tx>
      <c:overlay val="1"/>
    </c:title>
    <c:plotArea>
      <c:layout>
        <c:manualLayout>
          <c:layoutTarget val="inner"/>
          <c:xMode val="edge"/>
          <c:yMode val="edge"/>
          <c:x val="0.14896062992125983"/>
          <c:y val="6.5850887763337612E-2"/>
          <c:w val="0.73434251968503961"/>
          <c:h val="0.49487289499769627"/>
        </c:manualLayout>
      </c:layout>
      <c:areaChart>
        <c:grouping val="stacked"/>
        <c:ser>
          <c:idx val="0"/>
          <c:order val="0"/>
          <c:tx>
            <c:strRef>
              <c:f>'Output tables'!$A$110</c:f>
              <c:strCache>
                <c:ptCount val="1"/>
                <c:pt idx="0">
                  <c:v>Existing coal Large</c:v>
                </c:pt>
              </c:strCache>
            </c:strRef>
          </c:tx>
          <c:cat>
            <c:numRef>
              <c:f>'Output tables'!$AP$109:$BO$109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tables'!$AP$110:$BO$110</c:f>
              <c:numCache>
                <c:formatCode>General</c:formatCode>
                <c:ptCount val="26"/>
                <c:pt idx="0">
                  <c:v>16255.848534235311</c:v>
                </c:pt>
                <c:pt idx="1">
                  <c:v>17848.075230169379</c:v>
                </c:pt>
                <c:pt idx="2">
                  <c:v>19881.448596266746</c:v>
                </c:pt>
                <c:pt idx="3">
                  <c:v>20778.472732023358</c:v>
                </c:pt>
                <c:pt idx="4">
                  <c:v>20778.472732023358</c:v>
                </c:pt>
                <c:pt idx="5">
                  <c:v>21202.080907823816</c:v>
                </c:pt>
                <c:pt idx="6">
                  <c:v>21507.842323700119</c:v>
                </c:pt>
                <c:pt idx="7">
                  <c:v>21845.752410405974</c:v>
                </c:pt>
                <c:pt idx="8">
                  <c:v>22128.25175623727</c:v>
                </c:pt>
                <c:pt idx="9">
                  <c:v>22369.252860877034</c:v>
                </c:pt>
                <c:pt idx="10">
                  <c:v>22449.36221189766</c:v>
                </c:pt>
                <c:pt idx="11">
                  <c:v>22529.47156291829</c:v>
                </c:pt>
                <c:pt idx="12">
                  <c:v>22609.580913938917</c:v>
                </c:pt>
                <c:pt idx="13">
                  <c:v>22689.690264959547</c:v>
                </c:pt>
                <c:pt idx="14">
                  <c:v>22769.799615980173</c:v>
                </c:pt>
                <c:pt idx="15">
                  <c:v>22849.908967000803</c:v>
                </c:pt>
                <c:pt idx="16">
                  <c:v>22930.01831802143</c:v>
                </c:pt>
                <c:pt idx="17">
                  <c:v>23010.127669042056</c:v>
                </c:pt>
                <c:pt idx="18">
                  <c:v>22691.857287580668</c:v>
                </c:pt>
                <c:pt idx="19">
                  <c:v>22055.59472370577</c:v>
                </c:pt>
                <c:pt idx="20">
                  <c:v>21510.734707158685</c:v>
                </c:pt>
                <c:pt idx="21">
                  <c:v>20493.777846058623</c:v>
                </c:pt>
                <c:pt idx="22">
                  <c:v>19469.328232820168</c:v>
                </c:pt>
                <c:pt idx="23">
                  <c:v>18206.109075327888</c:v>
                </c:pt>
                <c:pt idx="24">
                  <c:v>15599.443102709989</c:v>
                </c:pt>
                <c:pt idx="25">
                  <c:v>14313.548511114688</c:v>
                </c:pt>
              </c:numCache>
            </c:numRef>
          </c:val>
        </c:ser>
        <c:ser>
          <c:idx val="1"/>
          <c:order val="1"/>
          <c:tx>
            <c:strRef>
              <c:f>'Output tables'!$A$111</c:f>
              <c:strCache>
                <c:ptCount val="1"/>
                <c:pt idx="0">
                  <c:v>Existing coal Small</c:v>
                </c:pt>
              </c:strCache>
            </c:strRef>
          </c:tx>
          <c:cat>
            <c:numRef>
              <c:f>'Output tables'!$AP$109:$BO$109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tables'!$AP$111:$BO$111</c:f>
              <c:numCache>
                <c:formatCode>General</c:formatCode>
                <c:ptCount val="26"/>
                <c:pt idx="0">
                  <c:v>2346.7001846771027</c:v>
                </c:pt>
                <c:pt idx="1">
                  <c:v>2456.5429896070436</c:v>
                </c:pt>
                <c:pt idx="2">
                  <c:v>2566.3857945369841</c:v>
                </c:pt>
                <c:pt idx="3">
                  <c:v>2680.9661728977972</c:v>
                </c:pt>
                <c:pt idx="4">
                  <c:v>2680.9661728977972</c:v>
                </c:pt>
                <c:pt idx="5">
                  <c:v>3024.8324517331271</c:v>
                </c:pt>
                <c:pt idx="6">
                  <c:v>3231.974476853894</c:v>
                </c:pt>
                <c:pt idx="7">
                  <c:v>3239.3546044048408</c:v>
                </c:pt>
                <c:pt idx="8">
                  <c:v>3246.7347319557866</c:v>
                </c:pt>
                <c:pt idx="9">
                  <c:v>3254.1148595067334</c:v>
                </c:pt>
                <c:pt idx="10">
                  <c:v>3261.4949870576793</c:v>
                </c:pt>
                <c:pt idx="11">
                  <c:v>3250.078233359066</c:v>
                </c:pt>
                <c:pt idx="12">
                  <c:v>3238.5766043585108</c:v>
                </c:pt>
                <c:pt idx="13">
                  <c:v>3220.6961812055124</c:v>
                </c:pt>
                <c:pt idx="14">
                  <c:v>3202.7025909832582</c:v>
                </c:pt>
                <c:pt idx="15">
                  <c:v>2729.3966692090917</c:v>
                </c:pt>
                <c:pt idx="16">
                  <c:v>2253.9405731190573</c:v>
                </c:pt>
                <c:pt idx="17">
                  <c:v>2258.9724839829387</c:v>
                </c:pt>
                <c:pt idx="18">
                  <c:v>2264.0043948468197</c:v>
                </c:pt>
                <c:pt idx="19">
                  <c:v>2269.0363057107006</c:v>
                </c:pt>
                <c:pt idx="20">
                  <c:v>2050.2016630437815</c:v>
                </c:pt>
                <c:pt idx="21">
                  <c:v>1830.3763055561185</c:v>
                </c:pt>
                <c:pt idx="22">
                  <c:v>1834.4175015992557</c:v>
                </c:pt>
                <c:pt idx="23">
                  <c:v>1838.458697642393</c:v>
                </c:pt>
                <c:pt idx="24">
                  <c:v>1842.4998936855307</c:v>
                </c:pt>
                <c:pt idx="25">
                  <c:v>1846.5410897286679</c:v>
                </c:pt>
              </c:numCache>
            </c:numRef>
          </c:val>
        </c:ser>
        <c:ser>
          <c:idx val="2"/>
          <c:order val="2"/>
          <c:tx>
            <c:strRef>
              <c:f>'Output tables'!$A$112</c:f>
              <c:strCache>
                <c:ptCount val="1"/>
                <c:pt idx="0">
                  <c:v>OCGT liquid fuels</c:v>
                </c:pt>
              </c:strCache>
            </c:strRef>
          </c:tx>
          <c:cat>
            <c:numRef>
              <c:f>'Output tables'!$AP$109:$BO$109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tables'!$AP$112:$BO$112</c:f>
              <c:numCache>
                <c:formatCode>General</c:formatCode>
                <c:ptCount val="26"/>
                <c:pt idx="0">
                  <c:v>1203.429722858983</c:v>
                </c:pt>
                <c:pt idx="1">
                  <c:v>1333.4299474905283</c:v>
                </c:pt>
                <c:pt idx="2">
                  <c:v>1333.1218239168195</c:v>
                </c:pt>
                <c:pt idx="3">
                  <c:v>1771.1195126279106</c:v>
                </c:pt>
                <c:pt idx="4">
                  <c:v>1291.5694060722121</c:v>
                </c:pt>
                <c:pt idx="5">
                  <c:v>1344.4644260844339</c:v>
                </c:pt>
                <c:pt idx="6">
                  <c:v>2707.0090326218919</c:v>
                </c:pt>
                <c:pt idx="7">
                  <c:v>2783.7068116396131</c:v>
                </c:pt>
                <c:pt idx="8">
                  <c:v>2860.4045906573351</c:v>
                </c:pt>
                <c:pt idx="9">
                  <c:v>2937.1023696750563</c:v>
                </c:pt>
                <c:pt idx="10">
                  <c:v>3013.8001486927778</c:v>
                </c:pt>
                <c:pt idx="11">
                  <c:v>3090.4979277104985</c:v>
                </c:pt>
                <c:pt idx="12">
                  <c:v>3167.1957067282201</c:v>
                </c:pt>
                <c:pt idx="13">
                  <c:v>3243.8934857459412</c:v>
                </c:pt>
                <c:pt idx="14">
                  <c:v>3320.5912647636628</c:v>
                </c:pt>
                <c:pt idx="15">
                  <c:v>3397.2890437813844</c:v>
                </c:pt>
                <c:pt idx="16">
                  <c:v>3473.9868227991051</c:v>
                </c:pt>
                <c:pt idx="17">
                  <c:v>3550.6846018168262</c:v>
                </c:pt>
                <c:pt idx="18">
                  <c:v>3627.3823808345478</c:v>
                </c:pt>
                <c:pt idx="19">
                  <c:v>3704.0801598522694</c:v>
                </c:pt>
                <c:pt idx="20">
                  <c:v>3780.777938869991</c:v>
                </c:pt>
                <c:pt idx="21">
                  <c:v>4968.6030322928682</c:v>
                </c:pt>
                <c:pt idx="22">
                  <c:v>5061.1693173142557</c:v>
                </c:pt>
                <c:pt idx="23">
                  <c:v>5153.7356023356433</c:v>
                </c:pt>
                <c:pt idx="24">
                  <c:v>6791.2789972452374</c:v>
                </c:pt>
                <c:pt idx="25">
                  <c:v>8299.9699142886748</c:v>
                </c:pt>
              </c:numCache>
            </c:numRef>
          </c:val>
        </c:ser>
        <c:ser>
          <c:idx val="3"/>
          <c:order val="3"/>
          <c:tx>
            <c:strRef>
              <c:f>'Output tables'!$A$113</c:f>
              <c:strCache>
                <c:ptCount val="1"/>
                <c:pt idx="0">
                  <c:v>PWR nuclear</c:v>
                </c:pt>
              </c:strCache>
            </c:strRef>
          </c:tx>
          <c:cat>
            <c:numRef>
              <c:f>'Output tables'!$AP$109:$BO$109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tables'!$AP$113:$BO$113</c:f>
              <c:numCache>
                <c:formatCode>General</c:formatCode>
                <c:ptCount val="26"/>
                <c:pt idx="0">
                  <c:v>1841.3944454507421</c:v>
                </c:pt>
                <c:pt idx="1">
                  <c:v>1914.0285561278479</c:v>
                </c:pt>
                <c:pt idx="2">
                  <c:v>1986.6626668049537</c:v>
                </c:pt>
                <c:pt idx="3">
                  <c:v>2059.2967774820595</c:v>
                </c:pt>
                <c:pt idx="4">
                  <c:v>2168.8768214349784</c:v>
                </c:pt>
                <c:pt idx="5">
                  <c:v>2172.6932566352129</c:v>
                </c:pt>
                <c:pt idx="6">
                  <c:v>2176.5287740114481</c:v>
                </c:pt>
                <c:pt idx="7">
                  <c:v>2180.3834689745649</c:v>
                </c:pt>
                <c:pt idx="8">
                  <c:v>2184.257437412497</c:v>
                </c:pt>
                <c:pt idx="9">
                  <c:v>2188.1507756926189</c:v>
                </c:pt>
                <c:pt idx="10">
                  <c:v>2192.0635806641412</c:v>
                </c:pt>
                <c:pt idx="11">
                  <c:v>2195.9959496605215</c:v>
                </c:pt>
                <c:pt idx="12">
                  <c:v>2199.9479805018836</c:v>
                </c:pt>
                <c:pt idx="13">
                  <c:v>2203.9197714974525</c:v>
                </c:pt>
                <c:pt idx="14">
                  <c:v>2207.9114214479987</c:v>
                </c:pt>
                <c:pt idx="15">
                  <c:v>2211.9230296482983</c:v>
                </c:pt>
                <c:pt idx="16">
                  <c:v>2215.9546958895994</c:v>
                </c:pt>
                <c:pt idx="17">
                  <c:v>2220.0065204621064</c:v>
                </c:pt>
                <c:pt idx="18">
                  <c:v>2224.0786041574765</c:v>
                </c:pt>
                <c:pt idx="19">
                  <c:v>2228.1710482713233</c:v>
                </c:pt>
                <c:pt idx="20">
                  <c:v>2232.2839546057394</c:v>
                </c:pt>
                <c:pt idx="21">
                  <c:v>2236.4174254718273</c:v>
                </c:pt>
                <c:pt idx="22">
                  <c:v>2240.5715636922455</c:v>
                </c:pt>
                <c:pt idx="23">
                  <c:v>2244.7464726037661</c:v>
                </c:pt>
                <c:pt idx="24">
                  <c:v>2248.9422560598446</c:v>
                </c:pt>
                <c:pt idx="25">
                  <c:v>2253.1590184332031</c:v>
                </c:pt>
              </c:numCache>
            </c:numRef>
          </c:val>
        </c:ser>
        <c:ser>
          <c:idx val="4"/>
          <c:order val="4"/>
          <c:tx>
            <c:strRef>
              <c:f>'Output tables'!$A$114</c:f>
              <c:strCache>
                <c:ptCount val="1"/>
                <c:pt idx="0">
                  <c:v>Hydro</c:v>
                </c:pt>
              </c:strCache>
            </c:strRef>
          </c:tx>
          <c:cat>
            <c:numRef>
              <c:f>'Output tables'!$AP$109:$BO$109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tables'!$AP$114:$BO$114</c:f>
              <c:numCache>
                <c:formatCode>General</c:formatCode>
                <c:ptCount val="26"/>
                <c:pt idx="0">
                  <c:v>86.627408640520088</c:v>
                </c:pt>
                <c:pt idx="1">
                  <c:v>86.627408640520088</c:v>
                </c:pt>
                <c:pt idx="2">
                  <c:v>86.627408640520088</c:v>
                </c:pt>
                <c:pt idx="3">
                  <c:v>86.627408640520088</c:v>
                </c:pt>
                <c:pt idx="4">
                  <c:v>86.627408640520088</c:v>
                </c:pt>
                <c:pt idx="5">
                  <c:v>86.627408640520088</c:v>
                </c:pt>
                <c:pt idx="6">
                  <c:v>86.627408640520088</c:v>
                </c:pt>
                <c:pt idx="7">
                  <c:v>86.627408640520088</c:v>
                </c:pt>
                <c:pt idx="8">
                  <c:v>86.627408640520088</c:v>
                </c:pt>
                <c:pt idx="9">
                  <c:v>86.627408640520088</c:v>
                </c:pt>
                <c:pt idx="10">
                  <c:v>86.627408640520088</c:v>
                </c:pt>
                <c:pt idx="11">
                  <c:v>86.627408640520088</c:v>
                </c:pt>
                <c:pt idx="12">
                  <c:v>86.627408640520088</c:v>
                </c:pt>
                <c:pt idx="13">
                  <c:v>86.627408640520088</c:v>
                </c:pt>
                <c:pt idx="14">
                  <c:v>86.627408640520088</c:v>
                </c:pt>
                <c:pt idx="15">
                  <c:v>86.627408640520088</c:v>
                </c:pt>
                <c:pt idx="16">
                  <c:v>86.627408640520088</c:v>
                </c:pt>
                <c:pt idx="17">
                  <c:v>86.627408640520088</c:v>
                </c:pt>
                <c:pt idx="18">
                  <c:v>86.627408640520088</c:v>
                </c:pt>
                <c:pt idx="19">
                  <c:v>86.627408640520088</c:v>
                </c:pt>
                <c:pt idx="20">
                  <c:v>86.627408640520088</c:v>
                </c:pt>
                <c:pt idx="21">
                  <c:v>86.627408640520088</c:v>
                </c:pt>
                <c:pt idx="22">
                  <c:v>86.627408640520088</c:v>
                </c:pt>
                <c:pt idx="23">
                  <c:v>86.627408640520088</c:v>
                </c:pt>
                <c:pt idx="24">
                  <c:v>86.627408640520088</c:v>
                </c:pt>
                <c:pt idx="25">
                  <c:v>86.627408640520088</c:v>
                </c:pt>
              </c:numCache>
            </c:numRef>
          </c:val>
        </c:ser>
        <c:ser>
          <c:idx val="5"/>
          <c:order val="5"/>
          <c:tx>
            <c:strRef>
              <c:f>'Output tables'!$A$115</c:f>
              <c:strCache>
                <c:ptCount val="1"/>
                <c:pt idx="0">
                  <c:v>Landfill gas</c:v>
                </c:pt>
              </c:strCache>
            </c:strRef>
          </c:tx>
          <c:cat>
            <c:numRef>
              <c:f>'Output tables'!$AP$109:$BO$109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tables'!$AP$115:$BO$115</c:f>
              <c:numCache>
                <c:formatCode>General</c:formatCode>
                <c:ptCount val="26"/>
                <c:pt idx="0">
                  <c:v>66.755984508378774</c:v>
                </c:pt>
                <c:pt idx="1">
                  <c:v>66.755984508378774</c:v>
                </c:pt>
                <c:pt idx="2">
                  <c:v>66.755984508378774</c:v>
                </c:pt>
                <c:pt idx="3">
                  <c:v>66.755984508378774</c:v>
                </c:pt>
                <c:pt idx="4">
                  <c:v>66.755984508378774</c:v>
                </c:pt>
                <c:pt idx="5">
                  <c:v>66.755984508378774</c:v>
                </c:pt>
                <c:pt idx="6">
                  <c:v>66.755984508378774</c:v>
                </c:pt>
                <c:pt idx="7">
                  <c:v>66.755984508378774</c:v>
                </c:pt>
                <c:pt idx="8">
                  <c:v>66.755984508378774</c:v>
                </c:pt>
                <c:pt idx="9">
                  <c:v>66.755984508378774</c:v>
                </c:pt>
                <c:pt idx="10">
                  <c:v>66.755984508378774</c:v>
                </c:pt>
                <c:pt idx="11">
                  <c:v>66.755984508378774</c:v>
                </c:pt>
                <c:pt idx="12">
                  <c:v>66.755984508378774</c:v>
                </c:pt>
                <c:pt idx="13">
                  <c:v>66.755984508378774</c:v>
                </c:pt>
                <c:pt idx="14">
                  <c:v>66.755984508378774</c:v>
                </c:pt>
                <c:pt idx="15">
                  <c:v>66.755984508378774</c:v>
                </c:pt>
                <c:pt idx="16">
                  <c:v>66.755984508378774</c:v>
                </c:pt>
                <c:pt idx="17">
                  <c:v>66.755984508378774</c:v>
                </c:pt>
                <c:pt idx="18">
                  <c:v>66.755984508378774</c:v>
                </c:pt>
                <c:pt idx="19">
                  <c:v>66.755984508378774</c:v>
                </c:pt>
                <c:pt idx="20">
                  <c:v>66.755984508378774</c:v>
                </c:pt>
                <c:pt idx="21">
                  <c:v>66.755984508378774</c:v>
                </c:pt>
                <c:pt idx="22">
                  <c:v>66.755984508378774</c:v>
                </c:pt>
                <c:pt idx="23">
                  <c:v>66.755984508378774</c:v>
                </c:pt>
                <c:pt idx="24">
                  <c:v>66.755984508378774</c:v>
                </c:pt>
                <c:pt idx="25">
                  <c:v>66.755984508378774</c:v>
                </c:pt>
              </c:numCache>
            </c:numRef>
          </c:val>
        </c:ser>
        <c:ser>
          <c:idx val="6"/>
          <c:order val="6"/>
          <c:tx>
            <c:strRef>
              <c:f>'Output tables'!$A$116</c:f>
              <c:strCache>
                <c:ptCount val="1"/>
                <c:pt idx="0">
                  <c:v>Biomass</c:v>
                </c:pt>
              </c:strCache>
            </c:strRef>
          </c:tx>
          <c:cat>
            <c:numRef>
              <c:f>'Output tables'!$AP$109:$BO$109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tables'!$AP$116:$BO$116</c:f>
              <c:numCache>
                <c:formatCode>General</c:formatCode>
                <c:ptCount val="26"/>
                <c:pt idx="0">
                  <c:v>186.22474442860573</c:v>
                </c:pt>
                <c:pt idx="1">
                  <c:v>186.22474442860408</c:v>
                </c:pt>
                <c:pt idx="2">
                  <c:v>186.22474442860408</c:v>
                </c:pt>
                <c:pt idx="3">
                  <c:v>186.22474442860408</c:v>
                </c:pt>
                <c:pt idx="4">
                  <c:v>186.22474442860408</c:v>
                </c:pt>
                <c:pt idx="5">
                  <c:v>186.22474442860408</c:v>
                </c:pt>
                <c:pt idx="6">
                  <c:v>186.22474442860408</c:v>
                </c:pt>
                <c:pt idx="7">
                  <c:v>186.22474442860408</c:v>
                </c:pt>
                <c:pt idx="8">
                  <c:v>186.22474442860408</c:v>
                </c:pt>
                <c:pt idx="9">
                  <c:v>186.22474442860408</c:v>
                </c:pt>
                <c:pt idx="10">
                  <c:v>186.22474442860408</c:v>
                </c:pt>
                <c:pt idx="11">
                  <c:v>186.22474442860408</c:v>
                </c:pt>
                <c:pt idx="12">
                  <c:v>186.22474442860408</c:v>
                </c:pt>
                <c:pt idx="13">
                  <c:v>186.22474442860408</c:v>
                </c:pt>
                <c:pt idx="14">
                  <c:v>186.22474442860408</c:v>
                </c:pt>
                <c:pt idx="15">
                  <c:v>186.22474442860408</c:v>
                </c:pt>
                <c:pt idx="16">
                  <c:v>186.22474442860408</c:v>
                </c:pt>
                <c:pt idx="17">
                  <c:v>186.22474442860408</c:v>
                </c:pt>
                <c:pt idx="18">
                  <c:v>186.22474442860408</c:v>
                </c:pt>
                <c:pt idx="19">
                  <c:v>186.22474442860408</c:v>
                </c:pt>
                <c:pt idx="20">
                  <c:v>186.22474442860408</c:v>
                </c:pt>
                <c:pt idx="21">
                  <c:v>186.22474442860408</c:v>
                </c:pt>
                <c:pt idx="22">
                  <c:v>186.22474442860408</c:v>
                </c:pt>
                <c:pt idx="23">
                  <c:v>186.22474442860408</c:v>
                </c:pt>
                <c:pt idx="24">
                  <c:v>186.22474442860408</c:v>
                </c:pt>
                <c:pt idx="25">
                  <c:v>186.22474442860408</c:v>
                </c:pt>
              </c:numCache>
            </c:numRef>
          </c:val>
        </c:ser>
        <c:ser>
          <c:idx val="7"/>
          <c:order val="7"/>
          <c:tx>
            <c:strRef>
              <c:f>'Output tables'!$A$117</c:f>
              <c:strCache>
                <c:ptCount val="1"/>
                <c:pt idx="0">
                  <c:v>Supercritical coal</c:v>
                </c:pt>
              </c:strCache>
            </c:strRef>
          </c:tx>
          <c:cat>
            <c:numRef>
              <c:f>'Output tables'!$AP$109:$BO$109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tables'!$AP$117:$BO$117</c:f>
              <c:numCache>
                <c:formatCode>General</c:formatCode>
                <c:ptCount val="26"/>
                <c:pt idx="0">
                  <c:v>0</c:v>
                </c:pt>
                <c:pt idx="1">
                  <c:v>0</c:v>
                </c:pt>
                <c:pt idx="2">
                  <c:v>0</c:v>
                </c:pt>
                <c:pt idx="3">
                  <c:v>0</c:v>
                </c:pt>
                <c:pt idx="4">
                  <c:v>0</c:v>
                </c:pt>
                <c:pt idx="5">
                  <c:v>0</c:v>
                </c:pt>
                <c:pt idx="6">
                  <c:v>0</c:v>
                </c:pt>
                <c:pt idx="7">
                  <c:v>2017.0741489649656</c:v>
                </c:pt>
                <c:pt idx="8">
                  <c:v>6042.9945992936546</c:v>
                </c:pt>
                <c:pt idx="9">
                  <c:v>12117.693577401764</c:v>
                </c:pt>
                <c:pt idx="10">
                  <c:v>18245.390982532655</c:v>
                </c:pt>
                <c:pt idx="11">
                  <c:v>22539.385478471664</c:v>
                </c:pt>
                <c:pt idx="12">
                  <c:v>24780.645900459003</c:v>
                </c:pt>
                <c:pt idx="13">
                  <c:v>25039.143604425612</c:v>
                </c:pt>
                <c:pt idx="14">
                  <c:v>24988.456817764967</c:v>
                </c:pt>
                <c:pt idx="15">
                  <c:v>24921.399258460235</c:v>
                </c:pt>
                <c:pt idx="16">
                  <c:v>24548.019911287018</c:v>
                </c:pt>
                <c:pt idx="17">
                  <c:v>24298.974727744</c:v>
                </c:pt>
                <c:pt idx="18">
                  <c:v>24141.525188159027</c:v>
                </c:pt>
                <c:pt idx="19">
                  <c:v>24149.808376379449</c:v>
                </c:pt>
                <c:pt idx="20">
                  <c:v>24171.778179177672</c:v>
                </c:pt>
                <c:pt idx="21">
                  <c:v>24866.572684143011</c:v>
                </c:pt>
                <c:pt idx="22">
                  <c:v>25160.115654031859</c:v>
                </c:pt>
                <c:pt idx="23">
                  <c:v>25553.384100303501</c:v>
                </c:pt>
                <c:pt idx="24">
                  <c:v>26929.302055259639</c:v>
                </c:pt>
                <c:pt idx="25">
                  <c:v>27092.616339242355</c:v>
                </c:pt>
              </c:numCache>
            </c:numRef>
          </c:val>
        </c:ser>
        <c:ser>
          <c:idx val="8"/>
          <c:order val="8"/>
          <c:tx>
            <c:strRef>
              <c:f>'Output tables'!$A$118</c:f>
              <c:strCache>
                <c:ptCount val="1"/>
                <c:pt idx="0">
                  <c:v>Wind 30% </c:v>
                </c:pt>
              </c:strCache>
            </c:strRef>
          </c:tx>
          <c:cat>
            <c:numRef>
              <c:f>'Output tables'!$AP$109:$BO$109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tables'!$AP$118:$BO$118</c:f>
              <c:numCache>
                <c:formatCode>General</c:formatCode>
                <c:ptCount val="26"/>
                <c:pt idx="0">
                  <c:v>0</c:v>
                </c:pt>
                <c:pt idx="1">
                  <c:v>0</c:v>
                </c:pt>
                <c:pt idx="2">
                  <c:v>0</c:v>
                </c:pt>
                <c:pt idx="3">
                  <c:v>0</c:v>
                </c:pt>
                <c:pt idx="4">
                  <c:v>0</c:v>
                </c:pt>
                <c:pt idx="5">
                  <c:v>208.54071752916499</c:v>
                </c:pt>
                <c:pt idx="6">
                  <c:v>615.97659646748639</c:v>
                </c:pt>
                <c:pt idx="7">
                  <c:v>1013.7669192857992</c:v>
                </c:pt>
                <c:pt idx="8">
                  <c:v>1791.9855639064092</c:v>
                </c:pt>
                <c:pt idx="9">
                  <c:v>2552.8422075110034</c:v>
                </c:pt>
                <c:pt idx="10">
                  <c:v>4039.8314926881617</c:v>
                </c:pt>
                <c:pt idx="11">
                  <c:v>5492.0967758332899</c:v>
                </c:pt>
                <c:pt idx="12">
                  <c:v>7276.1767779358715</c:v>
                </c:pt>
                <c:pt idx="13">
                  <c:v>9029.0051782096252</c:v>
                </c:pt>
                <c:pt idx="14">
                  <c:v>11611.370375877015</c:v>
                </c:pt>
                <c:pt idx="15">
                  <c:v>14146.858170801162</c:v>
                </c:pt>
                <c:pt idx="16">
                  <c:v>17465.005360375704</c:v>
                </c:pt>
                <c:pt idx="17">
                  <c:v>17465.005360375704</c:v>
                </c:pt>
                <c:pt idx="18">
                  <c:v>17465.005360375704</c:v>
                </c:pt>
                <c:pt idx="19">
                  <c:v>17465.005360375704</c:v>
                </c:pt>
                <c:pt idx="20">
                  <c:v>17465.005360375704</c:v>
                </c:pt>
                <c:pt idx="21">
                  <c:v>17465.005360375704</c:v>
                </c:pt>
                <c:pt idx="22">
                  <c:v>17465.005360375704</c:v>
                </c:pt>
                <c:pt idx="23">
                  <c:v>17465.005360375704</c:v>
                </c:pt>
                <c:pt idx="24">
                  <c:v>17465.005360375704</c:v>
                </c:pt>
                <c:pt idx="25">
                  <c:v>17256.464642846538</c:v>
                </c:pt>
              </c:numCache>
            </c:numRef>
          </c:val>
        </c:ser>
        <c:ser>
          <c:idx val="9"/>
          <c:order val="9"/>
          <c:tx>
            <c:strRef>
              <c:f>'Output tables'!$A$119</c:f>
              <c:strCache>
                <c:ptCount val="1"/>
                <c:pt idx="0">
                  <c:v>Wind 25%</c:v>
                </c:pt>
              </c:strCache>
            </c:strRef>
          </c:tx>
          <c:cat>
            <c:numRef>
              <c:f>'Output tables'!$AP$109:$BO$109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tables'!$AP$119:$BO$119</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1650.801111950228</c:v>
                </c:pt>
                <c:pt idx="18">
                  <c:v>3293.3297410634132</c:v>
                </c:pt>
                <c:pt idx="19">
                  <c:v>4927.5858873395555</c:v>
                </c:pt>
                <c:pt idx="20">
                  <c:v>6553.5695507786568</c:v>
                </c:pt>
                <c:pt idx="21">
                  <c:v>8171.2807313807134</c:v>
                </c:pt>
                <c:pt idx="22">
                  <c:v>9780.7194291457272</c:v>
                </c:pt>
                <c:pt idx="23">
                  <c:v>11381.8856440737</c:v>
                </c:pt>
                <c:pt idx="24">
                  <c:v>12974.77937616463</c:v>
                </c:pt>
                <c:pt idx="25">
                  <c:v>14559.400625418515</c:v>
                </c:pt>
              </c:numCache>
            </c:numRef>
          </c:val>
        </c:ser>
        <c:ser>
          <c:idx val="10"/>
          <c:order val="10"/>
          <c:tx>
            <c:strRef>
              <c:f>'Output tables'!$A$120</c:f>
              <c:strCache>
                <c:ptCount val="1"/>
                <c:pt idx="0">
                  <c:v>solar thermal central reciever</c:v>
                </c:pt>
              </c:strCache>
            </c:strRef>
          </c:tx>
          <c:cat>
            <c:numRef>
              <c:f>'Output tables'!$AP$109:$BO$109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tables'!$AP$120:$BO$120</c:f>
              <c:numCache>
                <c:formatCode>General</c:formatCode>
                <c:ptCount val="26"/>
                <c:pt idx="0">
                  <c:v>0</c:v>
                </c:pt>
                <c:pt idx="1">
                  <c:v>0</c:v>
                </c:pt>
                <c:pt idx="2">
                  <c:v>0</c:v>
                </c:pt>
                <c:pt idx="3">
                  <c:v>0</c:v>
                </c:pt>
                <c:pt idx="4">
                  <c:v>0</c:v>
                </c:pt>
                <c:pt idx="5">
                  <c:v>0</c:v>
                </c:pt>
                <c:pt idx="6">
                  <c:v>0</c:v>
                </c:pt>
                <c:pt idx="7">
                  <c:v>0</c:v>
                </c:pt>
                <c:pt idx="8">
                  <c:v>0</c:v>
                </c:pt>
                <c:pt idx="9">
                  <c:v>0</c:v>
                </c:pt>
                <c:pt idx="10">
                  <c:v>637.74768271397556</c:v>
                </c:pt>
                <c:pt idx="11">
                  <c:v>1877.4622066611482</c:v>
                </c:pt>
                <c:pt idx="12">
                  <c:v>4299.6419081862487</c:v>
                </c:pt>
                <c:pt idx="13">
                  <c:v>9029.5026184979579</c:v>
                </c:pt>
                <c:pt idx="14">
                  <c:v>15952.54564485779</c:v>
                </c:pt>
                <c:pt idx="15">
                  <c:v>24954.272294527247</c:v>
                </c:pt>
                <c:pt idx="16">
                  <c:v>35920.183874767841</c:v>
                </c:pt>
                <c:pt idx="17">
                  <c:v>46599.848723162206</c:v>
                </c:pt>
                <c:pt idx="18">
                  <c:v>62189.975897984412</c:v>
                </c:pt>
                <c:pt idx="19">
                  <c:v>77350.732975037274</c:v>
                </c:pt>
                <c:pt idx="20">
                  <c:v>92118.923105558191</c:v>
                </c:pt>
                <c:pt idx="21">
                  <c:v>106494.54628954711</c:v>
                </c:pt>
                <c:pt idx="22">
                  <c:v>120477.60252700408</c:v>
                </c:pt>
                <c:pt idx="23">
                  <c:v>134068.09181792909</c:v>
                </c:pt>
                <c:pt idx="24">
                  <c:v>147266.01416232213</c:v>
                </c:pt>
                <c:pt idx="25">
                  <c:v>160071.36956018317</c:v>
                </c:pt>
              </c:numCache>
            </c:numRef>
          </c:val>
        </c:ser>
        <c:ser>
          <c:idx val="11"/>
          <c:order val="11"/>
          <c:tx>
            <c:strRef>
              <c:f>'Output tables'!$A$121</c:f>
              <c:strCache>
                <c:ptCount val="1"/>
                <c:pt idx="0">
                  <c:v>solar thermal trough</c:v>
                </c:pt>
              </c:strCache>
            </c:strRef>
          </c:tx>
          <c:cat>
            <c:numRef>
              <c:f>'Output tables'!$AP$109:$BO$109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tables'!$AP$121:$BO$121</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2"/>
          <c:order val="12"/>
          <c:tx>
            <c:strRef>
              <c:f>'Output tables'!$A$122</c:f>
              <c:strCache>
                <c:ptCount val="1"/>
                <c:pt idx="0">
                  <c:v>solar PV</c:v>
                </c:pt>
              </c:strCache>
            </c:strRef>
          </c:tx>
          <c:cat>
            <c:numRef>
              <c:f>'Output tables'!$AP$109:$BO$109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tables'!$AP$122:$BO$122</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3"/>
          <c:order val="13"/>
          <c:tx>
            <c:strRef>
              <c:f>'Output tables'!$A$123</c:f>
              <c:strCache>
                <c:ptCount val="1"/>
                <c:pt idx="0">
                  <c:v>combined cycle gas</c:v>
                </c:pt>
              </c:strCache>
            </c:strRef>
          </c:tx>
          <c:cat>
            <c:numRef>
              <c:f>'Output tables'!$AP$109:$BO$109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tables'!$AP$123:$BO$123</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3083.7005316401996</c:v>
                </c:pt>
                <c:pt idx="23">
                  <c:v>7864.3443012001862</c:v>
                </c:pt>
                <c:pt idx="24">
                  <c:v>12831.618231303542</c:v>
                </c:pt>
                <c:pt idx="25">
                  <c:v>13083.915738853018</c:v>
                </c:pt>
              </c:numCache>
            </c:numRef>
          </c:val>
        </c:ser>
        <c:ser>
          <c:idx val="14"/>
          <c:order val="14"/>
          <c:tx>
            <c:strRef>
              <c:f>'Output tables'!$A$124</c:f>
              <c:strCache>
                <c:ptCount val="1"/>
                <c:pt idx="0">
                  <c:v>PBMR</c:v>
                </c:pt>
              </c:strCache>
            </c:strRef>
          </c:tx>
          <c:cat>
            <c:numRef>
              <c:f>'Output tables'!$AP$109:$BO$109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tables'!$AP$124:$BO$124</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5"/>
          <c:order val="15"/>
          <c:tx>
            <c:strRef>
              <c:f>'Output tables'!$A$125</c:f>
              <c:strCache>
                <c:ptCount val="1"/>
                <c:pt idx="0">
                  <c:v>IGCC</c:v>
                </c:pt>
              </c:strCache>
            </c:strRef>
          </c:tx>
          <c:cat>
            <c:numRef>
              <c:f>'Output tables'!$AP$109:$BO$109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tables'!$AP$125:$BO$125</c:f>
              <c:numCache>
                <c:formatCode>General</c:formatCode>
                <c:ptCount val="26"/>
                <c:pt idx="0">
                  <c:v>0</c:v>
                </c:pt>
                <c:pt idx="1">
                  <c:v>2.274066347231097E-12</c:v>
                </c:pt>
                <c:pt idx="2">
                  <c:v>0</c:v>
                </c:pt>
                <c:pt idx="3">
                  <c:v>2.686426941512535E-12</c:v>
                </c:pt>
                <c:pt idx="4">
                  <c:v>2.686426941512535E-12</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1956.3183382939712</c:v>
                </c:pt>
                <c:pt idx="25">
                  <c:v>3915.8436489951246</c:v>
                </c:pt>
              </c:numCache>
            </c:numRef>
          </c:val>
        </c:ser>
        <c:ser>
          <c:idx val="16"/>
          <c:order val="16"/>
          <c:tx>
            <c:strRef>
              <c:f>'Output tables'!$A$126</c:f>
              <c:strCache>
                <c:ptCount val="1"/>
                <c:pt idx="0">
                  <c:v>-</c:v>
                </c:pt>
              </c:strCache>
            </c:strRef>
          </c:tx>
          <c:cat>
            <c:numRef>
              <c:f>'Output tables'!$AP$109:$BO$109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tables'!$AP$126:$BO$126</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7"/>
          <c:order val="17"/>
          <c:tx>
            <c:strRef>
              <c:f>'Output tables'!$A$127</c:f>
              <c:strCache>
                <c:ptCount val="1"/>
                <c:pt idx="0">
                  <c:v>-</c:v>
                </c:pt>
              </c:strCache>
            </c:strRef>
          </c:tx>
          <c:cat>
            <c:numRef>
              <c:f>'Output tables'!$AP$109:$BO$109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tables'!$AP$127:$BO$127</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8"/>
          <c:order val="18"/>
          <c:tx>
            <c:strRef>
              <c:f>'Output tables'!$A$128</c:f>
              <c:strCache>
                <c:ptCount val="1"/>
                <c:pt idx="0">
                  <c:v>-</c:v>
                </c:pt>
              </c:strCache>
            </c:strRef>
          </c:tx>
          <c:cat>
            <c:numRef>
              <c:f>'Output tables'!$AP$109:$BO$109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tables'!$AP$128:$BO$128</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9"/>
          <c:order val="19"/>
          <c:tx>
            <c:strRef>
              <c:f>'Output tables'!$A$129</c:f>
              <c:strCache>
                <c:ptCount val="1"/>
                <c:pt idx="0">
                  <c:v>Pumped storage</c:v>
                </c:pt>
              </c:strCache>
            </c:strRef>
          </c:tx>
          <c:cat>
            <c:numRef>
              <c:f>'Output tables'!$AP$109:$BO$109</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tables'!$AP$129:$BO$129</c:f>
              <c:numCache>
                <c:formatCode>General</c:formatCode>
                <c:ptCount val="26"/>
                <c:pt idx="0">
                  <c:v>91.355013587921817</c:v>
                </c:pt>
                <c:pt idx="1">
                  <c:v>91.355013587921817</c:v>
                </c:pt>
                <c:pt idx="2">
                  <c:v>91.355013587921817</c:v>
                </c:pt>
                <c:pt idx="3">
                  <c:v>91.355013587921817</c:v>
                </c:pt>
                <c:pt idx="4">
                  <c:v>91.355013587921817</c:v>
                </c:pt>
                <c:pt idx="5">
                  <c:v>91.355013587921817</c:v>
                </c:pt>
                <c:pt idx="6">
                  <c:v>91.355013587921817</c:v>
                </c:pt>
                <c:pt idx="7">
                  <c:v>91.355013587921817</c:v>
                </c:pt>
                <c:pt idx="8">
                  <c:v>1003.7456618954134</c:v>
                </c:pt>
                <c:pt idx="9">
                  <c:v>1916.136310202905</c:v>
                </c:pt>
                <c:pt idx="10">
                  <c:v>2828.5269585103965</c:v>
                </c:pt>
                <c:pt idx="11">
                  <c:v>3740.9176068178881</c:v>
                </c:pt>
                <c:pt idx="12">
                  <c:v>3740.9176068178881</c:v>
                </c:pt>
                <c:pt idx="13">
                  <c:v>3740.9176068178881</c:v>
                </c:pt>
                <c:pt idx="14">
                  <c:v>3740.9176068178881</c:v>
                </c:pt>
                <c:pt idx="15">
                  <c:v>3740.9176068178881</c:v>
                </c:pt>
                <c:pt idx="16">
                  <c:v>3740.9176068178881</c:v>
                </c:pt>
                <c:pt idx="17">
                  <c:v>3740.9176068178881</c:v>
                </c:pt>
                <c:pt idx="18">
                  <c:v>3740.9176068178881</c:v>
                </c:pt>
                <c:pt idx="19">
                  <c:v>3740.9176068178881</c:v>
                </c:pt>
                <c:pt idx="20">
                  <c:v>3740.9176068178881</c:v>
                </c:pt>
                <c:pt idx="21">
                  <c:v>3740.9176068178881</c:v>
                </c:pt>
                <c:pt idx="22">
                  <c:v>3740.9176068178881</c:v>
                </c:pt>
                <c:pt idx="23">
                  <c:v>3740.9176068178881</c:v>
                </c:pt>
                <c:pt idx="24">
                  <c:v>3740.9176068178881</c:v>
                </c:pt>
                <c:pt idx="25">
                  <c:v>3740.9176068178881</c:v>
                </c:pt>
              </c:numCache>
            </c:numRef>
          </c:val>
        </c:ser>
        <c:ser>
          <c:idx val="22"/>
          <c:order val="22"/>
          <c:tx>
            <c:strRef>
              <c:f>'Output tables'!$A$130</c:f>
              <c:strCache>
                <c:ptCount val="1"/>
                <c:pt idx="0">
                  <c:v>carbon tax</c:v>
                </c:pt>
              </c:strCache>
            </c:strRef>
          </c:tx>
          <c:val>
            <c:numRef>
              <c:f>'Output tables'!$AP$130:$BO$130</c:f>
              <c:numCache>
                <c:formatCode>General</c:formatCode>
                <c:ptCount val="26"/>
                <c:pt idx="0">
                  <c:v>0</c:v>
                </c:pt>
                <c:pt idx="1">
                  <c:v>0</c:v>
                </c:pt>
                <c:pt idx="2">
                  <c:v>0</c:v>
                </c:pt>
                <c:pt idx="3">
                  <c:v>0</c:v>
                </c:pt>
                <c:pt idx="4">
                  <c:v>0</c:v>
                </c:pt>
                <c:pt idx="5">
                  <c:v>0</c:v>
                </c:pt>
                <c:pt idx="6">
                  <c:v>0</c:v>
                </c:pt>
                <c:pt idx="7">
                  <c:v>24478.761458211844</c:v>
                </c:pt>
                <c:pt idx="8">
                  <c:v>25085.250445959304</c:v>
                </c:pt>
                <c:pt idx="9">
                  <c:v>25832.544570616745</c:v>
                </c:pt>
                <c:pt idx="10">
                  <c:v>26409.578736324453</c:v>
                </c:pt>
                <c:pt idx="11">
                  <c:v>80935.238113534142</c:v>
                </c:pt>
                <c:pt idx="12">
                  <c:v>82024.055325167647</c:v>
                </c:pt>
                <c:pt idx="13">
                  <c:v>82654.008854736036</c:v>
                </c:pt>
                <c:pt idx="14">
                  <c:v>82446.419266861238</c:v>
                </c:pt>
                <c:pt idx="15">
                  <c:v>135826.39062892462</c:v>
                </c:pt>
                <c:pt idx="16">
                  <c:v>132881.15969909183</c:v>
                </c:pt>
                <c:pt idx="17">
                  <c:v>131732.7520290596</c:v>
                </c:pt>
                <c:pt idx="18">
                  <c:v>128301.54132022244</c:v>
                </c:pt>
                <c:pt idx="19">
                  <c:v>125012.84951799382</c:v>
                </c:pt>
                <c:pt idx="20">
                  <c:v>121859.89195074516</c:v>
                </c:pt>
                <c:pt idx="21">
                  <c:v>118978.57403761256</c:v>
                </c:pt>
                <c:pt idx="22">
                  <c:v>115580.60521462141</c:v>
                </c:pt>
                <c:pt idx="23">
                  <c:v>111853.24698395247</c:v>
                </c:pt>
                <c:pt idx="24">
                  <c:v>107774.63017262286</c:v>
                </c:pt>
                <c:pt idx="25">
                  <c:v>103796.03694549462</c:v>
                </c:pt>
              </c:numCache>
            </c:numRef>
          </c:val>
        </c:ser>
        <c:axId val="113662208"/>
        <c:axId val="113668096"/>
      </c:areaChart>
      <c:lineChart>
        <c:grouping val="standard"/>
        <c:ser>
          <c:idx val="20"/>
          <c:order val="20"/>
          <c:tx>
            <c:strRef>
              <c:f>'Output tables'!$A$132</c:f>
              <c:strCache>
                <c:ptCount val="1"/>
                <c:pt idx="0">
                  <c:v>Average annual electricity cost (R/kWh)</c:v>
                </c:pt>
              </c:strCache>
            </c:strRef>
          </c:tx>
          <c:marker>
            <c:symbol val="none"/>
          </c:marker>
          <c:val>
            <c:numRef>
              <c:f>'Output tables'!$AP$132:$BO$132</c:f>
              <c:numCache>
                <c:formatCode>General</c:formatCode>
                <c:ptCount val="26"/>
                <c:pt idx="0">
                  <c:v>9.3081558925848837E-2</c:v>
                </c:pt>
                <c:pt idx="1">
                  <c:v>0.10111172940856715</c:v>
                </c:pt>
                <c:pt idx="2">
                  <c:v>0.1073822276448695</c:v>
                </c:pt>
                <c:pt idx="3">
                  <c:v>0.11253193533162395</c:v>
                </c:pt>
                <c:pt idx="4">
                  <c:v>0.11103005156183383</c:v>
                </c:pt>
                <c:pt idx="5">
                  <c:v>0.11213531685831545</c:v>
                </c:pt>
                <c:pt idx="6">
                  <c:v>0.11882478129616292</c:v>
                </c:pt>
                <c:pt idx="7">
                  <c:v>0.1268949691092762</c:v>
                </c:pt>
                <c:pt idx="8">
                  <c:v>0.14518051558366465</c:v>
                </c:pt>
                <c:pt idx="9">
                  <c:v>0.16848553004438802</c:v>
                </c:pt>
                <c:pt idx="10">
                  <c:v>0.1945187059306244</c:v>
                </c:pt>
                <c:pt idx="11">
                  <c:v>0.21424951956301871</c:v>
                </c:pt>
                <c:pt idx="12">
                  <c:v>0.22944592022538995</c:v>
                </c:pt>
                <c:pt idx="13">
                  <c:v>0.24435882027107403</c:v>
                </c:pt>
                <c:pt idx="14">
                  <c:v>0.266314274598487</c:v>
                </c:pt>
                <c:pt idx="15">
                  <c:v>0.29157930763711365</c:v>
                </c:pt>
                <c:pt idx="16">
                  <c:v>0.32196220212016691</c:v>
                </c:pt>
                <c:pt idx="17">
                  <c:v>0.34676167569557836</c:v>
                </c:pt>
                <c:pt idx="18">
                  <c:v>0.38184570652813377</c:v>
                </c:pt>
                <c:pt idx="19">
                  <c:v>0.41297116575118181</c:v>
                </c:pt>
                <c:pt idx="20">
                  <c:v>0.44043279825337994</c:v>
                </c:pt>
                <c:pt idx="21">
                  <c:v>0.46744601657030288</c:v>
                </c:pt>
                <c:pt idx="22">
                  <c:v>0.49551332361631439</c:v>
                </c:pt>
                <c:pt idx="23">
                  <c:v>0.52401939341596682</c:v>
                </c:pt>
                <c:pt idx="24">
                  <c:v>0.55694095727485204</c:v>
                </c:pt>
                <c:pt idx="25">
                  <c:v>0.58111484366678268</c:v>
                </c:pt>
              </c:numCache>
            </c:numRef>
          </c:val>
        </c:ser>
        <c:ser>
          <c:idx val="21"/>
          <c:order val="21"/>
          <c:tx>
            <c:strRef>
              <c:f>'Output tables'!$A$133</c:f>
              <c:strCache>
                <c:ptCount val="1"/>
                <c:pt idx="0">
                  <c:v>Average an elec cost with carbon tax</c:v>
                </c:pt>
              </c:strCache>
            </c:strRef>
          </c:tx>
          <c:marker>
            <c:symbol val="none"/>
          </c:marker>
          <c:val>
            <c:numRef>
              <c:f>'Output tables'!$AP$133:$BO$133</c:f>
              <c:numCache>
                <c:formatCode>General</c:formatCode>
                <c:ptCount val="26"/>
                <c:pt idx="0">
                  <c:v>9.3081558925848837E-2</c:v>
                </c:pt>
                <c:pt idx="1">
                  <c:v>0.10111172940856715</c:v>
                </c:pt>
                <c:pt idx="2">
                  <c:v>0.1073822276448695</c:v>
                </c:pt>
                <c:pt idx="3">
                  <c:v>0.11253193533162395</c:v>
                </c:pt>
                <c:pt idx="4">
                  <c:v>0.11103005156183383</c:v>
                </c:pt>
                <c:pt idx="5">
                  <c:v>0.11213531685831545</c:v>
                </c:pt>
                <c:pt idx="6">
                  <c:v>0.11882478129616292</c:v>
                </c:pt>
                <c:pt idx="7">
                  <c:v>0.21958786214911746</c:v>
                </c:pt>
                <c:pt idx="8">
                  <c:v>0.23715211022808946</c:v>
                </c:pt>
                <c:pt idx="9">
                  <c:v>0.25977905901025378</c:v>
                </c:pt>
                <c:pt idx="10">
                  <c:v>0.28463189606581712</c:v>
                </c:pt>
                <c:pt idx="11">
                  <c:v>0.48079627090822735</c:v>
                </c:pt>
                <c:pt idx="12">
                  <c:v>0.49210444029677236</c:v>
                </c:pt>
                <c:pt idx="13">
                  <c:v>0.50152927942361591</c:v>
                </c:pt>
                <c:pt idx="14">
                  <c:v>0.5154426743891356</c:v>
                </c:pt>
                <c:pt idx="15">
                  <c:v>0.69044664019011837</c:v>
                </c:pt>
                <c:pt idx="16">
                  <c:v>0.70094711648264263</c:v>
                </c:pt>
                <c:pt idx="17">
                  <c:v>0.71180654088754902</c:v>
                </c:pt>
                <c:pt idx="18">
                  <c:v>0.72690974129037422</c:v>
                </c:pt>
                <c:pt idx="19">
                  <c:v>0.73924637159788553</c:v>
                </c:pt>
                <c:pt idx="20">
                  <c:v>0.74895154263465102</c:v>
                </c:pt>
                <c:pt idx="21">
                  <c:v>0.75922979015405712</c:v>
                </c:pt>
                <c:pt idx="22">
                  <c:v>0.76999625486589318</c:v>
                </c:pt>
                <c:pt idx="23">
                  <c:v>0.78125728425994734</c:v>
                </c:pt>
                <c:pt idx="24">
                  <c:v>0.79705108793823576</c:v>
                </c:pt>
                <c:pt idx="25">
                  <c:v>0.80721470217948343</c:v>
                </c:pt>
              </c:numCache>
            </c:numRef>
          </c:val>
        </c:ser>
        <c:marker val="1"/>
        <c:axId val="113670016"/>
        <c:axId val="113671552"/>
      </c:lineChart>
      <c:catAx>
        <c:axId val="113662208"/>
        <c:scaling>
          <c:orientation val="minMax"/>
        </c:scaling>
        <c:axPos val="b"/>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3668096"/>
        <c:crosses val="autoZero"/>
        <c:auto val="1"/>
        <c:lblAlgn val="ctr"/>
        <c:lblOffset val="100"/>
      </c:catAx>
      <c:valAx>
        <c:axId val="113668096"/>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R million</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3662208"/>
        <c:crosses val="autoZero"/>
        <c:crossBetween val="between"/>
      </c:valAx>
      <c:catAx>
        <c:axId val="113670016"/>
        <c:scaling>
          <c:orientation val="minMax"/>
        </c:scaling>
        <c:delete val="1"/>
        <c:axPos val="b"/>
        <c:tickLblPos val="none"/>
        <c:crossAx val="113671552"/>
        <c:crosses val="autoZero"/>
        <c:auto val="1"/>
        <c:lblAlgn val="ctr"/>
        <c:lblOffset val="100"/>
      </c:catAx>
      <c:valAx>
        <c:axId val="113671552"/>
        <c:scaling>
          <c:orientation val="minMax"/>
        </c:scaling>
        <c:axPos val="r"/>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3670016"/>
        <c:crosses val="max"/>
        <c:crossBetween val="between"/>
      </c:valAx>
    </c:plotArea>
    <c:legend>
      <c:legendPos val="b"/>
      <c:layout>
        <c:manualLayout>
          <c:xMode val="edge"/>
          <c:yMode val="edge"/>
          <c:x val="1.9254678185469758E-4"/>
          <c:y val="0.63678987640357376"/>
          <c:w val="0.98710489124082168"/>
          <c:h val="0.3632101235964289"/>
        </c:manualLayout>
      </c:layout>
      <c:txPr>
        <a:bodyPr/>
        <a:lstStyle/>
        <a:p>
          <a:pPr>
            <a:defRPr lang="en-ZA" sz="845" b="0" i="0" u="none" strike="noStrike" baseline="0">
              <a:solidFill>
                <a:srgbClr val="000000"/>
              </a:solidFill>
              <a:latin typeface="Calibri"/>
              <a:ea typeface="Calibri"/>
              <a:cs typeface="Calibri"/>
            </a:defRPr>
          </a:pPr>
          <a:endParaRPr lang="en-US"/>
        </a:p>
      </c:txPr>
    </c:legend>
    <c:plotVisOnly val="1"/>
    <c:dispBlanksAs val="zero"/>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189" l="0.70000000000000062" r="0.70000000000000062" t="0.75000000000000189" header="0.30000000000000032" footer="0.30000000000000032"/>
    <c:pageSetup/>
  </c:printSettings>
</c:chartSpace>
</file>

<file path=xl/charts/chart122.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050" b="1" i="0" u="none" strike="noStrike" baseline="0">
                <a:solidFill>
                  <a:srgbClr val="000000"/>
                </a:solidFill>
                <a:latin typeface="Calibri"/>
                <a:ea typeface="Calibri"/>
                <a:cs typeface="Calibri"/>
              </a:defRPr>
            </a:pPr>
            <a:r>
              <a:rPr lang="en-ZA"/>
              <a:t>Annual investment requirement</a:t>
            </a:r>
          </a:p>
        </c:rich>
      </c:tx>
      <c:overlay val="1"/>
    </c:title>
    <c:plotArea>
      <c:layout>
        <c:manualLayout>
          <c:layoutTarget val="inner"/>
          <c:xMode val="edge"/>
          <c:yMode val="edge"/>
          <c:x val="0.15451618547681625"/>
          <c:y val="6.1014547094656674E-2"/>
          <c:w val="0.78676159230096232"/>
          <c:h val="0.50886813061410863"/>
        </c:manualLayout>
      </c:layout>
      <c:areaChart>
        <c:grouping val="stacked"/>
        <c:ser>
          <c:idx val="0"/>
          <c:order val="0"/>
          <c:tx>
            <c:strRef>
              <c:f>'Output tables'!$A$144</c:f>
              <c:strCache>
                <c:ptCount val="1"/>
                <c:pt idx="0">
                  <c:v>Existing coal Large</c:v>
                </c:pt>
              </c:strCache>
            </c:strRef>
          </c:tx>
          <c:cat>
            <c:numRef>
              <c:f>'Output tables'!$AP$143:$BO$143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tables'!$AP$144:$BO$144</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
          <c:order val="1"/>
          <c:tx>
            <c:strRef>
              <c:f>'Output tables'!$A$145</c:f>
              <c:strCache>
                <c:ptCount val="1"/>
                <c:pt idx="0">
                  <c:v>Existing coal Small</c:v>
                </c:pt>
              </c:strCache>
            </c:strRef>
          </c:tx>
          <c:cat>
            <c:numRef>
              <c:f>'Output tables'!$AP$143:$BO$143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tables'!$AP$145:$BO$145</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2"/>
          <c:order val="2"/>
          <c:tx>
            <c:strRef>
              <c:f>'Output tables'!$A$146</c:f>
              <c:strCache>
                <c:ptCount val="1"/>
                <c:pt idx="0">
                  <c:v>OCGT liquid fuels</c:v>
                </c:pt>
              </c:strCache>
            </c:strRef>
          </c:tx>
          <c:cat>
            <c:numRef>
              <c:f>'Output tables'!$AP$143:$BO$143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tables'!$AP$146:$BO$146</c:f>
              <c:numCache>
                <c:formatCode>General</c:formatCode>
                <c:ptCount val="26"/>
                <c:pt idx="0">
                  <c:v>0</c:v>
                </c:pt>
                <c:pt idx="1">
                  <c:v>0</c:v>
                </c:pt>
                <c:pt idx="2">
                  <c:v>0</c:v>
                </c:pt>
                <c:pt idx="3">
                  <c:v>299.85406508081212</c:v>
                </c:pt>
                <c:pt idx="4">
                  <c:v>1229.4016668313295</c:v>
                </c:pt>
                <c:pt idx="5">
                  <c:v>4650.7365494033957</c:v>
                </c:pt>
                <c:pt idx="6">
                  <c:v>0</c:v>
                </c:pt>
                <c:pt idx="7">
                  <c:v>0</c:v>
                </c:pt>
                <c:pt idx="8">
                  <c:v>0</c:v>
                </c:pt>
                <c:pt idx="9">
                  <c:v>0</c:v>
                </c:pt>
                <c:pt idx="10">
                  <c:v>0</c:v>
                </c:pt>
                <c:pt idx="11">
                  <c:v>0</c:v>
                </c:pt>
                <c:pt idx="12">
                  <c:v>0</c:v>
                </c:pt>
                <c:pt idx="13">
                  <c:v>0</c:v>
                </c:pt>
                <c:pt idx="14">
                  <c:v>0</c:v>
                </c:pt>
                <c:pt idx="15">
                  <c:v>0</c:v>
                </c:pt>
                <c:pt idx="16">
                  <c:v>0</c:v>
                </c:pt>
                <c:pt idx="17">
                  <c:v>0</c:v>
                </c:pt>
                <c:pt idx="18">
                  <c:v>199.90271005387473</c:v>
                </c:pt>
                <c:pt idx="19">
                  <c:v>819.6011112208862</c:v>
                </c:pt>
                <c:pt idx="20">
                  <c:v>3100.4910329355966</c:v>
                </c:pt>
                <c:pt idx="21">
                  <c:v>266.53694673849964</c:v>
                </c:pt>
                <c:pt idx="22">
                  <c:v>1359.3384283663481</c:v>
                </c:pt>
                <c:pt idx="23">
                  <c:v>5226.7895255419771</c:v>
                </c:pt>
                <c:pt idx="24">
                  <c:v>4133.9880439141289</c:v>
                </c:pt>
                <c:pt idx="25">
                  <c:v>0</c:v>
                </c:pt>
              </c:numCache>
            </c:numRef>
          </c:val>
        </c:ser>
        <c:ser>
          <c:idx val="3"/>
          <c:order val="3"/>
          <c:tx>
            <c:strRef>
              <c:f>'Output tables'!$A$147</c:f>
              <c:strCache>
                <c:ptCount val="1"/>
                <c:pt idx="0">
                  <c:v>PWR nuclear</c:v>
                </c:pt>
              </c:strCache>
            </c:strRef>
          </c:tx>
          <c:cat>
            <c:numRef>
              <c:f>'Output tables'!$AP$143:$BO$143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tables'!$AP$147:$BO$147</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4"/>
          <c:order val="4"/>
          <c:tx>
            <c:strRef>
              <c:f>'Output tables'!$A$148</c:f>
              <c:strCache>
                <c:ptCount val="1"/>
                <c:pt idx="0">
                  <c:v>Hydro</c:v>
                </c:pt>
              </c:strCache>
            </c:strRef>
          </c:tx>
          <c:cat>
            <c:numRef>
              <c:f>'Output tables'!$AP$143:$BO$143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tables'!$AP$148:$BO$148</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5"/>
          <c:order val="5"/>
          <c:tx>
            <c:strRef>
              <c:f>'Output tables'!$A$149</c:f>
              <c:strCache>
                <c:ptCount val="1"/>
                <c:pt idx="0">
                  <c:v>Landfill gas</c:v>
                </c:pt>
              </c:strCache>
            </c:strRef>
          </c:tx>
          <c:cat>
            <c:numRef>
              <c:f>'Output tables'!$AP$143:$BO$143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tables'!$AP$149:$BO$149</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6"/>
          <c:order val="6"/>
          <c:tx>
            <c:strRef>
              <c:f>'Output tables'!$A$150</c:f>
              <c:strCache>
                <c:ptCount val="1"/>
                <c:pt idx="0">
                  <c:v>Biomass</c:v>
                </c:pt>
              </c:strCache>
            </c:strRef>
          </c:tx>
          <c:cat>
            <c:numRef>
              <c:f>'Output tables'!$AP$143:$BO$143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tables'!$AP$150:$BO$150</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7"/>
          <c:order val="7"/>
          <c:tx>
            <c:strRef>
              <c:f>'Output tables'!$A$151</c:f>
              <c:strCache>
                <c:ptCount val="1"/>
                <c:pt idx="0">
                  <c:v>Supercritical coal</c:v>
                </c:pt>
              </c:strCache>
            </c:strRef>
          </c:tx>
          <c:cat>
            <c:numRef>
              <c:f>'Output tables'!$AP$143:$BO$143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tables'!$AP$151:$BO$151</c:f>
              <c:numCache>
                <c:formatCode>General</c:formatCode>
                <c:ptCount val="26"/>
                <c:pt idx="0">
                  <c:v>0</c:v>
                </c:pt>
                <c:pt idx="1">
                  <c:v>663.75232174368716</c:v>
                </c:pt>
                <c:pt idx="2">
                  <c:v>2053.5222759085655</c:v>
                </c:pt>
                <c:pt idx="3">
                  <c:v>3813.0002183239285</c:v>
                </c:pt>
                <c:pt idx="4">
                  <c:v>9740.6803993905232</c:v>
                </c:pt>
                <c:pt idx="5">
                  <c:v>21245.764687606472</c:v>
                </c:pt>
                <c:pt idx="6">
                  <c:v>33660.51600492774</c:v>
                </c:pt>
                <c:pt idx="7">
                  <c:v>40832.294020975503</c:v>
                </c:pt>
                <c:pt idx="8">
                  <c:v>36903.242010993425</c:v>
                </c:pt>
                <c:pt idx="9">
                  <c:v>24748.18368680634</c:v>
                </c:pt>
                <c:pt idx="10">
                  <c:v>10987.519325964422</c:v>
                </c:pt>
                <c:pt idx="11">
                  <c:v>2044.9075927566316</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8"/>
          <c:order val="8"/>
          <c:tx>
            <c:strRef>
              <c:f>'Output tables'!$A$152</c:f>
              <c:strCache>
                <c:ptCount val="1"/>
                <c:pt idx="0">
                  <c:v>Wind 30% </c:v>
                </c:pt>
              </c:strCache>
            </c:strRef>
          </c:tx>
          <c:cat>
            <c:numRef>
              <c:f>'Output tables'!$AP$143:$BO$143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tables'!$AP$152:$BO$152</c:f>
              <c:numCache>
                <c:formatCode>General</c:formatCode>
                <c:ptCount val="26"/>
                <c:pt idx="0">
                  <c:v>0</c:v>
                </c:pt>
                <c:pt idx="1">
                  <c:v>0</c:v>
                </c:pt>
                <c:pt idx="2">
                  <c:v>75.703206024444654</c:v>
                </c:pt>
                <c:pt idx="3">
                  <c:v>457.80517748466798</c:v>
                </c:pt>
                <c:pt idx="4">
                  <c:v>1922.0247133753612</c:v>
                </c:pt>
                <c:pt idx="5">
                  <c:v>3154.3135322827429</c:v>
                </c:pt>
                <c:pt idx="6">
                  <c:v>3644.0335876756112</c:v>
                </c:pt>
                <c:pt idx="7">
                  <c:v>5986.2987508304568</c:v>
                </c:pt>
                <c:pt idx="8">
                  <c:v>6919.2889681512988</c:v>
                </c:pt>
                <c:pt idx="9">
                  <c:v>10981.156440530671</c:v>
                </c:pt>
                <c:pt idx="10">
                  <c:v>11222.131698444271</c:v>
                </c:pt>
                <c:pt idx="11">
                  <c:v>13261.686037610511</c:v>
                </c:pt>
                <c:pt idx="12">
                  <c:v>14232.988452186544</c:v>
                </c:pt>
                <c:pt idx="13">
                  <c:v>18929.746838458821</c:v>
                </c:pt>
                <c:pt idx="14">
                  <c:v>18579.063291250448</c:v>
                </c:pt>
                <c:pt idx="15">
                  <c:v>18020.215849371169</c:v>
                </c:pt>
                <c:pt idx="16">
                  <c:v>0</c:v>
                </c:pt>
                <c:pt idx="17">
                  <c:v>0</c:v>
                </c:pt>
                <c:pt idx="18">
                  <c:v>0</c:v>
                </c:pt>
                <c:pt idx="19">
                  <c:v>0</c:v>
                </c:pt>
                <c:pt idx="20">
                  <c:v>0</c:v>
                </c:pt>
                <c:pt idx="21">
                  <c:v>0</c:v>
                </c:pt>
                <c:pt idx="22">
                  <c:v>0</c:v>
                </c:pt>
                <c:pt idx="23">
                  <c:v>109.35011703642387</c:v>
                </c:pt>
                <c:pt idx="24">
                  <c:v>557.00215865428402</c:v>
                </c:pt>
                <c:pt idx="25">
                  <c:v>2357.520179482151</c:v>
                </c:pt>
              </c:numCache>
            </c:numRef>
          </c:val>
        </c:ser>
        <c:ser>
          <c:idx val="9"/>
          <c:order val="9"/>
          <c:tx>
            <c:strRef>
              <c:f>'Output tables'!$A$153</c:f>
              <c:strCache>
                <c:ptCount val="1"/>
                <c:pt idx="0">
                  <c:v>Wind 25%</c:v>
                </c:pt>
              </c:strCache>
            </c:strRef>
          </c:tx>
          <c:cat>
            <c:numRef>
              <c:f>'Output tables'!$AP$143:$BO$143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tables'!$AP$153:$BO$153</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577.50530559861352</c:v>
                </c:pt>
                <c:pt idx="15">
                  <c:v>2941.8598673955403</c:v>
                </c:pt>
                <c:pt idx="16">
                  <c:v>11881.539482327353</c:v>
                </c:pt>
                <c:pt idx="17">
                  <c:v>11811.111172573583</c:v>
                </c:pt>
                <c:pt idx="18">
                  <c:v>11740.682862819813</c:v>
                </c:pt>
                <c:pt idx="19">
                  <c:v>11670.254553066041</c:v>
                </c:pt>
                <c:pt idx="20">
                  <c:v>11599.826243312269</c:v>
                </c:pt>
                <c:pt idx="21">
                  <c:v>11529.397933558497</c:v>
                </c:pt>
                <c:pt idx="22">
                  <c:v>11458.969623804725</c:v>
                </c:pt>
                <c:pt idx="23">
                  <c:v>10841.790728868835</c:v>
                </c:pt>
                <c:pt idx="24">
                  <c:v>8533.1022110257618</c:v>
                </c:pt>
                <c:pt idx="25">
                  <c:v>0</c:v>
                </c:pt>
              </c:numCache>
            </c:numRef>
          </c:val>
        </c:ser>
        <c:ser>
          <c:idx val="10"/>
          <c:order val="10"/>
          <c:tx>
            <c:strRef>
              <c:f>'Output tables'!$A$154</c:f>
              <c:strCache>
                <c:ptCount val="1"/>
                <c:pt idx="0">
                  <c:v>solar thermal central reciever</c:v>
                </c:pt>
              </c:strCache>
            </c:strRef>
          </c:tx>
          <c:cat>
            <c:numRef>
              <c:f>'Output tables'!$AP$143:$BO$143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tables'!$AP$154:$BO$154</c:f>
              <c:numCache>
                <c:formatCode>General</c:formatCode>
                <c:ptCount val="26"/>
                <c:pt idx="0">
                  <c:v>0</c:v>
                </c:pt>
                <c:pt idx="1">
                  <c:v>0</c:v>
                </c:pt>
                <c:pt idx="2">
                  <c:v>0</c:v>
                </c:pt>
                <c:pt idx="3">
                  <c:v>0</c:v>
                </c:pt>
                <c:pt idx="4">
                  <c:v>0</c:v>
                </c:pt>
                <c:pt idx="5">
                  <c:v>257.48196312932731</c:v>
                </c:pt>
                <c:pt idx="6">
                  <c:v>782.58911823853123</c:v>
                </c:pt>
                <c:pt idx="7">
                  <c:v>2092.0799628444411</c:v>
                </c:pt>
                <c:pt idx="8">
                  <c:v>5213.1748876096417</c:v>
                </c:pt>
                <c:pt idx="9">
                  <c:v>12538.258189969802</c:v>
                </c:pt>
                <c:pt idx="10">
                  <c:v>21581.070769725793</c:v>
                </c:pt>
                <c:pt idx="11">
                  <c:v>35393.461912975559</c:v>
                </c:pt>
                <c:pt idx="12">
                  <c:v>53706.370614683023</c:v>
                </c:pt>
                <c:pt idx="13">
                  <c:v>72115.900281327966</c:v>
                </c:pt>
                <c:pt idx="14">
                  <c:v>87818.400038748732</c:v>
                </c:pt>
                <c:pt idx="15">
                  <c:v>101129.06169488782</c:v>
                </c:pt>
                <c:pt idx="16">
                  <c:v>107322.53595699415</c:v>
                </c:pt>
                <c:pt idx="17">
                  <c:v>130666.46779929806</c:v>
                </c:pt>
                <c:pt idx="18">
                  <c:v>126759.13286269245</c:v>
                </c:pt>
                <c:pt idx="19">
                  <c:v>123058.43783516881</c:v>
                </c:pt>
                <c:pt idx="20">
                  <c:v>119357.74280764519</c:v>
                </c:pt>
                <c:pt idx="21">
                  <c:v>110863.20177567731</c:v>
                </c:pt>
                <c:pt idx="22">
                  <c:v>102060.48492913807</c:v>
                </c:pt>
                <c:pt idx="23">
                  <c:v>88124.928682126076</c:v>
                </c:pt>
                <c:pt idx="24">
                  <c:v>63920.611876022806</c:v>
                </c:pt>
                <c:pt idx="25">
                  <c:v>0</c:v>
                </c:pt>
              </c:numCache>
            </c:numRef>
          </c:val>
        </c:ser>
        <c:ser>
          <c:idx val="11"/>
          <c:order val="11"/>
          <c:tx>
            <c:strRef>
              <c:f>'Output tables'!$A$155</c:f>
              <c:strCache>
                <c:ptCount val="1"/>
                <c:pt idx="0">
                  <c:v>solar thermal trough</c:v>
                </c:pt>
              </c:strCache>
            </c:strRef>
          </c:tx>
          <c:cat>
            <c:numRef>
              <c:f>'Output tables'!$AP$143:$BO$143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tables'!$AP$155:$BO$155</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2"/>
          <c:order val="12"/>
          <c:tx>
            <c:strRef>
              <c:f>'Output tables'!$A$156</c:f>
              <c:strCache>
                <c:ptCount val="1"/>
                <c:pt idx="0">
                  <c:v>solar PV</c:v>
                </c:pt>
              </c:strCache>
            </c:strRef>
          </c:tx>
          <c:cat>
            <c:numRef>
              <c:f>'Output tables'!$AP$143:$BO$143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tables'!$AP$156:$BO$156</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3"/>
          <c:order val="13"/>
          <c:tx>
            <c:strRef>
              <c:f>'Output tables'!$A$157</c:f>
              <c:strCache>
                <c:ptCount val="1"/>
                <c:pt idx="0">
                  <c:v>combined cycle gas</c:v>
                </c:pt>
              </c:strCache>
            </c:strRef>
          </c:tx>
          <c:cat>
            <c:numRef>
              <c:f>'Output tables'!$AP$143:$BO$143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tables'!$AP$157:$BO$157</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289.79280673885734</c:v>
                </c:pt>
                <c:pt idx="18">
                  <c:v>752.39063444194448</c:v>
                </c:pt>
                <c:pt idx="19">
                  <c:v>1492.0118272273421</c:v>
                </c:pt>
                <c:pt idx="20">
                  <c:v>3813.8025300282393</c:v>
                </c:pt>
                <c:pt idx="21">
                  <c:v>7273.0179364751266</c:v>
                </c:pt>
                <c:pt idx="22">
                  <c:v>7740.9952394415341</c:v>
                </c:pt>
                <c:pt idx="23">
                  <c:v>4049.5565443293913</c:v>
                </c:pt>
                <c:pt idx="24">
                  <c:v>0</c:v>
                </c:pt>
                <c:pt idx="25">
                  <c:v>0</c:v>
                </c:pt>
              </c:numCache>
            </c:numRef>
          </c:val>
        </c:ser>
        <c:ser>
          <c:idx val="14"/>
          <c:order val="14"/>
          <c:tx>
            <c:strRef>
              <c:f>'Output tables'!$A$158</c:f>
              <c:strCache>
                <c:ptCount val="1"/>
                <c:pt idx="0">
                  <c:v>PBMR</c:v>
                </c:pt>
              </c:strCache>
            </c:strRef>
          </c:tx>
          <c:cat>
            <c:numRef>
              <c:f>'Output tables'!$AP$143:$BO$143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tables'!$AP$158:$BO$158</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5"/>
          <c:order val="15"/>
          <c:tx>
            <c:strRef>
              <c:f>'Output tables'!$A$159</c:f>
              <c:strCache>
                <c:ptCount val="1"/>
                <c:pt idx="0">
                  <c:v>IGCC</c:v>
                </c:pt>
              </c:strCache>
            </c:strRef>
          </c:tx>
          <c:cat>
            <c:numRef>
              <c:f>'Output tables'!$AP$143:$BO$143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tables'!$AP$159:$BO$159</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541.98332188943368</c:v>
                </c:pt>
                <c:pt idx="18">
                  <c:v>1138.1649759678107</c:v>
                </c:pt>
                <c:pt idx="19">
                  <c:v>1197.7831413756485</c:v>
                </c:pt>
                <c:pt idx="20">
                  <c:v>1848.7051109648582</c:v>
                </c:pt>
                <c:pt idx="21">
                  <c:v>3594.4875891029128</c:v>
                </c:pt>
                <c:pt idx="22">
                  <c:v>5612.4053129948707</c:v>
                </c:pt>
                <c:pt idx="23">
                  <c:v>7539.4438154557301</c:v>
                </c:pt>
                <c:pt idx="24">
                  <c:v>4274.4224678961855</c:v>
                </c:pt>
                <c:pt idx="25">
                  <c:v>0</c:v>
                </c:pt>
              </c:numCache>
            </c:numRef>
          </c:val>
        </c:ser>
        <c:ser>
          <c:idx val="16"/>
          <c:order val="16"/>
          <c:tx>
            <c:strRef>
              <c:f>'Output tables'!$A$160</c:f>
              <c:strCache>
                <c:ptCount val="1"/>
                <c:pt idx="0">
                  <c:v>-</c:v>
                </c:pt>
              </c:strCache>
            </c:strRef>
          </c:tx>
          <c:cat>
            <c:numRef>
              <c:f>'Output tables'!$AP$143:$BO$143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tables'!$AP$160:$BO$160</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7"/>
          <c:order val="17"/>
          <c:tx>
            <c:strRef>
              <c:f>'Output tables'!$A$161</c:f>
              <c:strCache>
                <c:ptCount val="1"/>
                <c:pt idx="0">
                  <c:v>-</c:v>
                </c:pt>
              </c:strCache>
            </c:strRef>
          </c:tx>
          <c:cat>
            <c:numRef>
              <c:f>'Output tables'!$AP$143:$BO$143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tables'!$AP$161:$BO$161</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8"/>
          <c:order val="18"/>
          <c:tx>
            <c:strRef>
              <c:f>'Output tables'!$A$162</c:f>
              <c:strCache>
                <c:ptCount val="1"/>
                <c:pt idx="0">
                  <c:v>-</c:v>
                </c:pt>
              </c:strCache>
            </c:strRef>
          </c:tx>
          <c:cat>
            <c:numRef>
              <c:f>'Output tables'!$AP$143:$BO$143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tables'!$AP$162:$BO$162</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9"/>
          <c:order val="19"/>
          <c:tx>
            <c:strRef>
              <c:f>'Output tables'!$A$163</c:f>
              <c:strCache>
                <c:ptCount val="1"/>
                <c:pt idx="0">
                  <c:v>Pumped storage</c:v>
                </c:pt>
              </c:strCache>
            </c:strRef>
          </c:tx>
          <c:cat>
            <c:numRef>
              <c:f>'Output tables'!$AP$143:$BO$143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tables'!$AP$163:$BO$163</c:f>
              <c:numCache>
                <c:formatCode>General</c:formatCode>
                <c:ptCount val="26"/>
                <c:pt idx="0">
                  <c:v>1152.7675173263508</c:v>
                </c:pt>
                <c:pt idx="1">
                  <c:v>1816.9811820715338</c:v>
                </c:pt>
                <c:pt idx="2">
                  <c:v>2704.4553312948201</c:v>
                </c:pt>
                <c:pt idx="3">
                  <c:v>3131.7399824278873</c:v>
                </c:pt>
                <c:pt idx="4">
                  <c:v>3601.7530986742613</c:v>
                </c:pt>
                <c:pt idx="5">
                  <c:v>4118.7675265452726</c:v>
                </c:pt>
                <c:pt idx="6">
                  <c:v>4530.6442791997997</c:v>
                </c:pt>
                <c:pt idx="7">
                  <c:v>4983.7087071197802</c:v>
                </c:pt>
                <c:pt idx="8">
                  <c:v>3909.8649865596035</c:v>
                </c:pt>
                <c:pt idx="9">
                  <c:v>2728.6368939434087</c:v>
                </c:pt>
                <c:pt idx="10">
                  <c:v>1429.2859920655951</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20"/>
          <c:order val="20"/>
          <c:tx>
            <c:strRef>
              <c:f>'Output tables'!$A$164</c:f>
              <c:strCache>
                <c:ptCount val="1"/>
                <c:pt idx="0">
                  <c:v>Demand reduction  (PV and SWH)</c:v>
                </c:pt>
              </c:strCache>
            </c:strRef>
          </c:tx>
          <c:spPr>
            <a:ln w="25400">
              <a:noFill/>
            </a:ln>
          </c:spPr>
          <c:cat>
            <c:numRef>
              <c:f>'Output tables'!$AP$143:$BO$143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tables'!$AP$164:$BO$164</c:f>
              <c:numCache>
                <c:formatCode>General</c:formatCode>
                <c:ptCount val="26"/>
                <c:pt idx="0">
                  <c:v>0</c:v>
                </c:pt>
                <c:pt idx="1">
                  <c:v>0</c:v>
                </c:pt>
                <c:pt idx="2">
                  <c:v>0</c:v>
                </c:pt>
                <c:pt idx="3">
                  <c:v>0</c:v>
                </c:pt>
                <c:pt idx="4">
                  <c:v>0</c:v>
                </c:pt>
                <c:pt idx="5">
                  <c:v>3351.7211896980557</c:v>
                </c:pt>
                <c:pt idx="6">
                  <c:v>3228.6179183161726</c:v>
                </c:pt>
                <c:pt idx="7">
                  <c:v>3105.514646934289</c:v>
                </c:pt>
                <c:pt idx="8">
                  <c:v>2982.4113755524058</c:v>
                </c:pt>
                <c:pt idx="9">
                  <c:v>2830.9943517526899</c:v>
                </c:pt>
                <c:pt idx="10">
                  <c:v>2679.5773279529726</c:v>
                </c:pt>
                <c:pt idx="11">
                  <c:v>2596.8026882757945</c:v>
                </c:pt>
                <c:pt idx="12">
                  <c:v>2514.0280485986159</c:v>
                </c:pt>
                <c:pt idx="13">
                  <c:v>2431.2534089214378</c:v>
                </c:pt>
                <c:pt idx="14">
                  <c:v>2363.3782043861515</c:v>
                </c:pt>
                <c:pt idx="15">
                  <c:v>4591.0059997017306</c:v>
                </c:pt>
                <c:pt idx="16">
                  <c:v>4455.2555906311582</c:v>
                </c:pt>
                <c:pt idx="17">
                  <c:v>4371.7690890527565</c:v>
                </c:pt>
                <c:pt idx="18">
                  <c:v>4288.2825874743539</c:v>
                </c:pt>
                <c:pt idx="19">
                  <c:v>4204.7960858959523</c:v>
                </c:pt>
                <c:pt idx="20">
                  <c:v>4121.3095843175506</c:v>
                </c:pt>
                <c:pt idx="21">
                  <c:v>4121.3095843175506</c:v>
                </c:pt>
                <c:pt idx="22">
                  <c:v>4121.3095843175506</c:v>
                </c:pt>
                <c:pt idx="23">
                  <c:v>4121.3095843175506</c:v>
                </c:pt>
                <c:pt idx="24">
                  <c:v>4121.3095843175506</c:v>
                </c:pt>
                <c:pt idx="25">
                  <c:v>4121.3095843175506</c:v>
                </c:pt>
              </c:numCache>
            </c:numRef>
          </c:val>
        </c:ser>
        <c:axId val="113789952"/>
        <c:axId val="113812224"/>
      </c:areaChart>
      <c:catAx>
        <c:axId val="113789952"/>
        <c:scaling>
          <c:orientation val="minMax"/>
        </c:scaling>
        <c:axPos val="b"/>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3812224"/>
        <c:crosses val="autoZero"/>
        <c:auto val="1"/>
        <c:lblAlgn val="ctr"/>
        <c:lblOffset val="100"/>
      </c:catAx>
      <c:valAx>
        <c:axId val="113812224"/>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R million</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3789952"/>
        <c:crosses val="autoZero"/>
        <c:crossBetween val="midCat"/>
      </c:valAx>
    </c:plotArea>
    <c:legend>
      <c:legendPos val="b"/>
      <c:layout>
        <c:manualLayout>
          <c:xMode val="edge"/>
          <c:yMode val="edge"/>
          <c:x val="6.1182058125087306E-2"/>
          <c:y val="0.66230744057756163"/>
          <c:w val="0.46710925840152273"/>
          <c:h val="0.33769255942243881"/>
        </c:manualLayout>
      </c:layout>
      <c:txPr>
        <a:bodyPr/>
        <a:lstStyle/>
        <a:p>
          <a:pPr>
            <a:defRPr lang="en-ZA" sz="845" b="0" i="0" u="none" strike="noStrike" baseline="0">
              <a:solidFill>
                <a:srgbClr val="000000"/>
              </a:solidFill>
              <a:latin typeface="Calibri"/>
              <a:ea typeface="Calibri"/>
              <a:cs typeface="Calibri"/>
            </a:defRPr>
          </a:pPr>
          <a:endParaRPr lang="en-US"/>
        </a:p>
      </c:txPr>
    </c:legend>
    <c:plotVisOnly val="1"/>
    <c:dispBlanksAs val="zero"/>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178" l="0.70000000000000062" r="0.70000000000000062" t="0.75000000000000178" header="0.30000000000000032" footer="0.30000000000000032"/>
    <c:pageSetup/>
  </c:printSettings>
</c:chartSpace>
</file>

<file path=xl/charts/chart123.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0.20484532716992523"/>
          <c:y val="7.173368953880789E-2"/>
          <c:w val="0.7486389574437553"/>
          <c:h val="0.62471011436070678"/>
        </c:manualLayout>
      </c:layout>
      <c:areaChart>
        <c:grouping val="stacked"/>
        <c:ser>
          <c:idx val="0"/>
          <c:order val="0"/>
          <c:tx>
            <c:strRef>
              <c:f>'Output tables'!$A$176</c:f>
              <c:strCache>
                <c:ptCount val="1"/>
                <c:pt idx="0">
                  <c:v>Annualised capital cost</c:v>
                </c:pt>
              </c:strCache>
            </c:strRef>
          </c:tx>
          <c:cat>
            <c:numRef>
              <c:f>'Output tables'!$AP$175:$BO$175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tables'!$AP$176:$BO$176</c:f>
              <c:numCache>
                <c:formatCode>General</c:formatCode>
                <c:ptCount val="26"/>
                <c:pt idx="0">
                  <c:v>0</c:v>
                </c:pt>
                <c:pt idx="1">
                  <c:v>0</c:v>
                </c:pt>
                <c:pt idx="2">
                  <c:v>0</c:v>
                </c:pt>
                <c:pt idx="3">
                  <c:v>0</c:v>
                </c:pt>
                <c:pt idx="4">
                  <c:v>0</c:v>
                </c:pt>
                <c:pt idx="5">
                  <c:v>183.26556628016303</c:v>
                </c:pt>
                <c:pt idx="6">
                  <c:v>540.15114272048049</c:v>
                </c:pt>
                <c:pt idx="7">
                  <c:v>887.39116304078937</c:v>
                </c:pt>
                <c:pt idx="8">
                  <c:v>1564.5092026653915</c:v>
                </c:pt>
                <c:pt idx="9">
                  <c:v>2224.2652412739781</c:v>
                </c:pt>
                <c:pt idx="10">
                  <c:v>3509.0533164591207</c:v>
                </c:pt>
                <c:pt idx="11">
                  <c:v>4759.1173896122327</c:v>
                </c:pt>
                <c:pt idx="12">
                  <c:v>6290.4458792247951</c:v>
                </c:pt>
                <c:pt idx="13">
                  <c:v>7790.5227670085296</c:v>
                </c:pt>
                <c:pt idx="14">
                  <c:v>9993.7606959408895</c:v>
                </c:pt>
                <c:pt idx="15">
                  <c:v>12150.121222130008</c:v>
                </c:pt>
                <c:pt idx="16">
                  <c:v>14962.76538672451</c:v>
                </c:pt>
                <c:pt idx="17">
                  <c:v>14962.76538672451</c:v>
                </c:pt>
                <c:pt idx="18">
                  <c:v>14962.76538672451</c:v>
                </c:pt>
                <c:pt idx="19">
                  <c:v>14962.76538672451</c:v>
                </c:pt>
                <c:pt idx="20">
                  <c:v>14962.76538672451</c:v>
                </c:pt>
                <c:pt idx="21">
                  <c:v>14962.76538672451</c:v>
                </c:pt>
                <c:pt idx="22">
                  <c:v>14962.76538672451</c:v>
                </c:pt>
                <c:pt idx="23">
                  <c:v>14962.76538672451</c:v>
                </c:pt>
                <c:pt idx="24">
                  <c:v>14962.76538672451</c:v>
                </c:pt>
                <c:pt idx="25">
                  <c:v>14779.499820444347</c:v>
                </c:pt>
              </c:numCache>
            </c:numRef>
          </c:val>
        </c:ser>
        <c:ser>
          <c:idx val="1"/>
          <c:order val="1"/>
          <c:tx>
            <c:strRef>
              <c:f>'Output tables'!$A$177</c:f>
              <c:strCache>
                <c:ptCount val="1"/>
                <c:pt idx="0">
                  <c:v>Fixed O&amp;M</c:v>
                </c:pt>
              </c:strCache>
            </c:strRef>
          </c:tx>
          <c:cat>
            <c:numRef>
              <c:f>'Output tables'!$AP$175:$BO$175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tables'!$AP$177:$BO$177</c:f>
              <c:numCache>
                <c:formatCode>General</c:formatCode>
                <c:ptCount val="26"/>
                <c:pt idx="0">
                  <c:v>0</c:v>
                </c:pt>
                <c:pt idx="1">
                  <c:v>0</c:v>
                </c:pt>
                <c:pt idx="2">
                  <c:v>0</c:v>
                </c:pt>
                <c:pt idx="3">
                  <c:v>0</c:v>
                </c:pt>
                <c:pt idx="4">
                  <c:v>0</c:v>
                </c:pt>
                <c:pt idx="5">
                  <c:v>25.275151249001961</c:v>
                </c:pt>
                <c:pt idx="6">
                  <c:v>75.825453747005895</c:v>
                </c:pt>
                <c:pt idx="7">
                  <c:v>126.3757562450098</c:v>
                </c:pt>
                <c:pt idx="8">
                  <c:v>227.47636124101763</c:v>
                </c:pt>
                <c:pt idx="9">
                  <c:v>328.57696623702549</c:v>
                </c:pt>
                <c:pt idx="10">
                  <c:v>530.77817622904115</c:v>
                </c:pt>
                <c:pt idx="11">
                  <c:v>732.97938622105687</c:v>
                </c:pt>
                <c:pt idx="12">
                  <c:v>985.73089871107652</c:v>
                </c:pt>
                <c:pt idx="13">
                  <c:v>1238.4824112010961</c:v>
                </c:pt>
                <c:pt idx="14">
                  <c:v>1617.6096799361255</c:v>
                </c:pt>
                <c:pt idx="15">
                  <c:v>1996.7369486711548</c:v>
                </c:pt>
                <c:pt idx="16">
                  <c:v>2502.2399736511938</c:v>
                </c:pt>
                <c:pt idx="17">
                  <c:v>2502.2399736511938</c:v>
                </c:pt>
                <c:pt idx="18">
                  <c:v>2502.2399736511938</c:v>
                </c:pt>
                <c:pt idx="19">
                  <c:v>2502.2399736511938</c:v>
                </c:pt>
                <c:pt idx="20">
                  <c:v>2502.2399736511938</c:v>
                </c:pt>
                <c:pt idx="21">
                  <c:v>2502.2399736511938</c:v>
                </c:pt>
                <c:pt idx="22">
                  <c:v>2502.2399736511938</c:v>
                </c:pt>
                <c:pt idx="23">
                  <c:v>2502.2399736511938</c:v>
                </c:pt>
                <c:pt idx="24">
                  <c:v>2502.2399736511938</c:v>
                </c:pt>
                <c:pt idx="25">
                  <c:v>2476.9648224021921</c:v>
                </c:pt>
              </c:numCache>
            </c:numRef>
          </c:val>
        </c:ser>
        <c:ser>
          <c:idx val="2"/>
          <c:order val="2"/>
          <c:tx>
            <c:strRef>
              <c:f>'Output tables'!$A$178</c:f>
              <c:strCache>
                <c:ptCount val="1"/>
                <c:pt idx="0">
                  <c:v>Variable O&amp;M</c:v>
                </c:pt>
              </c:strCache>
            </c:strRef>
          </c:tx>
          <c:cat>
            <c:numRef>
              <c:f>'Output tables'!$AP$175:$BO$175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tables'!$AP$178:$BO$178</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3"/>
          <c:order val="3"/>
          <c:tx>
            <c:strRef>
              <c:f>'Output tables'!$A$179</c:f>
              <c:strCache>
                <c:ptCount val="1"/>
                <c:pt idx="0">
                  <c:v>Fuel cost</c:v>
                </c:pt>
              </c:strCache>
            </c:strRef>
          </c:tx>
          <c:cat>
            <c:numRef>
              <c:f>'Output tables'!$AP$175:$BO$175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tables'!$AP$179:$BO$179</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5"/>
          <c:order val="5"/>
          <c:tx>
            <c:strRef>
              <c:f>'Output tables'!$A$180</c:f>
              <c:strCache>
                <c:ptCount val="1"/>
                <c:pt idx="0">
                  <c:v>Carbon tax</c:v>
                </c:pt>
              </c:strCache>
            </c:strRef>
          </c:tx>
          <c:val>
            <c:numRef>
              <c:f>'Output tables'!$AP$180:$BO$180</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axId val="113927680"/>
        <c:axId val="113929216"/>
      </c:areaChart>
      <c:lineChart>
        <c:grouping val="standard"/>
        <c:ser>
          <c:idx val="4"/>
          <c:order val="4"/>
          <c:tx>
            <c:strRef>
              <c:f>'Output tables'!$A$181</c:f>
              <c:strCache>
                <c:ptCount val="1"/>
                <c:pt idx="0">
                  <c:v>Annual investment requirement</c:v>
                </c:pt>
              </c:strCache>
            </c:strRef>
          </c:tx>
          <c:marker>
            <c:symbol val="none"/>
          </c:marker>
          <c:cat>
            <c:numRef>
              <c:f>'Output tables'!$AP$175:$BO$175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tables'!$AP$181:$BO$181</c:f>
              <c:numCache>
                <c:formatCode>General</c:formatCode>
                <c:ptCount val="26"/>
                <c:pt idx="0">
                  <c:v>0</c:v>
                </c:pt>
                <c:pt idx="1">
                  <c:v>0</c:v>
                </c:pt>
                <c:pt idx="2">
                  <c:v>75.703206024444654</c:v>
                </c:pt>
                <c:pt idx="3">
                  <c:v>457.80517748466798</c:v>
                </c:pt>
                <c:pt idx="4">
                  <c:v>1922.0247133753612</c:v>
                </c:pt>
                <c:pt idx="5">
                  <c:v>3154.3135322827429</c:v>
                </c:pt>
                <c:pt idx="6">
                  <c:v>3644.0335876756112</c:v>
                </c:pt>
                <c:pt idx="7">
                  <c:v>5986.2987508304568</c:v>
                </c:pt>
                <c:pt idx="8">
                  <c:v>6919.2889681512988</c:v>
                </c:pt>
                <c:pt idx="9">
                  <c:v>10981.156440530671</c:v>
                </c:pt>
                <c:pt idx="10">
                  <c:v>11222.131698444271</c:v>
                </c:pt>
                <c:pt idx="11">
                  <c:v>13261.686037610511</c:v>
                </c:pt>
                <c:pt idx="12">
                  <c:v>14232.988452186544</c:v>
                </c:pt>
                <c:pt idx="13">
                  <c:v>18929.746838458821</c:v>
                </c:pt>
                <c:pt idx="14">
                  <c:v>18579.063291250448</c:v>
                </c:pt>
                <c:pt idx="15">
                  <c:v>18020.215849371169</c:v>
                </c:pt>
                <c:pt idx="16">
                  <c:v>0</c:v>
                </c:pt>
                <c:pt idx="17">
                  <c:v>0</c:v>
                </c:pt>
                <c:pt idx="18">
                  <c:v>0</c:v>
                </c:pt>
                <c:pt idx="19">
                  <c:v>0</c:v>
                </c:pt>
                <c:pt idx="20">
                  <c:v>0</c:v>
                </c:pt>
                <c:pt idx="21">
                  <c:v>0</c:v>
                </c:pt>
                <c:pt idx="22">
                  <c:v>0</c:v>
                </c:pt>
                <c:pt idx="23">
                  <c:v>109.35011703642387</c:v>
                </c:pt>
                <c:pt idx="24">
                  <c:v>557.00215865428402</c:v>
                </c:pt>
                <c:pt idx="25">
                  <c:v>2357.520179482151</c:v>
                </c:pt>
              </c:numCache>
            </c:numRef>
          </c:val>
        </c:ser>
        <c:marker val="1"/>
        <c:axId val="113927680"/>
        <c:axId val="113929216"/>
      </c:lineChart>
      <c:catAx>
        <c:axId val="113927680"/>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13929216"/>
        <c:crosses val="autoZero"/>
        <c:auto val="1"/>
        <c:lblAlgn val="ctr"/>
        <c:lblOffset val="100"/>
      </c:catAx>
      <c:valAx>
        <c:axId val="113929216"/>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R million</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3927680"/>
        <c:crosses val="autoZero"/>
        <c:crossBetween val="between"/>
      </c:valAx>
    </c:plotArea>
    <c:legend>
      <c:legendPos val="b"/>
      <c:txPr>
        <a:bodyPr/>
        <a:lstStyle/>
        <a:p>
          <a:pPr>
            <a:defRPr lang="en-ZA" sz="845" b="0" i="0" u="none" strike="noStrike" baseline="0">
              <a:solidFill>
                <a:srgbClr val="000000"/>
              </a:solidFill>
              <a:latin typeface="Calibri"/>
              <a:ea typeface="Calibri"/>
              <a:cs typeface="Calibri"/>
            </a:defRPr>
          </a:pPr>
          <a:endParaRPr lang="en-US"/>
        </a:p>
      </c:txPr>
    </c:legend>
    <c:plotVisOnly val="1"/>
    <c:dispBlanksAs val="zero"/>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178" l="0.70000000000000062" r="0.70000000000000062" t="0.75000000000000178" header="0.30000000000000032" footer="0.30000000000000032"/>
    <c:pageSetup/>
  </c:printSettings>
</c:chartSpace>
</file>

<file path=xl/charts/chart124.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0.20484532716992529"/>
          <c:y val="7.1733689538807904E-2"/>
          <c:w val="0.74863895744375575"/>
          <c:h val="0.624710114360707"/>
        </c:manualLayout>
      </c:layout>
      <c:areaChart>
        <c:grouping val="stacked"/>
        <c:ser>
          <c:idx val="0"/>
          <c:order val="0"/>
          <c:tx>
            <c:strRef>
              <c:f>'Output tables'!$A$185</c:f>
              <c:strCache>
                <c:ptCount val="1"/>
                <c:pt idx="0">
                  <c:v>Annualised capital cost</c:v>
                </c:pt>
              </c:strCache>
            </c:strRef>
          </c:tx>
          <c:cat>
            <c:numRef>
              <c:f>'Output tables'!$AP$175:$BO$175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tables'!$AP$185:$BO$185</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
          <c:order val="1"/>
          <c:tx>
            <c:strRef>
              <c:f>'Output tables'!$A$186</c:f>
              <c:strCache>
                <c:ptCount val="1"/>
                <c:pt idx="0">
                  <c:v>Fixed O&amp;M</c:v>
                </c:pt>
              </c:strCache>
            </c:strRef>
          </c:tx>
          <c:cat>
            <c:numRef>
              <c:f>'Output tables'!$AP$175:$BO$175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tables'!$AP$186:$BO$186</c:f>
              <c:numCache>
                <c:formatCode>General</c:formatCode>
                <c:ptCount val="26"/>
                <c:pt idx="0">
                  <c:v>1493.6648015951273</c:v>
                </c:pt>
                <c:pt idx="1">
                  <c:v>1493.6648015951273</c:v>
                </c:pt>
                <c:pt idx="2">
                  <c:v>1493.6648015951273</c:v>
                </c:pt>
                <c:pt idx="3">
                  <c:v>1493.6648015951273</c:v>
                </c:pt>
                <c:pt idx="4">
                  <c:v>1493.6648015951273</c:v>
                </c:pt>
                <c:pt idx="5">
                  <c:v>1681.3883251159868</c:v>
                </c:pt>
                <c:pt idx="6">
                  <c:v>1792.4283009614148</c:v>
                </c:pt>
                <c:pt idx="7">
                  <c:v>1792.4283009614148</c:v>
                </c:pt>
                <c:pt idx="8">
                  <c:v>1792.4283009614148</c:v>
                </c:pt>
                <c:pt idx="9">
                  <c:v>1792.4283009614148</c:v>
                </c:pt>
                <c:pt idx="10">
                  <c:v>1792.4283009614148</c:v>
                </c:pt>
                <c:pt idx="11">
                  <c:v>1782.121372510416</c:v>
                </c:pt>
                <c:pt idx="12">
                  <c:v>1771.8144440594174</c:v>
                </c:pt>
                <c:pt idx="13">
                  <c:v>1758.0718727914189</c:v>
                </c:pt>
                <c:pt idx="14">
                  <c:v>1744.3293015234203</c:v>
                </c:pt>
                <c:pt idx="15">
                  <c:v>1483.2204474314485</c:v>
                </c:pt>
                <c:pt idx="16">
                  <c:v>1222.1115933394767</c:v>
                </c:pt>
                <c:pt idx="17">
                  <c:v>1222.1115933394767</c:v>
                </c:pt>
                <c:pt idx="18">
                  <c:v>1222.1115933394767</c:v>
                </c:pt>
                <c:pt idx="19">
                  <c:v>1222.1115933394767</c:v>
                </c:pt>
                <c:pt idx="20">
                  <c:v>1101.8030166499655</c:v>
                </c:pt>
                <c:pt idx="21">
                  <c:v>981.49443996045386</c:v>
                </c:pt>
                <c:pt idx="22">
                  <c:v>981.49443996045386</c:v>
                </c:pt>
                <c:pt idx="23">
                  <c:v>981.49443996045386</c:v>
                </c:pt>
                <c:pt idx="24">
                  <c:v>981.49443996045386</c:v>
                </c:pt>
                <c:pt idx="25">
                  <c:v>981.49443996045386</c:v>
                </c:pt>
              </c:numCache>
            </c:numRef>
          </c:val>
        </c:ser>
        <c:ser>
          <c:idx val="2"/>
          <c:order val="2"/>
          <c:tx>
            <c:strRef>
              <c:f>'Output tables'!$A$187</c:f>
              <c:strCache>
                <c:ptCount val="1"/>
                <c:pt idx="0">
                  <c:v>Variable O&amp;M</c:v>
                </c:pt>
              </c:strCache>
            </c:strRef>
          </c:tx>
          <c:cat>
            <c:numRef>
              <c:f>'Output tables'!$AP$175:$BO$175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tables'!$AP$187:$BO$187</c:f>
              <c:numCache>
                <c:formatCode>General</c:formatCode>
                <c:ptCount val="26"/>
                <c:pt idx="0">
                  <c:v>111.0511073795959</c:v>
                </c:pt>
                <c:pt idx="1">
                  <c:v>111.0511073795959</c:v>
                </c:pt>
                <c:pt idx="2">
                  <c:v>111.0511073795959</c:v>
                </c:pt>
                <c:pt idx="3">
                  <c:v>111.0511073795959</c:v>
                </c:pt>
                <c:pt idx="4">
                  <c:v>111.0511073795959</c:v>
                </c:pt>
                <c:pt idx="5">
                  <c:v>125.00799057449215</c:v>
                </c:pt>
                <c:pt idx="6">
                  <c:v>133.26359937498717</c:v>
                </c:pt>
                <c:pt idx="7">
                  <c:v>133.26359937498717</c:v>
                </c:pt>
                <c:pt idx="8">
                  <c:v>133.26359937498717</c:v>
                </c:pt>
                <c:pt idx="9">
                  <c:v>133.26359937498717</c:v>
                </c:pt>
                <c:pt idx="10">
                  <c:v>133.26359937498717</c:v>
                </c:pt>
                <c:pt idx="11">
                  <c:v>132.49729905315905</c:v>
                </c:pt>
                <c:pt idx="12">
                  <c:v>131.73099873133091</c:v>
                </c:pt>
                <c:pt idx="13">
                  <c:v>130.70926496889342</c:v>
                </c:pt>
                <c:pt idx="14">
                  <c:v>129.68753120645593</c:v>
                </c:pt>
                <c:pt idx="15">
                  <c:v>110.27458972014341</c:v>
                </c:pt>
                <c:pt idx="16">
                  <c:v>90.861648233830905</c:v>
                </c:pt>
                <c:pt idx="17">
                  <c:v>90.861648233830905</c:v>
                </c:pt>
                <c:pt idx="18">
                  <c:v>90.861648233830905</c:v>
                </c:pt>
                <c:pt idx="19">
                  <c:v>90.861648233830905</c:v>
                </c:pt>
                <c:pt idx="20">
                  <c:v>81.916936773558604</c:v>
                </c:pt>
                <c:pt idx="21">
                  <c:v>72.972225313286316</c:v>
                </c:pt>
                <c:pt idx="22">
                  <c:v>72.972225313286316</c:v>
                </c:pt>
                <c:pt idx="23">
                  <c:v>72.972225313286316</c:v>
                </c:pt>
                <c:pt idx="24">
                  <c:v>72.972225313286316</c:v>
                </c:pt>
                <c:pt idx="25">
                  <c:v>72.972225313286316</c:v>
                </c:pt>
              </c:numCache>
            </c:numRef>
          </c:val>
        </c:ser>
        <c:ser>
          <c:idx val="3"/>
          <c:order val="3"/>
          <c:tx>
            <c:strRef>
              <c:f>'Output tables'!$A$188</c:f>
              <c:strCache>
                <c:ptCount val="1"/>
                <c:pt idx="0">
                  <c:v>Fuel cost</c:v>
                </c:pt>
              </c:strCache>
            </c:strRef>
          </c:tx>
          <c:cat>
            <c:numRef>
              <c:f>'Output tables'!$AP$175:$BO$175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tables'!$AP$188:$BO$188</c:f>
              <c:numCache>
                <c:formatCode>General</c:formatCode>
                <c:ptCount val="26"/>
                <c:pt idx="0">
                  <c:v>741.9842757023797</c:v>
                </c:pt>
                <c:pt idx="1">
                  <c:v>851.8270806323203</c:v>
                </c:pt>
                <c:pt idx="2">
                  <c:v>961.6698855622609</c:v>
                </c:pt>
                <c:pt idx="3">
                  <c:v>1076.250263923074</c:v>
                </c:pt>
                <c:pt idx="4">
                  <c:v>1076.250263923074</c:v>
                </c:pt>
                <c:pt idx="5">
                  <c:v>1218.4361360426481</c:v>
                </c:pt>
                <c:pt idx="6">
                  <c:v>1306.2825765174923</c:v>
                </c:pt>
                <c:pt idx="7">
                  <c:v>1313.6627040684386</c:v>
                </c:pt>
                <c:pt idx="8">
                  <c:v>1321.0428316193847</c:v>
                </c:pt>
                <c:pt idx="9">
                  <c:v>1328.4229591703313</c:v>
                </c:pt>
                <c:pt idx="10">
                  <c:v>1335.8030867212774</c:v>
                </c:pt>
                <c:pt idx="11">
                  <c:v>1335.4595617954913</c:v>
                </c:pt>
                <c:pt idx="12">
                  <c:v>1335.0311615677624</c:v>
                </c:pt>
                <c:pt idx="13">
                  <c:v>1331.9150434452004</c:v>
                </c:pt>
                <c:pt idx="14">
                  <c:v>1328.6857582533819</c:v>
                </c:pt>
                <c:pt idx="15">
                  <c:v>1135.9016320574995</c:v>
                </c:pt>
                <c:pt idx="16">
                  <c:v>940.96733154574986</c:v>
                </c:pt>
                <c:pt idx="17">
                  <c:v>945.99924240963105</c:v>
                </c:pt>
                <c:pt idx="18">
                  <c:v>951.0311532735119</c:v>
                </c:pt>
                <c:pt idx="19">
                  <c:v>956.06306413739298</c:v>
                </c:pt>
                <c:pt idx="20">
                  <c:v>866.48170962025745</c:v>
                </c:pt>
                <c:pt idx="21">
                  <c:v>775.9096402823784</c:v>
                </c:pt>
                <c:pt idx="22">
                  <c:v>779.95083632551564</c:v>
                </c:pt>
                <c:pt idx="23">
                  <c:v>783.99203236865299</c:v>
                </c:pt>
                <c:pt idx="24">
                  <c:v>788.03322841179056</c:v>
                </c:pt>
                <c:pt idx="25">
                  <c:v>792.07442445492791</c:v>
                </c:pt>
              </c:numCache>
            </c:numRef>
          </c:val>
        </c:ser>
        <c:ser>
          <c:idx val="5"/>
          <c:order val="5"/>
          <c:tx>
            <c:strRef>
              <c:f>'Output tables'!$A$189</c:f>
              <c:strCache>
                <c:ptCount val="1"/>
                <c:pt idx="0">
                  <c:v>Carbon tax</c:v>
                </c:pt>
              </c:strCache>
            </c:strRef>
          </c:tx>
          <c:val>
            <c:numRef>
              <c:f>'Output tables'!$AP$189:$BO$189</c:f>
              <c:numCache>
                <c:formatCode>General</c:formatCode>
                <c:ptCount val="26"/>
                <c:pt idx="0">
                  <c:v>0</c:v>
                </c:pt>
                <c:pt idx="1">
                  <c:v>0</c:v>
                </c:pt>
                <c:pt idx="2">
                  <c:v>0</c:v>
                </c:pt>
                <c:pt idx="3">
                  <c:v>0</c:v>
                </c:pt>
                <c:pt idx="4">
                  <c:v>0</c:v>
                </c:pt>
                <c:pt idx="5">
                  <c:v>0</c:v>
                </c:pt>
                <c:pt idx="6">
                  <c:v>0</c:v>
                </c:pt>
                <c:pt idx="7">
                  <c:v>1691.7433458531966</c:v>
                </c:pt>
                <c:pt idx="8">
                  <c:v>1691.7433458531966</c:v>
                </c:pt>
                <c:pt idx="9">
                  <c:v>1691.7433458531966</c:v>
                </c:pt>
                <c:pt idx="10">
                  <c:v>1691.7433458531966</c:v>
                </c:pt>
                <c:pt idx="11">
                  <c:v>5046.0461461640862</c:v>
                </c:pt>
                <c:pt idx="12">
                  <c:v>5016.8622547685818</c:v>
                </c:pt>
                <c:pt idx="13">
                  <c:v>4977.9503995745754</c:v>
                </c:pt>
                <c:pt idx="14">
                  <c:v>4939.038544380569</c:v>
                </c:pt>
                <c:pt idx="15">
                  <c:v>6999.5221594907471</c:v>
                </c:pt>
                <c:pt idx="16">
                  <c:v>5767.313411680545</c:v>
                </c:pt>
                <c:pt idx="17">
                  <c:v>5767.313411680545</c:v>
                </c:pt>
                <c:pt idx="18">
                  <c:v>5767.313411680545</c:v>
                </c:pt>
                <c:pt idx="19">
                  <c:v>5767.313411680545</c:v>
                </c:pt>
                <c:pt idx="20">
                  <c:v>5199.5606208035515</c:v>
                </c:pt>
                <c:pt idx="21">
                  <c:v>4631.807829926559</c:v>
                </c:pt>
                <c:pt idx="22">
                  <c:v>4631.807829926559</c:v>
                </c:pt>
                <c:pt idx="23">
                  <c:v>4631.807829926559</c:v>
                </c:pt>
                <c:pt idx="24">
                  <c:v>4631.807829926559</c:v>
                </c:pt>
                <c:pt idx="25">
                  <c:v>4631.807829926559</c:v>
                </c:pt>
              </c:numCache>
            </c:numRef>
          </c:val>
        </c:ser>
        <c:axId val="113958272"/>
        <c:axId val="113980544"/>
      </c:areaChart>
      <c:lineChart>
        <c:grouping val="standard"/>
        <c:ser>
          <c:idx val="4"/>
          <c:order val="4"/>
          <c:tx>
            <c:strRef>
              <c:f>'Output tables'!$A$190</c:f>
              <c:strCache>
                <c:ptCount val="1"/>
                <c:pt idx="0">
                  <c:v>Annual investment requirement</c:v>
                </c:pt>
              </c:strCache>
            </c:strRef>
          </c:tx>
          <c:marker>
            <c:symbol val="none"/>
          </c:marker>
          <c:cat>
            <c:numRef>
              <c:f>'Output tables'!$AP$175:$BO$175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tables'!$AP$190:$BO$190</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marker val="1"/>
        <c:axId val="113958272"/>
        <c:axId val="113980544"/>
      </c:lineChart>
      <c:catAx>
        <c:axId val="113958272"/>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13980544"/>
        <c:crosses val="autoZero"/>
        <c:auto val="1"/>
        <c:lblAlgn val="ctr"/>
        <c:lblOffset val="100"/>
      </c:catAx>
      <c:valAx>
        <c:axId val="113980544"/>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R million</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3958272"/>
        <c:crosses val="autoZero"/>
        <c:crossBetween val="between"/>
      </c:valAx>
    </c:plotArea>
    <c:legend>
      <c:legendPos val="b"/>
      <c:layout>
        <c:manualLayout>
          <c:xMode val="edge"/>
          <c:yMode val="edge"/>
          <c:x val="1.9568315631307781E-3"/>
          <c:y val="0.82465894851029664"/>
          <c:w val="0.87839579020681446"/>
          <c:h val="0.14915193795549914"/>
        </c:manualLayout>
      </c:layout>
      <c:txPr>
        <a:bodyPr/>
        <a:lstStyle/>
        <a:p>
          <a:pPr>
            <a:defRPr lang="en-ZA" sz="845" b="0" i="0" u="none" strike="noStrike" baseline="0">
              <a:solidFill>
                <a:srgbClr val="000000"/>
              </a:solidFill>
              <a:latin typeface="Calibri"/>
              <a:ea typeface="Calibri"/>
              <a:cs typeface="Calibri"/>
            </a:defRPr>
          </a:pPr>
          <a:endParaRPr lang="en-US"/>
        </a:p>
      </c:txPr>
    </c:legend>
    <c:plotVisOnly val="1"/>
    <c:dispBlanksAs val="zero"/>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2" l="0.70000000000000062" r="0.70000000000000062" t="0.750000000000002" header="0.30000000000000032" footer="0.30000000000000032"/>
    <c:pageSetup/>
  </c:printSettings>
</c:chartSpace>
</file>

<file path=xl/charts/chart125.xml><?xml version="1.0" encoding="utf-8"?>
<c:chartSpace xmlns:c="http://schemas.openxmlformats.org/drawingml/2006/chart" xmlns:a="http://schemas.openxmlformats.org/drawingml/2006/main" xmlns:r="http://schemas.openxmlformats.org/officeDocument/2006/relationships">
  <c:lang val="en-ZA"/>
  <c:chart>
    <c:plotArea>
      <c:layout/>
      <c:barChart>
        <c:barDir val="col"/>
        <c:grouping val="clustered"/>
        <c:ser>
          <c:idx val="0"/>
          <c:order val="0"/>
          <c:tx>
            <c:strRef>
              <c:f>'Output tables'!$BW$66</c:f>
              <c:strCache>
                <c:ptCount val="1"/>
                <c:pt idx="0">
                  <c:v>Supercritical coal capacity reference</c:v>
                </c:pt>
              </c:strCache>
            </c:strRef>
          </c:tx>
          <c:spPr>
            <a:solidFill>
              <a:schemeClr val="accent3">
                <a:lumMod val="60000"/>
                <a:lumOff val="40000"/>
              </a:schemeClr>
            </a:solidFill>
          </c:spPr>
          <c:cat>
            <c:numRef>
              <c:f>'Output tables'!$BX$65:$CW$65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tables'!$BX$66:$CW$66</c:f>
              <c:numCache>
                <c:formatCode>General</c:formatCode>
                <c:ptCount val="26"/>
                <c:pt idx="0">
                  <c:v>0</c:v>
                </c:pt>
                <c:pt idx="1">
                  <c:v>0</c:v>
                </c:pt>
                <c:pt idx="2">
                  <c:v>0</c:v>
                </c:pt>
                <c:pt idx="3">
                  <c:v>0</c:v>
                </c:pt>
                <c:pt idx="4">
                  <c:v>0</c:v>
                </c:pt>
                <c:pt idx="5">
                  <c:v>0</c:v>
                </c:pt>
                <c:pt idx="6">
                  <c:v>0</c:v>
                </c:pt>
                <c:pt idx="7">
                  <c:v>0.79400000000000004</c:v>
                </c:pt>
                <c:pt idx="8">
                  <c:v>2.3820000000000001</c:v>
                </c:pt>
                <c:pt idx="9">
                  <c:v>4.7640000000000002</c:v>
                </c:pt>
                <c:pt idx="10">
                  <c:v>7.1460000000000008</c:v>
                </c:pt>
                <c:pt idx="11">
                  <c:v>8.7340000000000018</c:v>
                </c:pt>
                <c:pt idx="12">
                  <c:v>10.322000000000003</c:v>
                </c:pt>
                <c:pt idx="13">
                  <c:v>12.704000000000002</c:v>
                </c:pt>
                <c:pt idx="14">
                  <c:v>15.086000000000002</c:v>
                </c:pt>
                <c:pt idx="15">
                  <c:v>17.468000000000004</c:v>
                </c:pt>
                <c:pt idx="16">
                  <c:v>20.644000000000005</c:v>
                </c:pt>
                <c:pt idx="17">
                  <c:v>23.820000000000007</c:v>
                </c:pt>
                <c:pt idx="18">
                  <c:v>26.202000000000009</c:v>
                </c:pt>
                <c:pt idx="19">
                  <c:v>29.378000000000007</c:v>
                </c:pt>
                <c:pt idx="20">
                  <c:v>32.554000000000009</c:v>
                </c:pt>
                <c:pt idx="21">
                  <c:v>36.524000000000008</c:v>
                </c:pt>
                <c:pt idx="22">
                  <c:v>40.494000000000007</c:v>
                </c:pt>
                <c:pt idx="23">
                  <c:v>44.464000000000006</c:v>
                </c:pt>
                <c:pt idx="24">
                  <c:v>49.228000000000009</c:v>
                </c:pt>
                <c:pt idx="25">
                  <c:v>53.992000000000012</c:v>
                </c:pt>
              </c:numCache>
            </c:numRef>
          </c:val>
        </c:ser>
        <c:ser>
          <c:idx val="1"/>
          <c:order val="1"/>
          <c:tx>
            <c:strRef>
              <c:f>'Output tables'!$BW$67</c:f>
              <c:strCache>
                <c:ptCount val="1"/>
                <c:pt idx="0">
                  <c:v>Supercritical coal capacity scenario</c:v>
                </c:pt>
              </c:strCache>
            </c:strRef>
          </c:tx>
          <c:cat>
            <c:numRef>
              <c:f>'Output tables'!$BX$65:$CW$65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tables'!$BX$67:$CW$67</c:f>
              <c:numCache>
                <c:formatCode>General</c:formatCode>
                <c:ptCount val="26"/>
                <c:pt idx="0">
                  <c:v>0</c:v>
                </c:pt>
                <c:pt idx="1">
                  <c:v>0</c:v>
                </c:pt>
                <c:pt idx="2">
                  <c:v>0</c:v>
                </c:pt>
                <c:pt idx="3">
                  <c:v>0</c:v>
                </c:pt>
                <c:pt idx="4">
                  <c:v>0</c:v>
                </c:pt>
                <c:pt idx="5">
                  <c:v>0</c:v>
                </c:pt>
                <c:pt idx="6">
                  <c:v>0</c:v>
                </c:pt>
                <c:pt idx="7">
                  <c:v>0.79400000000000004</c:v>
                </c:pt>
                <c:pt idx="8">
                  <c:v>2.3820000000000001</c:v>
                </c:pt>
                <c:pt idx="9">
                  <c:v>4.7640000000000002</c:v>
                </c:pt>
                <c:pt idx="10">
                  <c:v>7.1460000000000008</c:v>
                </c:pt>
                <c:pt idx="11">
                  <c:v>8.7340000000000018</c:v>
                </c:pt>
                <c:pt idx="12">
                  <c:v>9.5280000000000022</c:v>
                </c:pt>
                <c:pt idx="13">
                  <c:v>9.5280000000000022</c:v>
                </c:pt>
                <c:pt idx="14">
                  <c:v>9.5280000000000022</c:v>
                </c:pt>
                <c:pt idx="15">
                  <c:v>9.5280000000000022</c:v>
                </c:pt>
                <c:pt idx="16">
                  <c:v>9.5280000000000022</c:v>
                </c:pt>
                <c:pt idx="17">
                  <c:v>9.5280000000000022</c:v>
                </c:pt>
                <c:pt idx="18">
                  <c:v>9.5280000000000022</c:v>
                </c:pt>
                <c:pt idx="19">
                  <c:v>9.5280000000000022</c:v>
                </c:pt>
                <c:pt idx="20">
                  <c:v>9.5280000000000022</c:v>
                </c:pt>
                <c:pt idx="21">
                  <c:v>9.5280000000000022</c:v>
                </c:pt>
                <c:pt idx="22">
                  <c:v>9.5280000000000022</c:v>
                </c:pt>
                <c:pt idx="23">
                  <c:v>9.5280000000000022</c:v>
                </c:pt>
                <c:pt idx="24">
                  <c:v>9.5280000000000022</c:v>
                </c:pt>
                <c:pt idx="25">
                  <c:v>9.5280000000000022</c:v>
                </c:pt>
              </c:numCache>
            </c:numRef>
          </c:val>
        </c:ser>
        <c:axId val="114033024"/>
        <c:axId val="114034560"/>
      </c:barChart>
      <c:lineChart>
        <c:grouping val="standard"/>
        <c:ser>
          <c:idx val="2"/>
          <c:order val="2"/>
          <c:tx>
            <c:strRef>
              <c:f>'Output tables'!$BW$68</c:f>
              <c:strCache>
                <c:ptCount val="1"/>
                <c:pt idx="0">
                  <c:v>Supercritical coal output reference</c:v>
                </c:pt>
              </c:strCache>
            </c:strRef>
          </c:tx>
          <c:marker>
            <c:symbol val="none"/>
          </c:marker>
          <c:cat>
            <c:numRef>
              <c:f>'Output tables'!$BX$65:$CW$65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tables'!$BX$68:$CW$68</c:f>
              <c:numCache>
                <c:formatCode>General</c:formatCode>
                <c:ptCount val="26"/>
                <c:pt idx="0">
                  <c:v>0</c:v>
                </c:pt>
                <c:pt idx="1">
                  <c:v>0</c:v>
                </c:pt>
                <c:pt idx="2">
                  <c:v>0</c:v>
                </c:pt>
                <c:pt idx="3">
                  <c:v>0</c:v>
                </c:pt>
                <c:pt idx="4">
                  <c:v>0</c:v>
                </c:pt>
                <c:pt idx="5">
                  <c:v>0</c:v>
                </c:pt>
                <c:pt idx="6">
                  <c:v>0</c:v>
                </c:pt>
                <c:pt idx="7">
                  <c:v>1693.7365830000003</c:v>
                </c:pt>
                <c:pt idx="8">
                  <c:v>5081.2097490000015</c:v>
                </c:pt>
                <c:pt idx="9">
                  <c:v>13787.838002241275</c:v>
                </c:pt>
                <c:pt idx="10">
                  <c:v>22109.866176129231</c:v>
                </c:pt>
                <c:pt idx="11">
                  <c:v>30973.848045042821</c:v>
                </c:pt>
                <c:pt idx="12">
                  <c:v>39693.39423489997</c:v>
                </c:pt>
                <c:pt idx="13">
                  <c:v>48912.77667558215</c:v>
                </c:pt>
                <c:pt idx="14">
                  <c:v>58560.11668383942</c:v>
                </c:pt>
                <c:pt idx="15">
                  <c:v>70157.919939841871</c:v>
                </c:pt>
                <c:pt idx="16">
                  <c:v>82258.573337745125</c:v>
                </c:pt>
                <c:pt idx="17">
                  <c:v>92501.989315475454</c:v>
                </c:pt>
                <c:pt idx="18">
                  <c:v>103258.67878333401</c:v>
                </c:pt>
                <c:pt idx="19">
                  <c:v>123284.62132491726</c:v>
                </c:pt>
                <c:pt idx="20">
                  <c:v>144735.49546189455</c:v>
                </c:pt>
                <c:pt idx="21">
                  <c:v>169111.17186129716</c:v>
                </c:pt>
                <c:pt idx="22">
                  <c:v>193300.59446743844</c:v>
                </c:pt>
                <c:pt idx="23">
                  <c:v>220195.14662336902</c:v>
                </c:pt>
                <c:pt idx="24">
                  <c:v>260340.97143911308</c:v>
                </c:pt>
                <c:pt idx="25">
                  <c:v>284022.13653434324</c:v>
                </c:pt>
              </c:numCache>
            </c:numRef>
          </c:val>
        </c:ser>
        <c:ser>
          <c:idx val="3"/>
          <c:order val="3"/>
          <c:tx>
            <c:strRef>
              <c:f>'Output tables'!$BW$69</c:f>
              <c:strCache>
                <c:ptCount val="1"/>
                <c:pt idx="0">
                  <c:v>Supercritical coal output scenario</c:v>
                </c:pt>
              </c:strCache>
            </c:strRef>
          </c:tx>
          <c:spPr>
            <a:ln>
              <a:solidFill>
                <a:schemeClr val="accent2">
                  <a:lumMod val="75000"/>
                </a:schemeClr>
              </a:solidFill>
            </a:ln>
          </c:spPr>
          <c:marker>
            <c:symbol val="none"/>
          </c:marker>
          <c:cat>
            <c:numRef>
              <c:f>'Output tables'!$BX$65:$CW$65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tables'!$BX$69:$CW$69</c:f>
              <c:numCache>
                <c:formatCode>General</c:formatCode>
                <c:ptCount val="26"/>
                <c:pt idx="0">
                  <c:v>0</c:v>
                </c:pt>
                <c:pt idx="1">
                  <c:v>0</c:v>
                </c:pt>
                <c:pt idx="2">
                  <c:v>0</c:v>
                </c:pt>
                <c:pt idx="3">
                  <c:v>0</c:v>
                </c:pt>
                <c:pt idx="4">
                  <c:v>0</c:v>
                </c:pt>
                <c:pt idx="5">
                  <c:v>0</c:v>
                </c:pt>
                <c:pt idx="6">
                  <c:v>0</c:v>
                </c:pt>
                <c:pt idx="7">
                  <c:v>1693.7365830000003</c:v>
                </c:pt>
                <c:pt idx="8">
                  <c:v>5081.2097490000015</c:v>
                </c:pt>
                <c:pt idx="9">
                  <c:v>10634.23800224124</c:v>
                </c:pt>
                <c:pt idx="10">
                  <c:v>16810.994815755548</c:v>
                </c:pt>
                <c:pt idx="11">
                  <c:v>23004.105324295513</c:v>
                </c:pt>
                <c:pt idx="12">
                  <c:v>26993.251514152627</c:v>
                </c:pt>
                <c:pt idx="13">
                  <c:v>29379.83395483479</c:v>
                </c:pt>
                <c:pt idx="14">
                  <c:v>28777.973963092143</c:v>
                </c:pt>
                <c:pt idx="15">
                  <c:v>28024.177219094479</c:v>
                </c:pt>
                <c:pt idx="16">
                  <c:v>24356.830616997791</c:v>
                </c:pt>
                <c:pt idx="17">
                  <c:v>21898.246594728091</c:v>
                </c:pt>
                <c:pt idx="18">
                  <c:v>20324.83899600001</c:v>
                </c:pt>
                <c:pt idx="19">
                  <c:v>20324.83899600001</c:v>
                </c:pt>
                <c:pt idx="20">
                  <c:v>20453.283972315145</c:v>
                </c:pt>
                <c:pt idx="21">
                  <c:v>26870.960371717756</c:v>
                </c:pt>
                <c:pt idx="22">
                  <c:v>29502.873213153161</c:v>
                </c:pt>
                <c:pt idx="23">
                  <c:v>33040.160722025088</c:v>
                </c:pt>
                <c:pt idx="24">
                  <c:v>45633.727661654295</c:v>
                </c:pt>
                <c:pt idx="25">
                  <c:v>46966.368296660425</c:v>
                </c:pt>
              </c:numCache>
            </c:numRef>
          </c:val>
        </c:ser>
        <c:marker val="1"/>
        <c:axId val="114053120"/>
        <c:axId val="114054656"/>
      </c:lineChart>
      <c:catAx>
        <c:axId val="114033024"/>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14034560"/>
        <c:crosses val="autoZero"/>
        <c:auto val="1"/>
        <c:lblAlgn val="ctr"/>
        <c:lblOffset val="100"/>
      </c:catAx>
      <c:valAx>
        <c:axId val="114034560"/>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GW</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4033024"/>
        <c:crosses val="autoZero"/>
        <c:crossBetween val="between"/>
      </c:valAx>
      <c:catAx>
        <c:axId val="114053120"/>
        <c:scaling>
          <c:orientation val="minMax"/>
        </c:scaling>
        <c:delete val="1"/>
        <c:axPos val="b"/>
        <c:numFmt formatCode="General" sourceLinked="1"/>
        <c:tickLblPos val="none"/>
        <c:crossAx val="114054656"/>
        <c:crosses val="autoZero"/>
        <c:auto val="1"/>
        <c:lblAlgn val="ctr"/>
        <c:lblOffset val="100"/>
      </c:catAx>
      <c:valAx>
        <c:axId val="114054656"/>
        <c:scaling>
          <c:orientation val="minMax"/>
        </c:scaling>
        <c:axPos val="r"/>
        <c:title>
          <c:tx>
            <c:rich>
              <a:bodyPr/>
              <a:lstStyle/>
              <a:p>
                <a:pPr>
                  <a:defRPr lang="en-ZA" sz="1000" b="1" i="0" u="none" strike="noStrike" baseline="0">
                    <a:solidFill>
                      <a:srgbClr val="000000"/>
                    </a:solidFill>
                    <a:latin typeface="Calibri"/>
                    <a:ea typeface="Calibri"/>
                    <a:cs typeface="Calibri"/>
                  </a:defRPr>
                </a:pPr>
                <a:r>
                  <a:rPr lang="en-ZA"/>
                  <a:t>GWh</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4053120"/>
        <c:crosses val="max"/>
        <c:crossBetween val="between"/>
      </c:valAx>
    </c:plotArea>
    <c:legend>
      <c:legendPos val="b"/>
      <c:txPr>
        <a:bodyPr/>
        <a:lstStyle/>
        <a:p>
          <a:pPr>
            <a:defRPr lang="en-ZA" sz="845" b="0" i="0" u="none" strike="noStrike" baseline="0">
              <a:solidFill>
                <a:srgbClr val="000000"/>
              </a:solidFill>
              <a:latin typeface="Calibri"/>
              <a:ea typeface="Calibri"/>
              <a:cs typeface="Calibri"/>
            </a:defRPr>
          </a:pPr>
          <a:endParaRPr lang="en-US"/>
        </a:p>
      </c:txPr>
    </c:legend>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2" l="0.70000000000000062" r="0.70000000000000062" t="0.750000000000002" header="0.30000000000000032" footer="0.30000000000000032"/>
    <c:pageSetup/>
  </c:printSettings>
</c:chartSpace>
</file>

<file path=xl/charts/chart126.xml><?xml version="1.0" encoding="utf-8"?>
<c:chartSpace xmlns:c="http://schemas.openxmlformats.org/drawingml/2006/chart" xmlns:a="http://schemas.openxmlformats.org/drawingml/2006/main" xmlns:r="http://schemas.openxmlformats.org/officeDocument/2006/relationships">
  <c:lang val="en-ZA"/>
  <c:chart>
    <c:plotArea>
      <c:layout/>
      <c:lineChart>
        <c:grouping val="standard"/>
        <c:ser>
          <c:idx val="0"/>
          <c:order val="0"/>
          <c:tx>
            <c:strRef>
              <c:f>'Output tables'!$BW$73</c:f>
              <c:strCache>
                <c:ptCount val="1"/>
                <c:pt idx="0">
                  <c:v>Reference Supercritical coal capacity utilisation</c:v>
                </c:pt>
              </c:strCache>
            </c:strRef>
          </c:tx>
          <c:marker>
            <c:symbol val="none"/>
          </c:marker>
          <c:cat>
            <c:numRef>
              <c:f>'Output tables'!$BX$72:$CW$72</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tables'!$BX$73:$CW$73</c:f>
              <c:numCache>
                <c:formatCode>0%</c:formatCode>
                <c:ptCount val="26"/>
                <c:pt idx="0">
                  <c:v>0</c:v>
                </c:pt>
                <c:pt idx="1">
                  <c:v>0</c:v>
                </c:pt>
                <c:pt idx="2">
                  <c:v>0</c:v>
                </c:pt>
                <c:pt idx="3">
                  <c:v>0</c:v>
                </c:pt>
                <c:pt idx="4">
                  <c:v>0</c:v>
                </c:pt>
                <c:pt idx="5">
                  <c:v>0</c:v>
                </c:pt>
                <c:pt idx="6">
                  <c:v>0</c:v>
                </c:pt>
                <c:pt idx="7">
                  <c:v>0.24351250000000005</c:v>
                </c:pt>
                <c:pt idx="8">
                  <c:v>0.24351250000000005</c:v>
                </c:pt>
                <c:pt idx="9">
                  <c:v>0.3303849936702129</c:v>
                </c:pt>
                <c:pt idx="10">
                  <c:v>0.35319861825386922</c:v>
                </c:pt>
                <c:pt idx="11">
                  <c:v>0.40483482967736983</c:v>
                </c:pt>
                <c:pt idx="12">
                  <c:v>0.43898560235861828</c:v>
                </c:pt>
                <c:pt idx="13">
                  <c:v>0.43951907316055977</c:v>
                </c:pt>
                <c:pt idx="14">
                  <c:v>0.44312241992060902</c:v>
                </c:pt>
                <c:pt idx="15">
                  <c:v>0.45848952200031956</c:v>
                </c:pt>
                <c:pt idx="16">
                  <c:v>0.4548657284400362</c:v>
                </c:pt>
                <c:pt idx="17">
                  <c:v>0.44330763314027305</c:v>
                </c:pt>
                <c:pt idx="18">
                  <c:v>0.44987101782521904</c:v>
                </c:pt>
                <c:pt idx="19">
                  <c:v>0.4790519065027275</c:v>
                </c:pt>
                <c:pt idx="20">
                  <c:v>0.5075356894252504</c:v>
                </c:pt>
                <c:pt idx="21">
                  <c:v>0.5285546023072123</c:v>
                </c:pt>
                <c:pt idx="22">
                  <c:v>0.54492709802049255</c:v>
                </c:pt>
                <c:pt idx="23">
                  <c:v>0.56532098468292691</c:v>
                </c:pt>
                <c:pt idx="24">
                  <c:v>0.60370701586633002</c:v>
                </c:pt>
                <c:pt idx="25">
                  <c:v>0.60050782200767261</c:v>
                </c:pt>
              </c:numCache>
            </c:numRef>
          </c:val>
        </c:ser>
        <c:ser>
          <c:idx val="1"/>
          <c:order val="1"/>
          <c:tx>
            <c:strRef>
              <c:f>'Output tables'!$BW$74</c:f>
              <c:strCache>
                <c:ptCount val="1"/>
                <c:pt idx="0">
                  <c:v>Scenario Supercritical coal capacity utilisation</c:v>
                </c:pt>
              </c:strCache>
            </c:strRef>
          </c:tx>
          <c:marker>
            <c:symbol val="none"/>
          </c:marker>
          <c:cat>
            <c:numRef>
              <c:f>'Output tables'!$BX$72:$CW$72</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tables'!$BX$74:$CW$74</c:f>
              <c:numCache>
                <c:formatCode>General</c:formatCode>
                <c:ptCount val="26"/>
                <c:pt idx="0">
                  <c:v>0</c:v>
                </c:pt>
                <c:pt idx="1">
                  <c:v>0</c:v>
                </c:pt>
                <c:pt idx="2">
                  <c:v>0</c:v>
                </c:pt>
                <c:pt idx="3">
                  <c:v>0</c:v>
                </c:pt>
                <c:pt idx="4">
                  <c:v>0</c:v>
                </c:pt>
                <c:pt idx="5">
                  <c:v>0</c:v>
                </c:pt>
                <c:pt idx="6">
                  <c:v>0</c:v>
                </c:pt>
                <c:pt idx="7">
                  <c:v>0.24351250000000005</c:v>
                </c:pt>
                <c:pt idx="8">
                  <c:v>0.24351250000000005</c:v>
                </c:pt>
                <c:pt idx="9">
                  <c:v>0.25481824304048917</c:v>
                </c:pt>
                <c:pt idx="10">
                  <c:v>0.26855070460843994</c:v>
                </c:pt>
                <c:pt idx="11">
                  <c:v>0.30066858490745124</c:v>
                </c:pt>
                <c:pt idx="12">
                  <c:v>0.32340694854378516</c:v>
                </c:pt>
                <c:pt idx="13">
                  <c:v>0.35200066368716171</c:v>
                </c:pt>
                <c:pt idx="14">
                  <c:v>0.34478976124074751</c:v>
                </c:pt>
                <c:pt idx="15">
                  <c:v>0.33575850005049374</c:v>
                </c:pt>
                <c:pt idx="16">
                  <c:v>0.2918199114290132</c:v>
                </c:pt>
                <c:pt idx="17">
                  <c:v>0.26236354319698069</c:v>
                </c:pt>
                <c:pt idx="18">
                  <c:v>0.24351250000000005</c:v>
                </c:pt>
                <c:pt idx="19">
                  <c:v>0.24351250000000005</c:v>
                </c:pt>
                <c:pt idx="20">
                  <c:v>0.24505140307820375</c:v>
                </c:pt>
                <c:pt idx="21">
                  <c:v>0.32194177473217306</c:v>
                </c:pt>
                <c:pt idx="22">
                  <c:v>0.35347480069740561</c:v>
                </c:pt>
                <c:pt idx="23">
                  <c:v>0.39585514745802181</c:v>
                </c:pt>
                <c:pt idx="24">
                  <c:v>0.54673904720207356</c:v>
                </c:pt>
                <c:pt idx="25">
                  <c:v>0.56270545425188068</c:v>
                </c:pt>
              </c:numCache>
            </c:numRef>
          </c:val>
        </c:ser>
        <c:marker val="1"/>
        <c:axId val="114075520"/>
        <c:axId val="114077056"/>
      </c:lineChart>
      <c:catAx>
        <c:axId val="114075520"/>
        <c:scaling>
          <c:orientation val="minMax"/>
        </c:scaling>
        <c:axPos val="b"/>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4077056"/>
        <c:crosses val="autoZero"/>
        <c:auto val="1"/>
        <c:lblAlgn val="ctr"/>
        <c:lblOffset val="100"/>
      </c:catAx>
      <c:valAx>
        <c:axId val="114077056"/>
        <c:scaling>
          <c:orientation val="minMax"/>
        </c:scaling>
        <c:axPos val="l"/>
        <c:majorGridlines/>
        <c:numFmt formatCode="0%"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4075520"/>
        <c:crosses val="autoZero"/>
        <c:crossBetween val="between"/>
      </c:valAx>
    </c:plotArea>
    <c:legend>
      <c:legendPos val="b"/>
      <c:txPr>
        <a:bodyPr/>
        <a:lstStyle/>
        <a:p>
          <a:pPr>
            <a:defRPr lang="en-ZA" sz="845" b="0" i="0" u="none" strike="noStrike" baseline="0">
              <a:solidFill>
                <a:srgbClr val="000000"/>
              </a:solidFill>
              <a:latin typeface="Calibri"/>
              <a:ea typeface="Calibri"/>
              <a:cs typeface="Calibri"/>
            </a:defRPr>
          </a:pPr>
          <a:endParaRPr lang="en-US"/>
        </a:p>
      </c:txPr>
    </c:legend>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2" l="0.70000000000000062" r="0.70000000000000062" t="0.750000000000002" header="0.30000000000000032" footer="0.30000000000000032"/>
    <c:pageSetup/>
  </c:printSettings>
</c:chartSpace>
</file>

<file path=xl/charts/chart127.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0.20484532716992529"/>
          <c:y val="4.7924165729283805E-2"/>
          <c:w val="0.74863895744375575"/>
          <c:h val="0.64851963817022873"/>
        </c:manualLayout>
      </c:layout>
      <c:areaChart>
        <c:grouping val="stacked"/>
        <c:ser>
          <c:idx val="0"/>
          <c:order val="0"/>
          <c:tx>
            <c:strRef>
              <c:f>'Output tables'!$A$185</c:f>
              <c:strCache>
                <c:ptCount val="1"/>
                <c:pt idx="0">
                  <c:v>Annualised capital cost</c:v>
                </c:pt>
              </c:strCache>
            </c:strRef>
          </c:tx>
          <c:cat>
            <c:numRef>
              <c:f>'Output tables'!$BW$175:$CV$175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tables'!$BW$185:$CV$185</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
          <c:order val="1"/>
          <c:tx>
            <c:strRef>
              <c:f>'Output tables'!$A$186</c:f>
              <c:strCache>
                <c:ptCount val="1"/>
                <c:pt idx="0">
                  <c:v>Fixed O&amp;M</c:v>
                </c:pt>
              </c:strCache>
            </c:strRef>
          </c:tx>
          <c:cat>
            <c:numRef>
              <c:f>'Output tables'!$BW$175:$CV$175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tables'!$BW$186:$CV$186</c:f>
              <c:numCache>
                <c:formatCode>General</c:formatCode>
                <c:ptCount val="26"/>
                <c:pt idx="0">
                  <c:v>6048.8582920974877</c:v>
                </c:pt>
                <c:pt idx="1">
                  <c:v>6048.8582920974877</c:v>
                </c:pt>
                <c:pt idx="2">
                  <c:v>6048.8582920974877</c:v>
                </c:pt>
                <c:pt idx="3">
                  <c:v>6048.8582920974877</c:v>
                </c:pt>
                <c:pt idx="4">
                  <c:v>6048.8582920974877</c:v>
                </c:pt>
                <c:pt idx="5">
                  <c:v>6048.8582920974877</c:v>
                </c:pt>
                <c:pt idx="6">
                  <c:v>6048.8582920974877</c:v>
                </c:pt>
                <c:pt idx="7">
                  <c:v>6048.8582920974877</c:v>
                </c:pt>
                <c:pt idx="8">
                  <c:v>6048.8582920974877</c:v>
                </c:pt>
                <c:pt idx="9">
                  <c:v>6048.8582920974877</c:v>
                </c:pt>
                <c:pt idx="10">
                  <c:v>6048.8582920974877</c:v>
                </c:pt>
                <c:pt idx="11">
                  <c:v>6048.8582920974877</c:v>
                </c:pt>
                <c:pt idx="12">
                  <c:v>6048.8582920974877</c:v>
                </c:pt>
                <c:pt idx="13">
                  <c:v>6048.8582920974877</c:v>
                </c:pt>
                <c:pt idx="14">
                  <c:v>6048.8582920974877</c:v>
                </c:pt>
                <c:pt idx="15">
                  <c:v>6048.8582920974877</c:v>
                </c:pt>
                <c:pt idx="16">
                  <c:v>6048.8582920974877</c:v>
                </c:pt>
                <c:pt idx="17">
                  <c:v>6048.8582920974877</c:v>
                </c:pt>
                <c:pt idx="18">
                  <c:v>6048.8582920974877</c:v>
                </c:pt>
                <c:pt idx="19">
                  <c:v>5822.5546442686946</c:v>
                </c:pt>
                <c:pt idx="20">
                  <c:v>5596.2509964399023</c:v>
                </c:pt>
                <c:pt idx="21">
                  <c:v>5313.3714366539116</c:v>
                </c:pt>
                <c:pt idx="22">
                  <c:v>5030.4918768679208</c:v>
                </c:pt>
                <c:pt idx="23">
                  <c:v>4688.0587255480368</c:v>
                </c:pt>
                <c:pt idx="24">
                  <c:v>4003.1924229082706</c:v>
                </c:pt>
                <c:pt idx="25">
                  <c:v>3660.759271588387</c:v>
                </c:pt>
              </c:numCache>
            </c:numRef>
          </c:val>
        </c:ser>
        <c:ser>
          <c:idx val="2"/>
          <c:order val="2"/>
          <c:tx>
            <c:strRef>
              <c:f>'Output tables'!$A$187</c:f>
              <c:strCache>
                <c:ptCount val="1"/>
                <c:pt idx="0">
                  <c:v>Variable O&amp;M</c:v>
                </c:pt>
              </c:strCache>
            </c:strRef>
          </c:tx>
          <c:cat>
            <c:numRef>
              <c:f>'Output tables'!$BW$175:$CV$175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tables'!$BW$187:$CV$187</c:f>
              <c:numCache>
                <c:formatCode>General</c:formatCode>
                <c:ptCount val="26"/>
                <c:pt idx="0">
                  <c:v>1683.8151698604067</c:v>
                </c:pt>
                <c:pt idx="1">
                  <c:v>1683.8151698604067</c:v>
                </c:pt>
                <c:pt idx="2">
                  <c:v>1739.2841301648871</c:v>
                </c:pt>
                <c:pt idx="3">
                  <c:v>1758.6063755933469</c:v>
                </c:pt>
                <c:pt idx="4">
                  <c:v>1758.6063755933469</c:v>
                </c:pt>
                <c:pt idx="5">
                  <c:v>1800.1237409377582</c:v>
                </c:pt>
                <c:pt idx="6">
                  <c:v>1827.2975999015682</c:v>
                </c:pt>
                <c:pt idx="7">
                  <c:v>1857.9832761077053</c:v>
                </c:pt>
                <c:pt idx="8">
                  <c:v>1881.8811253902302</c:v>
                </c:pt>
                <c:pt idx="9">
                  <c:v>1900.7113850665073</c:v>
                </c:pt>
                <c:pt idx="10">
                  <c:v>1900.7113850665073</c:v>
                </c:pt>
                <c:pt idx="11">
                  <c:v>1900.7113850665073</c:v>
                </c:pt>
                <c:pt idx="12">
                  <c:v>1900.7113850665073</c:v>
                </c:pt>
                <c:pt idx="13">
                  <c:v>1900.7113850665073</c:v>
                </c:pt>
                <c:pt idx="14">
                  <c:v>1900.7113850665073</c:v>
                </c:pt>
                <c:pt idx="15">
                  <c:v>1900.7113850665073</c:v>
                </c:pt>
                <c:pt idx="16">
                  <c:v>1900.7113850665073</c:v>
                </c:pt>
                <c:pt idx="17">
                  <c:v>1900.7113850665073</c:v>
                </c:pt>
                <c:pt idx="18">
                  <c:v>1856.2780733494371</c:v>
                </c:pt>
                <c:pt idx="19">
                  <c:v>1802.0819189832125</c:v>
                </c:pt>
                <c:pt idx="20">
                  <c:v>1758.4901925243644</c:v>
                </c:pt>
                <c:pt idx="21">
                  <c:v>1669.6019471855252</c:v>
                </c:pt>
                <c:pt idx="22">
                  <c:v>1580.7137018466856</c:v>
                </c:pt>
                <c:pt idx="23">
                  <c:v>1473.1121416996696</c:v>
                </c:pt>
                <c:pt idx="24">
                  <c:v>1257.9090214056378</c:v>
                </c:pt>
                <c:pt idx="25">
                  <c:v>1150.3074612586215</c:v>
                </c:pt>
              </c:numCache>
            </c:numRef>
          </c:val>
        </c:ser>
        <c:ser>
          <c:idx val="3"/>
          <c:order val="3"/>
          <c:tx>
            <c:strRef>
              <c:f>'Output tables'!$A$188</c:f>
              <c:strCache>
                <c:ptCount val="1"/>
                <c:pt idx="0">
                  <c:v>Fuel cost</c:v>
                </c:pt>
              </c:strCache>
            </c:strRef>
          </c:tx>
          <c:cat>
            <c:numRef>
              <c:f>'Output tables'!$BW$175:$CV$175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tables'!$BW$188:$CV$188</c:f>
              <c:numCache>
                <c:formatCode>General</c:formatCode>
                <c:ptCount val="26"/>
                <c:pt idx="0">
                  <c:v>8523.1750722774159</c:v>
                </c:pt>
                <c:pt idx="1">
                  <c:v>10115.401768211486</c:v>
                </c:pt>
                <c:pt idx="2">
                  <c:v>12093.306174004372</c:v>
                </c:pt>
                <c:pt idx="3">
                  <c:v>12971.008064332525</c:v>
                </c:pt>
                <c:pt idx="4">
                  <c:v>12971.008064332525</c:v>
                </c:pt>
                <c:pt idx="5">
                  <c:v>13353.098874788571</c:v>
                </c:pt>
                <c:pt idx="6">
                  <c:v>13631.686431701064</c:v>
                </c:pt>
                <c:pt idx="7">
                  <c:v>13938.910842200781</c:v>
                </c:pt>
                <c:pt idx="8">
                  <c:v>14197.512338749553</c:v>
                </c:pt>
                <c:pt idx="9">
                  <c:v>14419.683183713039</c:v>
                </c:pt>
                <c:pt idx="10">
                  <c:v>14499.792534733666</c:v>
                </c:pt>
                <c:pt idx="11">
                  <c:v>14579.901885754294</c:v>
                </c:pt>
                <c:pt idx="12">
                  <c:v>14660.011236774921</c:v>
                </c:pt>
                <c:pt idx="13">
                  <c:v>14740.120587795551</c:v>
                </c:pt>
                <c:pt idx="14">
                  <c:v>14820.229938816179</c:v>
                </c:pt>
                <c:pt idx="15">
                  <c:v>14900.339289836807</c:v>
                </c:pt>
                <c:pt idx="16">
                  <c:v>14980.448640857434</c:v>
                </c:pt>
                <c:pt idx="17">
                  <c:v>15060.557991878062</c:v>
                </c:pt>
                <c:pt idx="18">
                  <c:v>14786.720922133742</c:v>
                </c:pt>
                <c:pt idx="19">
                  <c:v>14430.958160453863</c:v>
                </c:pt>
                <c:pt idx="20">
                  <c:v>14155.993518194417</c:v>
                </c:pt>
                <c:pt idx="21">
                  <c:v>13510.804462219186</c:v>
                </c:pt>
                <c:pt idx="22">
                  <c:v>12858.122654105562</c:v>
                </c:pt>
                <c:pt idx="23">
                  <c:v>12044.938208080182</c:v>
                </c:pt>
                <c:pt idx="24">
                  <c:v>10338.341658396081</c:v>
                </c:pt>
                <c:pt idx="25">
                  <c:v>9502.4817782676801</c:v>
                </c:pt>
              </c:numCache>
            </c:numRef>
          </c:val>
        </c:ser>
        <c:ser>
          <c:idx val="5"/>
          <c:order val="5"/>
          <c:tx>
            <c:strRef>
              <c:f>'Output tables'!$A$189</c:f>
              <c:strCache>
                <c:ptCount val="1"/>
                <c:pt idx="0">
                  <c:v>Carbon tax</c:v>
                </c:pt>
              </c:strCache>
            </c:strRef>
          </c:tx>
          <c:val>
            <c:numRef>
              <c:f>'Output tables'!$BW$189:$CV$189</c:f>
              <c:numCache>
                <c:formatCode>General</c:formatCode>
                <c:ptCount val="26"/>
                <c:pt idx="0">
                  <c:v>0</c:v>
                </c:pt>
                <c:pt idx="1">
                  <c:v>0</c:v>
                </c:pt>
                <c:pt idx="2">
                  <c:v>0</c:v>
                </c:pt>
                <c:pt idx="3">
                  <c:v>0</c:v>
                </c:pt>
                <c:pt idx="4">
                  <c:v>0</c:v>
                </c:pt>
                <c:pt idx="5">
                  <c:v>0</c:v>
                </c:pt>
                <c:pt idx="6">
                  <c:v>0</c:v>
                </c:pt>
                <c:pt idx="7">
                  <c:v>22548.959202984657</c:v>
                </c:pt>
                <c:pt idx="8">
                  <c:v>22838.989600696103</c:v>
                </c:pt>
                <c:pt idx="9">
                  <c:v>23067.518437678682</c:v>
                </c:pt>
                <c:pt idx="10">
                  <c:v>23067.518437678682</c:v>
                </c:pt>
                <c:pt idx="11">
                  <c:v>69202.555313036049</c:v>
                </c:pt>
                <c:pt idx="12">
                  <c:v>69202.555313036049</c:v>
                </c:pt>
                <c:pt idx="13">
                  <c:v>69202.555313036049</c:v>
                </c:pt>
                <c:pt idx="14">
                  <c:v>69202.555313036049</c:v>
                </c:pt>
                <c:pt idx="15">
                  <c:v>115337.59218839342</c:v>
                </c:pt>
                <c:pt idx="16">
                  <c:v>115337.59218839342</c:v>
                </c:pt>
                <c:pt idx="17">
                  <c:v>115337.59218839342</c:v>
                </c:pt>
                <c:pt idx="18">
                  <c:v>112641.32213568162</c:v>
                </c:pt>
                <c:pt idx="19">
                  <c:v>109352.63033345299</c:v>
                </c:pt>
                <c:pt idx="20">
                  <c:v>106707.42874808832</c:v>
                </c:pt>
                <c:pt idx="21">
                  <c:v>101313.57659789764</c:v>
                </c:pt>
                <c:pt idx="22">
                  <c:v>95919.724447706918</c:v>
                </c:pt>
                <c:pt idx="23">
                  <c:v>89390.324476423455</c:v>
                </c:pt>
                <c:pt idx="24">
                  <c:v>76331.524533856515</c:v>
                </c:pt>
                <c:pt idx="25">
                  <c:v>69802.124562573023</c:v>
                </c:pt>
              </c:numCache>
            </c:numRef>
          </c:val>
        </c:ser>
        <c:axId val="114125824"/>
        <c:axId val="114144000"/>
      </c:areaChart>
      <c:lineChart>
        <c:grouping val="standard"/>
        <c:ser>
          <c:idx val="4"/>
          <c:order val="4"/>
          <c:tx>
            <c:strRef>
              <c:f>'Output tables'!$A$190</c:f>
              <c:strCache>
                <c:ptCount val="1"/>
                <c:pt idx="0">
                  <c:v>Annual investment requirement</c:v>
                </c:pt>
              </c:strCache>
            </c:strRef>
          </c:tx>
          <c:marker>
            <c:symbol val="none"/>
          </c:marker>
          <c:cat>
            <c:numRef>
              <c:f>'Output tables'!$BW$175:$CV$175</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tables'!$BW$190:$CV$190</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marker val="1"/>
        <c:axId val="114125824"/>
        <c:axId val="114144000"/>
      </c:lineChart>
      <c:catAx>
        <c:axId val="114125824"/>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14144000"/>
        <c:crosses val="autoZero"/>
        <c:auto val="1"/>
        <c:lblAlgn val="ctr"/>
        <c:lblOffset val="100"/>
      </c:catAx>
      <c:valAx>
        <c:axId val="114144000"/>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R million</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4125824"/>
        <c:crosses val="autoZero"/>
        <c:crossBetween val="between"/>
      </c:valAx>
    </c:plotArea>
    <c:legend>
      <c:legendPos val="b"/>
      <c:layout>
        <c:manualLayout>
          <c:xMode val="edge"/>
          <c:yMode val="edge"/>
          <c:x val="0"/>
          <c:y val="0.82116727110356025"/>
          <c:w val="0.89193708641781388"/>
          <c:h val="0.13038847322507918"/>
        </c:manualLayout>
      </c:layout>
      <c:txPr>
        <a:bodyPr/>
        <a:lstStyle/>
        <a:p>
          <a:pPr>
            <a:defRPr lang="en-ZA" sz="845" b="0" i="0" u="none" strike="noStrike" baseline="0">
              <a:solidFill>
                <a:srgbClr val="000000"/>
              </a:solidFill>
              <a:latin typeface="Calibri"/>
              <a:ea typeface="Calibri"/>
              <a:cs typeface="Calibri"/>
            </a:defRPr>
          </a:pPr>
          <a:endParaRPr lang="en-US"/>
        </a:p>
      </c:txPr>
    </c:legend>
    <c:plotVisOnly val="1"/>
    <c:dispBlanksAs val="zero"/>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2" l="0.70000000000000062" r="0.70000000000000062" t="0.750000000000002" header="0.30000000000000032" footer="0.30000000000000032"/>
    <c:pageSetup/>
  </c:printSettings>
</c:chartSpace>
</file>

<file path=xl/charts/chart128.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050" b="1" i="0" u="none" strike="noStrike" baseline="0">
                <a:solidFill>
                  <a:srgbClr val="000000"/>
                </a:solidFill>
                <a:latin typeface="Calibri"/>
                <a:ea typeface="Calibri"/>
                <a:cs typeface="Calibri"/>
              </a:defRPr>
            </a:pPr>
            <a:r>
              <a:rPr lang="en-ZA"/>
              <a:t>Electricity system greenhouse gases</a:t>
            </a:r>
          </a:p>
        </c:rich>
      </c:tx>
      <c:layout>
        <c:manualLayout>
          <c:xMode val="edge"/>
          <c:yMode val="edge"/>
          <c:x val="0.21840531297224247"/>
          <c:y val="5.8995466475781494E-3"/>
        </c:manualLayout>
      </c:layout>
      <c:overlay val="1"/>
    </c:title>
    <c:plotArea>
      <c:layout>
        <c:manualLayout>
          <c:layoutTarget val="inner"/>
          <c:xMode val="edge"/>
          <c:yMode val="edge"/>
          <c:x val="0.19233542372088985"/>
          <c:y val="6.8149025619585149E-2"/>
          <c:w val="0.74106496229956065"/>
          <c:h val="0.48472626762362836"/>
        </c:manualLayout>
      </c:layout>
      <c:areaChart>
        <c:grouping val="stacked"/>
        <c:ser>
          <c:idx val="0"/>
          <c:order val="0"/>
          <c:tx>
            <c:strRef>
              <c:f>'Output tables'!$A$224</c:f>
              <c:strCache>
                <c:ptCount val="1"/>
                <c:pt idx="0">
                  <c:v>Existing coal Large</c:v>
                </c:pt>
              </c:strCache>
            </c:strRef>
          </c:tx>
          <c:cat>
            <c:numRef>
              <c:f>'Output tables'!$AP$223:$BO$223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tables'!$AP$224:$BO$224</c:f>
              <c:numCache>
                <c:formatCode>General</c:formatCode>
                <c:ptCount val="26"/>
                <c:pt idx="0">
                  <c:v>205.31813431055303</c:v>
                </c:pt>
                <c:pt idx="1">
                  <c:v>205.31813431055303</c:v>
                </c:pt>
                <c:pt idx="2">
                  <c:v>212.08181220449086</c:v>
                </c:pt>
                <c:pt idx="3">
                  <c:v>214.43789466120785</c:v>
                </c:pt>
                <c:pt idx="4">
                  <c:v>214.43789466120785</c:v>
                </c:pt>
                <c:pt idx="5">
                  <c:v>219.50036716210047</c:v>
                </c:pt>
                <c:pt idx="6">
                  <c:v>222.81384605475711</c:v>
                </c:pt>
                <c:pt idx="7">
                  <c:v>226.55554282853311</c:v>
                </c:pt>
                <c:pt idx="8">
                  <c:v>229.4695573335394</c:v>
                </c:pt>
                <c:pt idx="9">
                  <c:v>231.76564888474982</c:v>
                </c:pt>
                <c:pt idx="10">
                  <c:v>231.76564888474982</c:v>
                </c:pt>
                <c:pt idx="11">
                  <c:v>231.76564888474982</c:v>
                </c:pt>
                <c:pt idx="12">
                  <c:v>231.76564888474982</c:v>
                </c:pt>
                <c:pt idx="13">
                  <c:v>231.76564888474982</c:v>
                </c:pt>
                <c:pt idx="14">
                  <c:v>231.76564888474982</c:v>
                </c:pt>
                <c:pt idx="15">
                  <c:v>231.76564888474982</c:v>
                </c:pt>
                <c:pt idx="16">
                  <c:v>231.76564888474982</c:v>
                </c:pt>
                <c:pt idx="17">
                  <c:v>231.76564888474982</c:v>
                </c:pt>
                <c:pt idx="18">
                  <c:v>226.34761677155512</c:v>
                </c:pt>
                <c:pt idx="19">
                  <c:v>219.73914008096773</c:v>
                </c:pt>
                <c:pt idx="20">
                  <c:v>214.42372773161313</c:v>
                </c:pt>
                <c:pt idx="21">
                  <c:v>203.58502701090265</c:v>
                </c:pt>
                <c:pt idx="22">
                  <c:v>192.74632629019214</c:v>
                </c:pt>
                <c:pt idx="23">
                  <c:v>179.62579383880583</c:v>
                </c:pt>
                <c:pt idx="24">
                  <c:v>153.3847289360331</c:v>
                </c:pt>
                <c:pt idx="25">
                  <c:v>140.26419648464673</c:v>
                </c:pt>
              </c:numCache>
            </c:numRef>
          </c:val>
        </c:ser>
        <c:ser>
          <c:idx val="1"/>
          <c:order val="1"/>
          <c:tx>
            <c:strRef>
              <c:f>'Output tables'!$A$225</c:f>
              <c:strCache>
                <c:ptCount val="1"/>
                <c:pt idx="0">
                  <c:v>Existing coal Small</c:v>
                </c:pt>
              </c:strCache>
            </c:strRef>
          </c:tx>
          <c:cat>
            <c:numRef>
              <c:f>'Output tables'!$AP$223:$BO$223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tables'!$AP$225:$BO$225</c:f>
              <c:numCache>
                <c:formatCode>General</c:formatCode>
                <c:ptCount val="26"/>
                <c:pt idx="0">
                  <c:v>14.164264318167939</c:v>
                </c:pt>
                <c:pt idx="1">
                  <c:v>14.164264318167939</c:v>
                </c:pt>
                <c:pt idx="2">
                  <c:v>14.164264318167939</c:v>
                </c:pt>
                <c:pt idx="3">
                  <c:v>14.164264318167939</c:v>
                </c:pt>
                <c:pt idx="4">
                  <c:v>14.164264318167939</c:v>
                </c:pt>
                <c:pt idx="5">
                  <c:v>15.944426509208181</c:v>
                </c:pt>
                <c:pt idx="6">
                  <c:v>16.997406780335936</c:v>
                </c:pt>
                <c:pt idx="7">
                  <c:v>16.997406780335936</c:v>
                </c:pt>
                <c:pt idx="8">
                  <c:v>16.997406780335936</c:v>
                </c:pt>
                <c:pt idx="9">
                  <c:v>16.997406780335936</c:v>
                </c:pt>
                <c:pt idx="10">
                  <c:v>16.997406780335936</c:v>
                </c:pt>
                <c:pt idx="11">
                  <c:v>16.899667274971357</c:v>
                </c:pt>
                <c:pt idx="12">
                  <c:v>16.801927769606777</c:v>
                </c:pt>
                <c:pt idx="13">
                  <c:v>16.671608429120667</c:v>
                </c:pt>
                <c:pt idx="14">
                  <c:v>16.54128908863456</c:v>
                </c:pt>
                <c:pt idx="15">
                  <c:v>14.065221619398496</c:v>
                </c:pt>
                <c:pt idx="16">
                  <c:v>11.589154150162432</c:v>
                </c:pt>
                <c:pt idx="17">
                  <c:v>11.589154150162432</c:v>
                </c:pt>
                <c:pt idx="18">
                  <c:v>11.589154150162432</c:v>
                </c:pt>
                <c:pt idx="19">
                  <c:v>11.589154150162432</c:v>
                </c:pt>
                <c:pt idx="20">
                  <c:v>10.448280723840154</c:v>
                </c:pt>
                <c:pt idx="21">
                  <c:v>9.3074072975178783</c:v>
                </c:pt>
                <c:pt idx="22">
                  <c:v>9.3074072975178783</c:v>
                </c:pt>
                <c:pt idx="23">
                  <c:v>9.3074072975178783</c:v>
                </c:pt>
                <c:pt idx="24">
                  <c:v>9.3074072975178783</c:v>
                </c:pt>
                <c:pt idx="25">
                  <c:v>9.3074072975178783</c:v>
                </c:pt>
              </c:numCache>
            </c:numRef>
          </c:val>
        </c:ser>
        <c:ser>
          <c:idx val="2"/>
          <c:order val="2"/>
          <c:tx>
            <c:strRef>
              <c:f>'Output tables'!$A$226</c:f>
              <c:strCache>
                <c:ptCount val="1"/>
                <c:pt idx="0">
                  <c:v>OCGT liquid fuels</c:v>
                </c:pt>
              </c:strCache>
            </c:strRef>
          </c:tx>
          <c:cat>
            <c:numRef>
              <c:f>'Output tables'!$AP$223:$BO$223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tables'!$AP$226:$BO$226</c:f>
              <c:numCache>
                <c:formatCode>General</c:formatCode>
                <c:ptCount val="26"/>
                <c:pt idx="0">
                  <c:v>0.55239991945704037</c:v>
                </c:pt>
                <c:pt idx="1">
                  <c:v>0.55239991945704037</c:v>
                </c:pt>
                <c:pt idx="2">
                  <c:v>0.55239991945704037</c:v>
                </c:pt>
                <c:pt idx="3">
                  <c:v>0.55239991945704037</c:v>
                </c:pt>
                <c:pt idx="4">
                  <c:v>0.55239991945704037</c:v>
                </c:pt>
                <c:pt idx="5">
                  <c:v>0.55239991945704037</c:v>
                </c:pt>
                <c:pt idx="6">
                  <c:v>0.80097988321270841</c:v>
                </c:pt>
                <c:pt idx="7">
                  <c:v>0.80097988321270841</c:v>
                </c:pt>
                <c:pt idx="8">
                  <c:v>0.80097988321270841</c:v>
                </c:pt>
                <c:pt idx="9">
                  <c:v>0.80097988321270841</c:v>
                </c:pt>
                <c:pt idx="10">
                  <c:v>0.80097988321270841</c:v>
                </c:pt>
                <c:pt idx="11">
                  <c:v>0.80097988321270841</c:v>
                </c:pt>
                <c:pt idx="12">
                  <c:v>0.80097988321270841</c:v>
                </c:pt>
                <c:pt idx="13">
                  <c:v>0.80097988321270841</c:v>
                </c:pt>
                <c:pt idx="14">
                  <c:v>0.80097988321270841</c:v>
                </c:pt>
                <c:pt idx="15">
                  <c:v>0.80097988321270841</c:v>
                </c:pt>
                <c:pt idx="16">
                  <c:v>0.80097988321270841</c:v>
                </c:pt>
                <c:pt idx="17">
                  <c:v>0.80097988321270841</c:v>
                </c:pt>
                <c:pt idx="18">
                  <c:v>0.80097988321270841</c:v>
                </c:pt>
                <c:pt idx="19">
                  <c:v>0.80097988321270841</c:v>
                </c:pt>
                <c:pt idx="20">
                  <c:v>0.80097988321270841</c:v>
                </c:pt>
                <c:pt idx="21">
                  <c:v>0.96669985904982081</c:v>
                </c:pt>
                <c:pt idx="22">
                  <c:v>0.96669985904982081</c:v>
                </c:pt>
                <c:pt idx="23">
                  <c:v>0.96669985904982081</c:v>
                </c:pt>
                <c:pt idx="24">
                  <c:v>1.1876598268326366</c:v>
                </c:pt>
                <c:pt idx="25">
                  <c:v>1.3692613003541387</c:v>
                </c:pt>
              </c:numCache>
            </c:numRef>
          </c:val>
        </c:ser>
        <c:ser>
          <c:idx val="3"/>
          <c:order val="3"/>
          <c:tx>
            <c:strRef>
              <c:f>'Output tables'!$A$227</c:f>
              <c:strCache>
                <c:ptCount val="1"/>
                <c:pt idx="0">
                  <c:v>PWR nuclear</c:v>
                </c:pt>
              </c:strCache>
            </c:strRef>
          </c:tx>
          <c:cat>
            <c:numRef>
              <c:f>'Output tables'!$AP$223:$BO$223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tables'!$AP$227:$BO$227</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4"/>
          <c:order val="4"/>
          <c:tx>
            <c:strRef>
              <c:f>'Output tables'!$A$228</c:f>
              <c:strCache>
                <c:ptCount val="1"/>
                <c:pt idx="0">
                  <c:v>Hydro</c:v>
                </c:pt>
              </c:strCache>
            </c:strRef>
          </c:tx>
          <c:cat>
            <c:numRef>
              <c:f>'Output tables'!$AP$223:$BO$223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tables'!$AP$228:$BO$228</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5"/>
          <c:order val="5"/>
          <c:tx>
            <c:strRef>
              <c:f>'Output tables'!$A$229</c:f>
              <c:strCache>
                <c:ptCount val="1"/>
                <c:pt idx="0">
                  <c:v>Landfill gas</c:v>
                </c:pt>
              </c:strCache>
            </c:strRef>
          </c:tx>
          <c:cat>
            <c:numRef>
              <c:f>'Output tables'!$AP$223:$BO$223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tables'!$AP$229:$BO$229</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6"/>
          <c:order val="6"/>
          <c:tx>
            <c:strRef>
              <c:f>'Output tables'!$A$230</c:f>
              <c:strCache>
                <c:ptCount val="1"/>
                <c:pt idx="0">
                  <c:v>Biomass</c:v>
                </c:pt>
              </c:strCache>
            </c:strRef>
          </c:tx>
          <c:cat>
            <c:numRef>
              <c:f>'Output tables'!$AP$223:$BO$223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tables'!$AP$230:$BO$230</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7"/>
          <c:order val="7"/>
          <c:tx>
            <c:strRef>
              <c:f>'Output tables'!$A$231</c:f>
              <c:strCache>
                <c:ptCount val="1"/>
                <c:pt idx="0">
                  <c:v>Supercritical coal</c:v>
                </c:pt>
              </c:strCache>
            </c:strRef>
          </c:tx>
          <c:cat>
            <c:numRef>
              <c:f>'Output tables'!$AP$223:$BO$223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tables'!$AP$231:$BO$231</c:f>
              <c:numCache>
                <c:formatCode>General</c:formatCode>
                <c:ptCount val="26"/>
                <c:pt idx="0">
                  <c:v>0</c:v>
                </c:pt>
                <c:pt idx="1">
                  <c:v>0</c:v>
                </c:pt>
                <c:pt idx="2">
                  <c:v>0</c:v>
                </c:pt>
                <c:pt idx="3">
                  <c:v>0</c:v>
                </c:pt>
                <c:pt idx="4">
                  <c:v>0</c:v>
                </c:pt>
                <c:pt idx="5">
                  <c:v>0</c:v>
                </c:pt>
                <c:pt idx="6">
                  <c:v>0</c:v>
                </c:pt>
                <c:pt idx="7">
                  <c:v>1.5897728804899998</c:v>
                </c:pt>
                <c:pt idx="8">
                  <c:v>4.76931864147</c:v>
                </c:pt>
                <c:pt idx="9">
                  <c:v>9.981494968181412</c:v>
                </c:pt>
                <c:pt idx="10">
                  <c:v>15.779114604001057</c:v>
                </c:pt>
                <c:pt idx="11">
                  <c:v>21.592084124276493</c:v>
                </c:pt>
                <c:pt idx="12">
                  <c:v>25.336371454784519</c:v>
                </c:pt>
                <c:pt idx="13">
                  <c:v>27.576462434297909</c:v>
                </c:pt>
                <c:pt idx="14">
                  <c:v>27.011545373210616</c:v>
                </c:pt>
                <c:pt idx="15">
                  <c:v>26.304017630681393</c:v>
                </c:pt>
                <c:pt idx="16">
                  <c:v>22.861777420551583</c:v>
                </c:pt>
                <c:pt idx="17">
                  <c:v>20.554104407970506</c:v>
                </c:pt>
                <c:pt idx="18">
                  <c:v>19.077274565880003</c:v>
                </c:pt>
                <c:pt idx="19">
                  <c:v>19.077274565880003</c:v>
                </c:pt>
                <c:pt idx="20">
                  <c:v>19.197835426423797</c:v>
                </c:pt>
                <c:pt idx="21">
                  <c:v>25.221586697982048</c:v>
                </c:pt>
                <c:pt idx="22">
                  <c:v>27.691949386680839</c:v>
                </c:pt>
                <c:pt idx="23">
                  <c:v>31.012113695903075</c:v>
                </c:pt>
                <c:pt idx="24">
                  <c:v>42.832671502947825</c:v>
                </c:pt>
                <c:pt idx="25">
                  <c:v>44.08351296332367</c:v>
                </c:pt>
              </c:numCache>
            </c:numRef>
          </c:val>
        </c:ser>
        <c:ser>
          <c:idx val="8"/>
          <c:order val="8"/>
          <c:tx>
            <c:strRef>
              <c:f>'Output tables'!$A$232</c:f>
              <c:strCache>
                <c:ptCount val="1"/>
                <c:pt idx="0">
                  <c:v>Wind 30% </c:v>
                </c:pt>
              </c:strCache>
            </c:strRef>
          </c:tx>
          <c:cat>
            <c:numRef>
              <c:f>'Output tables'!$AP$223:$BO$223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tables'!$AP$232:$BO$232</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9"/>
          <c:order val="9"/>
          <c:tx>
            <c:strRef>
              <c:f>'Output tables'!$A$233</c:f>
              <c:strCache>
                <c:ptCount val="1"/>
                <c:pt idx="0">
                  <c:v>Wind 25%</c:v>
                </c:pt>
              </c:strCache>
            </c:strRef>
          </c:tx>
          <c:cat>
            <c:numRef>
              <c:f>'Output tables'!$AP$223:$BO$223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tables'!$AP$233:$BO$233</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0"/>
          <c:order val="10"/>
          <c:tx>
            <c:strRef>
              <c:f>'Output tables'!$A$234</c:f>
              <c:strCache>
                <c:ptCount val="1"/>
                <c:pt idx="0">
                  <c:v>solar thermal central reciever</c:v>
                </c:pt>
              </c:strCache>
            </c:strRef>
          </c:tx>
          <c:cat>
            <c:numRef>
              <c:f>'Output tables'!$AP$223:$BO$223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tables'!$AP$234:$BO$234</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1"/>
          <c:order val="11"/>
          <c:tx>
            <c:strRef>
              <c:f>'Output tables'!$A$235</c:f>
              <c:strCache>
                <c:ptCount val="1"/>
                <c:pt idx="0">
                  <c:v>solar thermal trough</c:v>
                </c:pt>
              </c:strCache>
            </c:strRef>
          </c:tx>
          <c:cat>
            <c:numRef>
              <c:f>'Output tables'!$AP$223:$BO$223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tables'!$AP$235:$BO$235</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2"/>
          <c:order val="12"/>
          <c:tx>
            <c:strRef>
              <c:f>'Output tables'!$A$236</c:f>
              <c:strCache>
                <c:ptCount val="1"/>
                <c:pt idx="0">
                  <c:v>solar PV</c:v>
                </c:pt>
              </c:strCache>
            </c:strRef>
          </c:tx>
          <c:cat>
            <c:numRef>
              <c:f>'Output tables'!$AP$223:$BO$223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tables'!$AP$236:$BO$236</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3"/>
          <c:order val="13"/>
          <c:tx>
            <c:strRef>
              <c:f>'Output tables'!$A$237</c:f>
              <c:strCache>
                <c:ptCount val="1"/>
                <c:pt idx="0">
                  <c:v>combined cycle gas</c:v>
                </c:pt>
              </c:strCache>
            </c:strRef>
          </c:tx>
          <c:cat>
            <c:numRef>
              <c:f>'Output tables'!$AP$223:$BO$223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tables'!$AP$237:$BO$237</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1.5344480858326417</c:v>
                </c:pt>
                <c:pt idx="23">
                  <c:v>3.8361202145816047</c:v>
                </c:pt>
                <c:pt idx="24">
                  <c:v>6.1377923433305668</c:v>
                </c:pt>
                <c:pt idx="25">
                  <c:v>6.1377923433305668</c:v>
                </c:pt>
              </c:numCache>
            </c:numRef>
          </c:val>
        </c:ser>
        <c:ser>
          <c:idx val="14"/>
          <c:order val="14"/>
          <c:tx>
            <c:strRef>
              <c:f>'Output tables'!$A$238</c:f>
              <c:strCache>
                <c:ptCount val="1"/>
                <c:pt idx="0">
                  <c:v>PBMR</c:v>
                </c:pt>
              </c:strCache>
            </c:strRef>
          </c:tx>
          <c:cat>
            <c:numRef>
              <c:f>'Output tables'!$AP$223:$BO$223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tables'!$AP$238:$BO$238</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5"/>
          <c:order val="15"/>
          <c:tx>
            <c:strRef>
              <c:f>'Output tables'!$A$239</c:f>
              <c:strCache>
                <c:ptCount val="1"/>
                <c:pt idx="0">
                  <c:v>IGCC</c:v>
                </c:pt>
              </c:strCache>
            </c:strRef>
          </c:tx>
          <c:cat>
            <c:numRef>
              <c:f>'Output tables'!$AP$223:$BO$223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tables'!$AP$239:$BO$239</c:f>
              <c:numCache>
                <c:formatCode>General</c:formatCode>
                <c:ptCount val="26"/>
                <c:pt idx="0">
                  <c:v>0</c:v>
                </c:pt>
                <c:pt idx="1">
                  <c:v>2.602576242861687E-14</c:v>
                </c:pt>
                <c:pt idx="2">
                  <c:v>0</c:v>
                </c:pt>
                <c:pt idx="3">
                  <c:v>2.602576242861687E-14</c:v>
                </c:pt>
                <c:pt idx="4">
                  <c:v>2.602576242861687E-14</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3.6930401379846161</c:v>
                </c:pt>
                <c:pt idx="25">
                  <c:v>7.3860802759692321</c:v>
                </c:pt>
              </c:numCache>
            </c:numRef>
          </c:val>
        </c:ser>
        <c:ser>
          <c:idx val="16"/>
          <c:order val="16"/>
          <c:tx>
            <c:strRef>
              <c:f>'Output tables'!$A$240</c:f>
              <c:strCache>
                <c:ptCount val="1"/>
                <c:pt idx="0">
                  <c:v>-</c:v>
                </c:pt>
              </c:strCache>
            </c:strRef>
          </c:tx>
          <c:cat>
            <c:numRef>
              <c:f>'Output tables'!$AP$223:$BO$223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tables'!$AP$240:$BO$240</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7"/>
          <c:order val="17"/>
          <c:tx>
            <c:strRef>
              <c:f>'Output tables'!$A$241</c:f>
              <c:strCache>
                <c:ptCount val="1"/>
                <c:pt idx="0">
                  <c:v>-</c:v>
                </c:pt>
              </c:strCache>
            </c:strRef>
          </c:tx>
          <c:cat>
            <c:numRef>
              <c:f>'Output tables'!$AP$223:$BO$223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tables'!$AP$241:$BO$241</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8"/>
          <c:order val="18"/>
          <c:tx>
            <c:strRef>
              <c:f>'Output tables'!$A$242</c:f>
              <c:strCache>
                <c:ptCount val="1"/>
                <c:pt idx="0">
                  <c:v>-</c:v>
                </c:pt>
              </c:strCache>
            </c:strRef>
          </c:tx>
          <c:cat>
            <c:numRef>
              <c:f>'Output tables'!$AP$223:$BO$223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tables'!$AP$242:$BO$242</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9"/>
          <c:order val="19"/>
          <c:tx>
            <c:strRef>
              <c:f>'Output tables'!$A$243</c:f>
              <c:strCache>
                <c:ptCount val="1"/>
                <c:pt idx="0">
                  <c:v>Pumped storage</c:v>
                </c:pt>
              </c:strCache>
            </c:strRef>
          </c:tx>
          <c:cat>
            <c:numRef>
              <c:f>'Output tables'!$AP$223:$BO$223</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tables'!$AP$243:$BO$243</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axId val="114191744"/>
        <c:axId val="114214016"/>
      </c:areaChart>
      <c:catAx>
        <c:axId val="114191744"/>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14214016"/>
        <c:crosses val="autoZero"/>
        <c:auto val="1"/>
        <c:lblAlgn val="ctr"/>
        <c:lblOffset val="100"/>
      </c:catAx>
      <c:valAx>
        <c:axId val="114214016"/>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 CO2-eq</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4191744"/>
        <c:crosses val="autoZero"/>
        <c:crossBetween val="midCat"/>
      </c:valAx>
    </c:plotArea>
    <c:legend>
      <c:legendPos val="b"/>
      <c:layout>
        <c:manualLayout>
          <c:xMode val="edge"/>
          <c:yMode val="edge"/>
          <c:x val="1.4929345952968E-2"/>
          <c:y val="0.66274588403722334"/>
          <c:w val="0.92942840478273536"/>
          <c:h val="0.31955499880696775"/>
        </c:manualLayout>
      </c:layout>
      <c:txPr>
        <a:bodyPr/>
        <a:lstStyle/>
        <a:p>
          <a:pPr>
            <a:defRPr lang="en-ZA" sz="845" b="0" i="0" u="none" strike="noStrike" baseline="0">
              <a:solidFill>
                <a:srgbClr val="000000"/>
              </a:solidFill>
              <a:latin typeface="Calibri"/>
              <a:ea typeface="Calibri"/>
              <a:cs typeface="Calibri"/>
            </a:defRPr>
          </a:pPr>
          <a:endParaRPr lang="en-US"/>
        </a:p>
      </c:txPr>
    </c:legend>
    <c:plotVisOnly val="1"/>
    <c:dispBlanksAs val="zero"/>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222" l="0.70000000000000062" r="0.70000000000000062" t="0.75000000000000222" header="0.30000000000000032" footer="0.30000000000000032"/>
    <c:pageSetup/>
  </c:printSettings>
</c:chartSpace>
</file>

<file path=xl/charts/chart129.xml><?xml version="1.0" encoding="utf-8"?>
<c:chartSpace xmlns:c="http://schemas.openxmlformats.org/drawingml/2006/chart" xmlns:a="http://schemas.openxmlformats.org/drawingml/2006/main" xmlns:r="http://schemas.openxmlformats.org/officeDocument/2006/relationships">
  <c:lang val="en-ZA"/>
  <c:chart>
    <c:title>
      <c:tx>
        <c:strRef>
          <c:f>'Output tables'!$A$262</c:f>
          <c:strCache>
            <c:ptCount val="1"/>
            <c:pt idx="0">
              <c:v>NMVOC emissions</c:v>
            </c:pt>
          </c:strCache>
        </c:strRef>
      </c:tx>
      <c:txPr>
        <a:bodyPr/>
        <a:lstStyle/>
        <a:p>
          <a:pPr>
            <a:defRPr lang="en-ZA" sz="1800" b="1" i="0" u="none" strike="noStrike" baseline="0">
              <a:solidFill>
                <a:srgbClr val="000000"/>
              </a:solidFill>
              <a:latin typeface="Calibri"/>
              <a:ea typeface="Calibri"/>
              <a:cs typeface="Calibri"/>
            </a:defRPr>
          </a:pPr>
          <a:endParaRPr lang="en-US"/>
        </a:p>
      </c:txPr>
    </c:title>
    <c:plotArea>
      <c:layout>
        <c:manualLayout>
          <c:layoutTarget val="inner"/>
          <c:xMode val="edge"/>
          <c:yMode val="edge"/>
          <c:x val="0.11196143339225455"/>
          <c:y val="0.19467108012772291"/>
          <c:w val="0.8533303337082867"/>
          <c:h val="0.43805807713526468"/>
        </c:manualLayout>
      </c:layout>
      <c:lineChart>
        <c:grouping val="standard"/>
        <c:ser>
          <c:idx val="0"/>
          <c:order val="0"/>
          <c:tx>
            <c:strRef>
              <c:f>'Output tables'!$A$262</c:f>
              <c:strCache>
                <c:ptCount val="1"/>
                <c:pt idx="0">
                  <c:v>NMVOC emissions</c:v>
                </c:pt>
              </c:strCache>
            </c:strRef>
          </c:tx>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tables'!$AP$262:$BO$262</c:f>
              <c:numCache>
                <c:formatCode>General</c:formatCode>
                <c:ptCount val="26"/>
                <c:pt idx="0">
                  <c:v>1.1385203537867488E-2</c:v>
                </c:pt>
                <c:pt idx="1">
                  <c:v>1.138520353786749E-2</c:v>
                </c:pt>
                <c:pt idx="2">
                  <c:v>1.17349102693673E-2</c:v>
                </c:pt>
                <c:pt idx="3">
                  <c:v>1.1856728296186855E-2</c:v>
                </c:pt>
                <c:pt idx="4">
                  <c:v>1.1856728296186855E-2</c:v>
                </c:pt>
                <c:pt idx="5">
                  <c:v>1.2210517381132454E-2</c:v>
                </c:pt>
                <c:pt idx="6">
                  <c:v>1.2453003783723469E-2</c:v>
                </c:pt>
                <c:pt idx="7">
                  <c:v>1.2728660143491112E-2</c:v>
                </c:pt>
                <c:pt idx="8">
                  <c:v>1.3043719357905376E-2</c:v>
                </c:pt>
                <c:pt idx="9">
                  <c:v>1.3431924097987163E-2</c:v>
                </c:pt>
                <c:pt idx="10">
                  <c:v>1.3731682106147012E-2</c:v>
                </c:pt>
                <c:pt idx="11">
                  <c:v>1.4027180271438924E-2</c:v>
                </c:pt>
                <c:pt idx="12">
                  <c:v>1.4215720048345155E-2</c:v>
                </c:pt>
                <c:pt idx="13">
                  <c:v>1.4324802910608083E-2</c:v>
                </c:pt>
                <c:pt idx="14">
                  <c:v>1.4288856661625436E-2</c:v>
                </c:pt>
                <c:pt idx="15">
                  <c:v>1.4124253217555052E-2</c:v>
                </c:pt>
                <c:pt idx="16">
                  <c:v>1.3818255198871122E-2</c:v>
                </c:pt>
                <c:pt idx="17">
                  <c:v>1.3698940116270373E-2</c:v>
                </c:pt>
                <c:pt idx="18">
                  <c:v>1.3342450691975601E-2</c:v>
                </c:pt>
                <c:pt idx="19">
                  <c:v>1.3000768426808989E-2</c:v>
                </c:pt>
                <c:pt idx="20">
                  <c:v>1.2673188419822118E-2</c:v>
                </c:pt>
                <c:pt idx="21">
                  <c:v>1.2376400457652516E-2</c:v>
                </c:pt>
                <c:pt idx="22">
                  <c:v>1.2080360395658431E-2</c:v>
                </c:pt>
                <c:pt idx="23">
                  <c:v>1.1778595887479544E-2</c:v>
                </c:pt>
                <c:pt idx="24">
                  <c:v>1.1443763305431174E-2</c:v>
                </c:pt>
                <c:pt idx="25">
                  <c:v>1.1033218980282273E-2</c:v>
                </c:pt>
              </c:numCache>
            </c:numRef>
          </c:val>
        </c:ser>
        <c:marker val="1"/>
        <c:axId val="114308224"/>
        <c:axId val="114309760"/>
      </c:lineChart>
      <c:catAx>
        <c:axId val="114308224"/>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14309760"/>
        <c:crosses val="autoZero"/>
        <c:auto val="1"/>
        <c:lblAlgn val="ctr"/>
        <c:lblOffset val="100"/>
      </c:catAx>
      <c:valAx>
        <c:axId val="114309760"/>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4308224"/>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2" l="0.70000000000000062" r="0.70000000000000062" t="0.750000000000002" header="0.30000000000000032" footer="0.30000000000000032"/>
    <c:pageSetup/>
  </c:printSettings>
</c:chartSpace>
</file>

<file path=xl/charts/chart130.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050" b="1" i="0" u="none" strike="noStrike" baseline="0">
                <a:solidFill>
                  <a:srgbClr val="000000"/>
                </a:solidFill>
                <a:latin typeface="Calibri"/>
                <a:ea typeface="Calibri"/>
                <a:cs typeface="Calibri"/>
              </a:defRPr>
            </a:pPr>
            <a:r>
              <a:rPr lang="en-ZA"/>
              <a:t>SOx emissions</a:t>
            </a:r>
          </a:p>
        </c:rich>
      </c:tx>
    </c:title>
    <c:plotArea>
      <c:layout>
        <c:manualLayout>
          <c:layoutTarget val="inner"/>
          <c:xMode val="edge"/>
          <c:yMode val="edge"/>
          <c:x val="0.11196143339225455"/>
          <c:y val="0.11860843721342183"/>
          <c:w val="0.8533303337082867"/>
          <c:h val="0.69309189631380219"/>
        </c:manualLayout>
      </c:layout>
      <c:lineChart>
        <c:grouping val="standard"/>
        <c:ser>
          <c:idx val="0"/>
          <c:order val="0"/>
          <c:tx>
            <c:strRef>
              <c:f>'Output tables'!$A$259</c:f>
              <c:strCache>
                <c:ptCount val="1"/>
                <c:pt idx="0">
                  <c:v>SOx emissions</c:v>
                </c:pt>
              </c:strCache>
            </c:strRef>
          </c:tx>
          <c:marker>
            <c:symbol val="none"/>
          </c:marker>
          <c:cat>
            <c:numRef>
              <c:f>'Output tables'!$AP$258:$BO$258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tables'!$AP$259:$BO$259</c:f>
              <c:numCache>
                <c:formatCode>General</c:formatCode>
                <c:ptCount val="26"/>
                <c:pt idx="0">
                  <c:v>1.3313893391371041</c:v>
                </c:pt>
                <c:pt idx="1">
                  <c:v>1.3313893391371041</c:v>
                </c:pt>
                <c:pt idx="2">
                  <c:v>1.3751866101901404</c:v>
                </c:pt>
                <c:pt idx="3">
                  <c:v>1.3904430998690211</c:v>
                </c:pt>
                <c:pt idx="4">
                  <c:v>1.3904430998690211</c:v>
                </c:pt>
                <c:pt idx="5">
                  <c:v>1.4232244480936109</c:v>
                </c:pt>
                <c:pt idx="6">
                  <c:v>1.4455263573410646</c:v>
                </c:pt>
                <c:pt idx="7">
                  <c:v>1.469755203003011</c:v>
                </c:pt>
                <c:pt idx="8">
                  <c:v>1.4886245053455469</c:v>
                </c:pt>
                <c:pt idx="9">
                  <c:v>1.503492532121494</c:v>
                </c:pt>
                <c:pt idx="10">
                  <c:v>1.503492532121494</c:v>
                </c:pt>
                <c:pt idx="11">
                  <c:v>1.503492532121494</c:v>
                </c:pt>
                <c:pt idx="12">
                  <c:v>1.503492532121494</c:v>
                </c:pt>
                <c:pt idx="13">
                  <c:v>1.503492532121494</c:v>
                </c:pt>
                <c:pt idx="14">
                  <c:v>1.503492532121494</c:v>
                </c:pt>
                <c:pt idx="15">
                  <c:v>1.503492532121494</c:v>
                </c:pt>
                <c:pt idx="16">
                  <c:v>1.503492532121494</c:v>
                </c:pt>
                <c:pt idx="17">
                  <c:v>1.503492532121494</c:v>
                </c:pt>
                <c:pt idx="18">
                  <c:v>1.468408806261585</c:v>
                </c:pt>
                <c:pt idx="19">
                  <c:v>1.4256165193721186</c:v>
                </c:pt>
                <c:pt idx="20">
                  <c:v>1.3911972937564228</c:v>
                </c:pt>
                <c:pt idx="21">
                  <c:v>1.3215767230463946</c:v>
                </c:pt>
                <c:pt idx="22">
                  <c:v>1.2513921990682249</c:v>
                </c:pt>
                <c:pt idx="23">
                  <c:v>1.1664319858314933</c:v>
                </c:pt>
                <c:pt idx="24">
                  <c:v>0.99726349704888495</c:v>
                </c:pt>
                <c:pt idx="25">
                  <c:v>0.91292128260182459</c:v>
                </c:pt>
              </c:numCache>
            </c:numRef>
          </c:val>
        </c:ser>
        <c:marker val="1"/>
        <c:axId val="114325760"/>
        <c:axId val="114327552"/>
      </c:lineChart>
      <c:catAx>
        <c:axId val="114325760"/>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14327552"/>
        <c:crosses val="autoZero"/>
        <c:auto val="1"/>
        <c:lblAlgn val="ctr"/>
        <c:lblOffset val="100"/>
      </c:catAx>
      <c:valAx>
        <c:axId val="114327552"/>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4325760"/>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222" l="0.70000000000000062" r="0.70000000000000062" t="0.75000000000000222" header="0.30000000000000032" footer="0.30000000000000032"/>
    <c:pageSetup/>
  </c:printSettings>
</c:chartSpace>
</file>

<file path=xl/charts/chart131.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050" b="1" i="0" u="none" strike="noStrike" baseline="0">
                <a:solidFill>
                  <a:srgbClr val="000000"/>
                </a:solidFill>
                <a:latin typeface="Calibri"/>
                <a:ea typeface="Calibri"/>
                <a:cs typeface="Calibri"/>
              </a:defRPr>
            </a:pPr>
            <a:r>
              <a:rPr lang="en-ZA"/>
              <a:t>NOx emissions</a:t>
            </a:r>
          </a:p>
        </c:rich>
      </c:tx>
      <c:layout>
        <c:manualLayout>
          <c:xMode val="edge"/>
          <c:yMode val="edge"/>
          <c:x val="0.38354104613327833"/>
          <c:y val="1.5526540195133843E-2"/>
        </c:manualLayout>
      </c:layout>
    </c:title>
    <c:plotArea>
      <c:layout>
        <c:manualLayout>
          <c:layoutTarget val="inner"/>
          <c:xMode val="edge"/>
          <c:yMode val="edge"/>
          <c:x val="0.22921073068113734"/>
          <c:y val="0.11835241950649752"/>
          <c:w val="0.7114103433700002"/>
          <c:h val="0.63433880136775433"/>
        </c:manualLayout>
      </c:layout>
      <c:lineChart>
        <c:grouping val="standard"/>
        <c:ser>
          <c:idx val="0"/>
          <c:order val="0"/>
          <c:tx>
            <c:strRef>
              <c:f>'Output tables'!$A$260</c:f>
              <c:strCache>
                <c:ptCount val="1"/>
                <c:pt idx="0">
                  <c:v>NOx emissions</c:v>
                </c:pt>
              </c:strCache>
            </c:strRef>
          </c:tx>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tables'!$AP$260:$BO$260</c:f>
              <c:numCache>
                <c:formatCode>General</c:formatCode>
                <c:ptCount val="26"/>
                <c:pt idx="0">
                  <c:v>0.68236889703791037</c:v>
                </c:pt>
                <c:pt idx="1">
                  <c:v>0.68236889703791048</c:v>
                </c:pt>
                <c:pt idx="2">
                  <c:v>0.70335130092789899</c:v>
                </c:pt>
                <c:pt idx="3">
                  <c:v>0.71066038253707231</c:v>
                </c:pt>
                <c:pt idx="4">
                  <c:v>0.71066038253707231</c:v>
                </c:pt>
                <c:pt idx="5">
                  <c:v>0.73188772763380827</c:v>
                </c:pt>
                <c:pt idx="6">
                  <c:v>0.74610241993390647</c:v>
                </c:pt>
                <c:pt idx="7">
                  <c:v>0.76264180151996508</c:v>
                </c:pt>
                <c:pt idx="8">
                  <c:v>0.78154535438482098</c:v>
                </c:pt>
                <c:pt idx="9">
                  <c:v>0.80483763878972814</c:v>
                </c:pt>
                <c:pt idx="10">
                  <c:v>0.82282311927931906</c:v>
                </c:pt>
                <c:pt idx="11">
                  <c:v>0.84055300919683384</c:v>
                </c:pt>
                <c:pt idx="12">
                  <c:v>0.85186539581120768</c:v>
                </c:pt>
                <c:pt idx="13">
                  <c:v>0.85841036754698341</c:v>
                </c:pt>
                <c:pt idx="14">
                  <c:v>0.85625359260802447</c:v>
                </c:pt>
                <c:pt idx="15">
                  <c:v>0.84637738596380152</c:v>
                </c:pt>
                <c:pt idx="16">
                  <c:v>0.82801750484276582</c:v>
                </c:pt>
                <c:pt idx="17">
                  <c:v>0.82085859988672083</c:v>
                </c:pt>
                <c:pt idx="18">
                  <c:v>0.7994692344290345</c:v>
                </c:pt>
                <c:pt idx="19">
                  <c:v>0.77896829851903782</c:v>
                </c:pt>
                <c:pt idx="20">
                  <c:v>0.7593134980998254</c:v>
                </c:pt>
                <c:pt idx="21">
                  <c:v>0.74128322579940775</c:v>
                </c:pt>
                <c:pt idx="22">
                  <c:v>0.71942181914353787</c:v>
                </c:pt>
                <c:pt idx="23">
                  <c:v>0.69516744424846733</c:v>
                </c:pt>
                <c:pt idx="24">
                  <c:v>0.66863165882757236</c:v>
                </c:pt>
                <c:pt idx="25">
                  <c:v>0.64375463443541514</c:v>
                </c:pt>
              </c:numCache>
            </c:numRef>
          </c:val>
        </c:ser>
        <c:marker val="1"/>
        <c:axId val="114339200"/>
        <c:axId val="114357376"/>
      </c:lineChart>
      <c:catAx>
        <c:axId val="114339200"/>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14357376"/>
        <c:crosses val="autoZero"/>
        <c:auto val="1"/>
        <c:lblAlgn val="ctr"/>
        <c:lblOffset val="100"/>
      </c:catAx>
      <c:valAx>
        <c:axId val="114357376"/>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4339200"/>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244" l="0.70000000000000062" r="0.70000000000000062" t="0.75000000000000244" header="0.30000000000000032" footer="0.30000000000000032"/>
    <c:pageSetup/>
  </c:printSettings>
</c:chartSpace>
</file>

<file path=xl/charts/chart132.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050" b="1" i="0" u="none" strike="noStrike" baseline="0">
                <a:solidFill>
                  <a:srgbClr val="000000"/>
                </a:solidFill>
                <a:latin typeface="Calibri"/>
                <a:ea typeface="Calibri"/>
                <a:cs typeface="Calibri"/>
              </a:defRPr>
            </a:pPr>
            <a:r>
              <a:rPr lang="en-ZA"/>
              <a:t>CO emissions</a:t>
            </a:r>
          </a:p>
        </c:rich>
      </c:tx>
      <c:layout>
        <c:manualLayout>
          <c:xMode val="edge"/>
          <c:yMode val="edge"/>
          <c:x val="0.3451635523171544"/>
          <c:y val="3.030286431587359E-2"/>
        </c:manualLayout>
      </c:layout>
    </c:title>
    <c:plotArea>
      <c:layout>
        <c:manualLayout>
          <c:layoutTarget val="inner"/>
          <c:xMode val="edge"/>
          <c:yMode val="edge"/>
          <c:x val="0.23495608883591576"/>
          <c:y val="0.19467108012772291"/>
          <c:w val="0.70692168709344361"/>
          <c:h val="0.56425823315295454"/>
        </c:manualLayout>
      </c:layout>
      <c:lineChart>
        <c:grouping val="standard"/>
        <c:ser>
          <c:idx val="0"/>
          <c:order val="0"/>
          <c:tx>
            <c:strRef>
              <c:f>'Output tables'!$A$261</c:f>
              <c:strCache>
                <c:ptCount val="1"/>
                <c:pt idx="0">
                  <c:v>CO emissions</c:v>
                </c:pt>
              </c:strCache>
            </c:strRef>
          </c:tx>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tables'!$AP$261:$BO$261</c:f>
              <c:numCache>
                <c:formatCode>General</c:formatCode>
                <c:ptCount val="26"/>
                <c:pt idx="0">
                  <c:v>4.5503648389763007E-2</c:v>
                </c:pt>
                <c:pt idx="1">
                  <c:v>4.5503648389763014E-2</c:v>
                </c:pt>
                <c:pt idx="2">
                  <c:v>4.6902475315762256E-2</c:v>
                </c:pt>
                <c:pt idx="3">
                  <c:v>4.7389747423040474E-2</c:v>
                </c:pt>
                <c:pt idx="4">
                  <c:v>4.7389747423040474E-2</c:v>
                </c:pt>
                <c:pt idx="5">
                  <c:v>4.8804903762822871E-2</c:v>
                </c:pt>
                <c:pt idx="6">
                  <c:v>4.9758124780418793E-2</c:v>
                </c:pt>
                <c:pt idx="7">
                  <c:v>5.0860750219489367E-2</c:v>
                </c:pt>
                <c:pt idx="8">
                  <c:v>5.2120987077146422E-2</c:v>
                </c:pt>
                <c:pt idx="9">
                  <c:v>5.367380603747357E-2</c:v>
                </c:pt>
                <c:pt idx="10">
                  <c:v>5.4872838070112964E-2</c:v>
                </c:pt>
                <c:pt idx="11">
                  <c:v>5.6054830731280605E-2</c:v>
                </c:pt>
                <c:pt idx="12">
                  <c:v>5.6808989838905539E-2</c:v>
                </c:pt>
                <c:pt idx="13">
                  <c:v>5.7245321287957257E-2</c:v>
                </c:pt>
                <c:pt idx="14">
                  <c:v>5.7101536292026661E-2</c:v>
                </c:pt>
                <c:pt idx="15">
                  <c:v>5.6443122515745126E-2</c:v>
                </c:pt>
                <c:pt idx="16">
                  <c:v>5.5219130441009408E-2</c:v>
                </c:pt>
                <c:pt idx="17">
                  <c:v>5.4741870110606411E-2</c:v>
                </c:pt>
                <c:pt idx="18">
                  <c:v>5.331591241342732E-2</c:v>
                </c:pt>
                <c:pt idx="19">
                  <c:v>5.1949183352760872E-2</c:v>
                </c:pt>
                <c:pt idx="20">
                  <c:v>5.0638863324813391E-2</c:v>
                </c:pt>
                <c:pt idx="21">
                  <c:v>4.9440561747622902E-2</c:v>
                </c:pt>
                <c:pt idx="22">
                  <c:v>4.8256401499646565E-2</c:v>
                </c:pt>
                <c:pt idx="23">
                  <c:v>4.7049343466931015E-2</c:v>
                </c:pt>
                <c:pt idx="24">
                  <c:v>4.5695146834054755E-2</c:v>
                </c:pt>
                <c:pt idx="25">
                  <c:v>4.4040751289297991E-2</c:v>
                </c:pt>
              </c:numCache>
            </c:numRef>
          </c:val>
        </c:ser>
        <c:marker val="1"/>
        <c:axId val="114397952"/>
        <c:axId val="114399488"/>
      </c:lineChart>
      <c:catAx>
        <c:axId val="114397952"/>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14399488"/>
        <c:crosses val="autoZero"/>
        <c:auto val="1"/>
        <c:lblAlgn val="ctr"/>
        <c:lblOffset val="100"/>
      </c:catAx>
      <c:valAx>
        <c:axId val="114399488"/>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4397952"/>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244" l="0.70000000000000062" r="0.70000000000000062" t="0.75000000000000244" header="0.30000000000000032" footer="0.30000000000000032"/>
    <c:pageSetup/>
  </c:printSettings>
</c:chartSpace>
</file>

<file path=xl/charts/chart133.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050" b="1" i="0" u="none" strike="noStrike" baseline="0">
                <a:solidFill>
                  <a:srgbClr val="000000"/>
                </a:solidFill>
                <a:latin typeface="Calibri"/>
                <a:ea typeface="Calibri"/>
                <a:cs typeface="Calibri"/>
              </a:defRPr>
            </a:pPr>
            <a:r>
              <a:rPr lang="en-ZA"/>
              <a:t>GHG emissions </a:t>
            </a:r>
          </a:p>
        </c:rich>
      </c:tx>
      <c:layout>
        <c:manualLayout>
          <c:xMode val="edge"/>
          <c:yMode val="edge"/>
          <c:x val="0.37703152985705152"/>
          <c:y val="2.3952095808383235E-2"/>
        </c:manualLayout>
      </c:layout>
      <c:overlay val="1"/>
    </c:title>
    <c:plotArea>
      <c:layout>
        <c:manualLayout>
          <c:layoutTarget val="inner"/>
          <c:xMode val="edge"/>
          <c:yMode val="edge"/>
          <c:x val="0.10680342871251523"/>
          <c:y val="0.19467108012772291"/>
          <c:w val="0.83507441937856253"/>
          <c:h val="0.41813971883651524"/>
        </c:manualLayout>
      </c:layout>
      <c:lineChart>
        <c:grouping val="standard"/>
        <c:ser>
          <c:idx val="0"/>
          <c:order val="0"/>
          <c:tx>
            <c:strRef>
              <c:f>'Output tables'!$A$291</c:f>
              <c:strCache>
                <c:ptCount val="1"/>
                <c:pt idx="0">
                  <c:v>GHG emissions</c:v>
                </c:pt>
              </c:strCache>
            </c:strRef>
          </c:tx>
          <c:marker>
            <c:symbol val="none"/>
          </c:marker>
          <c:cat>
            <c:numRef>
              <c:f>'Output tables'!$AP$258:$BO$258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tables'!$AP$291:$BO$291</c:f>
              <c:numCache>
                <c:formatCode>General</c:formatCode>
                <c:ptCount val="26"/>
                <c:pt idx="0">
                  <c:v>14.164264318167939</c:v>
                </c:pt>
                <c:pt idx="1">
                  <c:v>14.164264318167939</c:v>
                </c:pt>
                <c:pt idx="2">
                  <c:v>14.164264318167939</c:v>
                </c:pt>
                <c:pt idx="3">
                  <c:v>14.164264318167939</c:v>
                </c:pt>
                <c:pt idx="4">
                  <c:v>14.164264318167939</c:v>
                </c:pt>
                <c:pt idx="5">
                  <c:v>15.944426509208181</c:v>
                </c:pt>
                <c:pt idx="6">
                  <c:v>16.997406780335936</c:v>
                </c:pt>
                <c:pt idx="7">
                  <c:v>16.997406780335936</c:v>
                </c:pt>
                <c:pt idx="8">
                  <c:v>16.997406780335936</c:v>
                </c:pt>
                <c:pt idx="9">
                  <c:v>16.997406780335936</c:v>
                </c:pt>
                <c:pt idx="10">
                  <c:v>16.997406780335936</c:v>
                </c:pt>
                <c:pt idx="11">
                  <c:v>16.899667274971357</c:v>
                </c:pt>
                <c:pt idx="12">
                  <c:v>16.801927769606777</c:v>
                </c:pt>
                <c:pt idx="13">
                  <c:v>16.671608429120667</c:v>
                </c:pt>
                <c:pt idx="14">
                  <c:v>16.54128908863456</c:v>
                </c:pt>
                <c:pt idx="15">
                  <c:v>14.065221619398496</c:v>
                </c:pt>
                <c:pt idx="16">
                  <c:v>11.589154150162432</c:v>
                </c:pt>
                <c:pt idx="17">
                  <c:v>11.589154150162432</c:v>
                </c:pt>
                <c:pt idx="18">
                  <c:v>11.589154150162432</c:v>
                </c:pt>
                <c:pt idx="19">
                  <c:v>11.589154150162432</c:v>
                </c:pt>
                <c:pt idx="20">
                  <c:v>10.448280723840154</c:v>
                </c:pt>
                <c:pt idx="21">
                  <c:v>9.3074072975178783</c:v>
                </c:pt>
                <c:pt idx="22">
                  <c:v>9.3074072975178783</c:v>
                </c:pt>
                <c:pt idx="23">
                  <c:v>9.3074072975178783</c:v>
                </c:pt>
                <c:pt idx="24">
                  <c:v>9.3074072975178783</c:v>
                </c:pt>
                <c:pt idx="25">
                  <c:v>9.3074072975178783</c:v>
                </c:pt>
              </c:numCache>
            </c:numRef>
          </c:val>
        </c:ser>
        <c:marker val="1"/>
        <c:axId val="114492928"/>
        <c:axId val="114494464"/>
      </c:lineChart>
      <c:catAx>
        <c:axId val="114492928"/>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14494464"/>
        <c:crosses val="autoZero"/>
        <c:auto val="1"/>
        <c:lblAlgn val="ctr"/>
        <c:lblOffset val="100"/>
      </c:catAx>
      <c:valAx>
        <c:axId val="114494464"/>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4492928"/>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311" l="0.70000000000000062" r="0.70000000000000062" t="0.75000000000000311" header="0.30000000000000032" footer="0.30000000000000032"/>
    <c:pageSetup/>
  </c:printSettings>
</c:chartSpace>
</file>

<file path=xl/charts/chart134.xml><?xml version="1.0" encoding="utf-8"?>
<c:chartSpace xmlns:c="http://schemas.openxmlformats.org/drawingml/2006/chart" xmlns:a="http://schemas.openxmlformats.org/drawingml/2006/main" xmlns:r="http://schemas.openxmlformats.org/officeDocument/2006/relationships">
  <c:lang val="en-ZA"/>
  <c:chart>
    <c:title>
      <c:tx>
        <c:strRef>
          <c:f>'Output tables'!$A$292</c:f>
          <c:strCache>
            <c:ptCount val="1"/>
            <c:pt idx="0">
              <c:v>SOx emissions</c:v>
            </c:pt>
          </c:strCache>
        </c:strRef>
      </c:tx>
      <c:layout>
        <c:manualLayout>
          <c:xMode val="edge"/>
          <c:yMode val="edge"/>
          <c:x val="0.37703173466952994"/>
          <c:y val="2.3952005999250087E-2"/>
        </c:manualLayout>
      </c:layout>
      <c:overlay val="1"/>
      <c:txPr>
        <a:bodyPr/>
        <a:lstStyle/>
        <a:p>
          <a:pPr>
            <a:defRPr lang="en-ZA" sz="1050" b="1" i="0" u="none" strike="noStrike" baseline="0">
              <a:solidFill>
                <a:srgbClr val="000000"/>
              </a:solidFill>
              <a:latin typeface="Calibri"/>
              <a:ea typeface="Calibri"/>
              <a:cs typeface="Calibri"/>
            </a:defRPr>
          </a:pPr>
          <a:endParaRPr lang="en-US"/>
        </a:p>
      </c:txPr>
    </c:title>
    <c:plotArea>
      <c:layout>
        <c:manualLayout>
          <c:layoutTarget val="inner"/>
          <c:xMode val="edge"/>
          <c:yMode val="edge"/>
          <c:x val="0.24248998210929149"/>
          <c:y val="0.17959580052493496"/>
          <c:w val="0.65512209252107689"/>
          <c:h val="0.40620322459692426"/>
        </c:manualLayout>
      </c:layout>
      <c:lineChart>
        <c:grouping val="standard"/>
        <c:ser>
          <c:idx val="0"/>
          <c:order val="0"/>
          <c:tx>
            <c:strRef>
              <c:f>'Output tables'!$A$292</c:f>
              <c:strCache>
                <c:ptCount val="1"/>
                <c:pt idx="0">
                  <c:v>SOx emissions</c:v>
                </c:pt>
              </c:strCache>
            </c:strRef>
          </c:tx>
          <c:marker>
            <c:symbol val="none"/>
          </c:marker>
          <c:cat>
            <c:numRef>
              <c:f>'Output tables'!$AP$258:$BO$258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tables'!$AP$292:$BO$292</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marker val="1"/>
        <c:axId val="114522752"/>
        <c:axId val="114545024"/>
      </c:lineChart>
      <c:catAx>
        <c:axId val="114522752"/>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14545024"/>
        <c:crosses val="autoZero"/>
        <c:auto val="1"/>
        <c:lblAlgn val="ctr"/>
        <c:lblOffset val="100"/>
      </c:catAx>
      <c:valAx>
        <c:axId val="114545024"/>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4522752"/>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377" l="0.70000000000000062" r="0.70000000000000062" t="0.75000000000000377" header="0.30000000000000032" footer="0.30000000000000032"/>
    <c:pageSetup/>
  </c:printSettings>
</c:chartSpace>
</file>

<file path=xl/charts/chart135.xml><?xml version="1.0" encoding="utf-8"?>
<c:chartSpace xmlns:c="http://schemas.openxmlformats.org/drawingml/2006/chart" xmlns:a="http://schemas.openxmlformats.org/drawingml/2006/main" xmlns:r="http://schemas.openxmlformats.org/officeDocument/2006/relationships">
  <c:lang val="en-ZA"/>
  <c:chart>
    <c:title>
      <c:tx>
        <c:strRef>
          <c:f>'Output tables'!$A$293</c:f>
          <c:strCache>
            <c:ptCount val="1"/>
            <c:pt idx="0">
              <c:v>NOx emissions</c:v>
            </c:pt>
          </c:strCache>
        </c:strRef>
      </c:tx>
      <c:layout>
        <c:manualLayout>
          <c:xMode val="edge"/>
          <c:yMode val="edge"/>
          <c:x val="0.32248628012407626"/>
          <c:y val="2.3952005999250087E-2"/>
        </c:manualLayout>
      </c:layout>
      <c:overlay val="1"/>
      <c:txPr>
        <a:bodyPr/>
        <a:lstStyle/>
        <a:p>
          <a:pPr>
            <a:defRPr lang="en-ZA" sz="1050" b="1" i="0" u="none" strike="noStrike" baseline="0">
              <a:solidFill>
                <a:srgbClr val="000000"/>
              </a:solidFill>
              <a:latin typeface="Calibri"/>
              <a:ea typeface="Calibri"/>
              <a:cs typeface="Calibri"/>
            </a:defRPr>
          </a:pPr>
          <a:endParaRPr lang="en-US"/>
        </a:p>
      </c:txPr>
    </c:title>
    <c:plotArea>
      <c:layout>
        <c:manualLayout>
          <c:layoutTarget val="inner"/>
          <c:xMode val="edge"/>
          <c:yMode val="edge"/>
          <c:x val="0.2424899821092916"/>
          <c:y val="0.17007199100112491"/>
          <c:w val="0.65512209252107734"/>
          <c:h val="0.45382227221597443"/>
        </c:manualLayout>
      </c:layout>
      <c:lineChart>
        <c:grouping val="standard"/>
        <c:ser>
          <c:idx val="0"/>
          <c:order val="0"/>
          <c:tx>
            <c:strRef>
              <c:f>'Output tables'!$A$293</c:f>
              <c:strCache>
                <c:ptCount val="1"/>
                <c:pt idx="0">
                  <c:v>NOx emissions</c:v>
                </c:pt>
              </c:strCache>
            </c:strRef>
          </c:tx>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tables'!$AP$293:$BO$293</c:f>
              <c:numCache>
                <c:formatCode>General</c:formatCode>
                <c:ptCount val="26"/>
                <c:pt idx="0">
                  <c:v>4.3940636941733946E-2</c:v>
                </c:pt>
                <c:pt idx="1">
                  <c:v>4.3940636941733946E-2</c:v>
                </c:pt>
                <c:pt idx="2">
                  <c:v>4.3940636941733946E-2</c:v>
                </c:pt>
                <c:pt idx="3">
                  <c:v>4.3940636941733946E-2</c:v>
                </c:pt>
                <c:pt idx="4">
                  <c:v>4.3940636941733946E-2</c:v>
                </c:pt>
                <c:pt idx="5">
                  <c:v>4.9463088286670329E-2</c:v>
                </c:pt>
                <c:pt idx="6">
                  <c:v>5.2729662727891848E-2</c:v>
                </c:pt>
                <c:pt idx="7">
                  <c:v>5.2729662727891848E-2</c:v>
                </c:pt>
                <c:pt idx="8">
                  <c:v>5.2729662727891848E-2</c:v>
                </c:pt>
                <c:pt idx="9">
                  <c:v>5.2729662727891848E-2</c:v>
                </c:pt>
                <c:pt idx="10">
                  <c:v>5.2729662727891848E-2</c:v>
                </c:pt>
                <c:pt idx="11">
                  <c:v>5.2426453466639857E-2</c:v>
                </c:pt>
                <c:pt idx="12">
                  <c:v>5.2123244205387859E-2</c:v>
                </c:pt>
                <c:pt idx="13">
                  <c:v>5.1718965190385199E-2</c:v>
                </c:pt>
                <c:pt idx="14">
                  <c:v>5.1314686175382533E-2</c:v>
                </c:pt>
                <c:pt idx="15">
                  <c:v>4.3633384890331924E-2</c:v>
                </c:pt>
                <c:pt idx="16">
                  <c:v>3.5952083605281321E-2</c:v>
                </c:pt>
                <c:pt idx="17">
                  <c:v>3.5952083605281321E-2</c:v>
                </c:pt>
                <c:pt idx="18">
                  <c:v>3.5952083605281321E-2</c:v>
                </c:pt>
                <c:pt idx="19">
                  <c:v>3.5952083605281321E-2</c:v>
                </c:pt>
                <c:pt idx="20">
                  <c:v>3.2412845428385774E-2</c:v>
                </c:pt>
                <c:pt idx="21">
                  <c:v>2.8873607251490237E-2</c:v>
                </c:pt>
                <c:pt idx="22">
                  <c:v>2.8873607251490237E-2</c:v>
                </c:pt>
                <c:pt idx="23">
                  <c:v>2.8873607251490237E-2</c:v>
                </c:pt>
                <c:pt idx="24">
                  <c:v>2.8873607251490237E-2</c:v>
                </c:pt>
                <c:pt idx="25">
                  <c:v>2.8873607251490237E-2</c:v>
                </c:pt>
              </c:numCache>
            </c:numRef>
          </c:val>
        </c:ser>
        <c:marker val="1"/>
        <c:axId val="114454528"/>
        <c:axId val="114456064"/>
      </c:lineChart>
      <c:catAx>
        <c:axId val="114454528"/>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14456064"/>
        <c:crosses val="autoZero"/>
        <c:auto val="1"/>
        <c:lblAlgn val="ctr"/>
        <c:lblOffset val="100"/>
      </c:catAx>
      <c:valAx>
        <c:axId val="114456064"/>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4454528"/>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4" l="0.70000000000000062" r="0.70000000000000062" t="0.750000000000004" header="0.30000000000000032" footer="0.30000000000000032"/>
    <c:pageSetup/>
  </c:printSettings>
</c:chartSpace>
</file>

<file path=xl/charts/chart136.xml><?xml version="1.0" encoding="utf-8"?>
<c:chartSpace xmlns:c="http://schemas.openxmlformats.org/drawingml/2006/chart" xmlns:a="http://schemas.openxmlformats.org/drawingml/2006/main" xmlns:r="http://schemas.openxmlformats.org/officeDocument/2006/relationships">
  <c:lang val="en-ZA"/>
  <c:chart>
    <c:title>
      <c:tx>
        <c:strRef>
          <c:f>'Output tables'!$A$301</c:f>
          <c:strCache>
            <c:ptCount val="1"/>
            <c:pt idx="0">
              <c:v>CO emissions</c:v>
            </c:pt>
          </c:strCache>
        </c:strRef>
      </c:tx>
      <c:layout>
        <c:manualLayout>
          <c:xMode val="edge"/>
          <c:yMode val="edge"/>
          <c:x val="0.32854688618468225"/>
          <c:y val="2.3952005999250087E-2"/>
        </c:manualLayout>
      </c:layout>
      <c:overlay val="1"/>
      <c:txPr>
        <a:bodyPr/>
        <a:lstStyle/>
        <a:p>
          <a:pPr>
            <a:defRPr lang="en-ZA" sz="1050" b="1" i="0" u="none" strike="noStrike" baseline="0">
              <a:solidFill>
                <a:srgbClr val="000000"/>
              </a:solidFill>
              <a:latin typeface="Calibri"/>
              <a:ea typeface="Calibri"/>
              <a:cs typeface="Calibri"/>
            </a:defRPr>
          </a:pPr>
          <a:endParaRPr lang="en-US"/>
        </a:p>
      </c:txPr>
    </c:title>
    <c:plotArea>
      <c:layout>
        <c:manualLayout>
          <c:layoutTarget val="inner"/>
          <c:xMode val="edge"/>
          <c:yMode val="edge"/>
          <c:x val="0.30915661696176738"/>
          <c:y val="0.16054818147731625"/>
          <c:w val="0.5943566717458002"/>
          <c:h val="0.44663142107236575"/>
        </c:manualLayout>
      </c:layout>
      <c:lineChart>
        <c:grouping val="standard"/>
        <c:ser>
          <c:idx val="0"/>
          <c:order val="0"/>
          <c:tx>
            <c:strRef>
              <c:f>'Output tables'!$A$294</c:f>
              <c:strCache>
                <c:ptCount val="1"/>
                <c:pt idx="0">
                  <c:v>CO emissions</c:v>
                </c:pt>
              </c:strCache>
            </c:strRef>
          </c:tx>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tables'!$AP$294:$BO$294</c:f>
              <c:numCache>
                <c:formatCode>General</c:formatCode>
                <c:ptCount val="26"/>
                <c:pt idx="0">
                  <c:v>2.9293757961155967E-3</c:v>
                </c:pt>
                <c:pt idx="1">
                  <c:v>2.9293757961155967E-3</c:v>
                </c:pt>
                <c:pt idx="2">
                  <c:v>2.9293757961155967E-3</c:v>
                </c:pt>
                <c:pt idx="3">
                  <c:v>2.9293757961155967E-3</c:v>
                </c:pt>
                <c:pt idx="4">
                  <c:v>2.9293757961155967E-3</c:v>
                </c:pt>
                <c:pt idx="5">
                  <c:v>3.2975392191113557E-3</c:v>
                </c:pt>
                <c:pt idx="6">
                  <c:v>3.5153108485261233E-3</c:v>
                </c:pt>
                <c:pt idx="7">
                  <c:v>3.5153108485261233E-3</c:v>
                </c:pt>
                <c:pt idx="8">
                  <c:v>3.5153108485261233E-3</c:v>
                </c:pt>
                <c:pt idx="9">
                  <c:v>3.5153108485261233E-3</c:v>
                </c:pt>
                <c:pt idx="10">
                  <c:v>3.5153108485261233E-3</c:v>
                </c:pt>
                <c:pt idx="11">
                  <c:v>3.4950968977759908E-3</c:v>
                </c:pt>
                <c:pt idx="12">
                  <c:v>3.4748829470258578E-3</c:v>
                </c:pt>
                <c:pt idx="13">
                  <c:v>3.4479310126923472E-3</c:v>
                </c:pt>
                <c:pt idx="14">
                  <c:v>3.4209790783588357E-3</c:v>
                </c:pt>
                <c:pt idx="15">
                  <c:v>2.9088923260221287E-3</c:v>
                </c:pt>
                <c:pt idx="16">
                  <c:v>2.3968055736854213E-3</c:v>
                </c:pt>
                <c:pt idx="17">
                  <c:v>2.3968055736854213E-3</c:v>
                </c:pt>
                <c:pt idx="18">
                  <c:v>2.3968055736854213E-3</c:v>
                </c:pt>
                <c:pt idx="19">
                  <c:v>2.3968055736854213E-3</c:v>
                </c:pt>
                <c:pt idx="20">
                  <c:v>2.160856361892385E-3</c:v>
                </c:pt>
                <c:pt idx="21">
                  <c:v>1.9249071500993492E-3</c:v>
                </c:pt>
                <c:pt idx="22">
                  <c:v>1.9249071500993492E-3</c:v>
                </c:pt>
                <c:pt idx="23">
                  <c:v>1.9249071500993492E-3</c:v>
                </c:pt>
                <c:pt idx="24">
                  <c:v>1.9249071500993492E-3</c:v>
                </c:pt>
                <c:pt idx="25">
                  <c:v>1.9249071500993492E-3</c:v>
                </c:pt>
              </c:numCache>
            </c:numRef>
          </c:val>
        </c:ser>
        <c:marker val="1"/>
        <c:axId val="114472064"/>
        <c:axId val="114473600"/>
      </c:lineChart>
      <c:catAx>
        <c:axId val="114472064"/>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14473600"/>
        <c:crosses val="autoZero"/>
        <c:auto val="1"/>
        <c:lblAlgn val="ctr"/>
        <c:lblOffset val="100"/>
      </c:catAx>
      <c:valAx>
        <c:axId val="114473600"/>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4472064"/>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4" l="0.70000000000000062" r="0.70000000000000062" t="0.750000000000004" header="0.30000000000000032" footer="0.30000000000000032"/>
    <c:pageSetup/>
  </c:printSettings>
</c:chartSpace>
</file>

<file path=xl/charts/chart137.xml><?xml version="1.0" encoding="utf-8"?>
<c:chartSpace xmlns:c="http://schemas.openxmlformats.org/drawingml/2006/chart" xmlns:a="http://schemas.openxmlformats.org/drawingml/2006/main" xmlns:r="http://schemas.openxmlformats.org/officeDocument/2006/relationships">
  <c:lang val="en-ZA"/>
  <c:chart>
    <c:title>
      <c:tx>
        <c:strRef>
          <c:f>'Output tables'!$A$295</c:f>
          <c:strCache>
            <c:ptCount val="1"/>
            <c:pt idx="0">
              <c:v>NMVOC emissions</c:v>
            </c:pt>
          </c:strCache>
        </c:strRef>
      </c:tx>
      <c:layout>
        <c:manualLayout>
          <c:xMode val="edge"/>
          <c:yMode val="edge"/>
          <c:x val="0.33460749224528796"/>
          <c:y val="2.3952005999250087E-2"/>
        </c:manualLayout>
      </c:layout>
      <c:overlay val="1"/>
      <c:txPr>
        <a:bodyPr/>
        <a:lstStyle/>
        <a:p>
          <a:pPr>
            <a:defRPr lang="en-ZA" sz="1050" b="1" i="0" u="none" strike="noStrike" baseline="0">
              <a:solidFill>
                <a:srgbClr val="000000"/>
              </a:solidFill>
              <a:latin typeface="Calibri"/>
              <a:ea typeface="Calibri"/>
              <a:cs typeface="Calibri"/>
            </a:defRPr>
          </a:pPr>
          <a:endParaRPr lang="en-US"/>
        </a:p>
      </c:txPr>
    </c:title>
    <c:plotArea>
      <c:layout>
        <c:manualLayout>
          <c:layoutTarget val="inner"/>
          <c:xMode val="edge"/>
          <c:yMode val="edge"/>
          <c:x val="0.31593733431766541"/>
          <c:y val="0.18911961004874392"/>
          <c:w val="0.60706866758832556"/>
          <c:h val="0.39901237345331947"/>
        </c:manualLayout>
      </c:layout>
      <c:lineChart>
        <c:grouping val="standard"/>
        <c:ser>
          <c:idx val="0"/>
          <c:order val="0"/>
          <c:tx>
            <c:strRef>
              <c:f>'Output tables'!$A$295</c:f>
              <c:strCache>
                <c:ptCount val="1"/>
                <c:pt idx="0">
                  <c:v>NMVOC emissions</c:v>
                </c:pt>
              </c:strCache>
            </c:strRef>
          </c:tx>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tables'!$AP$295:$BO$295</c:f>
              <c:numCache>
                <c:formatCode>General</c:formatCode>
                <c:ptCount val="26"/>
                <c:pt idx="0">
                  <c:v>7.3234394902889919E-4</c:v>
                </c:pt>
                <c:pt idx="1">
                  <c:v>7.3234394902889919E-4</c:v>
                </c:pt>
                <c:pt idx="2">
                  <c:v>7.3234394902889919E-4</c:v>
                </c:pt>
                <c:pt idx="3">
                  <c:v>7.3234394902889919E-4</c:v>
                </c:pt>
                <c:pt idx="4">
                  <c:v>7.3234394902889919E-4</c:v>
                </c:pt>
                <c:pt idx="5">
                  <c:v>8.2438480477783893E-4</c:v>
                </c:pt>
                <c:pt idx="6">
                  <c:v>8.7882771213153082E-4</c:v>
                </c:pt>
                <c:pt idx="7">
                  <c:v>8.7882771213153082E-4</c:v>
                </c:pt>
                <c:pt idx="8">
                  <c:v>8.7882771213153082E-4</c:v>
                </c:pt>
                <c:pt idx="9">
                  <c:v>8.7882771213153082E-4</c:v>
                </c:pt>
                <c:pt idx="10">
                  <c:v>8.7882771213153082E-4</c:v>
                </c:pt>
                <c:pt idx="11">
                  <c:v>8.7377422444399769E-4</c:v>
                </c:pt>
                <c:pt idx="12">
                  <c:v>8.6872073675646445E-4</c:v>
                </c:pt>
                <c:pt idx="13">
                  <c:v>8.6198275317308679E-4</c:v>
                </c:pt>
                <c:pt idx="14">
                  <c:v>8.5524476958970892E-4</c:v>
                </c:pt>
                <c:pt idx="15">
                  <c:v>7.2722308150553218E-4</c:v>
                </c:pt>
                <c:pt idx="16">
                  <c:v>5.9920139342135533E-4</c:v>
                </c:pt>
                <c:pt idx="17">
                  <c:v>5.9920139342135533E-4</c:v>
                </c:pt>
                <c:pt idx="18">
                  <c:v>5.9920139342135533E-4</c:v>
                </c:pt>
                <c:pt idx="19">
                  <c:v>5.9920139342135533E-4</c:v>
                </c:pt>
                <c:pt idx="20">
                  <c:v>5.4021409047309626E-4</c:v>
                </c:pt>
                <c:pt idx="21">
                  <c:v>4.812267875248373E-4</c:v>
                </c:pt>
                <c:pt idx="22">
                  <c:v>4.812267875248373E-4</c:v>
                </c:pt>
                <c:pt idx="23">
                  <c:v>4.812267875248373E-4</c:v>
                </c:pt>
                <c:pt idx="24">
                  <c:v>4.812267875248373E-4</c:v>
                </c:pt>
                <c:pt idx="25">
                  <c:v>4.812267875248373E-4</c:v>
                </c:pt>
              </c:numCache>
            </c:numRef>
          </c:val>
        </c:ser>
        <c:marker val="1"/>
        <c:axId val="114576000"/>
        <c:axId val="114590080"/>
      </c:lineChart>
      <c:catAx>
        <c:axId val="114576000"/>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14590080"/>
        <c:crosses val="autoZero"/>
        <c:auto val="1"/>
        <c:lblAlgn val="ctr"/>
        <c:lblOffset val="100"/>
      </c:catAx>
      <c:valAx>
        <c:axId val="114590080"/>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4576000"/>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4" l="0.70000000000000062" r="0.70000000000000062" t="0.750000000000004" header="0.30000000000000032" footer="0.30000000000000032"/>
    <c:pageSetup/>
  </c:printSettings>
</c:chartSpace>
</file>

<file path=xl/charts/chart138.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050" b="1" i="0" u="none" strike="noStrike" baseline="0">
                <a:solidFill>
                  <a:srgbClr val="000000"/>
                </a:solidFill>
                <a:latin typeface="Calibri"/>
                <a:ea typeface="Calibri"/>
                <a:cs typeface="Calibri"/>
              </a:defRPr>
            </a:pPr>
            <a:r>
              <a:rPr lang="en-ZA"/>
              <a:t>GHG emissions </a:t>
            </a:r>
          </a:p>
        </c:rich>
      </c:tx>
      <c:layout>
        <c:manualLayout>
          <c:xMode val="edge"/>
          <c:yMode val="edge"/>
          <c:x val="0.31994603266384403"/>
          <c:y val="3.172615399123014E-2"/>
        </c:manualLayout>
      </c:layout>
    </c:title>
    <c:plotArea>
      <c:layout>
        <c:manualLayout>
          <c:layoutTarget val="inner"/>
          <c:xMode val="edge"/>
          <c:yMode val="edge"/>
          <c:x val="0.13526752894927982"/>
          <c:y val="0.19467108012772291"/>
          <c:w val="0.80661020104746506"/>
          <c:h val="0.43651342983324826"/>
        </c:manualLayout>
      </c:layout>
      <c:lineChart>
        <c:grouping val="standard"/>
        <c:ser>
          <c:idx val="0"/>
          <c:order val="0"/>
          <c:tx>
            <c:strRef>
              <c:f>'Output tables'!$A$298</c:f>
              <c:strCache>
                <c:ptCount val="1"/>
                <c:pt idx="0">
                  <c:v>GHG emissions</c:v>
                </c:pt>
              </c:strCache>
            </c:strRef>
          </c:tx>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tables'!$AP$298:$BO$298</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marker val="1"/>
        <c:axId val="114688000"/>
        <c:axId val="114689536"/>
      </c:lineChart>
      <c:catAx>
        <c:axId val="114688000"/>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14689536"/>
        <c:crosses val="autoZero"/>
        <c:auto val="1"/>
        <c:lblAlgn val="ctr"/>
        <c:lblOffset val="100"/>
      </c:catAx>
      <c:valAx>
        <c:axId val="114689536"/>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4688000"/>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333" l="0.70000000000000062" r="0.70000000000000062" t="0.75000000000000333" header="0.30000000000000032" footer="0.30000000000000032"/>
    <c:pageSetup/>
  </c:printSettings>
</c:chartSpace>
</file>

<file path=xl/charts/chart139.xml><?xml version="1.0" encoding="utf-8"?>
<c:chartSpace xmlns:c="http://schemas.openxmlformats.org/drawingml/2006/chart" xmlns:a="http://schemas.openxmlformats.org/drawingml/2006/main" xmlns:r="http://schemas.openxmlformats.org/officeDocument/2006/relationships">
  <c:lang val="en-ZA"/>
  <c:chart>
    <c:title>
      <c:tx>
        <c:strRef>
          <c:f>'Output tables'!$A$292</c:f>
          <c:strCache>
            <c:ptCount val="1"/>
            <c:pt idx="0">
              <c:v>SOx emissions</c:v>
            </c:pt>
          </c:strCache>
        </c:strRef>
      </c:tx>
      <c:layout>
        <c:manualLayout>
          <c:xMode val="edge"/>
          <c:yMode val="edge"/>
          <c:x val="0.37703173466952994"/>
          <c:y val="2.3952005999250087E-2"/>
        </c:manualLayout>
      </c:layout>
      <c:overlay val="1"/>
      <c:txPr>
        <a:bodyPr/>
        <a:lstStyle/>
        <a:p>
          <a:pPr>
            <a:defRPr lang="en-ZA" sz="1050" b="1" i="0" u="none" strike="noStrike" baseline="0">
              <a:solidFill>
                <a:srgbClr val="000000"/>
              </a:solidFill>
              <a:latin typeface="Calibri"/>
              <a:ea typeface="Calibri"/>
              <a:cs typeface="Calibri"/>
            </a:defRPr>
          </a:pPr>
          <a:endParaRPr lang="en-US"/>
        </a:p>
      </c:txPr>
    </c:title>
    <c:plotArea>
      <c:layout>
        <c:manualLayout>
          <c:layoutTarget val="inner"/>
          <c:xMode val="edge"/>
          <c:yMode val="edge"/>
          <c:x val="0.2424899821092916"/>
          <c:y val="0.17959580052493501"/>
          <c:w val="0.65512209252107734"/>
          <c:h val="0.40620322459692415"/>
        </c:manualLayout>
      </c:layout>
      <c:lineChart>
        <c:grouping val="standard"/>
        <c:ser>
          <c:idx val="0"/>
          <c:order val="0"/>
          <c:tx>
            <c:strRef>
              <c:f>'Output tables'!$A$299</c:f>
              <c:strCache>
                <c:ptCount val="1"/>
                <c:pt idx="0">
                  <c:v>SOx emissions</c:v>
                </c:pt>
              </c:strCache>
            </c:strRef>
          </c:tx>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tables'!$AP$299:$BO$299</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marker val="1"/>
        <c:axId val="114717824"/>
        <c:axId val="114719360"/>
      </c:lineChart>
      <c:catAx>
        <c:axId val="114717824"/>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14719360"/>
        <c:crosses val="autoZero"/>
        <c:auto val="1"/>
        <c:lblAlgn val="ctr"/>
        <c:lblOffset val="100"/>
      </c:catAx>
      <c:valAx>
        <c:axId val="114719360"/>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4717824"/>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4" l="0.70000000000000062" r="0.70000000000000062" t="0.750000000000004" header="0.30000000000000032" footer="0.30000000000000032"/>
    <c:pageSetup/>
  </c:printSettings>
</c:chartSpace>
</file>

<file path=xl/charts/chart140.xml><?xml version="1.0" encoding="utf-8"?>
<c:chartSpace xmlns:c="http://schemas.openxmlformats.org/drawingml/2006/chart" xmlns:a="http://schemas.openxmlformats.org/drawingml/2006/main" xmlns:r="http://schemas.openxmlformats.org/officeDocument/2006/relationships">
  <c:lang val="en-ZA"/>
  <c:chart>
    <c:title>
      <c:tx>
        <c:strRef>
          <c:f>'Output tables'!$A$293</c:f>
          <c:strCache>
            <c:ptCount val="1"/>
            <c:pt idx="0">
              <c:v>NOx emissions</c:v>
            </c:pt>
          </c:strCache>
        </c:strRef>
      </c:tx>
      <c:layout>
        <c:manualLayout>
          <c:xMode val="edge"/>
          <c:yMode val="edge"/>
          <c:x val="0.32248628012407626"/>
          <c:y val="2.3952005999250087E-2"/>
        </c:manualLayout>
      </c:layout>
      <c:overlay val="1"/>
      <c:txPr>
        <a:bodyPr/>
        <a:lstStyle/>
        <a:p>
          <a:pPr>
            <a:defRPr lang="en-ZA" sz="1050" b="1" i="0" u="none" strike="noStrike" baseline="0">
              <a:solidFill>
                <a:srgbClr val="000000"/>
              </a:solidFill>
              <a:latin typeface="Calibri"/>
              <a:ea typeface="Calibri"/>
              <a:cs typeface="Calibri"/>
            </a:defRPr>
          </a:pPr>
          <a:endParaRPr lang="en-US"/>
        </a:p>
      </c:txPr>
    </c:title>
    <c:plotArea>
      <c:layout>
        <c:manualLayout>
          <c:layoutTarget val="inner"/>
          <c:xMode val="edge"/>
          <c:yMode val="edge"/>
          <c:x val="0.24248998210929176"/>
          <c:y val="0.17007199100112491"/>
          <c:w val="0.65512209252107789"/>
          <c:h val="0.45382227221597465"/>
        </c:manualLayout>
      </c:layout>
      <c:lineChart>
        <c:grouping val="standard"/>
        <c:ser>
          <c:idx val="0"/>
          <c:order val="0"/>
          <c:tx>
            <c:strRef>
              <c:f>'Output tables'!$A$300</c:f>
              <c:strCache>
                <c:ptCount val="1"/>
                <c:pt idx="0">
                  <c:v>NOx emissions</c:v>
                </c:pt>
              </c:strCache>
            </c:strRef>
          </c:tx>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tables'!$AP$300:$BO$300</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marker val="1"/>
        <c:axId val="114739456"/>
        <c:axId val="114831360"/>
      </c:lineChart>
      <c:catAx>
        <c:axId val="114739456"/>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14831360"/>
        <c:crosses val="autoZero"/>
        <c:auto val="1"/>
        <c:lblAlgn val="ctr"/>
        <c:lblOffset val="100"/>
      </c:catAx>
      <c:valAx>
        <c:axId val="114831360"/>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4739456"/>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422" l="0.70000000000000062" r="0.70000000000000062" t="0.75000000000000422" header="0.30000000000000032" footer="0.30000000000000032"/>
    <c:pageSetup/>
  </c:printSettings>
</c:chartSpace>
</file>

<file path=xl/charts/chart141.xml><?xml version="1.0" encoding="utf-8"?>
<c:chartSpace xmlns:c="http://schemas.openxmlformats.org/drawingml/2006/chart" xmlns:a="http://schemas.openxmlformats.org/drawingml/2006/main" xmlns:r="http://schemas.openxmlformats.org/officeDocument/2006/relationships">
  <c:lang val="en-ZA"/>
  <c:chart>
    <c:title>
      <c:tx>
        <c:strRef>
          <c:f>'Output tables'!$A$301</c:f>
          <c:strCache>
            <c:ptCount val="1"/>
            <c:pt idx="0">
              <c:v>CO emissions</c:v>
            </c:pt>
          </c:strCache>
        </c:strRef>
      </c:tx>
      <c:layout>
        <c:manualLayout>
          <c:xMode val="edge"/>
          <c:yMode val="edge"/>
          <c:x val="0.32854688618468225"/>
          <c:y val="2.3952005999250087E-2"/>
        </c:manualLayout>
      </c:layout>
      <c:overlay val="1"/>
      <c:txPr>
        <a:bodyPr/>
        <a:lstStyle/>
        <a:p>
          <a:pPr>
            <a:defRPr lang="en-ZA" sz="1050" b="1" i="0" u="none" strike="noStrike" baseline="0">
              <a:solidFill>
                <a:srgbClr val="000000"/>
              </a:solidFill>
              <a:latin typeface="Calibri"/>
              <a:ea typeface="Calibri"/>
              <a:cs typeface="Calibri"/>
            </a:defRPr>
          </a:pPr>
          <a:endParaRPr lang="en-US"/>
        </a:p>
      </c:txPr>
    </c:title>
    <c:plotArea>
      <c:layout>
        <c:manualLayout>
          <c:layoutTarget val="inner"/>
          <c:xMode val="edge"/>
          <c:yMode val="edge"/>
          <c:x val="0.30915661696176738"/>
          <c:y val="0.16054818147731637"/>
          <c:w val="0.59435667174579998"/>
          <c:h val="0.44663142107236575"/>
        </c:manualLayout>
      </c:layout>
      <c:lineChart>
        <c:grouping val="standard"/>
        <c:ser>
          <c:idx val="0"/>
          <c:order val="0"/>
          <c:tx>
            <c:strRef>
              <c:f>'Output tables'!$A$301</c:f>
              <c:strCache>
                <c:ptCount val="1"/>
                <c:pt idx="0">
                  <c:v>CO emissions</c:v>
                </c:pt>
              </c:strCache>
            </c:strRef>
          </c:tx>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tables'!$AP$301:$BO$301</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marker val="1"/>
        <c:axId val="114843008"/>
        <c:axId val="114857088"/>
      </c:lineChart>
      <c:catAx>
        <c:axId val="114843008"/>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14857088"/>
        <c:crosses val="autoZero"/>
        <c:auto val="1"/>
        <c:lblAlgn val="ctr"/>
        <c:lblOffset val="100"/>
      </c:catAx>
      <c:valAx>
        <c:axId val="114857088"/>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4843008"/>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422" l="0.70000000000000062" r="0.70000000000000062" t="0.75000000000000422" header="0.30000000000000032" footer="0.30000000000000032"/>
    <c:pageSetup/>
  </c:printSettings>
</c:chartSpace>
</file>

<file path=xl/charts/chart142.xml><?xml version="1.0" encoding="utf-8"?>
<c:chartSpace xmlns:c="http://schemas.openxmlformats.org/drawingml/2006/chart" xmlns:a="http://schemas.openxmlformats.org/drawingml/2006/main" xmlns:r="http://schemas.openxmlformats.org/officeDocument/2006/relationships">
  <c:lang val="en-ZA"/>
  <c:chart>
    <c:title>
      <c:tx>
        <c:strRef>
          <c:f>'Output tables'!$A$295</c:f>
          <c:strCache>
            <c:ptCount val="1"/>
            <c:pt idx="0">
              <c:v>NMVOC emissions</c:v>
            </c:pt>
          </c:strCache>
        </c:strRef>
      </c:tx>
      <c:layout>
        <c:manualLayout>
          <c:xMode val="edge"/>
          <c:yMode val="edge"/>
          <c:x val="0.33460749224528796"/>
          <c:y val="2.3952005999250087E-2"/>
        </c:manualLayout>
      </c:layout>
      <c:overlay val="1"/>
      <c:txPr>
        <a:bodyPr/>
        <a:lstStyle/>
        <a:p>
          <a:pPr>
            <a:defRPr lang="en-ZA" sz="1050" b="1" i="0" u="none" strike="noStrike" baseline="0">
              <a:solidFill>
                <a:srgbClr val="000000"/>
              </a:solidFill>
              <a:latin typeface="Calibri"/>
              <a:ea typeface="Calibri"/>
              <a:cs typeface="Calibri"/>
            </a:defRPr>
          </a:pPr>
          <a:endParaRPr lang="en-US"/>
        </a:p>
      </c:txPr>
    </c:title>
    <c:plotArea>
      <c:layout>
        <c:manualLayout>
          <c:layoutTarget val="inner"/>
          <c:xMode val="edge"/>
          <c:yMode val="edge"/>
          <c:x val="0.31593733431766552"/>
          <c:y val="0.18911961004874392"/>
          <c:w val="0.60706866758832589"/>
          <c:h val="0.39901237345331958"/>
        </c:manualLayout>
      </c:layout>
      <c:lineChart>
        <c:grouping val="standard"/>
        <c:ser>
          <c:idx val="0"/>
          <c:order val="0"/>
          <c:tx>
            <c:strRef>
              <c:f>'Output tables'!$A$302</c:f>
              <c:strCache>
                <c:ptCount val="1"/>
                <c:pt idx="0">
                  <c:v>NMVOC emissions</c:v>
                </c:pt>
              </c:strCache>
            </c:strRef>
          </c:tx>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tables'!$AP$302:$BO$302</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marker val="1"/>
        <c:axId val="114967296"/>
        <c:axId val="114968832"/>
      </c:lineChart>
      <c:catAx>
        <c:axId val="114967296"/>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14968832"/>
        <c:crosses val="autoZero"/>
        <c:auto val="1"/>
        <c:lblAlgn val="ctr"/>
        <c:lblOffset val="100"/>
      </c:catAx>
      <c:valAx>
        <c:axId val="114968832"/>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4967296"/>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422" l="0.70000000000000062" r="0.70000000000000062" t="0.75000000000000422" header="0.30000000000000032" footer="0.30000000000000032"/>
    <c:pageSetup/>
  </c:printSettings>
</c:chartSpace>
</file>

<file path=xl/charts/chart143.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050" b="1" i="0" u="none" strike="noStrike" baseline="0">
                <a:solidFill>
                  <a:srgbClr val="000000"/>
                </a:solidFill>
                <a:latin typeface="Calibri"/>
                <a:ea typeface="Calibri"/>
                <a:cs typeface="Calibri"/>
              </a:defRPr>
            </a:pPr>
            <a:r>
              <a:rPr lang="en-ZA"/>
              <a:t>GHG emissions </a:t>
            </a:r>
          </a:p>
        </c:rich>
      </c:tx>
      <c:layout>
        <c:manualLayout>
          <c:xMode val="edge"/>
          <c:yMode val="edge"/>
          <c:x val="0.37703158072982851"/>
          <c:y val="2.3952095808383235E-2"/>
        </c:manualLayout>
      </c:layout>
      <c:overlay val="1"/>
    </c:title>
    <c:plotArea>
      <c:layout>
        <c:manualLayout>
          <c:layoutTarget val="inner"/>
          <c:xMode val="edge"/>
          <c:yMode val="edge"/>
          <c:x val="0.10680342871251523"/>
          <c:y val="0.19467108012772291"/>
          <c:w val="0.83507441937856286"/>
          <c:h val="0.41813971883651524"/>
        </c:manualLayout>
      </c:layout>
      <c:lineChart>
        <c:grouping val="standard"/>
        <c:ser>
          <c:idx val="0"/>
          <c:order val="0"/>
          <c:tx>
            <c:strRef>
              <c:f>'Output tables'!$A$291</c:f>
              <c:strCache>
                <c:ptCount val="1"/>
                <c:pt idx="0">
                  <c:v>GHG emissions</c:v>
                </c:pt>
              </c:strCache>
            </c:strRef>
          </c:tx>
          <c:spPr>
            <a:ln>
              <a:solidFill>
                <a:srgbClr val="FF0000"/>
              </a:solidFill>
            </a:ln>
          </c:spPr>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tables'!$BW$298:$CV$298</c:f>
              <c:numCache>
                <c:formatCode>General</c:formatCode>
                <c:ptCount val="26"/>
                <c:pt idx="0">
                  <c:v>0</c:v>
                </c:pt>
                <c:pt idx="1">
                  <c:v>0</c:v>
                </c:pt>
                <c:pt idx="2">
                  <c:v>0</c:v>
                </c:pt>
                <c:pt idx="3">
                  <c:v>0</c:v>
                </c:pt>
                <c:pt idx="4">
                  <c:v>0</c:v>
                </c:pt>
                <c:pt idx="5">
                  <c:v>0</c:v>
                </c:pt>
                <c:pt idx="6">
                  <c:v>0</c:v>
                </c:pt>
                <c:pt idx="7">
                  <c:v>1.5897728804899998</c:v>
                </c:pt>
                <c:pt idx="8">
                  <c:v>4.76931864147</c:v>
                </c:pt>
                <c:pt idx="9">
                  <c:v>9.981494968181412</c:v>
                </c:pt>
                <c:pt idx="10">
                  <c:v>15.779114604001057</c:v>
                </c:pt>
                <c:pt idx="11">
                  <c:v>21.592084124276493</c:v>
                </c:pt>
                <c:pt idx="12">
                  <c:v>25.336371454784519</c:v>
                </c:pt>
                <c:pt idx="13">
                  <c:v>27.576462434297909</c:v>
                </c:pt>
                <c:pt idx="14">
                  <c:v>27.011545373210616</c:v>
                </c:pt>
                <c:pt idx="15">
                  <c:v>26.304017630681393</c:v>
                </c:pt>
                <c:pt idx="16">
                  <c:v>22.861777420551583</c:v>
                </c:pt>
                <c:pt idx="17">
                  <c:v>20.554104407970506</c:v>
                </c:pt>
                <c:pt idx="18">
                  <c:v>19.077274565880003</c:v>
                </c:pt>
                <c:pt idx="19">
                  <c:v>19.077274565880003</c:v>
                </c:pt>
                <c:pt idx="20">
                  <c:v>19.197835426423797</c:v>
                </c:pt>
                <c:pt idx="21">
                  <c:v>25.221586697982048</c:v>
                </c:pt>
                <c:pt idx="22">
                  <c:v>27.691949386680839</c:v>
                </c:pt>
                <c:pt idx="23">
                  <c:v>31.012113695903075</c:v>
                </c:pt>
                <c:pt idx="24">
                  <c:v>42.832671502947825</c:v>
                </c:pt>
                <c:pt idx="25">
                  <c:v>44.08351296332367</c:v>
                </c:pt>
              </c:numCache>
            </c:numRef>
          </c:val>
        </c:ser>
        <c:marker val="1"/>
        <c:axId val="114980736"/>
        <c:axId val="114982272"/>
      </c:lineChart>
      <c:catAx>
        <c:axId val="114980736"/>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14982272"/>
        <c:crosses val="autoZero"/>
        <c:auto val="1"/>
        <c:lblAlgn val="ctr"/>
        <c:lblOffset val="100"/>
      </c:catAx>
      <c:valAx>
        <c:axId val="114982272"/>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4980736"/>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333" l="0.70000000000000062" r="0.70000000000000062" t="0.75000000000000333" header="0.30000000000000032" footer="0.30000000000000032"/>
    <c:pageSetup/>
  </c:printSettings>
</c:chartSpace>
</file>

<file path=xl/charts/chart144.xml><?xml version="1.0" encoding="utf-8"?>
<c:chartSpace xmlns:c="http://schemas.openxmlformats.org/drawingml/2006/chart" xmlns:a="http://schemas.openxmlformats.org/drawingml/2006/main" xmlns:r="http://schemas.openxmlformats.org/officeDocument/2006/relationships">
  <c:lang val="en-ZA"/>
  <c:chart>
    <c:title>
      <c:tx>
        <c:strRef>
          <c:f>'Output tables'!$A$292</c:f>
          <c:strCache>
            <c:ptCount val="1"/>
            <c:pt idx="0">
              <c:v>SOx emissions</c:v>
            </c:pt>
          </c:strCache>
        </c:strRef>
      </c:tx>
      <c:layout>
        <c:manualLayout>
          <c:xMode val="edge"/>
          <c:yMode val="edge"/>
          <c:x val="0.37703184362228698"/>
          <c:y val="2.3952005999250087E-2"/>
        </c:manualLayout>
      </c:layout>
      <c:overlay val="1"/>
      <c:txPr>
        <a:bodyPr/>
        <a:lstStyle/>
        <a:p>
          <a:pPr>
            <a:defRPr lang="en-ZA" sz="1050" b="1" i="0" u="none" strike="noStrike" baseline="0">
              <a:solidFill>
                <a:srgbClr val="000000"/>
              </a:solidFill>
              <a:latin typeface="Calibri"/>
              <a:ea typeface="Calibri"/>
              <a:cs typeface="Calibri"/>
            </a:defRPr>
          </a:pPr>
          <a:endParaRPr lang="en-US"/>
        </a:p>
      </c:txPr>
    </c:title>
    <c:plotArea>
      <c:layout>
        <c:manualLayout>
          <c:layoutTarget val="inner"/>
          <c:xMode val="edge"/>
          <c:yMode val="edge"/>
          <c:x val="0.2424899821092916"/>
          <c:y val="0.17959580052493501"/>
          <c:w val="0.65512209252107734"/>
          <c:h val="0.40620322459692415"/>
        </c:manualLayout>
      </c:layout>
      <c:lineChart>
        <c:grouping val="standard"/>
        <c:ser>
          <c:idx val="0"/>
          <c:order val="0"/>
          <c:tx>
            <c:strRef>
              <c:f>'Output tables'!$A$292</c:f>
              <c:strCache>
                <c:ptCount val="1"/>
                <c:pt idx="0">
                  <c:v>SOx emissions</c:v>
                </c:pt>
              </c:strCache>
            </c:strRef>
          </c:tx>
          <c:spPr>
            <a:ln>
              <a:solidFill>
                <a:srgbClr val="FF0000"/>
              </a:solidFill>
            </a:ln>
          </c:spPr>
          <c:marker>
            <c:symbol val="none"/>
          </c:marker>
          <c:cat>
            <c:numRef>
              <c:f>'Output tables'!$BW$258:$CV$258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tables'!$BW$299:$CV$299</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marker val="1"/>
        <c:axId val="98581504"/>
        <c:axId val="98595584"/>
      </c:lineChart>
      <c:catAx>
        <c:axId val="98581504"/>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98595584"/>
        <c:crosses val="autoZero"/>
        <c:auto val="1"/>
        <c:lblAlgn val="ctr"/>
        <c:lblOffset val="100"/>
      </c:catAx>
      <c:valAx>
        <c:axId val="98595584"/>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98581504"/>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4" l="0.70000000000000062" r="0.70000000000000062" t="0.750000000000004" header="0.30000000000000032" footer="0.30000000000000032"/>
    <c:pageSetup/>
  </c:printSettings>
</c:chartSpace>
</file>

<file path=xl/charts/chart145.xml><?xml version="1.0" encoding="utf-8"?>
<c:chartSpace xmlns:c="http://schemas.openxmlformats.org/drawingml/2006/chart" xmlns:a="http://schemas.openxmlformats.org/drawingml/2006/main" xmlns:r="http://schemas.openxmlformats.org/officeDocument/2006/relationships">
  <c:lang val="en-ZA"/>
  <c:chart>
    <c:title>
      <c:tx>
        <c:strRef>
          <c:f>'Output tables'!$A$293</c:f>
          <c:strCache>
            <c:ptCount val="1"/>
            <c:pt idx="0">
              <c:v>NOx emissions</c:v>
            </c:pt>
          </c:strCache>
        </c:strRef>
      </c:tx>
      <c:layout>
        <c:manualLayout>
          <c:xMode val="edge"/>
          <c:yMode val="edge"/>
          <c:x val="0.32248628012407626"/>
          <c:y val="2.3952005999250087E-2"/>
        </c:manualLayout>
      </c:layout>
      <c:overlay val="1"/>
      <c:txPr>
        <a:bodyPr/>
        <a:lstStyle/>
        <a:p>
          <a:pPr>
            <a:defRPr lang="en-ZA" sz="1050" b="1" i="0" u="none" strike="noStrike" baseline="0">
              <a:solidFill>
                <a:srgbClr val="000000"/>
              </a:solidFill>
              <a:latin typeface="Calibri"/>
              <a:ea typeface="Calibri"/>
              <a:cs typeface="Calibri"/>
            </a:defRPr>
          </a:pPr>
          <a:endParaRPr lang="en-US"/>
        </a:p>
      </c:txPr>
    </c:title>
    <c:plotArea>
      <c:layout>
        <c:manualLayout>
          <c:layoutTarget val="inner"/>
          <c:xMode val="edge"/>
          <c:yMode val="edge"/>
          <c:x val="0.24248998210929176"/>
          <c:y val="0.17007199100112491"/>
          <c:w val="0.65512209252107789"/>
          <c:h val="0.45382227221597465"/>
        </c:manualLayout>
      </c:layout>
      <c:lineChart>
        <c:grouping val="standard"/>
        <c:ser>
          <c:idx val="0"/>
          <c:order val="0"/>
          <c:tx>
            <c:strRef>
              <c:f>'Output tables'!$A$293</c:f>
              <c:strCache>
                <c:ptCount val="1"/>
                <c:pt idx="0">
                  <c:v>NOx emissions</c:v>
                </c:pt>
              </c:strCache>
            </c:strRef>
          </c:tx>
          <c:spPr>
            <a:ln>
              <a:solidFill>
                <a:srgbClr val="FF0000"/>
              </a:solidFill>
            </a:ln>
          </c:spPr>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tables'!$BW$300:$CV$300</c:f>
              <c:numCache>
                <c:formatCode>General</c:formatCode>
                <c:ptCount val="26"/>
                <c:pt idx="0">
                  <c:v>0</c:v>
                </c:pt>
                <c:pt idx="1">
                  <c:v>0</c:v>
                </c:pt>
                <c:pt idx="2">
                  <c:v>0</c:v>
                </c:pt>
                <c:pt idx="3">
                  <c:v>0</c:v>
                </c:pt>
                <c:pt idx="4">
                  <c:v>0</c:v>
                </c:pt>
                <c:pt idx="5">
                  <c:v>0</c:v>
                </c:pt>
                <c:pt idx="6">
                  <c:v>0</c:v>
                </c:pt>
                <c:pt idx="7">
                  <c:v>4.9318221823794004E-3</c:v>
                </c:pt>
                <c:pt idx="8">
                  <c:v>1.4795466547138203E-2</c:v>
                </c:pt>
                <c:pt idx="9">
                  <c:v>3.0964774214926039E-2</c:v>
                </c:pt>
                <c:pt idx="10">
                  <c:v>4.8950254704516999E-2</c:v>
                </c:pt>
                <c:pt idx="11">
                  <c:v>6.6983353883283664E-2</c:v>
                </c:pt>
                <c:pt idx="12">
                  <c:v>7.8598949758909617E-2</c:v>
                </c:pt>
                <c:pt idx="13">
                  <c:v>8.5548200509687936E-2</c:v>
                </c:pt>
                <c:pt idx="14">
                  <c:v>8.3795704585731698E-2</c:v>
                </c:pt>
                <c:pt idx="15">
                  <c:v>8.1600799226559301E-2</c:v>
                </c:pt>
                <c:pt idx="16">
                  <c:v>7.0922219390574165E-2</c:v>
                </c:pt>
                <c:pt idx="17">
                  <c:v>6.3763314434529247E-2</c:v>
                </c:pt>
                <c:pt idx="18">
                  <c:v>5.9181866188552826E-2</c:v>
                </c:pt>
                <c:pt idx="19">
                  <c:v>5.9181866188552826E-2</c:v>
                </c:pt>
                <c:pt idx="20">
                  <c:v>5.9555872270587236E-2</c:v>
                </c:pt>
                <c:pt idx="21">
                  <c:v>7.824286241036775E-2</c:v>
                </c:pt>
                <c:pt idx="22">
                  <c:v>8.5906466222059372E-2</c:v>
                </c:pt>
                <c:pt idx="23">
                  <c:v>9.6206339990392645E-2</c:v>
                </c:pt>
                <c:pt idx="24">
                  <c:v>0.13287628820520497</c:v>
                </c:pt>
                <c:pt idx="25">
                  <c:v>0.13675667120621582</c:v>
                </c:pt>
              </c:numCache>
            </c:numRef>
          </c:val>
        </c:ser>
        <c:marker val="1"/>
        <c:axId val="98623872"/>
        <c:axId val="98625408"/>
      </c:lineChart>
      <c:catAx>
        <c:axId val="98623872"/>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98625408"/>
        <c:crosses val="autoZero"/>
        <c:auto val="1"/>
        <c:lblAlgn val="ctr"/>
        <c:lblOffset val="100"/>
      </c:catAx>
      <c:valAx>
        <c:axId val="98625408"/>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98623872"/>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422" l="0.70000000000000062" r="0.70000000000000062" t="0.75000000000000422" header="0.30000000000000032" footer="0.30000000000000032"/>
    <c:pageSetup/>
  </c:printSettings>
</c:chartSpace>
</file>

<file path=xl/charts/chart146.xml><?xml version="1.0" encoding="utf-8"?>
<c:chartSpace xmlns:c="http://schemas.openxmlformats.org/drawingml/2006/chart" xmlns:a="http://schemas.openxmlformats.org/drawingml/2006/main" xmlns:r="http://schemas.openxmlformats.org/officeDocument/2006/relationships">
  <c:lang val="en-ZA"/>
  <c:chart>
    <c:title>
      <c:tx>
        <c:strRef>
          <c:f>'Output tables'!$A$301</c:f>
          <c:strCache>
            <c:ptCount val="1"/>
            <c:pt idx="0">
              <c:v>CO emissions</c:v>
            </c:pt>
          </c:strCache>
        </c:strRef>
      </c:tx>
      <c:layout>
        <c:manualLayout>
          <c:xMode val="edge"/>
          <c:yMode val="edge"/>
          <c:x val="0.32854708229964485"/>
          <c:y val="2.3952005999250087E-2"/>
        </c:manualLayout>
      </c:layout>
      <c:overlay val="1"/>
      <c:txPr>
        <a:bodyPr/>
        <a:lstStyle/>
        <a:p>
          <a:pPr>
            <a:defRPr lang="en-ZA" sz="1050" b="1" i="0" u="none" strike="noStrike" baseline="0">
              <a:solidFill>
                <a:srgbClr val="000000"/>
              </a:solidFill>
              <a:latin typeface="Calibri"/>
              <a:ea typeface="Calibri"/>
              <a:cs typeface="Calibri"/>
            </a:defRPr>
          </a:pPr>
          <a:endParaRPr lang="en-US"/>
        </a:p>
      </c:txPr>
    </c:title>
    <c:plotArea>
      <c:layout>
        <c:manualLayout>
          <c:layoutTarget val="inner"/>
          <c:xMode val="edge"/>
          <c:yMode val="edge"/>
          <c:x val="0.30915661696176738"/>
          <c:y val="0.16054818147731637"/>
          <c:w val="0.59435667174579998"/>
          <c:h val="0.44663142107236575"/>
        </c:manualLayout>
      </c:layout>
      <c:lineChart>
        <c:grouping val="standard"/>
        <c:ser>
          <c:idx val="0"/>
          <c:order val="0"/>
          <c:tx>
            <c:strRef>
              <c:f>'Output tables'!$A$294</c:f>
              <c:strCache>
                <c:ptCount val="1"/>
                <c:pt idx="0">
                  <c:v>CO emissions</c:v>
                </c:pt>
              </c:strCache>
            </c:strRef>
          </c:tx>
          <c:spPr>
            <a:ln>
              <a:solidFill>
                <a:srgbClr val="FF0000"/>
              </a:solidFill>
            </a:ln>
          </c:spPr>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tables'!$BW$301:$CV$301</c:f>
              <c:numCache>
                <c:formatCode>General</c:formatCode>
                <c:ptCount val="26"/>
                <c:pt idx="0">
                  <c:v>0</c:v>
                </c:pt>
                <c:pt idx="1">
                  <c:v>0</c:v>
                </c:pt>
                <c:pt idx="2">
                  <c:v>0</c:v>
                </c:pt>
                <c:pt idx="3">
                  <c:v>0</c:v>
                </c:pt>
                <c:pt idx="4">
                  <c:v>0</c:v>
                </c:pt>
                <c:pt idx="5">
                  <c:v>0</c:v>
                </c:pt>
                <c:pt idx="6">
                  <c:v>0</c:v>
                </c:pt>
                <c:pt idx="7">
                  <c:v>3.2878814549196006E-4</c:v>
                </c:pt>
                <c:pt idx="8">
                  <c:v>9.8636443647588017E-4</c:v>
                </c:pt>
                <c:pt idx="9">
                  <c:v>2.0643182809950695E-3</c:v>
                </c:pt>
                <c:pt idx="10">
                  <c:v>3.2633503136344669E-3</c:v>
                </c:pt>
                <c:pt idx="11">
                  <c:v>4.465556925552245E-3</c:v>
                </c:pt>
                <c:pt idx="12">
                  <c:v>5.2399299839273076E-3</c:v>
                </c:pt>
                <c:pt idx="13">
                  <c:v>5.7032133673125297E-3</c:v>
                </c:pt>
                <c:pt idx="14">
                  <c:v>5.586380305715447E-3</c:v>
                </c:pt>
                <c:pt idx="15">
                  <c:v>5.4400532817706201E-3</c:v>
                </c:pt>
                <c:pt idx="16">
                  <c:v>4.7281479593716111E-3</c:v>
                </c:pt>
                <c:pt idx="17">
                  <c:v>4.2508876289686168E-3</c:v>
                </c:pt>
                <c:pt idx="18">
                  <c:v>3.9454577459035215E-3</c:v>
                </c:pt>
                <c:pt idx="19">
                  <c:v>3.9454577459035215E-3</c:v>
                </c:pt>
                <c:pt idx="20">
                  <c:v>3.9703914847058156E-3</c:v>
                </c:pt>
                <c:pt idx="21">
                  <c:v>5.2161908273578505E-3</c:v>
                </c:pt>
                <c:pt idx="22">
                  <c:v>5.7270977481372913E-3</c:v>
                </c:pt>
                <c:pt idx="23">
                  <c:v>6.4137559993595102E-3</c:v>
                </c:pt>
                <c:pt idx="24">
                  <c:v>8.8584192136803314E-3</c:v>
                </c:pt>
                <c:pt idx="25">
                  <c:v>9.1171114137477208E-3</c:v>
                </c:pt>
              </c:numCache>
            </c:numRef>
          </c:val>
        </c:ser>
        <c:marker val="1"/>
        <c:axId val="108090880"/>
        <c:axId val="108092416"/>
      </c:lineChart>
      <c:catAx>
        <c:axId val="108090880"/>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08092416"/>
        <c:crosses val="autoZero"/>
        <c:auto val="1"/>
        <c:lblAlgn val="ctr"/>
        <c:lblOffset val="100"/>
      </c:catAx>
      <c:valAx>
        <c:axId val="108092416"/>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08090880"/>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422" l="0.70000000000000062" r="0.70000000000000062" t="0.75000000000000422" header="0.30000000000000032" footer="0.30000000000000032"/>
    <c:pageSetup/>
  </c:printSettings>
</c:chartSpace>
</file>

<file path=xl/charts/chart147.xml><?xml version="1.0" encoding="utf-8"?>
<c:chartSpace xmlns:c="http://schemas.openxmlformats.org/drawingml/2006/chart" xmlns:a="http://schemas.openxmlformats.org/drawingml/2006/main" xmlns:r="http://schemas.openxmlformats.org/officeDocument/2006/relationships">
  <c:lang val="en-ZA"/>
  <c:chart>
    <c:title>
      <c:tx>
        <c:strRef>
          <c:f>'Output tables'!$A$295</c:f>
          <c:strCache>
            <c:ptCount val="1"/>
            <c:pt idx="0">
              <c:v>NMVOC emissions</c:v>
            </c:pt>
          </c:strCache>
        </c:strRef>
      </c:tx>
      <c:layout>
        <c:manualLayout>
          <c:xMode val="edge"/>
          <c:yMode val="edge"/>
          <c:x val="0.33460749224528796"/>
          <c:y val="2.3952005999250087E-2"/>
        </c:manualLayout>
      </c:layout>
      <c:overlay val="1"/>
      <c:txPr>
        <a:bodyPr/>
        <a:lstStyle/>
        <a:p>
          <a:pPr>
            <a:defRPr lang="en-ZA" sz="1050" b="1" i="0" u="none" strike="noStrike" baseline="0">
              <a:solidFill>
                <a:srgbClr val="000000"/>
              </a:solidFill>
              <a:latin typeface="Calibri"/>
              <a:ea typeface="Calibri"/>
              <a:cs typeface="Calibri"/>
            </a:defRPr>
          </a:pPr>
          <a:endParaRPr lang="en-US"/>
        </a:p>
      </c:txPr>
    </c:title>
    <c:plotArea>
      <c:layout>
        <c:manualLayout>
          <c:layoutTarget val="inner"/>
          <c:xMode val="edge"/>
          <c:yMode val="edge"/>
          <c:x val="0.31593733431766552"/>
          <c:y val="0.18911961004874392"/>
          <c:w val="0.60706866758832589"/>
          <c:h val="0.39901237345331958"/>
        </c:manualLayout>
      </c:layout>
      <c:lineChart>
        <c:grouping val="standard"/>
        <c:ser>
          <c:idx val="0"/>
          <c:order val="0"/>
          <c:tx>
            <c:strRef>
              <c:f>'Output tables'!$A$295</c:f>
              <c:strCache>
                <c:ptCount val="1"/>
                <c:pt idx="0">
                  <c:v>NMVOC emissions</c:v>
                </c:pt>
              </c:strCache>
            </c:strRef>
          </c:tx>
          <c:spPr>
            <a:ln>
              <a:solidFill>
                <a:srgbClr val="FF0000"/>
              </a:solidFill>
            </a:ln>
          </c:spPr>
          <c:marker>
            <c:symbol val="none"/>
          </c:marker>
          <c:cat>
            <c:numRef>
              <c:f>'Output tables'!$B$258:$AA$258</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'Output tables'!$BW$302:$CV$302</c:f>
              <c:numCache>
                <c:formatCode>General</c:formatCode>
                <c:ptCount val="26"/>
                <c:pt idx="0">
                  <c:v>0</c:v>
                </c:pt>
                <c:pt idx="1">
                  <c:v>0</c:v>
                </c:pt>
                <c:pt idx="2">
                  <c:v>0</c:v>
                </c:pt>
                <c:pt idx="3">
                  <c:v>0</c:v>
                </c:pt>
                <c:pt idx="4">
                  <c:v>0</c:v>
                </c:pt>
                <c:pt idx="5">
                  <c:v>0</c:v>
                </c:pt>
                <c:pt idx="6">
                  <c:v>0</c:v>
                </c:pt>
                <c:pt idx="7">
                  <c:v>8.2197036372990014E-5</c:v>
                </c:pt>
                <c:pt idx="8">
                  <c:v>2.4659110911897004E-4</c:v>
                </c:pt>
                <c:pt idx="9">
                  <c:v>5.1607957024876739E-4</c:v>
                </c:pt>
                <c:pt idx="10">
                  <c:v>8.1583757840861671E-4</c:v>
                </c:pt>
                <c:pt idx="11">
                  <c:v>1.1163892313880612E-3</c:v>
                </c:pt>
                <c:pt idx="12">
                  <c:v>1.3099824959818269E-3</c:v>
                </c:pt>
                <c:pt idx="13">
                  <c:v>1.4258033418281324E-3</c:v>
                </c:pt>
                <c:pt idx="14">
                  <c:v>1.3965950764288618E-3</c:v>
                </c:pt>
                <c:pt idx="15">
                  <c:v>1.360013320442655E-3</c:v>
                </c:pt>
                <c:pt idx="16">
                  <c:v>1.1820369898429028E-3</c:v>
                </c:pt>
                <c:pt idx="17">
                  <c:v>1.0627219072421542E-3</c:v>
                </c:pt>
                <c:pt idx="18">
                  <c:v>9.8636443647588039E-4</c:v>
                </c:pt>
                <c:pt idx="19">
                  <c:v>9.8636443647588039E-4</c:v>
                </c:pt>
                <c:pt idx="20">
                  <c:v>9.925978711764539E-4</c:v>
                </c:pt>
                <c:pt idx="21">
                  <c:v>1.3040477068394626E-3</c:v>
                </c:pt>
                <c:pt idx="22">
                  <c:v>1.4317744370343228E-3</c:v>
                </c:pt>
                <c:pt idx="23">
                  <c:v>1.6034389998398776E-3</c:v>
                </c:pt>
                <c:pt idx="24">
                  <c:v>2.2146048034200829E-3</c:v>
                </c:pt>
                <c:pt idx="25">
                  <c:v>2.2792778534369302E-3</c:v>
                </c:pt>
              </c:numCache>
            </c:numRef>
          </c:val>
        </c:ser>
        <c:marker val="1"/>
        <c:axId val="114887296"/>
        <c:axId val="114934144"/>
      </c:lineChart>
      <c:catAx>
        <c:axId val="114887296"/>
        <c:scaling>
          <c:orientation val="minMax"/>
        </c:scaling>
        <c:axPos val="b"/>
        <c:numFmt formatCode="General" sourceLinked="1"/>
        <c:tickLblPos val="nextTo"/>
        <c:txPr>
          <a:bodyPr rot="-2700000" vert="horz"/>
          <a:lstStyle/>
          <a:p>
            <a:pPr>
              <a:defRPr lang="en-ZA" sz="1000" b="0" i="0" u="none" strike="noStrike" baseline="0">
                <a:solidFill>
                  <a:srgbClr val="000000"/>
                </a:solidFill>
                <a:latin typeface="Calibri"/>
                <a:ea typeface="Calibri"/>
                <a:cs typeface="Calibri"/>
              </a:defRPr>
            </a:pPr>
            <a:endParaRPr lang="en-US"/>
          </a:p>
        </c:txPr>
        <c:crossAx val="114934144"/>
        <c:crosses val="autoZero"/>
        <c:auto val="1"/>
        <c:lblAlgn val="ctr"/>
        <c:lblOffset val="100"/>
      </c:catAx>
      <c:valAx>
        <c:axId val="114934144"/>
        <c:scaling>
          <c:orientation val="minMax"/>
        </c:scaling>
        <c:axPos val="l"/>
        <c:majorGridlines/>
        <c:title>
          <c:tx>
            <c:rich>
              <a:bodyPr/>
              <a:lstStyle/>
              <a:p>
                <a:pPr>
                  <a:defRPr lang="en-ZA" sz="1000" b="1" i="0" u="none" strike="noStrike" baseline="0">
                    <a:solidFill>
                      <a:srgbClr val="000000"/>
                    </a:solidFill>
                    <a:latin typeface="Calibri"/>
                    <a:ea typeface="Calibri"/>
                    <a:cs typeface="Calibri"/>
                  </a:defRPr>
                </a:pPr>
                <a:r>
                  <a:rPr lang="en-ZA"/>
                  <a:t>Mt</a:t>
                </a:r>
              </a:p>
            </c:rich>
          </c:tx>
        </c:title>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4887296"/>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422" l="0.70000000000000062" r="0.70000000000000062" t="0.75000000000000422" header="0.30000000000000032" footer="0.30000000000000032"/>
    <c:pageSetup/>
  </c:printSettings>
</c:chartSpace>
</file>

<file path=xl/charts/chart148.xml><?xml version="1.0" encoding="utf-8"?>
<c:chartSpace xmlns:c="http://schemas.openxmlformats.org/drawingml/2006/chart" xmlns:a="http://schemas.openxmlformats.org/drawingml/2006/main" xmlns:r="http://schemas.openxmlformats.org/officeDocument/2006/relationships">
  <c:lang val="en-ZA"/>
  <c:chart>
    <c:plotArea>
      <c:layout/>
      <c:areaChart>
        <c:grouping val="stacked"/>
        <c:ser>
          <c:idx val="0"/>
          <c:order val="0"/>
          <c:tx>
            <c:strRef>
              <c:f>'Alt scen Calcs'!$C$8</c:f>
              <c:strCache>
                <c:ptCount val="1"/>
                <c:pt idx="0">
                  <c:v>Existing coal Large</c:v>
                </c:pt>
              </c:strCache>
            </c:strRef>
          </c:tx>
          <c:cat>
            <c:numRef>
              <c:f>'Alt scen Calcs'!$D$7:$AC$7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'Alt scen Calcs'!$D$8:$AC$8</c:f>
              <c:numCache>
                <c:formatCode>General</c:formatCode>
                <c:ptCount val="26"/>
                <c:pt idx="0">
                  <c:v>30.471</c:v>
                </c:pt>
                <c:pt idx="1">
                  <c:v>30.471</c:v>
                </c:pt>
                <c:pt idx="2">
                  <c:v>30.471</c:v>
                </c:pt>
                <c:pt idx="3">
                  <c:v>30.471</c:v>
                </c:pt>
                <c:pt idx="4">
                  <c:v>30.471</c:v>
                </c:pt>
                <c:pt idx="5" formatCode="_(* #,##0.0_);_(* \(#,##0.0\);_(* &quot;-&quot;??_);_(@_)">
                  <c:v>30.471</c:v>
                </c:pt>
                <c:pt idx="6" formatCode="_(* #,##0.0_);_(* \(#,##0.0\);_(* &quot;-&quot;??_);_(@_)">
                  <c:v>30.471</c:v>
                </c:pt>
                <c:pt idx="7" formatCode="_(* #,##0.0_);_(* \(#,##0.0\);_(* &quot;-&quot;??_);_(@_)">
                  <c:v>30.471</c:v>
                </c:pt>
                <c:pt idx="8" formatCode="_(* #,##0.0_);_(* \(#,##0.0\);_(* &quot;-&quot;??_);_(@_)">
                  <c:v>30.471</c:v>
                </c:pt>
                <c:pt idx="9" formatCode="_(* #,##0.0_);_(* \(#,##0.0\);_(* &quot;-&quot;??_);_(@_)">
                  <c:v>30.471</c:v>
                </c:pt>
                <c:pt idx="10" formatCode="_(* #,##0.0_);_(* \(#,##0.0\);_(* &quot;-&quot;??_);_(@_)">
                  <c:v>30.471</c:v>
                </c:pt>
                <c:pt idx="11" formatCode="_(* #,##0.0_);_(* \(#,##0.0\);_(* &quot;-&quot;??_);_(@_)">
                  <c:v>30.471</c:v>
                </c:pt>
                <c:pt idx="12" formatCode="_(* #,##0.0_);_(* \(#,##0.0\);_(* &quot;-&quot;??_);_(@_)">
                  <c:v>30.471</c:v>
                </c:pt>
                <c:pt idx="13" formatCode="_(* #,##0.0_);_(* \(#,##0.0\);_(* &quot;-&quot;??_);_(@_)">
                  <c:v>30.471</c:v>
                </c:pt>
                <c:pt idx="14" formatCode="_(* #,##0.0_);_(* \(#,##0.0\);_(* &quot;-&quot;??_);_(@_)">
                  <c:v>30.471</c:v>
                </c:pt>
                <c:pt idx="15" formatCode="_(* #,##0.0_);_(* \(#,##0.0\);_(* &quot;-&quot;??_);_(@_)">
                  <c:v>30.471</c:v>
                </c:pt>
                <c:pt idx="16" formatCode="_(* #,##0.0_);_(* \(#,##0.0\);_(* &quot;-&quot;??_);_(@_)">
                  <c:v>30.471</c:v>
                </c:pt>
                <c:pt idx="17" formatCode="_(* #,##0.0_);_(* \(#,##0.0\);_(* &quot;-&quot;??_);_(@_)">
                  <c:v>30.471</c:v>
                </c:pt>
                <c:pt idx="18" formatCode="_(* #,##0.0_);_(* \(#,##0.0\);_(* &quot;-&quot;??_);_(@_)">
                  <c:v>30.471</c:v>
                </c:pt>
                <c:pt idx="19" formatCode="_(* #,##0.0_);_(* \(#,##0.0\);_(* &quot;-&quot;??_);_(@_)">
                  <c:v>29.331</c:v>
                </c:pt>
                <c:pt idx="20" formatCode="_(* #,##0.0_);_(* \(#,##0.0\);_(* &quot;-&quot;??_);_(@_)">
                  <c:v>28.190999999999999</c:v>
                </c:pt>
                <c:pt idx="21" formatCode="_(* #,##0.0_);_(* \(#,##0.0\);_(* &quot;-&quot;??_);_(@_)">
                  <c:v>26.765999999999998</c:v>
                </c:pt>
                <c:pt idx="22" formatCode="_(* #,##0.0_);_(* \(#,##0.0\);_(* &quot;-&quot;??_);_(@_)">
                  <c:v>25.340999999999998</c:v>
                </c:pt>
                <c:pt idx="23" formatCode="_(* #,##0.0_);_(* \(#,##0.0\);_(* &quot;-&quot;??_);_(@_)">
                  <c:v>23.615999999999996</c:v>
                </c:pt>
                <c:pt idx="24" formatCode="_(* #,##0.0_);_(* \(#,##0.0\);_(* &quot;-&quot;??_);_(@_)">
                  <c:v>20.165999999999997</c:v>
                </c:pt>
                <c:pt idx="25" formatCode="_(* #,##0.0_);_(* \(#,##0.0\);_(* &quot;-&quot;??_);_(@_)">
                  <c:v>18.440999999999995</c:v>
                </c:pt>
              </c:numCache>
            </c:numRef>
          </c:val>
        </c:ser>
        <c:ser>
          <c:idx val="1"/>
          <c:order val="1"/>
          <c:tx>
            <c:strRef>
              <c:f>'Alt scen Calcs'!$C$9</c:f>
              <c:strCache>
                <c:ptCount val="1"/>
                <c:pt idx="0">
                  <c:v>Existing coal Small</c:v>
                </c:pt>
              </c:strCache>
            </c:strRef>
          </c:tx>
          <c:cat>
            <c:numRef>
              <c:f>'Alt scen Calcs'!$D$7:$AC$7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'Alt scen Calcs'!$D$9:$AC$9</c:f>
              <c:numCache>
                <c:formatCode>0.000</c:formatCode>
                <c:ptCount val="26"/>
                <c:pt idx="0">
                  <c:v>5.434444444444444</c:v>
                </c:pt>
                <c:pt idx="1">
                  <c:v>5.434444444444444</c:v>
                </c:pt>
                <c:pt idx="2">
                  <c:v>5.434444444444444</c:v>
                </c:pt>
                <c:pt idx="3">
                  <c:v>5.434444444444444</c:v>
                </c:pt>
                <c:pt idx="4">
                  <c:v>5.434444444444444</c:v>
                </c:pt>
                <c:pt idx="5" formatCode="_(* #,##0.0_);_(* \(#,##0.0\);_(* &quot;-&quot;??_);_(@_)">
                  <c:v>6.1174444444444438</c:v>
                </c:pt>
                <c:pt idx="6" formatCode="_(* #,##0.0_);_(* \(#,##0.0\);_(* &quot;-&quot;??_);_(@_)">
                  <c:v>6.5214444444444437</c:v>
                </c:pt>
                <c:pt idx="7" formatCode="_(* #,##0.0_);_(* \(#,##0.0\);_(* &quot;-&quot;??_);_(@_)">
                  <c:v>6.5214444444444437</c:v>
                </c:pt>
                <c:pt idx="8" formatCode="_(* #,##0.0_);_(* \(#,##0.0\);_(* &quot;-&quot;??_);_(@_)">
                  <c:v>6.5214444444444437</c:v>
                </c:pt>
                <c:pt idx="9" formatCode="_(* #,##0.0_);_(* \(#,##0.0\);_(* &quot;-&quot;??_);_(@_)">
                  <c:v>6.5214444444444437</c:v>
                </c:pt>
                <c:pt idx="10" formatCode="_(* #,##0.0_);_(* \(#,##0.0\);_(* &quot;-&quot;??_);_(@_)">
                  <c:v>6.5214444444444437</c:v>
                </c:pt>
                <c:pt idx="11" formatCode="_(* #,##0.0_);_(* \(#,##0.0\);_(* &quot;-&quot;??_);_(@_)">
                  <c:v>6.4839444444444441</c:v>
                </c:pt>
                <c:pt idx="12" formatCode="_(* #,##0.0_);_(* \(#,##0.0\);_(* &quot;-&quot;??_);_(@_)">
                  <c:v>6.4464444444444444</c:v>
                </c:pt>
                <c:pt idx="13" formatCode="_(* #,##0.0_);_(* \(#,##0.0\);_(* &quot;-&quot;??_);_(@_)">
                  <c:v>6.3964444444444446</c:v>
                </c:pt>
                <c:pt idx="14" formatCode="_(* #,##0.0_);_(* \(#,##0.0\);_(* &quot;-&quot;??_);_(@_)">
                  <c:v>6.3464444444444448</c:v>
                </c:pt>
                <c:pt idx="15" formatCode="_(* #,##0.0_);_(* \(#,##0.0\);_(* &quot;-&quot;??_);_(@_)">
                  <c:v>5.3964444444444446</c:v>
                </c:pt>
                <c:pt idx="16" formatCode="_(* #,##0.0_);_(* \(#,##0.0\);_(* &quot;-&quot;??_);_(@_)">
                  <c:v>4.4464444444444444</c:v>
                </c:pt>
                <c:pt idx="17" formatCode="_(* #,##0.0_);_(* \(#,##0.0\);_(* &quot;-&quot;??_);_(@_)">
                  <c:v>4.4464444444444444</c:v>
                </c:pt>
                <c:pt idx="18" formatCode="_(* #,##0.0_);_(* \(#,##0.0\);_(* &quot;-&quot;??_);_(@_)">
                  <c:v>4.4464444444444444</c:v>
                </c:pt>
                <c:pt idx="19" formatCode="_(* #,##0.0_);_(* \(#,##0.0\);_(* &quot;-&quot;??_);_(@_)">
                  <c:v>4.4464444444444444</c:v>
                </c:pt>
                <c:pt idx="20" formatCode="_(* #,##0.0_);_(* \(#,##0.0\);_(* &quot;-&quot;??_);_(@_)">
                  <c:v>4.0087222222222225</c:v>
                </c:pt>
                <c:pt idx="21" formatCode="_(* #,##0.0_);_(* \(#,##0.0\);_(* &quot;-&quot;??_);_(@_)">
                  <c:v>3.5710000000000002</c:v>
                </c:pt>
                <c:pt idx="22" formatCode="_(* #,##0.0_);_(* \(#,##0.0\);_(* &quot;-&quot;??_);_(@_)">
                  <c:v>3.5710000000000002</c:v>
                </c:pt>
                <c:pt idx="23" formatCode="_(* #,##0.0_);_(* \(#,##0.0\);_(* &quot;-&quot;??_);_(@_)">
                  <c:v>3.5710000000000002</c:v>
                </c:pt>
                <c:pt idx="24" formatCode="_(* #,##0.0_);_(* \(#,##0.0\);_(* &quot;-&quot;??_);_(@_)">
                  <c:v>3.5710000000000002</c:v>
                </c:pt>
                <c:pt idx="25" formatCode="_(* #,##0.0_);_(* \(#,##0.0\);_(* &quot;-&quot;??_);_(@_)">
                  <c:v>3.5710000000000002</c:v>
                </c:pt>
              </c:numCache>
            </c:numRef>
          </c:val>
        </c:ser>
        <c:ser>
          <c:idx val="2"/>
          <c:order val="2"/>
          <c:tx>
            <c:strRef>
              <c:f>'Alt scen Calcs'!$C$10</c:f>
              <c:strCache>
                <c:ptCount val="1"/>
                <c:pt idx="0">
                  <c:v>OCGT liquid fuels</c:v>
                </c:pt>
              </c:strCache>
            </c:strRef>
          </c:tx>
          <c:cat>
            <c:numRef>
              <c:f>'Alt scen Calcs'!$D$7:$AC$7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'Alt scen Calcs'!$D$10:$AC$10</c:f>
              <c:numCache>
                <c:formatCode>General</c:formatCode>
                <c:ptCount val="26"/>
                <c:pt idx="0">
                  <c:v>2.4</c:v>
                </c:pt>
                <c:pt idx="1">
                  <c:v>2.4</c:v>
                </c:pt>
                <c:pt idx="2">
                  <c:v>2.4</c:v>
                </c:pt>
                <c:pt idx="3">
                  <c:v>2.4</c:v>
                </c:pt>
                <c:pt idx="4">
                  <c:v>2.4</c:v>
                </c:pt>
                <c:pt idx="5" formatCode="_(* #,##0.0_);_(* \(#,##0.0\);_(* &quot;-&quot;??_);_(@_)">
                  <c:v>2.4</c:v>
                </c:pt>
                <c:pt idx="6" formatCode="_(* #,##0.0_);_(* \(#,##0.0\);_(* &quot;-&quot;??_);_(@_)">
                  <c:v>3.48</c:v>
                </c:pt>
                <c:pt idx="7" formatCode="_(* #,##0.0_);_(* \(#,##0.0\);_(* &quot;-&quot;??_);_(@_)">
                  <c:v>3.48</c:v>
                </c:pt>
                <c:pt idx="8" formatCode="_(* #,##0.0_);_(* \(#,##0.0\);_(* &quot;-&quot;??_);_(@_)">
                  <c:v>3.48</c:v>
                </c:pt>
                <c:pt idx="9" formatCode="_(* #,##0.0_);_(* \(#,##0.0\);_(* &quot;-&quot;??_);_(@_)">
                  <c:v>3.48</c:v>
                </c:pt>
                <c:pt idx="10" formatCode="_(* #,##0.0_);_(* \(#,##0.0\);_(* &quot;-&quot;??_);_(@_)">
                  <c:v>3.48</c:v>
                </c:pt>
                <c:pt idx="11" formatCode="_(* #,##0.0_);_(* \(#,##0.0\);_(* &quot;-&quot;??_);_(@_)">
                  <c:v>3.48</c:v>
                </c:pt>
                <c:pt idx="12" formatCode="_(* #,##0.0_);_(* \(#,##0.0\);_(* &quot;-&quot;??_);_(@_)">
                  <c:v>3.48</c:v>
                </c:pt>
                <c:pt idx="13" formatCode="_(* #,##0.0_);_(* \(#,##0.0\);_(* &quot;-&quot;??_);_(@_)">
                  <c:v>3.48</c:v>
                </c:pt>
                <c:pt idx="14" formatCode="_(* #,##0.0_);_(* \(#,##0.0\);_(* &quot;-&quot;??_);_(@_)">
                  <c:v>3.48</c:v>
                </c:pt>
                <c:pt idx="15" formatCode="_(* #,##0.0_);_(* \(#,##0.0\);_(* &quot;-&quot;??_);_(@_)">
                  <c:v>3.48</c:v>
                </c:pt>
                <c:pt idx="16" formatCode="_(* #,##0.0_);_(* \(#,##0.0\);_(* &quot;-&quot;??_);_(@_)">
                  <c:v>3.48</c:v>
                </c:pt>
                <c:pt idx="17" formatCode="_(* #,##0.0_);_(* \(#,##0.0\);_(* &quot;-&quot;??_);_(@_)">
                  <c:v>3.48</c:v>
                </c:pt>
                <c:pt idx="18" formatCode="_(* #,##0.0_);_(* \(#,##0.0\);_(* &quot;-&quot;??_);_(@_)">
                  <c:v>3.48</c:v>
                </c:pt>
                <c:pt idx="19" formatCode="_(* #,##0.0_);_(* \(#,##0.0\);_(* &quot;-&quot;??_);_(@_)">
                  <c:v>3.48</c:v>
                </c:pt>
                <c:pt idx="20" formatCode="_(* #,##0.0_);_(* \(#,##0.0\);_(* &quot;-&quot;??_);_(@_)">
                  <c:v>3.48</c:v>
                </c:pt>
                <c:pt idx="21" formatCode="_(* #,##0.0_);_(* \(#,##0.0\);_(* &quot;-&quot;??_);_(@_)">
                  <c:v>4.2</c:v>
                </c:pt>
                <c:pt idx="22" formatCode="_(* #,##0.0_);_(* \(#,##0.0\);_(* &quot;-&quot;??_);_(@_)">
                  <c:v>4.2</c:v>
                </c:pt>
                <c:pt idx="23" formatCode="_(* #,##0.0_);_(* \(#,##0.0\);_(* &quot;-&quot;??_);_(@_)">
                  <c:v>4.2</c:v>
                </c:pt>
                <c:pt idx="24" formatCode="_(* #,##0.0_);_(* \(#,##0.0\);_(* &quot;-&quot;??_);_(@_)">
                  <c:v>5.16</c:v>
                </c:pt>
                <c:pt idx="25" formatCode="_(* #,##0.0_);_(* \(#,##0.0\);_(* &quot;-&quot;??_);_(@_)">
                  <c:v>5.9489999999999998</c:v>
                </c:pt>
              </c:numCache>
            </c:numRef>
          </c:val>
        </c:ser>
        <c:ser>
          <c:idx val="3"/>
          <c:order val="3"/>
          <c:tx>
            <c:strRef>
              <c:f>'Alt scen Calcs'!$C$11</c:f>
              <c:strCache>
                <c:ptCount val="1"/>
                <c:pt idx="0">
                  <c:v>PWR nuclear</c:v>
                </c:pt>
              </c:strCache>
            </c:strRef>
          </c:tx>
          <c:cat>
            <c:numRef>
              <c:f>'Alt scen Calcs'!$D$7:$AC$7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'Alt scen Calcs'!$D$11:$AC$11</c:f>
              <c:numCache>
                <c:formatCode>General</c:formatCode>
                <c:ptCount val="26"/>
                <c:pt idx="0">
                  <c:v>1.8</c:v>
                </c:pt>
                <c:pt idx="1">
                  <c:v>1.8</c:v>
                </c:pt>
                <c:pt idx="2">
                  <c:v>1.8</c:v>
                </c:pt>
                <c:pt idx="3">
                  <c:v>1.8</c:v>
                </c:pt>
                <c:pt idx="4">
                  <c:v>1.8</c:v>
                </c:pt>
                <c:pt idx="5" formatCode="_(* #,##0.0_);_(* \(#,##0.0\);_(* &quot;-&quot;??_);_(@_)">
                  <c:v>1.8</c:v>
                </c:pt>
                <c:pt idx="6" formatCode="_(* #,##0.0_);_(* \(#,##0.0\);_(* &quot;-&quot;??_);_(@_)">
                  <c:v>1.8</c:v>
                </c:pt>
                <c:pt idx="7" formatCode="_(* #,##0.0_);_(* \(#,##0.0\);_(* &quot;-&quot;??_);_(@_)">
                  <c:v>1.8</c:v>
                </c:pt>
                <c:pt idx="8" formatCode="_(* #,##0.0_);_(* \(#,##0.0\);_(* &quot;-&quot;??_);_(@_)">
                  <c:v>1.8</c:v>
                </c:pt>
                <c:pt idx="9" formatCode="_(* #,##0.0_);_(* \(#,##0.0\);_(* &quot;-&quot;??_);_(@_)">
                  <c:v>1.8</c:v>
                </c:pt>
                <c:pt idx="10" formatCode="_(* #,##0.0_);_(* \(#,##0.0\);_(* &quot;-&quot;??_);_(@_)">
                  <c:v>1.8</c:v>
                </c:pt>
                <c:pt idx="11" formatCode="_(* #,##0.0_);_(* \(#,##0.0\);_(* &quot;-&quot;??_);_(@_)">
                  <c:v>1.8</c:v>
                </c:pt>
                <c:pt idx="12" formatCode="_(* #,##0.0_);_(* \(#,##0.0\);_(* &quot;-&quot;??_);_(@_)">
                  <c:v>1.8</c:v>
                </c:pt>
                <c:pt idx="13" formatCode="_(* #,##0.0_);_(* \(#,##0.0\);_(* &quot;-&quot;??_);_(@_)">
                  <c:v>1.8</c:v>
                </c:pt>
                <c:pt idx="14" formatCode="_(* #,##0.0_);_(* \(#,##0.0\);_(* &quot;-&quot;??_);_(@_)">
                  <c:v>1.8</c:v>
                </c:pt>
                <c:pt idx="15" formatCode="_(* #,##0.0_);_(* \(#,##0.0\);_(* &quot;-&quot;??_);_(@_)">
                  <c:v>1.8</c:v>
                </c:pt>
                <c:pt idx="16" formatCode="_(* #,##0.0_);_(* \(#,##0.0\);_(* &quot;-&quot;??_);_(@_)">
                  <c:v>1.8</c:v>
                </c:pt>
                <c:pt idx="17" formatCode="_(* #,##0.0_);_(* \(#,##0.0\);_(* &quot;-&quot;??_);_(@_)">
                  <c:v>1.8</c:v>
                </c:pt>
                <c:pt idx="18" formatCode="_(* #,##0.0_);_(* \(#,##0.0\);_(* &quot;-&quot;??_);_(@_)">
                  <c:v>1.8</c:v>
                </c:pt>
                <c:pt idx="19" formatCode="_(* #,##0.0_);_(* \(#,##0.0\);_(* &quot;-&quot;??_);_(@_)">
                  <c:v>1.8</c:v>
                </c:pt>
                <c:pt idx="20" formatCode="_(* #,##0.0_);_(* \(#,##0.0\);_(* &quot;-&quot;??_);_(@_)">
                  <c:v>1.8</c:v>
                </c:pt>
                <c:pt idx="21" formatCode="_(* #,##0.0_);_(* \(#,##0.0\);_(* &quot;-&quot;??_);_(@_)">
                  <c:v>1.8</c:v>
                </c:pt>
                <c:pt idx="22" formatCode="_(* #,##0.0_);_(* \(#,##0.0\);_(* &quot;-&quot;??_);_(@_)">
                  <c:v>1.8</c:v>
                </c:pt>
                <c:pt idx="23" formatCode="_(* #,##0.0_);_(* \(#,##0.0\);_(* &quot;-&quot;??_);_(@_)">
                  <c:v>1.8</c:v>
                </c:pt>
                <c:pt idx="24" formatCode="_(* #,##0.0_);_(* \(#,##0.0\);_(* &quot;-&quot;??_);_(@_)">
                  <c:v>1.8</c:v>
                </c:pt>
                <c:pt idx="25" formatCode="_(* #,##0.0_);_(* \(#,##0.0\);_(* &quot;-&quot;??_);_(@_)">
                  <c:v>1.8</c:v>
                </c:pt>
              </c:numCache>
            </c:numRef>
          </c:val>
        </c:ser>
        <c:ser>
          <c:idx val="4"/>
          <c:order val="4"/>
          <c:tx>
            <c:strRef>
              <c:f>'Alt scen Calcs'!$C$12</c:f>
              <c:strCache>
                <c:ptCount val="1"/>
                <c:pt idx="0">
                  <c:v>Hydro</c:v>
                </c:pt>
              </c:strCache>
            </c:strRef>
          </c:tx>
          <c:cat>
            <c:numRef>
              <c:f>'Alt scen Calcs'!$D$7:$AC$7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'Alt scen Calcs'!$D$12:$AC$12</c:f>
              <c:numCache>
                <c:formatCode>General</c:formatCode>
                <c:ptCount val="26"/>
                <c:pt idx="0">
                  <c:v>0.66500000000000004</c:v>
                </c:pt>
                <c:pt idx="1">
                  <c:v>0.66500000000000004</c:v>
                </c:pt>
                <c:pt idx="2">
                  <c:v>0.66500000000000004</c:v>
                </c:pt>
                <c:pt idx="3">
                  <c:v>0.66500000000000004</c:v>
                </c:pt>
                <c:pt idx="4">
                  <c:v>0.66500000000000004</c:v>
                </c:pt>
                <c:pt idx="5" formatCode="_(* #,##0.0_);_(* \(#,##0.0\);_(* &quot;-&quot;??_);_(@_)">
                  <c:v>0.66500000000000004</c:v>
                </c:pt>
                <c:pt idx="6" formatCode="_(* #,##0.0_);_(* \(#,##0.0\);_(* &quot;-&quot;??_);_(@_)">
                  <c:v>0.66500000000000004</c:v>
                </c:pt>
                <c:pt idx="7" formatCode="_(* #,##0.0_);_(* \(#,##0.0\);_(* &quot;-&quot;??_);_(@_)">
                  <c:v>0.66500000000000004</c:v>
                </c:pt>
                <c:pt idx="8" formatCode="_(* #,##0.0_);_(* \(#,##0.0\);_(* &quot;-&quot;??_);_(@_)">
                  <c:v>0.66500000000000004</c:v>
                </c:pt>
                <c:pt idx="9" formatCode="_(* #,##0.0_);_(* \(#,##0.0\);_(* &quot;-&quot;??_);_(@_)">
                  <c:v>0.66500000000000004</c:v>
                </c:pt>
                <c:pt idx="10" formatCode="_(* #,##0.0_);_(* \(#,##0.0\);_(* &quot;-&quot;??_);_(@_)">
                  <c:v>0.66500000000000004</c:v>
                </c:pt>
                <c:pt idx="11" formatCode="_(* #,##0.0_);_(* \(#,##0.0\);_(* &quot;-&quot;??_);_(@_)">
                  <c:v>0.66500000000000004</c:v>
                </c:pt>
                <c:pt idx="12" formatCode="_(* #,##0.0_);_(* \(#,##0.0\);_(* &quot;-&quot;??_);_(@_)">
                  <c:v>0.66500000000000004</c:v>
                </c:pt>
                <c:pt idx="13" formatCode="_(* #,##0.0_);_(* \(#,##0.0\);_(* &quot;-&quot;??_);_(@_)">
                  <c:v>0.66500000000000004</c:v>
                </c:pt>
                <c:pt idx="14" formatCode="_(* #,##0.0_);_(* \(#,##0.0\);_(* &quot;-&quot;??_);_(@_)">
                  <c:v>0.66500000000000004</c:v>
                </c:pt>
                <c:pt idx="15" formatCode="_(* #,##0.0_);_(* \(#,##0.0\);_(* &quot;-&quot;??_);_(@_)">
                  <c:v>0.66500000000000004</c:v>
                </c:pt>
                <c:pt idx="16" formatCode="_(* #,##0.0_);_(* \(#,##0.0\);_(* &quot;-&quot;??_);_(@_)">
                  <c:v>0.66500000000000004</c:v>
                </c:pt>
                <c:pt idx="17" formatCode="_(* #,##0.0_);_(* \(#,##0.0\);_(* &quot;-&quot;??_);_(@_)">
                  <c:v>0.66500000000000004</c:v>
                </c:pt>
                <c:pt idx="18" formatCode="_(* #,##0.0_);_(* \(#,##0.0\);_(* &quot;-&quot;??_);_(@_)">
                  <c:v>0.66500000000000004</c:v>
                </c:pt>
                <c:pt idx="19" formatCode="_(* #,##0.0_);_(* \(#,##0.0\);_(* &quot;-&quot;??_);_(@_)">
                  <c:v>0.66500000000000004</c:v>
                </c:pt>
                <c:pt idx="20" formatCode="_(* #,##0.0_);_(* \(#,##0.0\);_(* &quot;-&quot;??_);_(@_)">
                  <c:v>0.66500000000000004</c:v>
                </c:pt>
                <c:pt idx="21" formatCode="_(* #,##0.0_);_(* \(#,##0.0\);_(* &quot;-&quot;??_);_(@_)">
                  <c:v>0.66500000000000004</c:v>
                </c:pt>
                <c:pt idx="22" formatCode="_(* #,##0.0_);_(* \(#,##0.0\);_(* &quot;-&quot;??_);_(@_)">
                  <c:v>0.66500000000000004</c:v>
                </c:pt>
                <c:pt idx="23" formatCode="_(* #,##0.0_);_(* \(#,##0.0\);_(* &quot;-&quot;??_);_(@_)">
                  <c:v>0.66500000000000004</c:v>
                </c:pt>
                <c:pt idx="24" formatCode="_(* #,##0.0_);_(* \(#,##0.0\);_(* &quot;-&quot;??_);_(@_)">
                  <c:v>0.66500000000000004</c:v>
                </c:pt>
                <c:pt idx="25" formatCode="_(* #,##0.0_);_(* \(#,##0.0\);_(* &quot;-&quot;??_);_(@_)">
                  <c:v>0.66500000000000004</c:v>
                </c:pt>
              </c:numCache>
            </c:numRef>
          </c:val>
        </c:ser>
        <c:ser>
          <c:idx val="5"/>
          <c:order val="5"/>
          <c:tx>
            <c:strRef>
              <c:f>'Alt scen Calcs'!$C$13</c:f>
              <c:strCache>
                <c:ptCount val="1"/>
                <c:pt idx="0">
                  <c:v>Landfill gas</c:v>
                </c:pt>
              </c:strCache>
            </c:strRef>
          </c:tx>
          <c:cat>
            <c:numRef>
              <c:f>'Alt scen Calcs'!$D$7:$AC$7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'Alt scen Calcs'!$D$13:$AC$13</c:f>
              <c:numCache>
                <c:formatCode>General</c:formatCode>
                <c:ptCount val="26"/>
                <c:pt idx="0">
                  <c:v>7.0000000000000007E-2</c:v>
                </c:pt>
                <c:pt idx="1">
                  <c:v>7.0000000000000007E-2</c:v>
                </c:pt>
                <c:pt idx="2">
                  <c:v>7.0000000000000007E-2</c:v>
                </c:pt>
                <c:pt idx="3">
                  <c:v>7.0000000000000007E-2</c:v>
                </c:pt>
                <c:pt idx="4">
                  <c:v>7.0000000000000007E-2</c:v>
                </c:pt>
                <c:pt idx="5" formatCode="_(* #,##0.0_);_(* \(#,##0.0\);_(* &quot;-&quot;??_);_(@_)">
                  <c:v>7.0000000000000007E-2</c:v>
                </c:pt>
                <c:pt idx="6" formatCode="_(* #,##0.0_);_(* \(#,##0.0\);_(* &quot;-&quot;??_);_(@_)">
                  <c:v>7.0000000000000007E-2</c:v>
                </c:pt>
                <c:pt idx="7" formatCode="_(* #,##0.0_);_(* \(#,##0.0\);_(* &quot;-&quot;??_);_(@_)">
                  <c:v>7.0000000000000007E-2</c:v>
                </c:pt>
                <c:pt idx="8" formatCode="_(* #,##0.0_);_(* \(#,##0.0\);_(* &quot;-&quot;??_);_(@_)">
                  <c:v>7.0000000000000007E-2</c:v>
                </c:pt>
                <c:pt idx="9" formatCode="_(* #,##0.0_);_(* \(#,##0.0\);_(* &quot;-&quot;??_);_(@_)">
                  <c:v>7.0000000000000007E-2</c:v>
                </c:pt>
                <c:pt idx="10" formatCode="_(* #,##0.0_);_(* \(#,##0.0\);_(* &quot;-&quot;??_);_(@_)">
                  <c:v>7.0000000000000007E-2</c:v>
                </c:pt>
                <c:pt idx="11" formatCode="_(* #,##0.0_);_(* \(#,##0.0\);_(* &quot;-&quot;??_);_(@_)">
                  <c:v>7.0000000000000007E-2</c:v>
                </c:pt>
                <c:pt idx="12" formatCode="_(* #,##0.0_);_(* \(#,##0.0\);_(* &quot;-&quot;??_);_(@_)">
                  <c:v>7.0000000000000007E-2</c:v>
                </c:pt>
                <c:pt idx="13" formatCode="_(* #,##0.0_);_(* \(#,##0.0\);_(* &quot;-&quot;??_);_(@_)">
                  <c:v>7.0000000000000007E-2</c:v>
                </c:pt>
                <c:pt idx="14" formatCode="_(* #,##0.0_);_(* \(#,##0.0\);_(* &quot;-&quot;??_);_(@_)">
                  <c:v>7.0000000000000007E-2</c:v>
                </c:pt>
                <c:pt idx="15" formatCode="_(* #,##0.0_);_(* \(#,##0.0\);_(* &quot;-&quot;??_);_(@_)">
                  <c:v>7.0000000000000007E-2</c:v>
                </c:pt>
                <c:pt idx="16" formatCode="_(* #,##0.0_);_(* \(#,##0.0\);_(* &quot;-&quot;??_);_(@_)">
                  <c:v>7.0000000000000007E-2</c:v>
                </c:pt>
                <c:pt idx="17" formatCode="_(* #,##0.0_);_(* \(#,##0.0\);_(* &quot;-&quot;??_);_(@_)">
                  <c:v>7.0000000000000007E-2</c:v>
                </c:pt>
                <c:pt idx="18" formatCode="_(* #,##0.0_);_(* \(#,##0.0\);_(* &quot;-&quot;??_);_(@_)">
                  <c:v>7.0000000000000007E-2</c:v>
                </c:pt>
                <c:pt idx="19" formatCode="_(* #,##0.0_);_(* \(#,##0.0\);_(* &quot;-&quot;??_);_(@_)">
                  <c:v>7.0000000000000007E-2</c:v>
                </c:pt>
                <c:pt idx="20" formatCode="_(* #,##0.0_);_(* \(#,##0.0\);_(* &quot;-&quot;??_);_(@_)">
                  <c:v>7.0000000000000007E-2</c:v>
                </c:pt>
                <c:pt idx="21" formatCode="_(* #,##0.0_);_(* \(#,##0.0\);_(* &quot;-&quot;??_);_(@_)">
                  <c:v>7.0000000000000007E-2</c:v>
                </c:pt>
                <c:pt idx="22" formatCode="_(* #,##0.0_);_(* \(#,##0.0\);_(* &quot;-&quot;??_);_(@_)">
                  <c:v>7.0000000000000007E-2</c:v>
                </c:pt>
                <c:pt idx="23" formatCode="_(* #,##0.0_);_(* \(#,##0.0\);_(* &quot;-&quot;??_);_(@_)">
                  <c:v>7.0000000000000007E-2</c:v>
                </c:pt>
                <c:pt idx="24" formatCode="_(* #,##0.0_);_(* \(#,##0.0\);_(* &quot;-&quot;??_);_(@_)">
                  <c:v>7.0000000000000007E-2</c:v>
                </c:pt>
                <c:pt idx="25" formatCode="_(* #,##0.0_);_(* \(#,##0.0\);_(* &quot;-&quot;??_);_(@_)">
                  <c:v>7.0000000000000007E-2</c:v>
                </c:pt>
              </c:numCache>
            </c:numRef>
          </c:val>
        </c:ser>
        <c:ser>
          <c:idx val="6"/>
          <c:order val="6"/>
          <c:tx>
            <c:strRef>
              <c:f>'Alt scen Calcs'!$C$14</c:f>
              <c:strCache>
                <c:ptCount val="1"/>
                <c:pt idx="0">
                  <c:v>Biomass</c:v>
                </c:pt>
              </c:strCache>
            </c:strRef>
          </c:tx>
          <c:cat>
            <c:numRef>
              <c:f>'Alt scen Calcs'!$D$7:$AC$7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'Alt scen Calcs'!$D$14:$AC$14</c:f>
              <c:numCache>
                <c:formatCode>General</c:formatCode>
                <c:ptCount val="26"/>
                <c:pt idx="0">
                  <c:v>0.19</c:v>
                </c:pt>
                <c:pt idx="1">
                  <c:v>0.19</c:v>
                </c:pt>
                <c:pt idx="2">
                  <c:v>0.19</c:v>
                </c:pt>
                <c:pt idx="3">
                  <c:v>0.19</c:v>
                </c:pt>
                <c:pt idx="4">
                  <c:v>0.19</c:v>
                </c:pt>
                <c:pt idx="5" formatCode="_(* #,##0.0_);_(* \(#,##0.0\);_(* &quot;-&quot;??_);_(@_)">
                  <c:v>0.19</c:v>
                </c:pt>
                <c:pt idx="6" formatCode="_(* #,##0.0_);_(* \(#,##0.0\);_(* &quot;-&quot;??_);_(@_)">
                  <c:v>0.19</c:v>
                </c:pt>
                <c:pt idx="7" formatCode="_(* #,##0.0_);_(* \(#,##0.0\);_(* &quot;-&quot;??_);_(@_)">
                  <c:v>0.19</c:v>
                </c:pt>
                <c:pt idx="8" formatCode="_(* #,##0.0_);_(* \(#,##0.0\);_(* &quot;-&quot;??_);_(@_)">
                  <c:v>0.19</c:v>
                </c:pt>
                <c:pt idx="9" formatCode="_(* #,##0.0_);_(* \(#,##0.0\);_(* &quot;-&quot;??_);_(@_)">
                  <c:v>0.19</c:v>
                </c:pt>
                <c:pt idx="10" formatCode="_(* #,##0.0_);_(* \(#,##0.0\);_(* &quot;-&quot;??_);_(@_)">
                  <c:v>0.19</c:v>
                </c:pt>
                <c:pt idx="11" formatCode="_(* #,##0.0_);_(* \(#,##0.0\);_(* &quot;-&quot;??_);_(@_)">
                  <c:v>0.19</c:v>
                </c:pt>
                <c:pt idx="12" formatCode="_(* #,##0.0_);_(* \(#,##0.0\);_(* &quot;-&quot;??_);_(@_)">
                  <c:v>0.19</c:v>
                </c:pt>
                <c:pt idx="13" formatCode="_(* #,##0.0_);_(* \(#,##0.0\);_(* &quot;-&quot;??_);_(@_)">
                  <c:v>0.19</c:v>
                </c:pt>
                <c:pt idx="14" formatCode="_(* #,##0.0_);_(* \(#,##0.0\);_(* &quot;-&quot;??_);_(@_)">
                  <c:v>0.19</c:v>
                </c:pt>
                <c:pt idx="15" formatCode="_(* #,##0.0_);_(* \(#,##0.0\);_(* &quot;-&quot;??_);_(@_)">
                  <c:v>0.19</c:v>
                </c:pt>
                <c:pt idx="16" formatCode="_(* #,##0.0_);_(* \(#,##0.0\);_(* &quot;-&quot;??_);_(@_)">
                  <c:v>0.19</c:v>
                </c:pt>
                <c:pt idx="17" formatCode="_(* #,##0.0_);_(* \(#,##0.0\);_(* &quot;-&quot;??_);_(@_)">
                  <c:v>0.19</c:v>
                </c:pt>
                <c:pt idx="18" formatCode="_(* #,##0.0_);_(* \(#,##0.0\);_(* &quot;-&quot;??_);_(@_)">
                  <c:v>0.19</c:v>
                </c:pt>
                <c:pt idx="19" formatCode="_(* #,##0.0_);_(* \(#,##0.0\);_(* &quot;-&quot;??_);_(@_)">
                  <c:v>0.19</c:v>
                </c:pt>
                <c:pt idx="20" formatCode="_(* #,##0.0_);_(* \(#,##0.0\);_(* &quot;-&quot;??_);_(@_)">
                  <c:v>0.19</c:v>
                </c:pt>
                <c:pt idx="21" formatCode="_(* #,##0.0_);_(* \(#,##0.0\);_(* &quot;-&quot;??_);_(@_)">
                  <c:v>0.19</c:v>
                </c:pt>
                <c:pt idx="22" formatCode="_(* #,##0.0_);_(* \(#,##0.0\);_(* &quot;-&quot;??_);_(@_)">
                  <c:v>0.19</c:v>
                </c:pt>
                <c:pt idx="23" formatCode="_(* #,##0.0_);_(* \(#,##0.0\);_(* &quot;-&quot;??_);_(@_)">
                  <c:v>0.19</c:v>
                </c:pt>
                <c:pt idx="24" formatCode="_(* #,##0.0_);_(* \(#,##0.0\);_(* &quot;-&quot;??_);_(@_)">
                  <c:v>0.19</c:v>
                </c:pt>
                <c:pt idx="25" formatCode="_(* #,##0.0_);_(* \(#,##0.0\);_(* &quot;-&quot;??_);_(@_)">
                  <c:v>0.19</c:v>
                </c:pt>
              </c:numCache>
            </c:numRef>
          </c:val>
        </c:ser>
        <c:ser>
          <c:idx val="7"/>
          <c:order val="7"/>
          <c:tx>
            <c:strRef>
              <c:f>'Alt scen Calcs'!$C$15</c:f>
              <c:strCache>
                <c:ptCount val="1"/>
                <c:pt idx="0">
                  <c:v>Supercritical coal</c:v>
                </c:pt>
              </c:strCache>
            </c:strRef>
          </c:tx>
          <c:cat>
            <c:numRef>
              <c:f>'Alt scen Calcs'!$D$7:$AC$7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'Alt scen Calcs'!$D$15:$AC$15</c:f>
              <c:numCache>
                <c:formatCode>General</c:formatCode>
                <c:ptCount val="26"/>
                <c:pt idx="0">
                  <c:v>0</c:v>
                </c:pt>
                <c:pt idx="1">
                  <c:v>0</c:v>
                </c:pt>
                <c:pt idx="2">
                  <c:v>0</c:v>
                </c:pt>
                <c:pt idx="3">
                  <c:v>0</c:v>
                </c:pt>
                <c:pt idx="4">
                  <c:v>0</c:v>
                </c:pt>
                <c:pt idx="5" formatCode="_(* #,##0.0_);_(* \(#,##0.0\);_(* &quot;-&quot;??_);_(@_)">
                  <c:v>0</c:v>
                </c:pt>
                <c:pt idx="6" formatCode="_(* #,##0.0_);_(* \(#,##0.0\);_(* &quot;-&quot;??_);_(@_)">
                  <c:v>0</c:v>
                </c:pt>
                <c:pt idx="7" formatCode="_(* #,##0.0_);_(* \(#,##0.0\);_(* &quot;-&quot;??_);_(@_)">
                  <c:v>0.79400000000000004</c:v>
                </c:pt>
                <c:pt idx="8" formatCode="_(* #,##0.0_);_(* \(#,##0.0\);_(* &quot;-&quot;??_);_(@_)">
                  <c:v>2.3820000000000001</c:v>
                </c:pt>
                <c:pt idx="9" formatCode="_(* #,##0.0_);_(* \(#,##0.0\);_(* &quot;-&quot;??_);_(@_)">
                  <c:v>4.7640000000000002</c:v>
                </c:pt>
                <c:pt idx="10" formatCode="_(* #,##0.0_);_(* \(#,##0.0\);_(* &quot;-&quot;??_);_(@_)">
                  <c:v>7.1460000000000008</c:v>
                </c:pt>
                <c:pt idx="11" formatCode="_(* #,##0.0_);_(* \(#,##0.0\);_(* &quot;-&quot;??_);_(@_)">
                  <c:v>8.7340000000000018</c:v>
                </c:pt>
                <c:pt idx="12" formatCode="_(* #,##0.0_);_(* \(#,##0.0\);_(* &quot;-&quot;??_);_(@_)">
                  <c:v>9.5280000000000022</c:v>
                </c:pt>
                <c:pt idx="13" formatCode="_(* #,##0.0_);_(* \(#,##0.0\);_(* &quot;-&quot;??_);_(@_)">
                  <c:v>9.5280000000000022</c:v>
                </c:pt>
                <c:pt idx="14" formatCode="_(* #,##0.0_);_(* \(#,##0.0\);_(* &quot;-&quot;??_);_(@_)">
                  <c:v>9.5280000000000022</c:v>
                </c:pt>
                <c:pt idx="15" formatCode="_(* #,##0.0_);_(* \(#,##0.0\);_(* &quot;-&quot;??_);_(@_)">
                  <c:v>9.5280000000000022</c:v>
                </c:pt>
                <c:pt idx="16" formatCode="_(* #,##0.0_);_(* \(#,##0.0\);_(* &quot;-&quot;??_);_(@_)">
                  <c:v>9.5280000000000022</c:v>
                </c:pt>
                <c:pt idx="17" formatCode="_(* #,##0.0_);_(* \(#,##0.0\);_(* &quot;-&quot;??_);_(@_)">
                  <c:v>9.5280000000000022</c:v>
                </c:pt>
                <c:pt idx="18" formatCode="_(* #,##0.0_);_(* \(#,##0.0\);_(* &quot;-&quot;??_);_(@_)">
                  <c:v>9.5280000000000022</c:v>
                </c:pt>
                <c:pt idx="19" formatCode="_(* #,##0.0_);_(* \(#,##0.0\);_(* &quot;-&quot;??_);_(@_)">
                  <c:v>9.5280000000000022</c:v>
                </c:pt>
                <c:pt idx="20" formatCode="_(* #,##0.0_);_(* \(#,##0.0\);_(* &quot;-&quot;??_);_(@_)">
                  <c:v>9.5280000000000022</c:v>
                </c:pt>
                <c:pt idx="21" formatCode="_(* #,##0.0_);_(* \(#,##0.0\);_(* &quot;-&quot;??_);_(@_)">
                  <c:v>9.5280000000000022</c:v>
                </c:pt>
                <c:pt idx="22" formatCode="_(* #,##0.0_);_(* \(#,##0.0\);_(* &quot;-&quot;??_);_(@_)">
                  <c:v>9.5280000000000022</c:v>
                </c:pt>
                <c:pt idx="23" formatCode="_(* #,##0.0_);_(* \(#,##0.0\);_(* &quot;-&quot;??_);_(@_)">
                  <c:v>9.5280000000000022</c:v>
                </c:pt>
                <c:pt idx="24" formatCode="_(* #,##0.0_);_(* \(#,##0.0\);_(* &quot;-&quot;??_);_(@_)">
                  <c:v>9.5280000000000022</c:v>
                </c:pt>
                <c:pt idx="25" formatCode="_(* #,##0.0_);_(* \(#,##0.0\);_(* &quot;-&quot;??_);_(@_)">
                  <c:v>9.5280000000000022</c:v>
                </c:pt>
              </c:numCache>
            </c:numRef>
          </c:val>
        </c:ser>
        <c:ser>
          <c:idx val="8"/>
          <c:order val="8"/>
          <c:tx>
            <c:strRef>
              <c:f>'Alt scen Calcs'!$C$16</c:f>
              <c:strCache>
                <c:ptCount val="1"/>
                <c:pt idx="0">
                  <c:v>Wind 30% </c:v>
                </c:pt>
              </c:strCache>
            </c:strRef>
          </c:tx>
          <c:cat>
            <c:numRef>
              <c:f>'Alt scen Calcs'!$D$7:$AC$7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'Alt scen Calcs'!$D$16:$AC$16</c:f>
              <c:numCache>
                <c:formatCode>General</c:formatCode>
                <c:ptCount val="26"/>
                <c:pt idx="0">
                  <c:v>0</c:v>
                </c:pt>
                <c:pt idx="1">
                  <c:v>0</c:v>
                </c:pt>
                <c:pt idx="2">
                  <c:v>0</c:v>
                </c:pt>
                <c:pt idx="3">
                  <c:v>0</c:v>
                </c:pt>
                <c:pt idx="4">
                  <c:v>0</c:v>
                </c:pt>
                <c:pt idx="5" formatCode="_(* #,##0.0_);_(* \(#,##0.0\);_(* &quot;-&quot;??_);_(@_)">
                  <c:v>0.1</c:v>
                </c:pt>
                <c:pt idx="6" formatCode="_(* #,##0.0_);_(* \(#,##0.0\);_(* &quot;-&quot;??_);_(@_)">
                  <c:v>0.30000000000000004</c:v>
                </c:pt>
                <c:pt idx="7" formatCode="_(* #,##0.0_);_(* \(#,##0.0\);_(* &quot;-&quot;??_);_(@_)">
                  <c:v>0.5</c:v>
                </c:pt>
                <c:pt idx="8" formatCode="_(* #,##0.0_);_(* \(#,##0.0\);_(* &quot;-&quot;??_);_(@_)">
                  <c:v>0.9</c:v>
                </c:pt>
                <c:pt idx="9" formatCode="_(* #,##0.0_);_(* \(#,##0.0\);_(* &quot;-&quot;??_);_(@_)">
                  <c:v>1.3</c:v>
                </c:pt>
                <c:pt idx="10" formatCode="_(* #,##0.0_);_(* \(#,##0.0\);_(* &quot;-&quot;??_);_(@_)">
                  <c:v>2.1</c:v>
                </c:pt>
                <c:pt idx="11" formatCode="_(* #,##0.0_);_(* \(#,##0.0\);_(* &quot;-&quot;??_);_(@_)">
                  <c:v>2.9000000000000004</c:v>
                </c:pt>
                <c:pt idx="12" formatCode="_(* #,##0.0_);_(* \(#,##0.0\);_(* &quot;-&quot;??_);_(@_)">
                  <c:v>3.9000000000000004</c:v>
                </c:pt>
                <c:pt idx="13" formatCode="_(* #,##0.0_);_(* \(#,##0.0\);_(* &quot;-&quot;??_);_(@_)">
                  <c:v>4.9000000000000004</c:v>
                </c:pt>
                <c:pt idx="14" formatCode="_(* #,##0.0_);_(* \(#,##0.0\);_(* &quot;-&quot;??_);_(@_)">
                  <c:v>6.4</c:v>
                </c:pt>
                <c:pt idx="15" formatCode="_(* #,##0.0_);_(* \(#,##0.0\);_(* &quot;-&quot;??_);_(@_)">
                  <c:v>7.9</c:v>
                </c:pt>
                <c:pt idx="16" formatCode="_(* #,##0.0_);_(* \(#,##0.0\);_(* &quot;-&quot;??_);_(@_)">
                  <c:v>9.9</c:v>
                </c:pt>
                <c:pt idx="17" formatCode="_(* #,##0.0_);_(* \(#,##0.0\);_(* &quot;-&quot;??_);_(@_)">
                  <c:v>9.9</c:v>
                </c:pt>
                <c:pt idx="18" formatCode="_(* #,##0.0_);_(* \(#,##0.0\);_(* &quot;-&quot;??_);_(@_)">
                  <c:v>9.9</c:v>
                </c:pt>
                <c:pt idx="19" formatCode="_(* #,##0.0_);_(* \(#,##0.0\);_(* &quot;-&quot;??_);_(@_)">
                  <c:v>9.9</c:v>
                </c:pt>
                <c:pt idx="20" formatCode="_(* #,##0.0_);_(* \(#,##0.0\);_(* &quot;-&quot;??_);_(@_)">
                  <c:v>9.9</c:v>
                </c:pt>
                <c:pt idx="21" formatCode="_(* #,##0.0_);_(* \(#,##0.0\);_(* &quot;-&quot;??_);_(@_)">
                  <c:v>9.9</c:v>
                </c:pt>
                <c:pt idx="22" formatCode="_(* #,##0.0_);_(* \(#,##0.0\);_(* &quot;-&quot;??_);_(@_)">
                  <c:v>9.9</c:v>
                </c:pt>
                <c:pt idx="23" formatCode="_(* #,##0.0_);_(* \(#,##0.0\);_(* &quot;-&quot;??_);_(@_)">
                  <c:v>9.9</c:v>
                </c:pt>
                <c:pt idx="24" formatCode="_(* #,##0.0_);_(* \(#,##0.0\);_(* &quot;-&quot;??_);_(@_)">
                  <c:v>9.9</c:v>
                </c:pt>
                <c:pt idx="25" formatCode="_(* #,##0.0_);_(* \(#,##0.0\);_(* &quot;-&quot;??_);_(@_)">
                  <c:v>9.8000000000000007</c:v>
                </c:pt>
              </c:numCache>
            </c:numRef>
          </c:val>
        </c:ser>
        <c:ser>
          <c:idx val="9"/>
          <c:order val="9"/>
          <c:tx>
            <c:strRef>
              <c:f>'Alt scen Calcs'!$C$17</c:f>
              <c:strCache>
                <c:ptCount val="1"/>
                <c:pt idx="0">
                  <c:v>Wind 25%</c:v>
                </c:pt>
              </c:strCache>
            </c:strRef>
          </c:tx>
          <c:cat>
            <c:numRef>
              <c:f>'Alt scen Calcs'!$D$7:$AC$7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'Alt scen Calcs'!$D$17:$AC$17</c:f>
              <c:numCache>
                <c:formatCode>General</c:formatCode>
                <c:ptCount val="26"/>
                <c:pt idx="0">
                  <c:v>0</c:v>
                </c:pt>
                <c:pt idx="1">
                  <c:v>0</c:v>
                </c:pt>
                <c:pt idx="2">
                  <c:v>0</c:v>
                </c:pt>
                <c:pt idx="3">
                  <c:v>0</c:v>
                </c:pt>
                <c:pt idx="4">
                  <c:v>0</c:v>
                </c:pt>
                <c:pt idx="5" formatCode="_(* #,##0.0_);_(* \(#,##0.0\);_(* &quot;-&quot;??_);_(@_)">
                  <c:v>0</c:v>
                </c:pt>
                <c:pt idx="6" formatCode="_(* #,##0.0_);_(* \(#,##0.0\);_(* &quot;-&quot;??_);_(@_)">
                  <c:v>0</c:v>
                </c:pt>
                <c:pt idx="7" formatCode="_(* #,##0.0_);_(* \(#,##0.0\);_(* &quot;-&quot;??_);_(@_)">
                  <c:v>0</c:v>
                </c:pt>
                <c:pt idx="8" formatCode="_(* #,##0.0_);_(* \(#,##0.0\);_(* &quot;-&quot;??_);_(@_)">
                  <c:v>0</c:v>
                </c:pt>
                <c:pt idx="9" formatCode="_(* #,##0.0_);_(* \(#,##0.0\);_(* &quot;-&quot;??_);_(@_)">
                  <c:v>0</c:v>
                </c:pt>
                <c:pt idx="10" formatCode="_(* #,##0.0_);_(* \(#,##0.0\);_(* &quot;-&quot;??_);_(@_)">
                  <c:v>0</c:v>
                </c:pt>
                <c:pt idx="11" formatCode="_(* #,##0.0_);_(* \(#,##0.0\);_(* &quot;-&quot;??_);_(@_)">
                  <c:v>0</c:v>
                </c:pt>
                <c:pt idx="12" formatCode="_(* #,##0.0_);_(* \(#,##0.0\);_(* &quot;-&quot;??_);_(@_)">
                  <c:v>0</c:v>
                </c:pt>
                <c:pt idx="13" formatCode="_(* #,##0.0_);_(* \(#,##0.0\);_(* &quot;-&quot;??_);_(@_)">
                  <c:v>0</c:v>
                </c:pt>
                <c:pt idx="14" formatCode="_(* #,##0.0_);_(* \(#,##0.0\);_(* &quot;-&quot;??_);_(@_)">
                  <c:v>0</c:v>
                </c:pt>
                <c:pt idx="15" formatCode="_(* #,##0.0_);_(* \(#,##0.0\);_(* &quot;-&quot;??_);_(@_)">
                  <c:v>0</c:v>
                </c:pt>
                <c:pt idx="16" formatCode="_(* #,##0.0_);_(* \(#,##0.0\);_(* &quot;-&quot;??_);_(@_)">
                  <c:v>0</c:v>
                </c:pt>
                <c:pt idx="17" formatCode="_(* #,##0.0_);_(* \(#,##0.0\);_(* &quot;-&quot;??_);_(@_)">
                  <c:v>1</c:v>
                </c:pt>
                <c:pt idx="18" formatCode="_(* #,##0.0_);_(* \(#,##0.0\);_(* &quot;-&quot;??_);_(@_)">
                  <c:v>2</c:v>
                </c:pt>
                <c:pt idx="19" formatCode="_(* #,##0.0_);_(* \(#,##0.0\);_(* &quot;-&quot;??_);_(@_)">
                  <c:v>3</c:v>
                </c:pt>
                <c:pt idx="20" formatCode="_(* #,##0.0_);_(* \(#,##0.0\);_(* &quot;-&quot;??_);_(@_)">
                  <c:v>4</c:v>
                </c:pt>
                <c:pt idx="21" formatCode="_(* #,##0.0_);_(* \(#,##0.0\);_(* &quot;-&quot;??_);_(@_)">
                  <c:v>5</c:v>
                </c:pt>
                <c:pt idx="22" formatCode="_(* #,##0.0_);_(* \(#,##0.0\);_(* &quot;-&quot;??_);_(@_)">
                  <c:v>6</c:v>
                </c:pt>
                <c:pt idx="23" formatCode="_(* #,##0.0_);_(* \(#,##0.0\);_(* &quot;-&quot;??_);_(@_)">
                  <c:v>7</c:v>
                </c:pt>
                <c:pt idx="24" formatCode="_(* #,##0.0_);_(* \(#,##0.0\);_(* &quot;-&quot;??_);_(@_)">
                  <c:v>8</c:v>
                </c:pt>
                <c:pt idx="25" formatCode="_(* #,##0.0_);_(* \(#,##0.0\);_(* &quot;-&quot;??_);_(@_)">
                  <c:v>9</c:v>
                </c:pt>
              </c:numCache>
            </c:numRef>
          </c:val>
        </c:ser>
        <c:ser>
          <c:idx val="10"/>
          <c:order val="10"/>
          <c:tx>
            <c:strRef>
              <c:f>'Alt scen Calcs'!$C$18</c:f>
              <c:strCache>
                <c:ptCount val="1"/>
                <c:pt idx="0">
                  <c:v>solar thermal central reciever</c:v>
                </c:pt>
              </c:strCache>
            </c:strRef>
          </c:tx>
          <c:cat>
            <c:numRef>
              <c:f>'Alt scen Calcs'!$D$7:$AC$7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'Alt scen Calcs'!$D$18:$AC$18</c:f>
              <c:numCache>
                <c:formatCode>General</c:formatCode>
                <c:ptCount val="26"/>
                <c:pt idx="0">
                  <c:v>0</c:v>
                </c:pt>
                <c:pt idx="1">
                  <c:v>0</c:v>
                </c:pt>
                <c:pt idx="2">
                  <c:v>0</c:v>
                </c:pt>
                <c:pt idx="3">
                  <c:v>0</c:v>
                </c:pt>
                <c:pt idx="4">
                  <c:v>0</c:v>
                </c:pt>
                <c:pt idx="5" formatCode="_(* #,##0.0_);_(* \(#,##0.0\);_(* &quot;-&quot;??_);_(@_)">
                  <c:v>0</c:v>
                </c:pt>
                <c:pt idx="6" formatCode="_(* #,##0.0_);_(* \(#,##0.0\);_(* &quot;-&quot;??_);_(@_)">
                  <c:v>0</c:v>
                </c:pt>
                <c:pt idx="7" formatCode="_(* #,##0.0_);_(* \(#,##0.0\);_(* &quot;-&quot;??_);_(@_)">
                  <c:v>0</c:v>
                </c:pt>
                <c:pt idx="8" formatCode="_(* #,##0.0_);_(* \(#,##0.0\);_(* &quot;-&quot;??_);_(@_)">
                  <c:v>0</c:v>
                </c:pt>
                <c:pt idx="9" formatCode="_(* #,##0.0_);_(* \(#,##0.0\);_(* &quot;-&quot;??_);_(@_)">
                  <c:v>0</c:v>
                </c:pt>
                <c:pt idx="10" formatCode="_(* #,##0.0_);_(* \(#,##0.0\);_(* &quot;-&quot;??_);_(@_)">
                  <c:v>0.1</c:v>
                </c:pt>
                <c:pt idx="11" formatCode="_(* #,##0.0_);_(* \(#,##0.0\);_(* &quot;-&quot;??_);_(@_)">
                  <c:v>0.30000000000000004</c:v>
                </c:pt>
                <c:pt idx="12" formatCode="_(* #,##0.0_);_(* \(#,##0.0\);_(* &quot;-&quot;??_);_(@_)">
                  <c:v>0.70000000000000007</c:v>
                </c:pt>
                <c:pt idx="13" formatCode="_(* #,##0.0_);_(* \(#,##0.0\);_(* &quot;-&quot;??_);_(@_)">
                  <c:v>1.5</c:v>
                </c:pt>
                <c:pt idx="14" formatCode="_(* #,##0.0_);_(* \(#,##0.0\);_(* &quot;-&quot;??_);_(@_)">
                  <c:v>2.7</c:v>
                </c:pt>
                <c:pt idx="15" formatCode="_(* #,##0.0_);_(* \(#,##0.0\);_(* &quot;-&quot;??_);_(@_)">
                  <c:v>4.3000000000000007</c:v>
                </c:pt>
                <c:pt idx="16" formatCode="_(* #,##0.0_);_(* \(#,##0.0\);_(* &quot;-&quot;??_);_(@_)">
                  <c:v>6.3000000000000007</c:v>
                </c:pt>
                <c:pt idx="17" formatCode="_(* #,##0.0_);_(* \(#,##0.0\);_(* &quot;-&quot;??_);_(@_)">
                  <c:v>8.3000000000000007</c:v>
                </c:pt>
                <c:pt idx="18" formatCode="_(* #,##0.0_);_(* \(#,##0.0\);_(* &quot;-&quot;??_);_(@_)">
                  <c:v>11.3</c:v>
                </c:pt>
                <c:pt idx="19" formatCode="_(* #,##0.0_);_(* \(#,##0.0\);_(* &quot;-&quot;??_);_(@_)">
                  <c:v>14.3</c:v>
                </c:pt>
                <c:pt idx="20" formatCode="_(* #,##0.0_);_(* \(#,##0.0\);_(* &quot;-&quot;??_);_(@_)">
                  <c:v>17.3</c:v>
                </c:pt>
                <c:pt idx="21" formatCode="_(* #,##0.0_);_(* \(#,##0.0\);_(* &quot;-&quot;??_);_(@_)">
                  <c:v>20.3</c:v>
                </c:pt>
                <c:pt idx="22" formatCode="_(* #,##0.0_);_(* \(#,##0.0\);_(* &quot;-&quot;??_);_(@_)">
                  <c:v>23.3</c:v>
                </c:pt>
                <c:pt idx="23" formatCode="_(* #,##0.0_);_(* \(#,##0.0\);_(* &quot;-&quot;??_);_(@_)">
                  <c:v>26.3</c:v>
                </c:pt>
                <c:pt idx="24" formatCode="_(* #,##0.0_);_(* \(#,##0.0\);_(* &quot;-&quot;??_);_(@_)">
                  <c:v>29.3</c:v>
                </c:pt>
                <c:pt idx="25" formatCode="_(* #,##0.0_);_(* \(#,##0.0\);_(* &quot;-&quot;??_);_(@_)">
                  <c:v>32.299999999999997</c:v>
                </c:pt>
              </c:numCache>
            </c:numRef>
          </c:val>
        </c:ser>
        <c:ser>
          <c:idx val="11"/>
          <c:order val="11"/>
          <c:tx>
            <c:strRef>
              <c:f>'Alt scen Calcs'!$C$19</c:f>
              <c:strCache>
                <c:ptCount val="1"/>
                <c:pt idx="0">
                  <c:v>solar thermal trough</c:v>
                </c:pt>
              </c:strCache>
            </c:strRef>
          </c:tx>
          <c:cat>
            <c:numRef>
              <c:f>'Alt scen Calcs'!$D$7:$AC$7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'Alt scen Calcs'!$D$19:$AC$19</c:f>
              <c:numCache>
                <c:formatCode>General</c:formatCode>
                <c:ptCount val="26"/>
                <c:pt idx="0">
                  <c:v>0</c:v>
                </c:pt>
                <c:pt idx="1">
                  <c:v>0</c:v>
                </c:pt>
                <c:pt idx="2">
                  <c:v>0</c:v>
                </c:pt>
                <c:pt idx="3">
                  <c:v>0</c:v>
                </c:pt>
                <c:pt idx="4">
                  <c:v>0</c:v>
                </c:pt>
                <c:pt idx="5" formatCode="_(* #,##0.0_);_(* \(#,##0.0\);_(* &quot;-&quot;??_);_(@_)">
                  <c:v>0</c:v>
                </c:pt>
                <c:pt idx="6" formatCode="_(* #,##0.0_);_(* \(#,##0.0\);_(* &quot;-&quot;??_);_(@_)">
                  <c:v>0</c:v>
                </c:pt>
                <c:pt idx="7" formatCode="_(* #,##0.0_);_(* \(#,##0.0\);_(* &quot;-&quot;??_);_(@_)">
                  <c:v>0</c:v>
                </c:pt>
                <c:pt idx="8" formatCode="_(* #,##0.0_);_(* \(#,##0.0\);_(* &quot;-&quot;??_);_(@_)">
                  <c:v>0</c:v>
                </c:pt>
                <c:pt idx="9" formatCode="_(* #,##0.0_);_(* \(#,##0.0\);_(* &quot;-&quot;??_);_(@_)">
                  <c:v>0</c:v>
                </c:pt>
                <c:pt idx="10" formatCode="_(* #,##0.0_);_(* \(#,##0.0\);_(* &quot;-&quot;??_);_(@_)">
                  <c:v>0</c:v>
                </c:pt>
                <c:pt idx="11" formatCode="_(* #,##0.0_);_(* \(#,##0.0\);_(* &quot;-&quot;??_);_(@_)">
                  <c:v>0</c:v>
                </c:pt>
                <c:pt idx="12" formatCode="_(* #,##0.0_);_(* \(#,##0.0\);_(* &quot;-&quot;??_);_(@_)">
                  <c:v>0</c:v>
                </c:pt>
                <c:pt idx="13" formatCode="_(* #,##0.0_);_(* \(#,##0.0\);_(* &quot;-&quot;??_);_(@_)">
                  <c:v>0</c:v>
                </c:pt>
                <c:pt idx="14" formatCode="_(* #,##0.0_);_(* \(#,##0.0\);_(* &quot;-&quot;??_);_(@_)">
                  <c:v>0</c:v>
                </c:pt>
                <c:pt idx="15" formatCode="_(* #,##0.0_);_(* \(#,##0.0\);_(* &quot;-&quot;??_);_(@_)">
                  <c:v>0</c:v>
                </c:pt>
                <c:pt idx="16" formatCode="_(* #,##0.0_);_(* \(#,##0.0\);_(* &quot;-&quot;??_);_(@_)">
                  <c:v>0</c:v>
                </c:pt>
                <c:pt idx="17" formatCode="_(* #,##0.0_);_(* \(#,##0.0\);_(* &quot;-&quot;??_);_(@_)">
                  <c:v>0</c:v>
                </c:pt>
                <c:pt idx="18" formatCode="_(* #,##0.0_);_(* \(#,##0.0\);_(* &quot;-&quot;??_);_(@_)">
                  <c:v>0</c:v>
                </c:pt>
                <c:pt idx="19" formatCode="_(* #,##0.0_);_(* \(#,##0.0\);_(* &quot;-&quot;??_);_(@_)">
                  <c:v>0</c:v>
                </c:pt>
                <c:pt idx="20" formatCode="_(* #,##0.0_);_(* \(#,##0.0\);_(* &quot;-&quot;??_);_(@_)">
                  <c:v>0</c:v>
                </c:pt>
                <c:pt idx="21" formatCode="_(* #,##0.0_);_(* \(#,##0.0\);_(* &quot;-&quot;??_);_(@_)">
                  <c:v>0</c:v>
                </c:pt>
                <c:pt idx="22" formatCode="_(* #,##0.0_);_(* \(#,##0.0\);_(* &quot;-&quot;??_);_(@_)">
                  <c:v>0</c:v>
                </c:pt>
                <c:pt idx="23" formatCode="_(* #,##0.0_);_(* \(#,##0.0\);_(* &quot;-&quot;??_);_(@_)">
                  <c:v>0</c:v>
                </c:pt>
                <c:pt idx="24" formatCode="_(* #,##0.0_);_(* \(#,##0.0\);_(* &quot;-&quot;??_);_(@_)">
                  <c:v>0</c:v>
                </c:pt>
                <c:pt idx="25" formatCode="_(* #,##0.0_);_(* \(#,##0.0\);_(* &quot;-&quot;??_);_(@_)">
                  <c:v>0</c:v>
                </c:pt>
              </c:numCache>
            </c:numRef>
          </c:val>
        </c:ser>
        <c:ser>
          <c:idx val="12"/>
          <c:order val="12"/>
          <c:tx>
            <c:strRef>
              <c:f>'Alt scen Calcs'!$C$20</c:f>
              <c:strCache>
                <c:ptCount val="1"/>
                <c:pt idx="0">
                  <c:v>solar PV</c:v>
                </c:pt>
              </c:strCache>
            </c:strRef>
          </c:tx>
          <c:cat>
            <c:numRef>
              <c:f>'Alt scen Calcs'!$D$7:$AC$7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'Alt scen Calcs'!$D$20:$AC$20</c:f>
              <c:numCache>
                <c:formatCode>General</c:formatCode>
                <c:ptCount val="26"/>
                <c:pt idx="0">
                  <c:v>0</c:v>
                </c:pt>
                <c:pt idx="1">
                  <c:v>0</c:v>
                </c:pt>
                <c:pt idx="2">
                  <c:v>0</c:v>
                </c:pt>
                <c:pt idx="3">
                  <c:v>0</c:v>
                </c:pt>
                <c:pt idx="4">
                  <c:v>0</c:v>
                </c:pt>
                <c:pt idx="5" formatCode="_(* #,##0.0_);_(* \(#,##0.0\);_(* &quot;-&quot;??_);_(@_)">
                  <c:v>0</c:v>
                </c:pt>
                <c:pt idx="6" formatCode="_(* #,##0.0_);_(* \(#,##0.0\);_(* &quot;-&quot;??_);_(@_)">
                  <c:v>0</c:v>
                </c:pt>
                <c:pt idx="7" formatCode="_(* #,##0.0_);_(* \(#,##0.0\);_(* &quot;-&quot;??_);_(@_)">
                  <c:v>0</c:v>
                </c:pt>
                <c:pt idx="8" formatCode="_(* #,##0.0_);_(* \(#,##0.0\);_(* &quot;-&quot;??_);_(@_)">
                  <c:v>0</c:v>
                </c:pt>
                <c:pt idx="9" formatCode="_(* #,##0.0_);_(* \(#,##0.0\);_(* &quot;-&quot;??_);_(@_)">
                  <c:v>0</c:v>
                </c:pt>
                <c:pt idx="10" formatCode="_(* #,##0.0_);_(* \(#,##0.0\);_(* &quot;-&quot;??_);_(@_)">
                  <c:v>0</c:v>
                </c:pt>
                <c:pt idx="11" formatCode="_(* #,##0.0_);_(* \(#,##0.0\);_(* &quot;-&quot;??_);_(@_)">
                  <c:v>0</c:v>
                </c:pt>
                <c:pt idx="12" formatCode="_(* #,##0.0_);_(* \(#,##0.0\);_(* &quot;-&quot;??_);_(@_)">
                  <c:v>0</c:v>
                </c:pt>
                <c:pt idx="13" formatCode="_(* #,##0.0_);_(* \(#,##0.0\);_(* &quot;-&quot;??_);_(@_)">
                  <c:v>0</c:v>
                </c:pt>
                <c:pt idx="14" formatCode="_(* #,##0.0_);_(* \(#,##0.0\);_(* &quot;-&quot;??_);_(@_)">
                  <c:v>0</c:v>
                </c:pt>
                <c:pt idx="15" formatCode="_(* #,##0.0_);_(* \(#,##0.0\);_(* &quot;-&quot;??_);_(@_)">
                  <c:v>0</c:v>
                </c:pt>
                <c:pt idx="16" formatCode="_(* #,##0.0_);_(* \(#,##0.0\);_(* &quot;-&quot;??_);_(@_)">
                  <c:v>0</c:v>
                </c:pt>
                <c:pt idx="17" formatCode="_(* #,##0.0_);_(* \(#,##0.0\);_(* &quot;-&quot;??_);_(@_)">
                  <c:v>0</c:v>
                </c:pt>
                <c:pt idx="18" formatCode="_(* #,##0.0_);_(* \(#,##0.0\);_(* &quot;-&quot;??_);_(@_)">
                  <c:v>0</c:v>
                </c:pt>
                <c:pt idx="19" formatCode="_(* #,##0.0_);_(* \(#,##0.0\);_(* &quot;-&quot;??_);_(@_)">
                  <c:v>0</c:v>
                </c:pt>
                <c:pt idx="20" formatCode="_(* #,##0.0_);_(* \(#,##0.0\);_(* &quot;-&quot;??_);_(@_)">
                  <c:v>0</c:v>
                </c:pt>
                <c:pt idx="21" formatCode="_(* #,##0.0_);_(* \(#,##0.0\);_(* &quot;-&quot;??_);_(@_)">
                  <c:v>0</c:v>
                </c:pt>
                <c:pt idx="22" formatCode="_(* #,##0.0_);_(* \(#,##0.0\);_(* &quot;-&quot;??_);_(@_)">
                  <c:v>0</c:v>
                </c:pt>
                <c:pt idx="23" formatCode="_(* #,##0.0_);_(* \(#,##0.0\);_(* &quot;-&quot;??_);_(@_)">
                  <c:v>0</c:v>
                </c:pt>
                <c:pt idx="24" formatCode="_(* #,##0.0_);_(* \(#,##0.0\);_(* &quot;-&quot;??_);_(@_)">
                  <c:v>0</c:v>
                </c:pt>
                <c:pt idx="25" formatCode="_(* #,##0.0_);_(* \(#,##0.0\);_(* &quot;-&quot;??_);_(@_)">
                  <c:v>0</c:v>
                </c:pt>
              </c:numCache>
            </c:numRef>
          </c:val>
        </c:ser>
        <c:ser>
          <c:idx val="13"/>
          <c:order val="13"/>
          <c:tx>
            <c:strRef>
              <c:f>'Alt scen Calcs'!$C$21</c:f>
              <c:strCache>
                <c:ptCount val="1"/>
                <c:pt idx="0">
                  <c:v>combined cycle gas</c:v>
                </c:pt>
              </c:strCache>
            </c:strRef>
          </c:tx>
          <c:cat>
            <c:numRef>
              <c:f>'Alt scen Calcs'!$D$7:$AC$7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'Alt scen Calcs'!$D$21:$AC$21</c:f>
              <c:numCache>
                <c:formatCode>General</c:formatCode>
                <c:ptCount val="26"/>
                <c:pt idx="0">
                  <c:v>0</c:v>
                </c:pt>
                <c:pt idx="1">
                  <c:v>0</c:v>
                </c:pt>
                <c:pt idx="2">
                  <c:v>0</c:v>
                </c:pt>
                <c:pt idx="3">
                  <c:v>0</c:v>
                </c:pt>
                <c:pt idx="4">
                  <c:v>0</c:v>
                </c:pt>
                <c:pt idx="5" formatCode="_(* #,##0.0_);_(* \(#,##0.0\);_(* &quot;-&quot;??_);_(@_)">
                  <c:v>0</c:v>
                </c:pt>
                <c:pt idx="6" formatCode="_(* #,##0.0_);_(* \(#,##0.0\);_(* &quot;-&quot;??_);_(@_)">
                  <c:v>0</c:v>
                </c:pt>
                <c:pt idx="7" formatCode="_(* #,##0.0_);_(* \(#,##0.0\);_(* &quot;-&quot;??_);_(@_)">
                  <c:v>0</c:v>
                </c:pt>
                <c:pt idx="8" formatCode="_(* #,##0.0_);_(* \(#,##0.0\);_(* &quot;-&quot;??_);_(@_)">
                  <c:v>0</c:v>
                </c:pt>
                <c:pt idx="9" formatCode="_(* #,##0.0_);_(* \(#,##0.0\);_(* &quot;-&quot;??_);_(@_)">
                  <c:v>0</c:v>
                </c:pt>
                <c:pt idx="10" formatCode="_(* #,##0.0_);_(* \(#,##0.0\);_(* &quot;-&quot;??_);_(@_)">
                  <c:v>0</c:v>
                </c:pt>
                <c:pt idx="11" formatCode="_(* #,##0.0_);_(* \(#,##0.0\);_(* &quot;-&quot;??_);_(@_)">
                  <c:v>0</c:v>
                </c:pt>
                <c:pt idx="12" formatCode="_(* #,##0.0_);_(* \(#,##0.0\);_(* &quot;-&quot;??_);_(@_)">
                  <c:v>0</c:v>
                </c:pt>
                <c:pt idx="13" formatCode="_(* #,##0.0_);_(* \(#,##0.0\);_(* &quot;-&quot;??_);_(@_)">
                  <c:v>0</c:v>
                </c:pt>
                <c:pt idx="14" formatCode="_(* #,##0.0_);_(* \(#,##0.0\);_(* &quot;-&quot;??_);_(@_)">
                  <c:v>0</c:v>
                </c:pt>
                <c:pt idx="15" formatCode="_(* #,##0.0_);_(* \(#,##0.0\);_(* &quot;-&quot;??_);_(@_)">
                  <c:v>0</c:v>
                </c:pt>
                <c:pt idx="16" formatCode="_(* #,##0.0_);_(* \(#,##0.0\);_(* &quot;-&quot;??_);_(@_)">
                  <c:v>0</c:v>
                </c:pt>
                <c:pt idx="17" formatCode="_(* #,##0.0_);_(* \(#,##0.0\);_(* &quot;-&quot;??_);_(@_)">
                  <c:v>0</c:v>
                </c:pt>
                <c:pt idx="18" formatCode="_(* #,##0.0_);_(* \(#,##0.0\);_(* &quot;-&quot;??_);_(@_)">
                  <c:v>0</c:v>
                </c:pt>
                <c:pt idx="19" formatCode="_(* #,##0.0_);_(* \(#,##0.0\);_(* &quot;-&quot;??_);_(@_)">
                  <c:v>0</c:v>
                </c:pt>
                <c:pt idx="20" formatCode="_(* #,##0.0_);_(* \(#,##0.0\);_(* &quot;-&quot;??_);_(@_)">
                  <c:v>0</c:v>
                </c:pt>
                <c:pt idx="21" formatCode="_(* #,##0.0_);_(* \(#,##0.0\);_(* &quot;-&quot;??_);_(@_)">
                  <c:v>0</c:v>
                </c:pt>
                <c:pt idx="22" formatCode="_(* #,##0.0_);_(* \(#,##0.0\);_(* &quot;-&quot;??_);_(@_)">
                  <c:v>0.77400000000000002</c:v>
                </c:pt>
                <c:pt idx="23" formatCode="_(* #,##0.0_);_(* \(#,##0.0\);_(* &quot;-&quot;??_);_(@_)">
                  <c:v>1.9350000000000001</c:v>
                </c:pt>
                <c:pt idx="24" formatCode="_(* #,##0.0_);_(* \(#,##0.0\);_(* &quot;-&quot;??_);_(@_)">
                  <c:v>3.0960000000000001</c:v>
                </c:pt>
                <c:pt idx="25" formatCode="_(* #,##0.0_);_(* \(#,##0.0\);_(* &quot;-&quot;??_);_(@_)">
                  <c:v>3.0960000000000001</c:v>
                </c:pt>
              </c:numCache>
            </c:numRef>
          </c:val>
        </c:ser>
        <c:ser>
          <c:idx val="14"/>
          <c:order val="14"/>
          <c:tx>
            <c:strRef>
              <c:f>'Alt scen Calcs'!$C$22</c:f>
              <c:strCache>
                <c:ptCount val="1"/>
                <c:pt idx="0">
                  <c:v>PBMR</c:v>
                </c:pt>
              </c:strCache>
            </c:strRef>
          </c:tx>
          <c:cat>
            <c:numRef>
              <c:f>'Alt scen Calcs'!$D$7:$AC$7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'Alt scen Calcs'!$D$22:$AC$22</c:f>
              <c:numCache>
                <c:formatCode>General</c:formatCode>
                <c:ptCount val="26"/>
                <c:pt idx="0">
                  <c:v>0</c:v>
                </c:pt>
                <c:pt idx="1">
                  <c:v>0</c:v>
                </c:pt>
                <c:pt idx="2">
                  <c:v>0</c:v>
                </c:pt>
                <c:pt idx="3">
                  <c:v>0</c:v>
                </c:pt>
                <c:pt idx="4">
                  <c:v>0</c:v>
                </c:pt>
                <c:pt idx="5" formatCode="_(* #,##0.0_);_(* \(#,##0.0\);_(* &quot;-&quot;??_);_(@_)">
                  <c:v>0</c:v>
                </c:pt>
                <c:pt idx="6" formatCode="_(* #,##0.0_);_(* \(#,##0.0\);_(* &quot;-&quot;??_);_(@_)">
                  <c:v>0</c:v>
                </c:pt>
                <c:pt idx="7" formatCode="_(* #,##0.0_);_(* \(#,##0.0\);_(* &quot;-&quot;??_);_(@_)">
                  <c:v>0</c:v>
                </c:pt>
                <c:pt idx="8" formatCode="_(* #,##0.0_);_(* \(#,##0.0\);_(* &quot;-&quot;??_);_(@_)">
                  <c:v>0</c:v>
                </c:pt>
                <c:pt idx="9" formatCode="_(* #,##0.0_);_(* \(#,##0.0\);_(* &quot;-&quot;??_);_(@_)">
                  <c:v>0</c:v>
                </c:pt>
                <c:pt idx="10" formatCode="_(* #,##0.0_);_(* \(#,##0.0\);_(* &quot;-&quot;??_);_(@_)">
                  <c:v>0</c:v>
                </c:pt>
                <c:pt idx="11" formatCode="_(* #,##0.0_);_(* \(#,##0.0\);_(* &quot;-&quot;??_);_(@_)">
                  <c:v>0</c:v>
                </c:pt>
                <c:pt idx="12" formatCode="_(* #,##0.0_);_(* \(#,##0.0\);_(* &quot;-&quot;??_);_(@_)">
                  <c:v>0</c:v>
                </c:pt>
                <c:pt idx="13" formatCode="_(* #,##0.0_);_(* \(#,##0.0\);_(* &quot;-&quot;??_);_(@_)">
                  <c:v>0</c:v>
                </c:pt>
                <c:pt idx="14" formatCode="_(* #,##0.0_);_(* \(#,##0.0\);_(* &quot;-&quot;??_);_(@_)">
                  <c:v>0</c:v>
                </c:pt>
                <c:pt idx="15" formatCode="_(* #,##0.0_);_(* \(#,##0.0\);_(* &quot;-&quot;??_);_(@_)">
                  <c:v>0</c:v>
                </c:pt>
                <c:pt idx="16" formatCode="_(* #,##0.0_);_(* \(#,##0.0\);_(* &quot;-&quot;??_);_(@_)">
                  <c:v>0</c:v>
                </c:pt>
                <c:pt idx="17" formatCode="_(* #,##0.0_);_(* \(#,##0.0\);_(* &quot;-&quot;??_);_(@_)">
                  <c:v>0</c:v>
                </c:pt>
                <c:pt idx="18" formatCode="_(* #,##0.0_);_(* \(#,##0.0\);_(* &quot;-&quot;??_);_(@_)">
                  <c:v>0</c:v>
                </c:pt>
                <c:pt idx="19" formatCode="_(* #,##0.0_);_(* \(#,##0.0\);_(* &quot;-&quot;??_);_(@_)">
                  <c:v>0</c:v>
                </c:pt>
                <c:pt idx="20" formatCode="_(* #,##0.0_);_(* \(#,##0.0\);_(* &quot;-&quot;??_);_(@_)">
                  <c:v>0</c:v>
                </c:pt>
                <c:pt idx="21" formatCode="_(* #,##0.0_);_(* \(#,##0.0\);_(* &quot;-&quot;??_);_(@_)">
                  <c:v>0</c:v>
                </c:pt>
                <c:pt idx="22" formatCode="_(* #,##0.0_);_(* \(#,##0.0\);_(* &quot;-&quot;??_);_(@_)">
                  <c:v>0</c:v>
                </c:pt>
                <c:pt idx="23" formatCode="_(* #,##0.0_);_(* \(#,##0.0\);_(* &quot;-&quot;??_);_(@_)">
                  <c:v>0</c:v>
                </c:pt>
                <c:pt idx="24" formatCode="_(* #,##0.0_);_(* \(#,##0.0\);_(* &quot;-&quot;??_);_(@_)">
                  <c:v>0</c:v>
                </c:pt>
                <c:pt idx="25" formatCode="_(* #,##0.0_);_(* \(#,##0.0\);_(* &quot;-&quot;??_);_(@_)">
                  <c:v>0</c:v>
                </c:pt>
              </c:numCache>
            </c:numRef>
          </c:val>
        </c:ser>
        <c:ser>
          <c:idx val="15"/>
          <c:order val="15"/>
          <c:tx>
            <c:strRef>
              <c:f>'Alt scen Calcs'!$C$23</c:f>
              <c:strCache>
                <c:ptCount val="1"/>
                <c:pt idx="0">
                  <c:v>IGCC</c:v>
                </c:pt>
              </c:strCache>
            </c:strRef>
          </c:tx>
          <c:cat>
            <c:numRef>
              <c:f>'Alt scen Calcs'!$D$7:$AC$7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'Alt scen Calcs'!$D$23:$AC$23</c:f>
              <c:numCache>
                <c:formatCode>General</c:formatCode>
                <c:ptCount val="26"/>
                <c:pt idx="0">
                  <c:v>0</c:v>
                </c:pt>
                <c:pt idx="1">
                  <c:v>0</c:v>
                </c:pt>
                <c:pt idx="2">
                  <c:v>0</c:v>
                </c:pt>
                <c:pt idx="3">
                  <c:v>0</c:v>
                </c:pt>
                <c:pt idx="4">
                  <c:v>0</c:v>
                </c:pt>
                <c:pt idx="5" formatCode="_(* #,##0.0_);_(* \(#,##0.0\);_(* &quot;-&quot;??_);_(@_)">
                  <c:v>0</c:v>
                </c:pt>
                <c:pt idx="6" formatCode="_(* #,##0.0_);_(* \(#,##0.0\);_(* &quot;-&quot;??_);_(@_)">
                  <c:v>0</c:v>
                </c:pt>
                <c:pt idx="7" formatCode="_(* #,##0.0_);_(* \(#,##0.0\);_(* &quot;-&quot;??_);_(@_)">
                  <c:v>0</c:v>
                </c:pt>
                <c:pt idx="8" formatCode="_(* #,##0.0_);_(* \(#,##0.0\);_(* &quot;-&quot;??_);_(@_)">
                  <c:v>0</c:v>
                </c:pt>
                <c:pt idx="9" formatCode="_(* #,##0.0_);_(* \(#,##0.0\);_(* &quot;-&quot;??_);_(@_)">
                  <c:v>0</c:v>
                </c:pt>
                <c:pt idx="10" formatCode="_(* #,##0.0_);_(* \(#,##0.0\);_(* &quot;-&quot;??_);_(@_)">
                  <c:v>0</c:v>
                </c:pt>
                <c:pt idx="11" formatCode="_(* #,##0.0_);_(* \(#,##0.0\);_(* &quot;-&quot;??_);_(@_)">
                  <c:v>0</c:v>
                </c:pt>
                <c:pt idx="12" formatCode="_(* #,##0.0_);_(* \(#,##0.0\);_(* &quot;-&quot;??_);_(@_)">
                  <c:v>0</c:v>
                </c:pt>
                <c:pt idx="13" formatCode="_(* #,##0.0_);_(* \(#,##0.0\);_(* &quot;-&quot;??_);_(@_)">
                  <c:v>0</c:v>
                </c:pt>
                <c:pt idx="14" formatCode="_(* #,##0.0_);_(* \(#,##0.0\);_(* &quot;-&quot;??_);_(@_)">
                  <c:v>0</c:v>
                </c:pt>
                <c:pt idx="15" formatCode="_(* #,##0.0_);_(* \(#,##0.0\);_(* &quot;-&quot;??_);_(@_)">
                  <c:v>0</c:v>
                </c:pt>
                <c:pt idx="16" formatCode="_(* #,##0.0_);_(* \(#,##0.0\);_(* &quot;-&quot;??_);_(@_)">
                  <c:v>0</c:v>
                </c:pt>
                <c:pt idx="17" formatCode="_(* #,##0.0_);_(* \(#,##0.0\);_(* &quot;-&quot;??_);_(@_)">
                  <c:v>0</c:v>
                </c:pt>
                <c:pt idx="18" formatCode="_(* #,##0.0_);_(* \(#,##0.0\);_(* &quot;-&quot;??_);_(@_)">
                  <c:v>0</c:v>
                </c:pt>
                <c:pt idx="19" formatCode="_(* #,##0.0_);_(* \(#,##0.0\);_(* &quot;-&quot;??_);_(@_)">
                  <c:v>0</c:v>
                </c:pt>
                <c:pt idx="20" formatCode="_(* #,##0.0_);_(* \(#,##0.0\);_(* &quot;-&quot;??_);_(@_)">
                  <c:v>0</c:v>
                </c:pt>
                <c:pt idx="21" formatCode="_(* #,##0.0_);_(* \(#,##0.0\);_(* &quot;-&quot;??_);_(@_)">
                  <c:v>0</c:v>
                </c:pt>
                <c:pt idx="22" formatCode="_(* #,##0.0_);_(* \(#,##0.0\);_(* &quot;-&quot;??_);_(@_)">
                  <c:v>0</c:v>
                </c:pt>
                <c:pt idx="23" formatCode="_(* #,##0.0_);_(* \(#,##0.0\);_(* &quot;-&quot;??_);_(@_)">
                  <c:v>0</c:v>
                </c:pt>
                <c:pt idx="24" formatCode="_(* #,##0.0_);_(* \(#,##0.0\);_(* &quot;-&quot;??_);_(@_)">
                  <c:v>0.55000000000000004</c:v>
                </c:pt>
                <c:pt idx="25" formatCode="_(* #,##0.0_);_(* \(#,##0.0\);_(* &quot;-&quot;??_);_(@_)">
                  <c:v>1.1000000000000001</c:v>
                </c:pt>
              </c:numCache>
            </c:numRef>
          </c:val>
        </c:ser>
        <c:ser>
          <c:idx val="16"/>
          <c:order val="16"/>
          <c:tx>
            <c:strRef>
              <c:f>'Alt scen Calcs'!$C$24</c:f>
              <c:strCache>
                <c:ptCount val="1"/>
                <c:pt idx="0">
                  <c:v>-</c:v>
                </c:pt>
              </c:strCache>
            </c:strRef>
          </c:tx>
          <c:cat>
            <c:numRef>
              <c:f>'Alt scen Calcs'!$D$7:$AC$7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'Alt scen Calcs'!$D$24:$AC$24</c:f>
              <c:numCache>
                <c:formatCode>General</c:formatCode>
                <c:ptCount val="26"/>
                <c:pt idx="0">
                  <c:v>0</c:v>
                </c:pt>
                <c:pt idx="1">
                  <c:v>0</c:v>
                </c:pt>
                <c:pt idx="2">
                  <c:v>0</c:v>
                </c:pt>
                <c:pt idx="3">
                  <c:v>0</c:v>
                </c:pt>
                <c:pt idx="4">
                  <c:v>0</c:v>
                </c:pt>
                <c:pt idx="5" formatCode="_(* #,##0.0_);_(* \(#,##0.0\);_(* &quot;-&quot;??_);_(@_)">
                  <c:v>0</c:v>
                </c:pt>
                <c:pt idx="6" formatCode="_(* #,##0.0_);_(* \(#,##0.0\);_(* &quot;-&quot;??_);_(@_)">
                  <c:v>0</c:v>
                </c:pt>
                <c:pt idx="7" formatCode="_(* #,##0.0_);_(* \(#,##0.0\);_(* &quot;-&quot;??_);_(@_)">
                  <c:v>0</c:v>
                </c:pt>
                <c:pt idx="8" formatCode="_(* #,##0.0_);_(* \(#,##0.0\);_(* &quot;-&quot;??_);_(@_)">
                  <c:v>0</c:v>
                </c:pt>
                <c:pt idx="9" formatCode="_(* #,##0.0_);_(* \(#,##0.0\);_(* &quot;-&quot;??_);_(@_)">
                  <c:v>0</c:v>
                </c:pt>
                <c:pt idx="10" formatCode="_(* #,##0.0_);_(* \(#,##0.0\);_(* &quot;-&quot;??_);_(@_)">
                  <c:v>0</c:v>
                </c:pt>
                <c:pt idx="11" formatCode="_(* #,##0.0_);_(* \(#,##0.0\);_(* &quot;-&quot;??_);_(@_)">
                  <c:v>0</c:v>
                </c:pt>
                <c:pt idx="12" formatCode="_(* #,##0.0_);_(* \(#,##0.0\);_(* &quot;-&quot;??_);_(@_)">
                  <c:v>0</c:v>
                </c:pt>
                <c:pt idx="13" formatCode="_(* #,##0.0_);_(* \(#,##0.0\);_(* &quot;-&quot;??_);_(@_)">
                  <c:v>0</c:v>
                </c:pt>
                <c:pt idx="14" formatCode="_(* #,##0.0_);_(* \(#,##0.0\);_(* &quot;-&quot;??_);_(@_)">
                  <c:v>0</c:v>
                </c:pt>
                <c:pt idx="15" formatCode="_(* #,##0.0_);_(* \(#,##0.0\);_(* &quot;-&quot;??_);_(@_)">
                  <c:v>0</c:v>
                </c:pt>
                <c:pt idx="16" formatCode="_(* #,##0.0_);_(* \(#,##0.0\);_(* &quot;-&quot;??_);_(@_)">
                  <c:v>0</c:v>
                </c:pt>
                <c:pt idx="17" formatCode="_(* #,##0.0_);_(* \(#,##0.0\);_(* &quot;-&quot;??_);_(@_)">
                  <c:v>0</c:v>
                </c:pt>
                <c:pt idx="18" formatCode="_(* #,##0.0_);_(* \(#,##0.0\);_(* &quot;-&quot;??_);_(@_)">
                  <c:v>0</c:v>
                </c:pt>
                <c:pt idx="19" formatCode="_(* #,##0.0_);_(* \(#,##0.0\);_(* &quot;-&quot;??_);_(@_)">
                  <c:v>0</c:v>
                </c:pt>
                <c:pt idx="20" formatCode="_(* #,##0.0_);_(* \(#,##0.0\);_(* &quot;-&quot;??_);_(@_)">
                  <c:v>0</c:v>
                </c:pt>
                <c:pt idx="21" formatCode="_(* #,##0.0_);_(* \(#,##0.0\);_(* &quot;-&quot;??_);_(@_)">
                  <c:v>0</c:v>
                </c:pt>
                <c:pt idx="22" formatCode="_(* #,##0.0_);_(* \(#,##0.0\);_(* &quot;-&quot;??_);_(@_)">
                  <c:v>0</c:v>
                </c:pt>
                <c:pt idx="23" formatCode="_(* #,##0.0_);_(* \(#,##0.0\);_(* &quot;-&quot;??_);_(@_)">
                  <c:v>0</c:v>
                </c:pt>
                <c:pt idx="24" formatCode="_(* #,##0.0_);_(* \(#,##0.0\);_(* &quot;-&quot;??_);_(@_)">
                  <c:v>0</c:v>
                </c:pt>
                <c:pt idx="25" formatCode="_(* #,##0.0_);_(* \(#,##0.0\);_(* &quot;-&quot;??_);_(@_)">
                  <c:v>0</c:v>
                </c:pt>
              </c:numCache>
            </c:numRef>
          </c:val>
        </c:ser>
        <c:ser>
          <c:idx val="17"/>
          <c:order val="17"/>
          <c:tx>
            <c:strRef>
              <c:f>'Alt scen Calcs'!$C$25</c:f>
              <c:strCache>
                <c:ptCount val="1"/>
                <c:pt idx="0">
                  <c:v>-</c:v>
                </c:pt>
              </c:strCache>
            </c:strRef>
          </c:tx>
          <c:cat>
            <c:numRef>
              <c:f>'Alt scen Calcs'!$D$7:$AC$7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'Alt scen Calcs'!$D$25:$AC$25</c:f>
              <c:numCache>
                <c:formatCode>General</c:formatCode>
                <c:ptCount val="26"/>
                <c:pt idx="0">
                  <c:v>0</c:v>
                </c:pt>
                <c:pt idx="1">
                  <c:v>0</c:v>
                </c:pt>
                <c:pt idx="2">
                  <c:v>0</c:v>
                </c:pt>
                <c:pt idx="3">
                  <c:v>0</c:v>
                </c:pt>
                <c:pt idx="4">
                  <c:v>0</c:v>
                </c:pt>
                <c:pt idx="5" formatCode="_(* #,##0.0_);_(* \(#,##0.0\);_(* &quot;-&quot;??_);_(@_)">
                  <c:v>0</c:v>
                </c:pt>
                <c:pt idx="6" formatCode="_(* #,##0.0_);_(* \(#,##0.0\);_(* &quot;-&quot;??_);_(@_)">
                  <c:v>0</c:v>
                </c:pt>
                <c:pt idx="7" formatCode="_(* #,##0.0_);_(* \(#,##0.0\);_(* &quot;-&quot;??_);_(@_)">
                  <c:v>0</c:v>
                </c:pt>
                <c:pt idx="8" formatCode="_(* #,##0.0_);_(* \(#,##0.0\);_(* &quot;-&quot;??_);_(@_)">
                  <c:v>0</c:v>
                </c:pt>
                <c:pt idx="9" formatCode="_(* #,##0.0_);_(* \(#,##0.0\);_(* &quot;-&quot;??_);_(@_)">
                  <c:v>0</c:v>
                </c:pt>
                <c:pt idx="10" formatCode="_(* #,##0.0_);_(* \(#,##0.0\);_(* &quot;-&quot;??_);_(@_)">
                  <c:v>0</c:v>
                </c:pt>
                <c:pt idx="11" formatCode="_(* #,##0.0_);_(* \(#,##0.0\);_(* &quot;-&quot;??_);_(@_)">
                  <c:v>0</c:v>
                </c:pt>
                <c:pt idx="12" formatCode="_(* #,##0.0_);_(* \(#,##0.0\);_(* &quot;-&quot;??_);_(@_)">
                  <c:v>0</c:v>
                </c:pt>
                <c:pt idx="13" formatCode="_(* #,##0.0_);_(* \(#,##0.0\);_(* &quot;-&quot;??_);_(@_)">
                  <c:v>0</c:v>
                </c:pt>
                <c:pt idx="14" formatCode="_(* #,##0.0_);_(* \(#,##0.0\);_(* &quot;-&quot;??_);_(@_)">
                  <c:v>0</c:v>
                </c:pt>
                <c:pt idx="15" formatCode="_(* #,##0.0_);_(* \(#,##0.0\);_(* &quot;-&quot;??_);_(@_)">
                  <c:v>0</c:v>
                </c:pt>
                <c:pt idx="16" formatCode="_(* #,##0.0_);_(* \(#,##0.0\);_(* &quot;-&quot;??_);_(@_)">
                  <c:v>0</c:v>
                </c:pt>
                <c:pt idx="17" formatCode="_(* #,##0.0_);_(* \(#,##0.0\);_(* &quot;-&quot;??_);_(@_)">
                  <c:v>0</c:v>
                </c:pt>
                <c:pt idx="18" formatCode="_(* #,##0.0_);_(* \(#,##0.0\);_(* &quot;-&quot;??_);_(@_)">
                  <c:v>0</c:v>
                </c:pt>
                <c:pt idx="19" formatCode="_(* #,##0.0_);_(* \(#,##0.0\);_(* &quot;-&quot;??_);_(@_)">
                  <c:v>0</c:v>
                </c:pt>
                <c:pt idx="20" formatCode="_(* #,##0.0_);_(* \(#,##0.0\);_(* &quot;-&quot;??_);_(@_)">
                  <c:v>0</c:v>
                </c:pt>
                <c:pt idx="21" formatCode="_(* #,##0.0_);_(* \(#,##0.0\);_(* &quot;-&quot;??_);_(@_)">
                  <c:v>0</c:v>
                </c:pt>
                <c:pt idx="22" formatCode="_(* #,##0.0_);_(* \(#,##0.0\);_(* &quot;-&quot;??_);_(@_)">
                  <c:v>0</c:v>
                </c:pt>
                <c:pt idx="23" formatCode="_(* #,##0.0_);_(* \(#,##0.0\);_(* &quot;-&quot;??_);_(@_)">
                  <c:v>0</c:v>
                </c:pt>
                <c:pt idx="24" formatCode="_(* #,##0.0_);_(* \(#,##0.0\);_(* &quot;-&quot;??_);_(@_)">
                  <c:v>0</c:v>
                </c:pt>
                <c:pt idx="25" formatCode="_(* #,##0.0_);_(* \(#,##0.0\);_(* &quot;-&quot;??_);_(@_)">
                  <c:v>0</c:v>
                </c:pt>
              </c:numCache>
            </c:numRef>
          </c:val>
        </c:ser>
        <c:ser>
          <c:idx val="18"/>
          <c:order val="18"/>
          <c:tx>
            <c:strRef>
              <c:f>'Alt scen Calcs'!$C$26</c:f>
              <c:strCache>
                <c:ptCount val="1"/>
                <c:pt idx="0">
                  <c:v>-</c:v>
                </c:pt>
              </c:strCache>
            </c:strRef>
          </c:tx>
          <c:cat>
            <c:numRef>
              <c:f>'Alt scen Calcs'!$D$7:$AC$7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'Alt scen Calcs'!$D$26:$AC$26</c:f>
              <c:numCache>
                <c:formatCode>General</c:formatCode>
                <c:ptCount val="26"/>
                <c:pt idx="0">
                  <c:v>0</c:v>
                </c:pt>
                <c:pt idx="1">
                  <c:v>0</c:v>
                </c:pt>
                <c:pt idx="2">
                  <c:v>0</c:v>
                </c:pt>
                <c:pt idx="3">
                  <c:v>0</c:v>
                </c:pt>
                <c:pt idx="4">
                  <c:v>0</c:v>
                </c:pt>
                <c:pt idx="5" formatCode="_(* #,##0.0_);_(* \(#,##0.0\);_(* &quot;-&quot;??_);_(@_)">
                  <c:v>0</c:v>
                </c:pt>
                <c:pt idx="6" formatCode="_(* #,##0.0_);_(* \(#,##0.0\);_(* &quot;-&quot;??_);_(@_)">
                  <c:v>0</c:v>
                </c:pt>
                <c:pt idx="7" formatCode="_(* #,##0.0_);_(* \(#,##0.0\);_(* &quot;-&quot;??_);_(@_)">
                  <c:v>0</c:v>
                </c:pt>
                <c:pt idx="8" formatCode="_(* #,##0.0_);_(* \(#,##0.0\);_(* &quot;-&quot;??_);_(@_)">
                  <c:v>0</c:v>
                </c:pt>
                <c:pt idx="9" formatCode="_(* #,##0.0_);_(* \(#,##0.0\);_(* &quot;-&quot;??_);_(@_)">
                  <c:v>0</c:v>
                </c:pt>
                <c:pt idx="10" formatCode="_(* #,##0.0_);_(* \(#,##0.0\);_(* &quot;-&quot;??_);_(@_)">
                  <c:v>0</c:v>
                </c:pt>
                <c:pt idx="11" formatCode="_(* #,##0.0_);_(* \(#,##0.0\);_(* &quot;-&quot;??_);_(@_)">
                  <c:v>0</c:v>
                </c:pt>
                <c:pt idx="12" formatCode="_(* #,##0.0_);_(* \(#,##0.0\);_(* &quot;-&quot;??_);_(@_)">
                  <c:v>0</c:v>
                </c:pt>
                <c:pt idx="13" formatCode="_(* #,##0.0_);_(* \(#,##0.0\);_(* &quot;-&quot;??_);_(@_)">
                  <c:v>0</c:v>
                </c:pt>
                <c:pt idx="14" formatCode="_(* #,##0.0_);_(* \(#,##0.0\);_(* &quot;-&quot;??_);_(@_)">
                  <c:v>0</c:v>
                </c:pt>
                <c:pt idx="15" formatCode="_(* #,##0.0_);_(* \(#,##0.0\);_(* &quot;-&quot;??_);_(@_)">
                  <c:v>0</c:v>
                </c:pt>
                <c:pt idx="16" formatCode="_(* #,##0.0_);_(* \(#,##0.0\);_(* &quot;-&quot;??_);_(@_)">
                  <c:v>0</c:v>
                </c:pt>
                <c:pt idx="17" formatCode="_(* #,##0.0_);_(* \(#,##0.0\);_(* &quot;-&quot;??_);_(@_)">
                  <c:v>0</c:v>
                </c:pt>
                <c:pt idx="18" formatCode="_(* #,##0.0_);_(* \(#,##0.0\);_(* &quot;-&quot;??_);_(@_)">
                  <c:v>0</c:v>
                </c:pt>
                <c:pt idx="19" formatCode="_(* #,##0.0_);_(* \(#,##0.0\);_(* &quot;-&quot;??_);_(@_)">
                  <c:v>0</c:v>
                </c:pt>
                <c:pt idx="20" formatCode="_(* #,##0.0_);_(* \(#,##0.0\);_(* &quot;-&quot;??_);_(@_)">
                  <c:v>0</c:v>
                </c:pt>
                <c:pt idx="21" formatCode="_(* #,##0.0_);_(* \(#,##0.0\);_(* &quot;-&quot;??_);_(@_)">
                  <c:v>0</c:v>
                </c:pt>
                <c:pt idx="22" formatCode="_(* #,##0.0_);_(* \(#,##0.0\);_(* &quot;-&quot;??_);_(@_)">
                  <c:v>0</c:v>
                </c:pt>
                <c:pt idx="23" formatCode="_(* #,##0.0_);_(* \(#,##0.0\);_(* &quot;-&quot;??_);_(@_)">
                  <c:v>0</c:v>
                </c:pt>
                <c:pt idx="24" formatCode="_(* #,##0.0_);_(* \(#,##0.0\);_(* &quot;-&quot;??_);_(@_)">
                  <c:v>0</c:v>
                </c:pt>
                <c:pt idx="25" formatCode="_(* #,##0.0_);_(* \(#,##0.0\);_(* &quot;-&quot;??_);_(@_)">
                  <c:v>0</c:v>
                </c:pt>
              </c:numCache>
            </c:numRef>
          </c:val>
        </c:ser>
        <c:ser>
          <c:idx val="19"/>
          <c:order val="19"/>
          <c:tx>
            <c:strRef>
              <c:f>'Alt scen Calcs'!$C$27</c:f>
              <c:strCache>
                <c:ptCount val="1"/>
                <c:pt idx="0">
                  <c:v>Pumped storage</c:v>
                </c:pt>
              </c:strCache>
            </c:strRef>
          </c:tx>
          <c:cat>
            <c:numRef>
              <c:f>'Alt scen Calcs'!$D$7:$AC$7</c:f>
              <c:numCache>
                <c:formatCode>General</c:formatCode>
                <c:ptCount val="26"/>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pt idx="21">
                  <c:v>2026</c:v>
                </c:pt>
                <c:pt idx="22">
                  <c:v>2027</c:v>
                </c:pt>
                <c:pt idx="23">
                  <c:v>2028</c:v>
                </c:pt>
                <c:pt idx="24">
                  <c:v>2029</c:v>
                </c:pt>
                <c:pt idx="25">
                  <c:v>2030</c:v>
                </c:pt>
              </c:numCache>
            </c:numRef>
          </c:cat>
          <c:val>
            <c:numRef>
              <c:f>'Alt scen Calcs'!$D$27:$AC$27</c:f>
              <c:numCache>
                <c:formatCode>General</c:formatCode>
                <c:ptCount val="26"/>
                <c:pt idx="0">
                  <c:v>1.5799999999999998</c:v>
                </c:pt>
                <c:pt idx="1">
                  <c:v>1.5799999999999998</c:v>
                </c:pt>
                <c:pt idx="2">
                  <c:v>1.5799999999999998</c:v>
                </c:pt>
                <c:pt idx="3">
                  <c:v>1.5799999999999998</c:v>
                </c:pt>
                <c:pt idx="4">
                  <c:v>1.5799999999999998</c:v>
                </c:pt>
                <c:pt idx="5" formatCode="_(* #,##0.0_);_(* \(#,##0.0\);_(* &quot;-&quot;??_);_(@_)">
                  <c:v>1.5799999999999998</c:v>
                </c:pt>
                <c:pt idx="6" formatCode="_(* #,##0.0_);_(* \(#,##0.0\);_(* &quot;-&quot;??_);_(@_)">
                  <c:v>1.5799999999999998</c:v>
                </c:pt>
                <c:pt idx="7" formatCode="_(* #,##0.0_);_(* \(#,##0.0\);_(* &quot;-&quot;??_);_(@_)">
                  <c:v>1.5799999999999998</c:v>
                </c:pt>
                <c:pt idx="8" formatCode="_(* #,##0.0_);_(* \(#,##0.0\);_(* &quot;-&quot;??_);_(@_)">
                  <c:v>2.246</c:v>
                </c:pt>
                <c:pt idx="9" formatCode="_(* #,##0.0_);_(* \(#,##0.0\);_(* &quot;-&quot;??_);_(@_)">
                  <c:v>2.9119999999999999</c:v>
                </c:pt>
                <c:pt idx="10" formatCode="_(* #,##0.0_);_(* \(#,##0.0\);_(* &quot;-&quot;??_);_(@_)">
                  <c:v>3.5779999999999998</c:v>
                </c:pt>
                <c:pt idx="11" formatCode="_(* #,##0.0_);_(* \(#,##0.0\);_(* &quot;-&quot;??_);_(@_)">
                  <c:v>4.2439999999999998</c:v>
                </c:pt>
                <c:pt idx="12" formatCode="_(* #,##0.0_);_(* \(#,##0.0\);_(* &quot;-&quot;??_);_(@_)">
                  <c:v>4.2439999999999998</c:v>
                </c:pt>
                <c:pt idx="13" formatCode="_(* #,##0.0_);_(* \(#,##0.0\);_(* &quot;-&quot;??_);_(@_)">
                  <c:v>4.2439999999999998</c:v>
                </c:pt>
                <c:pt idx="14" formatCode="_(* #,##0.0_);_(* \(#,##0.0\);_(* &quot;-&quot;??_);_(@_)">
                  <c:v>4.2439999999999998</c:v>
                </c:pt>
                <c:pt idx="15" formatCode="_(* #,##0.0_);_(* \(#,##0.0\);_(* &quot;-&quot;??_);_(@_)">
                  <c:v>4.2439999999999998</c:v>
                </c:pt>
                <c:pt idx="16" formatCode="_(* #,##0.0_);_(* \(#,##0.0\);_(* &quot;-&quot;??_);_(@_)">
                  <c:v>4.2439999999999998</c:v>
                </c:pt>
                <c:pt idx="17" formatCode="_(* #,##0.0_);_(* \(#,##0.0\);_(* &quot;-&quot;??_);_(@_)">
                  <c:v>4.2439999999999998</c:v>
                </c:pt>
                <c:pt idx="18" formatCode="_(* #,##0.0_);_(* \(#,##0.0\);_(* &quot;-&quot;??_);_(@_)">
                  <c:v>4.2439999999999998</c:v>
                </c:pt>
                <c:pt idx="19" formatCode="_(* #,##0.0_);_(* \(#,##0.0\);_(* &quot;-&quot;??_);_(@_)">
                  <c:v>4.2439999999999998</c:v>
                </c:pt>
                <c:pt idx="20" formatCode="_(* #,##0.0_);_(* \(#,##0.0\);_(* &quot;-&quot;??_);_(@_)">
                  <c:v>4.2439999999999998</c:v>
                </c:pt>
                <c:pt idx="21" formatCode="_(* #,##0.0_);_(* \(#,##0.0\);_(* &quot;-&quot;??_);_(@_)">
                  <c:v>4.2439999999999998</c:v>
                </c:pt>
                <c:pt idx="22" formatCode="_(* #,##0.0_);_(* \(#,##0.0\);_(* &quot;-&quot;??_);_(@_)">
                  <c:v>4.2439999999999998</c:v>
                </c:pt>
                <c:pt idx="23" formatCode="_(* #,##0.0_);_(* \(#,##0.0\);_(* &quot;-&quot;??_);_(@_)">
                  <c:v>4.2439999999999998</c:v>
                </c:pt>
                <c:pt idx="24" formatCode="_(* #,##0.0_);_(* \(#,##0.0\);_(* &quot;-&quot;??_);_(@_)">
                  <c:v>4.2439999999999998</c:v>
                </c:pt>
                <c:pt idx="25" formatCode="_(* #,##0.0_);_(* \(#,##0.0\);_(* &quot;-&quot;??_);_(@_)">
                  <c:v>4.2439999999999998</c:v>
                </c:pt>
              </c:numCache>
            </c:numRef>
          </c:val>
        </c:ser>
        <c:axId val="121547392"/>
        <c:axId val="121553280"/>
      </c:areaChart>
      <c:catAx>
        <c:axId val="121547392"/>
        <c:scaling>
          <c:orientation val="minMax"/>
        </c:scaling>
        <c:axPos val="b"/>
        <c:numFmt formatCode="General" sourceLinked="1"/>
        <c:tickLblPos val="nextTo"/>
        <c:txPr>
          <a:bodyPr rot="-5400000" vert="horz"/>
          <a:lstStyle/>
          <a:p>
            <a:pPr>
              <a:defRPr lang="en-ZA" sz="1000" b="0" i="0" u="none" strike="noStrike" baseline="0">
                <a:solidFill>
                  <a:srgbClr val="000000"/>
                </a:solidFill>
                <a:latin typeface="Calibri"/>
                <a:ea typeface="Calibri"/>
                <a:cs typeface="Calibri"/>
              </a:defRPr>
            </a:pPr>
            <a:endParaRPr lang="en-US"/>
          </a:p>
        </c:txPr>
        <c:crossAx val="121553280"/>
        <c:crosses val="autoZero"/>
        <c:auto val="1"/>
        <c:lblAlgn val="ctr"/>
        <c:lblOffset val="100"/>
      </c:catAx>
      <c:valAx>
        <c:axId val="121553280"/>
        <c:scaling>
          <c:orientation val="minMax"/>
        </c:scaling>
        <c:axPos val="l"/>
        <c:majorGridlines/>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21547392"/>
        <c:crosses val="autoZero"/>
        <c:crossBetween val="midCat"/>
      </c:valAx>
    </c:plotArea>
    <c:legend>
      <c:legendPos val="r"/>
      <c:txPr>
        <a:bodyPr/>
        <a:lstStyle/>
        <a:p>
          <a:pPr>
            <a:defRPr lang="en-ZA" sz="845" b="0" i="0" u="none" strike="noStrike" baseline="0">
              <a:solidFill>
                <a:srgbClr val="000000"/>
              </a:solidFill>
              <a:latin typeface="Calibri"/>
              <a:ea typeface="Calibri"/>
              <a:cs typeface="Calibri"/>
            </a:defRPr>
          </a:pPr>
          <a:endParaRPr lang="en-US"/>
        </a:p>
      </c:txPr>
    </c:legend>
    <c:plotVisOnly val="1"/>
    <c:dispBlanksAs val="zero"/>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244" l="0.70000000000000062" r="0.70000000000000062" t="0.75000000000000244" header="0.30000000000000032" footer="0.30000000000000032"/>
    <c:pageSetup/>
  </c:printSettings>
</c:chartSpace>
</file>

<file path=xl/drawings/_rels/drawing1.xml.rels><?xml version="1.0" encoding="UTF-8" standalone="yes"?>
<Relationships xmlns="http://schemas.openxmlformats.org/package/2006/relationships"><Relationship Id="rId8" Type="http://schemas.openxmlformats.org/officeDocument/2006/relationships/hyperlink" Target="#place_demand"/><Relationship Id="rId3" Type="http://schemas.openxmlformats.org/officeDocument/2006/relationships/hyperlink" Target="#place_ES_BAU"/><Relationship Id="rId7" Type="http://schemas.openxmlformats.org/officeDocument/2006/relationships/hyperlink" Target="#place_levellised_costs"/><Relationship Id="rId2" Type="http://schemas.openxmlformats.org/officeDocument/2006/relationships/hyperlink" Target="#place_plant_costs"/><Relationship Id="rId1" Type="http://schemas.openxmlformats.org/officeDocument/2006/relationships/hyperlink" Target="#place_main_menu"/><Relationship Id="rId6" Type="http://schemas.openxmlformats.org/officeDocument/2006/relationships/hyperlink" Target="#place_env_bau"/><Relationship Id="rId5" Type="http://schemas.openxmlformats.org/officeDocument/2006/relationships/hyperlink" Target="#place_costs_BAU"/><Relationship Id="rId4" Type="http://schemas.openxmlformats.org/officeDocument/2006/relationships/hyperlink" Target="#place_fuel_costs"/></Relationships>
</file>

<file path=xl/drawings/_rels/drawing2.xml.rels><?xml version="1.0" encoding="UTF-8" standalone="yes"?>
<Relationships xmlns="http://schemas.openxmlformats.org/package/2006/relationships"><Relationship Id="rId3" Type="http://schemas.openxmlformats.org/officeDocument/2006/relationships/hyperlink" Target="#place_ES_BAU"/><Relationship Id="rId2" Type="http://schemas.openxmlformats.org/officeDocument/2006/relationships/hyperlink" Target="#place_levellised_costs"/><Relationship Id="rId1" Type="http://schemas.openxmlformats.org/officeDocument/2006/relationships/hyperlink" Target="#place_main_menu"/><Relationship Id="rId5" Type="http://schemas.openxmlformats.org/officeDocument/2006/relationships/hyperlink" Target="#place_env_bau"/><Relationship Id="rId4" Type="http://schemas.openxmlformats.org/officeDocument/2006/relationships/hyperlink" Target="#place_costs_BAU"/></Relationships>
</file>

<file path=xl/drawings/_rels/drawing3.xml.rels><?xml version="1.0" encoding="UTF-8" standalone="yes"?>
<Relationships xmlns="http://schemas.openxmlformats.org/package/2006/relationships"><Relationship Id="rId3" Type="http://schemas.openxmlformats.org/officeDocument/2006/relationships/hyperlink" Target="#place_levellised_costs"/><Relationship Id="rId7" Type="http://schemas.openxmlformats.org/officeDocument/2006/relationships/chart" Target="../charts/chart2.xml"/><Relationship Id="rId2" Type="http://schemas.openxmlformats.org/officeDocument/2006/relationships/hyperlink" Target="#place_main_menu"/><Relationship Id="rId1" Type="http://schemas.openxmlformats.org/officeDocument/2006/relationships/chart" Target="../charts/chart1.xml"/><Relationship Id="rId6" Type="http://schemas.openxmlformats.org/officeDocument/2006/relationships/hyperlink" Target="#place_env_bau"/><Relationship Id="rId5" Type="http://schemas.openxmlformats.org/officeDocument/2006/relationships/hyperlink" Target="#place_costs_BAU"/><Relationship Id="rId4" Type="http://schemas.openxmlformats.org/officeDocument/2006/relationships/hyperlink" Target="#place_ES_BAU"/></Relationships>
</file>

<file path=xl/drawings/_rels/drawing4.xml.rels><?xml version="1.0" encoding="UTF-8" standalone="yes"?>
<Relationships xmlns="http://schemas.openxmlformats.org/package/2006/relationships"><Relationship Id="rId3" Type="http://schemas.openxmlformats.org/officeDocument/2006/relationships/hyperlink" Target="#place_ES_BAU"/><Relationship Id="rId2" Type="http://schemas.openxmlformats.org/officeDocument/2006/relationships/hyperlink" Target="#place_levellised_costs"/><Relationship Id="rId1" Type="http://schemas.openxmlformats.org/officeDocument/2006/relationships/hyperlink" Target="#place_main_menu"/><Relationship Id="rId5" Type="http://schemas.openxmlformats.org/officeDocument/2006/relationships/hyperlink" Target="#place_env_bau"/><Relationship Id="rId4" Type="http://schemas.openxmlformats.org/officeDocument/2006/relationships/hyperlink" Target="#place_costs_BAU"/></Relationships>
</file>

<file path=xl/drawings/_rels/drawing5.xml.rels><?xml version="1.0" encoding="UTF-8" standalone="yes"?>
<Relationships xmlns="http://schemas.openxmlformats.org/package/2006/relationships"><Relationship Id="rId8" Type="http://schemas.openxmlformats.org/officeDocument/2006/relationships/chart" Target="../charts/chart5.xml"/><Relationship Id="rId3" Type="http://schemas.openxmlformats.org/officeDocument/2006/relationships/hyperlink" Target="#place_ES_BAU"/><Relationship Id="rId7" Type="http://schemas.openxmlformats.org/officeDocument/2006/relationships/chart" Target="../charts/chart4.xml"/><Relationship Id="rId2" Type="http://schemas.openxmlformats.org/officeDocument/2006/relationships/hyperlink" Target="#place_levellised_costs"/><Relationship Id="rId1" Type="http://schemas.openxmlformats.org/officeDocument/2006/relationships/hyperlink" Target="#place_main_menu"/><Relationship Id="rId6" Type="http://schemas.openxmlformats.org/officeDocument/2006/relationships/chart" Target="../charts/chart3.xml"/><Relationship Id="rId5" Type="http://schemas.openxmlformats.org/officeDocument/2006/relationships/hyperlink" Target="#place_env_bau"/><Relationship Id="rId4" Type="http://schemas.openxmlformats.org/officeDocument/2006/relationships/hyperlink" Target="#place_costs_BAU"/></Relationships>
</file>

<file path=xl/drawings/_rels/drawing6.xml.rels><?xml version="1.0" encoding="UTF-8" standalone="yes"?>
<Relationships xmlns="http://schemas.openxmlformats.org/package/2006/relationships"><Relationship Id="rId8" Type="http://schemas.openxmlformats.org/officeDocument/2006/relationships/chart" Target="../charts/chart11.xml"/><Relationship Id="rId13" Type="http://schemas.openxmlformats.org/officeDocument/2006/relationships/chart" Target="../charts/chart16.xml"/><Relationship Id="rId18" Type="http://schemas.openxmlformats.org/officeDocument/2006/relationships/hyperlink" Target="#place_ES_BAU"/><Relationship Id="rId26" Type="http://schemas.openxmlformats.org/officeDocument/2006/relationships/hyperlink" Target="#place_ES_BAU"/><Relationship Id="rId3" Type="http://schemas.openxmlformats.org/officeDocument/2006/relationships/chart" Target="../charts/chart6.xml"/><Relationship Id="rId21" Type="http://schemas.openxmlformats.org/officeDocument/2006/relationships/hyperlink" Target="#place_levellised_costs"/><Relationship Id="rId34" Type="http://schemas.openxmlformats.org/officeDocument/2006/relationships/chart" Target="../charts/chart21.xml"/><Relationship Id="rId7" Type="http://schemas.openxmlformats.org/officeDocument/2006/relationships/chart" Target="../charts/chart10.xml"/><Relationship Id="rId12" Type="http://schemas.openxmlformats.org/officeDocument/2006/relationships/chart" Target="../charts/chart15.xml"/><Relationship Id="rId17" Type="http://schemas.openxmlformats.org/officeDocument/2006/relationships/hyperlink" Target="#place_levellised_costs"/><Relationship Id="rId25" Type="http://schemas.openxmlformats.org/officeDocument/2006/relationships/hyperlink" Target="#place_levellised_costs"/><Relationship Id="rId33" Type="http://schemas.openxmlformats.org/officeDocument/2006/relationships/chart" Target="../charts/chart20.xml"/><Relationship Id="rId2" Type="http://schemas.openxmlformats.org/officeDocument/2006/relationships/hyperlink" Target="#place_ES_BAU"/><Relationship Id="rId16" Type="http://schemas.openxmlformats.org/officeDocument/2006/relationships/chart" Target="../charts/chart19.xml"/><Relationship Id="rId20" Type="http://schemas.openxmlformats.org/officeDocument/2006/relationships/hyperlink" Target="#place_env_bau"/><Relationship Id="rId29" Type="http://schemas.openxmlformats.org/officeDocument/2006/relationships/hyperlink" Target="#place_main_menu"/><Relationship Id="rId1" Type="http://schemas.openxmlformats.org/officeDocument/2006/relationships/hyperlink" Target="#place_main_menu"/><Relationship Id="rId6" Type="http://schemas.openxmlformats.org/officeDocument/2006/relationships/chart" Target="../charts/chart9.xml"/><Relationship Id="rId11" Type="http://schemas.openxmlformats.org/officeDocument/2006/relationships/chart" Target="../charts/chart14.xml"/><Relationship Id="rId24" Type="http://schemas.openxmlformats.org/officeDocument/2006/relationships/hyperlink" Target="#place_env_bau"/><Relationship Id="rId32" Type="http://schemas.openxmlformats.org/officeDocument/2006/relationships/hyperlink" Target="#place_main_menu"/><Relationship Id="rId5" Type="http://schemas.openxmlformats.org/officeDocument/2006/relationships/chart" Target="../charts/chart8.xml"/><Relationship Id="rId15" Type="http://schemas.openxmlformats.org/officeDocument/2006/relationships/chart" Target="../charts/chart18.xml"/><Relationship Id="rId23" Type="http://schemas.openxmlformats.org/officeDocument/2006/relationships/hyperlink" Target="#place_costs_BAU"/><Relationship Id="rId28" Type="http://schemas.openxmlformats.org/officeDocument/2006/relationships/hyperlink" Target="#place_env_bau"/><Relationship Id="rId36" Type="http://schemas.openxmlformats.org/officeDocument/2006/relationships/chart" Target="../charts/chart23.xml"/><Relationship Id="rId10" Type="http://schemas.openxmlformats.org/officeDocument/2006/relationships/chart" Target="../charts/chart13.xml"/><Relationship Id="rId19" Type="http://schemas.openxmlformats.org/officeDocument/2006/relationships/hyperlink" Target="#place_costs_BAU"/><Relationship Id="rId31" Type="http://schemas.openxmlformats.org/officeDocument/2006/relationships/hyperlink" Target="#place_ES_BAU"/><Relationship Id="rId4" Type="http://schemas.openxmlformats.org/officeDocument/2006/relationships/chart" Target="../charts/chart7.xml"/><Relationship Id="rId9" Type="http://schemas.openxmlformats.org/officeDocument/2006/relationships/chart" Target="../charts/chart12.xml"/><Relationship Id="rId14" Type="http://schemas.openxmlformats.org/officeDocument/2006/relationships/chart" Target="../charts/chart17.xml"/><Relationship Id="rId22" Type="http://schemas.openxmlformats.org/officeDocument/2006/relationships/hyperlink" Target="#place_ES_BAU"/><Relationship Id="rId27" Type="http://schemas.openxmlformats.org/officeDocument/2006/relationships/hyperlink" Target="#place_costs_BAU"/><Relationship Id="rId30" Type="http://schemas.openxmlformats.org/officeDocument/2006/relationships/hyperlink" Target="#place_ES_BAU"/><Relationship Id="rId35" Type="http://schemas.openxmlformats.org/officeDocument/2006/relationships/chart" Target="../charts/chart22.xml"/></Relationships>
</file>

<file path=xl/drawings/_rels/drawing7.xml.rels><?xml version="1.0" encoding="UTF-8" standalone="yes"?>
<Relationships xmlns="http://schemas.openxmlformats.org/package/2006/relationships"><Relationship Id="rId8" Type="http://schemas.openxmlformats.org/officeDocument/2006/relationships/hyperlink" Target="#place_costs_BAU"/><Relationship Id="rId13" Type="http://schemas.openxmlformats.org/officeDocument/2006/relationships/hyperlink" Target="#place_costs_BAU"/><Relationship Id="rId18" Type="http://schemas.openxmlformats.org/officeDocument/2006/relationships/chart" Target="../charts/chart27.xml"/><Relationship Id="rId26" Type="http://schemas.openxmlformats.org/officeDocument/2006/relationships/hyperlink" Target="#place_env_bau"/><Relationship Id="rId3" Type="http://schemas.openxmlformats.org/officeDocument/2006/relationships/hyperlink" Target="#place_levellised_costs"/><Relationship Id="rId21" Type="http://schemas.openxmlformats.org/officeDocument/2006/relationships/chart" Target="../charts/chart30.xml"/><Relationship Id="rId7" Type="http://schemas.openxmlformats.org/officeDocument/2006/relationships/hyperlink" Target="#place_main_menu"/><Relationship Id="rId12" Type="http://schemas.openxmlformats.org/officeDocument/2006/relationships/hyperlink" Target="#place_ES_BAU"/><Relationship Id="rId17" Type="http://schemas.openxmlformats.org/officeDocument/2006/relationships/chart" Target="../charts/chart26.xml"/><Relationship Id="rId25" Type="http://schemas.openxmlformats.org/officeDocument/2006/relationships/hyperlink" Target="#place_costs_BAU"/><Relationship Id="rId2" Type="http://schemas.openxmlformats.org/officeDocument/2006/relationships/hyperlink" Target="#place_main_menu"/><Relationship Id="rId16" Type="http://schemas.openxmlformats.org/officeDocument/2006/relationships/chart" Target="../charts/chart25.xml"/><Relationship Id="rId20" Type="http://schemas.openxmlformats.org/officeDocument/2006/relationships/chart" Target="../charts/chart29.xml"/><Relationship Id="rId29" Type="http://schemas.openxmlformats.org/officeDocument/2006/relationships/chart" Target="../charts/chart34.xml"/><Relationship Id="rId1" Type="http://schemas.openxmlformats.org/officeDocument/2006/relationships/hyperlink" Target="#place_main_menu"/><Relationship Id="rId6" Type="http://schemas.openxmlformats.org/officeDocument/2006/relationships/hyperlink" Target="#place_env_bau"/><Relationship Id="rId11" Type="http://schemas.openxmlformats.org/officeDocument/2006/relationships/hyperlink" Target="#place_levellised_costs"/><Relationship Id="rId24" Type="http://schemas.openxmlformats.org/officeDocument/2006/relationships/hyperlink" Target="#place_ES_BAU"/><Relationship Id="rId32" Type="http://schemas.openxmlformats.org/officeDocument/2006/relationships/chart" Target="../charts/chart37.xml"/><Relationship Id="rId5" Type="http://schemas.openxmlformats.org/officeDocument/2006/relationships/hyperlink" Target="#place_costs_BAU"/><Relationship Id="rId15" Type="http://schemas.openxmlformats.org/officeDocument/2006/relationships/chart" Target="../charts/chart24.xml"/><Relationship Id="rId23" Type="http://schemas.openxmlformats.org/officeDocument/2006/relationships/hyperlink" Target="#place_levellised_costs"/><Relationship Id="rId28" Type="http://schemas.openxmlformats.org/officeDocument/2006/relationships/chart" Target="../charts/chart33.xml"/><Relationship Id="rId10" Type="http://schemas.openxmlformats.org/officeDocument/2006/relationships/hyperlink" Target="#place_costs_BAU"/><Relationship Id="rId19" Type="http://schemas.openxmlformats.org/officeDocument/2006/relationships/chart" Target="../charts/chart28.xml"/><Relationship Id="rId31" Type="http://schemas.openxmlformats.org/officeDocument/2006/relationships/chart" Target="../charts/chart36.xml"/><Relationship Id="rId4" Type="http://schemas.openxmlformats.org/officeDocument/2006/relationships/hyperlink" Target="#place_ES_BAU"/><Relationship Id="rId9" Type="http://schemas.openxmlformats.org/officeDocument/2006/relationships/hyperlink" Target="#place_costs_BAU"/><Relationship Id="rId14" Type="http://schemas.openxmlformats.org/officeDocument/2006/relationships/hyperlink" Target="#place_env_bau"/><Relationship Id="rId22" Type="http://schemas.openxmlformats.org/officeDocument/2006/relationships/chart" Target="../charts/chart31.xml"/><Relationship Id="rId27" Type="http://schemas.openxmlformats.org/officeDocument/2006/relationships/chart" Target="../charts/chart32.xml"/><Relationship Id="rId30" Type="http://schemas.openxmlformats.org/officeDocument/2006/relationships/chart" Target="../charts/chart35.xml"/></Relationships>
</file>

<file path=xl/drawings/_rels/drawing8.xml.rels><?xml version="1.0" encoding="UTF-8" standalone="yes"?>
<Relationships xmlns="http://schemas.openxmlformats.org/package/2006/relationships"><Relationship Id="rId13" Type="http://schemas.openxmlformats.org/officeDocument/2006/relationships/chart" Target="../charts/chart46.xml"/><Relationship Id="rId18" Type="http://schemas.openxmlformats.org/officeDocument/2006/relationships/chart" Target="../charts/chart51.xml"/><Relationship Id="rId26" Type="http://schemas.openxmlformats.org/officeDocument/2006/relationships/chart" Target="../charts/chart59.xml"/><Relationship Id="rId39" Type="http://schemas.openxmlformats.org/officeDocument/2006/relationships/chart" Target="../charts/chart72.xml"/><Relationship Id="rId21" Type="http://schemas.openxmlformats.org/officeDocument/2006/relationships/chart" Target="../charts/chart54.xml"/><Relationship Id="rId34" Type="http://schemas.openxmlformats.org/officeDocument/2006/relationships/chart" Target="../charts/chart67.xml"/><Relationship Id="rId42" Type="http://schemas.openxmlformats.org/officeDocument/2006/relationships/chart" Target="../charts/chart75.xml"/><Relationship Id="rId47" Type="http://schemas.openxmlformats.org/officeDocument/2006/relationships/chart" Target="../charts/chart80.xml"/><Relationship Id="rId50" Type="http://schemas.openxmlformats.org/officeDocument/2006/relationships/chart" Target="../charts/chart83.xml"/><Relationship Id="rId55" Type="http://schemas.openxmlformats.org/officeDocument/2006/relationships/hyperlink" Target="#place_levellised_costs"/><Relationship Id="rId63" Type="http://schemas.openxmlformats.org/officeDocument/2006/relationships/hyperlink" Target="#place_env_bau"/><Relationship Id="rId68" Type="http://schemas.openxmlformats.org/officeDocument/2006/relationships/hyperlink" Target="#place_env_bau"/><Relationship Id="rId7" Type="http://schemas.openxmlformats.org/officeDocument/2006/relationships/chart" Target="../charts/chart40.xml"/><Relationship Id="rId2" Type="http://schemas.openxmlformats.org/officeDocument/2006/relationships/hyperlink" Target="#place_env_bau"/><Relationship Id="rId16" Type="http://schemas.openxmlformats.org/officeDocument/2006/relationships/chart" Target="../charts/chart49.xml"/><Relationship Id="rId29" Type="http://schemas.openxmlformats.org/officeDocument/2006/relationships/chart" Target="../charts/chart62.xml"/><Relationship Id="rId1" Type="http://schemas.openxmlformats.org/officeDocument/2006/relationships/hyperlink" Target="#place_main_menu"/><Relationship Id="rId6" Type="http://schemas.openxmlformats.org/officeDocument/2006/relationships/chart" Target="../charts/chart39.xml"/><Relationship Id="rId11" Type="http://schemas.openxmlformats.org/officeDocument/2006/relationships/chart" Target="../charts/chart44.xml"/><Relationship Id="rId24" Type="http://schemas.openxmlformats.org/officeDocument/2006/relationships/chart" Target="../charts/chart57.xml"/><Relationship Id="rId32" Type="http://schemas.openxmlformats.org/officeDocument/2006/relationships/chart" Target="../charts/chart65.xml"/><Relationship Id="rId37" Type="http://schemas.openxmlformats.org/officeDocument/2006/relationships/chart" Target="../charts/chart70.xml"/><Relationship Id="rId40" Type="http://schemas.openxmlformats.org/officeDocument/2006/relationships/chart" Target="../charts/chart73.xml"/><Relationship Id="rId45" Type="http://schemas.openxmlformats.org/officeDocument/2006/relationships/chart" Target="../charts/chart78.xml"/><Relationship Id="rId53" Type="http://schemas.openxmlformats.org/officeDocument/2006/relationships/chart" Target="../charts/chart86.xml"/><Relationship Id="rId58" Type="http://schemas.openxmlformats.org/officeDocument/2006/relationships/hyperlink" Target="#place_env_bau"/><Relationship Id="rId66" Type="http://schemas.openxmlformats.org/officeDocument/2006/relationships/hyperlink" Target="#place_ES_BAU"/><Relationship Id="rId5" Type="http://schemas.openxmlformats.org/officeDocument/2006/relationships/chart" Target="../charts/chart38.xml"/><Relationship Id="rId15" Type="http://schemas.openxmlformats.org/officeDocument/2006/relationships/chart" Target="../charts/chart48.xml"/><Relationship Id="rId23" Type="http://schemas.openxmlformats.org/officeDocument/2006/relationships/chart" Target="../charts/chart56.xml"/><Relationship Id="rId28" Type="http://schemas.openxmlformats.org/officeDocument/2006/relationships/chart" Target="../charts/chart61.xml"/><Relationship Id="rId36" Type="http://schemas.openxmlformats.org/officeDocument/2006/relationships/chart" Target="../charts/chart69.xml"/><Relationship Id="rId49" Type="http://schemas.openxmlformats.org/officeDocument/2006/relationships/chart" Target="../charts/chart82.xml"/><Relationship Id="rId57" Type="http://schemas.openxmlformats.org/officeDocument/2006/relationships/hyperlink" Target="#place_costs_BAU"/><Relationship Id="rId61" Type="http://schemas.openxmlformats.org/officeDocument/2006/relationships/hyperlink" Target="#place_ES_BAU"/><Relationship Id="rId10" Type="http://schemas.openxmlformats.org/officeDocument/2006/relationships/chart" Target="../charts/chart43.xml"/><Relationship Id="rId19" Type="http://schemas.openxmlformats.org/officeDocument/2006/relationships/chart" Target="../charts/chart52.xml"/><Relationship Id="rId31" Type="http://schemas.openxmlformats.org/officeDocument/2006/relationships/chart" Target="../charts/chart64.xml"/><Relationship Id="rId44" Type="http://schemas.openxmlformats.org/officeDocument/2006/relationships/chart" Target="../charts/chart77.xml"/><Relationship Id="rId52" Type="http://schemas.openxmlformats.org/officeDocument/2006/relationships/chart" Target="../charts/chart85.xml"/><Relationship Id="rId60" Type="http://schemas.openxmlformats.org/officeDocument/2006/relationships/hyperlink" Target="#place_levellised_costs"/><Relationship Id="rId65" Type="http://schemas.openxmlformats.org/officeDocument/2006/relationships/hyperlink" Target="#place_levellised_costs"/><Relationship Id="rId4" Type="http://schemas.openxmlformats.org/officeDocument/2006/relationships/hyperlink" Target="#place_env_bau"/><Relationship Id="rId9" Type="http://schemas.openxmlformats.org/officeDocument/2006/relationships/chart" Target="../charts/chart42.xml"/><Relationship Id="rId14" Type="http://schemas.openxmlformats.org/officeDocument/2006/relationships/chart" Target="../charts/chart47.xml"/><Relationship Id="rId22" Type="http://schemas.openxmlformats.org/officeDocument/2006/relationships/chart" Target="../charts/chart55.xml"/><Relationship Id="rId27" Type="http://schemas.openxmlformats.org/officeDocument/2006/relationships/chart" Target="../charts/chart60.xml"/><Relationship Id="rId30" Type="http://schemas.openxmlformats.org/officeDocument/2006/relationships/chart" Target="../charts/chart63.xml"/><Relationship Id="rId35" Type="http://schemas.openxmlformats.org/officeDocument/2006/relationships/chart" Target="../charts/chart68.xml"/><Relationship Id="rId43" Type="http://schemas.openxmlformats.org/officeDocument/2006/relationships/chart" Target="../charts/chart76.xml"/><Relationship Id="rId48" Type="http://schemas.openxmlformats.org/officeDocument/2006/relationships/chart" Target="../charts/chart81.xml"/><Relationship Id="rId56" Type="http://schemas.openxmlformats.org/officeDocument/2006/relationships/hyperlink" Target="#place_ES_BAU"/><Relationship Id="rId64" Type="http://schemas.openxmlformats.org/officeDocument/2006/relationships/hyperlink" Target="#place_main_menu"/><Relationship Id="rId8" Type="http://schemas.openxmlformats.org/officeDocument/2006/relationships/chart" Target="../charts/chart41.xml"/><Relationship Id="rId51" Type="http://schemas.openxmlformats.org/officeDocument/2006/relationships/chart" Target="../charts/chart84.xml"/><Relationship Id="rId3" Type="http://schemas.openxmlformats.org/officeDocument/2006/relationships/hyperlink" Target="#place_env_bau"/><Relationship Id="rId12" Type="http://schemas.openxmlformats.org/officeDocument/2006/relationships/chart" Target="../charts/chart45.xml"/><Relationship Id="rId17" Type="http://schemas.openxmlformats.org/officeDocument/2006/relationships/chart" Target="../charts/chart50.xml"/><Relationship Id="rId25" Type="http://schemas.openxmlformats.org/officeDocument/2006/relationships/chart" Target="../charts/chart58.xml"/><Relationship Id="rId33" Type="http://schemas.openxmlformats.org/officeDocument/2006/relationships/chart" Target="../charts/chart66.xml"/><Relationship Id="rId38" Type="http://schemas.openxmlformats.org/officeDocument/2006/relationships/chart" Target="../charts/chart71.xml"/><Relationship Id="rId46" Type="http://schemas.openxmlformats.org/officeDocument/2006/relationships/chart" Target="../charts/chart79.xml"/><Relationship Id="rId59" Type="http://schemas.openxmlformats.org/officeDocument/2006/relationships/hyperlink" Target="#place_main_menu"/><Relationship Id="rId67" Type="http://schemas.openxmlformats.org/officeDocument/2006/relationships/hyperlink" Target="#place_costs_BAU"/><Relationship Id="rId20" Type="http://schemas.openxmlformats.org/officeDocument/2006/relationships/chart" Target="../charts/chart53.xml"/><Relationship Id="rId41" Type="http://schemas.openxmlformats.org/officeDocument/2006/relationships/chart" Target="../charts/chart74.xml"/><Relationship Id="rId54" Type="http://schemas.openxmlformats.org/officeDocument/2006/relationships/chart" Target="../charts/chart87.xml"/><Relationship Id="rId62" Type="http://schemas.openxmlformats.org/officeDocument/2006/relationships/hyperlink" Target="#place_costs_BAU"/></Relationships>
</file>

<file path=xl/drawings/_rels/drawing9.xml.rels><?xml version="1.0" encoding="UTF-8" standalone="yes"?>
<Relationships xmlns="http://schemas.openxmlformats.org/package/2006/relationships"><Relationship Id="rId13" Type="http://schemas.openxmlformats.org/officeDocument/2006/relationships/chart" Target="../charts/chart99.xml"/><Relationship Id="rId18" Type="http://schemas.openxmlformats.org/officeDocument/2006/relationships/chart" Target="../charts/chart104.xml"/><Relationship Id="rId26" Type="http://schemas.openxmlformats.org/officeDocument/2006/relationships/chart" Target="../charts/chart112.xml"/><Relationship Id="rId39" Type="http://schemas.openxmlformats.org/officeDocument/2006/relationships/chart" Target="../charts/chart125.xml"/><Relationship Id="rId21" Type="http://schemas.openxmlformats.org/officeDocument/2006/relationships/chart" Target="../charts/chart107.xml"/><Relationship Id="rId34" Type="http://schemas.openxmlformats.org/officeDocument/2006/relationships/chart" Target="../charts/chart120.xml"/><Relationship Id="rId42" Type="http://schemas.openxmlformats.org/officeDocument/2006/relationships/chart" Target="../charts/chart128.xml"/><Relationship Id="rId47" Type="http://schemas.openxmlformats.org/officeDocument/2006/relationships/chart" Target="../charts/chart133.xml"/><Relationship Id="rId50" Type="http://schemas.openxmlformats.org/officeDocument/2006/relationships/chart" Target="../charts/chart136.xml"/><Relationship Id="rId55" Type="http://schemas.openxmlformats.org/officeDocument/2006/relationships/chart" Target="../charts/chart141.xml"/><Relationship Id="rId7" Type="http://schemas.openxmlformats.org/officeDocument/2006/relationships/chart" Target="../charts/chart93.xml"/><Relationship Id="rId2" Type="http://schemas.openxmlformats.org/officeDocument/2006/relationships/chart" Target="../charts/chart88.xml"/><Relationship Id="rId16" Type="http://schemas.openxmlformats.org/officeDocument/2006/relationships/chart" Target="../charts/chart102.xml"/><Relationship Id="rId20" Type="http://schemas.openxmlformats.org/officeDocument/2006/relationships/chart" Target="../charts/chart106.xml"/><Relationship Id="rId29" Type="http://schemas.openxmlformats.org/officeDocument/2006/relationships/chart" Target="../charts/chart115.xml"/><Relationship Id="rId41" Type="http://schemas.openxmlformats.org/officeDocument/2006/relationships/chart" Target="../charts/chart127.xml"/><Relationship Id="rId54" Type="http://schemas.openxmlformats.org/officeDocument/2006/relationships/chart" Target="../charts/chart140.xml"/><Relationship Id="rId1" Type="http://schemas.openxmlformats.org/officeDocument/2006/relationships/hyperlink" Target="#place_main_menu"/><Relationship Id="rId6" Type="http://schemas.openxmlformats.org/officeDocument/2006/relationships/chart" Target="../charts/chart92.xml"/><Relationship Id="rId11" Type="http://schemas.openxmlformats.org/officeDocument/2006/relationships/chart" Target="../charts/chart97.xml"/><Relationship Id="rId24" Type="http://schemas.openxmlformats.org/officeDocument/2006/relationships/chart" Target="../charts/chart110.xml"/><Relationship Id="rId32" Type="http://schemas.openxmlformats.org/officeDocument/2006/relationships/chart" Target="../charts/chart118.xml"/><Relationship Id="rId37" Type="http://schemas.openxmlformats.org/officeDocument/2006/relationships/chart" Target="../charts/chart123.xml"/><Relationship Id="rId40" Type="http://schemas.openxmlformats.org/officeDocument/2006/relationships/chart" Target="../charts/chart126.xml"/><Relationship Id="rId45" Type="http://schemas.openxmlformats.org/officeDocument/2006/relationships/chart" Target="../charts/chart131.xml"/><Relationship Id="rId53" Type="http://schemas.openxmlformats.org/officeDocument/2006/relationships/chart" Target="../charts/chart139.xml"/><Relationship Id="rId58" Type="http://schemas.openxmlformats.org/officeDocument/2006/relationships/chart" Target="../charts/chart144.xml"/><Relationship Id="rId5" Type="http://schemas.openxmlformats.org/officeDocument/2006/relationships/chart" Target="../charts/chart91.xml"/><Relationship Id="rId15" Type="http://schemas.openxmlformats.org/officeDocument/2006/relationships/chart" Target="../charts/chart101.xml"/><Relationship Id="rId23" Type="http://schemas.openxmlformats.org/officeDocument/2006/relationships/chart" Target="../charts/chart109.xml"/><Relationship Id="rId28" Type="http://schemas.openxmlformats.org/officeDocument/2006/relationships/chart" Target="../charts/chart114.xml"/><Relationship Id="rId36" Type="http://schemas.openxmlformats.org/officeDocument/2006/relationships/chart" Target="../charts/chart122.xml"/><Relationship Id="rId49" Type="http://schemas.openxmlformats.org/officeDocument/2006/relationships/chart" Target="../charts/chart135.xml"/><Relationship Id="rId57" Type="http://schemas.openxmlformats.org/officeDocument/2006/relationships/chart" Target="../charts/chart143.xml"/><Relationship Id="rId61" Type="http://schemas.openxmlformats.org/officeDocument/2006/relationships/chart" Target="../charts/chart147.xml"/><Relationship Id="rId10" Type="http://schemas.openxmlformats.org/officeDocument/2006/relationships/chart" Target="../charts/chart96.xml"/><Relationship Id="rId19" Type="http://schemas.openxmlformats.org/officeDocument/2006/relationships/chart" Target="../charts/chart105.xml"/><Relationship Id="rId31" Type="http://schemas.openxmlformats.org/officeDocument/2006/relationships/chart" Target="../charts/chart117.xml"/><Relationship Id="rId44" Type="http://schemas.openxmlformats.org/officeDocument/2006/relationships/chart" Target="../charts/chart130.xml"/><Relationship Id="rId52" Type="http://schemas.openxmlformats.org/officeDocument/2006/relationships/chart" Target="../charts/chart138.xml"/><Relationship Id="rId60" Type="http://schemas.openxmlformats.org/officeDocument/2006/relationships/chart" Target="../charts/chart146.xml"/><Relationship Id="rId4" Type="http://schemas.openxmlformats.org/officeDocument/2006/relationships/chart" Target="../charts/chart90.xml"/><Relationship Id="rId9" Type="http://schemas.openxmlformats.org/officeDocument/2006/relationships/chart" Target="../charts/chart95.xml"/><Relationship Id="rId14" Type="http://schemas.openxmlformats.org/officeDocument/2006/relationships/chart" Target="../charts/chart100.xml"/><Relationship Id="rId22" Type="http://schemas.openxmlformats.org/officeDocument/2006/relationships/chart" Target="../charts/chart108.xml"/><Relationship Id="rId27" Type="http://schemas.openxmlformats.org/officeDocument/2006/relationships/chart" Target="../charts/chart113.xml"/><Relationship Id="rId30" Type="http://schemas.openxmlformats.org/officeDocument/2006/relationships/chart" Target="../charts/chart116.xml"/><Relationship Id="rId35" Type="http://schemas.openxmlformats.org/officeDocument/2006/relationships/chart" Target="../charts/chart121.xml"/><Relationship Id="rId43" Type="http://schemas.openxmlformats.org/officeDocument/2006/relationships/chart" Target="../charts/chart129.xml"/><Relationship Id="rId48" Type="http://schemas.openxmlformats.org/officeDocument/2006/relationships/chart" Target="../charts/chart134.xml"/><Relationship Id="rId56" Type="http://schemas.openxmlformats.org/officeDocument/2006/relationships/chart" Target="../charts/chart142.xml"/><Relationship Id="rId8" Type="http://schemas.openxmlformats.org/officeDocument/2006/relationships/chart" Target="../charts/chart94.xml"/><Relationship Id="rId51" Type="http://schemas.openxmlformats.org/officeDocument/2006/relationships/chart" Target="../charts/chart137.xml"/><Relationship Id="rId3" Type="http://schemas.openxmlformats.org/officeDocument/2006/relationships/chart" Target="../charts/chart89.xml"/><Relationship Id="rId12" Type="http://schemas.openxmlformats.org/officeDocument/2006/relationships/chart" Target="../charts/chart98.xml"/><Relationship Id="rId17" Type="http://schemas.openxmlformats.org/officeDocument/2006/relationships/chart" Target="../charts/chart103.xml"/><Relationship Id="rId25" Type="http://schemas.openxmlformats.org/officeDocument/2006/relationships/chart" Target="../charts/chart111.xml"/><Relationship Id="rId33" Type="http://schemas.openxmlformats.org/officeDocument/2006/relationships/chart" Target="../charts/chart119.xml"/><Relationship Id="rId38" Type="http://schemas.openxmlformats.org/officeDocument/2006/relationships/chart" Target="../charts/chart124.xml"/><Relationship Id="rId46" Type="http://schemas.openxmlformats.org/officeDocument/2006/relationships/chart" Target="../charts/chart132.xml"/><Relationship Id="rId59" Type="http://schemas.openxmlformats.org/officeDocument/2006/relationships/chart" Target="../charts/chart145.xml"/></Relationships>
</file>

<file path=xl/drawings/_rels/drawing10.xml.rels><?xml version="1.0" encoding="UTF-8" standalone="yes"?>
<Relationships xmlns="http://schemas.openxmlformats.org/package/2006/relationships"><Relationship Id="rId1" Type="http://schemas.openxmlformats.org/officeDocument/2006/relationships/hyperlink" Target="#place_main_menu"/></Relationships>
</file>

<file path=xl/drawings/_rels/drawing11.xml.rels><?xml version="1.0" encoding="UTF-8" standalone="yes"?>
<Relationships xmlns="http://schemas.openxmlformats.org/package/2006/relationships"><Relationship Id="rId2" Type="http://schemas.openxmlformats.org/officeDocument/2006/relationships/hyperlink" Target="#place_main_menu"/><Relationship Id="rId1" Type="http://schemas.openxmlformats.org/officeDocument/2006/relationships/chart" Target="../charts/chart148.xml"/></Relationships>
</file>

<file path=xl/drawings/_rels/drawing12.xml.rels><?xml version="1.0" encoding="UTF-8" standalone="yes"?>
<Relationships xmlns="http://schemas.openxmlformats.org/package/2006/relationships"><Relationship Id="rId1" Type="http://schemas.openxmlformats.org/officeDocument/2006/relationships/hyperlink" Target="#place_main_menu"/></Relationships>
</file>

<file path=xl/drawings/_rels/drawing13.xml.rels><?xml version="1.0" encoding="UTF-8" standalone="yes"?>
<Relationships xmlns="http://schemas.openxmlformats.org/package/2006/relationships"><Relationship Id="rId1" Type="http://schemas.openxmlformats.org/officeDocument/2006/relationships/hyperlink" Target="#place_main_menu"/></Relationships>
</file>

<file path=xl/drawings/_rels/drawing14.xml.rels><?xml version="1.0" encoding="UTF-8" standalone="yes"?>
<Relationships xmlns="http://schemas.openxmlformats.org/package/2006/relationships"><Relationship Id="rId1" Type="http://schemas.openxmlformats.org/officeDocument/2006/relationships/hyperlink" Target="#place_main_menu"/></Relationships>
</file>

<file path=xl/drawings/_rels/drawing15.xml.rels><?xml version="1.0" encoding="UTF-8" standalone="yes"?>
<Relationships xmlns="http://schemas.openxmlformats.org/package/2006/relationships"><Relationship Id="rId1" Type="http://schemas.openxmlformats.org/officeDocument/2006/relationships/hyperlink" Target="#place_main_menu"/></Relationships>
</file>

<file path=xl/drawings/_rels/drawing16.xml.rels><?xml version="1.0" encoding="UTF-8" standalone="yes"?>
<Relationships xmlns="http://schemas.openxmlformats.org/package/2006/relationships"><Relationship Id="rId1" Type="http://schemas.openxmlformats.org/officeDocument/2006/relationships/hyperlink" Target="#place_main_menu"/></Relationships>
</file>

<file path=xl/drawings/_rels/drawing17.xml.rels><?xml version="1.0" encoding="UTF-8" standalone="yes"?>
<Relationships xmlns="http://schemas.openxmlformats.org/package/2006/relationships"><Relationship Id="rId1" Type="http://schemas.openxmlformats.org/officeDocument/2006/relationships/hyperlink" Target="#place_main_menu"/></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180975</xdr:colOff>
      <xdr:row>1</xdr:row>
      <xdr:rowOff>76200</xdr:rowOff>
    </xdr:to>
    <xdr:sp macro="" textlink="">
      <xdr:nvSpPr>
        <xdr:cNvPr id="2" name="TextBox 1">
          <a:hlinkClick xmlns:r="http://schemas.openxmlformats.org/officeDocument/2006/relationships" r:id="rId1"/>
        </xdr:cNvPr>
        <xdr:cNvSpPr txBox="1"/>
      </xdr:nvSpPr>
      <xdr:spPr>
        <a:xfrm>
          <a:off x="0" y="0"/>
          <a:ext cx="790575" cy="238125"/>
        </a:xfrm>
        <a:prstGeom prst="rect">
          <a:avLst/>
        </a:prstGeom>
        <a:solidFill>
          <a:srgbClr val="FFFF00"/>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Main</a:t>
          </a:r>
          <a:r>
            <a:rPr lang="en-ZA" sz="1000" baseline="0"/>
            <a:t> menu</a:t>
          </a:r>
          <a:endParaRPr lang="en-ZA" sz="1000"/>
        </a:p>
      </xdr:txBody>
    </xdr:sp>
    <xdr:clientData/>
  </xdr:twoCellAnchor>
  <xdr:twoCellAnchor>
    <xdr:from>
      <xdr:col>3</xdr:col>
      <xdr:colOff>392255</xdr:colOff>
      <xdr:row>0</xdr:row>
      <xdr:rowOff>17319</xdr:rowOff>
    </xdr:from>
    <xdr:to>
      <xdr:col>6</xdr:col>
      <xdr:colOff>103909</xdr:colOff>
      <xdr:row>1</xdr:row>
      <xdr:rowOff>86592</xdr:rowOff>
    </xdr:to>
    <xdr:sp macro="" textlink="">
      <xdr:nvSpPr>
        <xdr:cNvPr id="3" name="TextBox 2">
          <a:hlinkClick xmlns:r="http://schemas.openxmlformats.org/officeDocument/2006/relationships" r:id="rId2"/>
        </xdr:cNvPr>
        <xdr:cNvSpPr txBox="1"/>
      </xdr:nvSpPr>
      <xdr:spPr>
        <a:xfrm>
          <a:off x="2210664" y="17319"/>
          <a:ext cx="1530063" cy="233796"/>
        </a:xfrm>
        <a:prstGeom prst="rect">
          <a:avLst/>
        </a:prstGeom>
        <a:solidFill>
          <a:schemeClr val="accent3">
            <a:lumMod val="60000"/>
            <a:lumOff val="40000"/>
          </a:schemeClr>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Technology</a:t>
          </a:r>
          <a:r>
            <a:rPr lang="en-ZA" sz="1000" baseline="0"/>
            <a:t> parameters</a:t>
          </a:r>
          <a:endParaRPr lang="en-ZA" sz="1000"/>
        </a:p>
      </xdr:txBody>
    </xdr:sp>
    <xdr:clientData/>
  </xdr:twoCellAnchor>
  <xdr:twoCellAnchor>
    <xdr:from>
      <xdr:col>9</xdr:col>
      <xdr:colOff>187037</xdr:colOff>
      <xdr:row>0</xdr:row>
      <xdr:rowOff>17319</xdr:rowOff>
    </xdr:from>
    <xdr:to>
      <xdr:col>11</xdr:col>
      <xdr:colOff>431223</xdr:colOff>
      <xdr:row>1</xdr:row>
      <xdr:rowOff>93519</xdr:rowOff>
    </xdr:to>
    <xdr:sp macro="" textlink="">
      <xdr:nvSpPr>
        <xdr:cNvPr id="4" name="TextBox 3">
          <a:hlinkClick xmlns:r="http://schemas.openxmlformats.org/officeDocument/2006/relationships" r:id="rId3"/>
        </xdr:cNvPr>
        <xdr:cNvSpPr txBox="1"/>
      </xdr:nvSpPr>
      <xdr:spPr>
        <a:xfrm>
          <a:off x="5642264" y="17319"/>
          <a:ext cx="1456459" cy="240723"/>
        </a:xfrm>
        <a:prstGeom prst="rect">
          <a:avLst/>
        </a:prstGeom>
        <a:solidFill>
          <a:schemeClr val="accent3">
            <a:lumMod val="50000"/>
          </a:schemeClr>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baseline="0">
              <a:solidFill>
                <a:schemeClr val="bg1"/>
              </a:solidFill>
            </a:rPr>
            <a:t>Investment Plan</a:t>
          </a:r>
        </a:p>
      </xdr:txBody>
    </xdr:sp>
    <xdr:clientData/>
  </xdr:twoCellAnchor>
  <xdr:twoCellAnchor>
    <xdr:from>
      <xdr:col>6</xdr:col>
      <xdr:colOff>132483</xdr:colOff>
      <xdr:row>0</xdr:row>
      <xdr:rowOff>17318</xdr:rowOff>
    </xdr:from>
    <xdr:to>
      <xdr:col>7</xdr:col>
      <xdr:colOff>313457</xdr:colOff>
      <xdr:row>1</xdr:row>
      <xdr:rowOff>93518</xdr:rowOff>
    </xdr:to>
    <xdr:sp macro="" textlink="">
      <xdr:nvSpPr>
        <xdr:cNvPr id="5" name="TextBox 4">
          <a:hlinkClick xmlns:r="http://schemas.openxmlformats.org/officeDocument/2006/relationships" r:id="rId4"/>
        </xdr:cNvPr>
        <xdr:cNvSpPr txBox="1"/>
      </xdr:nvSpPr>
      <xdr:spPr>
        <a:xfrm>
          <a:off x="3769301" y="17318"/>
          <a:ext cx="787111" cy="240723"/>
        </a:xfrm>
        <a:prstGeom prst="rect">
          <a:avLst/>
        </a:prstGeom>
        <a:solidFill>
          <a:schemeClr val="accent3">
            <a:lumMod val="60000"/>
            <a:lumOff val="40000"/>
          </a:schemeClr>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Fuel costs</a:t>
          </a:r>
        </a:p>
      </xdr:txBody>
    </xdr:sp>
    <xdr:clientData/>
  </xdr:twoCellAnchor>
  <xdr:twoCellAnchor>
    <xdr:from>
      <xdr:col>11</xdr:col>
      <xdr:colOff>469323</xdr:colOff>
      <xdr:row>0</xdr:row>
      <xdr:rowOff>17318</xdr:rowOff>
    </xdr:from>
    <xdr:to>
      <xdr:col>14</xdr:col>
      <xdr:colOff>110837</xdr:colOff>
      <xdr:row>1</xdr:row>
      <xdr:rowOff>93518</xdr:rowOff>
    </xdr:to>
    <xdr:sp macro="" textlink="">
      <xdr:nvSpPr>
        <xdr:cNvPr id="6" name="TextBox 5">
          <a:hlinkClick xmlns:r="http://schemas.openxmlformats.org/officeDocument/2006/relationships" r:id="rId5"/>
        </xdr:cNvPr>
        <xdr:cNvSpPr txBox="1"/>
      </xdr:nvSpPr>
      <xdr:spPr>
        <a:xfrm>
          <a:off x="7136823" y="17318"/>
          <a:ext cx="1459923" cy="240723"/>
        </a:xfrm>
        <a:prstGeom prst="rect">
          <a:avLst/>
        </a:prstGeom>
        <a:solidFill>
          <a:schemeClr val="accent2">
            <a:lumMod val="40000"/>
            <a:lumOff val="60000"/>
          </a:schemeClr>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solidFill>
                <a:sysClr val="windowText" lastClr="000000"/>
              </a:solidFill>
            </a:rPr>
            <a:t>Electricity</a:t>
          </a:r>
          <a:r>
            <a:rPr lang="en-ZA" sz="1000" baseline="0">
              <a:solidFill>
                <a:sysClr val="windowText" lastClr="000000"/>
              </a:solidFill>
            </a:rPr>
            <a:t> system costs</a:t>
          </a:r>
          <a:endParaRPr lang="en-ZA" sz="1000">
            <a:solidFill>
              <a:sysClr val="windowText" lastClr="000000"/>
            </a:solidFill>
          </a:endParaRPr>
        </a:p>
      </xdr:txBody>
    </xdr:sp>
    <xdr:clientData/>
  </xdr:twoCellAnchor>
  <xdr:twoCellAnchor>
    <xdr:from>
      <xdr:col>14</xdr:col>
      <xdr:colOff>157595</xdr:colOff>
      <xdr:row>0</xdr:row>
      <xdr:rowOff>17318</xdr:rowOff>
    </xdr:from>
    <xdr:to>
      <xdr:col>17</xdr:col>
      <xdr:colOff>34637</xdr:colOff>
      <xdr:row>1</xdr:row>
      <xdr:rowOff>93518</xdr:rowOff>
    </xdr:to>
    <xdr:sp macro="" textlink="">
      <xdr:nvSpPr>
        <xdr:cNvPr id="7" name="TextBox 6">
          <a:hlinkClick xmlns:r="http://schemas.openxmlformats.org/officeDocument/2006/relationships" r:id="rId6"/>
        </xdr:cNvPr>
        <xdr:cNvSpPr txBox="1"/>
      </xdr:nvSpPr>
      <xdr:spPr>
        <a:xfrm>
          <a:off x="8643504" y="17318"/>
          <a:ext cx="1695451" cy="240723"/>
        </a:xfrm>
        <a:prstGeom prst="rect">
          <a:avLst/>
        </a:prstGeom>
        <a:solidFill>
          <a:schemeClr val="accent2">
            <a:lumMod val="40000"/>
            <a:lumOff val="60000"/>
          </a:schemeClr>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Electricity</a:t>
          </a:r>
          <a:r>
            <a:rPr lang="en-ZA" sz="1000" baseline="0"/>
            <a:t> system emissions</a:t>
          </a:r>
          <a:endParaRPr lang="en-ZA" sz="1000"/>
        </a:p>
      </xdr:txBody>
    </xdr:sp>
    <xdr:clientData/>
  </xdr:twoCellAnchor>
  <xdr:twoCellAnchor>
    <xdr:from>
      <xdr:col>7</xdr:col>
      <xdr:colOff>335104</xdr:colOff>
      <xdr:row>0</xdr:row>
      <xdr:rowOff>17318</xdr:rowOff>
    </xdr:from>
    <xdr:to>
      <xdr:col>9</xdr:col>
      <xdr:colOff>154130</xdr:colOff>
      <xdr:row>1</xdr:row>
      <xdr:rowOff>93518</xdr:rowOff>
    </xdr:to>
    <xdr:sp macro="" textlink="">
      <xdr:nvSpPr>
        <xdr:cNvPr id="8" name="TextBox 7">
          <a:hlinkClick xmlns:r="http://schemas.openxmlformats.org/officeDocument/2006/relationships" r:id="rId7"/>
        </xdr:cNvPr>
        <xdr:cNvSpPr txBox="1"/>
      </xdr:nvSpPr>
      <xdr:spPr>
        <a:xfrm>
          <a:off x="4578059" y="17318"/>
          <a:ext cx="1031298" cy="240723"/>
        </a:xfrm>
        <a:prstGeom prst="rect">
          <a:avLst/>
        </a:prstGeom>
        <a:solidFill>
          <a:schemeClr val="accent2">
            <a:lumMod val="20000"/>
            <a:lumOff val="80000"/>
          </a:schemeClr>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Cost</a:t>
          </a:r>
          <a:r>
            <a:rPr lang="en-ZA" sz="1000" baseline="0"/>
            <a:t> Curves</a:t>
          </a:r>
          <a:endParaRPr lang="en-ZA" sz="1000"/>
        </a:p>
      </xdr:txBody>
    </xdr:sp>
    <xdr:clientData/>
  </xdr:twoCellAnchor>
  <xdr:twoCellAnchor>
    <xdr:from>
      <xdr:col>1</xdr:col>
      <xdr:colOff>219075</xdr:colOff>
      <xdr:row>0</xdr:row>
      <xdr:rowOff>8659</xdr:rowOff>
    </xdr:from>
    <xdr:to>
      <xdr:col>3</xdr:col>
      <xdr:colOff>363682</xdr:colOff>
      <xdr:row>1</xdr:row>
      <xdr:rowOff>84859</xdr:rowOff>
    </xdr:to>
    <xdr:sp macro="" textlink="">
      <xdr:nvSpPr>
        <xdr:cNvPr id="9" name="TextBox 8">
          <a:hlinkClick xmlns:r="http://schemas.openxmlformats.org/officeDocument/2006/relationships" r:id="rId8"/>
        </xdr:cNvPr>
        <xdr:cNvSpPr txBox="1"/>
      </xdr:nvSpPr>
      <xdr:spPr>
        <a:xfrm>
          <a:off x="825211" y="8659"/>
          <a:ext cx="1356880" cy="240723"/>
        </a:xfrm>
        <a:prstGeom prst="rect">
          <a:avLst/>
        </a:prstGeom>
        <a:solidFill>
          <a:schemeClr val="accent3">
            <a:lumMod val="60000"/>
            <a:lumOff val="40000"/>
          </a:schemeClr>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Electricity</a:t>
          </a:r>
          <a:r>
            <a:rPr lang="en-ZA" sz="1000" baseline="0"/>
            <a:t> Demand</a:t>
          </a:r>
          <a:endParaRPr lang="en-ZA" sz="10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28575</xdr:rowOff>
    </xdr:from>
    <xdr:to>
      <xdr:col>1</xdr:col>
      <xdr:colOff>180975</xdr:colOff>
      <xdr:row>1</xdr:row>
      <xdr:rowOff>104775</xdr:rowOff>
    </xdr:to>
    <xdr:sp macro="" textlink="">
      <xdr:nvSpPr>
        <xdr:cNvPr id="2" name="TextBox 1">
          <a:hlinkClick xmlns:r="http://schemas.openxmlformats.org/officeDocument/2006/relationships" r:id="rId1"/>
        </xdr:cNvPr>
        <xdr:cNvSpPr txBox="1"/>
      </xdr:nvSpPr>
      <xdr:spPr>
        <a:xfrm>
          <a:off x="0" y="28575"/>
          <a:ext cx="790575" cy="238125"/>
        </a:xfrm>
        <a:prstGeom prst="rect">
          <a:avLst/>
        </a:prstGeom>
        <a:solidFill>
          <a:srgbClr val="FFFF00"/>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Main</a:t>
          </a:r>
          <a:r>
            <a:rPr lang="en-ZA" sz="1000" baseline="0"/>
            <a:t> menu</a:t>
          </a:r>
          <a:endParaRPr lang="en-ZA" sz="1000"/>
        </a:p>
      </xdr:txBody>
    </xdr:sp>
    <xdr:clientData/>
  </xdr:twoCellAnchor>
  <xdr:twoCellAnchor>
    <xdr:from>
      <xdr:col>1</xdr:col>
      <xdr:colOff>228600</xdr:colOff>
      <xdr:row>0</xdr:row>
      <xdr:rowOff>19050</xdr:rowOff>
    </xdr:from>
    <xdr:to>
      <xdr:col>2</xdr:col>
      <xdr:colOff>666750</xdr:colOff>
      <xdr:row>1</xdr:row>
      <xdr:rowOff>95250</xdr:rowOff>
    </xdr:to>
    <xdr:sp macro="" textlink="">
      <xdr:nvSpPr>
        <xdr:cNvPr id="3" name="TextBox 2">
          <a:hlinkClick xmlns:r="http://schemas.openxmlformats.org/officeDocument/2006/relationships" r:id="rId2"/>
        </xdr:cNvPr>
        <xdr:cNvSpPr txBox="1"/>
      </xdr:nvSpPr>
      <xdr:spPr>
        <a:xfrm>
          <a:off x="838200" y="19050"/>
          <a:ext cx="1047750" cy="238125"/>
        </a:xfrm>
        <a:prstGeom prst="rect">
          <a:avLst/>
        </a:prstGeom>
        <a:solidFill>
          <a:schemeClr val="accent1">
            <a:lumMod val="20000"/>
            <a:lumOff val="80000"/>
          </a:schemeClr>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Levelised Costs</a:t>
          </a:r>
        </a:p>
      </xdr:txBody>
    </xdr:sp>
    <xdr:clientData/>
  </xdr:twoCellAnchor>
  <xdr:twoCellAnchor>
    <xdr:from>
      <xdr:col>2</xdr:col>
      <xdr:colOff>714375</xdr:colOff>
      <xdr:row>0</xdr:row>
      <xdr:rowOff>19050</xdr:rowOff>
    </xdr:from>
    <xdr:to>
      <xdr:col>2</xdr:col>
      <xdr:colOff>1866900</xdr:colOff>
      <xdr:row>1</xdr:row>
      <xdr:rowOff>95250</xdr:rowOff>
    </xdr:to>
    <xdr:sp macro="" textlink="">
      <xdr:nvSpPr>
        <xdr:cNvPr id="4" name="TextBox 3">
          <a:hlinkClick xmlns:r="http://schemas.openxmlformats.org/officeDocument/2006/relationships" r:id="rId3"/>
        </xdr:cNvPr>
        <xdr:cNvSpPr txBox="1"/>
      </xdr:nvSpPr>
      <xdr:spPr>
        <a:xfrm>
          <a:off x="1933575" y="19050"/>
          <a:ext cx="1152525" cy="238125"/>
        </a:xfrm>
        <a:prstGeom prst="rect">
          <a:avLst/>
        </a:prstGeom>
        <a:solidFill>
          <a:schemeClr val="accent3">
            <a:lumMod val="75000"/>
          </a:schemeClr>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pPr algn="ctr"/>
          <a:r>
            <a:rPr lang="en-ZA" sz="1000">
              <a:solidFill>
                <a:schemeClr val="bg1"/>
              </a:solidFill>
            </a:rPr>
            <a:t>Investment Plan</a:t>
          </a:r>
        </a:p>
      </xdr:txBody>
    </xdr:sp>
    <xdr:clientData/>
  </xdr:twoCellAnchor>
  <xdr:twoCellAnchor>
    <xdr:from>
      <xdr:col>2</xdr:col>
      <xdr:colOff>1914525</xdr:colOff>
      <xdr:row>0</xdr:row>
      <xdr:rowOff>19050</xdr:rowOff>
    </xdr:from>
    <xdr:to>
      <xdr:col>2</xdr:col>
      <xdr:colOff>2828925</xdr:colOff>
      <xdr:row>1</xdr:row>
      <xdr:rowOff>95250</xdr:rowOff>
    </xdr:to>
    <xdr:sp macro="" textlink="">
      <xdr:nvSpPr>
        <xdr:cNvPr id="5" name="TextBox 4">
          <a:hlinkClick xmlns:r="http://schemas.openxmlformats.org/officeDocument/2006/relationships" r:id="rId4"/>
        </xdr:cNvPr>
        <xdr:cNvSpPr txBox="1"/>
      </xdr:nvSpPr>
      <xdr:spPr>
        <a:xfrm>
          <a:off x="3133725" y="19050"/>
          <a:ext cx="914400" cy="238125"/>
        </a:xfrm>
        <a:prstGeom prst="rect">
          <a:avLst/>
        </a:prstGeom>
        <a:solidFill>
          <a:schemeClr val="accent6">
            <a:lumMod val="60000"/>
            <a:lumOff val="40000"/>
          </a:schemeClr>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solidFill>
                <a:sysClr val="windowText" lastClr="000000"/>
              </a:solidFill>
            </a:rPr>
            <a:t>System Costs</a:t>
          </a:r>
        </a:p>
      </xdr:txBody>
    </xdr:sp>
    <xdr:clientData/>
  </xdr:twoCellAnchor>
  <xdr:twoCellAnchor>
    <xdr:from>
      <xdr:col>2</xdr:col>
      <xdr:colOff>2876549</xdr:colOff>
      <xdr:row>0</xdr:row>
      <xdr:rowOff>19050</xdr:rowOff>
    </xdr:from>
    <xdr:to>
      <xdr:col>2</xdr:col>
      <xdr:colOff>4162424</xdr:colOff>
      <xdr:row>1</xdr:row>
      <xdr:rowOff>95250</xdr:rowOff>
    </xdr:to>
    <xdr:sp macro="" textlink="">
      <xdr:nvSpPr>
        <xdr:cNvPr id="6" name="TextBox 5">
          <a:hlinkClick xmlns:r="http://schemas.openxmlformats.org/officeDocument/2006/relationships" r:id="rId5"/>
        </xdr:cNvPr>
        <xdr:cNvSpPr txBox="1"/>
      </xdr:nvSpPr>
      <xdr:spPr>
        <a:xfrm>
          <a:off x="4095749" y="19050"/>
          <a:ext cx="1285875" cy="238125"/>
        </a:xfrm>
        <a:prstGeom prst="rect">
          <a:avLst/>
        </a:prstGeom>
        <a:solidFill>
          <a:schemeClr val="accent2">
            <a:lumMod val="20000"/>
            <a:lumOff val="80000"/>
          </a:schemeClr>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Emissions</a:t>
          </a:r>
          <a:r>
            <a:rPr lang="en-ZA" sz="1000" baseline="0"/>
            <a:t> etc</a:t>
          </a:r>
          <a:endParaRPr lang="en-ZA" sz="10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12</xdr:col>
      <xdr:colOff>219075</xdr:colOff>
      <xdr:row>3</xdr:row>
      <xdr:rowOff>381000</xdr:rowOff>
    </xdr:from>
    <xdr:to>
      <xdr:col>27</xdr:col>
      <xdr:colOff>47625</xdr:colOff>
      <xdr:row>31</xdr:row>
      <xdr:rowOff>114300</xdr:rowOff>
    </xdr:to>
    <xdr:graphicFrame macro="">
      <xdr:nvGraphicFramePr>
        <xdr:cNvPr id="17536163"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0</xdr:rowOff>
    </xdr:from>
    <xdr:to>
      <xdr:col>1</xdr:col>
      <xdr:colOff>561975</xdr:colOff>
      <xdr:row>1</xdr:row>
      <xdr:rowOff>9525</xdr:rowOff>
    </xdr:to>
    <xdr:sp macro="" textlink="">
      <xdr:nvSpPr>
        <xdr:cNvPr id="3" name="TextBox 2">
          <a:hlinkClick xmlns:r="http://schemas.openxmlformats.org/officeDocument/2006/relationships" r:id="rId2"/>
        </xdr:cNvPr>
        <xdr:cNvSpPr txBox="1"/>
      </xdr:nvSpPr>
      <xdr:spPr>
        <a:xfrm>
          <a:off x="0" y="0"/>
          <a:ext cx="790575" cy="276225"/>
        </a:xfrm>
        <a:prstGeom prst="rect">
          <a:avLst/>
        </a:prstGeom>
        <a:solidFill>
          <a:srgbClr val="FFFF00"/>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Main</a:t>
          </a:r>
          <a:r>
            <a:rPr lang="en-ZA" sz="1000" baseline="0"/>
            <a:t> menu</a:t>
          </a:r>
          <a:endParaRPr lang="en-ZA" sz="1000"/>
        </a:p>
      </xdr:txBody>
    </xdr:sp>
    <xdr:clientData/>
  </xdr:twoCellAnchor>
  <xdr:twoCellAnchor>
    <xdr:from>
      <xdr:col>1</xdr:col>
      <xdr:colOff>600075</xdr:colOff>
      <xdr:row>0</xdr:row>
      <xdr:rowOff>28575</xdr:rowOff>
    </xdr:from>
    <xdr:to>
      <xdr:col>1</xdr:col>
      <xdr:colOff>1647825</xdr:colOff>
      <xdr:row>1</xdr:row>
      <xdr:rowOff>0</xdr:rowOff>
    </xdr:to>
    <xdr:sp macro="" textlink="">
      <xdr:nvSpPr>
        <xdr:cNvPr id="4" name="TextBox 3">
          <a:hlinkClick xmlns:r="http://schemas.openxmlformats.org/officeDocument/2006/relationships" r:id="rId3"/>
        </xdr:cNvPr>
        <xdr:cNvSpPr txBox="1"/>
      </xdr:nvSpPr>
      <xdr:spPr>
        <a:xfrm>
          <a:off x="828675" y="28575"/>
          <a:ext cx="1047750" cy="238125"/>
        </a:xfrm>
        <a:prstGeom prst="rect">
          <a:avLst/>
        </a:prstGeom>
        <a:solidFill>
          <a:schemeClr val="accent1">
            <a:lumMod val="20000"/>
            <a:lumOff val="80000"/>
          </a:schemeClr>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Levelised Costs</a:t>
          </a:r>
        </a:p>
      </xdr:txBody>
    </xdr:sp>
    <xdr:clientData/>
  </xdr:twoCellAnchor>
  <xdr:twoCellAnchor>
    <xdr:from>
      <xdr:col>1</xdr:col>
      <xdr:colOff>1695450</xdr:colOff>
      <xdr:row>0</xdr:row>
      <xdr:rowOff>28575</xdr:rowOff>
    </xdr:from>
    <xdr:to>
      <xdr:col>2</xdr:col>
      <xdr:colOff>962025</xdr:colOff>
      <xdr:row>1</xdr:row>
      <xdr:rowOff>0</xdr:rowOff>
    </xdr:to>
    <xdr:sp macro="" textlink="">
      <xdr:nvSpPr>
        <xdr:cNvPr id="5" name="TextBox 4">
          <a:hlinkClick xmlns:r="http://schemas.openxmlformats.org/officeDocument/2006/relationships" r:id="rId4"/>
        </xdr:cNvPr>
        <xdr:cNvSpPr txBox="1"/>
      </xdr:nvSpPr>
      <xdr:spPr>
        <a:xfrm>
          <a:off x="1924050" y="28575"/>
          <a:ext cx="1152525" cy="238125"/>
        </a:xfrm>
        <a:prstGeom prst="rect">
          <a:avLst/>
        </a:prstGeom>
        <a:solidFill>
          <a:schemeClr val="accent3">
            <a:lumMod val="75000"/>
          </a:schemeClr>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pPr algn="ctr"/>
          <a:r>
            <a:rPr lang="en-ZA" sz="1000">
              <a:solidFill>
                <a:schemeClr val="bg1"/>
              </a:solidFill>
            </a:rPr>
            <a:t>Investment Plan</a:t>
          </a:r>
        </a:p>
      </xdr:txBody>
    </xdr:sp>
    <xdr:clientData/>
  </xdr:twoCellAnchor>
  <xdr:twoCellAnchor>
    <xdr:from>
      <xdr:col>2</xdr:col>
      <xdr:colOff>1009650</xdr:colOff>
      <xdr:row>0</xdr:row>
      <xdr:rowOff>28575</xdr:rowOff>
    </xdr:from>
    <xdr:to>
      <xdr:col>2</xdr:col>
      <xdr:colOff>1924050</xdr:colOff>
      <xdr:row>1</xdr:row>
      <xdr:rowOff>0</xdr:rowOff>
    </xdr:to>
    <xdr:sp macro="" textlink="">
      <xdr:nvSpPr>
        <xdr:cNvPr id="6" name="TextBox 5">
          <a:hlinkClick xmlns:r="http://schemas.openxmlformats.org/officeDocument/2006/relationships" r:id="rId5"/>
        </xdr:cNvPr>
        <xdr:cNvSpPr txBox="1"/>
      </xdr:nvSpPr>
      <xdr:spPr>
        <a:xfrm>
          <a:off x="3124200" y="28575"/>
          <a:ext cx="914400" cy="238125"/>
        </a:xfrm>
        <a:prstGeom prst="rect">
          <a:avLst/>
        </a:prstGeom>
        <a:solidFill>
          <a:schemeClr val="accent6">
            <a:lumMod val="60000"/>
            <a:lumOff val="40000"/>
          </a:schemeClr>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solidFill>
                <a:sysClr val="windowText" lastClr="000000"/>
              </a:solidFill>
            </a:rPr>
            <a:t>System Costs</a:t>
          </a:r>
        </a:p>
      </xdr:txBody>
    </xdr:sp>
    <xdr:clientData/>
  </xdr:twoCellAnchor>
  <xdr:twoCellAnchor>
    <xdr:from>
      <xdr:col>2</xdr:col>
      <xdr:colOff>1971674</xdr:colOff>
      <xdr:row>0</xdr:row>
      <xdr:rowOff>28575</xdr:rowOff>
    </xdr:from>
    <xdr:to>
      <xdr:col>5</xdr:col>
      <xdr:colOff>38099</xdr:colOff>
      <xdr:row>1</xdr:row>
      <xdr:rowOff>0</xdr:rowOff>
    </xdr:to>
    <xdr:sp macro="" textlink="">
      <xdr:nvSpPr>
        <xdr:cNvPr id="7" name="TextBox 6">
          <a:hlinkClick xmlns:r="http://schemas.openxmlformats.org/officeDocument/2006/relationships" r:id="rId6"/>
        </xdr:cNvPr>
        <xdr:cNvSpPr txBox="1"/>
      </xdr:nvSpPr>
      <xdr:spPr>
        <a:xfrm>
          <a:off x="4086224" y="28575"/>
          <a:ext cx="1285875" cy="238125"/>
        </a:xfrm>
        <a:prstGeom prst="rect">
          <a:avLst/>
        </a:prstGeom>
        <a:solidFill>
          <a:schemeClr val="accent2">
            <a:lumMod val="20000"/>
            <a:lumOff val="80000"/>
          </a:schemeClr>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Emissions</a:t>
          </a:r>
          <a:r>
            <a:rPr lang="en-ZA" sz="1000" baseline="0"/>
            <a:t> etc</a:t>
          </a:r>
          <a:endParaRPr lang="en-ZA" sz="1000"/>
        </a:p>
      </xdr:txBody>
    </xdr:sp>
    <xdr:clientData/>
  </xdr:twoCellAnchor>
  <xdr:twoCellAnchor>
    <xdr:from>
      <xdr:col>17</xdr:col>
      <xdr:colOff>371475</xdr:colOff>
      <xdr:row>123</xdr:row>
      <xdr:rowOff>57150</xdr:rowOff>
    </xdr:from>
    <xdr:to>
      <xdr:col>25</xdr:col>
      <xdr:colOff>66675</xdr:colOff>
      <xdr:row>140</xdr:row>
      <xdr:rowOff>47625</xdr:rowOff>
    </xdr:to>
    <xdr:graphicFrame macro="">
      <xdr:nvGraphicFramePr>
        <xdr:cNvPr id="8" name="Chart 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790575</xdr:colOff>
      <xdr:row>1</xdr:row>
      <xdr:rowOff>76200</xdr:rowOff>
    </xdr:to>
    <xdr:sp macro="" textlink="">
      <xdr:nvSpPr>
        <xdr:cNvPr id="2" name="TextBox 1">
          <a:hlinkClick xmlns:r="http://schemas.openxmlformats.org/officeDocument/2006/relationships" r:id="rId1"/>
        </xdr:cNvPr>
        <xdr:cNvSpPr txBox="1"/>
      </xdr:nvSpPr>
      <xdr:spPr>
        <a:xfrm>
          <a:off x="0" y="0"/>
          <a:ext cx="790575" cy="238125"/>
        </a:xfrm>
        <a:prstGeom prst="rect">
          <a:avLst/>
        </a:prstGeom>
        <a:solidFill>
          <a:srgbClr val="FFFF00"/>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Main</a:t>
          </a:r>
          <a:r>
            <a:rPr lang="en-ZA" sz="1000" baseline="0"/>
            <a:t> menu</a:t>
          </a:r>
          <a:endParaRPr lang="en-ZA" sz="1000"/>
        </a:p>
      </xdr:txBody>
    </xdr:sp>
    <xdr:clientData/>
  </xdr:twoCellAnchor>
  <xdr:twoCellAnchor>
    <xdr:from>
      <xdr:col>0</xdr:col>
      <xdr:colOff>838200</xdr:colOff>
      <xdr:row>0</xdr:row>
      <xdr:rowOff>9525</xdr:rowOff>
    </xdr:from>
    <xdr:to>
      <xdr:col>1</xdr:col>
      <xdr:colOff>466725</xdr:colOff>
      <xdr:row>1</xdr:row>
      <xdr:rowOff>85725</xdr:rowOff>
    </xdr:to>
    <xdr:sp macro="" textlink="">
      <xdr:nvSpPr>
        <xdr:cNvPr id="3" name="TextBox 2">
          <a:hlinkClick xmlns:r="http://schemas.openxmlformats.org/officeDocument/2006/relationships" r:id="rId2"/>
        </xdr:cNvPr>
        <xdr:cNvSpPr txBox="1"/>
      </xdr:nvSpPr>
      <xdr:spPr>
        <a:xfrm>
          <a:off x="838200" y="9525"/>
          <a:ext cx="1047750" cy="238125"/>
        </a:xfrm>
        <a:prstGeom prst="rect">
          <a:avLst/>
        </a:prstGeom>
        <a:solidFill>
          <a:schemeClr val="accent1">
            <a:lumMod val="20000"/>
            <a:lumOff val="80000"/>
          </a:schemeClr>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Levelised Costs</a:t>
          </a:r>
        </a:p>
      </xdr:txBody>
    </xdr:sp>
    <xdr:clientData/>
  </xdr:twoCellAnchor>
  <xdr:twoCellAnchor>
    <xdr:from>
      <xdr:col>1</xdr:col>
      <xdr:colOff>514350</xdr:colOff>
      <xdr:row>0</xdr:row>
      <xdr:rowOff>9525</xdr:rowOff>
    </xdr:from>
    <xdr:to>
      <xdr:col>2</xdr:col>
      <xdr:colOff>600075</xdr:colOff>
      <xdr:row>1</xdr:row>
      <xdr:rowOff>85725</xdr:rowOff>
    </xdr:to>
    <xdr:sp macro="" textlink="">
      <xdr:nvSpPr>
        <xdr:cNvPr id="4" name="TextBox 3">
          <a:hlinkClick xmlns:r="http://schemas.openxmlformats.org/officeDocument/2006/relationships" r:id="rId3"/>
        </xdr:cNvPr>
        <xdr:cNvSpPr txBox="1"/>
      </xdr:nvSpPr>
      <xdr:spPr>
        <a:xfrm>
          <a:off x="1933575" y="9525"/>
          <a:ext cx="1152525" cy="238125"/>
        </a:xfrm>
        <a:prstGeom prst="rect">
          <a:avLst/>
        </a:prstGeom>
        <a:solidFill>
          <a:schemeClr val="accent3">
            <a:lumMod val="75000"/>
          </a:schemeClr>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pPr algn="ctr"/>
          <a:r>
            <a:rPr lang="en-ZA" sz="1000">
              <a:solidFill>
                <a:schemeClr val="bg1"/>
              </a:solidFill>
            </a:rPr>
            <a:t>Investment Plan</a:t>
          </a:r>
        </a:p>
      </xdr:txBody>
    </xdr:sp>
    <xdr:clientData/>
  </xdr:twoCellAnchor>
  <xdr:twoCellAnchor>
    <xdr:from>
      <xdr:col>2</xdr:col>
      <xdr:colOff>647700</xdr:colOff>
      <xdr:row>0</xdr:row>
      <xdr:rowOff>9525</xdr:rowOff>
    </xdr:from>
    <xdr:to>
      <xdr:col>3</xdr:col>
      <xdr:colOff>342900</xdr:colOff>
      <xdr:row>1</xdr:row>
      <xdr:rowOff>85725</xdr:rowOff>
    </xdr:to>
    <xdr:sp macro="" textlink="">
      <xdr:nvSpPr>
        <xdr:cNvPr id="5" name="TextBox 4">
          <a:hlinkClick xmlns:r="http://schemas.openxmlformats.org/officeDocument/2006/relationships" r:id="rId4"/>
        </xdr:cNvPr>
        <xdr:cNvSpPr txBox="1"/>
      </xdr:nvSpPr>
      <xdr:spPr>
        <a:xfrm>
          <a:off x="3133725" y="9525"/>
          <a:ext cx="914400" cy="238125"/>
        </a:xfrm>
        <a:prstGeom prst="rect">
          <a:avLst/>
        </a:prstGeom>
        <a:solidFill>
          <a:schemeClr val="accent6">
            <a:lumMod val="60000"/>
            <a:lumOff val="40000"/>
          </a:schemeClr>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solidFill>
                <a:sysClr val="windowText" lastClr="000000"/>
              </a:solidFill>
            </a:rPr>
            <a:t>System Costs</a:t>
          </a:r>
        </a:p>
      </xdr:txBody>
    </xdr:sp>
    <xdr:clientData/>
  </xdr:twoCellAnchor>
  <xdr:twoCellAnchor>
    <xdr:from>
      <xdr:col>3</xdr:col>
      <xdr:colOff>390524</xdr:colOff>
      <xdr:row>0</xdr:row>
      <xdr:rowOff>9525</xdr:rowOff>
    </xdr:from>
    <xdr:to>
      <xdr:col>4</xdr:col>
      <xdr:colOff>457199</xdr:colOff>
      <xdr:row>1</xdr:row>
      <xdr:rowOff>85725</xdr:rowOff>
    </xdr:to>
    <xdr:sp macro="" textlink="">
      <xdr:nvSpPr>
        <xdr:cNvPr id="6" name="TextBox 5">
          <a:hlinkClick xmlns:r="http://schemas.openxmlformats.org/officeDocument/2006/relationships" r:id="rId5"/>
        </xdr:cNvPr>
        <xdr:cNvSpPr txBox="1"/>
      </xdr:nvSpPr>
      <xdr:spPr>
        <a:xfrm>
          <a:off x="4095749" y="9525"/>
          <a:ext cx="1285875" cy="238125"/>
        </a:xfrm>
        <a:prstGeom prst="rect">
          <a:avLst/>
        </a:prstGeom>
        <a:solidFill>
          <a:schemeClr val="accent2">
            <a:lumMod val="20000"/>
            <a:lumOff val="80000"/>
          </a:schemeClr>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Emissions</a:t>
          </a:r>
          <a:r>
            <a:rPr lang="en-ZA" sz="1000" baseline="0"/>
            <a:t> etc</a:t>
          </a:r>
          <a:endParaRPr lang="en-ZA" sz="10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180975</xdr:colOff>
      <xdr:row>1</xdr:row>
      <xdr:rowOff>17621</xdr:rowOff>
    </xdr:to>
    <xdr:sp macro="" textlink="">
      <xdr:nvSpPr>
        <xdr:cNvPr id="3" name="TextBox 2">
          <a:hlinkClick xmlns:r="http://schemas.openxmlformats.org/officeDocument/2006/relationships" r:id="rId1"/>
        </xdr:cNvPr>
        <xdr:cNvSpPr txBox="1"/>
      </xdr:nvSpPr>
      <xdr:spPr>
        <a:xfrm>
          <a:off x="0" y="0"/>
          <a:ext cx="1580736" cy="266099"/>
        </a:xfrm>
        <a:prstGeom prst="rect">
          <a:avLst/>
        </a:prstGeom>
        <a:solidFill>
          <a:srgbClr val="FFFF00"/>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Main</a:t>
          </a:r>
          <a:r>
            <a:rPr lang="en-ZA" sz="1000" baseline="0"/>
            <a:t> menu</a:t>
          </a:r>
          <a:endParaRPr lang="en-ZA" sz="1000"/>
        </a:p>
      </xdr:txBody>
    </xdr:sp>
    <xdr:clientData/>
  </xdr:twoCellAnchor>
  <xdr:twoCellAnchor>
    <xdr:from>
      <xdr:col>1</xdr:col>
      <xdr:colOff>228600</xdr:colOff>
      <xdr:row>0</xdr:row>
      <xdr:rowOff>9526</xdr:rowOff>
    </xdr:from>
    <xdr:to>
      <xdr:col>3</xdr:col>
      <xdr:colOff>60081</xdr:colOff>
      <xdr:row>1</xdr:row>
      <xdr:rowOff>27748</xdr:rowOff>
    </xdr:to>
    <xdr:sp macro="" textlink="">
      <xdr:nvSpPr>
        <xdr:cNvPr id="4" name="TextBox 3">
          <a:hlinkClick xmlns:r="http://schemas.openxmlformats.org/officeDocument/2006/relationships" r:id="rId2"/>
        </xdr:cNvPr>
        <xdr:cNvSpPr txBox="1"/>
      </xdr:nvSpPr>
      <xdr:spPr>
        <a:xfrm>
          <a:off x="1628361" y="9526"/>
          <a:ext cx="1057307" cy="266700"/>
        </a:xfrm>
        <a:prstGeom prst="rect">
          <a:avLst/>
        </a:prstGeom>
        <a:solidFill>
          <a:schemeClr val="accent1">
            <a:lumMod val="20000"/>
            <a:lumOff val="80000"/>
          </a:schemeClr>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Levelised Costs</a:t>
          </a:r>
        </a:p>
      </xdr:txBody>
    </xdr:sp>
    <xdr:clientData/>
  </xdr:twoCellAnchor>
  <xdr:twoCellAnchor>
    <xdr:from>
      <xdr:col>3</xdr:col>
      <xdr:colOff>107706</xdr:colOff>
      <xdr:row>0</xdr:row>
      <xdr:rowOff>9526</xdr:rowOff>
    </xdr:from>
    <xdr:to>
      <xdr:col>5</xdr:col>
      <xdr:colOff>43962</xdr:colOff>
      <xdr:row>1</xdr:row>
      <xdr:rowOff>27748</xdr:rowOff>
    </xdr:to>
    <xdr:sp macro="" textlink="">
      <xdr:nvSpPr>
        <xdr:cNvPr id="5" name="TextBox 4">
          <a:hlinkClick xmlns:r="http://schemas.openxmlformats.org/officeDocument/2006/relationships" r:id="rId3"/>
        </xdr:cNvPr>
        <xdr:cNvSpPr txBox="1"/>
      </xdr:nvSpPr>
      <xdr:spPr>
        <a:xfrm>
          <a:off x="2733293" y="9526"/>
          <a:ext cx="1162082" cy="266700"/>
        </a:xfrm>
        <a:prstGeom prst="rect">
          <a:avLst/>
        </a:prstGeom>
        <a:solidFill>
          <a:schemeClr val="accent3">
            <a:lumMod val="75000"/>
          </a:schemeClr>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pPr algn="ctr"/>
          <a:r>
            <a:rPr lang="en-ZA" sz="1000">
              <a:solidFill>
                <a:schemeClr val="bg1"/>
              </a:solidFill>
            </a:rPr>
            <a:t>Investment Plan</a:t>
          </a:r>
        </a:p>
      </xdr:txBody>
    </xdr:sp>
    <xdr:clientData/>
  </xdr:twoCellAnchor>
  <xdr:twoCellAnchor>
    <xdr:from>
      <xdr:col>5</xdr:col>
      <xdr:colOff>91587</xdr:colOff>
      <xdr:row>0</xdr:row>
      <xdr:rowOff>9526</xdr:rowOff>
    </xdr:from>
    <xdr:to>
      <xdr:col>6</xdr:col>
      <xdr:colOff>397852</xdr:colOff>
      <xdr:row>1</xdr:row>
      <xdr:rowOff>27748</xdr:rowOff>
    </xdr:to>
    <xdr:sp macro="" textlink="">
      <xdr:nvSpPr>
        <xdr:cNvPr id="6" name="TextBox 5">
          <a:hlinkClick xmlns:r="http://schemas.openxmlformats.org/officeDocument/2006/relationships" r:id="rId4"/>
        </xdr:cNvPr>
        <xdr:cNvSpPr txBox="1"/>
      </xdr:nvSpPr>
      <xdr:spPr>
        <a:xfrm>
          <a:off x="3943000" y="9526"/>
          <a:ext cx="919178" cy="266700"/>
        </a:xfrm>
        <a:prstGeom prst="rect">
          <a:avLst/>
        </a:prstGeom>
        <a:solidFill>
          <a:schemeClr val="accent6">
            <a:lumMod val="60000"/>
            <a:lumOff val="40000"/>
          </a:schemeClr>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solidFill>
                <a:sysClr val="windowText" lastClr="000000"/>
              </a:solidFill>
            </a:rPr>
            <a:t>System Costs</a:t>
          </a:r>
        </a:p>
      </xdr:txBody>
    </xdr:sp>
    <xdr:clientData/>
  </xdr:twoCellAnchor>
  <xdr:twoCellAnchor>
    <xdr:from>
      <xdr:col>6</xdr:col>
      <xdr:colOff>445476</xdr:colOff>
      <xdr:row>0</xdr:row>
      <xdr:rowOff>9526</xdr:rowOff>
    </xdr:from>
    <xdr:to>
      <xdr:col>8</xdr:col>
      <xdr:colOff>515082</xdr:colOff>
      <xdr:row>1</xdr:row>
      <xdr:rowOff>27748</xdr:rowOff>
    </xdr:to>
    <xdr:sp macro="" textlink="">
      <xdr:nvSpPr>
        <xdr:cNvPr id="7" name="TextBox 6">
          <a:hlinkClick xmlns:r="http://schemas.openxmlformats.org/officeDocument/2006/relationships" r:id="rId5"/>
        </xdr:cNvPr>
        <xdr:cNvSpPr txBox="1"/>
      </xdr:nvSpPr>
      <xdr:spPr>
        <a:xfrm>
          <a:off x="4909802" y="9526"/>
          <a:ext cx="1295432" cy="266700"/>
        </a:xfrm>
        <a:prstGeom prst="rect">
          <a:avLst/>
        </a:prstGeom>
        <a:solidFill>
          <a:schemeClr val="accent2">
            <a:lumMod val="20000"/>
            <a:lumOff val="80000"/>
          </a:schemeClr>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Emissions</a:t>
          </a:r>
          <a:r>
            <a:rPr lang="en-ZA" sz="1000" baseline="0"/>
            <a:t> etc</a:t>
          </a:r>
          <a:endParaRPr lang="en-ZA" sz="1000"/>
        </a:p>
      </xdr:txBody>
    </xdr:sp>
    <xdr:clientData/>
  </xdr:twoCellAnchor>
  <xdr:twoCellAnchor>
    <xdr:from>
      <xdr:col>2</xdr:col>
      <xdr:colOff>323850</xdr:colOff>
      <xdr:row>4</xdr:row>
      <xdr:rowOff>47625</xdr:rowOff>
    </xdr:from>
    <xdr:to>
      <xdr:col>9</xdr:col>
      <xdr:colOff>31060</xdr:colOff>
      <xdr:row>28</xdr:row>
      <xdr:rowOff>146188</xdr:rowOff>
    </xdr:to>
    <xdr:graphicFrame macro="">
      <xdr:nvGraphicFramePr>
        <xdr:cNvPr id="21884005" name="Chart 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10</xdr:col>
      <xdr:colOff>314325</xdr:colOff>
      <xdr:row>4</xdr:row>
      <xdr:rowOff>57149</xdr:rowOff>
    </xdr:from>
    <xdr:to>
      <xdr:col>17</xdr:col>
      <xdr:colOff>214105</xdr:colOff>
      <xdr:row>29</xdr:row>
      <xdr:rowOff>130036</xdr:rowOff>
    </xdr:to>
    <xdr:graphicFrame macro="">
      <xdr:nvGraphicFramePr>
        <xdr:cNvPr id="8" name="Chart 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17</xdr:col>
      <xdr:colOff>326748</xdr:colOff>
      <xdr:row>4</xdr:row>
      <xdr:rowOff>66261</xdr:rowOff>
    </xdr:from>
    <xdr:to>
      <xdr:col>24</xdr:col>
      <xdr:colOff>248064</xdr:colOff>
      <xdr:row>29</xdr:row>
      <xdr:rowOff>161511</xdr:rowOff>
    </xdr:to>
    <xdr:graphicFrame macro="">
      <xdr:nvGraphicFramePr>
        <xdr:cNvPr id="10" name="Chart 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editAs="absolute">
    <xdr:from>
      <xdr:col>0</xdr:col>
      <xdr:colOff>0</xdr:colOff>
      <xdr:row>0</xdr:row>
      <xdr:rowOff>28575</xdr:rowOff>
    </xdr:from>
    <xdr:to>
      <xdr:col>0</xdr:col>
      <xdr:colOff>790575</xdr:colOff>
      <xdr:row>1</xdr:row>
      <xdr:rowOff>104775</xdr:rowOff>
    </xdr:to>
    <xdr:sp macro="" textlink="">
      <xdr:nvSpPr>
        <xdr:cNvPr id="17" name="TextBox 16">
          <a:hlinkClick xmlns:r="http://schemas.openxmlformats.org/officeDocument/2006/relationships" r:id="rId1"/>
        </xdr:cNvPr>
        <xdr:cNvSpPr txBox="1"/>
      </xdr:nvSpPr>
      <xdr:spPr>
        <a:xfrm>
          <a:off x="0" y="28575"/>
          <a:ext cx="790575" cy="238125"/>
        </a:xfrm>
        <a:prstGeom prst="rect">
          <a:avLst/>
        </a:prstGeom>
        <a:solidFill>
          <a:srgbClr val="FFFF00"/>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Main</a:t>
          </a:r>
          <a:r>
            <a:rPr lang="en-ZA" sz="1000" baseline="0"/>
            <a:t> menu</a:t>
          </a:r>
          <a:endParaRPr lang="en-ZA" sz="1000"/>
        </a:p>
      </xdr:txBody>
    </xdr:sp>
    <xdr:clientData/>
  </xdr:twoCellAnchor>
  <xdr:twoCellAnchor editAs="absolute">
    <xdr:from>
      <xdr:col>0</xdr:col>
      <xdr:colOff>28575</xdr:colOff>
      <xdr:row>1</xdr:row>
      <xdr:rowOff>142875</xdr:rowOff>
    </xdr:from>
    <xdr:to>
      <xdr:col>0</xdr:col>
      <xdr:colOff>438150</xdr:colOff>
      <xdr:row>3</xdr:row>
      <xdr:rowOff>57150</xdr:rowOff>
    </xdr:to>
    <xdr:sp macro="" textlink="">
      <xdr:nvSpPr>
        <xdr:cNvPr id="16" name="TextBox 15">
          <a:hlinkClick xmlns:r="http://schemas.openxmlformats.org/officeDocument/2006/relationships" r:id="rId2"/>
        </xdr:cNvPr>
        <xdr:cNvSpPr txBox="1"/>
      </xdr:nvSpPr>
      <xdr:spPr>
        <a:xfrm>
          <a:off x="28575" y="304800"/>
          <a:ext cx="409575" cy="238125"/>
        </a:xfrm>
        <a:prstGeom prst="rect">
          <a:avLst/>
        </a:prstGeom>
        <a:solidFill>
          <a:srgbClr val="FFC000"/>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Ref</a:t>
          </a:r>
        </a:p>
      </xdr:txBody>
    </xdr:sp>
    <xdr:clientData/>
  </xdr:twoCellAnchor>
  <xdr:twoCellAnchor editAs="absolute">
    <xdr:from>
      <xdr:col>0</xdr:col>
      <xdr:colOff>1019175</xdr:colOff>
      <xdr:row>1</xdr:row>
      <xdr:rowOff>142875</xdr:rowOff>
    </xdr:from>
    <xdr:to>
      <xdr:col>0</xdr:col>
      <xdr:colOff>1552574</xdr:colOff>
      <xdr:row>3</xdr:row>
      <xdr:rowOff>57150</xdr:rowOff>
    </xdr:to>
    <xdr:sp macro="[0]!elec_comparison_button" textlink="">
      <xdr:nvSpPr>
        <xdr:cNvPr id="24" name="TextBox 23"/>
        <xdr:cNvSpPr txBox="1"/>
      </xdr:nvSpPr>
      <xdr:spPr>
        <a:xfrm>
          <a:off x="1019175" y="304800"/>
          <a:ext cx="533399" cy="238125"/>
        </a:xfrm>
        <a:prstGeom prst="rect">
          <a:avLst/>
        </a:prstGeom>
        <a:solidFill>
          <a:srgbClr val="FFC000"/>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Comp</a:t>
          </a:r>
        </a:p>
      </xdr:txBody>
    </xdr:sp>
    <xdr:clientData/>
  </xdr:twoCellAnchor>
  <xdr:twoCellAnchor editAs="absolute">
    <xdr:from>
      <xdr:col>0</xdr:col>
      <xdr:colOff>485776</xdr:colOff>
      <xdr:row>1</xdr:row>
      <xdr:rowOff>142875</xdr:rowOff>
    </xdr:from>
    <xdr:to>
      <xdr:col>0</xdr:col>
      <xdr:colOff>971550</xdr:colOff>
      <xdr:row>3</xdr:row>
      <xdr:rowOff>57150</xdr:rowOff>
    </xdr:to>
    <xdr:sp macro="[0]!elec_scenario_button" textlink="">
      <xdr:nvSpPr>
        <xdr:cNvPr id="25" name="TextBox 24"/>
        <xdr:cNvSpPr txBox="1"/>
      </xdr:nvSpPr>
      <xdr:spPr>
        <a:xfrm>
          <a:off x="485776" y="304800"/>
          <a:ext cx="485774" cy="238125"/>
        </a:xfrm>
        <a:prstGeom prst="rect">
          <a:avLst/>
        </a:prstGeom>
        <a:solidFill>
          <a:srgbClr val="FFC000"/>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Scen</a:t>
          </a:r>
        </a:p>
      </xdr:txBody>
    </xdr:sp>
    <xdr:clientData/>
  </xdr:twoCellAnchor>
  <xdr:twoCellAnchor>
    <xdr:from>
      <xdr:col>29</xdr:col>
      <xdr:colOff>28575</xdr:colOff>
      <xdr:row>6</xdr:row>
      <xdr:rowOff>38100</xdr:rowOff>
    </xdr:from>
    <xdr:to>
      <xdr:col>34</xdr:col>
      <xdr:colOff>476250</xdr:colOff>
      <xdr:row>38</xdr:row>
      <xdr:rowOff>0</xdr:rowOff>
    </xdr:to>
    <xdr:graphicFrame macro="">
      <xdr:nvGraphicFramePr>
        <xdr:cNvPr id="25214032" name="Chart 1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34</xdr:col>
      <xdr:colOff>523875</xdr:colOff>
      <xdr:row>6</xdr:row>
      <xdr:rowOff>47625</xdr:rowOff>
    </xdr:from>
    <xdr:to>
      <xdr:col>40</xdr:col>
      <xdr:colOff>342900</xdr:colOff>
      <xdr:row>37</xdr:row>
      <xdr:rowOff>133350</xdr:rowOff>
    </xdr:to>
    <xdr:graphicFrame macro="">
      <xdr:nvGraphicFramePr>
        <xdr:cNvPr id="25214033" name="Chart 4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40</xdr:col>
      <xdr:colOff>438150</xdr:colOff>
      <xdr:row>7</xdr:row>
      <xdr:rowOff>142875</xdr:rowOff>
    </xdr:from>
    <xdr:to>
      <xdr:col>48</xdr:col>
      <xdr:colOff>9525</xdr:colOff>
      <xdr:row>32</xdr:row>
      <xdr:rowOff>114300</xdr:rowOff>
    </xdr:to>
    <xdr:graphicFrame macro="">
      <xdr:nvGraphicFramePr>
        <xdr:cNvPr id="25214034" name="Chart 4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48</xdr:col>
      <xdr:colOff>57150</xdr:colOff>
      <xdr:row>7</xdr:row>
      <xdr:rowOff>142874</xdr:rowOff>
    </xdr:from>
    <xdr:to>
      <xdr:col>53</xdr:col>
      <xdr:colOff>590550</xdr:colOff>
      <xdr:row>32</xdr:row>
      <xdr:rowOff>76199</xdr:rowOff>
    </xdr:to>
    <xdr:graphicFrame macro="">
      <xdr:nvGraphicFramePr>
        <xdr:cNvPr id="25214035" name="Chart 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29</xdr:col>
      <xdr:colOff>19050</xdr:colOff>
      <xdr:row>65</xdr:row>
      <xdr:rowOff>9525</xdr:rowOff>
    </xdr:from>
    <xdr:to>
      <xdr:col>34</xdr:col>
      <xdr:colOff>542925</xdr:colOff>
      <xdr:row>95</xdr:row>
      <xdr:rowOff>9525</xdr:rowOff>
    </xdr:to>
    <xdr:graphicFrame macro="">
      <xdr:nvGraphicFramePr>
        <xdr:cNvPr id="25214036"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34</xdr:col>
      <xdr:colOff>590550</xdr:colOff>
      <xdr:row>65</xdr:row>
      <xdr:rowOff>19050</xdr:rowOff>
    </xdr:from>
    <xdr:to>
      <xdr:col>40</xdr:col>
      <xdr:colOff>419100</xdr:colOff>
      <xdr:row>95</xdr:row>
      <xdr:rowOff>28575</xdr:rowOff>
    </xdr:to>
    <xdr:graphicFrame macro="">
      <xdr:nvGraphicFramePr>
        <xdr:cNvPr id="25214037" name="Chart 1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0</xdr:col>
      <xdr:colOff>0</xdr:colOff>
      <xdr:row>126</xdr:row>
      <xdr:rowOff>123825</xdr:rowOff>
    </xdr:from>
    <xdr:to>
      <xdr:col>4</xdr:col>
      <xdr:colOff>314325</xdr:colOff>
      <xdr:row>156</xdr:row>
      <xdr:rowOff>19050</xdr:rowOff>
    </xdr:to>
    <xdr:graphicFrame macro="">
      <xdr:nvGraphicFramePr>
        <xdr:cNvPr id="25214038" name="Chart 1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5</xdr:col>
      <xdr:colOff>76200</xdr:colOff>
      <xdr:row>127</xdr:row>
      <xdr:rowOff>0</xdr:rowOff>
    </xdr:from>
    <xdr:to>
      <xdr:col>15</xdr:col>
      <xdr:colOff>123825</xdr:colOff>
      <xdr:row>156</xdr:row>
      <xdr:rowOff>9525</xdr:rowOff>
    </xdr:to>
    <xdr:graphicFrame macro="">
      <xdr:nvGraphicFramePr>
        <xdr:cNvPr id="25214039"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16</xdr:col>
      <xdr:colOff>38100</xdr:colOff>
      <xdr:row>126</xdr:row>
      <xdr:rowOff>152400</xdr:rowOff>
    </xdr:from>
    <xdr:to>
      <xdr:col>24</xdr:col>
      <xdr:colOff>466725</xdr:colOff>
      <xdr:row>156</xdr:row>
      <xdr:rowOff>9525</xdr:rowOff>
    </xdr:to>
    <xdr:graphicFrame macro="">
      <xdr:nvGraphicFramePr>
        <xdr:cNvPr id="25214040" name="Chart 4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24</xdr:col>
      <xdr:colOff>581025</xdr:colOff>
      <xdr:row>127</xdr:row>
      <xdr:rowOff>9525</xdr:rowOff>
    </xdr:from>
    <xdr:to>
      <xdr:col>30</xdr:col>
      <xdr:colOff>419100</xdr:colOff>
      <xdr:row>156</xdr:row>
      <xdr:rowOff>9525</xdr:rowOff>
    </xdr:to>
    <xdr:graphicFrame macro="">
      <xdr:nvGraphicFramePr>
        <xdr:cNvPr id="25214041" name="Chart 1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31</xdr:col>
      <xdr:colOff>219075</xdr:colOff>
      <xdr:row>127</xdr:row>
      <xdr:rowOff>9525</xdr:rowOff>
    </xdr:from>
    <xdr:to>
      <xdr:col>38</xdr:col>
      <xdr:colOff>180975</xdr:colOff>
      <xdr:row>149</xdr:row>
      <xdr:rowOff>95250</xdr:rowOff>
    </xdr:to>
    <xdr:graphicFrame macro="">
      <xdr:nvGraphicFramePr>
        <xdr:cNvPr id="25214042" name="Chart 1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38</xdr:col>
      <xdr:colOff>476250</xdr:colOff>
      <xdr:row>127</xdr:row>
      <xdr:rowOff>9525</xdr:rowOff>
    </xdr:from>
    <xdr:to>
      <xdr:col>44</xdr:col>
      <xdr:colOff>371475</xdr:colOff>
      <xdr:row>149</xdr:row>
      <xdr:rowOff>104775</xdr:rowOff>
    </xdr:to>
    <xdr:graphicFrame macro="">
      <xdr:nvGraphicFramePr>
        <xdr:cNvPr id="25214043" name="Chart 1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40</xdr:col>
      <xdr:colOff>552450</xdr:colOff>
      <xdr:row>67</xdr:row>
      <xdr:rowOff>19050</xdr:rowOff>
    </xdr:from>
    <xdr:to>
      <xdr:col>47</xdr:col>
      <xdr:colOff>523876</xdr:colOff>
      <xdr:row>89</xdr:row>
      <xdr:rowOff>95250</xdr:rowOff>
    </xdr:to>
    <xdr:graphicFrame macro="">
      <xdr:nvGraphicFramePr>
        <xdr:cNvPr id="25214044" name="Chart 1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48</xdr:col>
      <xdr:colOff>9525</xdr:colOff>
      <xdr:row>67</xdr:row>
      <xdr:rowOff>9525</xdr:rowOff>
    </xdr:from>
    <xdr:to>
      <xdr:col>53</xdr:col>
      <xdr:colOff>552450</xdr:colOff>
      <xdr:row>89</xdr:row>
      <xdr:rowOff>76200</xdr:rowOff>
    </xdr:to>
    <xdr:graphicFrame macro="">
      <xdr:nvGraphicFramePr>
        <xdr:cNvPr id="25214045" name="Chart 1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0</xdr:col>
      <xdr:colOff>828675</xdr:colOff>
      <xdr:row>0</xdr:row>
      <xdr:rowOff>28575</xdr:rowOff>
    </xdr:from>
    <xdr:to>
      <xdr:col>0</xdr:col>
      <xdr:colOff>1876425</xdr:colOff>
      <xdr:row>1</xdr:row>
      <xdr:rowOff>104775</xdr:rowOff>
    </xdr:to>
    <xdr:sp macro="" textlink="">
      <xdr:nvSpPr>
        <xdr:cNvPr id="20" name="TextBox 19">
          <a:hlinkClick xmlns:r="http://schemas.openxmlformats.org/officeDocument/2006/relationships" r:id="rId17"/>
        </xdr:cNvPr>
        <xdr:cNvSpPr txBox="1"/>
      </xdr:nvSpPr>
      <xdr:spPr>
        <a:xfrm>
          <a:off x="828675" y="28575"/>
          <a:ext cx="1047750" cy="238125"/>
        </a:xfrm>
        <a:prstGeom prst="rect">
          <a:avLst/>
        </a:prstGeom>
        <a:solidFill>
          <a:schemeClr val="accent1">
            <a:lumMod val="20000"/>
            <a:lumOff val="80000"/>
          </a:schemeClr>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Levelised Costs</a:t>
          </a:r>
        </a:p>
      </xdr:txBody>
    </xdr:sp>
    <xdr:clientData/>
  </xdr:twoCellAnchor>
  <xdr:twoCellAnchor>
    <xdr:from>
      <xdr:col>0</xdr:col>
      <xdr:colOff>1924050</xdr:colOff>
      <xdr:row>0</xdr:row>
      <xdr:rowOff>28575</xdr:rowOff>
    </xdr:from>
    <xdr:to>
      <xdr:col>2</xdr:col>
      <xdr:colOff>276225</xdr:colOff>
      <xdr:row>1</xdr:row>
      <xdr:rowOff>104775</xdr:rowOff>
    </xdr:to>
    <xdr:sp macro="" textlink="">
      <xdr:nvSpPr>
        <xdr:cNvPr id="21" name="TextBox 20">
          <a:hlinkClick xmlns:r="http://schemas.openxmlformats.org/officeDocument/2006/relationships" r:id="rId18"/>
        </xdr:cNvPr>
        <xdr:cNvSpPr txBox="1"/>
      </xdr:nvSpPr>
      <xdr:spPr>
        <a:xfrm>
          <a:off x="1924050" y="28575"/>
          <a:ext cx="1152525" cy="238125"/>
        </a:xfrm>
        <a:prstGeom prst="rect">
          <a:avLst/>
        </a:prstGeom>
        <a:solidFill>
          <a:schemeClr val="accent3">
            <a:lumMod val="75000"/>
          </a:schemeClr>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pPr algn="ctr"/>
          <a:r>
            <a:rPr lang="en-ZA" sz="1000">
              <a:solidFill>
                <a:schemeClr val="bg1"/>
              </a:solidFill>
            </a:rPr>
            <a:t>Investment Plan</a:t>
          </a:r>
        </a:p>
      </xdr:txBody>
    </xdr:sp>
    <xdr:clientData/>
  </xdr:twoCellAnchor>
  <xdr:twoCellAnchor>
    <xdr:from>
      <xdr:col>2</xdr:col>
      <xdr:colOff>323850</xdr:colOff>
      <xdr:row>0</xdr:row>
      <xdr:rowOff>28575</xdr:rowOff>
    </xdr:from>
    <xdr:to>
      <xdr:col>5</xdr:col>
      <xdr:colOff>209550</xdr:colOff>
      <xdr:row>1</xdr:row>
      <xdr:rowOff>104775</xdr:rowOff>
    </xdr:to>
    <xdr:sp macro="" textlink="">
      <xdr:nvSpPr>
        <xdr:cNvPr id="22" name="TextBox 21">
          <a:hlinkClick xmlns:r="http://schemas.openxmlformats.org/officeDocument/2006/relationships" r:id="rId19"/>
        </xdr:cNvPr>
        <xdr:cNvSpPr txBox="1"/>
      </xdr:nvSpPr>
      <xdr:spPr>
        <a:xfrm>
          <a:off x="3124200" y="28575"/>
          <a:ext cx="914400" cy="238125"/>
        </a:xfrm>
        <a:prstGeom prst="rect">
          <a:avLst/>
        </a:prstGeom>
        <a:solidFill>
          <a:schemeClr val="accent6">
            <a:lumMod val="60000"/>
            <a:lumOff val="40000"/>
          </a:schemeClr>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solidFill>
                <a:sysClr val="windowText" lastClr="000000"/>
              </a:solidFill>
            </a:rPr>
            <a:t>System Costs</a:t>
          </a:r>
        </a:p>
      </xdr:txBody>
    </xdr:sp>
    <xdr:clientData/>
  </xdr:twoCellAnchor>
  <xdr:twoCellAnchor>
    <xdr:from>
      <xdr:col>5</xdr:col>
      <xdr:colOff>257174</xdr:colOff>
      <xdr:row>0</xdr:row>
      <xdr:rowOff>28575</xdr:rowOff>
    </xdr:from>
    <xdr:to>
      <xdr:col>9</xdr:col>
      <xdr:colOff>171449</xdr:colOff>
      <xdr:row>1</xdr:row>
      <xdr:rowOff>104775</xdr:rowOff>
    </xdr:to>
    <xdr:sp macro="" textlink="">
      <xdr:nvSpPr>
        <xdr:cNvPr id="23" name="TextBox 22">
          <a:hlinkClick xmlns:r="http://schemas.openxmlformats.org/officeDocument/2006/relationships" r:id="rId20"/>
        </xdr:cNvPr>
        <xdr:cNvSpPr txBox="1"/>
      </xdr:nvSpPr>
      <xdr:spPr>
        <a:xfrm>
          <a:off x="4086224" y="28575"/>
          <a:ext cx="1285875" cy="238125"/>
        </a:xfrm>
        <a:prstGeom prst="rect">
          <a:avLst/>
        </a:prstGeom>
        <a:solidFill>
          <a:schemeClr val="accent2">
            <a:lumMod val="20000"/>
            <a:lumOff val="80000"/>
          </a:schemeClr>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Emissions</a:t>
          </a:r>
          <a:r>
            <a:rPr lang="en-ZA" sz="1000" baseline="0"/>
            <a:t> etc</a:t>
          </a:r>
          <a:endParaRPr lang="en-ZA" sz="1000"/>
        </a:p>
      </xdr:txBody>
    </xdr:sp>
    <xdr:clientData/>
  </xdr:twoCellAnchor>
  <xdr:twoCellAnchor>
    <xdr:from>
      <xdr:col>0</xdr:col>
      <xdr:colOff>838200</xdr:colOff>
      <xdr:row>59</xdr:row>
      <xdr:rowOff>0</xdr:rowOff>
    </xdr:from>
    <xdr:to>
      <xdr:col>0</xdr:col>
      <xdr:colOff>1885950</xdr:colOff>
      <xdr:row>60</xdr:row>
      <xdr:rowOff>76200</xdr:rowOff>
    </xdr:to>
    <xdr:sp macro="" textlink="">
      <xdr:nvSpPr>
        <xdr:cNvPr id="26" name="TextBox 25">
          <a:hlinkClick xmlns:r="http://schemas.openxmlformats.org/officeDocument/2006/relationships" r:id="rId21"/>
        </xdr:cNvPr>
        <xdr:cNvSpPr txBox="1"/>
      </xdr:nvSpPr>
      <xdr:spPr>
        <a:xfrm>
          <a:off x="838200" y="9925050"/>
          <a:ext cx="1047750" cy="238125"/>
        </a:xfrm>
        <a:prstGeom prst="rect">
          <a:avLst/>
        </a:prstGeom>
        <a:solidFill>
          <a:schemeClr val="accent1">
            <a:lumMod val="20000"/>
            <a:lumOff val="80000"/>
          </a:schemeClr>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Levelised Costs</a:t>
          </a:r>
        </a:p>
      </xdr:txBody>
    </xdr:sp>
    <xdr:clientData/>
  </xdr:twoCellAnchor>
  <xdr:twoCellAnchor>
    <xdr:from>
      <xdr:col>0</xdr:col>
      <xdr:colOff>1933575</xdr:colOff>
      <xdr:row>59</xdr:row>
      <xdr:rowOff>0</xdr:rowOff>
    </xdr:from>
    <xdr:to>
      <xdr:col>2</xdr:col>
      <xdr:colOff>285750</xdr:colOff>
      <xdr:row>60</xdr:row>
      <xdr:rowOff>76200</xdr:rowOff>
    </xdr:to>
    <xdr:sp macro="" textlink="">
      <xdr:nvSpPr>
        <xdr:cNvPr id="27" name="TextBox 26">
          <a:hlinkClick xmlns:r="http://schemas.openxmlformats.org/officeDocument/2006/relationships" r:id="rId22"/>
        </xdr:cNvPr>
        <xdr:cNvSpPr txBox="1"/>
      </xdr:nvSpPr>
      <xdr:spPr>
        <a:xfrm>
          <a:off x="1933575" y="9925050"/>
          <a:ext cx="1152525" cy="238125"/>
        </a:xfrm>
        <a:prstGeom prst="rect">
          <a:avLst/>
        </a:prstGeom>
        <a:solidFill>
          <a:schemeClr val="accent3">
            <a:lumMod val="75000"/>
          </a:schemeClr>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pPr algn="ctr"/>
          <a:r>
            <a:rPr lang="en-ZA" sz="1000">
              <a:solidFill>
                <a:schemeClr val="bg1"/>
              </a:solidFill>
            </a:rPr>
            <a:t>Investment Plan</a:t>
          </a:r>
        </a:p>
      </xdr:txBody>
    </xdr:sp>
    <xdr:clientData/>
  </xdr:twoCellAnchor>
  <xdr:twoCellAnchor>
    <xdr:from>
      <xdr:col>2</xdr:col>
      <xdr:colOff>333375</xdr:colOff>
      <xdr:row>59</xdr:row>
      <xdr:rowOff>0</xdr:rowOff>
    </xdr:from>
    <xdr:to>
      <xdr:col>5</xdr:col>
      <xdr:colOff>219075</xdr:colOff>
      <xdr:row>60</xdr:row>
      <xdr:rowOff>76200</xdr:rowOff>
    </xdr:to>
    <xdr:sp macro="" textlink="">
      <xdr:nvSpPr>
        <xdr:cNvPr id="28" name="TextBox 27">
          <a:hlinkClick xmlns:r="http://schemas.openxmlformats.org/officeDocument/2006/relationships" r:id="rId23"/>
        </xdr:cNvPr>
        <xdr:cNvSpPr txBox="1"/>
      </xdr:nvSpPr>
      <xdr:spPr>
        <a:xfrm>
          <a:off x="3133725" y="9925050"/>
          <a:ext cx="914400" cy="238125"/>
        </a:xfrm>
        <a:prstGeom prst="rect">
          <a:avLst/>
        </a:prstGeom>
        <a:solidFill>
          <a:schemeClr val="accent6">
            <a:lumMod val="60000"/>
            <a:lumOff val="40000"/>
          </a:schemeClr>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solidFill>
                <a:sysClr val="windowText" lastClr="000000"/>
              </a:solidFill>
            </a:rPr>
            <a:t>System Costs</a:t>
          </a:r>
        </a:p>
      </xdr:txBody>
    </xdr:sp>
    <xdr:clientData/>
  </xdr:twoCellAnchor>
  <xdr:twoCellAnchor>
    <xdr:from>
      <xdr:col>5</xdr:col>
      <xdr:colOff>266699</xdr:colOff>
      <xdr:row>59</xdr:row>
      <xdr:rowOff>0</xdr:rowOff>
    </xdr:from>
    <xdr:to>
      <xdr:col>9</xdr:col>
      <xdr:colOff>180974</xdr:colOff>
      <xdr:row>60</xdr:row>
      <xdr:rowOff>76200</xdr:rowOff>
    </xdr:to>
    <xdr:sp macro="" textlink="">
      <xdr:nvSpPr>
        <xdr:cNvPr id="29" name="TextBox 28">
          <a:hlinkClick xmlns:r="http://schemas.openxmlformats.org/officeDocument/2006/relationships" r:id="rId24"/>
        </xdr:cNvPr>
        <xdr:cNvSpPr txBox="1"/>
      </xdr:nvSpPr>
      <xdr:spPr>
        <a:xfrm>
          <a:off x="4095749" y="9925050"/>
          <a:ext cx="1285875" cy="238125"/>
        </a:xfrm>
        <a:prstGeom prst="rect">
          <a:avLst/>
        </a:prstGeom>
        <a:solidFill>
          <a:schemeClr val="accent2">
            <a:lumMod val="20000"/>
            <a:lumOff val="80000"/>
          </a:schemeClr>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Emissions</a:t>
          </a:r>
          <a:r>
            <a:rPr lang="en-ZA" sz="1000" baseline="0"/>
            <a:t> etc</a:t>
          </a:r>
          <a:endParaRPr lang="en-ZA" sz="1000"/>
        </a:p>
      </xdr:txBody>
    </xdr:sp>
    <xdr:clientData/>
  </xdr:twoCellAnchor>
  <xdr:twoCellAnchor>
    <xdr:from>
      <xdr:col>0</xdr:col>
      <xdr:colOff>838200</xdr:colOff>
      <xdr:row>119</xdr:row>
      <xdr:rowOff>28575</xdr:rowOff>
    </xdr:from>
    <xdr:to>
      <xdr:col>0</xdr:col>
      <xdr:colOff>1885950</xdr:colOff>
      <xdr:row>120</xdr:row>
      <xdr:rowOff>104775</xdr:rowOff>
    </xdr:to>
    <xdr:sp macro="" textlink="">
      <xdr:nvSpPr>
        <xdr:cNvPr id="30" name="TextBox 29">
          <a:hlinkClick xmlns:r="http://schemas.openxmlformats.org/officeDocument/2006/relationships" r:id="rId25"/>
        </xdr:cNvPr>
        <xdr:cNvSpPr txBox="1"/>
      </xdr:nvSpPr>
      <xdr:spPr>
        <a:xfrm>
          <a:off x="838200" y="20059650"/>
          <a:ext cx="1047750" cy="238125"/>
        </a:xfrm>
        <a:prstGeom prst="rect">
          <a:avLst/>
        </a:prstGeom>
        <a:solidFill>
          <a:schemeClr val="accent1">
            <a:lumMod val="20000"/>
            <a:lumOff val="80000"/>
          </a:schemeClr>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Levelised Costs</a:t>
          </a:r>
        </a:p>
      </xdr:txBody>
    </xdr:sp>
    <xdr:clientData/>
  </xdr:twoCellAnchor>
  <xdr:twoCellAnchor>
    <xdr:from>
      <xdr:col>0</xdr:col>
      <xdr:colOff>1933575</xdr:colOff>
      <xdr:row>119</xdr:row>
      <xdr:rowOff>28575</xdr:rowOff>
    </xdr:from>
    <xdr:to>
      <xdr:col>2</xdr:col>
      <xdr:colOff>285750</xdr:colOff>
      <xdr:row>120</xdr:row>
      <xdr:rowOff>104775</xdr:rowOff>
    </xdr:to>
    <xdr:sp macro="" textlink="">
      <xdr:nvSpPr>
        <xdr:cNvPr id="31" name="TextBox 30">
          <a:hlinkClick xmlns:r="http://schemas.openxmlformats.org/officeDocument/2006/relationships" r:id="rId26"/>
        </xdr:cNvPr>
        <xdr:cNvSpPr txBox="1"/>
      </xdr:nvSpPr>
      <xdr:spPr>
        <a:xfrm>
          <a:off x="1933575" y="20059650"/>
          <a:ext cx="1152525" cy="238125"/>
        </a:xfrm>
        <a:prstGeom prst="rect">
          <a:avLst/>
        </a:prstGeom>
        <a:solidFill>
          <a:schemeClr val="accent3">
            <a:lumMod val="75000"/>
          </a:schemeClr>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pPr algn="ctr"/>
          <a:r>
            <a:rPr lang="en-ZA" sz="1000">
              <a:solidFill>
                <a:schemeClr val="bg1"/>
              </a:solidFill>
            </a:rPr>
            <a:t>Investment Plan</a:t>
          </a:r>
        </a:p>
      </xdr:txBody>
    </xdr:sp>
    <xdr:clientData/>
  </xdr:twoCellAnchor>
  <xdr:twoCellAnchor>
    <xdr:from>
      <xdr:col>2</xdr:col>
      <xdr:colOff>333375</xdr:colOff>
      <xdr:row>119</xdr:row>
      <xdr:rowOff>28575</xdr:rowOff>
    </xdr:from>
    <xdr:to>
      <xdr:col>5</xdr:col>
      <xdr:colOff>219075</xdr:colOff>
      <xdr:row>120</xdr:row>
      <xdr:rowOff>104775</xdr:rowOff>
    </xdr:to>
    <xdr:sp macro="" textlink="">
      <xdr:nvSpPr>
        <xdr:cNvPr id="32" name="TextBox 31">
          <a:hlinkClick xmlns:r="http://schemas.openxmlformats.org/officeDocument/2006/relationships" r:id="rId27"/>
        </xdr:cNvPr>
        <xdr:cNvSpPr txBox="1"/>
      </xdr:nvSpPr>
      <xdr:spPr>
        <a:xfrm>
          <a:off x="3133725" y="20059650"/>
          <a:ext cx="914400" cy="238125"/>
        </a:xfrm>
        <a:prstGeom prst="rect">
          <a:avLst/>
        </a:prstGeom>
        <a:solidFill>
          <a:schemeClr val="accent6">
            <a:lumMod val="60000"/>
            <a:lumOff val="40000"/>
          </a:schemeClr>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solidFill>
                <a:sysClr val="windowText" lastClr="000000"/>
              </a:solidFill>
            </a:rPr>
            <a:t>System Costs</a:t>
          </a:r>
        </a:p>
      </xdr:txBody>
    </xdr:sp>
    <xdr:clientData/>
  </xdr:twoCellAnchor>
  <xdr:twoCellAnchor>
    <xdr:from>
      <xdr:col>5</xdr:col>
      <xdr:colOff>266699</xdr:colOff>
      <xdr:row>119</xdr:row>
      <xdr:rowOff>28575</xdr:rowOff>
    </xdr:from>
    <xdr:to>
      <xdr:col>9</xdr:col>
      <xdr:colOff>180974</xdr:colOff>
      <xdr:row>120</xdr:row>
      <xdr:rowOff>104775</xdr:rowOff>
    </xdr:to>
    <xdr:sp macro="" textlink="">
      <xdr:nvSpPr>
        <xdr:cNvPr id="33" name="TextBox 32">
          <a:hlinkClick xmlns:r="http://schemas.openxmlformats.org/officeDocument/2006/relationships" r:id="rId28"/>
        </xdr:cNvPr>
        <xdr:cNvSpPr txBox="1"/>
      </xdr:nvSpPr>
      <xdr:spPr>
        <a:xfrm>
          <a:off x="4095749" y="20059650"/>
          <a:ext cx="1285875" cy="238125"/>
        </a:xfrm>
        <a:prstGeom prst="rect">
          <a:avLst/>
        </a:prstGeom>
        <a:solidFill>
          <a:schemeClr val="accent2">
            <a:lumMod val="20000"/>
            <a:lumOff val="80000"/>
          </a:schemeClr>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Emissions</a:t>
          </a:r>
          <a:r>
            <a:rPr lang="en-ZA" sz="1000" baseline="0"/>
            <a:t> etc</a:t>
          </a:r>
          <a:endParaRPr lang="en-ZA" sz="1000"/>
        </a:p>
      </xdr:txBody>
    </xdr:sp>
    <xdr:clientData/>
  </xdr:twoCellAnchor>
  <xdr:twoCellAnchor editAs="absolute">
    <xdr:from>
      <xdr:col>0</xdr:col>
      <xdr:colOff>0</xdr:colOff>
      <xdr:row>59</xdr:row>
      <xdr:rowOff>0</xdr:rowOff>
    </xdr:from>
    <xdr:to>
      <xdr:col>0</xdr:col>
      <xdr:colOff>790575</xdr:colOff>
      <xdr:row>60</xdr:row>
      <xdr:rowOff>76200</xdr:rowOff>
    </xdr:to>
    <xdr:sp macro="" textlink="">
      <xdr:nvSpPr>
        <xdr:cNvPr id="34" name="TextBox 33">
          <a:hlinkClick xmlns:r="http://schemas.openxmlformats.org/officeDocument/2006/relationships" r:id="rId29"/>
        </xdr:cNvPr>
        <xdr:cNvSpPr txBox="1"/>
      </xdr:nvSpPr>
      <xdr:spPr>
        <a:xfrm>
          <a:off x="0" y="9925050"/>
          <a:ext cx="790575" cy="238125"/>
        </a:xfrm>
        <a:prstGeom prst="rect">
          <a:avLst/>
        </a:prstGeom>
        <a:solidFill>
          <a:srgbClr val="FFFF00"/>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Main</a:t>
          </a:r>
          <a:r>
            <a:rPr lang="en-ZA" sz="1000" baseline="0"/>
            <a:t> menu</a:t>
          </a:r>
          <a:endParaRPr lang="en-ZA" sz="1000"/>
        </a:p>
      </xdr:txBody>
    </xdr:sp>
    <xdr:clientData/>
  </xdr:twoCellAnchor>
  <xdr:twoCellAnchor editAs="absolute">
    <xdr:from>
      <xdr:col>0</xdr:col>
      <xdr:colOff>28575</xdr:colOff>
      <xdr:row>60</xdr:row>
      <xdr:rowOff>123825</xdr:rowOff>
    </xdr:from>
    <xdr:to>
      <xdr:col>0</xdr:col>
      <xdr:colOff>438150</xdr:colOff>
      <xdr:row>62</xdr:row>
      <xdr:rowOff>38100</xdr:rowOff>
    </xdr:to>
    <xdr:sp macro="" textlink="">
      <xdr:nvSpPr>
        <xdr:cNvPr id="35" name="TextBox 34">
          <a:hlinkClick xmlns:r="http://schemas.openxmlformats.org/officeDocument/2006/relationships" r:id="rId30"/>
        </xdr:cNvPr>
        <xdr:cNvSpPr txBox="1"/>
      </xdr:nvSpPr>
      <xdr:spPr>
        <a:xfrm>
          <a:off x="28575" y="10210800"/>
          <a:ext cx="409575" cy="238125"/>
        </a:xfrm>
        <a:prstGeom prst="rect">
          <a:avLst/>
        </a:prstGeom>
        <a:solidFill>
          <a:srgbClr val="FFC000"/>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Ref</a:t>
          </a:r>
        </a:p>
      </xdr:txBody>
    </xdr:sp>
    <xdr:clientData/>
  </xdr:twoCellAnchor>
  <xdr:twoCellAnchor editAs="absolute">
    <xdr:from>
      <xdr:col>0</xdr:col>
      <xdr:colOff>1019175</xdr:colOff>
      <xdr:row>60</xdr:row>
      <xdr:rowOff>123825</xdr:rowOff>
    </xdr:from>
    <xdr:to>
      <xdr:col>0</xdr:col>
      <xdr:colOff>1552574</xdr:colOff>
      <xdr:row>62</xdr:row>
      <xdr:rowOff>38100</xdr:rowOff>
    </xdr:to>
    <xdr:sp macro="[0]!elec_comparison_button" textlink="">
      <xdr:nvSpPr>
        <xdr:cNvPr id="36" name="TextBox 35"/>
        <xdr:cNvSpPr txBox="1"/>
      </xdr:nvSpPr>
      <xdr:spPr>
        <a:xfrm>
          <a:off x="1019175" y="10210800"/>
          <a:ext cx="533399" cy="238125"/>
        </a:xfrm>
        <a:prstGeom prst="rect">
          <a:avLst/>
        </a:prstGeom>
        <a:solidFill>
          <a:srgbClr val="FFC000"/>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Comp</a:t>
          </a:r>
        </a:p>
      </xdr:txBody>
    </xdr:sp>
    <xdr:clientData/>
  </xdr:twoCellAnchor>
  <xdr:twoCellAnchor editAs="absolute">
    <xdr:from>
      <xdr:col>0</xdr:col>
      <xdr:colOff>485776</xdr:colOff>
      <xdr:row>60</xdr:row>
      <xdr:rowOff>123825</xdr:rowOff>
    </xdr:from>
    <xdr:to>
      <xdr:col>0</xdr:col>
      <xdr:colOff>971550</xdr:colOff>
      <xdr:row>62</xdr:row>
      <xdr:rowOff>38100</xdr:rowOff>
    </xdr:to>
    <xdr:sp macro="[0]!elec_scenario_button" textlink="">
      <xdr:nvSpPr>
        <xdr:cNvPr id="37" name="TextBox 36"/>
        <xdr:cNvSpPr txBox="1"/>
      </xdr:nvSpPr>
      <xdr:spPr>
        <a:xfrm>
          <a:off x="485776" y="10210800"/>
          <a:ext cx="485774" cy="238125"/>
        </a:xfrm>
        <a:prstGeom prst="rect">
          <a:avLst/>
        </a:prstGeom>
        <a:solidFill>
          <a:srgbClr val="FFC000"/>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Scen</a:t>
          </a:r>
        </a:p>
      </xdr:txBody>
    </xdr:sp>
    <xdr:clientData/>
  </xdr:twoCellAnchor>
  <xdr:twoCellAnchor editAs="absolute">
    <xdr:from>
      <xdr:col>0</xdr:col>
      <xdr:colOff>19050</xdr:colOff>
      <xdr:row>120</xdr:row>
      <xdr:rowOff>142875</xdr:rowOff>
    </xdr:from>
    <xdr:to>
      <xdr:col>0</xdr:col>
      <xdr:colOff>428625</xdr:colOff>
      <xdr:row>122</xdr:row>
      <xdr:rowOff>57150</xdr:rowOff>
    </xdr:to>
    <xdr:sp macro="" textlink="">
      <xdr:nvSpPr>
        <xdr:cNvPr id="38" name="TextBox 37">
          <a:hlinkClick xmlns:r="http://schemas.openxmlformats.org/officeDocument/2006/relationships" r:id="rId31"/>
        </xdr:cNvPr>
        <xdr:cNvSpPr txBox="1"/>
      </xdr:nvSpPr>
      <xdr:spPr>
        <a:xfrm>
          <a:off x="19050" y="20335875"/>
          <a:ext cx="409575" cy="238125"/>
        </a:xfrm>
        <a:prstGeom prst="rect">
          <a:avLst/>
        </a:prstGeom>
        <a:solidFill>
          <a:srgbClr val="FFC000"/>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Ref</a:t>
          </a:r>
        </a:p>
      </xdr:txBody>
    </xdr:sp>
    <xdr:clientData/>
  </xdr:twoCellAnchor>
  <xdr:twoCellAnchor editAs="absolute">
    <xdr:from>
      <xdr:col>0</xdr:col>
      <xdr:colOff>1009650</xdr:colOff>
      <xdr:row>120</xdr:row>
      <xdr:rowOff>142875</xdr:rowOff>
    </xdr:from>
    <xdr:to>
      <xdr:col>0</xdr:col>
      <xdr:colOff>1543049</xdr:colOff>
      <xdr:row>122</xdr:row>
      <xdr:rowOff>57150</xdr:rowOff>
    </xdr:to>
    <xdr:sp macro="[0]!elec_comparison_button" textlink="">
      <xdr:nvSpPr>
        <xdr:cNvPr id="39" name="TextBox 38"/>
        <xdr:cNvSpPr txBox="1"/>
      </xdr:nvSpPr>
      <xdr:spPr>
        <a:xfrm>
          <a:off x="1009650" y="20335875"/>
          <a:ext cx="533399" cy="238125"/>
        </a:xfrm>
        <a:prstGeom prst="rect">
          <a:avLst/>
        </a:prstGeom>
        <a:solidFill>
          <a:srgbClr val="FFC000"/>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Comp</a:t>
          </a:r>
        </a:p>
      </xdr:txBody>
    </xdr:sp>
    <xdr:clientData/>
  </xdr:twoCellAnchor>
  <xdr:twoCellAnchor editAs="absolute">
    <xdr:from>
      <xdr:col>0</xdr:col>
      <xdr:colOff>476251</xdr:colOff>
      <xdr:row>120</xdr:row>
      <xdr:rowOff>142875</xdr:rowOff>
    </xdr:from>
    <xdr:to>
      <xdr:col>0</xdr:col>
      <xdr:colOff>962025</xdr:colOff>
      <xdr:row>122</xdr:row>
      <xdr:rowOff>57150</xdr:rowOff>
    </xdr:to>
    <xdr:sp macro="[0]!elec_scenario_button" textlink="">
      <xdr:nvSpPr>
        <xdr:cNvPr id="40" name="TextBox 39"/>
        <xdr:cNvSpPr txBox="1"/>
      </xdr:nvSpPr>
      <xdr:spPr>
        <a:xfrm>
          <a:off x="476251" y="20335875"/>
          <a:ext cx="485774" cy="238125"/>
        </a:xfrm>
        <a:prstGeom prst="rect">
          <a:avLst/>
        </a:prstGeom>
        <a:solidFill>
          <a:srgbClr val="FFC000"/>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Scen</a:t>
          </a:r>
        </a:p>
      </xdr:txBody>
    </xdr:sp>
    <xdr:clientData/>
  </xdr:twoCellAnchor>
  <xdr:twoCellAnchor editAs="absolute">
    <xdr:from>
      <xdr:col>0</xdr:col>
      <xdr:colOff>0</xdr:colOff>
      <xdr:row>119</xdr:row>
      <xdr:rowOff>28575</xdr:rowOff>
    </xdr:from>
    <xdr:to>
      <xdr:col>0</xdr:col>
      <xdr:colOff>790575</xdr:colOff>
      <xdr:row>120</xdr:row>
      <xdr:rowOff>104775</xdr:rowOff>
    </xdr:to>
    <xdr:sp macro="" textlink="">
      <xdr:nvSpPr>
        <xdr:cNvPr id="41" name="TextBox 40">
          <a:hlinkClick xmlns:r="http://schemas.openxmlformats.org/officeDocument/2006/relationships" r:id="rId32"/>
        </xdr:cNvPr>
        <xdr:cNvSpPr txBox="1"/>
      </xdr:nvSpPr>
      <xdr:spPr>
        <a:xfrm>
          <a:off x="0" y="20059650"/>
          <a:ext cx="790575" cy="238125"/>
        </a:xfrm>
        <a:prstGeom prst="rect">
          <a:avLst/>
        </a:prstGeom>
        <a:solidFill>
          <a:srgbClr val="FFFF00"/>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Main</a:t>
          </a:r>
          <a:r>
            <a:rPr lang="en-ZA" sz="1000" baseline="0"/>
            <a:t> menu</a:t>
          </a:r>
          <a:endParaRPr lang="en-ZA" sz="1000"/>
        </a:p>
      </xdr:txBody>
    </xdr:sp>
    <xdr:clientData/>
  </xdr:twoCellAnchor>
  <xdr:twoCellAnchor>
    <xdr:from>
      <xdr:col>24</xdr:col>
      <xdr:colOff>28574</xdr:colOff>
      <xdr:row>9</xdr:row>
      <xdr:rowOff>142875</xdr:rowOff>
    </xdr:from>
    <xdr:to>
      <xdr:col>28</xdr:col>
      <xdr:colOff>552449</xdr:colOff>
      <xdr:row>26</xdr:row>
      <xdr:rowOff>133350</xdr:rowOff>
    </xdr:to>
    <xdr:graphicFrame macro="">
      <xdr:nvGraphicFramePr>
        <xdr:cNvPr id="42" name="Chart 4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3"/>
        </a:graphicData>
      </a:graphic>
    </xdr:graphicFrame>
    <xdr:clientData/>
  </xdr:twoCellAnchor>
  <xdr:twoCellAnchor>
    <xdr:from>
      <xdr:col>24</xdr:col>
      <xdr:colOff>28575</xdr:colOff>
      <xdr:row>68</xdr:row>
      <xdr:rowOff>161924</xdr:rowOff>
    </xdr:from>
    <xdr:to>
      <xdr:col>28</xdr:col>
      <xdr:colOff>561975</xdr:colOff>
      <xdr:row>86</xdr:row>
      <xdr:rowOff>57149</xdr:rowOff>
    </xdr:to>
    <xdr:graphicFrame macro="">
      <xdr:nvGraphicFramePr>
        <xdr:cNvPr id="48" name="Chart 4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4"/>
        </a:graphicData>
      </a:graphic>
    </xdr:graphicFrame>
    <xdr:clientData/>
  </xdr:twoCellAnchor>
  <xdr:twoCellAnchor>
    <xdr:from>
      <xdr:col>45</xdr:col>
      <xdr:colOff>561976</xdr:colOff>
      <xdr:row>126</xdr:row>
      <xdr:rowOff>95249</xdr:rowOff>
    </xdr:from>
    <xdr:to>
      <xdr:col>52</xdr:col>
      <xdr:colOff>371476</xdr:colOff>
      <xdr:row>149</xdr:row>
      <xdr:rowOff>95249</xdr:rowOff>
    </xdr:to>
    <xdr:graphicFrame macro="">
      <xdr:nvGraphicFramePr>
        <xdr:cNvPr id="43" name="Chart 4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5"/>
        </a:graphicData>
      </a:graphic>
    </xdr:graphicFrame>
    <xdr:clientData/>
  </xdr:twoCellAnchor>
  <xdr:twoCellAnchor>
    <xdr:from>
      <xdr:col>53</xdr:col>
      <xdr:colOff>0</xdr:colOff>
      <xdr:row>126</xdr:row>
      <xdr:rowOff>152400</xdr:rowOff>
    </xdr:from>
    <xdr:to>
      <xdr:col>59</xdr:col>
      <xdr:colOff>104775</xdr:colOff>
      <xdr:row>149</xdr:row>
      <xdr:rowOff>47625</xdr:rowOff>
    </xdr:to>
    <xdr:graphicFrame macro="">
      <xdr:nvGraphicFramePr>
        <xdr:cNvPr id="44" name="Chart 4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6"/>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0</xdr:row>
      <xdr:rowOff>38100</xdr:rowOff>
    </xdr:from>
    <xdr:to>
      <xdr:col>1</xdr:col>
      <xdr:colOff>180975</xdr:colOff>
      <xdr:row>1</xdr:row>
      <xdr:rowOff>114300</xdr:rowOff>
    </xdr:to>
    <xdr:sp macro="" textlink="">
      <xdr:nvSpPr>
        <xdr:cNvPr id="2" name="TextBox 1">
          <a:hlinkClick xmlns:r="http://schemas.openxmlformats.org/officeDocument/2006/relationships" r:id="rId1"/>
        </xdr:cNvPr>
        <xdr:cNvSpPr txBox="1"/>
      </xdr:nvSpPr>
      <xdr:spPr>
        <a:xfrm>
          <a:off x="0" y="38100"/>
          <a:ext cx="1200150" cy="238125"/>
        </a:xfrm>
        <a:prstGeom prst="rect">
          <a:avLst/>
        </a:prstGeom>
        <a:solidFill>
          <a:srgbClr val="FFFF00"/>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Main</a:t>
          </a:r>
          <a:r>
            <a:rPr lang="en-ZA" sz="1000" baseline="0"/>
            <a:t> menu</a:t>
          </a:r>
          <a:endParaRPr lang="en-ZA" sz="1000"/>
        </a:p>
      </xdr:txBody>
    </xdr:sp>
    <xdr:clientData/>
  </xdr:twoCellAnchor>
  <xdr:twoCellAnchor>
    <xdr:from>
      <xdr:col>0</xdr:col>
      <xdr:colOff>0</xdr:colOff>
      <xdr:row>60</xdr:row>
      <xdr:rowOff>0</xdr:rowOff>
    </xdr:from>
    <xdr:to>
      <xdr:col>1</xdr:col>
      <xdr:colOff>180975</xdr:colOff>
      <xdr:row>61</xdr:row>
      <xdr:rowOff>76200</xdr:rowOff>
    </xdr:to>
    <xdr:sp macro="" textlink="">
      <xdr:nvSpPr>
        <xdr:cNvPr id="12" name="TextBox 11">
          <a:hlinkClick xmlns:r="http://schemas.openxmlformats.org/officeDocument/2006/relationships" r:id="rId2"/>
        </xdr:cNvPr>
        <xdr:cNvSpPr txBox="1"/>
      </xdr:nvSpPr>
      <xdr:spPr>
        <a:xfrm>
          <a:off x="0" y="9553575"/>
          <a:ext cx="790575" cy="238125"/>
        </a:xfrm>
        <a:prstGeom prst="rect">
          <a:avLst/>
        </a:prstGeom>
        <a:solidFill>
          <a:srgbClr val="FFFF00"/>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Main</a:t>
          </a:r>
          <a:r>
            <a:rPr lang="en-ZA" sz="1000" baseline="0"/>
            <a:t> menu</a:t>
          </a:r>
          <a:endParaRPr lang="en-ZA" sz="1000"/>
        </a:p>
      </xdr:txBody>
    </xdr:sp>
    <xdr:clientData/>
  </xdr:twoCellAnchor>
  <xdr:twoCellAnchor>
    <xdr:from>
      <xdr:col>1</xdr:col>
      <xdr:colOff>219075</xdr:colOff>
      <xdr:row>60</xdr:row>
      <xdr:rowOff>0</xdr:rowOff>
    </xdr:from>
    <xdr:to>
      <xdr:col>4</xdr:col>
      <xdr:colOff>295275</xdr:colOff>
      <xdr:row>61</xdr:row>
      <xdr:rowOff>76200</xdr:rowOff>
    </xdr:to>
    <xdr:sp macro="" textlink="">
      <xdr:nvSpPr>
        <xdr:cNvPr id="13" name="TextBox 12">
          <a:hlinkClick xmlns:r="http://schemas.openxmlformats.org/officeDocument/2006/relationships" r:id="rId3"/>
        </xdr:cNvPr>
        <xdr:cNvSpPr txBox="1"/>
      </xdr:nvSpPr>
      <xdr:spPr>
        <a:xfrm>
          <a:off x="1238250" y="9820275"/>
          <a:ext cx="1047750" cy="238125"/>
        </a:xfrm>
        <a:prstGeom prst="rect">
          <a:avLst/>
        </a:prstGeom>
        <a:solidFill>
          <a:schemeClr val="accent1">
            <a:lumMod val="20000"/>
            <a:lumOff val="80000"/>
          </a:schemeClr>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Levelised Costs</a:t>
          </a:r>
        </a:p>
      </xdr:txBody>
    </xdr:sp>
    <xdr:clientData/>
  </xdr:twoCellAnchor>
  <xdr:twoCellAnchor>
    <xdr:from>
      <xdr:col>5</xdr:col>
      <xdr:colOff>19050</xdr:colOff>
      <xdr:row>60</xdr:row>
      <xdr:rowOff>0</xdr:rowOff>
    </xdr:from>
    <xdr:to>
      <xdr:col>8</xdr:col>
      <xdr:colOff>200025</xdr:colOff>
      <xdr:row>61</xdr:row>
      <xdr:rowOff>76200</xdr:rowOff>
    </xdr:to>
    <xdr:sp macro="" textlink="">
      <xdr:nvSpPr>
        <xdr:cNvPr id="14" name="TextBox 13">
          <a:hlinkClick xmlns:r="http://schemas.openxmlformats.org/officeDocument/2006/relationships" r:id="rId4"/>
        </xdr:cNvPr>
        <xdr:cNvSpPr txBox="1"/>
      </xdr:nvSpPr>
      <xdr:spPr>
        <a:xfrm>
          <a:off x="2333625" y="9820275"/>
          <a:ext cx="1152525" cy="238125"/>
        </a:xfrm>
        <a:prstGeom prst="rect">
          <a:avLst/>
        </a:prstGeom>
        <a:solidFill>
          <a:schemeClr val="accent3">
            <a:lumMod val="75000"/>
          </a:schemeClr>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pPr algn="ctr"/>
          <a:r>
            <a:rPr lang="en-ZA" sz="1000">
              <a:solidFill>
                <a:schemeClr val="bg1"/>
              </a:solidFill>
            </a:rPr>
            <a:t>Investment Plan</a:t>
          </a:r>
        </a:p>
      </xdr:txBody>
    </xdr:sp>
    <xdr:clientData/>
  </xdr:twoCellAnchor>
  <xdr:twoCellAnchor>
    <xdr:from>
      <xdr:col>8</xdr:col>
      <xdr:colOff>247650</xdr:colOff>
      <xdr:row>60</xdr:row>
      <xdr:rowOff>0</xdr:rowOff>
    </xdr:from>
    <xdr:to>
      <xdr:col>11</xdr:col>
      <xdr:colOff>190500</xdr:colOff>
      <xdr:row>61</xdr:row>
      <xdr:rowOff>76200</xdr:rowOff>
    </xdr:to>
    <xdr:sp macro="" textlink="">
      <xdr:nvSpPr>
        <xdr:cNvPr id="16" name="TextBox 15">
          <a:hlinkClick xmlns:r="http://schemas.openxmlformats.org/officeDocument/2006/relationships" r:id="rId5"/>
        </xdr:cNvPr>
        <xdr:cNvSpPr txBox="1"/>
      </xdr:nvSpPr>
      <xdr:spPr>
        <a:xfrm>
          <a:off x="3533775" y="9820275"/>
          <a:ext cx="914400" cy="238125"/>
        </a:xfrm>
        <a:prstGeom prst="rect">
          <a:avLst/>
        </a:prstGeom>
        <a:solidFill>
          <a:schemeClr val="accent6">
            <a:lumMod val="60000"/>
            <a:lumOff val="40000"/>
          </a:schemeClr>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solidFill>
                <a:sysClr val="windowText" lastClr="000000"/>
              </a:solidFill>
            </a:rPr>
            <a:t>System Costs</a:t>
          </a:r>
        </a:p>
      </xdr:txBody>
    </xdr:sp>
    <xdr:clientData/>
  </xdr:twoCellAnchor>
  <xdr:twoCellAnchor>
    <xdr:from>
      <xdr:col>11</xdr:col>
      <xdr:colOff>238124</xdr:colOff>
      <xdr:row>60</xdr:row>
      <xdr:rowOff>0</xdr:rowOff>
    </xdr:from>
    <xdr:to>
      <xdr:col>15</xdr:col>
      <xdr:colOff>228599</xdr:colOff>
      <xdr:row>61</xdr:row>
      <xdr:rowOff>76200</xdr:rowOff>
    </xdr:to>
    <xdr:sp macro="" textlink="">
      <xdr:nvSpPr>
        <xdr:cNvPr id="17" name="TextBox 16">
          <a:hlinkClick xmlns:r="http://schemas.openxmlformats.org/officeDocument/2006/relationships" r:id="rId6"/>
        </xdr:cNvPr>
        <xdr:cNvSpPr txBox="1"/>
      </xdr:nvSpPr>
      <xdr:spPr>
        <a:xfrm>
          <a:off x="4495799" y="9820275"/>
          <a:ext cx="1285875" cy="238125"/>
        </a:xfrm>
        <a:prstGeom prst="rect">
          <a:avLst/>
        </a:prstGeom>
        <a:solidFill>
          <a:schemeClr val="accent2">
            <a:lumMod val="20000"/>
            <a:lumOff val="80000"/>
          </a:schemeClr>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Emissions</a:t>
          </a:r>
          <a:r>
            <a:rPr lang="en-ZA" sz="1000" baseline="0"/>
            <a:t> etc</a:t>
          </a:r>
          <a:endParaRPr lang="en-ZA" sz="1000"/>
        </a:p>
      </xdr:txBody>
    </xdr:sp>
    <xdr:clientData/>
  </xdr:twoCellAnchor>
  <xdr:twoCellAnchor>
    <xdr:from>
      <xdr:col>0</xdr:col>
      <xdr:colOff>0</xdr:colOff>
      <xdr:row>120</xdr:row>
      <xdr:rowOff>0</xdr:rowOff>
    </xdr:from>
    <xdr:to>
      <xdr:col>1</xdr:col>
      <xdr:colOff>180975</xdr:colOff>
      <xdr:row>121</xdr:row>
      <xdr:rowOff>76200</xdr:rowOff>
    </xdr:to>
    <xdr:sp macro="" textlink="">
      <xdr:nvSpPr>
        <xdr:cNvPr id="19" name="TextBox 18">
          <a:hlinkClick xmlns:r="http://schemas.openxmlformats.org/officeDocument/2006/relationships" r:id="rId7"/>
        </xdr:cNvPr>
        <xdr:cNvSpPr txBox="1"/>
      </xdr:nvSpPr>
      <xdr:spPr>
        <a:xfrm>
          <a:off x="0" y="19269075"/>
          <a:ext cx="790575" cy="238125"/>
        </a:xfrm>
        <a:prstGeom prst="rect">
          <a:avLst/>
        </a:prstGeom>
        <a:solidFill>
          <a:srgbClr val="FFFF00"/>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Main</a:t>
          </a:r>
          <a:r>
            <a:rPr lang="en-ZA" sz="1000" baseline="0"/>
            <a:t> menu</a:t>
          </a:r>
          <a:endParaRPr lang="en-ZA" sz="1000"/>
        </a:p>
      </xdr:txBody>
    </xdr:sp>
    <xdr:clientData/>
  </xdr:twoCellAnchor>
  <xdr:twoCellAnchor editAs="absolute">
    <xdr:from>
      <xdr:col>0</xdr:col>
      <xdr:colOff>0</xdr:colOff>
      <xdr:row>2</xdr:row>
      <xdr:rowOff>0</xdr:rowOff>
    </xdr:from>
    <xdr:to>
      <xdr:col>0</xdr:col>
      <xdr:colOff>409575</xdr:colOff>
      <xdr:row>3</xdr:row>
      <xdr:rowOff>76200</xdr:rowOff>
    </xdr:to>
    <xdr:sp macro="" textlink="">
      <xdr:nvSpPr>
        <xdr:cNvPr id="36" name="TextBox 35">
          <a:hlinkClick xmlns:r="http://schemas.openxmlformats.org/officeDocument/2006/relationships" r:id="rId8"/>
        </xdr:cNvPr>
        <xdr:cNvSpPr txBox="1"/>
      </xdr:nvSpPr>
      <xdr:spPr>
        <a:xfrm>
          <a:off x="0" y="323850"/>
          <a:ext cx="409575" cy="238125"/>
        </a:xfrm>
        <a:prstGeom prst="rect">
          <a:avLst/>
        </a:prstGeom>
        <a:solidFill>
          <a:srgbClr val="FFC000"/>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Ref</a:t>
          </a:r>
        </a:p>
      </xdr:txBody>
    </xdr:sp>
    <xdr:clientData/>
  </xdr:twoCellAnchor>
  <xdr:twoCellAnchor editAs="absolute">
    <xdr:from>
      <xdr:col>0</xdr:col>
      <xdr:colOff>990600</xdr:colOff>
      <xdr:row>2</xdr:row>
      <xdr:rowOff>0</xdr:rowOff>
    </xdr:from>
    <xdr:to>
      <xdr:col>2</xdr:col>
      <xdr:colOff>180974</xdr:colOff>
      <xdr:row>3</xdr:row>
      <xdr:rowOff>76200</xdr:rowOff>
    </xdr:to>
    <xdr:sp macro="[0]!costs_comparison_button" textlink="">
      <xdr:nvSpPr>
        <xdr:cNvPr id="37" name="TextBox 36"/>
        <xdr:cNvSpPr txBox="1"/>
      </xdr:nvSpPr>
      <xdr:spPr>
        <a:xfrm>
          <a:off x="990600" y="323850"/>
          <a:ext cx="533399" cy="238125"/>
        </a:xfrm>
        <a:prstGeom prst="rect">
          <a:avLst/>
        </a:prstGeom>
        <a:solidFill>
          <a:srgbClr val="FFC000"/>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Comp</a:t>
          </a:r>
        </a:p>
      </xdr:txBody>
    </xdr:sp>
    <xdr:clientData/>
  </xdr:twoCellAnchor>
  <xdr:twoCellAnchor editAs="absolute">
    <xdr:from>
      <xdr:col>0</xdr:col>
      <xdr:colOff>457201</xdr:colOff>
      <xdr:row>2</xdr:row>
      <xdr:rowOff>0</xdr:rowOff>
    </xdr:from>
    <xdr:to>
      <xdr:col>0</xdr:col>
      <xdr:colOff>942975</xdr:colOff>
      <xdr:row>3</xdr:row>
      <xdr:rowOff>76200</xdr:rowOff>
    </xdr:to>
    <xdr:sp macro="[0]!costs_scenario_button" textlink="">
      <xdr:nvSpPr>
        <xdr:cNvPr id="38" name="TextBox 37"/>
        <xdr:cNvSpPr txBox="1"/>
      </xdr:nvSpPr>
      <xdr:spPr>
        <a:xfrm>
          <a:off x="457201" y="323850"/>
          <a:ext cx="485774" cy="238125"/>
        </a:xfrm>
        <a:prstGeom prst="rect">
          <a:avLst/>
        </a:prstGeom>
        <a:solidFill>
          <a:srgbClr val="FFC000"/>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Scen</a:t>
          </a:r>
        </a:p>
      </xdr:txBody>
    </xdr:sp>
    <xdr:clientData/>
  </xdr:twoCellAnchor>
  <xdr:twoCellAnchor editAs="absolute">
    <xdr:from>
      <xdr:col>0</xdr:col>
      <xdr:colOff>9525</xdr:colOff>
      <xdr:row>61</xdr:row>
      <xdr:rowOff>152400</xdr:rowOff>
    </xdr:from>
    <xdr:to>
      <xdr:col>0</xdr:col>
      <xdr:colOff>419100</xdr:colOff>
      <xdr:row>63</xdr:row>
      <xdr:rowOff>66675</xdr:rowOff>
    </xdr:to>
    <xdr:sp macro="" textlink="">
      <xdr:nvSpPr>
        <xdr:cNvPr id="39" name="TextBox 38">
          <a:hlinkClick xmlns:r="http://schemas.openxmlformats.org/officeDocument/2006/relationships" r:id="rId9"/>
        </xdr:cNvPr>
        <xdr:cNvSpPr txBox="1"/>
      </xdr:nvSpPr>
      <xdr:spPr>
        <a:xfrm>
          <a:off x="9525" y="10134600"/>
          <a:ext cx="409575" cy="238125"/>
        </a:xfrm>
        <a:prstGeom prst="rect">
          <a:avLst/>
        </a:prstGeom>
        <a:solidFill>
          <a:srgbClr val="FFC000"/>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Ref</a:t>
          </a:r>
        </a:p>
      </xdr:txBody>
    </xdr:sp>
    <xdr:clientData/>
  </xdr:twoCellAnchor>
  <xdr:twoCellAnchor editAs="absolute">
    <xdr:from>
      <xdr:col>0</xdr:col>
      <xdr:colOff>1000125</xdr:colOff>
      <xdr:row>61</xdr:row>
      <xdr:rowOff>142875</xdr:rowOff>
    </xdr:from>
    <xdr:to>
      <xdr:col>2</xdr:col>
      <xdr:colOff>190499</xdr:colOff>
      <xdr:row>63</xdr:row>
      <xdr:rowOff>57150</xdr:rowOff>
    </xdr:to>
    <xdr:sp macro="[0]!costs_comparison_button" textlink="">
      <xdr:nvSpPr>
        <xdr:cNvPr id="40" name="TextBox 39"/>
        <xdr:cNvSpPr txBox="1"/>
      </xdr:nvSpPr>
      <xdr:spPr>
        <a:xfrm>
          <a:off x="1000125" y="10125075"/>
          <a:ext cx="533399" cy="238125"/>
        </a:xfrm>
        <a:prstGeom prst="rect">
          <a:avLst/>
        </a:prstGeom>
        <a:solidFill>
          <a:srgbClr val="FFC000"/>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Comp</a:t>
          </a:r>
        </a:p>
      </xdr:txBody>
    </xdr:sp>
    <xdr:clientData/>
  </xdr:twoCellAnchor>
  <xdr:twoCellAnchor editAs="absolute">
    <xdr:from>
      <xdr:col>0</xdr:col>
      <xdr:colOff>476251</xdr:colOff>
      <xdr:row>61</xdr:row>
      <xdr:rowOff>152400</xdr:rowOff>
    </xdr:from>
    <xdr:to>
      <xdr:col>0</xdr:col>
      <xdr:colOff>962025</xdr:colOff>
      <xdr:row>63</xdr:row>
      <xdr:rowOff>66675</xdr:rowOff>
    </xdr:to>
    <xdr:sp macro="[0]!costs_scenario_button" textlink="">
      <xdr:nvSpPr>
        <xdr:cNvPr id="41" name="TextBox 40"/>
        <xdr:cNvSpPr txBox="1"/>
      </xdr:nvSpPr>
      <xdr:spPr>
        <a:xfrm>
          <a:off x="476251" y="10134600"/>
          <a:ext cx="485774" cy="238125"/>
        </a:xfrm>
        <a:prstGeom prst="rect">
          <a:avLst/>
        </a:prstGeom>
        <a:solidFill>
          <a:srgbClr val="FFC000"/>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Scen</a:t>
          </a:r>
        </a:p>
      </xdr:txBody>
    </xdr:sp>
    <xdr:clientData/>
  </xdr:twoCellAnchor>
  <xdr:twoCellAnchor editAs="absolute">
    <xdr:from>
      <xdr:col>0</xdr:col>
      <xdr:colOff>0</xdr:colOff>
      <xdr:row>121</xdr:row>
      <xdr:rowOff>133350</xdr:rowOff>
    </xdr:from>
    <xdr:to>
      <xdr:col>0</xdr:col>
      <xdr:colOff>409575</xdr:colOff>
      <xdr:row>123</xdr:row>
      <xdr:rowOff>47625</xdr:rowOff>
    </xdr:to>
    <xdr:sp macro="" textlink="">
      <xdr:nvSpPr>
        <xdr:cNvPr id="42" name="TextBox 41">
          <a:hlinkClick xmlns:r="http://schemas.openxmlformats.org/officeDocument/2006/relationships" r:id="rId10"/>
        </xdr:cNvPr>
        <xdr:cNvSpPr txBox="1"/>
      </xdr:nvSpPr>
      <xdr:spPr>
        <a:xfrm>
          <a:off x="0" y="19935825"/>
          <a:ext cx="409575" cy="238125"/>
        </a:xfrm>
        <a:prstGeom prst="rect">
          <a:avLst/>
        </a:prstGeom>
        <a:solidFill>
          <a:srgbClr val="FFC000"/>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Ref</a:t>
          </a:r>
        </a:p>
      </xdr:txBody>
    </xdr:sp>
    <xdr:clientData/>
  </xdr:twoCellAnchor>
  <xdr:twoCellAnchor editAs="absolute">
    <xdr:from>
      <xdr:col>0</xdr:col>
      <xdr:colOff>981075</xdr:colOff>
      <xdr:row>121</xdr:row>
      <xdr:rowOff>142875</xdr:rowOff>
    </xdr:from>
    <xdr:to>
      <xdr:col>2</xdr:col>
      <xdr:colOff>171449</xdr:colOff>
      <xdr:row>123</xdr:row>
      <xdr:rowOff>57150</xdr:rowOff>
    </xdr:to>
    <xdr:sp macro="[0]!costs_comparison_button" textlink="">
      <xdr:nvSpPr>
        <xdr:cNvPr id="43" name="TextBox 42"/>
        <xdr:cNvSpPr txBox="1"/>
      </xdr:nvSpPr>
      <xdr:spPr>
        <a:xfrm>
          <a:off x="981075" y="19945350"/>
          <a:ext cx="533399" cy="238125"/>
        </a:xfrm>
        <a:prstGeom prst="rect">
          <a:avLst/>
        </a:prstGeom>
        <a:solidFill>
          <a:srgbClr val="FFC000"/>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Comp</a:t>
          </a:r>
        </a:p>
      </xdr:txBody>
    </xdr:sp>
    <xdr:clientData/>
  </xdr:twoCellAnchor>
  <xdr:twoCellAnchor editAs="absolute">
    <xdr:from>
      <xdr:col>0</xdr:col>
      <xdr:colOff>447676</xdr:colOff>
      <xdr:row>121</xdr:row>
      <xdr:rowOff>133350</xdr:rowOff>
    </xdr:from>
    <xdr:to>
      <xdr:col>0</xdr:col>
      <xdr:colOff>933450</xdr:colOff>
      <xdr:row>123</xdr:row>
      <xdr:rowOff>47625</xdr:rowOff>
    </xdr:to>
    <xdr:sp macro="[0]!costs_scenario_button" textlink="">
      <xdr:nvSpPr>
        <xdr:cNvPr id="44" name="TextBox 43"/>
        <xdr:cNvSpPr txBox="1"/>
      </xdr:nvSpPr>
      <xdr:spPr>
        <a:xfrm>
          <a:off x="447676" y="19935825"/>
          <a:ext cx="485774" cy="238125"/>
        </a:xfrm>
        <a:prstGeom prst="rect">
          <a:avLst/>
        </a:prstGeom>
        <a:solidFill>
          <a:srgbClr val="FFC000"/>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Scen</a:t>
          </a:r>
        </a:p>
      </xdr:txBody>
    </xdr:sp>
    <xdr:clientData/>
  </xdr:twoCellAnchor>
  <xdr:twoCellAnchor>
    <xdr:from>
      <xdr:col>1</xdr:col>
      <xdr:colOff>228600</xdr:colOff>
      <xdr:row>0</xdr:row>
      <xdr:rowOff>28575</xdr:rowOff>
    </xdr:from>
    <xdr:to>
      <xdr:col>4</xdr:col>
      <xdr:colOff>304800</xdr:colOff>
      <xdr:row>1</xdr:row>
      <xdr:rowOff>104775</xdr:rowOff>
    </xdr:to>
    <xdr:sp macro="" textlink="">
      <xdr:nvSpPr>
        <xdr:cNvPr id="45" name="TextBox 44">
          <a:hlinkClick xmlns:r="http://schemas.openxmlformats.org/officeDocument/2006/relationships" r:id="rId11"/>
        </xdr:cNvPr>
        <xdr:cNvSpPr txBox="1"/>
      </xdr:nvSpPr>
      <xdr:spPr>
        <a:xfrm>
          <a:off x="1247775" y="28575"/>
          <a:ext cx="1047750" cy="238125"/>
        </a:xfrm>
        <a:prstGeom prst="rect">
          <a:avLst/>
        </a:prstGeom>
        <a:solidFill>
          <a:schemeClr val="accent1">
            <a:lumMod val="20000"/>
            <a:lumOff val="80000"/>
          </a:schemeClr>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Levelised Costs</a:t>
          </a:r>
        </a:p>
      </xdr:txBody>
    </xdr:sp>
    <xdr:clientData/>
  </xdr:twoCellAnchor>
  <xdr:twoCellAnchor>
    <xdr:from>
      <xdr:col>5</xdr:col>
      <xdr:colOff>28575</xdr:colOff>
      <xdr:row>0</xdr:row>
      <xdr:rowOff>28575</xdr:rowOff>
    </xdr:from>
    <xdr:to>
      <xdr:col>8</xdr:col>
      <xdr:colOff>209550</xdr:colOff>
      <xdr:row>1</xdr:row>
      <xdr:rowOff>104775</xdr:rowOff>
    </xdr:to>
    <xdr:sp macro="" textlink="">
      <xdr:nvSpPr>
        <xdr:cNvPr id="46" name="TextBox 45">
          <a:hlinkClick xmlns:r="http://schemas.openxmlformats.org/officeDocument/2006/relationships" r:id="rId12"/>
        </xdr:cNvPr>
        <xdr:cNvSpPr txBox="1"/>
      </xdr:nvSpPr>
      <xdr:spPr>
        <a:xfrm>
          <a:off x="2343150" y="28575"/>
          <a:ext cx="1152525" cy="238125"/>
        </a:xfrm>
        <a:prstGeom prst="rect">
          <a:avLst/>
        </a:prstGeom>
        <a:solidFill>
          <a:schemeClr val="accent3">
            <a:lumMod val="75000"/>
          </a:schemeClr>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pPr algn="ctr"/>
          <a:r>
            <a:rPr lang="en-ZA" sz="1000">
              <a:solidFill>
                <a:schemeClr val="bg1"/>
              </a:solidFill>
            </a:rPr>
            <a:t>Investment Plan</a:t>
          </a:r>
        </a:p>
      </xdr:txBody>
    </xdr:sp>
    <xdr:clientData/>
  </xdr:twoCellAnchor>
  <xdr:twoCellAnchor>
    <xdr:from>
      <xdr:col>8</xdr:col>
      <xdr:colOff>257175</xdr:colOff>
      <xdr:row>0</xdr:row>
      <xdr:rowOff>28575</xdr:rowOff>
    </xdr:from>
    <xdr:to>
      <xdr:col>11</xdr:col>
      <xdr:colOff>200025</xdr:colOff>
      <xdr:row>1</xdr:row>
      <xdr:rowOff>104775</xdr:rowOff>
    </xdr:to>
    <xdr:sp macro="" textlink="">
      <xdr:nvSpPr>
        <xdr:cNvPr id="47" name="TextBox 46">
          <a:hlinkClick xmlns:r="http://schemas.openxmlformats.org/officeDocument/2006/relationships" r:id="rId13"/>
        </xdr:cNvPr>
        <xdr:cNvSpPr txBox="1"/>
      </xdr:nvSpPr>
      <xdr:spPr>
        <a:xfrm>
          <a:off x="3543300" y="28575"/>
          <a:ext cx="914400" cy="238125"/>
        </a:xfrm>
        <a:prstGeom prst="rect">
          <a:avLst/>
        </a:prstGeom>
        <a:solidFill>
          <a:schemeClr val="accent6">
            <a:lumMod val="60000"/>
            <a:lumOff val="40000"/>
          </a:schemeClr>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solidFill>
                <a:sysClr val="windowText" lastClr="000000"/>
              </a:solidFill>
            </a:rPr>
            <a:t>System Costs</a:t>
          </a:r>
        </a:p>
      </xdr:txBody>
    </xdr:sp>
    <xdr:clientData/>
  </xdr:twoCellAnchor>
  <xdr:twoCellAnchor>
    <xdr:from>
      <xdr:col>11</xdr:col>
      <xdr:colOff>247649</xdr:colOff>
      <xdr:row>0</xdr:row>
      <xdr:rowOff>28575</xdr:rowOff>
    </xdr:from>
    <xdr:to>
      <xdr:col>15</xdr:col>
      <xdr:colOff>238124</xdr:colOff>
      <xdr:row>1</xdr:row>
      <xdr:rowOff>104775</xdr:rowOff>
    </xdr:to>
    <xdr:sp macro="" textlink="">
      <xdr:nvSpPr>
        <xdr:cNvPr id="48" name="TextBox 47">
          <a:hlinkClick xmlns:r="http://schemas.openxmlformats.org/officeDocument/2006/relationships" r:id="rId14"/>
        </xdr:cNvPr>
        <xdr:cNvSpPr txBox="1"/>
      </xdr:nvSpPr>
      <xdr:spPr>
        <a:xfrm>
          <a:off x="4505324" y="28575"/>
          <a:ext cx="1285875" cy="238125"/>
        </a:xfrm>
        <a:prstGeom prst="rect">
          <a:avLst/>
        </a:prstGeom>
        <a:solidFill>
          <a:schemeClr val="accent2">
            <a:lumMod val="20000"/>
            <a:lumOff val="80000"/>
          </a:schemeClr>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Emissions</a:t>
          </a:r>
          <a:r>
            <a:rPr lang="en-ZA" sz="1000" baseline="0"/>
            <a:t> etc</a:t>
          </a:r>
          <a:endParaRPr lang="en-ZA" sz="1000"/>
        </a:p>
      </xdr:txBody>
    </xdr:sp>
    <xdr:clientData/>
  </xdr:twoCellAnchor>
  <xdr:twoCellAnchor>
    <xdr:from>
      <xdr:col>0</xdr:col>
      <xdr:colOff>66675</xdr:colOff>
      <xdr:row>5</xdr:row>
      <xdr:rowOff>66675</xdr:rowOff>
    </xdr:from>
    <xdr:to>
      <xdr:col>11</xdr:col>
      <xdr:colOff>19050</xdr:colOff>
      <xdr:row>34</xdr:row>
      <xdr:rowOff>114300</xdr:rowOff>
    </xdr:to>
    <xdr:graphicFrame macro="">
      <xdr:nvGraphicFramePr>
        <xdr:cNvPr id="25229402" name="Chart 1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0</xdr:col>
      <xdr:colOff>38100</xdr:colOff>
      <xdr:row>65</xdr:row>
      <xdr:rowOff>66675</xdr:rowOff>
    </xdr:from>
    <xdr:to>
      <xdr:col>10</xdr:col>
      <xdr:colOff>285750</xdr:colOff>
      <xdr:row>95</xdr:row>
      <xdr:rowOff>123825</xdr:rowOff>
    </xdr:to>
    <xdr:graphicFrame macro="">
      <xdr:nvGraphicFramePr>
        <xdr:cNvPr id="25229403" name="Chart 1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11</xdr:col>
      <xdr:colOff>66675</xdr:colOff>
      <xdr:row>5</xdr:row>
      <xdr:rowOff>47625</xdr:rowOff>
    </xdr:from>
    <xdr:to>
      <xdr:col>22</xdr:col>
      <xdr:colOff>495300</xdr:colOff>
      <xdr:row>34</xdr:row>
      <xdr:rowOff>123825</xdr:rowOff>
    </xdr:to>
    <xdr:graphicFrame macro="">
      <xdr:nvGraphicFramePr>
        <xdr:cNvPr id="25229404" name="Chart 1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23</xdr:col>
      <xdr:colOff>600075</xdr:colOff>
      <xdr:row>5</xdr:row>
      <xdr:rowOff>28575</xdr:rowOff>
    </xdr:from>
    <xdr:to>
      <xdr:col>30</xdr:col>
      <xdr:colOff>409575</xdr:colOff>
      <xdr:row>31</xdr:row>
      <xdr:rowOff>133350</xdr:rowOff>
    </xdr:to>
    <xdr:graphicFrame macro="">
      <xdr:nvGraphicFramePr>
        <xdr:cNvPr id="25229405" name="Chart 1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twoCellAnchor>
    <xdr:from>
      <xdr:col>31</xdr:col>
      <xdr:colOff>0</xdr:colOff>
      <xdr:row>5</xdr:row>
      <xdr:rowOff>9525</xdr:rowOff>
    </xdr:from>
    <xdr:to>
      <xdr:col>37</xdr:col>
      <xdr:colOff>295275</xdr:colOff>
      <xdr:row>31</xdr:row>
      <xdr:rowOff>104775</xdr:rowOff>
    </xdr:to>
    <xdr:graphicFrame macro="">
      <xdr:nvGraphicFramePr>
        <xdr:cNvPr id="25229406" name="Chart 1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twoCellAnchor>
    <xdr:from>
      <xdr:col>11</xdr:col>
      <xdr:colOff>47625</xdr:colOff>
      <xdr:row>65</xdr:row>
      <xdr:rowOff>76200</xdr:rowOff>
    </xdr:from>
    <xdr:to>
      <xdr:col>22</xdr:col>
      <xdr:colOff>361950</xdr:colOff>
      <xdr:row>95</xdr:row>
      <xdr:rowOff>114300</xdr:rowOff>
    </xdr:to>
    <xdr:graphicFrame macro="">
      <xdr:nvGraphicFramePr>
        <xdr:cNvPr id="25229407" name="Chart 1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twoCellAnchor>
    <xdr:from>
      <xdr:col>24</xdr:col>
      <xdr:colOff>0</xdr:colOff>
      <xdr:row>65</xdr:row>
      <xdr:rowOff>85725</xdr:rowOff>
    </xdr:from>
    <xdr:to>
      <xdr:col>30</xdr:col>
      <xdr:colOff>352425</xdr:colOff>
      <xdr:row>91</xdr:row>
      <xdr:rowOff>57150</xdr:rowOff>
    </xdr:to>
    <xdr:graphicFrame macro="">
      <xdr:nvGraphicFramePr>
        <xdr:cNvPr id="25229408" name="Chart 1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xdr:twoCellAnchor>
  <xdr:twoCellAnchor>
    <xdr:from>
      <xdr:col>31</xdr:col>
      <xdr:colOff>9525</xdr:colOff>
      <xdr:row>65</xdr:row>
      <xdr:rowOff>57150</xdr:rowOff>
    </xdr:from>
    <xdr:to>
      <xdr:col>37</xdr:col>
      <xdr:colOff>180975</xdr:colOff>
      <xdr:row>91</xdr:row>
      <xdr:rowOff>57150</xdr:rowOff>
    </xdr:to>
    <xdr:graphicFrame macro="">
      <xdr:nvGraphicFramePr>
        <xdr:cNvPr id="25229409" name="Chart 1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
        </a:graphicData>
      </a:graphic>
    </xdr:graphicFrame>
    <xdr:clientData/>
  </xdr:twoCellAnchor>
  <xdr:twoCellAnchor>
    <xdr:from>
      <xdr:col>1</xdr:col>
      <xdr:colOff>228600</xdr:colOff>
      <xdr:row>120</xdr:row>
      <xdr:rowOff>0</xdr:rowOff>
    </xdr:from>
    <xdr:to>
      <xdr:col>4</xdr:col>
      <xdr:colOff>304800</xdr:colOff>
      <xdr:row>121</xdr:row>
      <xdr:rowOff>76200</xdr:rowOff>
    </xdr:to>
    <xdr:sp macro="" textlink="">
      <xdr:nvSpPr>
        <xdr:cNvPr id="57" name="TextBox 56">
          <a:hlinkClick xmlns:r="http://schemas.openxmlformats.org/officeDocument/2006/relationships" r:id="rId23"/>
        </xdr:cNvPr>
        <xdr:cNvSpPr txBox="1"/>
      </xdr:nvSpPr>
      <xdr:spPr>
        <a:xfrm>
          <a:off x="1247775" y="19640550"/>
          <a:ext cx="1047750" cy="238125"/>
        </a:xfrm>
        <a:prstGeom prst="rect">
          <a:avLst/>
        </a:prstGeom>
        <a:solidFill>
          <a:schemeClr val="accent1">
            <a:lumMod val="20000"/>
            <a:lumOff val="80000"/>
          </a:schemeClr>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Levelised Costs</a:t>
          </a:r>
        </a:p>
      </xdr:txBody>
    </xdr:sp>
    <xdr:clientData/>
  </xdr:twoCellAnchor>
  <xdr:twoCellAnchor>
    <xdr:from>
      <xdr:col>5</xdr:col>
      <xdr:colOff>28575</xdr:colOff>
      <xdr:row>120</xdr:row>
      <xdr:rowOff>0</xdr:rowOff>
    </xdr:from>
    <xdr:to>
      <xdr:col>8</xdr:col>
      <xdr:colOff>209550</xdr:colOff>
      <xdr:row>121</xdr:row>
      <xdr:rowOff>76200</xdr:rowOff>
    </xdr:to>
    <xdr:sp macro="" textlink="">
      <xdr:nvSpPr>
        <xdr:cNvPr id="58" name="TextBox 57">
          <a:hlinkClick xmlns:r="http://schemas.openxmlformats.org/officeDocument/2006/relationships" r:id="rId24"/>
        </xdr:cNvPr>
        <xdr:cNvSpPr txBox="1"/>
      </xdr:nvSpPr>
      <xdr:spPr>
        <a:xfrm>
          <a:off x="2343150" y="19640550"/>
          <a:ext cx="1152525" cy="238125"/>
        </a:xfrm>
        <a:prstGeom prst="rect">
          <a:avLst/>
        </a:prstGeom>
        <a:solidFill>
          <a:schemeClr val="accent3">
            <a:lumMod val="75000"/>
          </a:schemeClr>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pPr algn="ctr"/>
          <a:r>
            <a:rPr lang="en-ZA" sz="1000">
              <a:solidFill>
                <a:schemeClr val="bg1"/>
              </a:solidFill>
            </a:rPr>
            <a:t>Investment Plan</a:t>
          </a:r>
        </a:p>
      </xdr:txBody>
    </xdr:sp>
    <xdr:clientData/>
  </xdr:twoCellAnchor>
  <xdr:twoCellAnchor>
    <xdr:from>
      <xdr:col>8</xdr:col>
      <xdr:colOff>257175</xdr:colOff>
      <xdr:row>120</xdr:row>
      <xdr:rowOff>0</xdr:rowOff>
    </xdr:from>
    <xdr:to>
      <xdr:col>11</xdr:col>
      <xdr:colOff>200025</xdr:colOff>
      <xdr:row>121</xdr:row>
      <xdr:rowOff>76200</xdr:rowOff>
    </xdr:to>
    <xdr:sp macro="" textlink="">
      <xdr:nvSpPr>
        <xdr:cNvPr id="59" name="TextBox 58">
          <a:hlinkClick xmlns:r="http://schemas.openxmlformats.org/officeDocument/2006/relationships" r:id="rId25"/>
        </xdr:cNvPr>
        <xdr:cNvSpPr txBox="1"/>
      </xdr:nvSpPr>
      <xdr:spPr>
        <a:xfrm>
          <a:off x="3543300" y="19640550"/>
          <a:ext cx="914400" cy="238125"/>
        </a:xfrm>
        <a:prstGeom prst="rect">
          <a:avLst/>
        </a:prstGeom>
        <a:solidFill>
          <a:schemeClr val="accent6">
            <a:lumMod val="60000"/>
            <a:lumOff val="40000"/>
          </a:schemeClr>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solidFill>
                <a:sysClr val="windowText" lastClr="000000"/>
              </a:solidFill>
            </a:rPr>
            <a:t>System Costs</a:t>
          </a:r>
        </a:p>
      </xdr:txBody>
    </xdr:sp>
    <xdr:clientData/>
  </xdr:twoCellAnchor>
  <xdr:twoCellAnchor>
    <xdr:from>
      <xdr:col>11</xdr:col>
      <xdr:colOff>247649</xdr:colOff>
      <xdr:row>120</xdr:row>
      <xdr:rowOff>0</xdr:rowOff>
    </xdr:from>
    <xdr:to>
      <xdr:col>15</xdr:col>
      <xdr:colOff>238124</xdr:colOff>
      <xdr:row>121</xdr:row>
      <xdr:rowOff>76200</xdr:rowOff>
    </xdr:to>
    <xdr:sp macro="" textlink="">
      <xdr:nvSpPr>
        <xdr:cNvPr id="60" name="TextBox 59">
          <a:hlinkClick xmlns:r="http://schemas.openxmlformats.org/officeDocument/2006/relationships" r:id="rId26"/>
        </xdr:cNvPr>
        <xdr:cNvSpPr txBox="1"/>
      </xdr:nvSpPr>
      <xdr:spPr>
        <a:xfrm>
          <a:off x="4505324" y="19640550"/>
          <a:ext cx="1285875" cy="238125"/>
        </a:xfrm>
        <a:prstGeom prst="rect">
          <a:avLst/>
        </a:prstGeom>
        <a:solidFill>
          <a:schemeClr val="accent2">
            <a:lumMod val="20000"/>
            <a:lumOff val="80000"/>
          </a:schemeClr>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Emissions</a:t>
          </a:r>
          <a:r>
            <a:rPr lang="en-ZA" sz="1000" baseline="0"/>
            <a:t> etc</a:t>
          </a:r>
          <a:endParaRPr lang="en-ZA" sz="1000"/>
        </a:p>
      </xdr:txBody>
    </xdr:sp>
    <xdr:clientData/>
  </xdr:twoCellAnchor>
  <xdr:twoCellAnchor>
    <xdr:from>
      <xdr:col>0</xdr:col>
      <xdr:colOff>9525</xdr:colOff>
      <xdr:row>125</xdr:row>
      <xdr:rowOff>114300</xdr:rowOff>
    </xdr:from>
    <xdr:to>
      <xdr:col>10</xdr:col>
      <xdr:colOff>285750</xdr:colOff>
      <xdr:row>155</xdr:row>
      <xdr:rowOff>9525</xdr:rowOff>
    </xdr:to>
    <xdr:graphicFrame macro="">
      <xdr:nvGraphicFramePr>
        <xdr:cNvPr id="49" name="Chart 1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7"/>
        </a:graphicData>
      </a:graphic>
    </xdr:graphicFrame>
    <xdr:clientData/>
  </xdr:twoCellAnchor>
  <xdr:twoCellAnchor>
    <xdr:from>
      <xdr:col>11</xdr:col>
      <xdr:colOff>304800</xdr:colOff>
      <xdr:row>125</xdr:row>
      <xdr:rowOff>133350</xdr:rowOff>
    </xdr:from>
    <xdr:to>
      <xdr:col>23</xdr:col>
      <xdr:colOff>314325</xdr:colOff>
      <xdr:row>156</xdr:row>
      <xdr:rowOff>38100</xdr:rowOff>
    </xdr:to>
    <xdr:graphicFrame macro="">
      <xdr:nvGraphicFramePr>
        <xdr:cNvPr id="50" name="Chart 1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8"/>
        </a:graphicData>
      </a:graphic>
    </xdr:graphicFrame>
    <xdr:clientData/>
  </xdr:twoCellAnchor>
  <xdr:twoCellAnchor>
    <xdr:from>
      <xdr:col>31</xdr:col>
      <xdr:colOff>552450</xdr:colOff>
      <xdr:row>125</xdr:row>
      <xdr:rowOff>114300</xdr:rowOff>
    </xdr:from>
    <xdr:to>
      <xdr:col>38</xdr:col>
      <xdr:colOff>161925</xdr:colOff>
      <xdr:row>156</xdr:row>
      <xdr:rowOff>0</xdr:rowOff>
    </xdr:to>
    <xdr:graphicFrame macro="">
      <xdr:nvGraphicFramePr>
        <xdr:cNvPr id="51" name="Chart 1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9"/>
        </a:graphicData>
      </a:graphic>
    </xdr:graphicFrame>
    <xdr:clientData/>
  </xdr:twoCellAnchor>
  <xdr:twoCellAnchor>
    <xdr:from>
      <xdr:col>24</xdr:col>
      <xdr:colOff>581025</xdr:colOff>
      <xdr:row>125</xdr:row>
      <xdr:rowOff>114300</xdr:rowOff>
    </xdr:from>
    <xdr:to>
      <xdr:col>31</xdr:col>
      <xdr:colOff>304800</xdr:colOff>
      <xdr:row>155</xdr:row>
      <xdr:rowOff>38100</xdr:rowOff>
    </xdr:to>
    <xdr:graphicFrame macro="">
      <xdr:nvGraphicFramePr>
        <xdr:cNvPr id="52" name="Chart 1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0"/>
        </a:graphicData>
      </a:graphic>
    </xdr:graphicFrame>
    <xdr:clientData/>
  </xdr:twoCellAnchor>
  <xdr:twoCellAnchor>
    <xdr:from>
      <xdr:col>42</xdr:col>
      <xdr:colOff>28575</xdr:colOff>
      <xdr:row>124</xdr:row>
      <xdr:rowOff>47625</xdr:rowOff>
    </xdr:from>
    <xdr:to>
      <xdr:col>48</xdr:col>
      <xdr:colOff>179243</xdr:colOff>
      <xdr:row>151</xdr:row>
      <xdr:rowOff>77932</xdr:rowOff>
    </xdr:to>
    <xdr:graphicFrame macro="">
      <xdr:nvGraphicFramePr>
        <xdr:cNvPr id="53" name="Chart 2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1"/>
        </a:graphicData>
      </a:graphic>
    </xdr:graphicFrame>
    <xdr:clientData/>
  </xdr:twoCellAnchor>
  <xdr:twoCellAnchor>
    <xdr:from>
      <xdr:col>48</xdr:col>
      <xdr:colOff>333375</xdr:colOff>
      <xdr:row>124</xdr:row>
      <xdr:rowOff>66675</xdr:rowOff>
    </xdr:from>
    <xdr:to>
      <xdr:col>54</xdr:col>
      <xdr:colOff>474518</xdr:colOff>
      <xdr:row>151</xdr:row>
      <xdr:rowOff>96982</xdr:rowOff>
    </xdr:to>
    <xdr:graphicFrame macro="">
      <xdr:nvGraphicFramePr>
        <xdr:cNvPr id="54" name="Chart 2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2"/>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180975</xdr:colOff>
      <xdr:row>1</xdr:row>
      <xdr:rowOff>76200</xdr:rowOff>
    </xdr:to>
    <xdr:sp macro="" textlink="">
      <xdr:nvSpPr>
        <xdr:cNvPr id="2" name="TextBox 1">
          <a:hlinkClick xmlns:r="http://schemas.openxmlformats.org/officeDocument/2006/relationships" r:id="rId1"/>
        </xdr:cNvPr>
        <xdr:cNvSpPr txBox="1"/>
      </xdr:nvSpPr>
      <xdr:spPr>
        <a:xfrm>
          <a:off x="0" y="0"/>
          <a:ext cx="790575" cy="238125"/>
        </a:xfrm>
        <a:prstGeom prst="rect">
          <a:avLst/>
        </a:prstGeom>
        <a:solidFill>
          <a:srgbClr val="FFFF00"/>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Main</a:t>
          </a:r>
          <a:r>
            <a:rPr lang="en-ZA" sz="1000" baseline="0"/>
            <a:t> menu</a:t>
          </a:r>
          <a:endParaRPr lang="en-ZA" sz="1000"/>
        </a:p>
      </xdr:txBody>
    </xdr:sp>
    <xdr:clientData/>
  </xdr:twoCellAnchor>
  <xdr:twoCellAnchor editAs="absolute">
    <xdr:from>
      <xdr:col>0</xdr:col>
      <xdr:colOff>0</xdr:colOff>
      <xdr:row>2</xdr:row>
      <xdr:rowOff>0</xdr:rowOff>
    </xdr:from>
    <xdr:to>
      <xdr:col>0</xdr:col>
      <xdr:colOff>409575</xdr:colOff>
      <xdr:row>3</xdr:row>
      <xdr:rowOff>76200</xdr:rowOff>
    </xdr:to>
    <xdr:sp macro="" textlink="">
      <xdr:nvSpPr>
        <xdr:cNvPr id="12" name="TextBox 11">
          <a:hlinkClick xmlns:r="http://schemas.openxmlformats.org/officeDocument/2006/relationships" r:id="rId2"/>
        </xdr:cNvPr>
        <xdr:cNvSpPr txBox="1"/>
      </xdr:nvSpPr>
      <xdr:spPr>
        <a:xfrm>
          <a:off x="0" y="323850"/>
          <a:ext cx="409575" cy="238125"/>
        </a:xfrm>
        <a:prstGeom prst="rect">
          <a:avLst/>
        </a:prstGeom>
        <a:solidFill>
          <a:srgbClr val="FFC000"/>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Ref</a:t>
          </a:r>
        </a:p>
      </xdr:txBody>
    </xdr:sp>
    <xdr:clientData/>
  </xdr:twoCellAnchor>
  <xdr:twoCellAnchor editAs="absolute">
    <xdr:from>
      <xdr:col>1</xdr:col>
      <xdr:colOff>381000</xdr:colOff>
      <xdr:row>2</xdr:row>
      <xdr:rowOff>0</xdr:rowOff>
    </xdr:from>
    <xdr:to>
      <xdr:col>2</xdr:col>
      <xdr:colOff>304799</xdr:colOff>
      <xdr:row>3</xdr:row>
      <xdr:rowOff>76200</xdr:rowOff>
    </xdr:to>
    <xdr:sp macro="[0]!env_comparison_button" textlink="">
      <xdr:nvSpPr>
        <xdr:cNvPr id="13" name="TextBox 12"/>
        <xdr:cNvSpPr txBox="1"/>
      </xdr:nvSpPr>
      <xdr:spPr>
        <a:xfrm>
          <a:off x="990600" y="323850"/>
          <a:ext cx="533399" cy="238125"/>
        </a:xfrm>
        <a:prstGeom prst="rect">
          <a:avLst/>
        </a:prstGeom>
        <a:solidFill>
          <a:srgbClr val="FFC000"/>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Comp</a:t>
          </a:r>
        </a:p>
      </xdr:txBody>
    </xdr:sp>
    <xdr:clientData/>
  </xdr:twoCellAnchor>
  <xdr:twoCellAnchor editAs="absolute">
    <xdr:from>
      <xdr:col>0</xdr:col>
      <xdr:colOff>457201</xdr:colOff>
      <xdr:row>2</xdr:row>
      <xdr:rowOff>0</xdr:rowOff>
    </xdr:from>
    <xdr:to>
      <xdr:col>1</xdr:col>
      <xdr:colOff>333375</xdr:colOff>
      <xdr:row>3</xdr:row>
      <xdr:rowOff>76200</xdr:rowOff>
    </xdr:to>
    <xdr:sp macro="[0]!env_scenario_button" textlink="">
      <xdr:nvSpPr>
        <xdr:cNvPr id="14" name="TextBox 13"/>
        <xdr:cNvSpPr txBox="1"/>
      </xdr:nvSpPr>
      <xdr:spPr>
        <a:xfrm>
          <a:off x="457201" y="323850"/>
          <a:ext cx="485774" cy="238125"/>
        </a:xfrm>
        <a:prstGeom prst="rect">
          <a:avLst/>
        </a:prstGeom>
        <a:solidFill>
          <a:srgbClr val="FFC000"/>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Scen</a:t>
          </a:r>
        </a:p>
      </xdr:txBody>
    </xdr:sp>
    <xdr:clientData/>
  </xdr:twoCellAnchor>
  <xdr:twoCellAnchor editAs="absolute">
    <xdr:from>
      <xdr:col>0</xdr:col>
      <xdr:colOff>9525</xdr:colOff>
      <xdr:row>60</xdr:row>
      <xdr:rowOff>142875</xdr:rowOff>
    </xdr:from>
    <xdr:to>
      <xdr:col>0</xdr:col>
      <xdr:colOff>419100</xdr:colOff>
      <xdr:row>62</xdr:row>
      <xdr:rowOff>57150</xdr:rowOff>
    </xdr:to>
    <xdr:sp macro="" textlink="">
      <xdr:nvSpPr>
        <xdr:cNvPr id="22" name="TextBox 21">
          <a:hlinkClick xmlns:r="http://schemas.openxmlformats.org/officeDocument/2006/relationships" r:id="rId3"/>
        </xdr:cNvPr>
        <xdr:cNvSpPr txBox="1"/>
      </xdr:nvSpPr>
      <xdr:spPr>
        <a:xfrm>
          <a:off x="9525" y="9991725"/>
          <a:ext cx="409575" cy="238125"/>
        </a:xfrm>
        <a:prstGeom prst="rect">
          <a:avLst/>
        </a:prstGeom>
        <a:solidFill>
          <a:srgbClr val="FFC000"/>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Ref</a:t>
          </a:r>
        </a:p>
      </xdr:txBody>
    </xdr:sp>
    <xdr:clientData/>
  </xdr:twoCellAnchor>
  <xdr:twoCellAnchor editAs="absolute">
    <xdr:from>
      <xdr:col>1</xdr:col>
      <xdr:colOff>390525</xdr:colOff>
      <xdr:row>60</xdr:row>
      <xdr:rowOff>142875</xdr:rowOff>
    </xdr:from>
    <xdr:to>
      <xdr:col>2</xdr:col>
      <xdr:colOff>314324</xdr:colOff>
      <xdr:row>62</xdr:row>
      <xdr:rowOff>57150</xdr:rowOff>
    </xdr:to>
    <xdr:sp macro="[0]!env_comparison_button" textlink="">
      <xdr:nvSpPr>
        <xdr:cNvPr id="23" name="TextBox 22"/>
        <xdr:cNvSpPr txBox="1"/>
      </xdr:nvSpPr>
      <xdr:spPr>
        <a:xfrm>
          <a:off x="1000125" y="9991725"/>
          <a:ext cx="533399" cy="238125"/>
        </a:xfrm>
        <a:prstGeom prst="rect">
          <a:avLst/>
        </a:prstGeom>
        <a:solidFill>
          <a:srgbClr val="FFC000"/>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Comp</a:t>
          </a:r>
        </a:p>
      </xdr:txBody>
    </xdr:sp>
    <xdr:clientData/>
  </xdr:twoCellAnchor>
  <xdr:twoCellAnchor editAs="absolute">
    <xdr:from>
      <xdr:col>0</xdr:col>
      <xdr:colOff>466726</xdr:colOff>
      <xdr:row>60</xdr:row>
      <xdr:rowOff>142875</xdr:rowOff>
    </xdr:from>
    <xdr:to>
      <xdr:col>1</xdr:col>
      <xdr:colOff>342900</xdr:colOff>
      <xdr:row>62</xdr:row>
      <xdr:rowOff>57150</xdr:rowOff>
    </xdr:to>
    <xdr:sp macro="[0]!env_scenario_button" textlink="">
      <xdr:nvSpPr>
        <xdr:cNvPr id="24" name="TextBox 23"/>
        <xdr:cNvSpPr txBox="1"/>
      </xdr:nvSpPr>
      <xdr:spPr>
        <a:xfrm>
          <a:off x="466726" y="9991725"/>
          <a:ext cx="485774" cy="238125"/>
        </a:xfrm>
        <a:prstGeom prst="rect">
          <a:avLst/>
        </a:prstGeom>
        <a:solidFill>
          <a:srgbClr val="FFC000"/>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Scen</a:t>
          </a:r>
        </a:p>
      </xdr:txBody>
    </xdr:sp>
    <xdr:clientData/>
  </xdr:twoCellAnchor>
  <xdr:twoCellAnchor editAs="absolute">
    <xdr:from>
      <xdr:col>0</xdr:col>
      <xdr:colOff>19050</xdr:colOff>
      <xdr:row>120</xdr:row>
      <xdr:rowOff>123825</xdr:rowOff>
    </xdr:from>
    <xdr:to>
      <xdr:col>0</xdr:col>
      <xdr:colOff>428625</xdr:colOff>
      <xdr:row>122</xdr:row>
      <xdr:rowOff>38100</xdr:rowOff>
    </xdr:to>
    <xdr:sp macro="" textlink="">
      <xdr:nvSpPr>
        <xdr:cNvPr id="32" name="TextBox 31">
          <a:hlinkClick xmlns:r="http://schemas.openxmlformats.org/officeDocument/2006/relationships" r:id="rId4"/>
        </xdr:cNvPr>
        <xdr:cNvSpPr txBox="1"/>
      </xdr:nvSpPr>
      <xdr:spPr>
        <a:xfrm>
          <a:off x="19050" y="19716750"/>
          <a:ext cx="409575" cy="238125"/>
        </a:xfrm>
        <a:prstGeom prst="rect">
          <a:avLst/>
        </a:prstGeom>
        <a:solidFill>
          <a:srgbClr val="FFC000"/>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Ref</a:t>
          </a:r>
        </a:p>
      </xdr:txBody>
    </xdr:sp>
    <xdr:clientData/>
  </xdr:twoCellAnchor>
  <xdr:twoCellAnchor editAs="absolute">
    <xdr:from>
      <xdr:col>1</xdr:col>
      <xdr:colOff>400050</xdr:colOff>
      <xdr:row>120</xdr:row>
      <xdr:rowOff>123825</xdr:rowOff>
    </xdr:from>
    <xdr:to>
      <xdr:col>2</xdr:col>
      <xdr:colOff>323849</xdr:colOff>
      <xdr:row>122</xdr:row>
      <xdr:rowOff>38100</xdr:rowOff>
    </xdr:to>
    <xdr:sp macro="[0]!env_comparison_button" textlink="">
      <xdr:nvSpPr>
        <xdr:cNvPr id="33" name="TextBox 32"/>
        <xdr:cNvSpPr txBox="1"/>
      </xdr:nvSpPr>
      <xdr:spPr>
        <a:xfrm>
          <a:off x="1009650" y="19716750"/>
          <a:ext cx="533399" cy="238125"/>
        </a:xfrm>
        <a:prstGeom prst="rect">
          <a:avLst/>
        </a:prstGeom>
        <a:solidFill>
          <a:srgbClr val="FFC000"/>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Comp</a:t>
          </a:r>
        </a:p>
      </xdr:txBody>
    </xdr:sp>
    <xdr:clientData/>
  </xdr:twoCellAnchor>
  <xdr:twoCellAnchor editAs="absolute">
    <xdr:from>
      <xdr:col>0</xdr:col>
      <xdr:colOff>476251</xdr:colOff>
      <xdr:row>120</xdr:row>
      <xdr:rowOff>123825</xdr:rowOff>
    </xdr:from>
    <xdr:to>
      <xdr:col>1</xdr:col>
      <xdr:colOff>352425</xdr:colOff>
      <xdr:row>122</xdr:row>
      <xdr:rowOff>38100</xdr:rowOff>
    </xdr:to>
    <xdr:sp macro="[0]!env_scenario_button" textlink="">
      <xdr:nvSpPr>
        <xdr:cNvPr id="34" name="TextBox 33"/>
        <xdr:cNvSpPr txBox="1"/>
      </xdr:nvSpPr>
      <xdr:spPr>
        <a:xfrm>
          <a:off x="476251" y="19716750"/>
          <a:ext cx="485774" cy="238125"/>
        </a:xfrm>
        <a:prstGeom prst="rect">
          <a:avLst/>
        </a:prstGeom>
        <a:solidFill>
          <a:srgbClr val="FFC000"/>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Scen</a:t>
          </a:r>
        </a:p>
      </xdr:txBody>
    </xdr:sp>
    <xdr:clientData/>
  </xdr:twoCellAnchor>
  <xdr:twoCellAnchor>
    <xdr:from>
      <xdr:col>0</xdr:col>
      <xdr:colOff>0</xdr:colOff>
      <xdr:row>6</xdr:row>
      <xdr:rowOff>0</xdr:rowOff>
    </xdr:from>
    <xdr:to>
      <xdr:col>6</xdr:col>
      <xdr:colOff>114300</xdr:colOff>
      <xdr:row>31</xdr:row>
      <xdr:rowOff>142875</xdr:rowOff>
    </xdr:to>
    <xdr:graphicFrame macro="">
      <xdr:nvGraphicFramePr>
        <xdr:cNvPr id="25240757" name="Chart 3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6</xdr:col>
      <xdr:colOff>209550</xdr:colOff>
      <xdr:row>2</xdr:row>
      <xdr:rowOff>9525</xdr:rowOff>
    </xdr:from>
    <xdr:to>
      <xdr:col>10</xdr:col>
      <xdr:colOff>352425</xdr:colOff>
      <xdr:row>18</xdr:row>
      <xdr:rowOff>28575</xdr:rowOff>
    </xdr:to>
    <xdr:graphicFrame macro="">
      <xdr:nvGraphicFramePr>
        <xdr:cNvPr id="25240758" name="Chart 3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10</xdr:col>
      <xdr:colOff>428625</xdr:colOff>
      <xdr:row>2</xdr:row>
      <xdr:rowOff>9525</xdr:rowOff>
    </xdr:from>
    <xdr:to>
      <xdr:col>14</xdr:col>
      <xdr:colOff>533400</xdr:colOff>
      <xdr:row>18</xdr:row>
      <xdr:rowOff>0</xdr:rowOff>
    </xdr:to>
    <xdr:graphicFrame macro="">
      <xdr:nvGraphicFramePr>
        <xdr:cNvPr id="25240759" name="Chart 3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6</xdr:col>
      <xdr:colOff>209550</xdr:colOff>
      <xdr:row>18</xdr:row>
      <xdr:rowOff>47625</xdr:rowOff>
    </xdr:from>
    <xdr:to>
      <xdr:col>10</xdr:col>
      <xdr:colOff>323850</xdr:colOff>
      <xdr:row>31</xdr:row>
      <xdr:rowOff>133350</xdr:rowOff>
    </xdr:to>
    <xdr:graphicFrame macro="">
      <xdr:nvGraphicFramePr>
        <xdr:cNvPr id="25240760" name="Chart 3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10</xdr:col>
      <xdr:colOff>438150</xdr:colOff>
      <xdr:row>18</xdr:row>
      <xdr:rowOff>57150</xdr:rowOff>
    </xdr:from>
    <xdr:to>
      <xdr:col>14</xdr:col>
      <xdr:colOff>504825</xdr:colOff>
      <xdr:row>31</xdr:row>
      <xdr:rowOff>152400</xdr:rowOff>
    </xdr:to>
    <xdr:graphicFrame macro="">
      <xdr:nvGraphicFramePr>
        <xdr:cNvPr id="25240761" name="Chart 3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16</xdr:col>
      <xdr:colOff>600075</xdr:colOff>
      <xdr:row>6</xdr:row>
      <xdr:rowOff>123825</xdr:rowOff>
    </xdr:from>
    <xdr:to>
      <xdr:col>24</xdr:col>
      <xdr:colOff>161925</xdr:colOff>
      <xdr:row>15</xdr:row>
      <xdr:rowOff>95250</xdr:rowOff>
    </xdr:to>
    <xdr:graphicFrame macro="">
      <xdr:nvGraphicFramePr>
        <xdr:cNvPr id="25240762" name="Chart 4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24</xdr:col>
      <xdr:colOff>228600</xdr:colOff>
      <xdr:row>6</xdr:row>
      <xdr:rowOff>133350</xdr:rowOff>
    </xdr:from>
    <xdr:to>
      <xdr:col>31</xdr:col>
      <xdr:colOff>371475</xdr:colOff>
      <xdr:row>15</xdr:row>
      <xdr:rowOff>104775</xdr:rowOff>
    </xdr:to>
    <xdr:graphicFrame macro="">
      <xdr:nvGraphicFramePr>
        <xdr:cNvPr id="25240763" name="Chart 4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17</xdr:col>
      <xdr:colOff>9525</xdr:colOff>
      <xdr:row>15</xdr:row>
      <xdr:rowOff>152400</xdr:rowOff>
    </xdr:from>
    <xdr:to>
      <xdr:col>20</xdr:col>
      <xdr:colOff>276225</xdr:colOff>
      <xdr:row>24</xdr:row>
      <xdr:rowOff>28575</xdr:rowOff>
    </xdr:to>
    <xdr:graphicFrame macro="">
      <xdr:nvGraphicFramePr>
        <xdr:cNvPr id="25240764" name="Chart 4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20</xdr:col>
      <xdr:colOff>514350</xdr:colOff>
      <xdr:row>16</xdr:row>
      <xdr:rowOff>28575</xdr:rowOff>
    </xdr:from>
    <xdr:to>
      <xdr:col>24</xdr:col>
      <xdr:colOff>171450</xdr:colOff>
      <xdr:row>24</xdr:row>
      <xdr:rowOff>66675</xdr:rowOff>
    </xdr:to>
    <xdr:graphicFrame macro="">
      <xdr:nvGraphicFramePr>
        <xdr:cNvPr id="25240765" name="Chart 4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17</xdr:col>
      <xdr:colOff>28575</xdr:colOff>
      <xdr:row>25</xdr:row>
      <xdr:rowOff>104775</xdr:rowOff>
    </xdr:from>
    <xdr:to>
      <xdr:col>20</xdr:col>
      <xdr:colOff>295275</xdr:colOff>
      <xdr:row>33</xdr:row>
      <xdr:rowOff>142875</xdr:rowOff>
    </xdr:to>
    <xdr:graphicFrame macro="">
      <xdr:nvGraphicFramePr>
        <xdr:cNvPr id="25240766" name="Chart 4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20</xdr:col>
      <xdr:colOff>523875</xdr:colOff>
      <xdr:row>25</xdr:row>
      <xdr:rowOff>114300</xdr:rowOff>
    </xdr:from>
    <xdr:to>
      <xdr:col>24</xdr:col>
      <xdr:colOff>180975</xdr:colOff>
      <xdr:row>33</xdr:row>
      <xdr:rowOff>152400</xdr:rowOff>
    </xdr:to>
    <xdr:graphicFrame macro="">
      <xdr:nvGraphicFramePr>
        <xdr:cNvPr id="25240767" name="Chart 4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24</xdr:col>
      <xdr:colOff>247650</xdr:colOff>
      <xdr:row>16</xdr:row>
      <xdr:rowOff>38100</xdr:rowOff>
    </xdr:from>
    <xdr:to>
      <xdr:col>27</xdr:col>
      <xdr:colOff>514350</xdr:colOff>
      <xdr:row>24</xdr:row>
      <xdr:rowOff>76200</xdr:rowOff>
    </xdr:to>
    <xdr:graphicFrame macro="">
      <xdr:nvGraphicFramePr>
        <xdr:cNvPr id="25240768" name="Chart 4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28</xdr:col>
      <xdr:colOff>95250</xdr:colOff>
      <xdr:row>16</xdr:row>
      <xdr:rowOff>28575</xdr:rowOff>
    </xdr:from>
    <xdr:to>
      <xdr:col>31</xdr:col>
      <xdr:colOff>361950</xdr:colOff>
      <xdr:row>24</xdr:row>
      <xdr:rowOff>66675</xdr:rowOff>
    </xdr:to>
    <xdr:graphicFrame macro="">
      <xdr:nvGraphicFramePr>
        <xdr:cNvPr id="25240769" name="Chart 4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24</xdr:col>
      <xdr:colOff>219075</xdr:colOff>
      <xdr:row>25</xdr:row>
      <xdr:rowOff>104775</xdr:rowOff>
    </xdr:from>
    <xdr:to>
      <xdr:col>27</xdr:col>
      <xdr:colOff>485775</xdr:colOff>
      <xdr:row>33</xdr:row>
      <xdr:rowOff>142875</xdr:rowOff>
    </xdr:to>
    <xdr:graphicFrame macro="">
      <xdr:nvGraphicFramePr>
        <xdr:cNvPr id="25240770" name="Chart 4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twoCellAnchor>
    <xdr:from>
      <xdr:col>28</xdr:col>
      <xdr:colOff>57150</xdr:colOff>
      <xdr:row>25</xdr:row>
      <xdr:rowOff>76200</xdr:rowOff>
    </xdr:from>
    <xdr:to>
      <xdr:col>31</xdr:col>
      <xdr:colOff>323850</xdr:colOff>
      <xdr:row>33</xdr:row>
      <xdr:rowOff>114300</xdr:rowOff>
    </xdr:to>
    <xdr:graphicFrame macro="">
      <xdr:nvGraphicFramePr>
        <xdr:cNvPr id="25240771" name="Chart 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twoCellAnchor>
    <xdr:from>
      <xdr:col>0</xdr:col>
      <xdr:colOff>247650</xdr:colOff>
      <xdr:row>124</xdr:row>
      <xdr:rowOff>152400</xdr:rowOff>
    </xdr:from>
    <xdr:to>
      <xdr:col>6</xdr:col>
      <xdr:colOff>361950</xdr:colOff>
      <xdr:row>150</xdr:row>
      <xdr:rowOff>133350</xdr:rowOff>
    </xdr:to>
    <xdr:graphicFrame macro="">
      <xdr:nvGraphicFramePr>
        <xdr:cNvPr id="25240772" name="Chart 5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twoCellAnchor>
    <xdr:from>
      <xdr:col>16</xdr:col>
      <xdr:colOff>38100</xdr:colOff>
      <xdr:row>123</xdr:row>
      <xdr:rowOff>9525</xdr:rowOff>
    </xdr:from>
    <xdr:to>
      <xdr:col>19</xdr:col>
      <xdr:colOff>504825</xdr:colOff>
      <xdr:row>136</xdr:row>
      <xdr:rowOff>47625</xdr:rowOff>
    </xdr:to>
    <xdr:graphicFrame macro="">
      <xdr:nvGraphicFramePr>
        <xdr:cNvPr id="25240773" name="Chart 5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xdr:twoCellAnchor>
  <xdr:twoCellAnchor>
    <xdr:from>
      <xdr:col>19</xdr:col>
      <xdr:colOff>542925</xdr:colOff>
      <xdr:row>123</xdr:row>
      <xdr:rowOff>9525</xdr:rowOff>
    </xdr:from>
    <xdr:to>
      <xdr:col>23</xdr:col>
      <xdr:colOff>428625</xdr:colOff>
      <xdr:row>136</xdr:row>
      <xdr:rowOff>47625</xdr:rowOff>
    </xdr:to>
    <xdr:graphicFrame macro="">
      <xdr:nvGraphicFramePr>
        <xdr:cNvPr id="25240774" name="Chart 5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
        </a:graphicData>
      </a:graphic>
    </xdr:graphicFrame>
    <xdr:clientData/>
  </xdr:twoCellAnchor>
  <xdr:twoCellAnchor>
    <xdr:from>
      <xdr:col>16</xdr:col>
      <xdr:colOff>47625</xdr:colOff>
      <xdr:row>136</xdr:row>
      <xdr:rowOff>114300</xdr:rowOff>
    </xdr:from>
    <xdr:to>
      <xdr:col>19</xdr:col>
      <xdr:colOff>533400</xdr:colOff>
      <xdr:row>150</xdr:row>
      <xdr:rowOff>19050</xdr:rowOff>
    </xdr:to>
    <xdr:graphicFrame macro="">
      <xdr:nvGraphicFramePr>
        <xdr:cNvPr id="25240775" name="Chart 5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
        </a:graphicData>
      </a:graphic>
    </xdr:graphicFrame>
    <xdr:clientData/>
  </xdr:twoCellAnchor>
  <xdr:twoCellAnchor>
    <xdr:from>
      <xdr:col>19</xdr:col>
      <xdr:colOff>552450</xdr:colOff>
      <xdr:row>136</xdr:row>
      <xdr:rowOff>123825</xdr:rowOff>
    </xdr:from>
    <xdr:to>
      <xdr:col>23</xdr:col>
      <xdr:colOff>428625</xdr:colOff>
      <xdr:row>150</xdr:row>
      <xdr:rowOff>19050</xdr:rowOff>
    </xdr:to>
    <xdr:graphicFrame macro="">
      <xdr:nvGraphicFramePr>
        <xdr:cNvPr id="25240776" name="Chart 5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
        </a:graphicData>
      </a:graphic>
    </xdr:graphicFrame>
    <xdr:clientData/>
  </xdr:twoCellAnchor>
  <xdr:twoCellAnchor>
    <xdr:from>
      <xdr:col>34</xdr:col>
      <xdr:colOff>57150</xdr:colOff>
      <xdr:row>125</xdr:row>
      <xdr:rowOff>0</xdr:rowOff>
    </xdr:from>
    <xdr:to>
      <xdr:col>41</xdr:col>
      <xdr:colOff>228600</xdr:colOff>
      <xdr:row>134</xdr:row>
      <xdr:rowOff>133350</xdr:rowOff>
    </xdr:to>
    <xdr:graphicFrame macro="">
      <xdr:nvGraphicFramePr>
        <xdr:cNvPr id="25240777" name="Chart 5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5"/>
        </a:graphicData>
      </a:graphic>
    </xdr:graphicFrame>
    <xdr:clientData/>
  </xdr:twoCellAnchor>
  <xdr:twoCellAnchor>
    <xdr:from>
      <xdr:col>34</xdr:col>
      <xdr:colOff>66675</xdr:colOff>
      <xdr:row>135</xdr:row>
      <xdr:rowOff>28575</xdr:rowOff>
    </xdr:from>
    <xdr:to>
      <xdr:col>37</xdr:col>
      <xdr:colOff>333375</xdr:colOff>
      <xdr:row>143</xdr:row>
      <xdr:rowOff>66675</xdr:rowOff>
    </xdr:to>
    <xdr:graphicFrame macro="">
      <xdr:nvGraphicFramePr>
        <xdr:cNvPr id="25240778" name="Chart 5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6"/>
        </a:graphicData>
      </a:graphic>
    </xdr:graphicFrame>
    <xdr:clientData/>
  </xdr:twoCellAnchor>
  <xdr:twoCellAnchor>
    <xdr:from>
      <xdr:col>37</xdr:col>
      <xdr:colOff>561975</xdr:colOff>
      <xdr:row>135</xdr:row>
      <xdr:rowOff>28575</xdr:rowOff>
    </xdr:from>
    <xdr:to>
      <xdr:col>41</xdr:col>
      <xdr:colOff>219075</xdr:colOff>
      <xdr:row>143</xdr:row>
      <xdr:rowOff>66675</xdr:rowOff>
    </xdr:to>
    <xdr:graphicFrame macro="">
      <xdr:nvGraphicFramePr>
        <xdr:cNvPr id="25240779" name="Chart 5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7"/>
        </a:graphicData>
      </a:graphic>
    </xdr:graphicFrame>
    <xdr:clientData/>
  </xdr:twoCellAnchor>
  <xdr:twoCellAnchor>
    <xdr:from>
      <xdr:col>34</xdr:col>
      <xdr:colOff>57150</xdr:colOff>
      <xdr:row>143</xdr:row>
      <xdr:rowOff>133350</xdr:rowOff>
    </xdr:from>
    <xdr:to>
      <xdr:col>37</xdr:col>
      <xdr:colOff>323850</xdr:colOff>
      <xdr:row>152</xdr:row>
      <xdr:rowOff>9525</xdr:rowOff>
    </xdr:to>
    <xdr:graphicFrame macro="">
      <xdr:nvGraphicFramePr>
        <xdr:cNvPr id="25240780" name="Chart 6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8"/>
        </a:graphicData>
      </a:graphic>
    </xdr:graphicFrame>
    <xdr:clientData/>
  </xdr:twoCellAnchor>
  <xdr:twoCellAnchor>
    <xdr:from>
      <xdr:col>37</xdr:col>
      <xdr:colOff>581025</xdr:colOff>
      <xdr:row>143</xdr:row>
      <xdr:rowOff>114300</xdr:rowOff>
    </xdr:from>
    <xdr:to>
      <xdr:col>41</xdr:col>
      <xdr:colOff>238125</xdr:colOff>
      <xdr:row>151</xdr:row>
      <xdr:rowOff>152400</xdr:rowOff>
    </xdr:to>
    <xdr:graphicFrame macro="">
      <xdr:nvGraphicFramePr>
        <xdr:cNvPr id="25240781" name="Chart 6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9"/>
        </a:graphicData>
      </a:graphic>
    </xdr:graphicFrame>
    <xdr:clientData/>
  </xdr:twoCellAnchor>
  <xdr:twoCellAnchor>
    <xdr:from>
      <xdr:col>0</xdr:col>
      <xdr:colOff>0</xdr:colOff>
      <xdr:row>66</xdr:row>
      <xdr:rowOff>0</xdr:rowOff>
    </xdr:from>
    <xdr:to>
      <xdr:col>6</xdr:col>
      <xdr:colOff>114300</xdr:colOff>
      <xdr:row>91</xdr:row>
      <xdr:rowOff>142875</xdr:rowOff>
    </xdr:to>
    <xdr:graphicFrame macro="">
      <xdr:nvGraphicFramePr>
        <xdr:cNvPr id="25240782" name="Chart 2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0"/>
        </a:graphicData>
      </a:graphic>
    </xdr:graphicFrame>
    <xdr:clientData/>
  </xdr:twoCellAnchor>
  <xdr:twoCellAnchor>
    <xdr:from>
      <xdr:col>7</xdr:col>
      <xdr:colOff>0</xdr:colOff>
      <xdr:row>125</xdr:row>
      <xdr:rowOff>0</xdr:rowOff>
    </xdr:from>
    <xdr:to>
      <xdr:col>13</xdr:col>
      <xdr:colOff>114300</xdr:colOff>
      <xdr:row>150</xdr:row>
      <xdr:rowOff>142875</xdr:rowOff>
    </xdr:to>
    <xdr:graphicFrame macro="">
      <xdr:nvGraphicFramePr>
        <xdr:cNvPr id="25240783" name="Chart 2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1"/>
        </a:graphicData>
      </a:graphic>
    </xdr:graphicFrame>
    <xdr:clientData/>
  </xdr:twoCellAnchor>
  <xdr:twoCellAnchor>
    <xdr:from>
      <xdr:col>10</xdr:col>
      <xdr:colOff>485775</xdr:colOff>
      <xdr:row>78</xdr:row>
      <xdr:rowOff>104775</xdr:rowOff>
    </xdr:from>
    <xdr:to>
      <xdr:col>14</xdr:col>
      <xdr:colOff>581025</xdr:colOff>
      <xdr:row>92</xdr:row>
      <xdr:rowOff>28575</xdr:rowOff>
    </xdr:to>
    <xdr:graphicFrame macro="">
      <xdr:nvGraphicFramePr>
        <xdr:cNvPr id="25240784" name="Chart 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2"/>
        </a:graphicData>
      </a:graphic>
    </xdr:graphicFrame>
    <xdr:clientData/>
  </xdr:twoCellAnchor>
  <xdr:twoCellAnchor>
    <xdr:from>
      <xdr:col>6</xdr:col>
      <xdr:colOff>228600</xdr:colOff>
      <xdr:row>63</xdr:row>
      <xdr:rowOff>123825</xdr:rowOff>
    </xdr:from>
    <xdr:to>
      <xdr:col>10</xdr:col>
      <xdr:colOff>371475</xdr:colOff>
      <xdr:row>77</xdr:row>
      <xdr:rowOff>142875</xdr:rowOff>
    </xdr:to>
    <xdr:graphicFrame macro="">
      <xdr:nvGraphicFramePr>
        <xdr:cNvPr id="25240785" name="Chart 2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3"/>
        </a:graphicData>
      </a:graphic>
    </xdr:graphicFrame>
    <xdr:clientData/>
  </xdr:twoCellAnchor>
  <xdr:twoCellAnchor>
    <xdr:from>
      <xdr:col>10</xdr:col>
      <xdr:colOff>438150</xdr:colOff>
      <xdr:row>63</xdr:row>
      <xdr:rowOff>142875</xdr:rowOff>
    </xdr:from>
    <xdr:to>
      <xdr:col>14</xdr:col>
      <xdr:colOff>542925</xdr:colOff>
      <xdr:row>77</xdr:row>
      <xdr:rowOff>133350</xdr:rowOff>
    </xdr:to>
    <xdr:graphicFrame macro="">
      <xdr:nvGraphicFramePr>
        <xdr:cNvPr id="25240786" name="Chart 2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4"/>
        </a:graphicData>
      </a:graphic>
    </xdr:graphicFrame>
    <xdr:clientData/>
  </xdr:twoCellAnchor>
  <xdr:twoCellAnchor>
    <xdr:from>
      <xdr:col>6</xdr:col>
      <xdr:colOff>247650</xdr:colOff>
      <xdr:row>78</xdr:row>
      <xdr:rowOff>66675</xdr:rowOff>
    </xdr:from>
    <xdr:to>
      <xdr:col>10</xdr:col>
      <xdr:colOff>361950</xdr:colOff>
      <xdr:row>91</xdr:row>
      <xdr:rowOff>152400</xdr:rowOff>
    </xdr:to>
    <xdr:graphicFrame macro="">
      <xdr:nvGraphicFramePr>
        <xdr:cNvPr id="25240787" name="Chart 2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5"/>
        </a:graphicData>
      </a:graphic>
    </xdr:graphicFrame>
    <xdr:clientData/>
  </xdr:twoCellAnchor>
  <xdr:twoCellAnchor>
    <xdr:from>
      <xdr:col>17</xdr:col>
      <xdr:colOff>57150</xdr:colOff>
      <xdr:row>66</xdr:row>
      <xdr:rowOff>28575</xdr:rowOff>
    </xdr:from>
    <xdr:to>
      <xdr:col>24</xdr:col>
      <xdr:colOff>209550</xdr:colOff>
      <xdr:row>75</xdr:row>
      <xdr:rowOff>114300</xdr:rowOff>
    </xdr:to>
    <xdr:graphicFrame macro="">
      <xdr:nvGraphicFramePr>
        <xdr:cNvPr id="25240788" name="Chart 3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6"/>
        </a:graphicData>
      </a:graphic>
    </xdr:graphicFrame>
    <xdr:clientData/>
  </xdr:twoCellAnchor>
  <xdr:twoCellAnchor>
    <xdr:from>
      <xdr:col>17</xdr:col>
      <xdr:colOff>85725</xdr:colOff>
      <xdr:row>75</xdr:row>
      <xdr:rowOff>161925</xdr:rowOff>
    </xdr:from>
    <xdr:to>
      <xdr:col>20</xdr:col>
      <xdr:colOff>342900</xdr:colOff>
      <xdr:row>83</xdr:row>
      <xdr:rowOff>152400</xdr:rowOff>
    </xdr:to>
    <xdr:graphicFrame macro="">
      <xdr:nvGraphicFramePr>
        <xdr:cNvPr id="25240789" name="Chart 3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7"/>
        </a:graphicData>
      </a:graphic>
    </xdr:graphicFrame>
    <xdr:clientData/>
  </xdr:twoCellAnchor>
  <xdr:twoCellAnchor>
    <xdr:from>
      <xdr:col>20</xdr:col>
      <xdr:colOff>390525</xdr:colOff>
      <xdr:row>75</xdr:row>
      <xdr:rowOff>95250</xdr:rowOff>
    </xdr:from>
    <xdr:to>
      <xdr:col>24</xdr:col>
      <xdr:colOff>38100</xdr:colOff>
      <xdr:row>83</xdr:row>
      <xdr:rowOff>85725</xdr:rowOff>
    </xdr:to>
    <xdr:graphicFrame macro="">
      <xdr:nvGraphicFramePr>
        <xdr:cNvPr id="25240790" name="Chart 3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8"/>
        </a:graphicData>
      </a:graphic>
    </xdr:graphicFrame>
    <xdr:clientData/>
  </xdr:twoCellAnchor>
  <xdr:twoCellAnchor>
    <xdr:from>
      <xdr:col>17</xdr:col>
      <xdr:colOff>0</xdr:colOff>
      <xdr:row>84</xdr:row>
      <xdr:rowOff>47625</xdr:rowOff>
    </xdr:from>
    <xdr:to>
      <xdr:col>20</xdr:col>
      <xdr:colOff>257175</xdr:colOff>
      <xdr:row>92</xdr:row>
      <xdr:rowOff>47625</xdr:rowOff>
    </xdr:to>
    <xdr:graphicFrame macro="">
      <xdr:nvGraphicFramePr>
        <xdr:cNvPr id="25240791" name="Chart 3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9"/>
        </a:graphicData>
      </a:graphic>
    </xdr:graphicFrame>
    <xdr:clientData/>
  </xdr:twoCellAnchor>
  <xdr:twoCellAnchor>
    <xdr:from>
      <xdr:col>20</xdr:col>
      <xdr:colOff>390525</xdr:colOff>
      <xdr:row>84</xdr:row>
      <xdr:rowOff>47625</xdr:rowOff>
    </xdr:from>
    <xdr:to>
      <xdr:col>24</xdr:col>
      <xdr:colOff>38100</xdr:colOff>
      <xdr:row>92</xdr:row>
      <xdr:rowOff>47625</xdr:rowOff>
    </xdr:to>
    <xdr:graphicFrame macro="">
      <xdr:nvGraphicFramePr>
        <xdr:cNvPr id="25240792" name="Chart 3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0"/>
        </a:graphicData>
      </a:graphic>
    </xdr:graphicFrame>
    <xdr:clientData/>
  </xdr:twoCellAnchor>
  <xdr:twoCellAnchor>
    <xdr:from>
      <xdr:col>24</xdr:col>
      <xdr:colOff>600075</xdr:colOff>
      <xdr:row>66</xdr:row>
      <xdr:rowOff>9525</xdr:rowOff>
    </xdr:from>
    <xdr:to>
      <xdr:col>32</xdr:col>
      <xdr:colOff>114300</xdr:colOff>
      <xdr:row>75</xdr:row>
      <xdr:rowOff>95250</xdr:rowOff>
    </xdr:to>
    <xdr:graphicFrame macro="">
      <xdr:nvGraphicFramePr>
        <xdr:cNvPr id="25240793" name="Chart 3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1"/>
        </a:graphicData>
      </a:graphic>
    </xdr:graphicFrame>
    <xdr:clientData/>
  </xdr:twoCellAnchor>
  <xdr:twoCellAnchor>
    <xdr:from>
      <xdr:col>25</xdr:col>
      <xdr:colOff>19050</xdr:colOff>
      <xdr:row>76</xdr:row>
      <xdr:rowOff>123825</xdr:rowOff>
    </xdr:from>
    <xdr:to>
      <xdr:col>28</xdr:col>
      <xdr:colOff>276225</xdr:colOff>
      <xdr:row>84</xdr:row>
      <xdr:rowOff>123825</xdr:rowOff>
    </xdr:to>
    <xdr:graphicFrame macro="">
      <xdr:nvGraphicFramePr>
        <xdr:cNvPr id="25240794" name="Chart 3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2"/>
        </a:graphicData>
      </a:graphic>
    </xdr:graphicFrame>
    <xdr:clientData/>
  </xdr:twoCellAnchor>
  <xdr:twoCellAnchor>
    <xdr:from>
      <xdr:col>28</xdr:col>
      <xdr:colOff>323850</xdr:colOff>
      <xdr:row>76</xdr:row>
      <xdr:rowOff>66675</xdr:rowOff>
    </xdr:from>
    <xdr:to>
      <xdr:col>31</xdr:col>
      <xdr:colOff>581025</xdr:colOff>
      <xdr:row>84</xdr:row>
      <xdr:rowOff>57150</xdr:rowOff>
    </xdr:to>
    <xdr:graphicFrame macro="">
      <xdr:nvGraphicFramePr>
        <xdr:cNvPr id="25240795" name="Chart 4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3"/>
        </a:graphicData>
      </a:graphic>
    </xdr:graphicFrame>
    <xdr:clientData/>
  </xdr:twoCellAnchor>
  <xdr:twoCellAnchor>
    <xdr:from>
      <xdr:col>24</xdr:col>
      <xdr:colOff>542925</xdr:colOff>
      <xdr:row>85</xdr:row>
      <xdr:rowOff>19050</xdr:rowOff>
    </xdr:from>
    <xdr:to>
      <xdr:col>28</xdr:col>
      <xdr:colOff>190500</xdr:colOff>
      <xdr:row>93</xdr:row>
      <xdr:rowOff>19050</xdr:rowOff>
    </xdr:to>
    <xdr:graphicFrame macro="">
      <xdr:nvGraphicFramePr>
        <xdr:cNvPr id="25240796" name="Chart 4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4"/>
        </a:graphicData>
      </a:graphic>
    </xdr:graphicFrame>
    <xdr:clientData/>
  </xdr:twoCellAnchor>
  <xdr:twoCellAnchor>
    <xdr:from>
      <xdr:col>28</xdr:col>
      <xdr:colOff>323850</xdr:colOff>
      <xdr:row>85</xdr:row>
      <xdr:rowOff>19050</xdr:rowOff>
    </xdr:from>
    <xdr:to>
      <xdr:col>31</xdr:col>
      <xdr:colOff>581025</xdr:colOff>
      <xdr:row>93</xdr:row>
      <xdr:rowOff>19050</xdr:rowOff>
    </xdr:to>
    <xdr:graphicFrame macro="">
      <xdr:nvGraphicFramePr>
        <xdr:cNvPr id="25240797" name="Chart 4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5"/>
        </a:graphicData>
      </a:graphic>
    </xdr:graphicFrame>
    <xdr:clientData/>
  </xdr:twoCellAnchor>
  <xdr:twoCellAnchor>
    <xdr:from>
      <xdr:col>27</xdr:col>
      <xdr:colOff>495300</xdr:colOff>
      <xdr:row>136</xdr:row>
      <xdr:rowOff>104775</xdr:rowOff>
    </xdr:from>
    <xdr:to>
      <xdr:col>31</xdr:col>
      <xdr:colOff>361950</xdr:colOff>
      <xdr:row>149</xdr:row>
      <xdr:rowOff>152400</xdr:rowOff>
    </xdr:to>
    <xdr:graphicFrame macro="">
      <xdr:nvGraphicFramePr>
        <xdr:cNvPr id="25240798" name="Chart 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6"/>
        </a:graphicData>
      </a:graphic>
    </xdr:graphicFrame>
    <xdr:clientData/>
  </xdr:twoCellAnchor>
  <xdr:twoCellAnchor>
    <xdr:from>
      <xdr:col>23</xdr:col>
      <xdr:colOff>533400</xdr:colOff>
      <xdr:row>123</xdr:row>
      <xdr:rowOff>9525</xdr:rowOff>
    </xdr:from>
    <xdr:to>
      <xdr:col>27</xdr:col>
      <xdr:colOff>447675</xdr:colOff>
      <xdr:row>136</xdr:row>
      <xdr:rowOff>76200</xdr:rowOff>
    </xdr:to>
    <xdr:graphicFrame macro="">
      <xdr:nvGraphicFramePr>
        <xdr:cNvPr id="25240799" name="Chart 2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7"/>
        </a:graphicData>
      </a:graphic>
    </xdr:graphicFrame>
    <xdr:clientData/>
  </xdr:twoCellAnchor>
  <xdr:twoCellAnchor>
    <xdr:from>
      <xdr:col>27</xdr:col>
      <xdr:colOff>476250</xdr:colOff>
      <xdr:row>123</xdr:row>
      <xdr:rowOff>19050</xdr:rowOff>
    </xdr:from>
    <xdr:to>
      <xdr:col>31</xdr:col>
      <xdr:colOff>371475</xdr:colOff>
      <xdr:row>136</xdr:row>
      <xdr:rowOff>66675</xdr:rowOff>
    </xdr:to>
    <xdr:graphicFrame macro="">
      <xdr:nvGraphicFramePr>
        <xdr:cNvPr id="25240800" name="Chart 2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8"/>
        </a:graphicData>
      </a:graphic>
    </xdr:graphicFrame>
    <xdr:clientData/>
  </xdr:twoCellAnchor>
  <xdr:twoCellAnchor>
    <xdr:from>
      <xdr:col>23</xdr:col>
      <xdr:colOff>533400</xdr:colOff>
      <xdr:row>136</xdr:row>
      <xdr:rowOff>114300</xdr:rowOff>
    </xdr:from>
    <xdr:to>
      <xdr:col>27</xdr:col>
      <xdr:colOff>457200</xdr:colOff>
      <xdr:row>150</xdr:row>
      <xdr:rowOff>0</xdr:rowOff>
    </xdr:to>
    <xdr:graphicFrame macro="">
      <xdr:nvGraphicFramePr>
        <xdr:cNvPr id="25240801" name="Chart 2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9"/>
        </a:graphicData>
      </a:graphic>
    </xdr:graphicFrame>
    <xdr:clientData/>
  </xdr:twoCellAnchor>
  <xdr:twoCellAnchor>
    <xdr:from>
      <xdr:col>41</xdr:col>
      <xdr:colOff>304800</xdr:colOff>
      <xdr:row>125</xdr:row>
      <xdr:rowOff>9525</xdr:rowOff>
    </xdr:from>
    <xdr:to>
      <xdr:col>48</xdr:col>
      <xdr:colOff>485775</xdr:colOff>
      <xdr:row>134</xdr:row>
      <xdr:rowOff>95250</xdr:rowOff>
    </xdr:to>
    <xdr:graphicFrame macro="">
      <xdr:nvGraphicFramePr>
        <xdr:cNvPr id="25240802" name="Chart 4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0"/>
        </a:graphicData>
      </a:graphic>
    </xdr:graphicFrame>
    <xdr:clientData/>
  </xdr:twoCellAnchor>
  <xdr:twoCellAnchor>
    <xdr:from>
      <xdr:col>41</xdr:col>
      <xdr:colOff>333375</xdr:colOff>
      <xdr:row>134</xdr:row>
      <xdr:rowOff>142875</xdr:rowOff>
    </xdr:from>
    <xdr:to>
      <xdr:col>44</xdr:col>
      <xdr:colOff>600075</xdr:colOff>
      <xdr:row>142</xdr:row>
      <xdr:rowOff>133350</xdr:rowOff>
    </xdr:to>
    <xdr:graphicFrame macro="">
      <xdr:nvGraphicFramePr>
        <xdr:cNvPr id="25240803" name="Chart 4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1"/>
        </a:graphicData>
      </a:graphic>
    </xdr:graphicFrame>
    <xdr:clientData/>
  </xdr:twoCellAnchor>
  <xdr:twoCellAnchor>
    <xdr:from>
      <xdr:col>45</xdr:col>
      <xdr:colOff>190500</xdr:colOff>
      <xdr:row>134</xdr:row>
      <xdr:rowOff>142875</xdr:rowOff>
    </xdr:from>
    <xdr:to>
      <xdr:col>48</xdr:col>
      <xdr:colOff>466725</xdr:colOff>
      <xdr:row>142</xdr:row>
      <xdr:rowOff>142875</xdr:rowOff>
    </xdr:to>
    <xdr:graphicFrame macro="">
      <xdr:nvGraphicFramePr>
        <xdr:cNvPr id="25240804" name="Chart 4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2"/>
        </a:graphicData>
      </a:graphic>
    </xdr:graphicFrame>
    <xdr:clientData/>
  </xdr:twoCellAnchor>
  <xdr:twoCellAnchor>
    <xdr:from>
      <xdr:col>41</xdr:col>
      <xdr:colOff>247650</xdr:colOff>
      <xdr:row>143</xdr:row>
      <xdr:rowOff>28575</xdr:rowOff>
    </xdr:from>
    <xdr:to>
      <xdr:col>44</xdr:col>
      <xdr:colOff>514350</xdr:colOff>
      <xdr:row>151</xdr:row>
      <xdr:rowOff>28575</xdr:rowOff>
    </xdr:to>
    <xdr:graphicFrame macro="">
      <xdr:nvGraphicFramePr>
        <xdr:cNvPr id="25240805" name="Chart 4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3"/>
        </a:graphicData>
      </a:graphic>
    </xdr:graphicFrame>
    <xdr:clientData/>
  </xdr:twoCellAnchor>
  <xdr:twoCellAnchor>
    <xdr:from>
      <xdr:col>45</xdr:col>
      <xdr:colOff>171450</xdr:colOff>
      <xdr:row>143</xdr:row>
      <xdr:rowOff>28575</xdr:rowOff>
    </xdr:from>
    <xdr:to>
      <xdr:col>48</xdr:col>
      <xdr:colOff>447675</xdr:colOff>
      <xdr:row>151</xdr:row>
      <xdr:rowOff>28575</xdr:rowOff>
    </xdr:to>
    <xdr:graphicFrame macro="">
      <xdr:nvGraphicFramePr>
        <xdr:cNvPr id="25240806" name="Chart 4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4"/>
        </a:graphicData>
      </a:graphic>
    </xdr:graphicFrame>
    <xdr:clientData/>
  </xdr:twoCellAnchor>
  <xdr:twoCellAnchor>
    <xdr:from>
      <xdr:col>1</xdr:col>
      <xdr:colOff>219075</xdr:colOff>
      <xdr:row>0</xdr:row>
      <xdr:rowOff>9525</xdr:rowOff>
    </xdr:from>
    <xdr:to>
      <xdr:col>3</xdr:col>
      <xdr:colOff>47625</xdr:colOff>
      <xdr:row>1</xdr:row>
      <xdr:rowOff>85725</xdr:rowOff>
    </xdr:to>
    <xdr:sp macro="" textlink="">
      <xdr:nvSpPr>
        <xdr:cNvPr id="79" name="TextBox 78">
          <a:hlinkClick xmlns:r="http://schemas.openxmlformats.org/officeDocument/2006/relationships" r:id="rId55"/>
        </xdr:cNvPr>
        <xdr:cNvSpPr txBox="1"/>
      </xdr:nvSpPr>
      <xdr:spPr>
        <a:xfrm>
          <a:off x="828675" y="9525"/>
          <a:ext cx="1047750" cy="238125"/>
        </a:xfrm>
        <a:prstGeom prst="rect">
          <a:avLst/>
        </a:prstGeom>
        <a:solidFill>
          <a:schemeClr val="accent1">
            <a:lumMod val="20000"/>
            <a:lumOff val="80000"/>
          </a:schemeClr>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Levelised Costs</a:t>
          </a:r>
        </a:p>
      </xdr:txBody>
    </xdr:sp>
    <xdr:clientData/>
  </xdr:twoCellAnchor>
  <xdr:twoCellAnchor>
    <xdr:from>
      <xdr:col>3</xdr:col>
      <xdr:colOff>95250</xdr:colOff>
      <xdr:row>0</xdr:row>
      <xdr:rowOff>9525</xdr:rowOff>
    </xdr:from>
    <xdr:to>
      <xdr:col>5</xdr:col>
      <xdr:colOff>28575</xdr:colOff>
      <xdr:row>1</xdr:row>
      <xdr:rowOff>85725</xdr:rowOff>
    </xdr:to>
    <xdr:sp macro="" textlink="">
      <xdr:nvSpPr>
        <xdr:cNvPr id="80" name="TextBox 79">
          <a:hlinkClick xmlns:r="http://schemas.openxmlformats.org/officeDocument/2006/relationships" r:id="rId56"/>
        </xdr:cNvPr>
        <xdr:cNvSpPr txBox="1"/>
      </xdr:nvSpPr>
      <xdr:spPr>
        <a:xfrm>
          <a:off x="1924050" y="9525"/>
          <a:ext cx="1152525" cy="238125"/>
        </a:xfrm>
        <a:prstGeom prst="rect">
          <a:avLst/>
        </a:prstGeom>
        <a:solidFill>
          <a:schemeClr val="accent3">
            <a:lumMod val="75000"/>
          </a:schemeClr>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pPr algn="ctr"/>
          <a:r>
            <a:rPr lang="en-ZA" sz="1000">
              <a:solidFill>
                <a:schemeClr val="bg1"/>
              </a:solidFill>
            </a:rPr>
            <a:t>Investment Plan</a:t>
          </a:r>
        </a:p>
      </xdr:txBody>
    </xdr:sp>
    <xdr:clientData/>
  </xdr:twoCellAnchor>
  <xdr:twoCellAnchor>
    <xdr:from>
      <xdr:col>5</xdr:col>
      <xdr:colOff>76200</xdr:colOff>
      <xdr:row>0</xdr:row>
      <xdr:rowOff>9525</xdr:rowOff>
    </xdr:from>
    <xdr:to>
      <xdr:col>6</xdr:col>
      <xdr:colOff>381000</xdr:colOff>
      <xdr:row>1</xdr:row>
      <xdr:rowOff>85725</xdr:rowOff>
    </xdr:to>
    <xdr:sp macro="" textlink="">
      <xdr:nvSpPr>
        <xdr:cNvPr id="81" name="TextBox 80">
          <a:hlinkClick xmlns:r="http://schemas.openxmlformats.org/officeDocument/2006/relationships" r:id="rId57"/>
        </xdr:cNvPr>
        <xdr:cNvSpPr txBox="1"/>
      </xdr:nvSpPr>
      <xdr:spPr>
        <a:xfrm>
          <a:off x="3124200" y="9525"/>
          <a:ext cx="914400" cy="238125"/>
        </a:xfrm>
        <a:prstGeom prst="rect">
          <a:avLst/>
        </a:prstGeom>
        <a:solidFill>
          <a:schemeClr val="accent6">
            <a:lumMod val="60000"/>
            <a:lumOff val="40000"/>
          </a:schemeClr>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solidFill>
                <a:sysClr val="windowText" lastClr="000000"/>
              </a:solidFill>
            </a:rPr>
            <a:t>System Costs</a:t>
          </a:r>
        </a:p>
      </xdr:txBody>
    </xdr:sp>
    <xdr:clientData/>
  </xdr:twoCellAnchor>
  <xdr:twoCellAnchor>
    <xdr:from>
      <xdr:col>6</xdr:col>
      <xdr:colOff>428624</xdr:colOff>
      <xdr:row>0</xdr:row>
      <xdr:rowOff>9525</xdr:rowOff>
    </xdr:from>
    <xdr:to>
      <xdr:col>8</xdr:col>
      <xdr:colOff>495299</xdr:colOff>
      <xdr:row>1</xdr:row>
      <xdr:rowOff>85725</xdr:rowOff>
    </xdr:to>
    <xdr:sp macro="" textlink="">
      <xdr:nvSpPr>
        <xdr:cNvPr id="82" name="TextBox 81">
          <a:hlinkClick xmlns:r="http://schemas.openxmlformats.org/officeDocument/2006/relationships" r:id="rId58"/>
        </xdr:cNvPr>
        <xdr:cNvSpPr txBox="1"/>
      </xdr:nvSpPr>
      <xdr:spPr>
        <a:xfrm>
          <a:off x="4086224" y="9525"/>
          <a:ext cx="1285875" cy="238125"/>
        </a:xfrm>
        <a:prstGeom prst="rect">
          <a:avLst/>
        </a:prstGeom>
        <a:solidFill>
          <a:schemeClr val="accent2">
            <a:lumMod val="20000"/>
            <a:lumOff val="80000"/>
          </a:schemeClr>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Emissions</a:t>
          </a:r>
          <a:r>
            <a:rPr lang="en-ZA" sz="1000" baseline="0"/>
            <a:t> etc</a:t>
          </a:r>
          <a:endParaRPr lang="en-ZA" sz="1000"/>
        </a:p>
      </xdr:txBody>
    </xdr:sp>
    <xdr:clientData/>
  </xdr:twoCellAnchor>
  <xdr:twoCellAnchor>
    <xdr:from>
      <xdr:col>0</xdr:col>
      <xdr:colOff>0</xdr:colOff>
      <xdr:row>59</xdr:row>
      <xdr:rowOff>0</xdr:rowOff>
    </xdr:from>
    <xdr:to>
      <xdr:col>1</xdr:col>
      <xdr:colOff>180975</xdr:colOff>
      <xdr:row>60</xdr:row>
      <xdr:rowOff>76200</xdr:rowOff>
    </xdr:to>
    <xdr:sp macro="" textlink="">
      <xdr:nvSpPr>
        <xdr:cNvPr id="83" name="TextBox 82">
          <a:hlinkClick xmlns:r="http://schemas.openxmlformats.org/officeDocument/2006/relationships" r:id="rId59"/>
        </xdr:cNvPr>
        <xdr:cNvSpPr txBox="1"/>
      </xdr:nvSpPr>
      <xdr:spPr>
        <a:xfrm>
          <a:off x="0" y="9686925"/>
          <a:ext cx="790575" cy="238125"/>
        </a:xfrm>
        <a:prstGeom prst="rect">
          <a:avLst/>
        </a:prstGeom>
        <a:solidFill>
          <a:srgbClr val="FFFF00"/>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Main</a:t>
          </a:r>
          <a:r>
            <a:rPr lang="en-ZA" sz="1000" baseline="0"/>
            <a:t> menu</a:t>
          </a:r>
          <a:endParaRPr lang="en-ZA" sz="1000"/>
        </a:p>
      </xdr:txBody>
    </xdr:sp>
    <xdr:clientData/>
  </xdr:twoCellAnchor>
  <xdr:twoCellAnchor>
    <xdr:from>
      <xdr:col>1</xdr:col>
      <xdr:colOff>219075</xdr:colOff>
      <xdr:row>59</xdr:row>
      <xdr:rowOff>9525</xdr:rowOff>
    </xdr:from>
    <xdr:to>
      <xdr:col>3</xdr:col>
      <xdr:colOff>47625</xdr:colOff>
      <xdr:row>60</xdr:row>
      <xdr:rowOff>85725</xdr:rowOff>
    </xdr:to>
    <xdr:sp macro="" textlink="">
      <xdr:nvSpPr>
        <xdr:cNvPr id="84" name="TextBox 83">
          <a:hlinkClick xmlns:r="http://schemas.openxmlformats.org/officeDocument/2006/relationships" r:id="rId60"/>
        </xdr:cNvPr>
        <xdr:cNvSpPr txBox="1"/>
      </xdr:nvSpPr>
      <xdr:spPr>
        <a:xfrm>
          <a:off x="828675" y="9696450"/>
          <a:ext cx="1047750" cy="238125"/>
        </a:xfrm>
        <a:prstGeom prst="rect">
          <a:avLst/>
        </a:prstGeom>
        <a:solidFill>
          <a:schemeClr val="accent1">
            <a:lumMod val="20000"/>
            <a:lumOff val="80000"/>
          </a:schemeClr>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Levelised Costs</a:t>
          </a:r>
        </a:p>
      </xdr:txBody>
    </xdr:sp>
    <xdr:clientData/>
  </xdr:twoCellAnchor>
  <xdr:twoCellAnchor>
    <xdr:from>
      <xdr:col>3</xdr:col>
      <xdr:colOff>95250</xdr:colOff>
      <xdr:row>59</xdr:row>
      <xdr:rowOff>9525</xdr:rowOff>
    </xdr:from>
    <xdr:to>
      <xdr:col>5</xdr:col>
      <xdr:colOff>28575</xdr:colOff>
      <xdr:row>60</xdr:row>
      <xdr:rowOff>85725</xdr:rowOff>
    </xdr:to>
    <xdr:sp macro="" textlink="">
      <xdr:nvSpPr>
        <xdr:cNvPr id="85" name="TextBox 84">
          <a:hlinkClick xmlns:r="http://schemas.openxmlformats.org/officeDocument/2006/relationships" r:id="rId61"/>
        </xdr:cNvPr>
        <xdr:cNvSpPr txBox="1"/>
      </xdr:nvSpPr>
      <xdr:spPr>
        <a:xfrm>
          <a:off x="1924050" y="9696450"/>
          <a:ext cx="1152525" cy="238125"/>
        </a:xfrm>
        <a:prstGeom prst="rect">
          <a:avLst/>
        </a:prstGeom>
        <a:solidFill>
          <a:schemeClr val="accent3">
            <a:lumMod val="75000"/>
          </a:schemeClr>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pPr algn="ctr"/>
          <a:r>
            <a:rPr lang="en-ZA" sz="1000">
              <a:solidFill>
                <a:schemeClr val="bg1"/>
              </a:solidFill>
            </a:rPr>
            <a:t>Investment Plan</a:t>
          </a:r>
        </a:p>
      </xdr:txBody>
    </xdr:sp>
    <xdr:clientData/>
  </xdr:twoCellAnchor>
  <xdr:twoCellAnchor>
    <xdr:from>
      <xdr:col>5</xdr:col>
      <xdr:colOff>76200</xdr:colOff>
      <xdr:row>59</xdr:row>
      <xdr:rowOff>9525</xdr:rowOff>
    </xdr:from>
    <xdr:to>
      <xdr:col>6</xdr:col>
      <xdr:colOff>381000</xdr:colOff>
      <xdr:row>60</xdr:row>
      <xdr:rowOff>85725</xdr:rowOff>
    </xdr:to>
    <xdr:sp macro="" textlink="">
      <xdr:nvSpPr>
        <xdr:cNvPr id="86" name="TextBox 85">
          <a:hlinkClick xmlns:r="http://schemas.openxmlformats.org/officeDocument/2006/relationships" r:id="rId62"/>
        </xdr:cNvPr>
        <xdr:cNvSpPr txBox="1"/>
      </xdr:nvSpPr>
      <xdr:spPr>
        <a:xfrm>
          <a:off x="3124200" y="9696450"/>
          <a:ext cx="914400" cy="238125"/>
        </a:xfrm>
        <a:prstGeom prst="rect">
          <a:avLst/>
        </a:prstGeom>
        <a:solidFill>
          <a:schemeClr val="accent6">
            <a:lumMod val="60000"/>
            <a:lumOff val="40000"/>
          </a:schemeClr>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solidFill>
                <a:sysClr val="windowText" lastClr="000000"/>
              </a:solidFill>
            </a:rPr>
            <a:t>System Costs</a:t>
          </a:r>
        </a:p>
      </xdr:txBody>
    </xdr:sp>
    <xdr:clientData/>
  </xdr:twoCellAnchor>
  <xdr:twoCellAnchor>
    <xdr:from>
      <xdr:col>6</xdr:col>
      <xdr:colOff>428624</xdr:colOff>
      <xdr:row>59</xdr:row>
      <xdr:rowOff>9525</xdr:rowOff>
    </xdr:from>
    <xdr:to>
      <xdr:col>8</xdr:col>
      <xdr:colOff>495299</xdr:colOff>
      <xdr:row>60</xdr:row>
      <xdr:rowOff>85725</xdr:rowOff>
    </xdr:to>
    <xdr:sp macro="" textlink="">
      <xdr:nvSpPr>
        <xdr:cNvPr id="87" name="TextBox 86">
          <a:hlinkClick xmlns:r="http://schemas.openxmlformats.org/officeDocument/2006/relationships" r:id="rId63"/>
        </xdr:cNvPr>
        <xdr:cNvSpPr txBox="1"/>
      </xdr:nvSpPr>
      <xdr:spPr>
        <a:xfrm>
          <a:off x="4086224" y="9696450"/>
          <a:ext cx="1285875" cy="238125"/>
        </a:xfrm>
        <a:prstGeom prst="rect">
          <a:avLst/>
        </a:prstGeom>
        <a:solidFill>
          <a:schemeClr val="accent2">
            <a:lumMod val="20000"/>
            <a:lumOff val="80000"/>
          </a:schemeClr>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Emissions</a:t>
          </a:r>
          <a:r>
            <a:rPr lang="en-ZA" sz="1000" baseline="0"/>
            <a:t> etc</a:t>
          </a:r>
          <a:endParaRPr lang="en-ZA" sz="1000"/>
        </a:p>
      </xdr:txBody>
    </xdr:sp>
    <xdr:clientData/>
  </xdr:twoCellAnchor>
  <xdr:twoCellAnchor>
    <xdr:from>
      <xdr:col>0</xdr:col>
      <xdr:colOff>0</xdr:colOff>
      <xdr:row>119</xdr:row>
      <xdr:rowOff>0</xdr:rowOff>
    </xdr:from>
    <xdr:to>
      <xdr:col>1</xdr:col>
      <xdr:colOff>180975</xdr:colOff>
      <xdr:row>120</xdr:row>
      <xdr:rowOff>76200</xdr:rowOff>
    </xdr:to>
    <xdr:sp macro="" textlink="">
      <xdr:nvSpPr>
        <xdr:cNvPr id="93" name="TextBox 92">
          <a:hlinkClick xmlns:r="http://schemas.openxmlformats.org/officeDocument/2006/relationships" r:id="rId64"/>
        </xdr:cNvPr>
        <xdr:cNvSpPr txBox="1"/>
      </xdr:nvSpPr>
      <xdr:spPr>
        <a:xfrm>
          <a:off x="0" y="19431000"/>
          <a:ext cx="790575" cy="238125"/>
        </a:xfrm>
        <a:prstGeom prst="rect">
          <a:avLst/>
        </a:prstGeom>
        <a:solidFill>
          <a:srgbClr val="FFFF00"/>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Main</a:t>
          </a:r>
          <a:r>
            <a:rPr lang="en-ZA" sz="1000" baseline="0"/>
            <a:t> menu</a:t>
          </a:r>
          <a:endParaRPr lang="en-ZA" sz="1000"/>
        </a:p>
      </xdr:txBody>
    </xdr:sp>
    <xdr:clientData/>
  </xdr:twoCellAnchor>
  <xdr:twoCellAnchor>
    <xdr:from>
      <xdr:col>1</xdr:col>
      <xdr:colOff>219075</xdr:colOff>
      <xdr:row>119</xdr:row>
      <xdr:rowOff>9525</xdr:rowOff>
    </xdr:from>
    <xdr:to>
      <xdr:col>3</xdr:col>
      <xdr:colOff>47625</xdr:colOff>
      <xdr:row>120</xdr:row>
      <xdr:rowOff>85725</xdr:rowOff>
    </xdr:to>
    <xdr:sp macro="" textlink="">
      <xdr:nvSpPr>
        <xdr:cNvPr id="94" name="TextBox 93">
          <a:hlinkClick xmlns:r="http://schemas.openxmlformats.org/officeDocument/2006/relationships" r:id="rId65"/>
        </xdr:cNvPr>
        <xdr:cNvSpPr txBox="1"/>
      </xdr:nvSpPr>
      <xdr:spPr>
        <a:xfrm>
          <a:off x="828675" y="19440525"/>
          <a:ext cx="1047750" cy="238125"/>
        </a:xfrm>
        <a:prstGeom prst="rect">
          <a:avLst/>
        </a:prstGeom>
        <a:solidFill>
          <a:schemeClr val="accent1">
            <a:lumMod val="20000"/>
            <a:lumOff val="80000"/>
          </a:schemeClr>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Levelised Costs</a:t>
          </a:r>
        </a:p>
      </xdr:txBody>
    </xdr:sp>
    <xdr:clientData/>
  </xdr:twoCellAnchor>
  <xdr:twoCellAnchor>
    <xdr:from>
      <xdr:col>3</xdr:col>
      <xdr:colOff>95250</xdr:colOff>
      <xdr:row>119</xdr:row>
      <xdr:rowOff>9525</xdr:rowOff>
    </xdr:from>
    <xdr:to>
      <xdr:col>5</xdr:col>
      <xdr:colOff>28575</xdr:colOff>
      <xdr:row>120</xdr:row>
      <xdr:rowOff>85725</xdr:rowOff>
    </xdr:to>
    <xdr:sp macro="" textlink="">
      <xdr:nvSpPr>
        <xdr:cNvPr id="95" name="TextBox 94">
          <a:hlinkClick xmlns:r="http://schemas.openxmlformats.org/officeDocument/2006/relationships" r:id="rId66"/>
        </xdr:cNvPr>
        <xdr:cNvSpPr txBox="1"/>
      </xdr:nvSpPr>
      <xdr:spPr>
        <a:xfrm>
          <a:off x="1924050" y="19440525"/>
          <a:ext cx="1152525" cy="238125"/>
        </a:xfrm>
        <a:prstGeom prst="rect">
          <a:avLst/>
        </a:prstGeom>
        <a:solidFill>
          <a:schemeClr val="accent3">
            <a:lumMod val="75000"/>
          </a:schemeClr>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pPr algn="ctr"/>
          <a:r>
            <a:rPr lang="en-ZA" sz="1000">
              <a:solidFill>
                <a:schemeClr val="bg1"/>
              </a:solidFill>
            </a:rPr>
            <a:t>Investment Plan</a:t>
          </a:r>
        </a:p>
      </xdr:txBody>
    </xdr:sp>
    <xdr:clientData/>
  </xdr:twoCellAnchor>
  <xdr:twoCellAnchor>
    <xdr:from>
      <xdr:col>5</xdr:col>
      <xdr:colOff>76200</xdr:colOff>
      <xdr:row>119</xdr:row>
      <xdr:rowOff>9525</xdr:rowOff>
    </xdr:from>
    <xdr:to>
      <xdr:col>6</xdr:col>
      <xdr:colOff>381000</xdr:colOff>
      <xdr:row>120</xdr:row>
      <xdr:rowOff>85725</xdr:rowOff>
    </xdr:to>
    <xdr:sp macro="" textlink="">
      <xdr:nvSpPr>
        <xdr:cNvPr id="96" name="TextBox 95">
          <a:hlinkClick xmlns:r="http://schemas.openxmlformats.org/officeDocument/2006/relationships" r:id="rId67"/>
        </xdr:cNvPr>
        <xdr:cNvSpPr txBox="1"/>
      </xdr:nvSpPr>
      <xdr:spPr>
        <a:xfrm>
          <a:off x="3124200" y="19440525"/>
          <a:ext cx="914400" cy="238125"/>
        </a:xfrm>
        <a:prstGeom prst="rect">
          <a:avLst/>
        </a:prstGeom>
        <a:solidFill>
          <a:schemeClr val="accent6">
            <a:lumMod val="60000"/>
            <a:lumOff val="40000"/>
          </a:schemeClr>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solidFill>
                <a:sysClr val="windowText" lastClr="000000"/>
              </a:solidFill>
            </a:rPr>
            <a:t>System Costs</a:t>
          </a:r>
        </a:p>
      </xdr:txBody>
    </xdr:sp>
    <xdr:clientData/>
  </xdr:twoCellAnchor>
  <xdr:twoCellAnchor>
    <xdr:from>
      <xdr:col>6</xdr:col>
      <xdr:colOff>428624</xdr:colOff>
      <xdr:row>119</xdr:row>
      <xdr:rowOff>9525</xdr:rowOff>
    </xdr:from>
    <xdr:to>
      <xdr:col>8</xdr:col>
      <xdr:colOff>495299</xdr:colOff>
      <xdr:row>120</xdr:row>
      <xdr:rowOff>85725</xdr:rowOff>
    </xdr:to>
    <xdr:sp macro="" textlink="">
      <xdr:nvSpPr>
        <xdr:cNvPr id="97" name="TextBox 96">
          <a:hlinkClick xmlns:r="http://schemas.openxmlformats.org/officeDocument/2006/relationships" r:id="rId68"/>
        </xdr:cNvPr>
        <xdr:cNvSpPr txBox="1"/>
      </xdr:nvSpPr>
      <xdr:spPr>
        <a:xfrm>
          <a:off x="4086224" y="19440525"/>
          <a:ext cx="1285875" cy="238125"/>
        </a:xfrm>
        <a:prstGeom prst="rect">
          <a:avLst/>
        </a:prstGeom>
        <a:solidFill>
          <a:schemeClr val="accent2">
            <a:lumMod val="20000"/>
            <a:lumOff val="80000"/>
          </a:schemeClr>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Emissions</a:t>
          </a:r>
          <a:r>
            <a:rPr lang="en-ZA" sz="1000" baseline="0"/>
            <a:t> etc</a:t>
          </a:r>
          <a:endParaRPr lang="en-ZA" sz="1000"/>
        </a:p>
      </xdr:txBody>
    </xdr:sp>
    <xdr:clientData/>
  </xdr:twoCellAnchor>
</xdr:wsDr>
</file>

<file path=xl/drawings/drawing9.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790575</xdr:colOff>
      <xdr:row>1</xdr:row>
      <xdr:rowOff>76200</xdr:rowOff>
    </xdr:to>
    <xdr:sp macro="" textlink="">
      <xdr:nvSpPr>
        <xdr:cNvPr id="2" name="TextBox 1">
          <a:hlinkClick xmlns:r="http://schemas.openxmlformats.org/officeDocument/2006/relationships" r:id="rId1"/>
        </xdr:cNvPr>
        <xdr:cNvSpPr txBox="1"/>
      </xdr:nvSpPr>
      <xdr:spPr>
        <a:xfrm>
          <a:off x="0" y="0"/>
          <a:ext cx="790575" cy="238125"/>
        </a:xfrm>
        <a:prstGeom prst="rect">
          <a:avLst/>
        </a:prstGeom>
        <a:solidFill>
          <a:srgbClr val="FFFF00"/>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Main</a:t>
          </a:r>
          <a:r>
            <a:rPr lang="en-ZA" sz="1000" baseline="0"/>
            <a:t> menu</a:t>
          </a:r>
          <a:endParaRPr lang="en-ZA" sz="1000"/>
        </a:p>
      </xdr:txBody>
    </xdr:sp>
    <xdr:clientData/>
  </xdr:twoCellAnchor>
  <xdr:twoCellAnchor>
    <xdr:from>
      <xdr:col>27</xdr:col>
      <xdr:colOff>114300</xdr:colOff>
      <xdr:row>8</xdr:row>
      <xdr:rowOff>9525</xdr:rowOff>
    </xdr:from>
    <xdr:to>
      <xdr:col>41</xdr:col>
      <xdr:colOff>9525</xdr:colOff>
      <xdr:row>32</xdr:row>
      <xdr:rowOff>47625</xdr:rowOff>
    </xdr:to>
    <xdr:graphicFrame macro="">
      <xdr:nvGraphicFramePr>
        <xdr:cNvPr id="25292923" name="Chart 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67</xdr:col>
      <xdr:colOff>38100</xdr:colOff>
      <xdr:row>8</xdr:row>
      <xdr:rowOff>19050</xdr:rowOff>
    </xdr:from>
    <xdr:to>
      <xdr:col>75</xdr:col>
      <xdr:colOff>257175</xdr:colOff>
      <xdr:row>32</xdr:row>
      <xdr:rowOff>57150</xdr:rowOff>
    </xdr:to>
    <xdr:graphicFrame macro="">
      <xdr:nvGraphicFramePr>
        <xdr:cNvPr id="25292924"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27</xdr:col>
      <xdr:colOff>190500</xdr:colOff>
      <xdr:row>36</xdr:row>
      <xdr:rowOff>38100</xdr:rowOff>
    </xdr:from>
    <xdr:to>
      <xdr:col>39</xdr:col>
      <xdr:colOff>304800</xdr:colOff>
      <xdr:row>60</xdr:row>
      <xdr:rowOff>123825</xdr:rowOff>
    </xdr:to>
    <xdr:graphicFrame macro="">
      <xdr:nvGraphicFramePr>
        <xdr:cNvPr id="25292925" name="Chart 1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28</xdr:col>
      <xdr:colOff>0</xdr:colOff>
      <xdr:row>104</xdr:row>
      <xdr:rowOff>9525</xdr:rowOff>
    </xdr:from>
    <xdr:to>
      <xdr:col>40</xdr:col>
      <xdr:colOff>104775</xdr:colOff>
      <xdr:row>134</xdr:row>
      <xdr:rowOff>38100</xdr:rowOff>
    </xdr:to>
    <xdr:graphicFrame macro="">
      <xdr:nvGraphicFramePr>
        <xdr:cNvPr id="25292926" name="Chart 1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27</xdr:col>
      <xdr:colOff>323850</xdr:colOff>
      <xdr:row>140</xdr:row>
      <xdr:rowOff>85725</xdr:rowOff>
    </xdr:from>
    <xdr:to>
      <xdr:col>39</xdr:col>
      <xdr:colOff>104775</xdr:colOff>
      <xdr:row>166</xdr:row>
      <xdr:rowOff>66675</xdr:rowOff>
    </xdr:to>
    <xdr:graphicFrame macro="">
      <xdr:nvGraphicFramePr>
        <xdr:cNvPr id="25292927" name="Chart 1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27</xdr:col>
      <xdr:colOff>219075</xdr:colOff>
      <xdr:row>62</xdr:row>
      <xdr:rowOff>114300</xdr:rowOff>
    </xdr:from>
    <xdr:to>
      <xdr:col>39</xdr:col>
      <xdr:colOff>333375</xdr:colOff>
      <xdr:row>84</xdr:row>
      <xdr:rowOff>95250</xdr:rowOff>
    </xdr:to>
    <xdr:graphicFrame macro="">
      <xdr:nvGraphicFramePr>
        <xdr:cNvPr id="25292928" name="Chart 1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14</xdr:col>
      <xdr:colOff>200025</xdr:colOff>
      <xdr:row>63</xdr:row>
      <xdr:rowOff>85725</xdr:rowOff>
    </xdr:from>
    <xdr:to>
      <xdr:col>26</xdr:col>
      <xdr:colOff>314325</xdr:colOff>
      <xdr:row>80</xdr:row>
      <xdr:rowOff>76200</xdr:rowOff>
    </xdr:to>
    <xdr:graphicFrame macro="">
      <xdr:nvGraphicFramePr>
        <xdr:cNvPr id="25292929" name="Chart 1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xdr:col>
      <xdr:colOff>142875</xdr:colOff>
      <xdr:row>191</xdr:row>
      <xdr:rowOff>95250</xdr:rowOff>
    </xdr:from>
    <xdr:to>
      <xdr:col>11</xdr:col>
      <xdr:colOff>257175</xdr:colOff>
      <xdr:row>215</xdr:row>
      <xdr:rowOff>85725</xdr:rowOff>
    </xdr:to>
    <xdr:graphicFrame macro="">
      <xdr:nvGraphicFramePr>
        <xdr:cNvPr id="25292930" name="Chart 1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12</xdr:col>
      <xdr:colOff>76200</xdr:colOff>
      <xdr:row>191</xdr:row>
      <xdr:rowOff>142875</xdr:rowOff>
    </xdr:from>
    <xdr:to>
      <xdr:col>22</xdr:col>
      <xdr:colOff>352425</xdr:colOff>
      <xdr:row>215</xdr:row>
      <xdr:rowOff>85725</xdr:rowOff>
    </xdr:to>
    <xdr:graphicFrame macro="">
      <xdr:nvGraphicFramePr>
        <xdr:cNvPr id="25292931" name="Chart 1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101</xdr:col>
      <xdr:colOff>0</xdr:colOff>
      <xdr:row>174</xdr:row>
      <xdr:rowOff>0</xdr:rowOff>
    </xdr:from>
    <xdr:to>
      <xdr:col>107</xdr:col>
      <xdr:colOff>171450</xdr:colOff>
      <xdr:row>202</xdr:row>
      <xdr:rowOff>57150</xdr:rowOff>
    </xdr:to>
    <xdr:graphicFrame macro="">
      <xdr:nvGraphicFramePr>
        <xdr:cNvPr id="25292932" name="Chart 2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33</xdr:col>
      <xdr:colOff>323850</xdr:colOff>
      <xdr:row>271</xdr:row>
      <xdr:rowOff>66675</xdr:rowOff>
    </xdr:from>
    <xdr:to>
      <xdr:col>40</xdr:col>
      <xdr:colOff>257175</xdr:colOff>
      <xdr:row>284</xdr:row>
      <xdr:rowOff>152400</xdr:rowOff>
    </xdr:to>
    <xdr:graphicFrame macro="">
      <xdr:nvGraphicFramePr>
        <xdr:cNvPr id="25292933" name="Chart 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27</xdr:col>
      <xdr:colOff>133350</xdr:colOff>
      <xdr:row>222</xdr:row>
      <xdr:rowOff>0</xdr:rowOff>
    </xdr:from>
    <xdr:to>
      <xdr:col>37</xdr:col>
      <xdr:colOff>190500</xdr:colOff>
      <xdr:row>247</xdr:row>
      <xdr:rowOff>142875</xdr:rowOff>
    </xdr:to>
    <xdr:graphicFrame macro="">
      <xdr:nvGraphicFramePr>
        <xdr:cNvPr id="25292934" name="Chart 2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27</xdr:col>
      <xdr:colOff>152400</xdr:colOff>
      <xdr:row>257</xdr:row>
      <xdr:rowOff>19050</xdr:rowOff>
    </xdr:from>
    <xdr:to>
      <xdr:col>34</xdr:col>
      <xdr:colOff>133350</xdr:colOff>
      <xdr:row>271</xdr:row>
      <xdr:rowOff>38100</xdr:rowOff>
    </xdr:to>
    <xdr:graphicFrame macro="">
      <xdr:nvGraphicFramePr>
        <xdr:cNvPr id="25292935" name="Chart 2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33</xdr:col>
      <xdr:colOff>333375</xdr:colOff>
      <xdr:row>257</xdr:row>
      <xdr:rowOff>38100</xdr:rowOff>
    </xdr:from>
    <xdr:to>
      <xdr:col>40</xdr:col>
      <xdr:colOff>276225</xdr:colOff>
      <xdr:row>271</xdr:row>
      <xdr:rowOff>28575</xdr:rowOff>
    </xdr:to>
    <xdr:graphicFrame macro="">
      <xdr:nvGraphicFramePr>
        <xdr:cNvPr id="25292936" name="Chart 2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27</xdr:col>
      <xdr:colOff>123825</xdr:colOff>
      <xdr:row>271</xdr:row>
      <xdr:rowOff>66675</xdr:rowOff>
    </xdr:from>
    <xdr:to>
      <xdr:col>34</xdr:col>
      <xdr:colOff>76200</xdr:colOff>
      <xdr:row>284</xdr:row>
      <xdr:rowOff>152400</xdr:rowOff>
    </xdr:to>
    <xdr:graphicFrame macro="">
      <xdr:nvGraphicFramePr>
        <xdr:cNvPr id="25292937" name="Chart 2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1</xdr:col>
      <xdr:colOff>28575</xdr:colOff>
      <xdr:row>304</xdr:row>
      <xdr:rowOff>0</xdr:rowOff>
    </xdr:from>
    <xdr:to>
      <xdr:col>13</xdr:col>
      <xdr:colOff>9525</xdr:colOff>
      <xdr:row>313</xdr:row>
      <xdr:rowOff>133350</xdr:rowOff>
    </xdr:to>
    <xdr:graphicFrame macro="">
      <xdr:nvGraphicFramePr>
        <xdr:cNvPr id="25292938" name="Chart 3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14</xdr:col>
      <xdr:colOff>19050</xdr:colOff>
      <xdr:row>304</xdr:row>
      <xdr:rowOff>38100</xdr:rowOff>
    </xdr:from>
    <xdr:to>
      <xdr:col>25</xdr:col>
      <xdr:colOff>342900</xdr:colOff>
      <xdr:row>314</xdr:row>
      <xdr:rowOff>9525</xdr:rowOff>
    </xdr:to>
    <xdr:graphicFrame macro="">
      <xdr:nvGraphicFramePr>
        <xdr:cNvPr id="25292939" name="Chart 3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twoCellAnchor>
    <xdr:from>
      <xdr:col>1</xdr:col>
      <xdr:colOff>57150</xdr:colOff>
      <xdr:row>314</xdr:row>
      <xdr:rowOff>19050</xdr:rowOff>
    </xdr:from>
    <xdr:to>
      <xdr:col>6</xdr:col>
      <xdr:colOff>295275</xdr:colOff>
      <xdr:row>322</xdr:row>
      <xdr:rowOff>57150</xdr:rowOff>
    </xdr:to>
    <xdr:graphicFrame macro="">
      <xdr:nvGraphicFramePr>
        <xdr:cNvPr id="25292940" name="Chart 3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twoCellAnchor>
    <xdr:from>
      <xdr:col>6</xdr:col>
      <xdr:colOff>342900</xdr:colOff>
      <xdr:row>313</xdr:row>
      <xdr:rowOff>114300</xdr:rowOff>
    </xdr:from>
    <xdr:to>
      <xdr:col>12</xdr:col>
      <xdr:colOff>209550</xdr:colOff>
      <xdr:row>321</xdr:row>
      <xdr:rowOff>152400</xdr:rowOff>
    </xdr:to>
    <xdr:graphicFrame macro="">
      <xdr:nvGraphicFramePr>
        <xdr:cNvPr id="25292941" name="Chart 3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twoCellAnchor>
    <xdr:from>
      <xdr:col>0</xdr:col>
      <xdr:colOff>1581150</xdr:colOff>
      <xdr:row>322</xdr:row>
      <xdr:rowOff>114300</xdr:rowOff>
    </xdr:from>
    <xdr:to>
      <xdr:col>6</xdr:col>
      <xdr:colOff>209550</xdr:colOff>
      <xdr:row>330</xdr:row>
      <xdr:rowOff>152400</xdr:rowOff>
    </xdr:to>
    <xdr:graphicFrame macro="">
      <xdr:nvGraphicFramePr>
        <xdr:cNvPr id="25292942" name="Chart 3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xdr:twoCellAnchor>
  <xdr:twoCellAnchor>
    <xdr:from>
      <xdr:col>6</xdr:col>
      <xdr:colOff>342900</xdr:colOff>
      <xdr:row>322</xdr:row>
      <xdr:rowOff>114300</xdr:rowOff>
    </xdr:from>
    <xdr:to>
      <xdr:col>12</xdr:col>
      <xdr:colOff>209550</xdr:colOff>
      <xdr:row>330</xdr:row>
      <xdr:rowOff>152400</xdr:rowOff>
    </xdr:to>
    <xdr:graphicFrame macro="">
      <xdr:nvGraphicFramePr>
        <xdr:cNvPr id="25292943" name="Chart 3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
        </a:graphicData>
      </a:graphic>
    </xdr:graphicFrame>
    <xdr:clientData/>
  </xdr:twoCellAnchor>
  <xdr:twoCellAnchor>
    <xdr:from>
      <xdr:col>14</xdr:col>
      <xdr:colOff>47625</xdr:colOff>
      <xdr:row>315</xdr:row>
      <xdr:rowOff>47625</xdr:rowOff>
    </xdr:from>
    <xdr:to>
      <xdr:col>19</xdr:col>
      <xdr:colOff>285750</xdr:colOff>
      <xdr:row>323</xdr:row>
      <xdr:rowOff>85725</xdr:rowOff>
    </xdr:to>
    <xdr:graphicFrame macro="">
      <xdr:nvGraphicFramePr>
        <xdr:cNvPr id="25292944" name="Chart 3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
        </a:graphicData>
      </a:graphic>
    </xdr:graphicFrame>
    <xdr:clientData/>
  </xdr:twoCellAnchor>
  <xdr:twoCellAnchor>
    <xdr:from>
      <xdr:col>19</xdr:col>
      <xdr:colOff>333375</xdr:colOff>
      <xdr:row>314</xdr:row>
      <xdr:rowOff>142875</xdr:rowOff>
    </xdr:from>
    <xdr:to>
      <xdr:col>25</xdr:col>
      <xdr:colOff>200025</xdr:colOff>
      <xdr:row>323</xdr:row>
      <xdr:rowOff>19050</xdr:rowOff>
    </xdr:to>
    <xdr:graphicFrame macro="">
      <xdr:nvGraphicFramePr>
        <xdr:cNvPr id="25292945" name="Chart 4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
        </a:graphicData>
      </a:graphic>
    </xdr:graphicFrame>
    <xdr:clientData/>
  </xdr:twoCellAnchor>
  <xdr:twoCellAnchor>
    <xdr:from>
      <xdr:col>13</xdr:col>
      <xdr:colOff>333375</xdr:colOff>
      <xdr:row>323</xdr:row>
      <xdr:rowOff>142875</xdr:rowOff>
    </xdr:from>
    <xdr:to>
      <xdr:col>19</xdr:col>
      <xdr:colOff>200025</xdr:colOff>
      <xdr:row>332</xdr:row>
      <xdr:rowOff>19050</xdr:rowOff>
    </xdr:to>
    <xdr:graphicFrame macro="">
      <xdr:nvGraphicFramePr>
        <xdr:cNvPr id="25292946" name="Chart 4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5"/>
        </a:graphicData>
      </a:graphic>
    </xdr:graphicFrame>
    <xdr:clientData/>
  </xdr:twoCellAnchor>
  <xdr:twoCellAnchor>
    <xdr:from>
      <xdr:col>19</xdr:col>
      <xdr:colOff>333375</xdr:colOff>
      <xdr:row>323</xdr:row>
      <xdr:rowOff>142875</xdr:rowOff>
    </xdr:from>
    <xdr:to>
      <xdr:col>25</xdr:col>
      <xdr:colOff>200025</xdr:colOff>
      <xdr:row>332</xdr:row>
      <xdr:rowOff>19050</xdr:rowOff>
    </xdr:to>
    <xdr:graphicFrame macro="">
      <xdr:nvGraphicFramePr>
        <xdr:cNvPr id="25292947" name="Chart 4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6"/>
        </a:graphicData>
      </a:graphic>
    </xdr:graphicFrame>
    <xdr:clientData/>
  </xdr:twoCellAnchor>
  <xdr:twoCellAnchor>
    <xdr:from>
      <xdr:col>74</xdr:col>
      <xdr:colOff>57150</xdr:colOff>
      <xdr:row>302</xdr:row>
      <xdr:rowOff>0</xdr:rowOff>
    </xdr:from>
    <xdr:to>
      <xdr:col>84</xdr:col>
      <xdr:colOff>371475</xdr:colOff>
      <xdr:row>311</xdr:row>
      <xdr:rowOff>133350</xdr:rowOff>
    </xdr:to>
    <xdr:graphicFrame macro="">
      <xdr:nvGraphicFramePr>
        <xdr:cNvPr id="25292948" name="Chart 4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7"/>
        </a:graphicData>
      </a:graphic>
    </xdr:graphicFrame>
    <xdr:clientData/>
  </xdr:twoCellAnchor>
  <xdr:twoCellAnchor>
    <xdr:from>
      <xdr:col>74</xdr:col>
      <xdr:colOff>85725</xdr:colOff>
      <xdr:row>312</xdr:row>
      <xdr:rowOff>19050</xdr:rowOff>
    </xdr:from>
    <xdr:to>
      <xdr:col>79</xdr:col>
      <xdr:colOff>9525</xdr:colOff>
      <xdr:row>320</xdr:row>
      <xdr:rowOff>57150</xdr:rowOff>
    </xdr:to>
    <xdr:graphicFrame macro="">
      <xdr:nvGraphicFramePr>
        <xdr:cNvPr id="25292949" name="Chart 4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8"/>
        </a:graphicData>
      </a:graphic>
    </xdr:graphicFrame>
    <xdr:clientData/>
  </xdr:twoCellAnchor>
  <xdr:twoCellAnchor>
    <xdr:from>
      <xdr:col>79</xdr:col>
      <xdr:colOff>57150</xdr:colOff>
      <xdr:row>311</xdr:row>
      <xdr:rowOff>114300</xdr:rowOff>
    </xdr:from>
    <xdr:to>
      <xdr:col>84</xdr:col>
      <xdr:colOff>200025</xdr:colOff>
      <xdr:row>319</xdr:row>
      <xdr:rowOff>152400</xdr:rowOff>
    </xdr:to>
    <xdr:graphicFrame macro="">
      <xdr:nvGraphicFramePr>
        <xdr:cNvPr id="25292950" name="Chart 4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9"/>
        </a:graphicData>
      </a:graphic>
    </xdr:graphicFrame>
    <xdr:clientData/>
  </xdr:twoCellAnchor>
  <xdr:twoCellAnchor>
    <xdr:from>
      <xdr:col>74</xdr:col>
      <xdr:colOff>0</xdr:colOff>
      <xdr:row>320</xdr:row>
      <xdr:rowOff>114300</xdr:rowOff>
    </xdr:from>
    <xdr:to>
      <xdr:col>78</xdr:col>
      <xdr:colOff>314325</xdr:colOff>
      <xdr:row>328</xdr:row>
      <xdr:rowOff>152400</xdr:rowOff>
    </xdr:to>
    <xdr:graphicFrame macro="">
      <xdr:nvGraphicFramePr>
        <xdr:cNvPr id="25292951" name="Chart 4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0"/>
        </a:graphicData>
      </a:graphic>
    </xdr:graphicFrame>
    <xdr:clientData/>
  </xdr:twoCellAnchor>
  <xdr:twoCellAnchor>
    <xdr:from>
      <xdr:col>79</xdr:col>
      <xdr:colOff>57150</xdr:colOff>
      <xdr:row>320</xdr:row>
      <xdr:rowOff>114300</xdr:rowOff>
    </xdr:from>
    <xdr:to>
      <xdr:col>84</xdr:col>
      <xdr:colOff>200025</xdr:colOff>
      <xdr:row>328</xdr:row>
      <xdr:rowOff>152400</xdr:rowOff>
    </xdr:to>
    <xdr:graphicFrame macro="">
      <xdr:nvGraphicFramePr>
        <xdr:cNvPr id="25292952" name="Chart 4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1"/>
        </a:graphicData>
      </a:graphic>
    </xdr:graphicFrame>
    <xdr:clientData/>
  </xdr:twoCellAnchor>
  <xdr:twoCellAnchor>
    <xdr:from>
      <xdr:col>67</xdr:col>
      <xdr:colOff>0</xdr:colOff>
      <xdr:row>36</xdr:row>
      <xdr:rowOff>0</xdr:rowOff>
    </xdr:from>
    <xdr:to>
      <xdr:col>74</xdr:col>
      <xdr:colOff>304800</xdr:colOff>
      <xdr:row>60</xdr:row>
      <xdr:rowOff>85725</xdr:rowOff>
    </xdr:to>
    <xdr:graphicFrame macro="">
      <xdr:nvGraphicFramePr>
        <xdr:cNvPr id="25292953" name="Chart 1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2"/>
        </a:graphicData>
      </a:graphic>
    </xdr:graphicFrame>
    <xdr:clientData/>
  </xdr:twoCellAnchor>
  <xdr:twoCellAnchor>
    <xdr:from>
      <xdr:col>67</xdr:col>
      <xdr:colOff>0</xdr:colOff>
      <xdr:row>64</xdr:row>
      <xdr:rowOff>0</xdr:rowOff>
    </xdr:from>
    <xdr:to>
      <xdr:col>73</xdr:col>
      <xdr:colOff>542925</xdr:colOff>
      <xdr:row>85</xdr:row>
      <xdr:rowOff>142875</xdr:rowOff>
    </xdr:to>
    <xdr:graphicFrame macro="">
      <xdr:nvGraphicFramePr>
        <xdr:cNvPr id="25292954" name="Chart 1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3"/>
        </a:graphicData>
      </a:graphic>
    </xdr:graphicFrame>
    <xdr:clientData/>
  </xdr:twoCellAnchor>
  <xdr:twoCellAnchor>
    <xdr:from>
      <xdr:col>54</xdr:col>
      <xdr:colOff>95250</xdr:colOff>
      <xdr:row>67</xdr:row>
      <xdr:rowOff>19050</xdr:rowOff>
    </xdr:from>
    <xdr:to>
      <xdr:col>66</xdr:col>
      <xdr:colOff>200025</xdr:colOff>
      <xdr:row>84</xdr:row>
      <xdr:rowOff>9525</xdr:rowOff>
    </xdr:to>
    <xdr:graphicFrame macro="">
      <xdr:nvGraphicFramePr>
        <xdr:cNvPr id="25292955" name="Chart 1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4"/>
        </a:graphicData>
      </a:graphic>
    </xdr:graphicFrame>
    <xdr:clientData/>
  </xdr:twoCellAnchor>
  <xdr:twoCellAnchor>
    <xdr:from>
      <xdr:col>67</xdr:col>
      <xdr:colOff>266700</xdr:colOff>
      <xdr:row>107</xdr:row>
      <xdr:rowOff>85725</xdr:rowOff>
    </xdr:from>
    <xdr:to>
      <xdr:col>75</xdr:col>
      <xdr:colOff>104775</xdr:colOff>
      <xdr:row>139</xdr:row>
      <xdr:rowOff>76200</xdr:rowOff>
    </xdr:to>
    <xdr:graphicFrame macro="">
      <xdr:nvGraphicFramePr>
        <xdr:cNvPr id="25292956" name="Chart 1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5"/>
        </a:graphicData>
      </a:graphic>
    </xdr:graphicFrame>
    <xdr:clientData/>
  </xdr:twoCellAnchor>
  <xdr:twoCellAnchor>
    <xdr:from>
      <xdr:col>67</xdr:col>
      <xdr:colOff>257175</xdr:colOff>
      <xdr:row>142</xdr:row>
      <xdr:rowOff>38100</xdr:rowOff>
    </xdr:from>
    <xdr:to>
      <xdr:col>73</xdr:col>
      <xdr:colOff>0</xdr:colOff>
      <xdr:row>165</xdr:row>
      <xdr:rowOff>57150</xdr:rowOff>
    </xdr:to>
    <xdr:graphicFrame macro="">
      <xdr:nvGraphicFramePr>
        <xdr:cNvPr id="25292957" name="Chart 1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6"/>
        </a:graphicData>
      </a:graphic>
    </xdr:graphicFrame>
    <xdr:clientData/>
  </xdr:twoCellAnchor>
  <xdr:twoCellAnchor>
    <xdr:from>
      <xdr:col>41</xdr:col>
      <xdr:colOff>257175</xdr:colOff>
      <xdr:row>191</xdr:row>
      <xdr:rowOff>47625</xdr:rowOff>
    </xdr:from>
    <xdr:to>
      <xdr:col>52</xdr:col>
      <xdr:colOff>0</xdr:colOff>
      <xdr:row>215</xdr:row>
      <xdr:rowOff>142875</xdr:rowOff>
    </xdr:to>
    <xdr:graphicFrame macro="">
      <xdr:nvGraphicFramePr>
        <xdr:cNvPr id="25292958" name="Chart 1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7"/>
        </a:graphicData>
      </a:graphic>
    </xdr:graphicFrame>
    <xdr:clientData/>
  </xdr:twoCellAnchor>
  <xdr:twoCellAnchor>
    <xdr:from>
      <xdr:col>52</xdr:col>
      <xdr:colOff>276225</xdr:colOff>
      <xdr:row>191</xdr:row>
      <xdr:rowOff>47625</xdr:rowOff>
    </xdr:from>
    <xdr:to>
      <xdr:col>63</xdr:col>
      <xdr:colOff>66675</xdr:colOff>
      <xdr:row>216</xdr:row>
      <xdr:rowOff>19050</xdr:rowOff>
    </xdr:to>
    <xdr:graphicFrame macro="">
      <xdr:nvGraphicFramePr>
        <xdr:cNvPr id="25292959" name="Chart 1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8"/>
        </a:graphicData>
      </a:graphic>
    </xdr:graphicFrame>
    <xdr:clientData/>
  </xdr:twoCellAnchor>
  <xdr:twoCellAnchor>
    <xdr:from>
      <xdr:col>76</xdr:col>
      <xdr:colOff>0</xdr:colOff>
      <xdr:row>76</xdr:row>
      <xdr:rowOff>0</xdr:rowOff>
    </xdr:from>
    <xdr:to>
      <xdr:col>86</xdr:col>
      <xdr:colOff>295275</xdr:colOff>
      <xdr:row>97</xdr:row>
      <xdr:rowOff>142875</xdr:rowOff>
    </xdr:to>
    <xdr:graphicFrame macro="">
      <xdr:nvGraphicFramePr>
        <xdr:cNvPr id="25292960" name="Chart 1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9"/>
        </a:graphicData>
      </a:graphic>
    </xdr:graphicFrame>
    <xdr:clientData/>
  </xdr:twoCellAnchor>
  <xdr:twoCellAnchor>
    <xdr:from>
      <xdr:col>87</xdr:col>
      <xdr:colOff>0</xdr:colOff>
      <xdr:row>76</xdr:row>
      <xdr:rowOff>0</xdr:rowOff>
    </xdr:from>
    <xdr:to>
      <xdr:col>98</xdr:col>
      <xdr:colOff>276225</xdr:colOff>
      <xdr:row>92</xdr:row>
      <xdr:rowOff>152400</xdr:rowOff>
    </xdr:to>
    <xdr:graphicFrame macro="">
      <xdr:nvGraphicFramePr>
        <xdr:cNvPr id="25292961" name="Chart 1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0"/>
        </a:graphicData>
      </a:graphic>
    </xdr:graphicFrame>
    <xdr:clientData/>
  </xdr:twoCellAnchor>
  <xdr:twoCellAnchor>
    <xdr:from>
      <xdr:col>107</xdr:col>
      <xdr:colOff>266700</xdr:colOff>
      <xdr:row>174</xdr:row>
      <xdr:rowOff>0</xdr:rowOff>
    </xdr:from>
    <xdr:to>
      <xdr:col>113</xdr:col>
      <xdr:colOff>428625</xdr:colOff>
      <xdr:row>202</xdr:row>
      <xdr:rowOff>57150</xdr:rowOff>
    </xdr:to>
    <xdr:graphicFrame macro="">
      <xdr:nvGraphicFramePr>
        <xdr:cNvPr id="25292962" name="Chart 2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1"/>
        </a:graphicData>
      </a:graphic>
    </xdr:graphicFrame>
    <xdr:clientData/>
  </xdr:twoCellAnchor>
  <xdr:twoCellAnchor>
    <xdr:from>
      <xdr:col>67</xdr:col>
      <xdr:colOff>0</xdr:colOff>
      <xdr:row>222</xdr:row>
      <xdr:rowOff>0</xdr:rowOff>
    </xdr:from>
    <xdr:to>
      <xdr:col>73</xdr:col>
      <xdr:colOff>114300</xdr:colOff>
      <xdr:row>247</xdr:row>
      <xdr:rowOff>142875</xdr:rowOff>
    </xdr:to>
    <xdr:graphicFrame macro="">
      <xdr:nvGraphicFramePr>
        <xdr:cNvPr id="25292963" name="Chart 2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2"/>
        </a:graphicData>
      </a:graphic>
    </xdr:graphicFrame>
    <xdr:clientData/>
  </xdr:twoCellAnchor>
  <xdr:twoCellAnchor>
    <xdr:from>
      <xdr:col>71</xdr:col>
      <xdr:colOff>0</xdr:colOff>
      <xdr:row>271</xdr:row>
      <xdr:rowOff>104775</xdr:rowOff>
    </xdr:from>
    <xdr:to>
      <xdr:col>75</xdr:col>
      <xdr:colOff>95250</xdr:colOff>
      <xdr:row>285</xdr:row>
      <xdr:rowOff>28575</xdr:rowOff>
    </xdr:to>
    <xdr:graphicFrame macro="">
      <xdr:nvGraphicFramePr>
        <xdr:cNvPr id="25292964" name="Chart 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3"/>
        </a:graphicData>
      </a:graphic>
    </xdr:graphicFrame>
    <xdr:clientData/>
  </xdr:twoCellAnchor>
  <xdr:twoCellAnchor>
    <xdr:from>
      <xdr:col>67</xdr:col>
      <xdr:colOff>38100</xdr:colOff>
      <xdr:row>257</xdr:row>
      <xdr:rowOff>57150</xdr:rowOff>
    </xdr:from>
    <xdr:to>
      <xdr:col>71</xdr:col>
      <xdr:colOff>180975</xdr:colOff>
      <xdr:row>271</xdr:row>
      <xdr:rowOff>76200</xdr:rowOff>
    </xdr:to>
    <xdr:graphicFrame macro="">
      <xdr:nvGraphicFramePr>
        <xdr:cNvPr id="25292965" name="Chart 2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4"/>
        </a:graphicData>
      </a:graphic>
    </xdr:graphicFrame>
    <xdr:clientData/>
  </xdr:twoCellAnchor>
  <xdr:twoCellAnchor>
    <xdr:from>
      <xdr:col>69</xdr:col>
      <xdr:colOff>476250</xdr:colOff>
      <xdr:row>253</xdr:row>
      <xdr:rowOff>19050</xdr:rowOff>
    </xdr:from>
    <xdr:to>
      <xdr:col>73</xdr:col>
      <xdr:colOff>581025</xdr:colOff>
      <xdr:row>267</xdr:row>
      <xdr:rowOff>9525</xdr:rowOff>
    </xdr:to>
    <xdr:graphicFrame macro="">
      <xdr:nvGraphicFramePr>
        <xdr:cNvPr id="25292966" name="Chart 2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5"/>
        </a:graphicData>
      </a:graphic>
    </xdr:graphicFrame>
    <xdr:clientData/>
  </xdr:twoCellAnchor>
  <xdr:twoCellAnchor>
    <xdr:from>
      <xdr:col>67</xdr:col>
      <xdr:colOff>9525</xdr:colOff>
      <xdr:row>271</xdr:row>
      <xdr:rowOff>104775</xdr:rowOff>
    </xdr:from>
    <xdr:to>
      <xdr:col>71</xdr:col>
      <xdr:colOff>123825</xdr:colOff>
      <xdr:row>285</xdr:row>
      <xdr:rowOff>28575</xdr:rowOff>
    </xdr:to>
    <xdr:graphicFrame macro="">
      <xdr:nvGraphicFramePr>
        <xdr:cNvPr id="25292967" name="Chart 2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6"/>
        </a:graphicData>
      </a:graphic>
    </xdr:graphicFrame>
    <xdr:clientData/>
  </xdr:twoCellAnchor>
  <xdr:twoCellAnchor>
    <xdr:from>
      <xdr:col>41</xdr:col>
      <xdr:colOff>57150</xdr:colOff>
      <xdr:row>303</xdr:row>
      <xdr:rowOff>19050</xdr:rowOff>
    </xdr:from>
    <xdr:to>
      <xdr:col>53</xdr:col>
      <xdr:colOff>38100</xdr:colOff>
      <xdr:row>312</xdr:row>
      <xdr:rowOff>152400</xdr:rowOff>
    </xdr:to>
    <xdr:graphicFrame macro="">
      <xdr:nvGraphicFramePr>
        <xdr:cNvPr id="25292968" name="Chart 3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7"/>
        </a:graphicData>
      </a:graphic>
    </xdr:graphicFrame>
    <xdr:clientData/>
  </xdr:twoCellAnchor>
  <xdr:twoCellAnchor>
    <xdr:from>
      <xdr:col>41</xdr:col>
      <xdr:colOff>85725</xdr:colOff>
      <xdr:row>313</xdr:row>
      <xdr:rowOff>38100</xdr:rowOff>
    </xdr:from>
    <xdr:to>
      <xdr:col>46</xdr:col>
      <xdr:colOff>323850</xdr:colOff>
      <xdr:row>321</xdr:row>
      <xdr:rowOff>76200</xdr:rowOff>
    </xdr:to>
    <xdr:graphicFrame macro="">
      <xdr:nvGraphicFramePr>
        <xdr:cNvPr id="25292969" name="Chart 3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8"/>
        </a:graphicData>
      </a:graphic>
    </xdr:graphicFrame>
    <xdr:clientData/>
  </xdr:twoCellAnchor>
  <xdr:twoCellAnchor>
    <xdr:from>
      <xdr:col>47</xdr:col>
      <xdr:colOff>0</xdr:colOff>
      <xdr:row>312</xdr:row>
      <xdr:rowOff>133350</xdr:rowOff>
    </xdr:from>
    <xdr:to>
      <xdr:col>52</xdr:col>
      <xdr:colOff>238125</xdr:colOff>
      <xdr:row>321</xdr:row>
      <xdr:rowOff>9525</xdr:rowOff>
    </xdr:to>
    <xdr:graphicFrame macro="">
      <xdr:nvGraphicFramePr>
        <xdr:cNvPr id="25292970" name="Chart 3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9"/>
        </a:graphicData>
      </a:graphic>
    </xdr:graphicFrame>
    <xdr:clientData/>
  </xdr:twoCellAnchor>
  <xdr:twoCellAnchor>
    <xdr:from>
      <xdr:col>41</xdr:col>
      <xdr:colOff>0</xdr:colOff>
      <xdr:row>321</xdr:row>
      <xdr:rowOff>133350</xdr:rowOff>
    </xdr:from>
    <xdr:to>
      <xdr:col>46</xdr:col>
      <xdr:colOff>238125</xdr:colOff>
      <xdr:row>330</xdr:row>
      <xdr:rowOff>9525</xdr:rowOff>
    </xdr:to>
    <xdr:graphicFrame macro="">
      <xdr:nvGraphicFramePr>
        <xdr:cNvPr id="25292971" name="Chart 3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0"/>
        </a:graphicData>
      </a:graphic>
    </xdr:graphicFrame>
    <xdr:clientData/>
  </xdr:twoCellAnchor>
  <xdr:twoCellAnchor>
    <xdr:from>
      <xdr:col>47</xdr:col>
      <xdr:colOff>0</xdr:colOff>
      <xdr:row>321</xdr:row>
      <xdr:rowOff>133350</xdr:rowOff>
    </xdr:from>
    <xdr:to>
      <xdr:col>52</xdr:col>
      <xdr:colOff>238125</xdr:colOff>
      <xdr:row>330</xdr:row>
      <xdr:rowOff>9525</xdr:rowOff>
    </xdr:to>
    <xdr:graphicFrame macro="">
      <xdr:nvGraphicFramePr>
        <xdr:cNvPr id="25292972" name="Chart 3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1"/>
        </a:graphicData>
      </a:graphic>
    </xdr:graphicFrame>
    <xdr:clientData/>
  </xdr:twoCellAnchor>
  <xdr:twoCellAnchor>
    <xdr:from>
      <xdr:col>54</xdr:col>
      <xdr:colOff>57150</xdr:colOff>
      <xdr:row>303</xdr:row>
      <xdr:rowOff>0</xdr:rowOff>
    </xdr:from>
    <xdr:to>
      <xdr:col>66</xdr:col>
      <xdr:colOff>9525</xdr:colOff>
      <xdr:row>312</xdr:row>
      <xdr:rowOff>133350</xdr:rowOff>
    </xdr:to>
    <xdr:graphicFrame macro="">
      <xdr:nvGraphicFramePr>
        <xdr:cNvPr id="25292973" name="Chart 3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2"/>
        </a:graphicData>
      </a:graphic>
    </xdr:graphicFrame>
    <xdr:clientData/>
  </xdr:twoCellAnchor>
  <xdr:twoCellAnchor>
    <xdr:from>
      <xdr:col>54</xdr:col>
      <xdr:colOff>85725</xdr:colOff>
      <xdr:row>314</xdr:row>
      <xdr:rowOff>9525</xdr:rowOff>
    </xdr:from>
    <xdr:to>
      <xdr:col>59</xdr:col>
      <xdr:colOff>323850</xdr:colOff>
      <xdr:row>322</xdr:row>
      <xdr:rowOff>47625</xdr:rowOff>
    </xdr:to>
    <xdr:graphicFrame macro="">
      <xdr:nvGraphicFramePr>
        <xdr:cNvPr id="25292974" name="Chart 3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3"/>
        </a:graphicData>
      </a:graphic>
    </xdr:graphicFrame>
    <xdr:clientData/>
  </xdr:twoCellAnchor>
  <xdr:twoCellAnchor>
    <xdr:from>
      <xdr:col>60</xdr:col>
      <xdr:colOff>0</xdr:colOff>
      <xdr:row>313</xdr:row>
      <xdr:rowOff>104775</xdr:rowOff>
    </xdr:from>
    <xdr:to>
      <xdr:col>65</xdr:col>
      <xdr:colOff>238125</xdr:colOff>
      <xdr:row>321</xdr:row>
      <xdr:rowOff>142875</xdr:rowOff>
    </xdr:to>
    <xdr:graphicFrame macro="">
      <xdr:nvGraphicFramePr>
        <xdr:cNvPr id="25292975" name="Chart 4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4"/>
        </a:graphicData>
      </a:graphic>
    </xdr:graphicFrame>
    <xdr:clientData/>
  </xdr:twoCellAnchor>
  <xdr:twoCellAnchor>
    <xdr:from>
      <xdr:col>54</xdr:col>
      <xdr:colOff>0</xdr:colOff>
      <xdr:row>322</xdr:row>
      <xdr:rowOff>104775</xdr:rowOff>
    </xdr:from>
    <xdr:to>
      <xdr:col>59</xdr:col>
      <xdr:colOff>238125</xdr:colOff>
      <xdr:row>330</xdr:row>
      <xdr:rowOff>142875</xdr:rowOff>
    </xdr:to>
    <xdr:graphicFrame macro="">
      <xdr:nvGraphicFramePr>
        <xdr:cNvPr id="25292976" name="Chart 4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5"/>
        </a:graphicData>
      </a:graphic>
    </xdr:graphicFrame>
    <xdr:clientData/>
  </xdr:twoCellAnchor>
  <xdr:twoCellAnchor>
    <xdr:from>
      <xdr:col>60</xdr:col>
      <xdr:colOff>0</xdr:colOff>
      <xdr:row>322</xdr:row>
      <xdr:rowOff>104775</xdr:rowOff>
    </xdr:from>
    <xdr:to>
      <xdr:col>65</xdr:col>
      <xdr:colOff>238125</xdr:colOff>
      <xdr:row>330</xdr:row>
      <xdr:rowOff>142875</xdr:rowOff>
    </xdr:to>
    <xdr:graphicFrame macro="">
      <xdr:nvGraphicFramePr>
        <xdr:cNvPr id="25292977" name="Chart 4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6"/>
        </a:graphicData>
      </a:graphic>
    </xdr:graphicFrame>
    <xdr:clientData/>
  </xdr:twoCellAnchor>
  <xdr:twoCellAnchor>
    <xdr:from>
      <xdr:col>86</xdr:col>
      <xdr:colOff>57150</xdr:colOff>
      <xdr:row>302</xdr:row>
      <xdr:rowOff>0</xdr:rowOff>
    </xdr:from>
    <xdr:to>
      <xdr:col>97</xdr:col>
      <xdr:colOff>190500</xdr:colOff>
      <xdr:row>311</xdr:row>
      <xdr:rowOff>133350</xdr:rowOff>
    </xdr:to>
    <xdr:graphicFrame macro="">
      <xdr:nvGraphicFramePr>
        <xdr:cNvPr id="25292978" name="Chart 4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7"/>
        </a:graphicData>
      </a:graphic>
    </xdr:graphicFrame>
    <xdr:clientData/>
  </xdr:twoCellAnchor>
  <xdr:twoCellAnchor>
    <xdr:from>
      <xdr:col>86</xdr:col>
      <xdr:colOff>85725</xdr:colOff>
      <xdr:row>312</xdr:row>
      <xdr:rowOff>19050</xdr:rowOff>
    </xdr:from>
    <xdr:to>
      <xdr:col>91</xdr:col>
      <xdr:colOff>219075</xdr:colOff>
      <xdr:row>320</xdr:row>
      <xdr:rowOff>57150</xdr:rowOff>
    </xdr:to>
    <xdr:graphicFrame macro="">
      <xdr:nvGraphicFramePr>
        <xdr:cNvPr id="25292979" name="Chart 4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8"/>
        </a:graphicData>
      </a:graphic>
    </xdr:graphicFrame>
    <xdr:clientData/>
  </xdr:twoCellAnchor>
  <xdr:twoCellAnchor>
    <xdr:from>
      <xdr:col>91</xdr:col>
      <xdr:colOff>266700</xdr:colOff>
      <xdr:row>311</xdr:row>
      <xdr:rowOff>114300</xdr:rowOff>
    </xdr:from>
    <xdr:to>
      <xdr:col>97</xdr:col>
      <xdr:colOff>19050</xdr:colOff>
      <xdr:row>319</xdr:row>
      <xdr:rowOff>152400</xdr:rowOff>
    </xdr:to>
    <xdr:graphicFrame macro="">
      <xdr:nvGraphicFramePr>
        <xdr:cNvPr id="25292980" name="Chart 4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9"/>
        </a:graphicData>
      </a:graphic>
    </xdr:graphicFrame>
    <xdr:clientData/>
  </xdr:twoCellAnchor>
  <xdr:twoCellAnchor>
    <xdr:from>
      <xdr:col>86</xdr:col>
      <xdr:colOff>0</xdr:colOff>
      <xdr:row>320</xdr:row>
      <xdr:rowOff>114300</xdr:rowOff>
    </xdr:from>
    <xdr:to>
      <xdr:col>91</xdr:col>
      <xdr:colOff>133350</xdr:colOff>
      <xdr:row>328</xdr:row>
      <xdr:rowOff>152400</xdr:rowOff>
    </xdr:to>
    <xdr:graphicFrame macro="">
      <xdr:nvGraphicFramePr>
        <xdr:cNvPr id="25292981" name="Chart 4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0"/>
        </a:graphicData>
      </a:graphic>
    </xdr:graphicFrame>
    <xdr:clientData/>
  </xdr:twoCellAnchor>
  <xdr:twoCellAnchor>
    <xdr:from>
      <xdr:col>91</xdr:col>
      <xdr:colOff>266700</xdr:colOff>
      <xdr:row>320</xdr:row>
      <xdr:rowOff>114300</xdr:rowOff>
    </xdr:from>
    <xdr:to>
      <xdr:col>97</xdr:col>
      <xdr:colOff>19050</xdr:colOff>
      <xdr:row>328</xdr:row>
      <xdr:rowOff>152400</xdr:rowOff>
    </xdr:to>
    <xdr:graphicFrame macro="">
      <xdr:nvGraphicFramePr>
        <xdr:cNvPr id="25292982" name="Chart 4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1"/>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xdr:col>
      <xdr:colOff>371475</xdr:colOff>
      <xdr:row>1</xdr:row>
      <xdr:rowOff>76200</xdr:rowOff>
    </xdr:to>
    <xdr:sp macro="" textlink="">
      <xdr:nvSpPr>
        <xdr:cNvPr id="2" name="TextBox 1">
          <a:hlinkClick xmlns:r="http://schemas.openxmlformats.org/officeDocument/2006/relationships" r:id="rId1"/>
        </xdr:cNvPr>
        <xdr:cNvSpPr txBox="1"/>
      </xdr:nvSpPr>
      <xdr:spPr>
        <a:xfrm>
          <a:off x="0" y="0"/>
          <a:ext cx="790575" cy="238125"/>
        </a:xfrm>
        <a:prstGeom prst="rect">
          <a:avLst/>
        </a:prstGeom>
        <a:solidFill>
          <a:srgbClr val="FFFF00"/>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Main</a:t>
          </a:r>
          <a:r>
            <a:rPr lang="en-ZA" sz="1000" baseline="0"/>
            <a:t> menu</a:t>
          </a:r>
          <a:endParaRPr lang="en-ZA" sz="10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15</xdr:col>
      <xdr:colOff>57150</xdr:colOff>
      <xdr:row>10</xdr:row>
      <xdr:rowOff>19050</xdr:rowOff>
    </xdr:from>
    <xdr:to>
      <xdr:col>24</xdr:col>
      <xdr:colOff>295275</xdr:colOff>
      <xdr:row>24</xdr:row>
      <xdr:rowOff>104775</xdr:rowOff>
    </xdr:to>
    <xdr:graphicFrame macro="">
      <xdr:nvGraphicFramePr>
        <xdr:cNvPr id="479517" name="Chart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absolute">
    <xdr:from>
      <xdr:col>0</xdr:col>
      <xdr:colOff>0</xdr:colOff>
      <xdr:row>0</xdr:row>
      <xdr:rowOff>0</xdr:rowOff>
    </xdr:from>
    <xdr:to>
      <xdr:col>1</xdr:col>
      <xdr:colOff>373856</xdr:colOff>
      <xdr:row>1</xdr:row>
      <xdr:rowOff>71437</xdr:rowOff>
    </xdr:to>
    <xdr:sp macro="" textlink="">
      <xdr:nvSpPr>
        <xdr:cNvPr id="3" name="TextBox 2">
          <a:hlinkClick xmlns:r="http://schemas.openxmlformats.org/officeDocument/2006/relationships" r:id="rId2"/>
        </xdr:cNvPr>
        <xdr:cNvSpPr txBox="1"/>
      </xdr:nvSpPr>
      <xdr:spPr>
        <a:xfrm>
          <a:off x="0" y="0"/>
          <a:ext cx="790575" cy="238125"/>
        </a:xfrm>
        <a:prstGeom prst="rect">
          <a:avLst/>
        </a:prstGeom>
        <a:solidFill>
          <a:srgbClr val="FFFF00"/>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Main</a:t>
          </a:r>
          <a:r>
            <a:rPr lang="en-ZA" sz="1000" baseline="0"/>
            <a:t> menu</a:t>
          </a:r>
          <a:endParaRPr lang="en-ZA" sz="1000"/>
        </a:p>
      </xdr:txBody>
    </xdr:sp>
    <xdr:clientData/>
  </xdr:twoCellAnchor>
</xdr:wsDr>
</file>

<file path=xl/drawings/drawing12.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xdr:col>
      <xdr:colOff>19050</xdr:colOff>
      <xdr:row>0</xdr:row>
      <xdr:rowOff>238125</xdr:rowOff>
    </xdr:to>
    <xdr:sp macro="" textlink="">
      <xdr:nvSpPr>
        <xdr:cNvPr id="2" name="TextBox 1">
          <a:hlinkClick xmlns:r="http://schemas.openxmlformats.org/officeDocument/2006/relationships" r:id="rId1"/>
        </xdr:cNvPr>
        <xdr:cNvSpPr txBox="1"/>
      </xdr:nvSpPr>
      <xdr:spPr>
        <a:xfrm>
          <a:off x="0" y="0"/>
          <a:ext cx="790575" cy="238125"/>
        </a:xfrm>
        <a:prstGeom prst="rect">
          <a:avLst/>
        </a:prstGeom>
        <a:solidFill>
          <a:srgbClr val="FFFF00"/>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Main</a:t>
          </a:r>
          <a:r>
            <a:rPr lang="en-ZA" sz="1000" baseline="0"/>
            <a:t> menu</a:t>
          </a:r>
          <a:endParaRPr lang="en-ZA" sz="1000"/>
        </a:p>
      </xdr:txBody>
    </xdr:sp>
    <xdr:clientData/>
  </xdr:twoCellAnchor>
</xdr:wsDr>
</file>

<file path=xl/drawings/drawing13.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xdr:col>
      <xdr:colOff>180975</xdr:colOff>
      <xdr:row>1</xdr:row>
      <xdr:rowOff>76200</xdr:rowOff>
    </xdr:to>
    <xdr:sp macro="" textlink="">
      <xdr:nvSpPr>
        <xdr:cNvPr id="2" name="TextBox 1">
          <a:hlinkClick xmlns:r="http://schemas.openxmlformats.org/officeDocument/2006/relationships" r:id="rId1"/>
        </xdr:cNvPr>
        <xdr:cNvSpPr txBox="1"/>
      </xdr:nvSpPr>
      <xdr:spPr>
        <a:xfrm>
          <a:off x="0" y="0"/>
          <a:ext cx="790575" cy="238125"/>
        </a:xfrm>
        <a:prstGeom prst="rect">
          <a:avLst/>
        </a:prstGeom>
        <a:solidFill>
          <a:srgbClr val="FFFF00"/>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Main</a:t>
          </a:r>
          <a:r>
            <a:rPr lang="en-ZA" sz="1000" baseline="0"/>
            <a:t> menu</a:t>
          </a:r>
          <a:endParaRPr lang="en-ZA" sz="1000"/>
        </a:p>
      </xdr:txBody>
    </xdr:sp>
    <xdr:clientData/>
  </xdr:twoCellAnchor>
</xdr:wsDr>
</file>

<file path=xl/drawings/drawing14.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790575</xdr:colOff>
      <xdr:row>1</xdr:row>
      <xdr:rowOff>76200</xdr:rowOff>
    </xdr:to>
    <xdr:sp macro="" textlink="">
      <xdr:nvSpPr>
        <xdr:cNvPr id="2" name="TextBox 1">
          <a:hlinkClick xmlns:r="http://schemas.openxmlformats.org/officeDocument/2006/relationships" r:id="rId1"/>
        </xdr:cNvPr>
        <xdr:cNvSpPr txBox="1"/>
      </xdr:nvSpPr>
      <xdr:spPr>
        <a:xfrm>
          <a:off x="0" y="0"/>
          <a:ext cx="790575" cy="238125"/>
        </a:xfrm>
        <a:prstGeom prst="rect">
          <a:avLst/>
        </a:prstGeom>
        <a:solidFill>
          <a:srgbClr val="FFFF00"/>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Main</a:t>
          </a:r>
          <a:r>
            <a:rPr lang="en-ZA" sz="1000" baseline="0"/>
            <a:t> menu</a:t>
          </a:r>
          <a:endParaRPr lang="en-ZA" sz="1000"/>
        </a:p>
      </xdr:txBody>
    </xdr:sp>
    <xdr:clientData/>
  </xdr:twoCellAnchor>
</xdr:wsDr>
</file>

<file path=xl/drawings/drawing15.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xdr:col>
      <xdr:colOff>180975</xdr:colOff>
      <xdr:row>1</xdr:row>
      <xdr:rowOff>76200</xdr:rowOff>
    </xdr:to>
    <xdr:sp macro="" textlink="">
      <xdr:nvSpPr>
        <xdr:cNvPr id="2" name="TextBox 1">
          <a:hlinkClick xmlns:r="http://schemas.openxmlformats.org/officeDocument/2006/relationships" r:id="rId1"/>
        </xdr:cNvPr>
        <xdr:cNvSpPr txBox="1"/>
      </xdr:nvSpPr>
      <xdr:spPr>
        <a:xfrm>
          <a:off x="0" y="0"/>
          <a:ext cx="790575" cy="238125"/>
        </a:xfrm>
        <a:prstGeom prst="rect">
          <a:avLst/>
        </a:prstGeom>
        <a:solidFill>
          <a:srgbClr val="FFFF00"/>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Main</a:t>
          </a:r>
          <a:r>
            <a:rPr lang="en-ZA" sz="1000" baseline="0"/>
            <a:t> menu</a:t>
          </a:r>
          <a:endParaRPr lang="en-ZA" sz="1000"/>
        </a:p>
      </xdr:txBody>
    </xdr:sp>
    <xdr:clientData/>
  </xdr:twoCellAnchor>
</xdr:wsDr>
</file>

<file path=xl/drawings/drawing16.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xdr:col>
      <xdr:colOff>180975</xdr:colOff>
      <xdr:row>1</xdr:row>
      <xdr:rowOff>76200</xdr:rowOff>
    </xdr:to>
    <xdr:sp macro="" textlink="">
      <xdr:nvSpPr>
        <xdr:cNvPr id="2" name="TextBox 1">
          <a:hlinkClick xmlns:r="http://schemas.openxmlformats.org/officeDocument/2006/relationships" r:id="rId1"/>
        </xdr:cNvPr>
        <xdr:cNvSpPr txBox="1"/>
      </xdr:nvSpPr>
      <xdr:spPr>
        <a:xfrm>
          <a:off x="0" y="0"/>
          <a:ext cx="790575" cy="238125"/>
        </a:xfrm>
        <a:prstGeom prst="rect">
          <a:avLst/>
        </a:prstGeom>
        <a:solidFill>
          <a:srgbClr val="FFFF00"/>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Main</a:t>
          </a:r>
          <a:r>
            <a:rPr lang="en-ZA" sz="1000" baseline="0"/>
            <a:t> menu</a:t>
          </a:r>
          <a:endParaRPr lang="en-ZA" sz="1000"/>
        </a:p>
      </xdr:txBody>
    </xdr:sp>
    <xdr:clientData/>
  </xdr:twoCellAnchor>
</xdr:wsDr>
</file>

<file path=xl/drawings/drawing17.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xdr:col>
      <xdr:colOff>180975</xdr:colOff>
      <xdr:row>1</xdr:row>
      <xdr:rowOff>76200</xdr:rowOff>
    </xdr:to>
    <xdr:sp macro="" textlink="">
      <xdr:nvSpPr>
        <xdr:cNvPr id="2" name="TextBox 1">
          <a:hlinkClick xmlns:r="http://schemas.openxmlformats.org/officeDocument/2006/relationships" r:id="rId1"/>
        </xdr:cNvPr>
        <xdr:cNvSpPr txBox="1"/>
      </xdr:nvSpPr>
      <xdr:spPr>
        <a:xfrm>
          <a:off x="0" y="0"/>
          <a:ext cx="790575" cy="238125"/>
        </a:xfrm>
        <a:prstGeom prst="rect">
          <a:avLst/>
        </a:prstGeom>
        <a:solidFill>
          <a:srgbClr val="FFFF00"/>
        </a:solidFill>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en-ZA" sz="1000"/>
            <a:t>Main</a:t>
          </a:r>
          <a:r>
            <a:rPr lang="en-ZA" sz="1000" baseline="0"/>
            <a:t> menu</a:t>
          </a:r>
          <a:endParaRPr lang="en-ZA" sz="10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3.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0.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1.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6.vml"/><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7.vml"/><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sheet1.xml><?xml version="1.0" encoding="utf-8"?>
<worksheet xmlns="http://schemas.openxmlformats.org/spreadsheetml/2006/main" xmlns:r="http://schemas.openxmlformats.org/officeDocument/2006/relationships">
  <sheetPr codeName="Sheet4">
    <tabColor rgb="FFFFFF00"/>
  </sheetPr>
  <dimension ref="B1:AC87"/>
  <sheetViews>
    <sheetView tabSelected="1" zoomScale="85" zoomScaleNormal="85" workbookViewId="0">
      <selection activeCell="F46" sqref="F46"/>
    </sheetView>
  </sheetViews>
  <sheetFormatPr defaultRowHeight="12.75"/>
  <cols>
    <col min="2" max="2" width="9.140625" customWidth="1"/>
  </cols>
  <sheetData>
    <row r="1" spans="2:29">
      <c r="H1" s="282"/>
    </row>
    <row r="4" spans="2:29" ht="20.25" thickBot="1">
      <c r="B4" s="283" t="s">
        <v>156</v>
      </c>
      <c r="C4" s="283"/>
      <c r="D4" s="283"/>
    </row>
    <row r="5" spans="2:29" ht="13.5" thickTop="1">
      <c r="G5" s="2"/>
    </row>
    <row r="6" spans="2:29">
      <c r="B6" s="11" t="s">
        <v>613</v>
      </c>
      <c r="G6" s="2"/>
    </row>
    <row r="7" spans="2:29">
      <c r="G7" s="2"/>
    </row>
    <row r="8" spans="2:29" ht="13.5" thickBot="1">
      <c r="G8" s="2"/>
    </row>
    <row r="9" spans="2:29" ht="18" thickBot="1">
      <c r="B9" s="288" t="s">
        <v>612</v>
      </c>
      <c r="C9" s="288"/>
      <c r="D9" s="288"/>
      <c r="E9" s="189"/>
      <c r="G9" s="291" t="s">
        <v>617</v>
      </c>
      <c r="H9" s="189"/>
      <c r="I9" s="189"/>
      <c r="J9" s="189"/>
      <c r="K9" s="189"/>
      <c r="L9" s="189"/>
      <c r="N9" s="309" t="s">
        <v>639</v>
      </c>
      <c r="O9" s="310"/>
      <c r="P9" s="310"/>
      <c r="Q9" s="310"/>
      <c r="R9" s="310"/>
      <c r="S9" s="310"/>
      <c r="T9" s="310"/>
      <c r="U9" s="310"/>
      <c r="V9" s="310"/>
      <c r="W9" s="310"/>
      <c r="X9" s="310"/>
      <c r="Y9" s="310"/>
      <c r="Z9" s="310"/>
      <c r="AA9" s="310"/>
      <c r="AB9" s="310"/>
      <c r="AC9" s="311"/>
    </row>
    <row r="10" spans="2:29">
      <c r="B10">
        <v>1</v>
      </c>
      <c r="C10" s="11" t="s">
        <v>711</v>
      </c>
      <c r="G10" s="2"/>
    </row>
    <row r="11" spans="2:29">
      <c r="B11">
        <f>B10+1</f>
        <v>2</v>
      </c>
      <c r="C11" s="11" t="s">
        <v>626</v>
      </c>
      <c r="G11" s="2"/>
    </row>
    <row r="12" spans="2:29">
      <c r="B12">
        <f t="shared" ref="B12:B17" si="0">B11+1</f>
        <v>3</v>
      </c>
      <c r="C12" s="11" t="s">
        <v>712</v>
      </c>
      <c r="G12" s="2"/>
    </row>
    <row r="13" spans="2:29">
      <c r="B13">
        <f t="shared" si="0"/>
        <v>4</v>
      </c>
      <c r="C13" s="11" t="s">
        <v>627</v>
      </c>
      <c r="G13" s="2"/>
    </row>
    <row r="14" spans="2:29">
      <c r="B14">
        <f t="shared" si="0"/>
        <v>5</v>
      </c>
      <c r="C14" s="11" t="s">
        <v>633</v>
      </c>
      <c r="G14" s="2"/>
    </row>
    <row r="15" spans="2:29">
      <c r="B15">
        <f t="shared" si="0"/>
        <v>6</v>
      </c>
      <c r="C15" s="11" t="s">
        <v>634</v>
      </c>
      <c r="G15" s="2"/>
    </row>
    <row r="16" spans="2:29">
      <c r="B16">
        <f t="shared" si="0"/>
        <v>7</v>
      </c>
      <c r="C16" s="11" t="s">
        <v>635</v>
      </c>
      <c r="G16" s="2"/>
    </row>
    <row r="17" spans="2:15">
      <c r="B17">
        <f t="shared" si="0"/>
        <v>8</v>
      </c>
      <c r="C17" s="11" t="s">
        <v>636</v>
      </c>
      <c r="G17" s="2"/>
    </row>
    <row r="18" spans="2:15">
      <c r="G18" s="2"/>
    </row>
    <row r="19" spans="2:15">
      <c r="G19" s="2"/>
    </row>
    <row r="20" spans="2:15">
      <c r="G20" s="2"/>
    </row>
    <row r="21" spans="2:15" ht="19.5">
      <c r="B21" s="289" t="s">
        <v>614</v>
      </c>
      <c r="C21" s="289"/>
      <c r="D21" s="289"/>
      <c r="E21" s="289"/>
      <c r="F21" s="289"/>
      <c r="G21" s="290"/>
    </row>
    <row r="22" spans="2:15">
      <c r="B22" s="11" t="s">
        <v>615</v>
      </c>
      <c r="G22" s="2"/>
      <c r="N22" s="209" t="s">
        <v>624</v>
      </c>
      <c r="O22" s="192"/>
    </row>
    <row r="23" spans="2:15">
      <c r="B23">
        <v>1</v>
      </c>
      <c r="C23" s="11" t="s">
        <v>616</v>
      </c>
      <c r="G23" s="2"/>
    </row>
    <row r="24" spans="2:15">
      <c r="B24">
        <f>B23+1</f>
        <v>2</v>
      </c>
      <c r="C24" s="11" t="s">
        <v>713</v>
      </c>
      <c r="G24" s="2"/>
    </row>
    <row r="25" spans="2:15">
      <c r="B25">
        <f t="shared" ref="B25:B28" si="1">B24+1</f>
        <v>3</v>
      </c>
      <c r="C25" s="11" t="s">
        <v>618</v>
      </c>
      <c r="G25" s="2"/>
    </row>
    <row r="26" spans="2:15">
      <c r="B26">
        <f t="shared" si="1"/>
        <v>4</v>
      </c>
      <c r="C26" s="11" t="s">
        <v>619</v>
      </c>
      <c r="G26" s="2"/>
    </row>
    <row r="27" spans="2:15">
      <c r="B27">
        <f t="shared" si="1"/>
        <v>5</v>
      </c>
      <c r="C27" s="11" t="s">
        <v>625</v>
      </c>
      <c r="G27" s="2"/>
    </row>
    <row r="28" spans="2:15">
      <c r="B28">
        <f t="shared" si="1"/>
        <v>6</v>
      </c>
      <c r="C28" s="11" t="s">
        <v>620</v>
      </c>
      <c r="G28" s="2"/>
    </row>
    <row r="29" spans="2:15">
      <c r="B29">
        <v>7</v>
      </c>
      <c r="C29" s="11" t="s">
        <v>637</v>
      </c>
      <c r="G29" s="2"/>
    </row>
    <row r="30" spans="2:15">
      <c r="B30">
        <v>8</v>
      </c>
      <c r="C30" s="11"/>
      <c r="G30" s="2"/>
    </row>
    <row r="31" spans="2:15">
      <c r="C31" s="11"/>
      <c r="G31" s="2"/>
    </row>
    <row r="32" spans="2:15">
      <c r="C32" s="11"/>
      <c r="G32" s="2"/>
    </row>
    <row r="33" spans="2:13">
      <c r="C33" s="11"/>
      <c r="G33" s="2"/>
    </row>
    <row r="34" spans="2:13">
      <c r="C34" s="11"/>
      <c r="G34" s="2"/>
    </row>
    <row r="35" spans="2:13">
      <c r="G35" s="2"/>
    </row>
    <row r="36" spans="2:13" ht="19.5">
      <c r="B36" s="287" t="s">
        <v>621</v>
      </c>
      <c r="C36" s="287"/>
      <c r="D36" s="287"/>
      <c r="E36" s="287"/>
      <c r="F36" s="287"/>
      <c r="G36" s="2"/>
    </row>
    <row r="37" spans="2:13">
      <c r="B37" s="11" t="s">
        <v>622</v>
      </c>
      <c r="G37" s="2"/>
      <c r="L37" s="230" t="s">
        <v>623</v>
      </c>
      <c r="M37" s="230"/>
    </row>
    <row r="38" spans="2:13">
      <c r="B38">
        <v>1</v>
      </c>
      <c r="C38" s="11" t="s">
        <v>628</v>
      </c>
      <c r="G38" s="2"/>
    </row>
    <row r="39" spans="2:13">
      <c r="B39">
        <f>B38+1</f>
        <v>2</v>
      </c>
      <c r="C39" s="11" t="s">
        <v>638</v>
      </c>
      <c r="G39" s="2"/>
    </row>
    <row r="40" spans="2:13">
      <c r="B40">
        <f>B39+1</f>
        <v>3</v>
      </c>
      <c r="C40" s="11" t="s">
        <v>629</v>
      </c>
      <c r="G40" s="2"/>
    </row>
    <row r="41" spans="2:13">
      <c r="B41">
        <f>B40+1</f>
        <v>4</v>
      </c>
      <c r="C41" s="11" t="s">
        <v>630</v>
      </c>
      <c r="G41" s="2"/>
    </row>
    <row r="42" spans="2:13">
      <c r="B42">
        <f>B41+1</f>
        <v>5</v>
      </c>
      <c r="C42" s="306" t="s">
        <v>631</v>
      </c>
      <c r="G42" s="2"/>
    </row>
    <row r="43" spans="2:13">
      <c r="B43">
        <v>6</v>
      </c>
      <c r="C43" s="306" t="s">
        <v>632</v>
      </c>
      <c r="G43" s="2"/>
    </row>
    <row r="44" spans="2:13">
      <c r="G44" s="2"/>
    </row>
    <row r="45" spans="2:13">
      <c r="G45" s="2"/>
    </row>
    <row r="46" spans="2:13">
      <c r="B46" s="4" t="s">
        <v>735</v>
      </c>
      <c r="G46" s="2"/>
    </row>
    <row r="47" spans="2:13">
      <c r="B47" s="11" t="s">
        <v>736</v>
      </c>
      <c r="G47" s="2"/>
    </row>
    <row r="48" spans="2:13">
      <c r="G48" s="2"/>
    </row>
    <row r="49" spans="2:14">
      <c r="G49" s="2"/>
    </row>
    <row r="50" spans="2:14">
      <c r="G50" s="2"/>
    </row>
    <row r="51" spans="2:14">
      <c r="G51" s="2"/>
    </row>
    <row r="52" spans="2:14">
      <c r="G52" s="2"/>
    </row>
    <row r="53" spans="2:14">
      <c r="G53" s="2"/>
    </row>
    <row r="54" spans="2:14">
      <c r="G54" s="2"/>
    </row>
    <row r="55" spans="2:14">
      <c r="G55" s="2"/>
    </row>
    <row r="56" spans="2:14">
      <c r="G56" s="2"/>
    </row>
    <row r="57" spans="2:14">
      <c r="G57" s="2"/>
    </row>
    <row r="58" spans="2:14">
      <c r="G58" s="2"/>
    </row>
    <row r="59" spans="2:14">
      <c r="G59" s="2"/>
    </row>
    <row r="60" spans="2:14">
      <c r="G60" s="2"/>
    </row>
    <row r="61" spans="2:14">
      <c r="G61" s="2"/>
    </row>
    <row r="62" spans="2:14">
      <c r="G62" s="2"/>
    </row>
    <row r="63" spans="2:14">
      <c r="B63" s="4" t="s">
        <v>191</v>
      </c>
    </row>
    <row r="64" spans="2:14">
      <c r="C64" s="11" t="s">
        <v>192</v>
      </c>
      <c r="N64" s="11"/>
    </row>
    <row r="65" spans="2:14">
      <c r="D65" s="11" t="s">
        <v>215</v>
      </c>
      <c r="N65" s="11"/>
    </row>
    <row r="66" spans="2:14">
      <c r="D66" s="11" t="s">
        <v>193</v>
      </c>
      <c r="N66" s="11"/>
    </row>
    <row r="67" spans="2:14">
      <c r="D67" s="11" t="s">
        <v>211</v>
      </c>
    </row>
    <row r="68" spans="2:14">
      <c r="C68" s="11" t="s">
        <v>194</v>
      </c>
      <c r="N68" s="11"/>
    </row>
    <row r="69" spans="2:14">
      <c r="D69" s="11" t="s">
        <v>195</v>
      </c>
      <c r="F69" s="11"/>
      <c r="N69" s="11"/>
    </row>
    <row r="70" spans="2:14">
      <c r="D70" s="11" t="s">
        <v>196</v>
      </c>
      <c r="N70" s="11"/>
    </row>
    <row r="71" spans="2:14">
      <c r="D71" s="11" t="s">
        <v>197</v>
      </c>
      <c r="N71" s="11"/>
    </row>
    <row r="72" spans="2:14">
      <c r="C72" s="11" t="s">
        <v>238</v>
      </c>
      <c r="D72" s="11"/>
    </row>
    <row r="73" spans="2:14">
      <c r="C73" s="11" t="s">
        <v>239</v>
      </c>
      <c r="D73" s="11"/>
    </row>
    <row r="74" spans="2:14">
      <c r="D74" s="11"/>
      <c r="N74" s="11"/>
    </row>
    <row r="75" spans="2:14">
      <c r="B75" s="4" t="s">
        <v>597</v>
      </c>
      <c r="D75" s="55"/>
      <c r="N75" s="11"/>
    </row>
    <row r="76" spans="2:14">
      <c r="C76" s="11" t="s">
        <v>598</v>
      </c>
      <c r="D76" s="55"/>
      <c r="N76" s="11"/>
    </row>
    <row r="77" spans="2:14">
      <c r="C77" s="11" t="s">
        <v>599</v>
      </c>
      <c r="D77" s="55"/>
      <c r="N77" s="11"/>
    </row>
    <row r="78" spans="2:14">
      <c r="C78" s="11" t="s">
        <v>201</v>
      </c>
      <c r="N78" s="11"/>
    </row>
    <row r="79" spans="2:14">
      <c r="C79" s="11" t="s">
        <v>198</v>
      </c>
      <c r="N79" s="11"/>
    </row>
    <row r="80" spans="2:14">
      <c r="C80" s="11" t="s">
        <v>199</v>
      </c>
      <c r="N80" s="11"/>
    </row>
    <row r="81" spans="2:3">
      <c r="C81" s="11" t="s">
        <v>200</v>
      </c>
    </row>
    <row r="82" spans="2:3">
      <c r="C82" s="11" t="s">
        <v>202</v>
      </c>
    </row>
    <row r="83" spans="2:3">
      <c r="C83" s="11" t="s">
        <v>203</v>
      </c>
    </row>
    <row r="84" spans="2:3">
      <c r="C84" s="11" t="s">
        <v>204</v>
      </c>
    </row>
    <row r="86" spans="2:3">
      <c r="B86" s="65" t="s">
        <v>205</v>
      </c>
    </row>
    <row r="87" spans="2:3">
      <c r="C87" s="11" t="s">
        <v>207</v>
      </c>
    </row>
  </sheetData>
  <hyperlinks>
    <hyperlink ref="B86" location="place_complete_main" display="3) Complete tables and graphs - all outputs"/>
  </hyperlink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sheetPr codeName="Sheet30">
    <tabColor theme="6" tint="0.39997558519241921"/>
  </sheetPr>
  <dimension ref="A3:AF75"/>
  <sheetViews>
    <sheetView workbookViewId="0"/>
  </sheetViews>
  <sheetFormatPr defaultRowHeight="12.75"/>
  <cols>
    <col min="3" max="3" width="66.140625" customWidth="1"/>
    <col min="7" max="7" width="9.7109375" customWidth="1"/>
    <col min="8" max="31" width="11.28515625" bestFit="1" customWidth="1"/>
  </cols>
  <sheetData>
    <row r="3" spans="1:31">
      <c r="A3" s="4" t="s">
        <v>680</v>
      </c>
    </row>
    <row r="4" spans="1:31">
      <c r="A4" s="4" t="s">
        <v>679</v>
      </c>
    </row>
    <row r="5" spans="1:31" ht="20.25" thickBot="1">
      <c r="B5" s="283" t="s">
        <v>237</v>
      </c>
      <c r="C5" s="283"/>
      <c r="D5" s="283"/>
      <c r="E5" s="283"/>
    </row>
    <row r="6" spans="1:31" ht="13.5" thickTop="1">
      <c r="C6" s="44" t="s">
        <v>667</v>
      </c>
      <c r="D6" s="292" t="s">
        <v>591</v>
      </c>
    </row>
    <row r="7" spans="1:31">
      <c r="C7" s="44" t="s">
        <v>668</v>
      </c>
      <c r="D7" s="292" t="s">
        <v>591</v>
      </c>
      <c r="F7" s="4">
        <v>2005</v>
      </c>
      <c r="G7" s="4">
        <v>2006</v>
      </c>
      <c r="H7" s="4">
        <v>2007</v>
      </c>
      <c r="I7" s="4">
        <v>2008</v>
      </c>
      <c r="J7" s="4">
        <v>2009</v>
      </c>
      <c r="K7" s="4">
        <v>2010</v>
      </c>
      <c r="L7" s="4">
        <v>2011</v>
      </c>
      <c r="M7" s="4">
        <v>2012</v>
      </c>
      <c r="N7" s="4">
        <v>2013</v>
      </c>
      <c r="O7" s="4">
        <v>2014</v>
      </c>
      <c r="P7" s="4">
        <v>2015</v>
      </c>
      <c r="Q7" s="4">
        <v>2016</v>
      </c>
      <c r="R7" s="4">
        <v>2017</v>
      </c>
      <c r="S7" s="4">
        <v>2018</v>
      </c>
      <c r="T7" s="4">
        <v>2019</v>
      </c>
      <c r="U7" s="4">
        <v>2020</v>
      </c>
      <c r="V7" s="4">
        <v>2021</v>
      </c>
      <c r="W7" s="4">
        <v>2022</v>
      </c>
      <c r="X7" s="4">
        <v>2023</v>
      </c>
      <c r="Y7" s="4">
        <v>2024</v>
      </c>
      <c r="Z7" s="4">
        <v>2025</v>
      </c>
      <c r="AA7" s="4">
        <v>2026</v>
      </c>
      <c r="AB7" s="4">
        <v>2027</v>
      </c>
      <c r="AC7" s="4">
        <v>2028</v>
      </c>
      <c r="AD7" s="4">
        <v>2029</v>
      </c>
      <c r="AE7" s="4">
        <v>2030</v>
      </c>
    </row>
    <row r="8" spans="1:31" ht="18" thickBot="1">
      <c r="C8" s="284" t="s">
        <v>534</v>
      </c>
      <c r="F8" s="4"/>
      <c r="G8" s="4"/>
      <c r="H8" s="4"/>
      <c r="I8" s="4"/>
      <c r="J8" s="4"/>
      <c r="K8" s="4"/>
      <c r="L8" s="4"/>
      <c r="M8" s="4"/>
      <c r="N8" s="4"/>
      <c r="O8" s="4"/>
      <c r="P8" s="4"/>
      <c r="Q8" s="4"/>
      <c r="R8" s="4"/>
      <c r="S8" s="4"/>
      <c r="T8" s="4"/>
      <c r="U8" s="4"/>
      <c r="V8" s="4"/>
      <c r="W8" s="4"/>
      <c r="X8" s="4"/>
      <c r="Y8" s="4"/>
      <c r="Z8" s="4"/>
      <c r="AA8" s="4"/>
      <c r="AB8" s="4"/>
      <c r="AC8" s="4"/>
      <c r="AD8" s="4"/>
      <c r="AE8" s="4"/>
    </row>
    <row r="9" spans="1:31" ht="15.75" thickTop="1">
      <c r="B9" s="4" t="s">
        <v>661</v>
      </c>
      <c r="C9" s="292" t="s">
        <v>506</v>
      </c>
      <c r="F9" s="4"/>
      <c r="G9" s="167"/>
      <c r="H9" s="293">
        <f>SUMIF($C$42:$C$46,$C$9,H42:H46)</f>
        <v>2.9555772110379408E-2</v>
      </c>
      <c r="I9" s="293">
        <f t="shared" ref="I9:AE9" si="0">SUMIF($C$42:$C$46,$C$9,I42:I46)</f>
        <v>0.01</v>
      </c>
      <c r="J9" s="293">
        <f t="shared" si="0"/>
        <v>0</v>
      </c>
      <c r="K9" s="293">
        <v>0.03</v>
      </c>
      <c r="L9" s="293">
        <f t="shared" si="0"/>
        <v>2.1854830810086989E-2</v>
      </c>
      <c r="M9" s="293">
        <f t="shared" si="0"/>
        <v>2.527506470544405E-2</v>
      </c>
      <c r="N9" s="293">
        <f t="shared" si="0"/>
        <v>2.8173696239351731E-2</v>
      </c>
      <c r="O9" s="293">
        <f t="shared" si="0"/>
        <v>3.324172493230404E-2</v>
      </c>
      <c r="P9" s="294">
        <f t="shared" si="0"/>
        <v>3.1800668870157089E-2</v>
      </c>
      <c r="Q9" s="294">
        <f t="shared" si="0"/>
        <v>3.2460147468582168E-2</v>
      </c>
      <c r="R9" s="294">
        <f t="shared" si="0"/>
        <v>3.0943922745756858E-2</v>
      </c>
      <c r="S9" s="294">
        <f t="shared" si="0"/>
        <v>3.1591131689074681E-2</v>
      </c>
      <c r="T9" s="294">
        <f t="shared" si="0"/>
        <v>3.2004695402993555E-2</v>
      </c>
      <c r="U9" s="294">
        <f t="shared" si="0"/>
        <v>3.2341970125286501E-2</v>
      </c>
      <c r="V9" s="294">
        <f t="shared" si="0"/>
        <v>3.2851830547746541E-2</v>
      </c>
      <c r="W9" s="294">
        <f t="shared" si="0"/>
        <v>3.2246172188755251E-2</v>
      </c>
      <c r="X9" s="294">
        <f t="shared" si="0"/>
        <v>3.3252532314075101E-2</v>
      </c>
      <c r="Y9" s="294">
        <f t="shared" si="0"/>
        <v>3.3226696083838991E-2</v>
      </c>
      <c r="Z9" s="294">
        <f t="shared" si="0"/>
        <v>3.3489212985700512E-2</v>
      </c>
      <c r="AA9" s="294">
        <f t="shared" si="0"/>
        <v>3.484207771456882E-2</v>
      </c>
      <c r="AB9" s="294">
        <f t="shared" si="0"/>
        <v>3.5019999068263141E-2</v>
      </c>
      <c r="AC9" s="294">
        <f t="shared" si="0"/>
        <v>3.4838186973938923E-2</v>
      </c>
      <c r="AD9" s="294">
        <f t="shared" si="0"/>
        <v>3.4342630967397092E-2</v>
      </c>
      <c r="AE9" s="294">
        <f t="shared" si="0"/>
        <v>2.463595732410595E-2</v>
      </c>
    </row>
    <row r="10" spans="1:31" ht="15">
      <c r="C10" s="4" t="s">
        <v>494</v>
      </c>
      <c r="D10" s="11" t="s">
        <v>32</v>
      </c>
      <c r="F10" s="4"/>
      <c r="G10" s="161">
        <v>193179.83725799999</v>
      </c>
      <c r="H10" s="28">
        <f>G10*(1+H9)</f>
        <v>198889.4165043176</v>
      </c>
      <c r="I10" s="28">
        <f t="shared" ref="I10:AE10" si="1">H10*(1+I9)</f>
        <v>200878.31066936077</v>
      </c>
      <c r="J10" s="28">
        <f t="shared" si="1"/>
        <v>200878.31066936077</v>
      </c>
      <c r="K10" s="28">
        <f t="shared" si="1"/>
        <v>206904.6599894416</v>
      </c>
      <c r="L10" s="28">
        <f t="shared" si="1"/>
        <v>211426.52632732943</v>
      </c>
      <c r="M10" s="28">
        <f t="shared" si="1"/>
        <v>216770.34546069996</v>
      </c>
      <c r="N10" s="28">
        <f t="shared" si="1"/>
        <v>222877.56732740905</v>
      </c>
      <c r="O10" s="28">
        <f t="shared" si="1"/>
        <v>230286.40211408786</v>
      </c>
      <c r="P10" s="28">
        <f t="shared" si="1"/>
        <v>237609.66373301781</v>
      </c>
      <c r="Q10" s="28">
        <f t="shared" si="1"/>
        <v>245322.50845775177</v>
      </c>
      <c r="R10" s="28">
        <f t="shared" si="1"/>
        <v>252913.74920726373</v>
      </c>
      <c r="S10" s="28">
        <f t="shared" si="1"/>
        <v>260903.58076444801</v>
      </c>
      <c r="T10" s="28">
        <f t="shared" si="1"/>
        <v>269253.72039636452</v>
      </c>
      <c r="U10" s="28">
        <f t="shared" si="1"/>
        <v>277961.91617754597</v>
      </c>
      <c r="V10" s="28">
        <f t="shared" si="1"/>
        <v>287093.47394653765</v>
      </c>
      <c r="W10" s="28">
        <f t="shared" si="1"/>
        <v>296351.13954168564</v>
      </c>
      <c r="X10" s="28">
        <f t="shared" si="1"/>
        <v>306205.56538560853</v>
      </c>
      <c r="Y10" s="28">
        <f t="shared" si="1"/>
        <v>316379.76464585622</v>
      </c>
      <c r="Z10" s="28">
        <f t="shared" si="1"/>
        <v>326975.0739684471</v>
      </c>
      <c r="AA10" s="28">
        <f t="shared" si="1"/>
        <v>338367.56490638264</v>
      </c>
      <c r="AB10" s="28">
        <f t="shared" si="1"/>
        <v>350217.19671413465</v>
      </c>
      <c r="AC10" s="28">
        <f t="shared" si="1"/>
        <v>362418.12889475044</v>
      </c>
      <c r="AD10" s="28">
        <f t="shared" si="1"/>
        <v>374864.5209512774</v>
      </c>
      <c r="AE10" s="28">
        <f t="shared" si="1"/>
        <v>384099.66729175451</v>
      </c>
    </row>
    <row r="11" spans="1:31" ht="15">
      <c r="C11" s="4" t="s">
        <v>529</v>
      </c>
      <c r="D11" s="11"/>
      <c r="F11" s="4"/>
      <c r="G11" s="179">
        <v>0.74961234292719015</v>
      </c>
      <c r="H11" s="174">
        <f>G11</f>
        <v>0.74961234292719015</v>
      </c>
      <c r="I11" s="174">
        <f t="shared" ref="I11:AE11" si="2">H11</f>
        <v>0.74961234292719015</v>
      </c>
      <c r="J11" s="174">
        <f t="shared" si="2"/>
        <v>0.74961234292719015</v>
      </c>
      <c r="K11" s="174">
        <f t="shared" si="2"/>
        <v>0.74961234292719015</v>
      </c>
      <c r="L11" s="174">
        <f t="shared" si="2"/>
        <v>0.74961234292719015</v>
      </c>
      <c r="M11" s="174">
        <f t="shared" si="2"/>
        <v>0.74961234292719015</v>
      </c>
      <c r="N11" s="174">
        <f t="shared" si="2"/>
        <v>0.74961234292719015</v>
      </c>
      <c r="O11" s="174">
        <f t="shared" si="2"/>
        <v>0.74961234292719015</v>
      </c>
      <c r="P11" s="174">
        <f t="shared" si="2"/>
        <v>0.74961234292719015</v>
      </c>
      <c r="Q11" s="174">
        <f t="shared" si="2"/>
        <v>0.74961234292719015</v>
      </c>
      <c r="R11" s="174">
        <f t="shared" si="2"/>
        <v>0.74961234292719015</v>
      </c>
      <c r="S11" s="174">
        <f t="shared" si="2"/>
        <v>0.74961234292719015</v>
      </c>
      <c r="T11" s="174">
        <f t="shared" si="2"/>
        <v>0.74961234292719015</v>
      </c>
      <c r="U11" s="174">
        <f t="shared" si="2"/>
        <v>0.74961234292719015</v>
      </c>
      <c r="V11" s="174">
        <f t="shared" si="2"/>
        <v>0.74961234292719015</v>
      </c>
      <c r="W11" s="174">
        <f t="shared" si="2"/>
        <v>0.74961234292719015</v>
      </c>
      <c r="X11" s="174">
        <f t="shared" si="2"/>
        <v>0.74961234292719015</v>
      </c>
      <c r="Y11" s="174">
        <f t="shared" si="2"/>
        <v>0.74961234292719015</v>
      </c>
      <c r="Z11" s="174">
        <f t="shared" si="2"/>
        <v>0.74961234292719015</v>
      </c>
      <c r="AA11" s="174">
        <f t="shared" si="2"/>
        <v>0.74961234292719015</v>
      </c>
      <c r="AB11" s="174">
        <f t="shared" si="2"/>
        <v>0.74961234292719015</v>
      </c>
      <c r="AC11" s="174">
        <f t="shared" si="2"/>
        <v>0.74961234292719015</v>
      </c>
      <c r="AD11" s="174">
        <f t="shared" si="2"/>
        <v>0.74961234292719015</v>
      </c>
      <c r="AE11" s="174">
        <f t="shared" si="2"/>
        <v>0.74961234292719015</v>
      </c>
    </row>
    <row r="12" spans="1:31" ht="15">
      <c r="C12" s="4" t="s">
        <v>528</v>
      </c>
      <c r="D12" s="11" t="s">
        <v>28</v>
      </c>
      <c r="F12" s="4"/>
      <c r="G12" s="175">
        <f>G10/(8760*G11)</f>
        <v>29.418529518280877</v>
      </c>
      <c r="H12" s="175">
        <f>H10/(8760*H11)</f>
        <v>30.288016872545658</v>
      </c>
      <c r="I12" s="175">
        <f t="shared" ref="I12:AE12" si="3">I10/(8760*I11)</f>
        <v>30.590897041271113</v>
      </c>
      <c r="J12" s="175">
        <f t="shared" si="3"/>
        <v>30.590897041271113</v>
      </c>
      <c r="K12" s="175">
        <f t="shared" si="3"/>
        <v>31.508623952509247</v>
      </c>
      <c r="L12" s="175">
        <f t="shared" si="3"/>
        <v>32.19723959804999</v>
      </c>
      <c r="M12" s="175">
        <f t="shared" si="3"/>
        <v>33.011026912227393</v>
      </c>
      <c r="N12" s="175">
        <f t="shared" si="3"/>
        <v>33.941069557001548</v>
      </c>
      <c r="O12" s="175">
        <f t="shared" si="3"/>
        <v>35.069329255123591</v>
      </c>
      <c r="P12" s="175">
        <f t="shared" si="3"/>
        <v>36.184557382264295</v>
      </c>
      <c r="Q12" s="175">
        <f t="shared" si="3"/>
        <v>37.359113450977965</v>
      </c>
      <c r="R12" s="175">
        <f t="shared" si="3"/>
        <v>38.515150971454993</v>
      </c>
      <c r="S12" s="175">
        <f t="shared" si="3"/>
        <v>39.731888177818817</v>
      </c>
      <c r="T12" s="175">
        <f t="shared" si="3"/>
        <v>41.003495156735717</v>
      </c>
      <c r="U12" s="175">
        <f t="shared" si="3"/>
        <v>42.329628972127189</v>
      </c>
      <c r="V12" s="175">
        <f t="shared" si="3"/>
        <v>43.720234770268497</v>
      </c>
      <c r="W12" s="175">
        <f t="shared" si="3"/>
        <v>45.130044988803377</v>
      </c>
      <c r="X12" s="175">
        <f t="shared" si="3"/>
        <v>46.630733268129227</v>
      </c>
      <c r="Y12" s="175">
        <f t="shared" si="3"/>
        <v>48.180118470595914</v>
      </c>
      <c r="Z12" s="175">
        <f t="shared" si="3"/>
        <v>49.793632719733985</v>
      </c>
      <c r="AA12" s="175">
        <f t="shared" si="3"/>
        <v>51.528546340645654</v>
      </c>
      <c r="AB12" s="175">
        <f t="shared" si="3"/>
        <v>53.33307598548403</v>
      </c>
      <c r="AC12" s="175">
        <f t="shared" si="3"/>
        <v>55.191103658561616</v>
      </c>
      <c r="AD12" s="175">
        <f t="shared" si="3"/>
        <v>57.086511364190955</v>
      </c>
      <c r="AE12" s="175">
        <f t="shared" si="3"/>
        <v>58.492892221941254</v>
      </c>
    </row>
    <row r="13" spans="1:31" ht="18" thickBot="1">
      <c r="C13" s="284" t="s">
        <v>535</v>
      </c>
      <c r="D13" s="11"/>
      <c r="F13" s="4"/>
      <c r="G13" s="175"/>
      <c r="H13" s="174"/>
      <c r="I13" s="174"/>
      <c r="J13" s="174"/>
      <c r="K13" s="174"/>
      <c r="L13" s="174"/>
      <c r="M13" s="174"/>
      <c r="N13" s="174"/>
      <c r="O13" s="174"/>
      <c r="P13" s="174"/>
      <c r="Q13" s="174"/>
      <c r="R13" s="174"/>
      <c r="S13" s="174"/>
      <c r="T13" s="174"/>
      <c r="U13" s="174"/>
      <c r="V13" s="174"/>
      <c r="W13" s="174"/>
      <c r="X13" s="174"/>
      <c r="Y13" s="174"/>
      <c r="Z13" s="174"/>
      <c r="AA13" s="174"/>
      <c r="AB13" s="174"/>
      <c r="AC13" s="174"/>
      <c r="AD13" s="174"/>
      <c r="AE13" s="174"/>
    </row>
    <row r="14" spans="1:31" ht="15.75" thickTop="1">
      <c r="C14" s="4" t="s">
        <v>530</v>
      </c>
      <c r="D14" s="11" t="s">
        <v>32</v>
      </c>
      <c r="F14" s="4"/>
      <c r="G14" s="176">
        <f t="shared" ref="G14:AE14" si="4">G10-G73</f>
        <v>193179.83725799999</v>
      </c>
      <c r="H14" s="176">
        <f t="shared" si="4"/>
        <v>198889.4165043176</v>
      </c>
      <c r="I14" s="176">
        <f t="shared" si="4"/>
        <v>200878.31066936077</v>
      </c>
      <c r="J14" s="176">
        <f t="shared" si="4"/>
        <v>200878.31066936077</v>
      </c>
      <c r="K14" s="176">
        <f t="shared" si="4"/>
        <v>206587.91998944161</v>
      </c>
      <c r="L14" s="176">
        <f t="shared" si="4"/>
        <v>210793.04632732942</v>
      </c>
      <c r="M14" s="176">
        <f t="shared" si="4"/>
        <v>215820.12546069996</v>
      </c>
      <c r="N14" s="176">
        <f t="shared" si="4"/>
        <v>221610.60732740906</v>
      </c>
      <c r="O14" s="176">
        <f t="shared" si="4"/>
        <v>228702.70211408785</v>
      </c>
      <c r="P14" s="176">
        <f t="shared" si="4"/>
        <v>235709.2237330178</v>
      </c>
      <c r="Q14" s="176">
        <f t="shared" si="4"/>
        <v>243105.32845775178</v>
      </c>
      <c r="R14" s="176">
        <f t="shared" si="4"/>
        <v>250379.82920726371</v>
      </c>
      <c r="S14" s="176">
        <f t="shared" si="4"/>
        <v>258052.920764448</v>
      </c>
      <c r="T14" s="176">
        <f t="shared" si="4"/>
        <v>266086.32039636449</v>
      </c>
      <c r="U14" s="176">
        <f t="shared" si="4"/>
        <v>274161.03617754596</v>
      </c>
      <c r="V14" s="176">
        <f t="shared" si="4"/>
        <v>282659.11394653766</v>
      </c>
      <c r="W14" s="176">
        <f t="shared" si="4"/>
        <v>291283.29954168561</v>
      </c>
      <c r="X14" s="176">
        <f t="shared" si="4"/>
        <v>300504.24538560852</v>
      </c>
      <c r="Y14" s="176">
        <f t="shared" si="4"/>
        <v>310044.96464585623</v>
      </c>
      <c r="Z14" s="176">
        <f t="shared" si="4"/>
        <v>320006.79396844708</v>
      </c>
      <c r="AA14" s="176">
        <f t="shared" si="4"/>
        <v>330765.80490638263</v>
      </c>
      <c r="AB14" s="176">
        <f t="shared" si="4"/>
        <v>341981.95671413466</v>
      </c>
      <c r="AC14" s="176">
        <f t="shared" si="4"/>
        <v>353549.40889475041</v>
      </c>
      <c r="AD14" s="176">
        <f t="shared" si="4"/>
        <v>365362.32095127739</v>
      </c>
      <c r="AE14" s="176">
        <f t="shared" si="4"/>
        <v>373963.98729175451</v>
      </c>
    </row>
    <row r="15" spans="1:31" ht="15">
      <c r="C15" s="4" t="s">
        <v>531</v>
      </c>
      <c r="D15" s="11" t="s">
        <v>28</v>
      </c>
      <c r="F15" s="4"/>
      <c r="G15" s="175">
        <f t="shared" ref="G15:AE15" si="5">G12-G74</f>
        <v>29.418529518280877</v>
      </c>
      <c r="H15" s="175">
        <f t="shared" si="5"/>
        <v>30.288016872545658</v>
      </c>
      <c r="I15" s="175">
        <f t="shared" si="5"/>
        <v>30.590897041271113</v>
      </c>
      <c r="J15" s="175">
        <f t="shared" si="5"/>
        <v>30.590897041271113</v>
      </c>
      <c r="K15" s="175">
        <f t="shared" si="5"/>
        <v>31.368623952509246</v>
      </c>
      <c r="L15" s="175">
        <f t="shared" si="5"/>
        <v>31.917239598049989</v>
      </c>
      <c r="M15" s="175">
        <f t="shared" si="5"/>
        <v>32.591026912227392</v>
      </c>
      <c r="N15" s="175">
        <f t="shared" si="5"/>
        <v>33.381069557001545</v>
      </c>
      <c r="O15" s="175">
        <f t="shared" si="5"/>
        <v>34.369329255123588</v>
      </c>
      <c r="P15" s="175">
        <f t="shared" si="5"/>
        <v>35.344557382264291</v>
      </c>
      <c r="Q15" s="175">
        <f t="shared" si="5"/>
        <v>36.379113450977968</v>
      </c>
      <c r="R15" s="175">
        <f t="shared" si="5"/>
        <v>37.395150971454996</v>
      </c>
      <c r="S15" s="175">
        <f t="shared" si="5"/>
        <v>38.471888177818819</v>
      </c>
      <c r="T15" s="175">
        <f t="shared" si="5"/>
        <v>39.603495156735718</v>
      </c>
      <c r="U15" s="175">
        <f t="shared" si="5"/>
        <v>40.649628972127189</v>
      </c>
      <c r="V15" s="175">
        <f t="shared" si="5"/>
        <v>41.760234770268497</v>
      </c>
      <c r="W15" s="175">
        <f t="shared" si="5"/>
        <v>42.890044988803375</v>
      </c>
      <c r="X15" s="175">
        <f t="shared" si="5"/>
        <v>44.110733268129223</v>
      </c>
      <c r="Y15" s="175">
        <f t="shared" si="5"/>
        <v>45.380118470595917</v>
      </c>
      <c r="Z15" s="175">
        <f t="shared" si="5"/>
        <v>46.713632719733987</v>
      </c>
      <c r="AA15" s="175">
        <f t="shared" si="5"/>
        <v>48.168546340645655</v>
      </c>
      <c r="AB15" s="175">
        <f t="shared" si="5"/>
        <v>49.693075985484029</v>
      </c>
      <c r="AC15" s="175">
        <f t="shared" si="5"/>
        <v>51.271103658561614</v>
      </c>
      <c r="AD15" s="175">
        <f t="shared" si="5"/>
        <v>52.886511364190952</v>
      </c>
      <c r="AE15" s="175">
        <f t="shared" si="5"/>
        <v>54.012892221941257</v>
      </c>
    </row>
    <row r="16" spans="1:31" ht="15">
      <c r="C16" s="4" t="s">
        <v>532</v>
      </c>
      <c r="D16" s="11"/>
      <c r="F16" s="4"/>
      <c r="G16" s="177">
        <f t="shared" ref="G16:AE16" si="6">G14/(G15*8760)</f>
        <v>0.74961234292719015</v>
      </c>
      <c r="H16" s="177">
        <f t="shared" si="6"/>
        <v>0.74961234292719015</v>
      </c>
      <c r="I16" s="177">
        <f t="shared" si="6"/>
        <v>0.74961234292719015</v>
      </c>
      <c r="J16" s="177">
        <f t="shared" si="6"/>
        <v>0.74961234292719015</v>
      </c>
      <c r="K16" s="177">
        <f t="shared" si="6"/>
        <v>0.75180524096018564</v>
      </c>
      <c r="L16" s="177">
        <f t="shared" si="6"/>
        <v>0.75392275288929933</v>
      </c>
      <c r="M16" s="177">
        <f t="shared" si="6"/>
        <v>0.75594428766294397</v>
      </c>
      <c r="N16" s="177">
        <f t="shared" si="6"/>
        <v>0.75785512180469361</v>
      </c>
      <c r="O16" s="177">
        <f t="shared" si="6"/>
        <v>0.75961954924370234</v>
      </c>
      <c r="P16" s="177">
        <f t="shared" si="6"/>
        <v>0.76128964752929829</v>
      </c>
      <c r="Q16" s="177">
        <f t="shared" si="6"/>
        <v>0.76284843668168689</v>
      </c>
      <c r="R16" s="177">
        <f t="shared" si="6"/>
        <v>0.76432830303993071</v>
      </c>
      <c r="S16" s="177">
        <f t="shared" si="6"/>
        <v>0.7657044500004796</v>
      </c>
      <c r="T16" s="177">
        <f t="shared" si="6"/>
        <v>0.76698156589374722</v>
      </c>
      <c r="U16" s="177">
        <f t="shared" si="6"/>
        <v>0.76991900613744413</v>
      </c>
      <c r="V16" s="177">
        <f t="shared" si="6"/>
        <v>0.77267338935049412</v>
      </c>
      <c r="W16" s="177">
        <f t="shared" si="6"/>
        <v>0.77527356805528269</v>
      </c>
      <c r="X16" s="177">
        <f t="shared" si="6"/>
        <v>0.77768232490213907</v>
      </c>
      <c r="Y16" s="177">
        <f t="shared" si="6"/>
        <v>0.77992878813779598</v>
      </c>
      <c r="Z16" s="177">
        <f t="shared" si="6"/>
        <v>0.78200845889339243</v>
      </c>
      <c r="AA16" s="177">
        <f t="shared" si="6"/>
        <v>0.78388609158139178</v>
      </c>
      <c r="AB16" s="177">
        <f t="shared" si="6"/>
        <v>0.78560313243610391</v>
      </c>
      <c r="AC16" s="177">
        <f t="shared" si="6"/>
        <v>0.78717871634089842</v>
      </c>
      <c r="AD16" s="177">
        <f t="shared" si="6"/>
        <v>0.788632610282057</v>
      </c>
      <c r="AE16" s="177">
        <f t="shared" si="6"/>
        <v>0.79036598728636431</v>
      </c>
    </row>
    <row r="17" spans="3:32" ht="18" thickBot="1">
      <c r="C17" s="284" t="s">
        <v>536</v>
      </c>
      <c r="D17" s="11"/>
      <c r="F17" s="4"/>
      <c r="G17" s="177"/>
      <c r="H17" s="177"/>
      <c r="I17" s="177"/>
      <c r="J17" s="177"/>
      <c r="K17" s="177"/>
      <c r="L17" s="175"/>
      <c r="M17" s="175"/>
      <c r="N17" s="175"/>
      <c r="O17" s="175"/>
      <c r="P17" s="175"/>
      <c r="Q17" s="175"/>
      <c r="R17" s="175"/>
      <c r="S17" s="175"/>
      <c r="T17" s="175"/>
      <c r="U17" s="175"/>
      <c r="V17" s="175"/>
      <c r="W17" s="175"/>
      <c r="X17" s="175"/>
      <c r="Y17" s="175"/>
      <c r="Z17" s="175"/>
      <c r="AA17" s="175"/>
      <c r="AB17" s="175"/>
      <c r="AC17" s="175"/>
      <c r="AD17" s="175"/>
      <c r="AE17" s="175"/>
    </row>
    <row r="18" spans="3:32" ht="15.75" thickTop="1">
      <c r="C18" s="4" t="s">
        <v>492</v>
      </c>
      <c r="F18" s="4"/>
      <c r="G18" s="160">
        <v>0.12477567283103141</v>
      </c>
      <c r="H18" s="168">
        <f>G18</f>
        <v>0.12477567283103141</v>
      </c>
      <c r="I18" s="168">
        <f t="shared" ref="I18:AD18" si="7">H18</f>
        <v>0.12477567283103141</v>
      </c>
      <c r="J18" s="168">
        <f t="shared" si="7"/>
        <v>0.12477567283103141</v>
      </c>
      <c r="K18" s="333">
        <f t="shared" si="7"/>
        <v>0.12477567283103141</v>
      </c>
      <c r="L18" s="333">
        <f t="shared" si="7"/>
        <v>0.12477567283103141</v>
      </c>
      <c r="M18" s="333">
        <f t="shared" si="7"/>
        <v>0.12477567283103141</v>
      </c>
      <c r="N18" s="333">
        <f t="shared" si="7"/>
        <v>0.12477567283103141</v>
      </c>
      <c r="O18" s="333">
        <f t="shared" si="7"/>
        <v>0.12477567283103141</v>
      </c>
      <c r="P18" s="333">
        <f t="shared" si="7"/>
        <v>0.12477567283103141</v>
      </c>
      <c r="Q18" s="333">
        <f t="shared" si="7"/>
        <v>0.12477567283103141</v>
      </c>
      <c r="R18" s="333">
        <f t="shared" si="7"/>
        <v>0.12477567283103141</v>
      </c>
      <c r="S18" s="333">
        <f t="shared" si="7"/>
        <v>0.12477567283103141</v>
      </c>
      <c r="T18" s="333">
        <f t="shared" si="7"/>
        <v>0.12477567283103141</v>
      </c>
      <c r="U18" s="333">
        <f t="shared" si="7"/>
        <v>0.12477567283103141</v>
      </c>
      <c r="V18" s="333">
        <f t="shared" si="7"/>
        <v>0.12477567283103141</v>
      </c>
      <c r="W18" s="333">
        <f t="shared" si="7"/>
        <v>0.12477567283103141</v>
      </c>
      <c r="X18" s="333">
        <f t="shared" si="7"/>
        <v>0.12477567283103141</v>
      </c>
      <c r="Y18" s="333">
        <f t="shared" si="7"/>
        <v>0.12477567283103141</v>
      </c>
      <c r="Z18" s="333">
        <f t="shared" si="7"/>
        <v>0.12477567283103141</v>
      </c>
      <c r="AA18" s="333">
        <f t="shared" si="7"/>
        <v>0.12477567283103141</v>
      </c>
      <c r="AB18" s="333">
        <f t="shared" si="7"/>
        <v>0.12477567283103141</v>
      </c>
      <c r="AC18" s="333">
        <f t="shared" si="7"/>
        <v>0.12477567283103141</v>
      </c>
      <c r="AD18" s="333">
        <f t="shared" si="7"/>
        <v>0.12477567283103141</v>
      </c>
      <c r="AE18" s="333">
        <f>AD18</f>
        <v>0.12477567283103141</v>
      </c>
    </row>
    <row r="19" spans="3:32" ht="15">
      <c r="C19" s="4" t="s">
        <v>491</v>
      </c>
      <c r="D19" s="11" t="s">
        <v>32</v>
      </c>
      <c r="F19" s="4"/>
      <c r="G19" s="161">
        <f>G14/(1-G18)</f>
        <v>220720.3699226075</v>
      </c>
      <c r="H19" s="169">
        <f>H14/(1-H18)</f>
        <v>227243.9308761587</v>
      </c>
      <c r="I19" s="169">
        <f t="shared" ref="I19:AE19" si="8">I14/(1-I18)</f>
        <v>229516.37018492026</v>
      </c>
      <c r="J19" s="169">
        <f t="shared" si="8"/>
        <v>229516.37018492026</v>
      </c>
      <c r="K19" s="169">
        <f t="shared" si="8"/>
        <v>236039.96549967729</v>
      </c>
      <c r="L19" s="169">
        <f t="shared" si="8"/>
        <v>240844.59239057949</v>
      </c>
      <c r="M19" s="169">
        <f t="shared" si="8"/>
        <v>246588.35313547481</v>
      </c>
      <c r="N19" s="169">
        <f t="shared" si="8"/>
        <v>253204.35052832516</v>
      </c>
      <c r="O19" s="169">
        <f t="shared" si="8"/>
        <v>261307.52427078629</v>
      </c>
      <c r="P19" s="169">
        <f t="shared" si="8"/>
        <v>269312.92517365364</v>
      </c>
      <c r="Q19" s="169">
        <f t="shared" si="8"/>
        <v>277763.44979361899</v>
      </c>
      <c r="R19" s="169">
        <f t="shared" si="8"/>
        <v>286075.03406258271</v>
      </c>
      <c r="S19" s="169">
        <f t="shared" si="8"/>
        <v>294842.0339264964</v>
      </c>
      <c r="T19" s="169">
        <f t="shared" si="8"/>
        <v>304020.70890448929</v>
      </c>
      <c r="U19" s="169">
        <f t="shared" si="8"/>
        <v>313246.59023630765</v>
      </c>
      <c r="V19" s="169">
        <f t="shared" si="8"/>
        <v>322956.189827169</v>
      </c>
      <c r="W19" s="169">
        <f t="shared" si="8"/>
        <v>332809.87570795801</v>
      </c>
      <c r="X19" s="169">
        <f t="shared" si="8"/>
        <v>343345.3984964405</v>
      </c>
      <c r="Y19" s="169">
        <f t="shared" si="8"/>
        <v>354246.28294866823</v>
      </c>
      <c r="Z19" s="169">
        <f t="shared" si="8"/>
        <v>365628.31269047596</v>
      </c>
      <c r="AA19" s="169">
        <f t="shared" si="8"/>
        <v>377921.17362218362</v>
      </c>
      <c r="AB19" s="169">
        <f t="shared" si="8"/>
        <v>390736.34735487931</v>
      </c>
      <c r="AC19" s="169">
        <f t="shared" si="8"/>
        <v>403952.9043238021</v>
      </c>
      <c r="AD19" s="169">
        <f t="shared" si="8"/>
        <v>417449.91496419121</v>
      </c>
      <c r="AE19" s="169">
        <f t="shared" si="8"/>
        <v>427277.8711503502</v>
      </c>
    </row>
    <row r="20" spans="3:32" ht="15">
      <c r="C20" s="4" t="s">
        <v>533</v>
      </c>
      <c r="D20" s="11" t="s">
        <v>28</v>
      </c>
      <c r="F20" s="4"/>
      <c r="G20" s="178">
        <f>G15/(1-G18)</f>
        <v>33.612559209179075</v>
      </c>
      <c r="H20" s="178">
        <f t="shared" ref="H20:AE20" si="9">H15/(1-H18)</f>
        <v>34.606004349212213</v>
      </c>
      <c r="I20" s="178">
        <f t="shared" si="9"/>
        <v>34.95206439270433</v>
      </c>
      <c r="J20" s="178">
        <f t="shared" si="9"/>
        <v>34.95206439270433</v>
      </c>
      <c r="K20" s="178">
        <f t="shared" si="9"/>
        <v>35.840667333796929</v>
      </c>
      <c r="L20" s="178">
        <f t="shared" si="9"/>
        <v>36.467495940487183</v>
      </c>
      <c r="M20" s="178">
        <f t="shared" si="9"/>
        <v>37.237341217019726</v>
      </c>
      <c r="N20" s="178">
        <f t="shared" si="9"/>
        <v>38.140015674583829</v>
      </c>
      <c r="O20" s="178">
        <f t="shared" si="9"/>
        <v>39.269165844939238</v>
      </c>
      <c r="P20" s="178">
        <f t="shared" si="9"/>
        <v>40.383426608571362</v>
      </c>
      <c r="Q20" s="178">
        <f t="shared" si="9"/>
        <v>41.565473355443771</v>
      </c>
      <c r="R20" s="178">
        <f t="shared" si="9"/>
        <v>42.726361471709396</v>
      </c>
      <c r="S20" s="178">
        <f t="shared" si="9"/>
        <v>43.956602877186178</v>
      </c>
      <c r="T20" s="178">
        <f t="shared" si="9"/>
        <v>45.249536521497951</v>
      </c>
      <c r="U20" s="178">
        <f t="shared" si="9"/>
        <v>46.44481158746342</v>
      </c>
      <c r="V20" s="178">
        <f t="shared" si="9"/>
        <v>47.713750034059977</v>
      </c>
      <c r="W20" s="178">
        <f t="shared" si="9"/>
        <v>49.00463076424878</v>
      </c>
      <c r="X20" s="178">
        <f t="shared" si="9"/>
        <v>50.399345515007965</v>
      </c>
      <c r="Y20" s="178">
        <f t="shared" si="9"/>
        <v>51.849699627733209</v>
      </c>
      <c r="Z20" s="178">
        <f t="shared" si="9"/>
        <v>53.37332529459681</v>
      </c>
      <c r="AA20" s="178">
        <f t="shared" si="9"/>
        <v>55.035657539882756</v>
      </c>
      <c r="AB20" s="178">
        <f t="shared" si="9"/>
        <v>56.777530563190581</v>
      </c>
      <c r="AC20" s="178">
        <f t="shared" si="9"/>
        <v>58.580528519362495</v>
      </c>
      <c r="AD20" s="178">
        <f t="shared" si="9"/>
        <v>60.426235563240709</v>
      </c>
      <c r="AE20" s="178">
        <f t="shared" si="9"/>
        <v>61.713198028502312</v>
      </c>
    </row>
    <row r="21" spans="3:32" ht="18" thickBot="1">
      <c r="C21" s="284" t="s">
        <v>537</v>
      </c>
      <c r="D21" s="11"/>
      <c r="F21" s="4"/>
      <c r="G21" s="178"/>
      <c r="H21" s="178"/>
      <c r="I21" s="178"/>
      <c r="J21" s="178"/>
      <c r="K21" s="169"/>
      <c r="L21" s="169"/>
      <c r="M21" s="169"/>
      <c r="N21" s="169"/>
      <c r="O21" s="169"/>
      <c r="P21" s="169"/>
      <c r="Q21" s="169"/>
      <c r="R21" s="169"/>
      <c r="S21" s="169"/>
      <c r="T21" s="169"/>
      <c r="U21" s="169"/>
      <c r="V21" s="169"/>
      <c r="W21" s="169"/>
      <c r="X21" s="169"/>
      <c r="Y21" s="169"/>
      <c r="Z21" s="169"/>
      <c r="AA21" s="169"/>
      <c r="AB21" s="169"/>
      <c r="AC21" s="169"/>
      <c r="AD21" s="169"/>
      <c r="AE21" s="169"/>
    </row>
    <row r="22" spans="3:32" ht="15.75" thickTop="1">
      <c r="C22" s="4" t="s">
        <v>493</v>
      </c>
      <c r="F22" s="4"/>
      <c r="G22" s="160">
        <v>3.8046887658234385E-2</v>
      </c>
      <c r="H22" s="170">
        <v>3.8046887658234385E-2</v>
      </c>
      <c r="I22" s="170">
        <v>3.8046887658234385E-2</v>
      </c>
      <c r="J22" s="170">
        <v>3.8046887658234385E-2</v>
      </c>
      <c r="K22" s="334">
        <v>3.8046887658234385E-2</v>
      </c>
      <c r="L22" s="334">
        <v>3.8046887658234385E-2</v>
      </c>
      <c r="M22" s="334">
        <v>3.8046887658234385E-2</v>
      </c>
      <c r="N22" s="334">
        <v>3.8046887658234385E-2</v>
      </c>
      <c r="O22" s="334">
        <v>3.8046887658234385E-2</v>
      </c>
      <c r="P22" s="334">
        <v>3.8046887658234385E-2</v>
      </c>
      <c r="Q22" s="334">
        <v>3.8046887658234385E-2</v>
      </c>
      <c r="R22" s="334">
        <v>3.8046887658234385E-2</v>
      </c>
      <c r="S22" s="334">
        <v>3.8046887658234385E-2</v>
      </c>
      <c r="T22" s="334">
        <v>3.8046887658234385E-2</v>
      </c>
      <c r="U22" s="334">
        <v>3.8046887658234385E-2</v>
      </c>
      <c r="V22" s="334">
        <v>3.8046887658234385E-2</v>
      </c>
      <c r="W22" s="334">
        <v>3.8046887658234385E-2</v>
      </c>
      <c r="X22" s="334">
        <v>3.8046887658234385E-2</v>
      </c>
      <c r="Y22" s="334">
        <v>3.8046887658234385E-2</v>
      </c>
      <c r="Z22" s="334">
        <v>3.8046887658234385E-2</v>
      </c>
      <c r="AA22" s="334">
        <v>3.8046887658234385E-2</v>
      </c>
      <c r="AB22" s="334">
        <v>3.8046887658234385E-2</v>
      </c>
      <c r="AC22" s="334">
        <v>3.8046887658234385E-2</v>
      </c>
      <c r="AD22" s="334">
        <v>3.8046887658234385E-2</v>
      </c>
      <c r="AE22" s="334">
        <v>3.8046887658234385E-2</v>
      </c>
    </row>
    <row r="23" spans="3:32" ht="15">
      <c r="C23" s="4" t="s">
        <v>715</v>
      </c>
      <c r="D23" s="11" t="s">
        <v>32</v>
      </c>
      <c r="F23" s="54">
        <f>G23</f>
        <v>229450.23732527756</v>
      </c>
      <c r="G23" s="161">
        <f>G19/(1-G22)</f>
        <v>229450.23732527756</v>
      </c>
      <c r="H23" s="169">
        <f t="shared" ref="H23:AE23" si="10">H19/(1-H22)</f>
        <v>236231.81625033589</v>
      </c>
      <c r="I23" s="169">
        <f t="shared" si="10"/>
        <v>238594.13441283922</v>
      </c>
      <c r="J23" s="169">
        <f t="shared" si="10"/>
        <v>238594.13441283922</v>
      </c>
      <c r="K23" s="169">
        <f t="shared" si="10"/>
        <v>245375.74905814775</v>
      </c>
      <c r="L23" s="169">
        <f t="shared" si="10"/>
        <v>250370.40714413894</v>
      </c>
      <c r="M23" s="169">
        <f t="shared" si="10"/>
        <v>256341.34343116108</v>
      </c>
      <c r="N23" s="169">
        <f t="shared" si="10"/>
        <v>263219.01481448294</v>
      </c>
      <c r="O23" s="169">
        <f t="shared" si="10"/>
        <v>271642.68291066994</v>
      </c>
      <c r="P23" s="169">
        <f t="shared" si="10"/>
        <v>279964.71108455787</v>
      </c>
      <c r="Q23" s="169">
        <f t="shared" si="10"/>
        <v>288749.46837838634</v>
      </c>
      <c r="R23" s="169">
        <f t="shared" si="10"/>
        <v>297389.78999315831</v>
      </c>
      <c r="S23" s="169">
        <f t="shared" si="10"/>
        <v>306503.53966706025</v>
      </c>
      <c r="T23" s="169">
        <f t="shared" si="10"/>
        <v>316045.24690853735</v>
      </c>
      <c r="U23" s="169">
        <f t="shared" si="10"/>
        <v>325636.02759571554</v>
      </c>
      <c r="V23" s="169">
        <f t="shared" si="10"/>
        <v>335729.65842479456</v>
      </c>
      <c r="W23" s="169">
        <f t="shared" si="10"/>
        <v>345973.07440252486</v>
      </c>
      <c r="X23" s="169">
        <f t="shared" si="10"/>
        <v>356925.2951015514</v>
      </c>
      <c r="Y23" s="169">
        <f t="shared" si="10"/>
        <v>368257.32814180088</v>
      </c>
      <c r="Z23" s="169">
        <f t="shared" si="10"/>
        <v>380089.53658915387</v>
      </c>
      <c r="AA23" s="169">
        <f t="shared" si="10"/>
        <v>392868.60115476674</v>
      </c>
      <c r="AB23" s="169">
        <f t="shared" si="10"/>
        <v>406190.63688424067</v>
      </c>
      <c r="AC23" s="169">
        <f t="shared" si="10"/>
        <v>419929.93124210037</v>
      </c>
      <c r="AD23" s="169">
        <f t="shared" si="10"/>
        <v>433960.77169287053</v>
      </c>
      <c r="AE23" s="169">
        <f t="shared" si="10"/>
        <v>444177.44032262731</v>
      </c>
    </row>
    <row r="24" spans="3:32" ht="15">
      <c r="C24" s="4" t="s">
        <v>716</v>
      </c>
      <c r="D24" s="11" t="s">
        <v>28</v>
      </c>
      <c r="G24" s="178">
        <f>G20/(1-G22)</f>
        <v>34.941993302930449</v>
      </c>
      <c r="H24" s="178">
        <f>H20/(1-H22)</f>
        <v>35.97473089407427</v>
      </c>
      <c r="I24" s="178">
        <f>I20/(1-I22)</f>
        <v>36.33447820301501</v>
      </c>
      <c r="J24" s="178">
        <f>J20/(1-J22)</f>
        <v>36.33447820301501</v>
      </c>
    </row>
    <row r="25" spans="3:32" ht="18" thickBot="1">
      <c r="C25" s="284" t="s">
        <v>538</v>
      </c>
      <c r="F25" s="4"/>
      <c r="G25" s="4"/>
      <c r="H25" s="4"/>
      <c r="I25" s="4"/>
      <c r="J25" s="4"/>
      <c r="K25" s="4"/>
      <c r="L25" s="4"/>
      <c r="M25" s="4"/>
      <c r="N25" s="4"/>
      <c r="O25" s="4"/>
      <c r="P25" s="4"/>
      <c r="Q25" s="4"/>
      <c r="R25" s="4"/>
      <c r="S25" s="4"/>
      <c r="T25" s="4"/>
      <c r="U25" s="4"/>
      <c r="V25" s="4"/>
      <c r="W25" s="4"/>
      <c r="X25" s="4"/>
      <c r="Y25" s="4"/>
      <c r="Z25" s="4"/>
      <c r="AA25" s="4"/>
      <c r="AB25" s="4"/>
      <c r="AC25" s="4"/>
      <c r="AD25" s="4"/>
      <c r="AE25" s="4"/>
      <c r="AF25" s="4"/>
    </row>
    <row r="26" spans="3:32" ht="15.75" thickTop="1">
      <c r="C26" s="11" t="s">
        <v>23</v>
      </c>
      <c r="D26" s="11" t="s">
        <v>32</v>
      </c>
      <c r="E26" s="11"/>
      <c r="F26" s="169">
        <f>G26</f>
        <v>10624</v>
      </c>
      <c r="G26" s="161">
        <v>10624</v>
      </c>
      <c r="H26" s="169">
        <f>G26</f>
        <v>10624</v>
      </c>
      <c r="I26" s="169">
        <f t="shared" ref="I26:AE27" si="11">H26</f>
        <v>10624</v>
      </c>
      <c r="J26" s="169">
        <f t="shared" si="11"/>
        <v>10624</v>
      </c>
      <c r="K26" s="332">
        <f t="shared" si="11"/>
        <v>10624</v>
      </c>
      <c r="L26" s="332">
        <f t="shared" si="11"/>
        <v>10624</v>
      </c>
      <c r="M26" s="332">
        <f t="shared" si="11"/>
        <v>10624</v>
      </c>
      <c r="N26" s="332">
        <f t="shared" si="11"/>
        <v>10624</v>
      </c>
      <c r="O26" s="332">
        <f t="shared" si="11"/>
        <v>10624</v>
      </c>
      <c r="P26" s="332">
        <f t="shared" si="11"/>
        <v>10624</v>
      </c>
      <c r="Q26" s="332">
        <f t="shared" si="11"/>
        <v>10624</v>
      </c>
      <c r="R26" s="332">
        <f t="shared" si="11"/>
        <v>10624</v>
      </c>
      <c r="S26" s="332">
        <f t="shared" si="11"/>
        <v>10624</v>
      </c>
      <c r="T26" s="332">
        <f t="shared" si="11"/>
        <v>10624</v>
      </c>
      <c r="U26" s="332">
        <f t="shared" si="11"/>
        <v>10624</v>
      </c>
      <c r="V26" s="332">
        <f t="shared" si="11"/>
        <v>10624</v>
      </c>
      <c r="W26" s="332">
        <f t="shared" si="11"/>
        <v>10624</v>
      </c>
      <c r="X26" s="332">
        <f t="shared" si="11"/>
        <v>10624</v>
      </c>
      <c r="Y26" s="332">
        <f t="shared" si="11"/>
        <v>10624</v>
      </c>
      <c r="Z26" s="332">
        <f t="shared" si="11"/>
        <v>10624</v>
      </c>
      <c r="AA26" s="332">
        <f t="shared" si="11"/>
        <v>10624</v>
      </c>
      <c r="AB26" s="332">
        <f t="shared" si="11"/>
        <v>10624</v>
      </c>
      <c r="AC26" s="332">
        <f t="shared" si="11"/>
        <v>10624</v>
      </c>
      <c r="AD26" s="332">
        <f t="shared" si="11"/>
        <v>10624</v>
      </c>
      <c r="AE26" s="332">
        <f t="shared" si="11"/>
        <v>10624</v>
      </c>
    </row>
    <row r="27" spans="3:32" ht="15">
      <c r="C27" s="11" t="s">
        <v>539</v>
      </c>
      <c r="D27" s="11" t="s">
        <v>28</v>
      </c>
      <c r="F27" s="21">
        <f>G27</f>
        <v>1.5</v>
      </c>
      <c r="G27" s="163">
        <v>1.5</v>
      </c>
      <c r="H27" s="21">
        <f>G27</f>
        <v>1.5</v>
      </c>
      <c r="I27" s="21">
        <f t="shared" si="11"/>
        <v>1.5</v>
      </c>
      <c r="J27" s="21">
        <f t="shared" si="11"/>
        <v>1.5</v>
      </c>
      <c r="K27" s="331">
        <f t="shared" si="11"/>
        <v>1.5</v>
      </c>
      <c r="L27" s="331">
        <f t="shared" si="11"/>
        <v>1.5</v>
      </c>
      <c r="M27" s="331">
        <f t="shared" si="11"/>
        <v>1.5</v>
      </c>
      <c r="N27" s="331">
        <f t="shared" si="11"/>
        <v>1.5</v>
      </c>
      <c r="O27" s="331">
        <f t="shared" si="11"/>
        <v>1.5</v>
      </c>
      <c r="P27" s="331">
        <f t="shared" si="11"/>
        <v>1.5</v>
      </c>
      <c r="Q27" s="331">
        <f t="shared" si="11"/>
        <v>1.5</v>
      </c>
      <c r="R27" s="331">
        <f t="shared" si="11"/>
        <v>1.5</v>
      </c>
      <c r="S27" s="331">
        <f t="shared" si="11"/>
        <v>1.5</v>
      </c>
      <c r="T27" s="331">
        <f t="shared" si="11"/>
        <v>1.5</v>
      </c>
      <c r="U27" s="331">
        <f t="shared" si="11"/>
        <v>1.5</v>
      </c>
      <c r="V27" s="331">
        <f t="shared" si="11"/>
        <v>1.5</v>
      </c>
      <c r="W27" s="331">
        <f t="shared" si="11"/>
        <v>1.5</v>
      </c>
      <c r="X27" s="331">
        <f t="shared" si="11"/>
        <v>1.5</v>
      </c>
      <c r="Y27" s="331">
        <f t="shared" si="11"/>
        <v>1.5</v>
      </c>
      <c r="Z27" s="331">
        <f t="shared" si="11"/>
        <v>1.5</v>
      </c>
      <c r="AA27" s="331">
        <f t="shared" si="11"/>
        <v>1.5</v>
      </c>
      <c r="AB27" s="331">
        <f t="shared" si="11"/>
        <v>1.5</v>
      </c>
      <c r="AC27" s="331">
        <f t="shared" si="11"/>
        <v>1.5</v>
      </c>
      <c r="AD27" s="331">
        <f t="shared" si="11"/>
        <v>1.5</v>
      </c>
      <c r="AE27" s="331">
        <f t="shared" si="11"/>
        <v>1.5</v>
      </c>
    </row>
    <row r="28" spans="3:32" ht="18" thickBot="1">
      <c r="C28" s="284" t="s">
        <v>542</v>
      </c>
      <c r="D28" s="11"/>
      <c r="F28" s="21"/>
      <c r="G28" s="21"/>
      <c r="H28" s="21"/>
      <c r="I28" s="21"/>
      <c r="J28" s="21"/>
      <c r="K28" s="21"/>
      <c r="L28" s="21"/>
      <c r="M28" s="21"/>
      <c r="N28" s="21"/>
      <c r="O28" s="21"/>
      <c r="P28" s="21"/>
      <c r="Q28" s="21"/>
      <c r="R28" s="21"/>
      <c r="S28" s="21"/>
      <c r="T28" s="21"/>
      <c r="U28" s="21"/>
      <c r="V28" s="21"/>
      <c r="W28" s="21"/>
      <c r="X28" s="21"/>
      <c r="Y28" s="21"/>
      <c r="Z28" s="21"/>
      <c r="AA28" s="21"/>
      <c r="AB28" s="21"/>
      <c r="AC28" s="21"/>
      <c r="AD28" s="21"/>
      <c r="AE28" s="21"/>
    </row>
    <row r="29" spans="3:32" ht="15.75" thickTop="1">
      <c r="C29" s="11" t="s">
        <v>540</v>
      </c>
      <c r="D29" s="11" t="s">
        <v>32</v>
      </c>
      <c r="F29" s="169">
        <f>G29</f>
        <v>14126</v>
      </c>
      <c r="G29" s="161">
        <v>14126</v>
      </c>
      <c r="H29" s="169">
        <f>G29</f>
        <v>14126</v>
      </c>
      <c r="I29" s="169">
        <f t="shared" ref="I29:AE29" si="12">H29</f>
        <v>14126</v>
      </c>
      <c r="J29" s="169">
        <f t="shared" si="12"/>
        <v>14126</v>
      </c>
      <c r="K29" s="332">
        <f t="shared" si="12"/>
        <v>14126</v>
      </c>
      <c r="L29" s="332">
        <f t="shared" si="12"/>
        <v>14126</v>
      </c>
      <c r="M29" s="332">
        <f t="shared" si="12"/>
        <v>14126</v>
      </c>
      <c r="N29" s="332">
        <f t="shared" si="12"/>
        <v>14126</v>
      </c>
      <c r="O29" s="332">
        <f t="shared" si="12"/>
        <v>14126</v>
      </c>
      <c r="P29" s="332">
        <f t="shared" si="12"/>
        <v>14126</v>
      </c>
      <c r="Q29" s="332">
        <f t="shared" si="12"/>
        <v>14126</v>
      </c>
      <c r="R29" s="332">
        <f t="shared" si="12"/>
        <v>14126</v>
      </c>
      <c r="S29" s="332">
        <f t="shared" si="12"/>
        <v>14126</v>
      </c>
      <c r="T29" s="332">
        <f t="shared" si="12"/>
        <v>14126</v>
      </c>
      <c r="U29" s="332">
        <f t="shared" si="12"/>
        <v>14126</v>
      </c>
      <c r="V29" s="332">
        <f t="shared" si="12"/>
        <v>14126</v>
      </c>
      <c r="W29" s="332">
        <f t="shared" si="12"/>
        <v>14126</v>
      </c>
      <c r="X29" s="332">
        <f t="shared" si="12"/>
        <v>14126</v>
      </c>
      <c r="Y29" s="332">
        <f t="shared" si="12"/>
        <v>14126</v>
      </c>
      <c r="Z29" s="332">
        <f t="shared" si="12"/>
        <v>14126</v>
      </c>
      <c r="AA29" s="332">
        <f t="shared" si="12"/>
        <v>14126</v>
      </c>
      <c r="AB29" s="332">
        <f t="shared" si="12"/>
        <v>14126</v>
      </c>
      <c r="AC29" s="332">
        <f t="shared" si="12"/>
        <v>14126</v>
      </c>
      <c r="AD29" s="332">
        <f t="shared" si="12"/>
        <v>14126</v>
      </c>
      <c r="AE29" s="332">
        <f t="shared" si="12"/>
        <v>14126</v>
      </c>
    </row>
    <row r="30" spans="3:32">
      <c r="C30" s="11"/>
    </row>
    <row r="31" spans="3:32" ht="18" thickBot="1">
      <c r="C31" s="284" t="s">
        <v>541</v>
      </c>
      <c r="G31" s="24"/>
    </row>
    <row r="32" spans="3:32" ht="13.5" thickTop="1">
      <c r="C32" s="4" t="s">
        <v>718</v>
      </c>
      <c r="D32" s="11" t="s">
        <v>32</v>
      </c>
      <c r="G32" s="20">
        <f>G23+G29</f>
        <v>243576.23732527756</v>
      </c>
      <c r="H32" s="20">
        <f>H23+H29</f>
        <v>250357.81625033589</v>
      </c>
      <c r="I32" s="20">
        <f t="shared" ref="I32:AE32" si="13">I23+I29</f>
        <v>252720.13441283922</v>
      </c>
      <c r="J32" s="20">
        <f t="shared" si="13"/>
        <v>252720.13441283922</v>
      </c>
      <c r="K32" s="20">
        <f t="shared" si="13"/>
        <v>259501.74905814775</v>
      </c>
      <c r="L32" s="20">
        <f t="shared" si="13"/>
        <v>264496.40714413894</v>
      </c>
      <c r="M32" s="20">
        <f t="shared" si="13"/>
        <v>270467.34343116108</v>
      </c>
      <c r="N32" s="20">
        <f t="shared" si="13"/>
        <v>277345.01481448294</v>
      </c>
      <c r="O32" s="20">
        <f t="shared" si="13"/>
        <v>285768.68291066994</v>
      </c>
      <c r="P32" s="20">
        <f t="shared" si="13"/>
        <v>294090.71108455787</v>
      </c>
      <c r="Q32" s="20">
        <f t="shared" si="13"/>
        <v>302875.46837838634</v>
      </c>
      <c r="R32" s="20">
        <f t="shared" si="13"/>
        <v>311515.78999315831</v>
      </c>
      <c r="S32" s="20">
        <f t="shared" si="13"/>
        <v>320629.53966706025</v>
      </c>
      <c r="T32" s="20">
        <f t="shared" si="13"/>
        <v>330171.24690853735</v>
      </c>
      <c r="U32" s="20">
        <f t="shared" si="13"/>
        <v>339762.02759571554</v>
      </c>
      <c r="V32" s="20">
        <f t="shared" si="13"/>
        <v>349855.65842479456</v>
      </c>
      <c r="W32" s="20">
        <f t="shared" si="13"/>
        <v>360099.07440252486</v>
      </c>
      <c r="X32" s="20">
        <f t="shared" si="13"/>
        <v>371051.2951015514</v>
      </c>
      <c r="Y32" s="20">
        <f t="shared" si="13"/>
        <v>382383.32814180088</v>
      </c>
      <c r="Z32" s="20">
        <f t="shared" si="13"/>
        <v>394215.53658915387</v>
      </c>
      <c r="AA32" s="20">
        <f t="shared" si="13"/>
        <v>406994.60115476674</v>
      </c>
      <c r="AB32" s="20">
        <f t="shared" si="13"/>
        <v>420316.63688424067</v>
      </c>
      <c r="AC32" s="20">
        <f t="shared" si="13"/>
        <v>434055.93124210037</v>
      </c>
      <c r="AD32" s="20">
        <f t="shared" si="13"/>
        <v>448086.77169287053</v>
      </c>
      <c r="AE32" s="20">
        <f t="shared" si="13"/>
        <v>458303.44032262731</v>
      </c>
    </row>
    <row r="33" spans="3:31" ht="15">
      <c r="C33" s="4" t="s">
        <v>717</v>
      </c>
      <c r="F33" s="193">
        <v>35.095999999999997</v>
      </c>
      <c r="G33" s="166">
        <v>36.442</v>
      </c>
      <c r="H33" s="193">
        <f>H24+H27</f>
        <v>37.47473089407427</v>
      </c>
      <c r="I33" s="193">
        <f t="shared" ref="I33:AE33" si="14">I32/(8760*I34)</f>
        <v>37.810039433255263</v>
      </c>
      <c r="J33" s="193">
        <f t="shared" si="14"/>
        <v>37.810039433255263</v>
      </c>
      <c r="K33" s="193">
        <f t="shared" si="14"/>
        <v>38.824652367661919</v>
      </c>
      <c r="L33" s="193">
        <f t="shared" si="14"/>
        <v>39.571914629237234</v>
      </c>
      <c r="M33" s="193">
        <f t="shared" si="14"/>
        <v>40.465240113533476</v>
      </c>
      <c r="N33" s="193">
        <f t="shared" si="14"/>
        <v>41.494224317014336</v>
      </c>
      <c r="O33" s="193">
        <f t="shared" si="14"/>
        <v>42.754508637571043</v>
      </c>
      <c r="P33" s="193">
        <f t="shared" si="14"/>
        <v>43.999586376036262</v>
      </c>
      <c r="Q33" s="193">
        <f t="shared" si="14"/>
        <v>45.313894080339054</v>
      </c>
      <c r="R33" s="193">
        <f t="shared" si="14"/>
        <v>46.606592431143419</v>
      </c>
      <c r="S33" s="193">
        <f t="shared" si="14"/>
        <v>47.970121440637108</v>
      </c>
      <c r="T33" s="193">
        <f t="shared" si="14"/>
        <v>49.397678164200236</v>
      </c>
      <c r="U33" s="193">
        <f t="shared" si="14"/>
        <v>50.832576878623705</v>
      </c>
      <c r="V33" s="193">
        <f t="shared" si="14"/>
        <v>52.342708157078782</v>
      </c>
      <c r="W33" s="193">
        <f t="shared" si="14"/>
        <v>53.875249135458155</v>
      </c>
      <c r="X33" s="193">
        <f t="shared" si="14"/>
        <v>55.513836015265028</v>
      </c>
      <c r="Y33" s="193">
        <f t="shared" si="14"/>
        <v>57.209247491308531</v>
      </c>
      <c r="Z33" s="193">
        <f t="shared" si="14"/>
        <v>58.979491358170705</v>
      </c>
      <c r="AA33" s="193">
        <f t="shared" si="14"/>
        <v>60.891396542411499</v>
      </c>
      <c r="AB33" s="193">
        <f t="shared" si="14"/>
        <v>62.884536888877911</v>
      </c>
      <c r="AC33" s="193">
        <f t="shared" si="14"/>
        <v>64.940104256562037</v>
      </c>
      <c r="AD33" s="193">
        <f t="shared" si="14"/>
        <v>67.039290504455948</v>
      </c>
      <c r="AE33" s="193">
        <f t="shared" si="14"/>
        <v>68.567829750705968</v>
      </c>
    </row>
    <row r="34" spans="3:31" ht="15">
      <c r="C34" s="4" t="s">
        <v>719</v>
      </c>
      <c r="G34" s="172">
        <f>G32/(G33*8760)</f>
        <v>0.76300714955220506</v>
      </c>
      <c r="H34" s="172">
        <f>G34</f>
        <v>0.76300714955220506</v>
      </c>
      <c r="I34" s="172">
        <f t="shared" ref="I34:AE34" si="15">H34</f>
        <v>0.76300714955220506</v>
      </c>
      <c r="J34" s="172">
        <f t="shared" si="15"/>
        <v>0.76300714955220506</v>
      </c>
      <c r="K34" s="172">
        <f t="shared" si="15"/>
        <v>0.76300714955220506</v>
      </c>
      <c r="L34" s="172">
        <f t="shared" si="15"/>
        <v>0.76300714955220506</v>
      </c>
      <c r="M34" s="172">
        <f t="shared" si="15"/>
        <v>0.76300714955220506</v>
      </c>
      <c r="N34" s="172">
        <f t="shared" si="15"/>
        <v>0.76300714955220506</v>
      </c>
      <c r="O34" s="172">
        <f t="shared" si="15"/>
        <v>0.76300714955220506</v>
      </c>
      <c r="P34" s="172">
        <f t="shared" si="15"/>
        <v>0.76300714955220506</v>
      </c>
      <c r="Q34" s="172">
        <f t="shared" si="15"/>
        <v>0.76300714955220506</v>
      </c>
      <c r="R34" s="172">
        <f t="shared" si="15"/>
        <v>0.76300714955220506</v>
      </c>
      <c r="S34" s="172">
        <f t="shared" si="15"/>
        <v>0.76300714955220506</v>
      </c>
      <c r="T34" s="172">
        <f t="shared" si="15"/>
        <v>0.76300714955220506</v>
      </c>
      <c r="U34" s="172">
        <f t="shared" si="15"/>
        <v>0.76300714955220506</v>
      </c>
      <c r="V34" s="172">
        <f t="shared" si="15"/>
        <v>0.76300714955220506</v>
      </c>
      <c r="W34" s="172">
        <f t="shared" si="15"/>
        <v>0.76300714955220506</v>
      </c>
      <c r="X34" s="172">
        <f t="shared" si="15"/>
        <v>0.76300714955220506</v>
      </c>
      <c r="Y34" s="172">
        <f t="shared" si="15"/>
        <v>0.76300714955220506</v>
      </c>
      <c r="Z34" s="172">
        <f t="shared" si="15"/>
        <v>0.76300714955220506</v>
      </c>
      <c r="AA34" s="172">
        <f t="shared" si="15"/>
        <v>0.76300714955220506</v>
      </c>
      <c r="AB34" s="172">
        <f t="shared" si="15"/>
        <v>0.76300714955220506</v>
      </c>
      <c r="AC34" s="172">
        <f t="shared" si="15"/>
        <v>0.76300714955220506</v>
      </c>
      <c r="AD34" s="172">
        <f t="shared" si="15"/>
        <v>0.76300714955220506</v>
      </c>
      <c r="AE34" s="172">
        <f t="shared" si="15"/>
        <v>0.76300714955220506</v>
      </c>
    </row>
    <row r="35" spans="3:31">
      <c r="C35" s="4" t="s">
        <v>504</v>
      </c>
      <c r="F35" s="171">
        <v>33.460999999999999</v>
      </c>
      <c r="G35" s="171">
        <v>34.807000000000002</v>
      </c>
      <c r="H35" s="171">
        <v>36.512999999999998</v>
      </c>
      <c r="I35" s="21">
        <v>36.139000000000003</v>
      </c>
      <c r="J35" s="21">
        <v>35.909999999999997</v>
      </c>
      <c r="K35" s="21">
        <v>37.698</v>
      </c>
      <c r="L35" s="21">
        <v>39.015000000000001</v>
      </c>
      <c r="M35" s="21">
        <v>40.061999999999998</v>
      </c>
      <c r="N35" s="21">
        <v>41.441000000000003</v>
      </c>
      <c r="O35" s="21">
        <v>43.293999999999997</v>
      </c>
      <c r="P35" s="21"/>
      <c r="Q35" s="21"/>
      <c r="R35" s="21"/>
      <c r="S35" s="21"/>
      <c r="T35" s="21"/>
      <c r="U35" s="21"/>
      <c r="V35" s="21"/>
      <c r="W35" s="21"/>
      <c r="X35" s="21"/>
      <c r="Y35" s="21"/>
      <c r="Z35" s="21"/>
      <c r="AA35" s="21"/>
      <c r="AB35" s="21"/>
      <c r="AC35" s="21"/>
      <c r="AD35" s="21"/>
      <c r="AE35" s="21">
        <v>1</v>
      </c>
    </row>
    <row r="36" spans="3:31">
      <c r="C36" s="4" t="s">
        <v>503</v>
      </c>
      <c r="G36" s="15">
        <f>G35/F35-1</f>
        <v>4.0225934670213181E-2</v>
      </c>
      <c r="H36" s="15">
        <f t="shared" ref="H36:O36" si="16">H35/G35-1</f>
        <v>4.9013129542907929E-2</v>
      </c>
      <c r="I36" s="15">
        <f t="shared" si="16"/>
        <v>-1.0242927176621897E-2</v>
      </c>
      <c r="J36" s="15">
        <f t="shared" si="16"/>
        <v>-6.3366446221535533E-3</v>
      </c>
      <c r="K36" s="15">
        <f t="shared" si="16"/>
        <v>4.979114452798683E-2</v>
      </c>
      <c r="L36" s="15">
        <f t="shared" si="16"/>
        <v>3.4935540346967997E-2</v>
      </c>
      <c r="M36" s="15">
        <f t="shared" si="16"/>
        <v>2.683583237216447E-2</v>
      </c>
      <c r="N36" s="15">
        <f t="shared" si="16"/>
        <v>3.4421646448005605E-2</v>
      </c>
      <c r="O36" s="15">
        <f t="shared" si="16"/>
        <v>4.4714171955309912E-2</v>
      </c>
    </row>
    <row r="37" spans="3:31">
      <c r="C37" s="4" t="s">
        <v>505</v>
      </c>
      <c r="G37" s="15">
        <f>G33/F33-1</f>
        <v>3.835194894005034E-2</v>
      </c>
      <c r="H37" s="15">
        <f t="shared" ref="H37:O37" si="17">H33/G33-1</f>
        <v>2.8339028979591285E-2</v>
      </c>
      <c r="I37" s="15">
        <f t="shared" si="17"/>
        <v>8.9475903143581004E-3</v>
      </c>
      <c r="J37" s="15">
        <f t="shared" si="17"/>
        <v>0</v>
      </c>
      <c r="K37" s="15">
        <f t="shared" si="17"/>
        <v>2.683448495730123E-2</v>
      </c>
      <c r="L37" s="15">
        <f t="shared" si="17"/>
        <v>1.9247107597999413E-2</v>
      </c>
      <c r="M37" s="15">
        <f t="shared" si="17"/>
        <v>2.2574734951950504E-2</v>
      </c>
      <c r="N37" s="15">
        <f t="shared" si="17"/>
        <v>2.5428842151778541E-2</v>
      </c>
      <c r="O37" s="15">
        <f t="shared" si="17"/>
        <v>3.0372523918706928E-2</v>
      </c>
    </row>
    <row r="38" spans="3:31">
      <c r="C38" s="4"/>
      <c r="G38" s="15"/>
      <c r="H38" s="15"/>
      <c r="I38" s="15"/>
      <c r="J38" s="15"/>
      <c r="K38" s="15"/>
      <c r="L38" s="15"/>
      <c r="M38" s="15"/>
      <c r="N38" s="15"/>
      <c r="O38" s="15"/>
    </row>
    <row r="41" spans="3:31">
      <c r="F41">
        <f>F7</f>
        <v>2005</v>
      </c>
      <c r="G41">
        <f t="shared" ref="G41:AE41" si="18">G7</f>
        <v>2006</v>
      </c>
      <c r="H41">
        <f t="shared" si="18"/>
        <v>2007</v>
      </c>
      <c r="I41">
        <f t="shared" si="18"/>
        <v>2008</v>
      </c>
      <c r="J41">
        <f t="shared" si="18"/>
        <v>2009</v>
      </c>
      <c r="K41">
        <f t="shared" si="18"/>
        <v>2010</v>
      </c>
      <c r="L41">
        <f t="shared" si="18"/>
        <v>2011</v>
      </c>
      <c r="M41">
        <f t="shared" si="18"/>
        <v>2012</v>
      </c>
      <c r="N41">
        <f t="shared" si="18"/>
        <v>2013</v>
      </c>
      <c r="O41">
        <f t="shared" si="18"/>
        <v>2014</v>
      </c>
      <c r="P41">
        <f t="shared" si="18"/>
        <v>2015</v>
      </c>
      <c r="Q41">
        <f t="shared" si="18"/>
        <v>2016</v>
      </c>
      <c r="R41">
        <f t="shared" si="18"/>
        <v>2017</v>
      </c>
      <c r="S41">
        <f t="shared" si="18"/>
        <v>2018</v>
      </c>
      <c r="T41">
        <f t="shared" si="18"/>
        <v>2019</v>
      </c>
      <c r="U41">
        <f t="shared" si="18"/>
        <v>2020</v>
      </c>
      <c r="V41">
        <f t="shared" si="18"/>
        <v>2021</v>
      </c>
      <c r="W41">
        <f t="shared" si="18"/>
        <v>2022</v>
      </c>
      <c r="X41">
        <f t="shared" si="18"/>
        <v>2023</v>
      </c>
      <c r="Y41">
        <f t="shared" si="18"/>
        <v>2024</v>
      </c>
      <c r="Z41">
        <f t="shared" si="18"/>
        <v>2025</v>
      </c>
      <c r="AA41">
        <f t="shared" si="18"/>
        <v>2026</v>
      </c>
      <c r="AB41">
        <f t="shared" si="18"/>
        <v>2027</v>
      </c>
      <c r="AC41">
        <f t="shared" si="18"/>
        <v>2028</v>
      </c>
      <c r="AD41">
        <f t="shared" si="18"/>
        <v>2029</v>
      </c>
      <c r="AE41">
        <f t="shared" si="18"/>
        <v>2030</v>
      </c>
    </row>
    <row r="42" spans="3:31" ht="15">
      <c r="C42" s="4" t="s">
        <v>507</v>
      </c>
      <c r="F42" s="4"/>
      <c r="G42" s="167"/>
      <c r="H42" s="165">
        <v>2.9555772110379408E-2</v>
      </c>
      <c r="I42" s="165">
        <v>0.01</v>
      </c>
      <c r="J42" s="165">
        <v>0</v>
      </c>
      <c r="K42" s="165">
        <v>0.04</v>
      </c>
      <c r="L42" s="165">
        <v>3.5000000000000003E-2</v>
      </c>
      <c r="M42" s="165">
        <v>2.7E-2</v>
      </c>
      <c r="N42" s="165">
        <v>3.4000000000000002E-2</v>
      </c>
      <c r="O42" s="165">
        <v>4.4999999999999998E-2</v>
      </c>
      <c r="P42" s="167">
        <v>3.9662747892174277E-2</v>
      </c>
      <c r="Q42" s="167">
        <v>3.5953081755480731E-2</v>
      </c>
      <c r="R42" s="167">
        <v>3.4009855224880869E-2</v>
      </c>
      <c r="S42" s="167">
        <v>3.449888038583615E-2</v>
      </c>
      <c r="T42" s="167">
        <v>3.4759718687313201E-2</v>
      </c>
      <c r="U42" s="167">
        <v>3.4955979372754076E-2</v>
      </c>
      <c r="V42" s="167">
        <v>3.5307879676313547E-2</v>
      </c>
      <c r="W42" s="167">
        <v>3.4661536921294589E-2</v>
      </c>
      <c r="X42" s="167">
        <v>3.5477070878114692E-2</v>
      </c>
      <c r="Y42" s="167">
        <v>3.5369581759201241E-2</v>
      </c>
      <c r="Z42" s="167">
        <v>3.5250810678391087E-2</v>
      </c>
      <c r="AA42" s="167">
        <v>3.5003269296634221E-2</v>
      </c>
      <c r="AB42" s="167">
        <v>3.472798815927236E-2</v>
      </c>
      <c r="AC42" s="167">
        <v>3.4475339869052934E-2</v>
      </c>
      <c r="AD42" s="167">
        <v>3.3927838702243251E-2</v>
      </c>
      <c r="AE42" s="167">
        <v>3.3320104597619915E-2</v>
      </c>
    </row>
    <row r="43" spans="3:31" ht="15">
      <c r="C43" s="4" t="s">
        <v>506</v>
      </c>
      <c r="H43" s="165">
        <v>2.9555772110379408E-2</v>
      </c>
      <c r="I43" s="165">
        <v>0.01</v>
      </c>
      <c r="J43" s="165">
        <v>0</v>
      </c>
      <c r="K43" s="165">
        <v>0.03</v>
      </c>
      <c r="L43" s="15">
        <v>2.1854830810086989E-2</v>
      </c>
      <c r="M43" s="15">
        <v>2.527506470544405E-2</v>
      </c>
      <c r="N43" s="15">
        <v>2.8173696239351731E-2</v>
      </c>
      <c r="O43" s="15">
        <v>3.324172493230404E-2</v>
      </c>
      <c r="P43" s="15">
        <v>3.1800668870157089E-2</v>
      </c>
      <c r="Q43" s="15">
        <v>3.2460147468582168E-2</v>
      </c>
      <c r="R43" s="15">
        <v>3.0943922745756858E-2</v>
      </c>
      <c r="S43" s="15">
        <v>3.1591131689074681E-2</v>
      </c>
      <c r="T43" s="15">
        <v>3.2004695402993555E-2</v>
      </c>
      <c r="U43" s="15">
        <v>3.2341970125286501E-2</v>
      </c>
      <c r="V43" s="15">
        <v>3.2851830547746541E-2</v>
      </c>
      <c r="W43" s="15">
        <v>3.2246172188755251E-2</v>
      </c>
      <c r="X43" s="15">
        <v>3.3252532314075101E-2</v>
      </c>
      <c r="Y43" s="15">
        <v>3.3226696083838991E-2</v>
      </c>
      <c r="Z43" s="15">
        <v>3.3489212985700512E-2</v>
      </c>
      <c r="AA43" s="15">
        <v>3.484207771456882E-2</v>
      </c>
      <c r="AB43" s="15">
        <v>3.5019999068263141E-2</v>
      </c>
      <c r="AC43" s="15">
        <v>3.4838186973938923E-2</v>
      </c>
      <c r="AD43" s="15">
        <v>3.4342630967397092E-2</v>
      </c>
      <c r="AE43" s="15">
        <v>2.463595732410595E-2</v>
      </c>
    </row>
    <row r="44" spans="3:31">
      <c r="C44" s="295" t="s">
        <v>658</v>
      </c>
      <c r="D44" s="230"/>
      <c r="E44" s="230"/>
      <c r="F44" s="230"/>
      <c r="G44" s="230"/>
      <c r="H44" s="230"/>
      <c r="I44" s="230"/>
      <c r="J44" s="230"/>
      <c r="K44" s="230"/>
      <c r="L44" s="230"/>
      <c r="M44" s="296"/>
      <c r="N44" s="296"/>
      <c r="O44" s="296"/>
      <c r="P44" s="296"/>
      <c r="Q44" s="296"/>
      <c r="R44" s="296"/>
      <c r="S44" s="296"/>
      <c r="T44" s="296"/>
      <c r="U44" s="296"/>
      <c r="V44" s="296"/>
      <c r="W44" s="296"/>
      <c r="X44" s="296"/>
      <c r="Y44" s="296"/>
      <c r="Z44" s="296"/>
      <c r="AA44" s="296"/>
      <c r="AB44" s="296"/>
      <c r="AC44" s="296"/>
      <c r="AD44" s="296"/>
      <c r="AE44" s="296"/>
    </row>
    <row r="45" spans="3:31">
      <c r="C45" s="295" t="s">
        <v>659</v>
      </c>
      <c r="D45" s="230"/>
      <c r="E45" s="230"/>
      <c r="F45" s="230"/>
      <c r="G45" s="230"/>
      <c r="H45" s="230"/>
      <c r="I45" s="230"/>
      <c r="J45" s="230"/>
      <c r="K45" s="230"/>
      <c r="L45" s="230"/>
      <c r="M45" s="230"/>
      <c r="N45" s="230"/>
      <c r="O45" s="230"/>
      <c r="P45" s="230"/>
      <c r="Q45" s="230"/>
      <c r="R45" s="230"/>
      <c r="S45" s="230"/>
      <c r="T45" s="230"/>
      <c r="U45" s="230"/>
      <c r="V45" s="230"/>
      <c r="W45" s="230"/>
      <c r="X45" s="230"/>
      <c r="Y45" s="230"/>
      <c r="Z45" s="230"/>
      <c r="AA45" s="230"/>
      <c r="AB45" s="230"/>
      <c r="AC45" s="230"/>
      <c r="AD45" s="230"/>
      <c r="AE45" s="230"/>
    </row>
    <row r="46" spans="3:31">
      <c r="C46" s="295" t="s">
        <v>660</v>
      </c>
      <c r="D46" s="230"/>
      <c r="E46" s="230"/>
      <c r="F46" s="230"/>
      <c r="G46" s="230"/>
      <c r="H46" s="230"/>
      <c r="I46" s="230"/>
      <c r="J46" s="230"/>
      <c r="K46" s="230"/>
      <c r="L46" s="230"/>
      <c r="M46" s="230"/>
      <c r="N46" s="230"/>
      <c r="O46" s="230"/>
      <c r="P46" s="230"/>
      <c r="Q46" s="230"/>
      <c r="R46" s="230"/>
      <c r="S46" s="230"/>
      <c r="T46" s="230"/>
      <c r="U46" s="230"/>
      <c r="V46" s="230"/>
      <c r="W46" s="230"/>
      <c r="X46" s="230"/>
      <c r="Y46" s="230"/>
      <c r="Z46" s="230"/>
      <c r="AA46" s="230"/>
      <c r="AB46" s="230"/>
      <c r="AC46" s="230"/>
      <c r="AD46" s="230"/>
      <c r="AE46" s="230"/>
    </row>
    <row r="48" spans="3:31" ht="18" thickBot="1">
      <c r="C48" s="284" t="s">
        <v>508</v>
      </c>
      <c r="F48">
        <f>F41</f>
        <v>2005</v>
      </c>
      <c r="G48">
        <f t="shared" ref="G48:AE48" si="19">G41</f>
        <v>2006</v>
      </c>
      <c r="H48">
        <f t="shared" si="19"/>
        <v>2007</v>
      </c>
      <c r="I48">
        <f t="shared" si="19"/>
        <v>2008</v>
      </c>
      <c r="J48">
        <f t="shared" si="19"/>
        <v>2009</v>
      </c>
      <c r="K48">
        <f t="shared" si="19"/>
        <v>2010</v>
      </c>
      <c r="L48">
        <f t="shared" si="19"/>
        <v>2011</v>
      </c>
      <c r="M48">
        <f t="shared" si="19"/>
        <v>2012</v>
      </c>
      <c r="N48">
        <f t="shared" si="19"/>
        <v>2013</v>
      </c>
      <c r="O48">
        <f t="shared" si="19"/>
        <v>2014</v>
      </c>
      <c r="P48">
        <f t="shared" si="19"/>
        <v>2015</v>
      </c>
      <c r="Q48">
        <f t="shared" si="19"/>
        <v>2016</v>
      </c>
      <c r="R48">
        <f t="shared" si="19"/>
        <v>2017</v>
      </c>
      <c r="S48">
        <f t="shared" si="19"/>
        <v>2018</v>
      </c>
      <c r="T48">
        <f t="shared" si="19"/>
        <v>2019</v>
      </c>
      <c r="U48">
        <f t="shared" si="19"/>
        <v>2020</v>
      </c>
      <c r="V48">
        <f t="shared" si="19"/>
        <v>2021</v>
      </c>
      <c r="W48">
        <f t="shared" si="19"/>
        <v>2022</v>
      </c>
      <c r="X48">
        <f t="shared" si="19"/>
        <v>2023</v>
      </c>
      <c r="Y48">
        <f t="shared" si="19"/>
        <v>2024</v>
      </c>
      <c r="Z48">
        <f t="shared" si="19"/>
        <v>2025</v>
      </c>
      <c r="AA48">
        <f t="shared" si="19"/>
        <v>2026</v>
      </c>
      <c r="AB48">
        <f t="shared" si="19"/>
        <v>2027</v>
      </c>
      <c r="AC48">
        <f t="shared" si="19"/>
        <v>2028</v>
      </c>
      <c r="AD48">
        <f t="shared" si="19"/>
        <v>2029</v>
      </c>
      <c r="AE48">
        <f t="shared" si="19"/>
        <v>2030</v>
      </c>
    </row>
    <row r="49" spans="3:31" ht="13.5" thickTop="1">
      <c r="C49" s="4" t="s">
        <v>520</v>
      </c>
    </row>
    <row r="50" spans="3:31">
      <c r="C50" s="11" t="s">
        <v>515</v>
      </c>
      <c r="D50" s="11" t="s">
        <v>509</v>
      </c>
      <c r="E50" s="299">
        <f>2*0.7</f>
        <v>1.4</v>
      </c>
    </row>
    <row r="51" spans="3:31">
      <c r="C51" s="11" t="s">
        <v>511</v>
      </c>
      <c r="D51" s="11" t="s">
        <v>519</v>
      </c>
      <c r="E51" s="230">
        <v>2.16</v>
      </c>
    </row>
    <row r="52" spans="3:31">
      <c r="C52" s="11" t="s">
        <v>512</v>
      </c>
      <c r="D52" s="11" t="s">
        <v>514</v>
      </c>
      <c r="I52" s="210">
        <v>13000</v>
      </c>
      <c r="J52" s="210">
        <f>I52</f>
        <v>13000</v>
      </c>
      <c r="K52" s="210">
        <f t="shared" ref="K52:AE52" si="20">J52</f>
        <v>13000</v>
      </c>
      <c r="L52" s="210">
        <f t="shared" si="20"/>
        <v>13000</v>
      </c>
      <c r="M52" s="210">
        <f t="shared" si="20"/>
        <v>13000</v>
      </c>
      <c r="N52" s="210">
        <f t="shared" si="20"/>
        <v>13000</v>
      </c>
      <c r="O52" s="210">
        <f t="shared" si="20"/>
        <v>13000</v>
      </c>
      <c r="P52" s="210">
        <f t="shared" si="20"/>
        <v>13000</v>
      </c>
      <c r="Q52" s="210">
        <f t="shared" si="20"/>
        <v>13000</v>
      </c>
      <c r="R52" s="210">
        <f t="shared" si="20"/>
        <v>13000</v>
      </c>
      <c r="S52" s="210">
        <f t="shared" si="20"/>
        <v>13000</v>
      </c>
      <c r="T52" s="210">
        <f t="shared" si="20"/>
        <v>13000</v>
      </c>
      <c r="U52" s="210">
        <f t="shared" si="20"/>
        <v>13000</v>
      </c>
      <c r="V52" s="210">
        <f t="shared" si="20"/>
        <v>13000</v>
      </c>
      <c r="W52" s="210">
        <f t="shared" si="20"/>
        <v>13000</v>
      </c>
      <c r="X52" s="210">
        <f t="shared" si="20"/>
        <v>13000</v>
      </c>
      <c r="Y52" s="210">
        <f t="shared" si="20"/>
        <v>13000</v>
      </c>
      <c r="Z52" s="210">
        <f t="shared" si="20"/>
        <v>13000</v>
      </c>
      <c r="AA52" s="210">
        <f t="shared" si="20"/>
        <v>13000</v>
      </c>
      <c r="AB52" s="210">
        <f t="shared" si="20"/>
        <v>13000</v>
      </c>
      <c r="AC52" s="210">
        <f t="shared" si="20"/>
        <v>13000</v>
      </c>
      <c r="AD52" s="210">
        <f t="shared" si="20"/>
        <v>13000</v>
      </c>
      <c r="AE52" s="210">
        <f t="shared" si="20"/>
        <v>13000</v>
      </c>
    </row>
    <row r="53" spans="3:31">
      <c r="C53" s="11" t="s">
        <v>521</v>
      </c>
      <c r="D53" s="173" t="s">
        <v>510</v>
      </c>
      <c r="I53" s="210">
        <v>0</v>
      </c>
      <c r="J53" s="210">
        <v>0</v>
      </c>
      <c r="K53" s="210">
        <v>100</v>
      </c>
      <c r="L53" s="210">
        <v>100</v>
      </c>
      <c r="M53" s="308">
        <v>100</v>
      </c>
      <c r="N53" s="308">
        <v>100</v>
      </c>
      <c r="O53" s="210">
        <v>100</v>
      </c>
      <c r="P53" s="210">
        <v>100</v>
      </c>
      <c r="Q53" s="192">
        <v>100</v>
      </c>
      <c r="R53" s="192">
        <v>100</v>
      </c>
      <c r="S53" s="192">
        <v>100</v>
      </c>
      <c r="T53" s="192">
        <v>100</v>
      </c>
      <c r="U53" s="192">
        <v>200</v>
      </c>
      <c r="V53" s="192">
        <v>200</v>
      </c>
      <c r="W53" s="192">
        <v>200</v>
      </c>
      <c r="X53" s="192">
        <v>200</v>
      </c>
      <c r="Y53" s="192">
        <v>200</v>
      </c>
      <c r="Z53" s="192">
        <v>200</v>
      </c>
      <c r="AA53" s="192">
        <v>200</v>
      </c>
      <c r="AB53" s="192">
        <v>200</v>
      </c>
      <c r="AC53" s="192">
        <v>200</v>
      </c>
      <c r="AD53" s="192">
        <v>200</v>
      </c>
      <c r="AE53" s="192">
        <v>200</v>
      </c>
    </row>
    <row r="54" spans="3:31">
      <c r="C54" s="11" t="s">
        <v>518</v>
      </c>
      <c r="D54" s="173" t="s">
        <v>510</v>
      </c>
      <c r="H54">
        <v>0</v>
      </c>
      <c r="I54" s="123">
        <f>H54+I53</f>
        <v>0</v>
      </c>
      <c r="J54" s="123">
        <f t="shared" ref="J54:AE54" si="21">I54+J53</f>
        <v>0</v>
      </c>
      <c r="K54" s="123">
        <f t="shared" si="21"/>
        <v>100</v>
      </c>
      <c r="L54" s="123">
        <f t="shared" si="21"/>
        <v>200</v>
      </c>
      <c r="M54" s="123">
        <f t="shared" si="21"/>
        <v>300</v>
      </c>
      <c r="N54" s="123">
        <f t="shared" si="21"/>
        <v>400</v>
      </c>
      <c r="O54" s="123">
        <f t="shared" si="21"/>
        <v>500</v>
      </c>
      <c r="P54" s="123">
        <f t="shared" si="21"/>
        <v>600</v>
      </c>
      <c r="Q54" s="123">
        <f t="shared" si="21"/>
        <v>700</v>
      </c>
      <c r="R54" s="123">
        <f t="shared" si="21"/>
        <v>800</v>
      </c>
      <c r="S54" s="123">
        <f t="shared" si="21"/>
        <v>900</v>
      </c>
      <c r="T54" s="123">
        <f t="shared" si="21"/>
        <v>1000</v>
      </c>
      <c r="U54" s="123">
        <f t="shared" si="21"/>
        <v>1200</v>
      </c>
      <c r="V54" s="123">
        <f t="shared" si="21"/>
        <v>1400</v>
      </c>
      <c r="W54" s="123">
        <f t="shared" si="21"/>
        <v>1600</v>
      </c>
      <c r="X54" s="123">
        <f t="shared" si="21"/>
        <v>1800</v>
      </c>
      <c r="Y54" s="123">
        <f t="shared" si="21"/>
        <v>2000</v>
      </c>
      <c r="Z54" s="123">
        <f t="shared" si="21"/>
        <v>2200</v>
      </c>
      <c r="AA54" s="123">
        <f t="shared" si="21"/>
        <v>2400</v>
      </c>
      <c r="AB54" s="123">
        <f t="shared" si="21"/>
        <v>2600</v>
      </c>
      <c r="AC54" s="123">
        <f t="shared" si="21"/>
        <v>2800</v>
      </c>
      <c r="AD54" s="123">
        <f t="shared" si="21"/>
        <v>3000</v>
      </c>
      <c r="AE54" s="123">
        <f t="shared" si="21"/>
        <v>3200</v>
      </c>
    </row>
    <row r="55" spans="3:31">
      <c r="C55" s="11" t="s">
        <v>516</v>
      </c>
      <c r="D55" s="11" t="s">
        <v>28</v>
      </c>
      <c r="I55">
        <f>$E$50*I54/1000</f>
        <v>0</v>
      </c>
      <c r="J55">
        <f t="shared" ref="J55:AE55" si="22">$E$50*J54/1000</f>
        <v>0</v>
      </c>
      <c r="K55">
        <f t="shared" si="22"/>
        <v>0.14000000000000001</v>
      </c>
      <c r="L55">
        <f t="shared" si="22"/>
        <v>0.28000000000000003</v>
      </c>
      <c r="M55">
        <f t="shared" si="22"/>
        <v>0.42</v>
      </c>
      <c r="N55">
        <f t="shared" si="22"/>
        <v>0.56000000000000005</v>
      </c>
      <c r="O55">
        <f t="shared" si="22"/>
        <v>0.7</v>
      </c>
      <c r="P55">
        <f t="shared" si="22"/>
        <v>0.84</v>
      </c>
      <c r="Q55">
        <f t="shared" si="22"/>
        <v>0.97999999999999987</v>
      </c>
      <c r="R55">
        <f t="shared" si="22"/>
        <v>1.1200000000000001</v>
      </c>
      <c r="S55">
        <f t="shared" si="22"/>
        <v>1.26</v>
      </c>
      <c r="T55">
        <f t="shared" si="22"/>
        <v>1.4</v>
      </c>
      <c r="U55">
        <f t="shared" si="22"/>
        <v>1.68</v>
      </c>
      <c r="V55">
        <f t="shared" si="22"/>
        <v>1.9599999999999997</v>
      </c>
      <c r="W55">
        <f t="shared" si="22"/>
        <v>2.2400000000000002</v>
      </c>
      <c r="X55">
        <f t="shared" si="22"/>
        <v>2.52</v>
      </c>
      <c r="Y55">
        <f t="shared" si="22"/>
        <v>2.8</v>
      </c>
      <c r="Z55">
        <f t="shared" si="22"/>
        <v>3.08</v>
      </c>
      <c r="AA55">
        <f t="shared" si="22"/>
        <v>3.36</v>
      </c>
      <c r="AB55">
        <f t="shared" si="22"/>
        <v>3.6399999999999997</v>
      </c>
      <c r="AC55">
        <f t="shared" si="22"/>
        <v>3.9199999999999995</v>
      </c>
      <c r="AD55">
        <f t="shared" si="22"/>
        <v>4.2</v>
      </c>
      <c r="AE55">
        <f t="shared" si="22"/>
        <v>4.4800000000000004</v>
      </c>
    </row>
    <row r="56" spans="3:31">
      <c r="C56" s="11" t="s">
        <v>517</v>
      </c>
      <c r="D56" s="11" t="s">
        <v>32</v>
      </c>
      <c r="I56" s="9">
        <f>$E$51*I54</f>
        <v>0</v>
      </c>
      <c r="J56" s="9">
        <f t="shared" ref="J56:AE56" si="23">$E$51*J54</f>
        <v>0</v>
      </c>
      <c r="K56" s="9">
        <f t="shared" si="23"/>
        <v>216</v>
      </c>
      <c r="L56" s="9">
        <f t="shared" si="23"/>
        <v>432</v>
      </c>
      <c r="M56" s="9">
        <f t="shared" si="23"/>
        <v>648</v>
      </c>
      <c r="N56" s="9">
        <f t="shared" si="23"/>
        <v>864</v>
      </c>
      <c r="O56" s="9">
        <f t="shared" si="23"/>
        <v>1080</v>
      </c>
      <c r="P56" s="9">
        <f t="shared" si="23"/>
        <v>1296</v>
      </c>
      <c r="Q56" s="9">
        <f t="shared" si="23"/>
        <v>1512</v>
      </c>
      <c r="R56" s="9">
        <f t="shared" si="23"/>
        <v>1728</v>
      </c>
      <c r="S56" s="9">
        <f t="shared" si="23"/>
        <v>1944.0000000000002</v>
      </c>
      <c r="T56" s="9">
        <f t="shared" si="23"/>
        <v>2160</v>
      </c>
      <c r="U56" s="9">
        <f t="shared" si="23"/>
        <v>2592</v>
      </c>
      <c r="V56" s="9">
        <f t="shared" si="23"/>
        <v>3024</v>
      </c>
      <c r="W56" s="9">
        <f t="shared" si="23"/>
        <v>3456</v>
      </c>
      <c r="X56" s="9">
        <f t="shared" si="23"/>
        <v>3888.0000000000005</v>
      </c>
      <c r="Y56" s="9">
        <f t="shared" si="23"/>
        <v>4320</v>
      </c>
      <c r="Z56" s="9">
        <f t="shared" si="23"/>
        <v>4752</v>
      </c>
      <c r="AA56" s="9">
        <f t="shared" si="23"/>
        <v>5184</v>
      </c>
      <c r="AB56" s="9">
        <f t="shared" si="23"/>
        <v>5616</v>
      </c>
      <c r="AC56" s="9">
        <f t="shared" si="23"/>
        <v>6048</v>
      </c>
      <c r="AD56" s="9">
        <f t="shared" si="23"/>
        <v>6480</v>
      </c>
      <c r="AE56" s="9">
        <f t="shared" si="23"/>
        <v>6912</v>
      </c>
    </row>
    <row r="57" spans="3:31">
      <c r="C57" s="11" t="s">
        <v>253</v>
      </c>
      <c r="D57" s="11" t="s">
        <v>513</v>
      </c>
      <c r="I57" s="9">
        <f>I53*I52/1000</f>
        <v>0</v>
      </c>
      <c r="J57" s="9">
        <f t="shared" ref="J57:AE57" si="24">J53*J52/1000</f>
        <v>0</v>
      </c>
      <c r="K57" s="9">
        <f t="shared" si="24"/>
        <v>1300</v>
      </c>
      <c r="L57" s="9">
        <f t="shared" si="24"/>
        <v>1300</v>
      </c>
      <c r="M57" s="9">
        <f t="shared" si="24"/>
        <v>1300</v>
      </c>
      <c r="N57" s="9">
        <f t="shared" si="24"/>
        <v>1300</v>
      </c>
      <c r="O57" s="9">
        <f t="shared" si="24"/>
        <v>1300</v>
      </c>
      <c r="P57" s="9">
        <f t="shared" si="24"/>
        <v>1300</v>
      </c>
      <c r="Q57" s="9">
        <f t="shared" si="24"/>
        <v>1300</v>
      </c>
      <c r="R57" s="9">
        <f t="shared" si="24"/>
        <v>1300</v>
      </c>
      <c r="S57" s="9">
        <f t="shared" si="24"/>
        <v>1300</v>
      </c>
      <c r="T57" s="9">
        <f t="shared" si="24"/>
        <v>1300</v>
      </c>
      <c r="U57" s="9">
        <f t="shared" si="24"/>
        <v>2600</v>
      </c>
      <c r="V57" s="9">
        <f t="shared" si="24"/>
        <v>2600</v>
      </c>
      <c r="W57" s="9">
        <f t="shared" si="24"/>
        <v>2600</v>
      </c>
      <c r="X57" s="9">
        <f t="shared" si="24"/>
        <v>2600</v>
      </c>
      <c r="Y57" s="9">
        <f t="shared" si="24"/>
        <v>2600</v>
      </c>
      <c r="Z57" s="9">
        <f t="shared" si="24"/>
        <v>2600</v>
      </c>
      <c r="AA57" s="9">
        <f t="shared" si="24"/>
        <v>2600</v>
      </c>
      <c r="AB57" s="9">
        <f t="shared" si="24"/>
        <v>2600</v>
      </c>
      <c r="AC57" s="9">
        <f t="shared" si="24"/>
        <v>2600</v>
      </c>
      <c r="AD57" s="9">
        <f t="shared" si="24"/>
        <v>2600</v>
      </c>
      <c r="AE57" s="9">
        <f t="shared" si="24"/>
        <v>2600</v>
      </c>
    </row>
    <row r="59" spans="3:31">
      <c r="C59" s="4" t="s">
        <v>522</v>
      </c>
    </row>
    <row r="60" spans="3:31">
      <c r="C60" s="11" t="s">
        <v>515</v>
      </c>
      <c r="D60" s="11" t="s">
        <v>509</v>
      </c>
      <c r="E60" s="299">
        <v>0</v>
      </c>
    </row>
    <row r="61" spans="3:31">
      <c r="C61" s="11" t="s">
        <v>523</v>
      </c>
      <c r="D61" s="11" t="s">
        <v>509</v>
      </c>
      <c r="E61" s="230">
        <v>0.5</v>
      </c>
    </row>
    <row r="62" spans="3:31">
      <c r="C62" s="11" t="s">
        <v>511</v>
      </c>
      <c r="D62" s="11" t="s">
        <v>519</v>
      </c>
      <c r="E62" s="300">
        <f>E61*'Tech Parameters'!H47*8.76</f>
        <v>1.0074000000000001</v>
      </c>
    </row>
    <row r="63" spans="3:31">
      <c r="C63" s="11" t="s">
        <v>714</v>
      </c>
      <c r="D63" s="11" t="s">
        <v>69</v>
      </c>
      <c r="E63" s="301">
        <f>'Tech Parameters'!D47</f>
        <v>50041.980236537951</v>
      </c>
      <c r="I63" s="211">
        <f>$E$63*'Tech Parameters'!Q47</f>
        <v>50041.980236537951</v>
      </c>
      <c r="J63" s="211">
        <f>$E$63*'Tech Parameters'!R47</f>
        <v>45538.202015249524</v>
      </c>
      <c r="K63" s="211">
        <f>$E$63*'Tech Parameters'!S47</f>
        <v>41034.423793961119</v>
      </c>
      <c r="L63" s="211">
        <f>$E$63*'Tech Parameters'!T47</f>
        <v>38572.358366323453</v>
      </c>
      <c r="M63" s="211">
        <f>$E$63*'Tech Parameters'!U47</f>
        <v>36110.292938685787</v>
      </c>
      <c r="N63" s="211">
        <f>$E$63*'Tech Parameters'!V47</f>
        <v>33648.227511048121</v>
      </c>
      <c r="O63" s="211">
        <f>$E$63*'Tech Parameters'!W47</f>
        <v>30619.887035053798</v>
      </c>
      <c r="P63" s="211">
        <f>$E$63*'Tech Parameters'!X47</f>
        <v>27591.546559059454</v>
      </c>
      <c r="Q63" s="211">
        <f>$E$63*'Tech Parameters'!Y47</f>
        <v>25936.053765515891</v>
      </c>
      <c r="R63" s="211">
        <f>$E$63*'Tech Parameters'!Z47</f>
        <v>24280.560971972318</v>
      </c>
      <c r="S63" s="211">
        <f>$E$63*'Tech Parameters'!AA47</f>
        <v>22625.068178428755</v>
      </c>
      <c r="T63" s="211">
        <f>$E$63*'Tech Parameters'!AB47</f>
        <v>21267.564087723033</v>
      </c>
      <c r="U63" s="211">
        <f>$E$63*'Tech Parameters'!AC47</f>
        <v>19910.059997017303</v>
      </c>
      <c r="V63" s="211">
        <f>$E$63*'Tech Parameters'!AD47</f>
        <v>18552.555906311583</v>
      </c>
      <c r="W63" s="211">
        <f>$E$63*'Tech Parameters'!AE47</f>
        <v>17717.690890527563</v>
      </c>
      <c r="X63" s="211">
        <f>$E$63*'Tech Parameters'!AF47</f>
        <v>16882.825874743543</v>
      </c>
      <c r="Y63" s="211">
        <f>$E$63*'Tech Parameters'!AG47</f>
        <v>16047.960858959523</v>
      </c>
      <c r="Z63" s="211">
        <f>$E$63*'Tech Parameters'!AH47</f>
        <v>15213.095843175501</v>
      </c>
      <c r="AA63" s="211">
        <f>$E$63*'Tech Parameters'!AI47</f>
        <v>15213.095843175501</v>
      </c>
      <c r="AB63" s="211">
        <f>$E$63*'Tech Parameters'!AJ47</f>
        <v>15213.095843175501</v>
      </c>
      <c r="AC63" s="211">
        <f>$E$63*'Tech Parameters'!AK47</f>
        <v>15213.095843175501</v>
      </c>
      <c r="AD63" s="211">
        <f>$E$63*'Tech Parameters'!AL47</f>
        <v>15213.095843175501</v>
      </c>
      <c r="AE63" s="211">
        <f>$E$63*'Tech Parameters'!AM47</f>
        <v>15213.095843175501</v>
      </c>
    </row>
    <row r="64" spans="3:31">
      <c r="C64" s="11" t="s">
        <v>524</v>
      </c>
      <c r="D64" s="173" t="s">
        <v>510</v>
      </c>
      <c r="I64" s="211">
        <f t="shared" ref="I64:AE64" si="25">I53</f>
        <v>0</v>
      </c>
      <c r="J64" s="211">
        <f t="shared" si="25"/>
        <v>0</v>
      </c>
      <c r="K64" s="211">
        <f t="shared" si="25"/>
        <v>100</v>
      </c>
      <c r="L64" s="211">
        <f t="shared" si="25"/>
        <v>100</v>
      </c>
      <c r="M64" s="211">
        <f t="shared" si="25"/>
        <v>100</v>
      </c>
      <c r="N64" s="211">
        <f t="shared" si="25"/>
        <v>100</v>
      </c>
      <c r="O64" s="211">
        <f t="shared" si="25"/>
        <v>100</v>
      </c>
      <c r="P64" s="211">
        <f t="shared" si="25"/>
        <v>100</v>
      </c>
      <c r="Q64" s="211">
        <f t="shared" si="25"/>
        <v>100</v>
      </c>
      <c r="R64" s="211">
        <f t="shared" si="25"/>
        <v>100</v>
      </c>
      <c r="S64" s="211">
        <f t="shared" si="25"/>
        <v>100</v>
      </c>
      <c r="T64" s="211">
        <f t="shared" si="25"/>
        <v>100</v>
      </c>
      <c r="U64" s="211">
        <f t="shared" si="25"/>
        <v>200</v>
      </c>
      <c r="V64" s="211">
        <f t="shared" si="25"/>
        <v>200</v>
      </c>
      <c r="W64" s="211">
        <f t="shared" si="25"/>
        <v>200</v>
      </c>
      <c r="X64" s="211">
        <f t="shared" si="25"/>
        <v>200</v>
      </c>
      <c r="Y64" s="211">
        <f t="shared" si="25"/>
        <v>200</v>
      </c>
      <c r="Z64" s="211">
        <f t="shared" si="25"/>
        <v>200</v>
      </c>
      <c r="AA64" s="211">
        <f t="shared" si="25"/>
        <v>200</v>
      </c>
      <c r="AB64" s="211">
        <f t="shared" si="25"/>
        <v>200</v>
      </c>
      <c r="AC64" s="211">
        <f t="shared" si="25"/>
        <v>200</v>
      </c>
      <c r="AD64" s="211">
        <f t="shared" si="25"/>
        <v>200</v>
      </c>
      <c r="AE64" s="211">
        <f t="shared" si="25"/>
        <v>200</v>
      </c>
    </row>
    <row r="65" spans="3:31">
      <c r="C65" s="11" t="s">
        <v>518</v>
      </c>
      <c r="D65" s="173" t="s">
        <v>510</v>
      </c>
      <c r="H65">
        <v>0</v>
      </c>
      <c r="I65" s="123">
        <f>H65+I64</f>
        <v>0</v>
      </c>
      <c r="J65" s="123">
        <f t="shared" ref="J65:AE65" si="26">I65+J64</f>
        <v>0</v>
      </c>
      <c r="K65" s="123">
        <f t="shared" si="26"/>
        <v>100</v>
      </c>
      <c r="L65" s="123">
        <f t="shared" si="26"/>
        <v>200</v>
      </c>
      <c r="M65" s="123">
        <f t="shared" si="26"/>
        <v>300</v>
      </c>
      <c r="N65" s="123">
        <f t="shared" si="26"/>
        <v>400</v>
      </c>
      <c r="O65" s="123">
        <f t="shared" si="26"/>
        <v>500</v>
      </c>
      <c r="P65" s="123">
        <f t="shared" si="26"/>
        <v>600</v>
      </c>
      <c r="Q65" s="123">
        <f t="shared" si="26"/>
        <v>700</v>
      </c>
      <c r="R65" s="123">
        <f t="shared" si="26"/>
        <v>800</v>
      </c>
      <c r="S65" s="123">
        <f t="shared" si="26"/>
        <v>900</v>
      </c>
      <c r="T65" s="123">
        <f t="shared" si="26"/>
        <v>1000</v>
      </c>
      <c r="U65" s="123">
        <f t="shared" si="26"/>
        <v>1200</v>
      </c>
      <c r="V65" s="123">
        <f t="shared" si="26"/>
        <v>1400</v>
      </c>
      <c r="W65" s="123">
        <f t="shared" si="26"/>
        <v>1600</v>
      </c>
      <c r="X65" s="123">
        <f t="shared" si="26"/>
        <v>1800</v>
      </c>
      <c r="Y65" s="123">
        <f t="shared" si="26"/>
        <v>2000</v>
      </c>
      <c r="Z65" s="123">
        <f t="shared" si="26"/>
        <v>2200</v>
      </c>
      <c r="AA65" s="123">
        <f t="shared" si="26"/>
        <v>2400</v>
      </c>
      <c r="AB65" s="123">
        <f t="shared" si="26"/>
        <v>2600</v>
      </c>
      <c r="AC65" s="123">
        <f t="shared" si="26"/>
        <v>2800</v>
      </c>
      <c r="AD65" s="123">
        <f t="shared" si="26"/>
        <v>3000</v>
      </c>
      <c r="AE65" s="123">
        <f t="shared" si="26"/>
        <v>3200</v>
      </c>
    </row>
    <row r="66" spans="3:31">
      <c r="C66" s="11" t="s">
        <v>516</v>
      </c>
      <c r="D66" s="11" t="s">
        <v>28</v>
      </c>
      <c r="I66">
        <f>$E$60*I65/1000</f>
        <v>0</v>
      </c>
      <c r="J66">
        <f t="shared" ref="J66:AE66" si="27">$E$60*J65/1000</f>
        <v>0</v>
      </c>
      <c r="K66">
        <f t="shared" si="27"/>
        <v>0</v>
      </c>
      <c r="L66">
        <f t="shared" si="27"/>
        <v>0</v>
      </c>
      <c r="M66">
        <f t="shared" si="27"/>
        <v>0</v>
      </c>
      <c r="N66">
        <f t="shared" si="27"/>
        <v>0</v>
      </c>
      <c r="O66">
        <f t="shared" si="27"/>
        <v>0</v>
      </c>
      <c r="P66">
        <f t="shared" si="27"/>
        <v>0</v>
      </c>
      <c r="Q66">
        <f t="shared" si="27"/>
        <v>0</v>
      </c>
      <c r="R66">
        <f t="shared" si="27"/>
        <v>0</v>
      </c>
      <c r="S66">
        <f t="shared" si="27"/>
        <v>0</v>
      </c>
      <c r="T66">
        <f t="shared" si="27"/>
        <v>0</v>
      </c>
      <c r="U66">
        <f t="shared" si="27"/>
        <v>0</v>
      </c>
      <c r="V66">
        <f t="shared" si="27"/>
        <v>0</v>
      </c>
      <c r="W66">
        <f t="shared" si="27"/>
        <v>0</v>
      </c>
      <c r="X66">
        <f t="shared" si="27"/>
        <v>0</v>
      </c>
      <c r="Y66">
        <f t="shared" si="27"/>
        <v>0</v>
      </c>
      <c r="Z66">
        <f t="shared" si="27"/>
        <v>0</v>
      </c>
      <c r="AA66">
        <f t="shared" si="27"/>
        <v>0</v>
      </c>
      <c r="AB66">
        <f t="shared" si="27"/>
        <v>0</v>
      </c>
      <c r="AC66">
        <f t="shared" si="27"/>
        <v>0</v>
      </c>
      <c r="AD66">
        <f t="shared" si="27"/>
        <v>0</v>
      </c>
      <c r="AE66">
        <f t="shared" si="27"/>
        <v>0</v>
      </c>
    </row>
    <row r="67" spans="3:31">
      <c r="C67" s="11" t="s">
        <v>517</v>
      </c>
      <c r="D67" s="11" t="s">
        <v>32</v>
      </c>
      <c r="I67" s="9">
        <f>$E$62*I65</f>
        <v>0</v>
      </c>
      <c r="J67" s="9">
        <f t="shared" ref="J67:AE67" si="28">$E$62*J65</f>
        <v>0</v>
      </c>
      <c r="K67" s="9">
        <f t="shared" si="28"/>
        <v>100.74000000000001</v>
      </c>
      <c r="L67" s="9">
        <f t="shared" si="28"/>
        <v>201.48000000000002</v>
      </c>
      <c r="M67" s="9">
        <f t="shared" si="28"/>
        <v>302.22000000000003</v>
      </c>
      <c r="N67" s="9">
        <f t="shared" si="28"/>
        <v>402.96000000000004</v>
      </c>
      <c r="O67" s="9">
        <f t="shared" si="28"/>
        <v>503.70000000000005</v>
      </c>
      <c r="P67" s="9">
        <f t="shared" si="28"/>
        <v>604.44000000000005</v>
      </c>
      <c r="Q67" s="9">
        <f t="shared" si="28"/>
        <v>705.18000000000006</v>
      </c>
      <c r="R67" s="9">
        <f t="shared" si="28"/>
        <v>805.92000000000007</v>
      </c>
      <c r="S67" s="9">
        <f t="shared" si="28"/>
        <v>906.66000000000008</v>
      </c>
      <c r="T67" s="9">
        <f t="shared" si="28"/>
        <v>1007.4000000000001</v>
      </c>
      <c r="U67" s="9">
        <f t="shared" si="28"/>
        <v>1208.8800000000001</v>
      </c>
      <c r="V67" s="9">
        <f t="shared" si="28"/>
        <v>1410.3600000000001</v>
      </c>
      <c r="W67" s="9">
        <f t="shared" si="28"/>
        <v>1611.8400000000001</v>
      </c>
      <c r="X67" s="9">
        <f t="shared" si="28"/>
        <v>1813.3200000000002</v>
      </c>
      <c r="Y67" s="9">
        <f t="shared" si="28"/>
        <v>2014.8000000000002</v>
      </c>
      <c r="Z67" s="9">
        <f t="shared" si="28"/>
        <v>2216.2800000000002</v>
      </c>
      <c r="AA67" s="9">
        <f t="shared" si="28"/>
        <v>2417.7600000000002</v>
      </c>
      <c r="AB67" s="9">
        <f t="shared" si="28"/>
        <v>2619.2400000000002</v>
      </c>
      <c r="AC67" s="9">
        <f t="shared" si="28"/>
        <v>2820.7200000000003</v>
      </c>
      <c r="AD67" s="9">
        <f t="shared" si="28"/>
        <v>3022.2000000000003</v>
      </c>
      <c r="AE67" s="9">
        <f t="shared" si="28"/>
        <v>3223.6800000000003</v>
      </c>
    </row>
    <row r="68" spans="3:31">
      <c r="C68" s="11" t="s">
        <v>525</v>
      </c>
      <c r="D68" s="11" t="s">
        <v>28</v>
      </c>
      <c r="I68" s="12">
        <f>I65*$E$61/1000</f>
        <v>0</v>
      </c>
      <c r="J68" s="12">
        <f t="shared" ref="J68:AE68" si="29">J65*$E$61/1000</f>
        <v>0</v>
      </c>
      <c r="K68" s="12">
        <f t="shared" si="29"/>
        <v>0.05</v>
      </c>
      <c r="L68" s="12">
        <f t="shared" si="29"/>
        <v>0.1</v>
      </c>
      <c r="M68" s="12">
        <f t="shared" si="29"/>
        <v>0.15</v>
      </c>
      <c r="N68" s="12">
        <f t="shared" si="29"/>
        <v>0.2</v>
      </c>
      <c r="O68" s="12">
        <f t="shared" si="29"/>
        <v>0.25</v>
      </c>
      <c r="P68" s="12">
        <f t="shared" si="29"/>
        <v>0.3</v>
      </c>
      <c r="Q68" s="12">
        <f t="shared" si="29"/>
        <v>0.35</v>
      </c>
      <c r="R68" s="12">
        <f t="shared" si="29"/>
        <v>0.4</v>
      </c>
      <c r="S68" s="12">
        <f t="shared" si="29"/>
        <v>0.45</v>
      </c>
      <c r="T68" s="12">
        <f t="shared" si="29"/>
        <v>0.5</v>
      </c>
      <c r="U68" s="12">
        <f t="shared" si="29"/>
        <v>0.6</v>
      </c>
      <c r="V68" s="12">
        <f t="shared" si="29"/>
        <v>0.7</v>
      </c>
      <c r="W68" s="12">
        <f t="shared" si="29"/>
        <v>0.8</v>
      </c>
      <c r="X68" s="12">
        <f t="shared" si="29"/>
        <v>0.9</v>
      </c>
      <c r="Y68" s="12">
        <f t="shared" si="29"/>
        <v>1</v>
      </c>
      <c r="Z68" s="12">
        <f t="shared" si="29"/>
        <v>1.1000000000000001</v>
      </c>
      <c r="AA68" s="12">
        <f t="shared" si="29"/>
        <v>1.2</v>
      </c>
      <c r="AB68" s="12">
        <f t="shared" si="29"/>
        <v>1.3</v>
      </c>
      <c r="AC68" s="12">
        <f t="shared" si="29"/>
        <v>1.4</v>
      </c>
      <c r="AD68" s="12">
        <f t="shared" si="29"/>
        <v>1.5</v>
      </c>
      <c r="AE68" s="12">
        <f t="shared" si="29"/>
        <v>1.6</v>
      </c>
    </row>
    <row r="69" spans="3:31">
      <c r="C69" s="11" t="s">
        <v>253</v>
      </c>
      <c r="D69" s="11" t="s">
        <v>513</v>
      </c>
      <c r="I69" s="9">
        <f>I64*$E$61*I63/1000</f>
        <v>0</v>
      </c>
      <c r="J69" s="9">
        <f t="shared" ref="J69:AE69" si="30">J64*$E$61*J63/1000</f>
        <v>0</v>
      </c>
      <c r="K69" s="9">
        <f t="shared" si="30"/>
        <v>2051.7211896980557</v>
      </c>
      <c r="L69" s="9">
        <f t="shared" si="30"/>
        <v>1928.6179183161726</v>
      </c>
      <c r="M69" s="9">
        <f t="shared" si="30"/>
        <v>1805.5146469342892</v>
      </c>
      <c r="N69" s="9">
        <f t="shared" si="30"/>
        <v>1682.4113755524061</v>
      </c>
      <c r="O69" s="9">
        <f t="shared" si="30"/>
        <v>1530.9943517526899</v>
      </c>
      <c r="P69" s="9">
        <f t="shared" si="30"/>
        <v>1379.5773279529726</v>
      </c>
      <c r="Q69" s="9">
        <f t="shared" si="30"/>
        <v>1296.8026882757945</v>
      </c>
      <c r="R69" s="9">
        <f t="shared" si="30"/>
        <v>1214.0280485986159</v>
      </c>
      <c r="S69" s="9">
        <f t="shared" si="30"/>
        <v>1131.2534089214378</v>
      </c>
      <c r="T69" s="9">
        <f t="shared" si="30"/>
        <v>1063.3782043861515</v>
      </c>
      <c r="U69" s="9">
        <f t="shared" si="30"/>
        <v>1991.0059997017302</v>
      </c>
      <c r="V69" s="9">
        <f t="shared" si="30"/>
        <v>1855.2555906311584</v>
      </c>
      <c r="W69" s="9">
        <f t="shared" si="30"/>
        <v>1771.7690890527563</v>
      </c>
      <c r="X69" s="9">
        <f t="shared" si="30"/>
        <v>1688.2825874743544</v>
      </c>
      <c r="Y69" s="9">
        <f t="shared" si="30"/>
        <v>1604.7960858959523</v>
      </c>
      <c r="Z69" s="9">
        <f t="shared" si="30"/>
        <v>1521.3095843175502</v>
      </c>
      <c r="AA69" s="9">
        <f t="shared" si="30"/>
        <v>1521.3095843175502</v>
      </c>
      <c r="AB69" s="9">
        <f t="shared" si="30"/>
        <v>1521.3095843175502</v>
      </c>
      <c r="AC69" s="9">
        <f t="shared" si="30"/>
        <v>1521.3095843175502</v>
      </c>
      <c r="AD69" s="9">
        <f t="shared" si="30"/>
        <v>1521.3095843175502</v>
      </c>
      <c r="AE69" s="9">
        <f t="shared" si="30"/>
        <v>1521.3095843175502</v>
      </c>
    </row>
    <row r="73" spans="3:31">
      <c r="C73" s="11" t="s">
        <v>526</v>
      </c>
      <c r="D73" s="11" t="s">
        <v>32</v>
      </c>
      <c r="I73" s="24">
        <f>IF($D$7="y",I67,0)+IF($D$6="y",I56,0)</f>
        <v>0</v>
      </c>
      <c r="J73" s="24">
        <f t="shared" ref="J73:AE73" si="31">IF($D$7="y",J67,0)+IF($D$6="y",J56,0)</f>
        <v>0</v>
      </c>
      <c r="K73" s="24">
        <f t="shared" si="31"/>
        <v>316.74</v>
      </c>
      <c r="L73" s="24">
        <f t="shared" si="31"/>
        <v>633.48</v>
      </c>
      <c r="M73" s="24">
        <f t="shared" si="31"/>
        <v>950.22</v>
      </c>
      <c r="N73" s="24">
        <f t="shared" si="31"/>
        <v>1266.96</v>
      </c>
      <c r="O73" s="24">
        <f t="shared" si="31"/>
        <v>1583.7</v>
      </c>
      <c r="P73" s="24">
        <f t="shared" si="31"/>
        <v>1900.44</v>
      </c>
      <c r="Q73" s="24">
        <f t="shared" si="31"/>
        <v>2217.1800000000003</v>
      </c>
      <c r="R73" s="24">
        <f t="shared" si="31"/>
        <v>2533.92</v>
      </c>
      <c r="S73" s="24">
        <f t="shared" si="31"/>
        <v>2850.6600000000003</v>
      </c>
      <c r="T73" s="24">
        <f t="shared" si="31"/>
        <v>3167.4</v>
      </c>
      <c r="U73" s="24">
        <f t="shared" si="31"/>
        <v>3800.88</v>
      </c>
      <c r="V73" s="24">
        <f t="shared" si="31"/>
        <v>4434.3600000000006</v>
      </c>
      <c r="W73" s="24">
        <f t="shared" si="31"/>
        <v>5067.84</v>
      </c>
      <c r="X73" s="24">
        <f t="shared" si="31"/>
        <v>5701.3200000000006</v>
      </c>
      <c r="Y73" s="24">
        <f t="shared" si="31"/>
        <v>6334.8</v>
      </c>
      <c r="Z73" s="24">
        <f t="shared" si="31"/>
        <v>6968.2800000000007</v>
      </c>
      <c r="AA73" s="24">
        <f t="shared" si="31"/>
        <v>7601.76</v>
      </c>
      <c r="AB73" s="24">
        <f t="shared" si="31"/>
        <v>8235.24</v>
      </c>
      <c r="AC73" s="24">
        <f t="shared" si="31"/>
        <v>8868.7200000000012</v>
      </c>
      <c r="AD73" s="24">
        <f t="shared" si="31"/>
        <v>9502.2000000000007</v>
      </c>
      <c r="AE73" s="24">
        <f t="shared" si="31"/>
        <v>10135.68</v>
      </c>
    </row>
    <row r="74" spans="3:31">
      <c r="C74" s="11" t="s">
        <v>527</v>
      </c>
      <c r="D74" s="11" t="s">
        <v>28</v>
      </c>
      <c r="I74">
        <f>IF($D$7="y",I66,0)+IF($D$6="y",I55,0)</f>
        <v>0</v>
      </c>
      <c r="J74">
        <f t="shared" ref="J74:AE74" si="32">IF($D$7="y",J66,0)+IF($D$6="y",J55,0)</f>
        <v>0</v>
      </c>
      <c r="K74">
        <f t="shared" si="32"/>
        <v>0.14000000000000001</v>
      </c>
      <c r="L74">
        <f>IF($D$7="y",L66,0)+IF($D$6="y",L55,0)</f>
        <v>0.28000000000000003</v>
      </c>
      <c r="M74">
        <f t="shared" si="32"/>
        <v>0.42</v>
      </c>
      <c r="N74">
        <f t="shared" si="32"/>
        <v>0.56000000000000005</v>
      </c>
      <c r="O74">
        <f t="shared" si="32"/>
        <v>0.7</v>
      </c>
      <c r="P74">
        <f t="shared" si="32"/>
        <v>0.84</v>
      </c>
      <c r="Q74">
        <f t="shared" si="32"/>
        <v>0.97999999999999987</v>
      </c>
      <c r="R74">
        <f t="shared" si="32"/>
        <v>1.1200000000000001</v>
      </c>
      <c r="S74">
        <f t="shared" si="32"/>
        <v>1.26</v>
      </c>
      <c r="T74">
        <f t="shared" si="32"/>
        <v>1.4</v>
      </c>
      <c r="U74">
        <f t="shared" si="32"/>
        <v>1.68</v>
      </c>
      <c r="V74">
        <f t="shared" si="32"/>
        <v>1.9599999999999997</v>
      </c>
      <c r="W74">
        <f t="shared" si="32"/>
        <v>2.2400000000000002</v>
      </c>
      <c r="X74">
        <f t="shared" si="32"/>
        <v>2.52</v>
      </c>
      <c r="Y74">
        <f t="shared" si="32"/>
        <v>2.8</v>
      </c>
      <c r="Z74">
        <f t="shared" si="32"/>
        <v>3.08</v>
      </c>
      <c r="AA74">
        <f t="shared" si="32"/>
        <v>3.36</v>
      </c>
      <c r="AB74">
        <f t="shared" si="32"/>
        <v>3.6399999999999997</v>
      </c>
      <c r="AC74">
        <f t="shared" si="32"/>
        <v>3.9199999999999995</v>
      </c>
      <c r="AD74">
        <f t="shared" si="32"/>
        <v>4.2</v>
      </c>
      <c r="AE74">
        <f t="shared" si="32"/>
        <v>4.4800000000000004</v>
      </c>
    </row>
    <row r="75" spans="3:31">
      <c r="C75" s="11" t="s">
        <v>669</v>
      </c>
      <c r="D75" s="11" t="s">
        <v>513</v>
      </c>
      <c r="I75" s="9">
        <f>IF($D$7="y",I69,0)+IF($D$6="y",I57,0)</f>
        <v>0</v>
      </c>
      <c r="J75" s="9">
        <f t="shared" ref="J75:AE75" si="33">IF($D$7="y",J69,0)+IF($D$6="y",J57,0)</f>
        <v>0</v>
      </c>
      <c r="K75" s="9">
        <f t="shared" si="33"/>
        <v>3351.7211896980557</v>
      </c>
      <c r="L75" s="9">
        <f t="shared" si="33"/>
        <v>3228.6179183161726</v>
      </c>
      <c r="M75" s="9">
        <f t="shared" si="33"/>
        <v>3105.514646934289</v>
      </c>
      <c r="N75" s="9">
        <f t="shared" si="33"/>
        <v>2982.4113755524058</v>
      </c>
      <c r="O75" s="9">
        <f t="shared" si="33"/>
        <v>2830.9943517526899</v>
      </c>
      <c r="P75" s="9">
        <f t="shared" si="33"/>
        <v>2679.5773279529726</v>
      </c>
      <c r="Q75" s="9">
        <f t="shared" si="33"/>
        <v>2596.8026882757945</v>
      </c>
      <c r="R75" s="9">
        <f t="shared" si="33"/>
        <v>2514.0280485986159</v>
      </c>
      <c r="S75" s="9">
        <f t="shared" si="33"/>
        <v>2431.2534089214378</v>
      </c>
      <c r="T75" s="9">
        <f t="shared" si="33"/>
        <v>2363.3782043861515</v>
      </c>
      <c r="U75" s="9">
        <f t="shared" si="33"/>
        <v>4591.0059997017306</v>
      </c>
      <c r="V75" s="9">
        <f t="shared" si="33"/>
        <v>4455.2555906311582</v>
      </c>
      <c r="W75" s="9">
        <f t="shared" si="33"/>
        <v>4371.7690890527565</v>
      </c>
      <c r="X75" s="9">
        <f t="shared" si="33"/>
        <v>4288.2825874743539</v>
      </c>
      <c r="Y75" s="9">
        <f t="shared" si="33"/>
        <v>4204.7960858959523</v>
      </c>
      <c r="Z75" s="9">
        <f t="shared" si="33"/>
        <v>4121.3095843175506</v>
      </c>
      <c r="AA75" s="9">
        <f t="shared" si="33"/>
        <v>4121.3095843175506</v>
      </c>
      <c r="AB75" s="9">
        <f t="shared" si="33"/>
        <v>4121.3095843175506</v>
      </c>
      <c r="AC75" s="9">
        <f t="shared" si="33"/>
        <v>4121.3095843175506</v>
      </c>
      <c r="AD75" s="9">
        <f t="shared" si="33"/>
        <v>4121.3095843175506</v>
      </c>
      <c r="AE75" s="9">
        <f t="shared" si="33"/>
        <v>4121.3095843175506</v>
      </c>
    </row>
  </sheetData>
  <dataValidations count="2">
    <dataValidation type="list" allowBlank="1" showInputMessage="1" showErrorMessage="1" sqref="C9">
      <formula1>$C$42:$C$46</formula1>
    </dataValidation>
    <dataValidation type="list" allowBlank="1" showInputMessage="1" showErrorMessage="1" sqref="D6:D7">
      <formula1>yorn</formula1>
    </dataValidation>
  </dataValidations>
  <pageMargins left="0.7" right="0.7" top="0.75" bottom="0.75" header="0.3" footer="0.3"/>
  <pageSetup paperSize="9" orientation="portrait" r:id="rId1"/>
  <drawing r:id="rId2"/>
  <legacyDrawing r:id="rId3"/>
</worksheet>
</file>

<file path=xl/worksheets/sheet3.xml><?xml version="1.0" encoding="utf-8"?>
<worksheet xmlns="http://schemas.openxmlformats.org/spreadsheetml/2006/main" xmlns:r="http://schemas.openxmlformats.org/officeDocument/2006/relationships">
  <sheetPr codeName="Sheet17">
    <tabColor theme="6" tint="0.39997558519241921"/>
  </sheetPr>
  <dimension ref="A1:BU359"/>
  <sheetViews>
    <sheetView zoomScale="85" zoomScaleNormal="85" workbookViewId="0">
      <selection activeCell="T154" sqref="T154"/>
    </sheetView>
  </sheetViews>
  <sheetFormatPr defaultRowHeight="12.75"/>
  <cols>
    <col min="1" max="1" width="3.42578125" customWidth="1"/>
    <col min="2" max="2" width="28.28515625" customWidth="1"/>
    <col min="3" max="3" width="32.85546875" customWidth="1"/>
    <col min="4" max="4" width="8.42578125" customWidth="1"/>
    <col min="5" max="5" width="7" customWidth="1"/>
    <col min="6" max="6" width="6.85546875" customWidth="1"/>
    <col min="7" max="7" width="10.42578125" customWidth="1"/>
    <col min="8" max="8" width="10.28515625" customWidth="1"/>
    <col min="9" max="9" width="14" customWidth="1"/>
    <col min="10" max="10" width="8" customWidth="1"/>
    <col min="11" max="11" width="9.7109375" customWidth="1"/>
    <col min="13" max="13" width="10" customWidth="1"/>
  </cols>
  <sheetData>
    <row r="1" spans="1:13" ht="21" customHeight="1"/>
    <row r="2" spans="1:13" ht="21" customHeight="1" thickBot="1">
      <c r="B2" s="283" t="s">
        <v>600</v>
      </c>
      <c r="C2" s="283"/>
    </row>
    <row r="3" spans="1:13" ht="21" customHeight="1" thickTop="1">
      <c r="B3" s="4" t="s">
        <v>662</v>
      </c>
    </row>
    <row r="4" spans="1:13" ht="81.75" customHeight="1">
      <c r="D4" s="180" t="s">
        <v>589</v>
      </c>
      <c r="E4" s="180" t="s">
        <v>64</v>
      </c>
      <c r="F4" s="180" t="s">
        <v>65</v>
      </c>
      <c r="G4" s="180" t="s">
        <v>38</v>
      </c>
      <c r="H4" s="180" t="s">
        <v>43</v>
      </c>
      <c r="I4" s="180" t="s">
        <v>67</v>
      </c>
      <c r="J4" s="180" t="s">
        <v>7</v>
      </c>
      <c r="K4" s="180" t="s">
        <v>158</v>
      </c>
    </row>
    <row r="5" spans="1:13">
      <c r="B5" s="4" t="s">
        <v>102</v>
      </c>
      <c r="C5" s="4" t="s">
        <v>98</v>
      </c>
      <c r="D5" s="34" t="s">
        <v>69</v>
      </c>
      <c r="E5" s="34" t="s">
        <v>69</v>
      </c>
      <c r="F5" s="34" t="s">
        <v>70</v>
      </c>
      <c r="G5" s="34" t="s">
        <v>71</v>
      </c>
      <c r="H5" s="34" t="s">
        <v>71</v>
      </c>
      <c r="I5" s="34" t="s">
        <v>44</v>
      </c>
      <c r="J5" s="34" t="s">
        <v>29</v>
      </c>
    </row>
    <row r="6" spans="1:13" ht="15">
      <c r="A6">
        <v>1</v>
      </c>
      <c r="B6" s="184" t="s">
        <v>59</v>
      </c>
      <c r="C6" t="s">
        <v>105</v>
      </c>
      <c r="D6" s="161">
        <f t="shared" ref="D6:K13" si="0">SUMIF(technology_type,$C6,D$38:D$63)</f>
        <v>7064.8251352966272</v>
      </c>
      <c r="E6" s="161">
        <f t="shared" si="0"/>
        <v>198.51197177964252</v>
      </c>
      <c r="F6" s="231">
        <f t="shared" si="0"/>
        <v>8.1793577745617725</v>
      </c>
      <c r="G6" s="159">
        <f t="shared" si="0"/>
        <v>0.34905939650497231</v>
      </c>
      <c r="H6" s="159">
        <f t="shared" si="0"/>
        <v>0.87057493204096037</v>
      </c>
      <c r="I6" s="161">
        <f t="shared" si="0"/>
        <v>50</v>
      </c>
      <c r="J6" s="161">
        <f t="shared" si="0"/>
        <v>564.27777777777783</v>
      </c>
      <c r="K6" s="165">
        <f t="shared" si="0"/>
        <v>5.8421522102983153E-2</v>
      </c>
      <c r="L6" t="str">
        <f>IF(K6&lt;1,"",IF(AND(K6=1,H6&gt;=0.3),"PDF_1","PDF_2"))</f>
        <v/>
      </c>
      <c r="M6" s="54"/>
    </row>
    <row r="7" spans="1:13" ht="15">
      <c r="A7">
        <v>2</v>
      </c>
      <c r="B7" s="184" t="s">
        <v>60</v>
      </c>
      <c r="C7" t="s">
        <v>106</v>
      </c>
      <c r="D7" s="161">
        <f t="shared" si="0"/>
        <v>7064.8251352966272</v>
      </c>
      <c r="E7" s="161">
        <f t="shared" si="0"/>
        <v>274.85142535997028</v>
      </c>
      <c r="F7" s="231">
        <f t="shared" si="0"/>
        <v>9.6725078172314873</v>
      </c>
      <c r="G7" s="159">
        <f t="shared" si="0"/>
        <v>0.28218973503210287</v>
      </c>
      <c r="H7" s="159">
        <f t="shared" si="0"/>
        <v>0.80390233470489603</v>
      </c>
      <c r="I7" s="161">
        <f t="shared" si="0"/>
        <v>50</v>
      </c>
      <c r="J7" s="161">
        <f t="shared" si="0"/>
        <v>114.43859649122807</v>
      </c>
      <c r="K7" s="165">
        <f t="shared" si="0"/>
        <v>0.1256244162747904</v>
      </c>
      <c r="L7" t="str">
        <f t="shared" ref="L7:L25" si="1">IF(K7&lt;1,"",IF(AND(K7=1,H7&gt;=0.3),"PDF_1","PDF_2"))</f>
        <v/>
      </c>
      <c r="M7" s="54"/>
    </row>
    <row r="8" spans="1:13" ht="15">
      <c r="A8">
        <v>3</v>
      </c>
      <c r="B8" s="53" t="s">
        <v>15</v>
      </c>
      <c r="C8" t="s">
        <v>80</v>
      </c>
      <c r="D8" s="161">
        <f t="shared" si="0"/>
        <v>5722.2150752921634</v>
      </c>
      <c r="E8" s="161">
        <f t="shared" si="0"/>
        <v>101.01718865525203</v>
      </c>
      <c r="F8" s="231">
        <f t="shared" si="0"/>
        <v>29.779633649814187</v>
      </c>
      <c r="G8" s="159">
        <f t="shared" si="0"/>
        <v>0.31566348518792936</v>
      </c>
      <c r="H8" s="159">
        <f t="shared" si="0"/>
        <v>0.93003819999999993</v>
      </c>
      <c r="I8" s="161">
        <f t="shared" si="0"/>
        <v>25</v>
      </c>
      <c r="J8" s="161">
        <f t="shared" si="0"/>
        <v>120</v>
      </c>
      <c r="K8" s="165">
        <f t="shared" si="0"/>
        <v>3.0200000000000001E-2</v>
      </c>
      <c r="L8" t="str">
        <f t="shared" si="1"/>
        <v/>
      </c>
      <c r="M8" s="54"/>
    </row>
    <row r="9" spans="1:13" ht="15">
      <c r="A9">
        <v>4</v>
      </c>
      <c r="B9" s="53" t="s">
        <v>24</v>
      </c>
      <c r="C9" t="s">
        <v>76</v>
      </c>
      <c r="D9" s="161">
        <f t="shared" si="0"/>
        <v>37444.899462656853</v>
      </c>
      <c r="E9" s="161">
        <f t="shared" si="0"/>
        <v>750.91389948354981</v>
      </c>
      <c r="F9" s="231">
        <f t="shared" si="0"/>
        <v>4.0874006970333197</v>
      </c>
      <c r="G9" s="159">
        <f t="shared" si="0"/>
        <v>0.32703874591542237</v>
      </c>
      <c r="H9" s="159">
        <f t="shared" si="0"/>
        <v>0.83699999999999997</v>
      </c>
      <c r="I9" s="161">
        <f t="shared" si="0"/>
        <v>40</v>
      </c>
      <c r="J9" s="161">
        <f t="shared" si="0"/>
        <v>1350</v>
      </c>
      <c r="K9" s="165">
        <f t="shared" si="0"/>
        <v>7.0000000000000007E-2</v>
      </c>
      <c r="L9" t="str">
        <f t="shared" si="1"/>
        <v/>
      </c>
      <c r="M9" s="54"/>
    </row>
    <row r="10" spans="1:13" ht="15">
      <c r="A10">
        <v>5</v>
      </c>
      <c r="B10" s="53" t="s">
        <v>3</v>
      </c>
      <c r="C10" t="s">
        <v>107</v>
      </c>
      <c r="D10" s="161">
        <f t="shared" si="0"/>
        <v>0</v>
      </c>
      <c r="E10" s="161">
        <f t="shared" si="0"/>
        <v>130.26677991055652</v>
      </c>
      <c r="F10" s="231">
        <f t="shared" si="0"/>
        <v>0</v>
      </c>
      <c r="G10" s="159">
        <f t="shared" si="0"/>
        <v>1</v>
      </c>
      <c r="H10" s="159">
        <f t="shared" si="0"/>
        <v>0.15079248120300753</v>
      </c>
      <c r="I10" s="161">
        <f t="shared" si="0"/>
        <v>100</v>
      </c>
      <c r="J10" s="161">
        <f t="shared" si="0"/>
        <v>95</v>
      </c>
      <c r="K10" s="165">
        <f t="shared" si="0"/>
        <v>6.5998496240601501E-2</v>
      </c>
      <c r="L10" t="str">
        <f t="shared" si="1"/>
        <v/>
      </c>
      <c r="M10" s="54"/>
    </row>
    <row r="11" spans="1:13" ht="15">
      <c r="A11">
        <v>6</v>
      </c>
      <c r="B11" s="53" t="s">
        <v>8</v>
      </c>
      <c r="C11" t="s">
        <v>8</v>
      </c>
      <c r="D11" s="161">
        <f t="shared" si="0"/>
        <v>21075.978095646908</v>
      </c>
      <c r="E11" s="161">
        <f t="shared" si="0"/>
        <v>953.03169313480976</v>
      </c>
      <c r="F11" s="231">
        <f t="shared" si="0"/>
        <v>8.341634075578204E-2</v>
      </c>
      <c r="G11" s="159">
        <f t="shared" si="0"/>
        <v>0.25002361334126</v>
      </c>
      <c r="H11" s="159">
        <f t="shared" si="0"/>
        <v>0.85562500000000008</v>
      </c>
      <c r="I11" s="161">
        <f t="shared" si="0"/>
        <v>25</v>
      </c>
      <c r="J11" s="161">
        <f t="shared" si="0"/>
        <v>30</v>
      </c>
      <c r="K11" s="165">
        <f t="shared" si="0"/>
        <v>7.5000000000000011E-2</v>
      </c>
      <c r="L11" t="str">
        <f t="shared" si="1"/>
        <v/>
      </c>
      <c r="M11" s="54"/>
    </row>
    <row r="12" spans="1:13" ht="15">
      <c r="A12">
        <v>7</v>
      </c>
      <c r="B12" s="53" t="s">
        <v>22</v>
      </c>
      <c r="C12" t="s">
        <v>22</v>
      </c>
      <c r="D12" s="161">
        <f t="shared" si="0"/>
        <v>31212.006884862854</v>
      </c>
      <c r="E12" s="161">
        <f t="shared" si="0"/>
        <v>537.61831617101529</v>
      </c>
      <c r="F12" s="231">
        <f t="shared" si="0"/>
        <v>55.972364647129751</v>
      </c>
      <c r="G12" s="159">
        <f t="shared" si="0"/>
        <v>0.3537551601577355</v>
      </c>
      <c r="H12" s="159">
        <f t="shared" si="0"/>
        <v>0.90249999999999997</v>
      </c>
      <c r="I12" s="161">
        <f t="shared" si="0"/>
        <v>25</v>
      </c>
      <c r="J12" s="161">
        <f t="shared" si="0"/>
        <v>80</v>
      </c>
      <c r="K12" s="165">
        <f t="shared" si="0"/>
        <v>0.05</v>
      </c>
      <c r="L12" t="str">
        <f t="shared" si="1"/>
        <v/>
      </c>
      <c r="M12" s="54"/>
    </row>
    <row r="13" spans="1:13" ht="15">
      <c r="A13">
        <v>8</v>
      </c>
      <c r="B13" s="16" t="s">
        <v>101</v>
      </c>
      <c r="C13" s="16" t="s">
        <v>73</v>
      </c>
      <c r="D13" s="161">
        <f t="shared" si="0"/>
        <v>20145.259529792107</v>
      </c>
      <c r="E13" s="161">
        <f t="shared" si="0"/>
        <v>229.64518610066796</v>
      </c>
      <c r="F13" s="231">
        <f t="shared" si="0"/>
        <v>28.716075305177963</v>
      </c>
      <c r="G13" s="159">
        <f t="shared" si="0"/>
        <v>0.37090459509581702</v>
      </c>
      <c r="H13" s="159">
        <f t="shared" si="0"/>
        <v>0.85716400000000004</v>
      </c>
      <c r="I13" s="161">
        <f t="shared" si="0"/>
        <v>30</v>
      </c>
      <c r="J13" s="161">
        <f t="shared" si="0"/>
        <v>794</v>
      </c>
      <c r="K13" s="165">
        <f t="shared" si="0"/>
        <v>6.83E-2</v>
      </c>
      <c r="L13" t="str">
        <f t="shared" si="1"/>
        <v/>
      </c>
      <c r="M13" s="54"/>
    </row>
    <row r="14" spans="1:13" ht="15">
      <c r="A14">
        <v>9</v>
      </c>
      <c r="B14" s="185" t="s">
        <v>108</v>
      </c>
      <c r="C14" s="188" t="s">
        <v>4</v>
      </c>
      <c r="D14" s="161">
        <f t="shared" ref="D14:G25" si="2">SUMIF(technology_type,$C14,D$38:D$63)</f>
        <v>16423.611328040046</v>
      </c>
      <c r="E14" s="161">
        <f t="shared" si="2"/>
        <v>252.75151249001959</v>
      </c>
      <c r="F14" s="231">
        <f t="shared" si="2"/>
        <v>0</v>
      </c>
      <c r="G14" s="159">
        <f t="shared" si="2"/>
        <v>1</v>
      </c>
      <c r="H14" s="285">
        <v>0.3</v>
      </c>
      <c r="I14" s="161">
        <f t="shared" ref="I14:J25" si="3">SUMIF(technology_type,$C14,I$38:I$63)</f>
        <v>20</v>
      </c>
      <c r="J14" s="161">
        <f t="shared" si="3"/>
        <v>1</v>
      </c>
      <c r="K14" s="165">
        <v>1</v>
      </c>
      <c r="L14" s="230" t="str">
        <f t="shared" si="1"/>
        <v>PDF_1</v>
      </c>
      <c r="M14" s="54"/>
    </row>
    <row r="15" spans="1:13" ht="15">
      <c r="A15">
        <v>10</v>
      </c>
      <c r="B15" s="185" t="s">
        <v>109</v>
      </c>
      <c r="C15" s="188" t="s">
        <v>4</v>
      </c>
      <c r="D15" s="161">
        <f t="shared" si="2"/>
        <v>16423.611328040046</v>
      </c>
      <c r="E15" s="161">
        <f t="shared" si="2"/>
        <v>252.75151249001959</v>
      </c>
      <c r="F15" s="231">
        <f t="shared" si="2"/>
        <v>0</v>
      </c>
      <c r="G15" s="159">
        <f t="shared" si="2"/>
        <v>1</v>
      </c>
      <c r="H15" s="285">
        <v>0.25</v>
      </c>
      <c r="I15" s="161">
        <f t="shared" si="3"/>
        <v>20</v>
      </c>
      <c r="J15" s="161">
        <f t="shared" si="3"/>
        <v>1</v>
      </c>
      <c r="K15" s="165">
        <v>1</v>
      </c>
      <c r="L15" s="230" t="str">
        <f t="shared" si="1"/>
        <v>PDF_2</v>
      </c>
      <c r="M15" s="54"/>
    </row>
    <row r="16" spans="1:13" ht="15">
      <c r="A16">
        <v>11</v>
      </c>
      <c r="B16" s="185" t="s">
        <v>110</v>
      </c>
      <c r="C16" s="188" t="s">
        <v>81</v>
      </c>
      <c r="D16" s="161">
        <f t="shared" si="2"/>
        <v>67460.586439233011</v>
      </c>
      <c r="E16" s="161">
        <f t="shared" si="2"/>
        <v>473.6379828113304</v>
      </c>
      <c r="F16" s="231">
        <f t="shared" si="2"/>
        <v>0</v>
      </c>
      <c r="G16" s="159">
        <f t="shared" si="2"/>
        <v>1</v>
      </c>
      <c r="H16" s="159">
        <f t="shared" ref="H16:H25" si="4">SUMIF(technology_type,$C16,H$38:H$63)</f>
        <v>0.6</v>
      </c>
      <c r="I16" s="161">
        <f t="shared" si="3"/>
        <v>30</v>
      </c>
      <c r="J16" s="161">
        <f t="shared" si="3"/>
        <v>100</v>
      </c>
      <c r="K16" s="165">
        <f t="shared" ref="K16:K25" si="5">SUMIF(technology_type,$C16,K$38:K$63)</f>
        <v>0.04</v>
      </c>
      <c r="L16" t="str">
        <f t="shared" si="1"/>
        <v/>
      </c>
      <c r="M16" s="54"/>
    </row>
    <row r="17" spans="1:13" ht="15">
      <c r="A17">
        <v>12</v>
      </c>
      <c r="B17" s="185" t="s">
        <v>111</v>
      </c>
      <c r="C17" s="188" t="s">
        <v>82</v>
      </c>
      <c r="D17" s="161">
        <f t="shared" si="2"/>
        <v>44973.724292822008</v>
      </c>
      <c r="E17" s="161">
        <f t="shared" si="2"/>
        <v>473.6379828113304</v>
      </c>
      <c r="F17" s="231">
        <f t="shared" si="2"/>
        <v>0</v>
      </c>
      <c r="G17" s="159">
        <f t="shared" si="2"/>
        <v>1</v>
      </c>
      <c r="H17" s="159">
        <f t="shared" si="4"/>
        <v>0.4</v>
      </c>
      <c r="I17" s="161">
        <f t="shared" si="3"/>
        <v>30</v>
      </c>
      <c r="J17" s="161">
        <f t="shared" si="3"/>
        <v>100</v>
      </c>
      <c r="K17" s="165">
        <f t="shared" si="5"/>
        <v>0.04</v>
      </c>
      <c r="L17" t="str">
        <f t="shared" si="1"/>
        <v/>
      </c>
      <c r="M17" s="54"/>
    </row>
    <row r="18" spans="1:13" ht="15">
      <c r="A18">
        <v>13</v>
      </c>
      <c r="B18" s="185" t="s">
        <v>112</v>
      </c>
      <c r="C18" s="188" t="s">
        <v>79</v>
      </c>
      <c r="D18" s="161">
        <f t="shared" si="2"/>
        <v>50041.980236537951</v>
      </c>
      <c r="E18" s="161">
        <f t="shared" si="2"/>
        <v>97.430286002753405</v>
      </c>
      <c r="F18" s="231">
        <f t="shared" si="2"/>
        <v>0</v>
      </c>
      <c r="G18" s="159">
        <f t="shared" si="2"/>
        <v>1</v>
      </c>
      <c r="H18" s="159">
        <f t="shared" si="4"/>
        <v>0.23</v>
      </c>
      <c r="I18" s="161">
        <f t="shared" si="3"/>
        <v>15</v>
      </c>
      <c r="J18" s="161">
        <f t="shared" si="3"/>
        <v>5</v>
      </c>
      <c r="K18" s="165">
        <f t="shared" si="5"/>
        <v>0</v>
      </c>
      <c r="L18" t="str">
        <f t="shared" si="1"/>
        <v/>
      </c>
      <c r="M18" s="54"/>
    </row>
    <row r="19" spans="1:13" ht="15">
      <c r="A19">
        <v>14</v>
      </c>
      <c r="B19" s="185" t="s">
        <v>118</v>
      </c>
      <c r="C19" s="188" t="s">
        <v>72</v>
      </c>
      <c r="D19" s="161">
        <f t="shared" si="2"/>
        <v>8763.4555914193443</v>
      </c>
      <c r="E19" s="161">
        <f t="shared" si="2"/>
        <v>104.10359326321597</v>
      </c>
      <c r="F19" s="231">
        <f t="shared" si="2"/>
        <v>17.267182536446882</v>
      </c>
      <c r="G19" s="159">
        <f t="shared" si="2"/>
        <v>0.47419709211805405</v>
      </c>
      <c r="H19" s="159">
        <f t="shared" si="4"/>
        <v>0.90249999999999997</v>
      </c>
      <c r="I19" s="161">
        <f t="shared" si="3"/>
        <v>25</v>
      </c>
      <c r="J19" s="161">
        <f t="shared" si="3"/>
        <v>387</v>
      </c>
      <c r="K19" s="165">
        <f t="shared" si="5"/>
        <v>0.05</v>
      </c>
      <c r="L19" t="str">
        <f t="shared" si="1"/>
        <v/>
      </c>
      <c r="M19" s="54"/>
    </row>
    <row r="20" spans="1:13" ht="15">
      <c r="A20">
        <v>15</v>
      </c>
      <c r="B20" s="185" t="s">
        <v>25</v>
      </c>
      <c r="C20" s="188" t="s">
        <v>77</v>
      </c>
      <c r="D20" s="161">
        <f t="shared" si="2"/>
        <v>35491.598759818553</v>
      </c>
      <c r="E20" s="161">
        <f t="shared" si="2"/>
        <v>153.85689865992643</v>
      </c>
      <c r="F20" s="231">
        <f t="shared" si="2"/>
        <v>26.0755188945421</v>
      </c>
      <c r="G20" s="159">
        <f t="shared" si="2"/>
        <v>1</v>
      </c>
      <c r="H20" s="159">
        <f t="shared" si="4"/>
        <v>0.83699999999999997</v>
      </c>
      <c r="I20" s="161">
        <f t="shared" si="3"/>
        <v>50</v>
      </c>
      <c r="J20" s="161">
        <f t="shared" si="3"/>
        <v>165</v>
      </c>
      <c r="K20" s="165">
        <f t="shared" si="5"/>
        <v>7.0000000000000007E-2</v>
      </c>
      <c r="L20" t="str">
        <f t="shared" si="1"/>
        <v/>
      </c>
      <c r="M20" s="54"/>
    </row>
    <row r="21" spans="1:13" ht="15">
      <c r="A21">
        <v>16</v>
      </c>
      <c r="B21" s="185" t="s">
        <v>27</v>
      </c>
      <c r="C21" s="188" t="s">
        <v>75</v>
      </c>
      <c r="D21" s="161">
        <f t="shared" si="2"/>
        <v>23406.72339604314</v>
      </c>
      <c r="E21" s="161">
        <f t="shared" si="2"/>
        <v>322.57098970260915</v>
      </c>
      <c r="F21" s="231">
        <f t="shared" si="2"/>
        <v>24.357571500688351</v>
      </c>
      <c r="G21" s="159">
        <f t="shared" si="2"/>
        <v>0.38931229605037271</v>
      </c>
      <c r="H21" s="159">
        <f t="shared" si="4"/>
        <v>0.85716400000000004</v>
      </c>
      <c r="I21" s="161">
        <f t="shared" si="3"/>
        <v>30</v>
      </c>
      <c r="J21" s="161">
        <f t="shared" si="3"/>
        <v>550</v>
      </c>
      <c r="K21" s="165">
        <f t="shared" si="5"/>
        <v>6.83E-2</v>
      </c>
      <c r="L21" t="str">
        <f t="shared" si="1"/>
        <v/>
      </c>
      <c r="M21" s="54"/>
    </row>
    <row r="22" spans="1:13" ht="15">
      <c r="A22">
        <v>17</v>
      </c>
      <c r="B22" s="185" t="s">
        <v>17</v>
      </c>
      <c r="C22" s="188" t="s">
        <v>117</v>
      </c>
      <c r="D22" s="161">
        <f t="shared" si="2"/>
        <v>0</v>
      </c>
      <c r="E22" s="161">
        <f t="shared" si="2"/>
        <v>0</v>
      </c>
      <c r="F22" s="231">
        <f t="shared" si="2"/>
        <v>0</v>
      </c>
      <c r="G22" s="159">
        <f t="shared" si="2"/>
        <v>0</v>
      </c>
      <c r="H22" s="159">
        <f t="shared" si="4"/>
        <v>0</v>
      </c>
      <c r="I22" s="161">
        <f t="shared" si="3"/>
        <v>0</v>
      </c>
      <c r="J22" s="161">
        <f t="shared" si="3"/>
        <v>0</v>
      </c>
      <c r="K22" s="165">
        <f t="shared" si="5"/>
        <v>0</v>
      </c>
      <c r="L22" t="str">
        <f t="shared" si="1"/>
        <v/>
      </c>
      <c r="M22" s="54"/>
    </row>
    <row r="23" spans="1:13" ht="15">
      <c r="A23">
        <v>18</v>
      </c>
      <c r="B23" s="185" t="s">
        <v>17</v>
      </c>
      <c r="C23" s="188" t="s">
        <v>117</v>
      </c>
      <c r="D23" s="161">
        <f t="shared" si="2"/>
        <v>0</v>
      </c>
      <c r="E23" s="161">
        <f t="shared" si="2"/>
        <v>0</v>
      </c>
      <c r="F23" s="231">
        <f t="shared" si="2"/>
        <v>0</v>
      </c>
      <c r="G23" s="159">
        <f t="shared" si="2"/>
        <v>0</v>
      </c>
      <c r="H23" s="159">
        <f t="shared" si="4"/>
        <v>0</v>
      </c>
      <c r="I23" s="161">
        <f t="shared" si="3"/>
        <v>0</v>
      </c>
      <c r="J23" s="161">
        <f t="shared" si="3"/>
        <v>0</v>
      </c>
      <c r="K23" s="165">
        <f t="shared" si="5"/>
        <v>0</v>
      </c>
      <c r="L23" t="str">
        <f t="shared" si="1"/>
        <v/>
      </c>
      <c r="M23" s="54"/>
    </row>
    <row r="24" spans="1:13" ht="15">
      <c r="A24">
        <v>19</v>
      </c>
      <c r="B24" s="185" t="s">
        <v>17</v>
      </c>
      <c r="C24" s="188" t="s">
        <v>117</v>
      </c>
      <c r="D24" s="161">
        <f t="shared" si="2"/>
        <v>0</v>
      </c>
      <c r="E24" s="161">
        <f t="shared" si="2"/>
        <v>0</v>
      </c>
      <c r="F24" s="231">
        <f t="shared" si="2"/>
        <v>0</v>
      </c>
      <c r="G24" s="159">
        <f t="shared" si="2"/>
        <v>0</v>
      </c>
      <c r="H24" s="159">
        <f t="shared" si="4"/>
        <v>0</v>
      </c>
      <c r="I24" s="161">
        <f t="shared" si="3"/>
        <v>0</v>
      </c>
      <c r="J24" s="161">
        <f t="shared" si="3"/>
        <v>0</v>
      </c>
      <c r="K24" s="165">
        <f t="shared" si="5"/>
        <v>0</v>
      </c>
      <c r="L24" t="str">
        <f t="shared" si="1"/>
        <v/>
      </c>
      <c r="M24" s="54"/>
    </row>
    <row r="25" spans="1:13" ht="15">
      <c r="A25">
        <v>20</v>
      </c>
      <c r="B25" s="53" t="s">
        <v>26</v>
      </c>
      <c r="C25" t="s">
        <v>113</v>
      </c>
      <c r="D25" s="161">
        <f t="shared" si="2"/>
        <v>13009.587991832161</v>
      </c>
      <c r="E25" s="161">
        <f t="shared" si="2"/>
        <v>57.819628853115084</v>
      </c>
      <c r="F25" s="231">
        <f t="shared" si="2"/>
        <v>0</v>
      </c>
      <c r="G25" s="159">
        <f t="shared" si="2"/>
        <v>0.72998000000000007</v>
      </c>
      <c r="H25" s="159">
        <f t="shared" si="4"/>
        <v>0.22368649211028269</v>
      </c>
      <c r="I25" s="161">
        <f t="shared" si="3"/>
        <v>50</v>
      </c>
      <c r="J25" s="161">
        <f t="shared" si="3"/>
        <v>333</v>
      </c>
      <c r="K25" s="165">
        <f t="shared" si="5"/>
        <v>2.9000000000000001E-2</v>
      </c>
      <c r="L25" t="str">
        <f t="shared" si="1"/>
        <v/>
      </c>
      <c r="M25" s="54"/>
    </row>
    <row r="26" spans="1:13" ht="15">
      <c r="B26" t="s">
        <v>538</v>
      </c>
      <c r="D26" s="161"/>
      <c r="E26" s="161"/>
      <c r="F26" s="231"/>
      <c r="G26" s="159"/>
      <c r="H26" s="159"/>
      <c r="I26" s="161">
        <v>50</v>
      </c>
      <c r="J26" s="161">
        <f>1500/4</f>
        <v>375</v>
      </c>
      <c r="K26" s="165">
        <v>0.1734</v>
      </c>
    </row>
    <row r="27" spans="1:13">
      <c r="B27" s="45" t="s">
        <v>122</v>
      </c>
      <c r="C27" s="191">
        <v>0.1</v>
      </c>
      <c r="E27" s="4" t="s">
        <v>590</v>
      </c>
      <c r="F27" s="36"/>
      <c r="G27" s="21"/>
      <c r="H27" s="188" t="s">
        <v>591</v>
      </c>
      <c r="I27" s="21"/>
    </row>
    <row r="28" spans="1:13">
      <c r="F28" s="36"/>
      <c r="G28" s="21"/>
      <c r="H28" s="21"/>
      <c r="I28" s="21"/>
    </row>
    <row r="29" spans="1:13">
      <c r="F29" s="36"/>
      <c r="G29" s="21"/>
      <c r="H29" s="21"/>
      <c r="I29" s="21"/>
    </row>
    <row r="30" spans="1:13">
      <c r="D30" s="4"/>
      <c r="F30" s="36"/>
      <c r="G30" s="21"/>
      <c r="H30" s="21"/>
      <c r="I30" s="21"/>
    </row>
    <row r="31" spans="1:13">
      <c r="B31" t="s">
        <v>593</v>
      </c>
      <c r="F31" s="36"/>
      <c r="G31" s="21"/>
      <c r="H31" s="21"/>
      <c r="I31" s="21"/>
    </row>
    <row r="32" spans="1:13">
      <c r="B32" t="s">
        <v>591</v>
      </c>
      <c r="F32" s="21"/>
      <c r="G32" s="21"/>
      <c r="H32" s="21"/>
      <c r="I32" s="21"/>
    </row>
    <row r="33" spans="2:69">
      <c r="B33" t="s">
        <v>592</v>
      </c>
      <c r="F33" s="21"/>
      <c r="G33" s="21"/>
      <c r="H33" s="21"/>
      <c r="I33" s="21"/>
    </row>
    <row r="34" spans="2:69">
      <c r="F34" s="21"/>
      <c r="G34" s="21"/>
      <c r="H34" s="21"/>
      <c r="I34" s="21"/>
    </row>
    <row r="36" spans="2:69">
      <c r="B36" s="44" t="s">
        <v>119</v>
      </c>
      <c r="D36" t="s">
        <v>103</v>
      </c>
      <c r="E36" t="s">
        <v>64</v>
      </c>
      <c r="F36" t="s">
        <v>65</v>
      </c>
      <c r="G36" t="s">
        <v>38</v>
      </c>
      <c r="H36" t="s">
        <v>43</v>
      </c>
      <c r="I36" t="s">
        <v>67</v>
      </c>
      <c r="J36" t="s">
        <v>7</v>
      </c>
      <c r="K36" t="s">
        <v>158</v>
      </c>
      <c r="L36" s="4" t="s">
        <v>214</v>
      </c>
      <c r="Q36" s="44" t="s">
        <v>121</v>
      </c>
      <c r="AN36" s="4"/>
    </row>
    <row r="37" spans="2:69">
      <c r="B37" s="4" t="s">
        <v>14</v>
      </c>
      <c r="C37" s="4" t="s">
        <v>97</v>
      </c>
      <c r="D37" t="s">
        <v>69</v>
      </c>
      <c r="E37" t="s">
        <v>69</v>
      </c>
      <c r="F37" t="s">
        <v>70</v>
      </c>
      <c r="G37" t="s">
        <v>71</v>
      </c>
      <c r="H37" t="s">
        <v>71</v>
      </c>
      <c r="I37" t="s">
        <v>44</v>
      </c>
      <c r="J37" t="s">
        <v>29</v>
      </c>
      <c r="L37" s="4" t="s">
        <v>9</v>
      </c>
      <c r="M37" s="4" t="s">
        <v>11</v>
      </c>
      <c r="N37" s="4" t="s">
        <v>10</v>
      </c>
      <c r="O37" s="4" t="s">
        <v>13</v>
      </c>
      <c r="P37" s="4" t="s">
        <v>12</v>
      </c>
      <c r="Q37" s="4">
        <v>2008</v>
      </c>
      <c r="R37" s="4">
        <v>2009</v>
      </c>
      <c r="S37" s="4">
        <v>2010</v>
      </c>
      <c r="T37" s="4">
        <v>2011</v>
      </c>
      <c r="U37" s="4">
        <v>2012</v>
      </c>
      <c r="V37" s="4">
        <v>2013</v>
      </c>
      <c r="W37" s="4">
        <v>2014</v>
      </c>
      <c r="X37" s="4">
        <v>2015</v>
      </c>
      <c r="Y37" s="4">
        <v>2016</v>
      </c>
      <c r="Z37" s="4">
        <v>2017</v>
      </c>
      <c r="AA37" s="4">
        <v>2018</v>
      </c>
      <c r="AB37" s="4">
        <v>2019</v>
      </c>
      <c r="AC37" s="4">
        <v>2020</v>
      </c>
      <c r="AD37" s="4">
        <v>2021</v>
      </c>
      <c r="AE37" s="4">
        <v>2022</v>
      </c>
      <c r="AF37" s="4">
        <v>2023</v>
      </c>
      <c r="AG37" s="4">
        <v>2024</v>
      </c>
      <c r="AH37" s="4">
        <v>2025</v>
      </c>
      <c r="AI37" s="4">
        <v>2026</v>
      </c>
      <c r="AJ37" s="4">
        <v>2027</v>
      </c>
      <c r="AK37" s="4">
        <v>2028</v>
      </c>
      <c r="AL37" s="4">
        <v>2029</v>
      </c>
      <c r="AM37" s="4">
        <v>2030</v>
      </c>
      <c r="AN37" s="38">
        <v>2031</v>
      </c>
      <c r="AO37" s="38">
        <v>2032</v>
      </c>
      <c r="AP37" s="38">
        <v>2033</v>
      </c>
      <c r="AQ37" s="38">
        <v>2034</v>
      </c>
      <c r="AR37" s="38">
        <v>2035</v>
      </c>
      <c r="AS37" s="38">
        <v>2036</v>
      </c>
      <c r="AT37" s="38">
        <v>2037</v>
      </c>
      <c r="AU37" s="38">
        <v>2038</v>
      </c>
      <c r="AV37" s="38">
        <v>2039</v>
      </c>
      <c r="AW37" s="38">
        <v>2040</v>
      </c>
      <c r="AX37" s="38">
        <v>2041</v>
      </c>
      <c r="AY37" s="38">
        <v>2042</v>
      </c>
      <c r="AZ37" s="38">
        <v>2043</v>
      </c>
      <c r="BA37" s="38">
        <v>2044</v>
      </c>
      <c r="BB37" s="38">
        <v>2045</v>
      </c>
      <c r="BC37" s="38">
        <v>2046</v>
      </c>
      <c r="BD37" s="38">
        <v>2047</v>
      </c>
      <c r="BE37" s="38">
        <v>2048</v>
      </c>
      <c r="BF37" s="38">
        <v>2049</v>
      </c>
      <c r="BG37" s="38">
        <v>2050</v>
      </c>
      <c r="BH37" s="38">
        <v>2051</v>
      </c>
      <c r="BI37" s="38">
        <v>2052</v>
      </c>
      <c r="BJ37" s="38">
        <v>2053</v>
      </c>
      <c r="BK37" s="38">
        <v>2054</v>
      </c>
      <c r="BL37" s="38">
        <v>2055</v>
      </c>
      <c r="BM37" s="38">
        <v>2056</v>
      </c>
      <c r="BN37" s="38">
        <v>2057</v>
      </c>
      <c r="BO37" s="38">
        <v>2058</v>
      </c>
      <c r="BP37" s="38">
        <v>2059</v>
      </c>
      <c r="BQ37" s="38">
        <v>2060</v>
      </c>
    </row>
    <row r="38" spans="2:69">
      <c r="B38" s="36" t="s">
        <v>72</v>
      </c>
      <c r="C38" s="11" t="s">
        <v>86</v>
      </c>
      <c r="D38" s="9">
        <f>SUMIF(TechnologyDataRaw!$L$10:$L$43,"1"&amp;$B38,TechnologyDataRaw!N$10:N$43)</f>
        <v>8763.4555914193443</v>
      </c>
      <c r="E38" s="72">
        <f>SUMIF(TechnologyDataRaw!$L$10:$L$43,"1"&amp;$B38,TechnologyDataRaw!O$10:O$43)</f>
        <v>104.10359326321597</v>
      </c>
      <c r="F38" s="72">
        <f>SUMIF(TechnologyDataRaw!$L$10:$L$43,"1"&amp;$B38,TechnologyDataRaw!P$10:P$43)</f>
        <v>17.267182536446882</v>
      </c>
      <c r="G38" s="12">
        <f>SUMIF(TechnologyDataRaw!$L$10:$L$43,"1"&amp;$B38,TechnologyDataRaw!R$10:R$43)</f>
        <v>0.47419709211805405</v>
      </c>
      <c r="H38" s="12">
        <f>SUMIF(TechnologyDataRaw!$L$10:$L$43,"1"&amp;$B38,TechnologyDataRaw!S$10:S$43)</f>
        <v>0.90249999999999997</v>
      </c>
      <c r="I38" s="9">
        <f>SUMIF(TechnologyDataRaw!$L$10:$L$43,"1"&amp;$B38,TechnologyDataRaw!T$10:T$43)</f>
        <v>25</v>
      </c>
      <c r="J38" s="9">
        <f>SUMIF(TechnologyDataRaw!$L$10:$L$43,"1"&amp;$B38,TechnologyDataRaw!U$10:U$43)</f>
        <v>387</v>
      </c>
      <c r="K38" s="26">
        <f>SUMIF(TechnologyDataRaw!$L$10:$L$43,"1"&amp;$B38,TechnologyDataRaw!V$10:V$43)</f>
        <v>0.05</v>
      </c>
      <c r="P38">
        <v>1</v>
      </c>
      <c r="Q38">
        <v>1</v>
      </c>
      <c r="R38">
        <v>0.99431818181818177</v>
      </c>
      <c r="S38">
        <v>0.98863636363636354</v>
      </c>
      <c r="T38">
        <v>0.9829545454545453</v>
      </c>
      <c r="U38">
        <v>0.97727272727272718</v>
      </c>
      <c r="V38">
        <v>0.97159090909090895</v>
      </c>
      <c r="W38">
        <v>0.96927759740259711</v>
      </c>
      <c r="X38">
        <v>0.96696428571428528</v>
      </c>
      <c r="Y38">
        <v>0.96465097402597377</v>
      </c>
      <c r="Z38">
        <v>0.96233766233766205</v>
      </c>
      <c r="AA38">
        <v>0.96002435064935032</v>
      </c>
      <c r="AB38">
        <v>0.95771103896103871</v>
      </c>
      <c r="AC38">
        <v>0.95539772727272709</v>
      </c>
      <c r="AD38">
        <v>0.95308441558441537</v>
      </c>
      <c r="AE38">
        <v>0.95077110389610375</v>
      </c>
      <c r="AF38">
        <v>0.94845779220779192</v>
      </c>
      <c r="AG38">
        <v>0.94614448051948019</v>
      </c>
      <c r="AH38">
        <v>0.94383116883116847</v>
      </c>
      <c r="AI38">
        <v>0.94151785714285663</v>
      </c>
      <c r="AJ38">
        <v>0.93920454545454513</v>
      </c>
      <c r="AK38">
        <v>0.9368912337662334</v>
      </c>
      <c r="AL38">
        <v>0.93457792207792167</v>
      </c>
      <c r="AM38">
        <v>0.93226461038961006</v>
      </c>
      <c r="AN38">
        <v>0.92995129870129845</v>
      </c>
      <c r="AO38">
        <v>0.92763798701298672</v>
      </c>
      <c r="AP38">
        <v>0.92532467532467499</v>
      </c>
      <c r="AQ38">
        <v>0.92301136363636349</v>
      </c>
      <c r="AR38">
        <v>0.92156915838068165</v>
      </c>
      <c r="AS38">
        <v>0.9201269531249997</v>
      </c>
      <c r="AT38">
        <v>0.91868474786931797</v>
      </c>
      <c r="AU38">
        <v>0.91724254261363614</v>
      </c>
      <c r="AV38">
        <v>0.9158003373579543</v>
      </c>
      <c r="AW38">
        <v>0.91435813210227246</v>
      </c>
      <c r="AX38">
        <v>0.91291592684659073</v>
      </c>
      <c r="AY38">
        <v>0.91147372159090878</v>
      </c>
      <c r="AZ38">
        <v>0.91003151633522705</v>
      </c>
      <c r="BA38">
        <v>0.90858931107954521</v>
      </c>
      <c r="BB38">
        <v>0.90714710582386338</v>
      </c>
      <c r="BC38">
        <v>0.90570490056818154</v>
      </c>
      <c r="BD38">
        <v>0.9042626953124997</v>
      </c>
      <c r="BE38">
        <v>0.90282049005681797</v>
      </c>
      <c r="BF38">
        <v>0.90137828480113613</v>
      </c>
      <c r="BG38">
        <v>0.8999360795454544</v>
      </c>
      <c r="BH38">
        <v>0.89849387428977245</v>
      </c>
      <c r="BI38">
        <v>0.8970516690340905</v>
      </c>
      <c r="BJ38">
        <v>0.89560946377840889</v>
      </c>
      <c r="BK38">
        <v>0.89416725852272705</v>
      </c>
      <c r="BL38">
        <v>0.89272505326704521</v>
      </c>
      <c r="BM38">
        <v>0.89128284801136337</v>
      </c>
      <c r="BN38">
        <v>0.88984064275568153</v>
      </c>
      <c r="BO38">
        <v>0.8883984374999998</v>
      </c>
      <c r="BP38">
        <v>0.88695623224431797</v>
      </c>
      <c r="BQ38">
        <v>0.88551402698863613</v>
      </c>
    </row>
    <row r="39" spans="2:69">
      <c r="B39" s="36" t="s">
        <v>80</v>
      </c>
      <c r="C39" s="11" t="s">
        <v>20</v>
      </c>
      <c r="D39" s="9">
        <f>SUMIF(TechnologyDataRaw!$L$10:$L$43,"1"&amp;$B39,TechnologyDataRaw!N$10:N$43)</f>
        <v>5722.2150752921634</v>
      </c>
      <c r="E39" s="72">
        <f>SUMIF(TechnologyDataRaw!$L$10:$L$43,"1"&amp;$B39,TechnologyDataRaw!O$10:O$43)</f>
        <v>101.01718865525203</v>
      </c>
      <c r="F39" s="72">
        <f>SUMIF(TechnologyDataRaw!$L$10:$L$43,"1"&amp;$B39,TechnologyDataRaw!P$10:P$43)</f>
        <v>29.779633649814187</v>
      </c>
      <c r="G39" s="12">
        <f>SUMIF(TechnologyDataRaw!$L$10:$L$43,"1"&amp;$B39,TechnologyDataRaw!R$10:R$43)</f>
        <v>0.31566348518792936</v>
      </c>
      <c r="H39" s="12">
        <f>SUMIF(TechnologyDataRaw!$L$10:$L$43,"1"&amp;$B39,TechnologyDataRaw!S$10:S$43)</f>
        <v>0.93003819999999993</v>
      </c>
      <c r="I39" s="9">
        <f>SUMIF(TechnologyDataRaw!$L$10:$L$43,"1"&amp;$B39,TechnologyDataRaw!T$10:T$43)</f>
        <v>25</v>
      </c>
      <c r="J39" s="9">
        <f>SUMIF(TechnologyDataRaw!$L$10:$L$43,"1"&amp;$B39,TechnologyDataRaw!U$10:U$43)</f>
        <v>120</v>
      </c>
      <c r="K39" s="26">
        <f>SUMIF(TechnologyDataRaw!$L$10:$L$43,"1"&amp;$B39,TechnologyDataRaw!V$10:V$43)</f>
        <v>3.0200000000000001E-2</v>
      </c>
      <c r="O39">
        <v>1</v>
      </c>
      <c r="Q39">
        <v>1</v>
      </c>
      <c r="R39">
        <v>1</v>
      </c>
      <c r="S39">
        <v>1</v>
      </c>
      <c r="T39">
        <v>1</v>
      </c>
      <c r="U39">
        <v>1</v>
      </c>
      <c r="V39">
        <v>1</v>
      </c>
      <c r="W39">
        <v>1</v>
      </c>
      <c r="X39">
        <v>1</v>
      </c>
      <c r="Y39">
        <v>1</v>
      </c>
      <c r="Z39">
        <v>1</v>
      </c>
      <c r="AA39">
        <v>1</v>
      </c>
      <c r="AB39">
        <v>1</v>
      </c>
      <c r="AC39">
        <v>1</v>
      </c>
      <c r="AD39">
        <v>1</v>
      </c>
      <c r="AE39">
        <v>1</v>
      </c>
      <c r="AF39">
        <v>1</v>
      </c>
      <c r="AG39">
        <v>1</v>
      </c>
      <c r="AH39">
        <v>1</v>
      </c>
      <c r="AI39">
        <v>1</v>
      </c>
      <c r="AJ39">
        <v>1</v>
      </c>
      <c r="AK39">
        <v>1</v>
      </c>
      <c r="AL39">
        <v>1</v>
      </c>
      <c r="AM39">
        <v>1</v>
      </c>
      <c r="AN39">
        <v>1</v>
      </c>
      <c r="AO39">
        <v>1</v>
      </c>
      <c r="AP39">
        <v>1</v>
      </c>
      <c r="AQ39">
        <v>1</v>
      </c>
      <c r="AR39">
        <v>1</v>
      </c>
      <c r="AS39">
        <v>1</v>
      </c>
      <c r="AT39">
        <v>1</v>
      </c>
      <c r="AU39">
        <v>1</v>
      </c>
      <c r="AV39">
        <v>1</v>
      </c>
      <c r="AW39">
        <v>1</v>
      </c>
      <c r="AX39">
        <v>1</v>
      </c>
      <c r="AY39">
        <v>1</v>
      </c>
      <c r="AZ39">
        <v>1</v>
      </c>
      <c r="BA39">
        <v>1</v>
      </c>
      <c r="BB39">
        <v>1</v>
      </c>
      <c r="BC39">
        <v>1</v>
      </c>
      <c r="BD39">
        <v>1</v>
      </c>
      <c r="BE39">
        <v>1</v>
      </c>
      <c r="BF39">
        <v>1</v>
      </c>
      <c r="BG39">
        <v>1</v>
      </c>
      <c r="BH39">
        <v>1</v>
      </c>
      <c r="BI39">
        <v>1</v>
      </c>
      <c r="BJ39">
        <v>1</v>
      </c>
      <c r="BK39">
        <v>1</v>
      </c>
      <c r="BL39">
        <v>1</v>
      </c>
      <c r="BM39">
        <v>1</v>
      </c>
      <c r="BN39">
        <v>1</v>
      </c>
      <c r="BO39">
        <v>1</v>
      </c>
      <c r="BP39">
        <v>1</v>
      </c>
      <c r="BQ39">
        <v>1</v>
      </c>
    </row>
    <row r="40" spans="2:69">
      <c r="B40" s="36" t="s">
        <v>95</v>
      </c>
      <c r="C40" s="11" t="s">
        <v>87</v>
      </c>
      <c r="D40" s="9">
        <f>SUMIF(TechnologyDataRaw!$L$10:$L$43,"1"&amp;$B40,TechnologyDataRaw!N$10:N$43)</f>
        <v>0</v>
      </c>
      <c r="E40" s="72">
        <f>SUMIF(TechnologyDataRaw!$L$10:$L$43,"1"&amp;$B40,TechnologyDataRaw!O$10:O$43)</f>
        <v>0</v>
      </c>
      <c r="F40" s="72">
        <f>SUMIF(TechnologyDataRaw!$L$10:$L$43,"1"&amp;$B40,TechnologyDataRaw!P$10:P$43)</f>
        <v>0</v>
      </c>
      <c r="G40" s="12">
        <f>SUMIF(TechnologyDataRaw!$L$10:$L$43,"1"&amp;$B40,TechnologyDataRaw!R$10:R$43)</f>
        <v>0</v>
      </c>
      <c r="H40" s="12">
        <f>SUMIF(TechnologyDataRaw!$L$10:$L$43,"1"&amp;$B40,TechnologyDataRaw!S$10:S$43)</f>
        <v>0</v>
      </c>
      <c r="I40" s="9">
        <f>SUMIF(TechnologyDataRaw!$L$10:$L$43,"1"&amp;$B40,TechnologyDataRaw!T$10:T$43)</f>
        <v>0</v>
      </c>
      <c r="J40" s="9">
        <f>SUMIF(TechnologyDataRaw!$L$10:$L$43,"1"&amp;$B40,TechnologyDataRaw!U$10:U$43)</f>
        <v>0</v>
      </c>
      <c r="K40" s="26">
        <f>SUMIF(TechnologyDataRaw!$L$10:$L$43,"1"&amp;$B40,TechnologyDataRaw!V$10:V$43)</f>
        <v>0</v>
      </c>
      <c r="O40">
        <v>1</v>
      </c>
      <c r="Q40">
        <v>1</v>
      </c>
      <c r="R40">
        <v>1</v>
      </c>
      <c r="S40">
        <v>1</v>
      </c>
      <c r="T40">
        <v>1</v>
      </c>
      <c r="U40">
        <v>1</v>
      </c>
      <c r="V40">
        <v>1</v>
      </c>
      <c r="W40">
        <v>1</v>
      </c>
      <c r="X40">
        <v>1</v>
      </c>
      <c r="Y40">
        <v>1</v>
      </c>
      <c r="Z40">
        <v>1</v>
      </c>
      <c r="AA40">
        <v>1</v>
      </c>
      <c r="AB40">
        <v>1</v>
      </c>
      <c r="AC40">
        <v>1</v>
      </c>
      <c r="AD40">
        <v>1</v>
      </c>
      <c r="AE40">
        <v>1</v>
      </c>
      <c r="AF40">
        <v>1</v>
      </c>
      <c r="AG40">
        <v>1</v>
      </c>
      <c r="AH40">
        <v>1</v>
      </c>
      <c r="AI40">
        <v>1</v>
      </c>
      <c r="AJ40">
        <v>1</v>
      </c>
      <c r="AK40">
        <v>1</v>
      </c>
      <c r="AL40">
        <v>1</v>
      </c>
      <c r="AM40">
        <v>1</v>
      </c>
      <c r="AN40">
        <v>1</v>
      </c>
      <c r="AO40">
        <v>1</v>
      </c>
      <c r="AP40">
        <v>1</v>
      </c>
      <c r="AQ40">
        <v>1</v>
      </c>
      <c r="AR40">
        <v>1</v>
      </c>
      <c r="AS40">
        <v>1</v>
      </c>
      <c r="AT40">
        <v>1</v>
      </c>
      <c r="AU40">
        <v>1</v>
      </c>
      <c r="AV40">
        <v>1</v>
      </c>
      <c r="AW40">
        <v>1</v>
      </c>
      <c r="AX40">
        <v>1</v>
      </c>
      <c r="AY40">
        <v>1</v>
      </c>
      <c r="AZ40">
        <v>1</v>
      </c>
      <c r="BA40">
        <v>1</v>
      </c>
      <c r="BB40">
        <v>1</v>
      </c>
      <c r="BC40">
        <v>1</v>
      </c>
      <c r="BD40">
        <v>1</v>
      </c>
      <c r="BE40">
        <v>1</v>
      </c>
      <c r="BF40">
        <v>1</v>
      </c>
      <c r="BG40">
        <v>1</v>
      </c>
      <c r="BH40">
        <v>1</v>
      </c>
      <c r="BI40">
        <v>1</v>
      </c>
      <c r="BJ40">
        <v>1</v>
      </c>
      <c r="BK40">
        <v>1</v>
      </c>
      <c r="BL40">
        <v>1</v>
      </c>
      <c r="BM40">
        <v>1</v>
      </c>
      <c r="BN40">
        <v>1</v>
      </c>
      <c r="BO40">
        <v>1</v>
      </c>
      <c r="BP40">
        <v>1</v>
      </c>
      <c r="BQ40">
        <v>1</v>
      </c>
    </row>
    <row r="41" spans="2:69">
      <c r="B41" s="36" t="s">
        <v>73</v>
      </c>
      <c r="C41" s="11" t="s">
        <v>85</v>
      </c>
      <c r="D41" s="9">
        <f>SUMIF(TechnologyDataRaw!$L$10:$L$43,"1"&amp;$B41,TechnologyDataRaw!N$10:N$43)</f>
        <v>20145.259529792107</v>
      </c>
      <c r="E41" s="72">
        <f>SUMIF(TechnologyDataRaw!$L$10:$L$43,"1"&amp;$B41,TechnologyDataRaw!O$10:O$43)</f>
        <v>229.64518610066796</v>
      </c>
      <c r="F41" s="72">
        <f>SUMIF(TechnologyDataRaw!$L$10:$L$43,"1"&amp;$B41,TechnologyDataRaw!P$10:P$43)</f>
        <v>28.716075305177963</v>
      </c>
      <c r="G41" s="12">
        <f>SUMIF(TechnologyDataRaw!$L$10:$L$43,"1"&amp;$B41,TechnologyDataRaw!R$10:R$43)</f>
        <v>0.37090459509581702</v>
      </c>
      <c r="H41" s="12">
        <f>SUMIF(TechnologyDataRaw!$L$10:$L$43,"1"&amp;$B41,TechnologyDataRaw!S$10:S$43)</f>
        <v>0.85716400000000004</v>
      </c>
      <c r="I41" s="9">
        <f>SUMIF(TechnologyDataRaw!$L$10:$L$43,"1"&amp;$B41,TechnologyDataRaw!T$10:T$43)</f>
        <v>30</v>
      </c>
      <c r="J41" s="9">
        <f>SUMIF(TechnologyDataRaw!$L$10:$L$43,"1"&amp;$B41,TechnologyDataRaw!U$10:U$43)</f>
        <v>794</v>
      </c>
      <c r="K41" s="26">
        <f>SUMIF(TechnologyDataRaw!$L$10:$L$43,"1"&amp;$B41,TechnologyDataRaw!V$10:V$43)</f>
        <v>6.83E-2</v>
      </c>
      <c r="L41">
        <v>1</v>
      </c>
      <c r="Q41">
        <v>1</v>
      </c>
      <c r="R41">
        <v>0.99315068493150682</v>
      </c>
      <c r="S41">
        <v>0.98630136986301364</v>
      </c>
      <c r="T41">
        <v>0.9832665964172812</v>
      </c>
      <c r="U41">
        <v>0.98023182297154898</v>
      </c>
      <c r="V41">
        <v>0.97719704952581643</v>
      </c>
      <c r="W41">
        <v>0.97416227608008421</v>
      </c>
      <c r="X41">
        <v>0.97112750263435177</v>
      </c>
      <c r="Y41">
        <v>0.96809272918861944</v>
      </c>
      <c r="Z41">
        <v>0.96505795574288711</v>
      </c>
      <c r="AA41">
        <v>0.96202318229715478</v>
      </c>
      <c r="AB41">
        <v>0.95898840885142245</v>
      </c>
      <c r="AC41">
        <v>0.95595363540569001</v>
      </c>
      <c r="AD41">
        <v>0.95291886195995767</v>
      </c>
      <c r="AE41">
        <v>0.94988408851422534</v>
      </c>
      <c r="AF41">
        <v>0.9468493150684929</v>
      </c>
      <c r="AG41">
        <v>0.94414403131115432</v>
      </c>
      <c r="AH41">
        <v>0.94143874755381585</v>
      </c>
      <c r="AI41">
        <v>0.93873346379647726</v>
      </c>
      <c r="AJ41">
        <v>0.93602818003913879</v>
      </c>
      <c r="AK41">
        <v>0.93332289628180032</v>
      </c>
      <c r="AL41">
        <v>0.93061761252446173</v>
      </c>
      <c r="AM41">
        <v>0.92791232876712315</v>
      </c>
      <c r="AN41">
        <v>0.92520704500978457</v>
      </c>
      <c r="AO41">
        <v>0.92250176125244598</v>
      </c>
      <c r="AP41">
        <v>0.91979647749510729</v>
      </c>
      <c r="AQ41">
        <v>0.91709119373776871</v>
      </c>
      <c r="AR41">
        <v>0.91438590998043034</v>
      </c>
      <c r="AS41">
        <v>0.91168062622309176</v>
      </c>
      <c r="AT41">
        <v>0.90897534246575318</v>
      </c>
      <c r="AU41">
        <v>0.90732266002490636</v>
      </c>
      <c r="AV41">
        <v>0.90566997758405976</v>
      </c>
      <c r="AW41">
        <v>0.90401729514321283</v>
      </c>
      <c r="AX41">
        <v>0.90236461270236601</v>
      </c>
      <c r="AY41">
        <v>0.90071193026151908</v>
      </c>
      <c r="AZ41">
        <v>0.89905924782067215</v>
      </c>
      <c r="BA41">
        <v>0.89740656537982533</v>
      </c>
      <c r="BB41">
        <v>0.89575388293897862</v>
      </c>
      <c r="BC41">
        <v>0.8941012004981318</v>
      </c>
      <c r="BD41">
        <v>0.89244851805728487</v>
      </c>
      <c r="BE41">
        <v>0.89079583561643816</v>
      </c>
      <c r="BF41">
        <v>0.88914315317559134</v>
      </c>
      <c r="BG41">
        <v>0.88749047073474452</v>
      </c>
      <c r="BH41">
        <v>0.8858377882938977</v>
      </c>
      <c r="BI41">
        <v>0.88418510585305088</v>
      </c>
      <c r="BJ41">
        <v>0.88253242341220395</v>
      </c>
      <c r="BK41">
        <v>0.88087974097135713</v>
      </c>
      <c r="BL41">
        <v>0.87922705853051031</v>
      </c>
      <c r="BM41">
        <v>0.87757437608966371</v>
      </c>
      <c r="BN41">
        <v>0.87592169364881678</v>
      </c>
      <c r="BO41">
        <v>0.87426901120796996</v>
      </c>
      <c r="BP41">
        <v>0.87261632876712303</v>
      </c>
      <c r="BQ41">
        <v>0.87261632876712303</v>
      </c>
    </row>
    <row r="42" spans="2:69">
      <c r="B42" s="36" t="s">
        <v>74</v>
      </c>
      <c r="C42" s="11" t="s">
        <v>85</v>
      </c>
      <c r="D42" s="9">
        <f>SUMIF(TechnologyDataRaw!$L$10:$L$43,"1"&amp;$B42,TechnologyDataRaw!N$10:N$43)</f>
        <v>12013.491224753212</v>
      </c>
      <c r="E42" s="72">
        <f>SUMIF(TechnologyDataRaw!$L$10:$L$43,"1"&amp;$B42,TechnologyDataRaw!O$10:O$43)</f>
        <v>202.93556009230588</v>
      </c>
      <c r="F42" s="72">
        <f>SUMIF(TechnologyDataRaw!$L$10:$L$43,"1"&amp;$B42,TechnologyDataRaw!P$10:P$43)</f>
        <v>26.574354908176815</v>
      </c>
      <c r="G42" s="12">
        <f>SUMIF(TechnologyDataRaw!$L$10:$L$43,"1"&amp;$B42,TechnologyDataRaw!R$10:R$43)</f>
        <v>0.37999134464159429</v>
      </c>
      <c r="H42" s="12">
        <f>SUMIF(TechnologyDataRaw!$L$10:$L$43,"1"&amp;$B42,TechnologyDataRaw!S$10:S$43)</f>
        <v>0.87360000000000004</v>
      </c>
      <c r="I42" s="9">
        <f>SUMIF(TechnologyDataRaw!$L$10:$L$43,"1"&amp;$B42,TechnologyDataRaw!T$10:T$43)</f>
        <v>30</v>
      </c>
      <c r="J42" s="9">
        <f>SUMIF(TechnologyDataRaw!$L$10:$L$43,"1"&amp;$B42,TechnologyDataRaw!U$10:U$43)</f>
        <v>150</v>
      </c>
      <c r="K42" s="26">
        <f>SUMIF(TechnologyDataRaw!$L$10:$L$43,"1"&amp;$B42,TechnologyDataRaw!V$10:V$43)</f>
        <v>0.04</v>
      </c>
      <c r="L42">
        <v>1</v>
      </c>
      <c r="Q42">
        <v>1</v>
      </c>
      <c r="R42">
        <v>1</v>
      </c>
      <c r="S42">
        <v>1</v>
      </c>
      <c r="T42">
        <v>1</v>
      </c>
      <c r="U42">
        <v>1</v>
      </c>
      <c r="V42">
        <v>1</v>
      </c>
      <c r="W42">
        <v>1</v>
      </c>
      <c r="X42">
        <v>1</v>
      </c>
      <c r="Y42">
        <v>1</v>
      </c>
      <c r="Z42">
        <v>1</v>
      </c>
      <c r="AA42">
        <v>1</v>
      </c>
      <c r="AB42">
        <v>1</v>
      </c>
      <c r="AC42">
        <v>1</v>
      </c>
      <c r="AD42">
        <v>1</v>
      </c>
      <c r="AE42">
        <v>1</v>
      </c>
      <c r="AF42">
        <v>1</v>
      </c>
      <c r="AG42">
        <v>1</v>
      </c>
      <c r="AH42">
        <v>1</v>
      </c>
      <c r="AI42">
        <v>1</v>
      </c>
      <c r="AJ42">
        <v>1</v>
      </c>
      <c r="AK42">
        <v>1</v>
      </c>
      <c r="AL42">
        <v>1</v>
      </c>
      <c r="AM42">
        <v>1</v>
      </c>
      <c r="AN42">
        <v>1</v>
      </c>
      <c r="AO42">
        <v>1</v>
      </c>
      <c r="AP42">
        <v>1</v>
      </c>
      <c r="AQ42">
        <v>1</v>
      </c>
      <c r="AR42">
        <v>1</v>
      </c>
      <c r="AS42">
        <v>1</v>
      </c>
      <c r="AT42">
        <v>1</v>
      </c>
      <c r="AU42">
        <v>1</v>
      </c>
      <c r="AV42">
        <v>1</v>
      </c>
      <c r="AW42">
        <v>1</v>
      </c>
      <c r="AX42">
        <v>1</v>
      </c>
      <c r="AY42">
        <v>1</v>
      </c>
      <c r="AZ42">
        <v>1</v>
      </c>
      <c r="BA42">
        <v>1</v>
      </c>
      <c r="BB42">
        <v>1</v>
      </c>
      <c r="BC42">
        <v>1</v>
      </c>
      <c r="BD42">
        <v>1</v>
      </c>
      <c r="BE42">
        <v>1</v>
      </c>
      <c r="BF42">
        <v>1</v>
      </c>
      <c r="BG42">
        <v>1</v>
      </c>
      <c r="BH42">
        <v>1</v>
      </c>
      <c r="BI42">
        <v>1</v>
      </c>
      <c r="BJ42">
        <v>1</v>
      </c>
      <c r="BK42">
        <v>1</v>
      </c>
      <c r="BL42">
        <v>1</v>
      </c>
      <c r="BM42">
        <v>1</v>
      </c>
      <c r="BN42">
        <v>1</v>
      </c>
      <c r="BO42">
        <v>1</v>
      </c>
      <c r="BP42">
        <v>1</v>
      </c>
      <c r="BQ42">
        <v>1</v>
      </c>
    </row>
    <row r="43" spans="2:69">
      <c r="B43" s="36" t="s">
        <v>75</v>
      </c>
      <c r="C43" s="11" t="s">
        <v>85</v>
      </c>
      <c r="D43" s="9">
        <f>SUMIF(TechnologyDataRaw!$L$10:$L$43,"1"&amp;$B43,TechnologyDataRaw!N$10:N$43)</f>
        <v>23406.72339604314</v>
      </c>
      <c r="E43" s="72">
        <f>SUMIF(TechnologyDataRaw!$L$10:$L$43,"1"&amp;$B43,TechnologyDataRaw!O$10:O$43)</f>
        <v>322.57098970260915</v>
      </c>
      <c r="F43" s="72">
        <f>SUMIF(TechnologyDataRaw!$L$10:$L$43,"1"&amp;$B43,TechnologyDataRaw!P$10:P$43)</f>
        <v>24.357571500688351</v>
      </c>
      <c r="G43" s="12">
        <f>SUMIF(TechnologyDataRaw!$L$10:$L$43,"1"&amp;$B43,TechnologyDataRaw!R$10:R$43)</f>
        <v>0.38931229605037271</v>
      </c>
      <c r="H43" s="12">
        <f>SUMIF(TechnologyDataRaw!$L$10:$L$43,"1"&amp;$B43,TechnologyDataRaw!S$10:S$43)</f>
        <v>0.85716400000000004</v>
      </c>
      <c r="I43" s="9">
        <f>SUMIF(TechnologyDataRaw!$L$10:$L$43,"1"&amp;$B43,TechnologyDataRaw!T$10:T$43)</f>
        <v>30</v>
      </c>
      <c r="J43" s="9">
        <f>SUMIF(TechnologyDataRaw!$L$10:$L$43,"1"&amp;$B43,TechnologyDataRaw!U$10:U$43)</f>
        <v>550</v>
      </c>
      <c r="K43" s="26">
        <f>SUMIF(TechnologyDataRaw!$L$10:$L$43,"1"&amp;$B43,TechnologyDataRaw!V$10:V$43)</f>
        <v>6.83E-2</v>
      </c>
      <c r="L43">
        <v>1</v>
      </c>
      <c r="Q43">
        <v>1</v>
      </c>
      <c r="R43">
        <v>1</v>
      </c>
      <c r="S43">
        <v>1</v>
      </c>
      <c r="T43">
        <v>1</v>
      </c>
      <c r="U43">
        <v>1</v>
      </c>
      <c r="V43">
        <v>1</v>
      </c>
      <c r="W43">
        <v>1</v>
      </c>
      <c r="X43">
        <v>1</v>
      </c>
      <c r="Y43">
        <v>1</v>
      </c>
      <c r="Z43">
        <v>1</v>
      </c>
      <c r="AA43">
        <v>1</v>
      </c>
      <c r="AB43">
        <v>1</v>
      </c>
      <c r="AC43">
        <v>1</v>
      </c>
      <c r="AD43">
        <v>1</v>
      </c>
      <c r="AE43">
        <v>1</v>
      </c>
      <c r="AF43">
        <v>1</v>
      </c>
      <c r="AG43">
        <v>1</v>
      </c>
      <c r="AH43">
        <v>1</v>
      </c>
      <c r="AI43">
        <v>1</v>
      </c>
      <c r="AJ43">
        <v>1</v>
      </c>
      <c r="AK43">
        <v>1</v>
      </c>
      <c r="AL43">
        <v>1</v>
      </c>
      <c r="AM43">
        <v>1</v>
      </c>
      <c r="AN43">
        <v>1</v>
      </c>
      <c r="AO43">
        <v>1</v>
      </c>
      <c r="AP43">
        <v>1</v>
      </c>
      <c r="AQ43">
        <v>1</v>
      </c>
      <c r="AR43">
        <v>1</v>
      </c>
      <c r="AS43">
        <v>1</v>
      </c>
      <c r="AT43">
        <v>1</v>
      </c>
      <c r="AU43">
        <v>1</v>
      </c>
      <c r="AV43">
        <v>1</v>
      </c>
      <c r="AW43">
        <v>1</v>
      </c>
      <c r="AX43">
        <v>1</v>
      </c>
      <c r="AY43">
        <v>1</v>
      </c>
      <c r="AZ43">
        <v>1</v>
      </c>
      <c r="BA43">
        <v>1</v>
      </c>
      <c r="BB43">
        <v>1</v>
      </c>
      <c r="BC43">
        <v>1</v>
      </c>
      <c r="BD43">
        <v>1</v>
      </c>
      <c r="BE43">
        <v>1</v>
      </c>
      <c r="BF43">
        <v>1</v>
      </c>
      <c r="BG43">
        <v>1</v>
      </c>
      <c r="BH43">
        <v>1</v>
      </c>
      <c r="BI43">
        <v>1</v>
      </c>
      <c r="BJ43">
        <v>1</v>
      </c>
      <c r="BK43">
        <v>1</v>
      </c>
      <c r="BL43">
        <v>1</v>
      </c>
      <c r="BM43">
        <v>1</v>
      </c>
      <c r="BN43">
        <v>1</v>
      </c>
      <c r="BO43">
        <v>1</v>
      </c>
      <c r="BP43">
        <v>1</v>
      </c>
      <c r="BQ43">
        <v>1</v>
      </c>
    </row>
    <row r="44" spans="2:69">
      <c r="B44" s="36" t="s">
        <v>76</v>
      </c>
      <c r="C44" s="11" t="s">
        <v>88</v>
      </c>
      <c r="D44" s="9">
        <f>SUMIF(TechnologyDataRaw!$L$10:$L$43,"1"&amp;$B44,TechnologyDataRaw!N$10:N$43)</f>
        <v>37444.899462656853</v>
      </c>
      <c r="E44" s="72">
        <f>SUMIF(TechnologyDataRaw!$L$10:$L$43,"1"&amp;$B44,TechnologyDataRaw!O$10:O$43)</f>
        <v>750.91389948354981</v>
      </c>
      <c r="F44" s="72">
        <f>SUMIF(TechnologyDataRaw!$L$10:$L$43,"1"&amp;$B44,TechnologyDataRaw!P$10:P$43)</f>
        <v>4.0874006970333197</v>
      </c>
      <c r="G44" s="12">
        <f>SUMIF(TechnologyDataRaw!$L$10:$L$43,"1"&amp;$B44,TechnologyDataRaw!R$10:R$43)</f>
        <v>0.32703874591542237</v>
      </c>
      <c r="H44" s="12">
        <f>SUMIF(TechnologyDataRaw!$L$10:$L$43,"1"&amp;$B44,TechnologyDataRaw!S$10:S$43)</f>
        <v>0.83699999999999997</v>
      </c>
      <c r="I44" s="9">
        <f>SUMIF(TechnologyDataRaw!$L$10:$L$43,"1"&amp;$B44,TechnologyDataRaw!T$10:T$43)</f>
        <v>40</v>
      </c>
      <c r="J44" s="9">
        <f>SUMIF(TechnologyDataRaw!$L$10:$L$43,"1"&amp;$B44,TechnologyDataRaw!U$10:U$43)</f>
        <v>1350</v>
      </c>
      <c r="K44" s="26">
        <f>SUMIF(TechnologyDataRaw!$L$10:$L$43,"1"&amp;$B44,TechnologyDataRaw!V$10:V$43)</f>
        <v>7.0000000000000007E-2</v>
      </c>
      <c r="N44">
        <v>1</v>
      </c>
      <c r="Q44">
        <v>1</v>
      </c>
      <c r="R44">
        <v>1</v>
      </c>
      <c r="S44">
        <v>1</v>
      </c>
      <c r="T44">
        <v>1</v>
      </c>
      <c r="U44">
        <v>1</v>
      </c>
      <c r="V44">
        <v>1</v>
      </c>
      <c r="W44">
        <v>1</v>
      </c>
      <c r="X44">
        <v>1</v>
      </c>
      <c r="Y44">
        <v>1</v>
      </c>
      <c r="Z44">
        <v>1</v>
      </c>
      <c r="AA44">
        <v>1</v>
      </c>
      <c r="AB44">
        <v>1</v>
      </c>
      <c r="AC44">
        <v>1</v>
      </c>
      <c r="AD44">
        <v>1</v>
      </c>
      <c r="AE44">
        <v>1</v>
      </c>
      <c r="AF44">
        <v>1</v>
      </c>
      <c r="AG44">
        <v>1</v>
      </c>
      <c r="AH44">
        <v>1</v>
      </c>
      <c r="AI44">
        <v>1</v>
      </c>
      <c r="AJ44">
        <v>1</v>
      </c>
      <c r="AK44">
        <v>1</v>
      </c>
      <c r="AL44">
        <v>1</v>
      </c>
      <c r="AM44">
        <v>1</v>
      </c>
      <c r="AN44">
        <v>1</v>
      </c>
      <c r="AO44">
        <v>1</v>
      </c>
      <c r="AP44">
        <v>1</v>
      </c>
      <c r="AQ44">
        <v>1</v>
      </c>
      <c r="AR44">
        <v>1</v>
      </c>
      <c r="AS44">
        <v>1</v>
      </c>
      <c r="AT44">
        <v>1</v>
      </c>
      <c r="AU44">
        <v>1</v>
      </c>
      <c r="AV44">
        <v>1</v>
      </c>
      <c r="AW44">
        <v>1</v>
      </c>
      <c r="AX44">
        <v>1</v>
      </c>
      <c r="AY44">
        <v>1</v>
      </c>
      <c r="AZ44">
        <v>1</v>
      </c>
      <c r="BA44">
        <v>1</v>
      </c>
      <c r="BB44">
        <v>1</v>
      </c>
      <c r="BC44">
        <v>1</v>
      </c>
      <c r="BD44">
        <v>1</v>
      </c>
      <c r="BE44">
        <v>1</v>
      </c>
      <c r="BF44">
        <v>1</v>
      </c>
      <c r="BG44">
        <v>1</v>
      </c>
      <c r="BH44">
        <v>1</v>
      </c>
      <c r="BI44">
        <v>1</v>
      </c>
      <c r="BJ44">
        <v>1</v>
      </c>
      <c r="BK44">
        <v>1</v>
      </c>
      <c r="BL44">
        <v>1</v>
      </c>
      <c r="BM44">
        <v>1</v>
      </c>
      <c r="BN44">
        <v>1</v>
      </c>
      <c r="BO44">
        <v>1</v>
      </c>
      <c r="BP44">
        <v>1</v>
      </c>
      <c r="BQ44">
        <v>1</v>
      </c>
    </row>
    <row r="45" spans="2:69">
      <c r="B45" s="36" t="s">
        <v>77</v>
      </c>
      <c r="C45" s="11" t="s">
        <v>89</v>
      </c>
      <c r="D45" s="9">
        <f>SUMIF(TechnologyDataRaw!$L$10:$L$43,"1"&amp;$B45,TechnologyDataRaw!N$10:N$43)</f>
        <v>35491.598759818553</v>
      </c>
      <c r="E45" s="72">
        <f>SUMIF(TechnologyDataRaw!$L$10:$L$43,"1"&amp;$B45,TechnologyDataRaw!O$10:O$43)</f>
        <v>153.85689865992643</v>
      </c>
      <c r="F45" s="72">
        <f>SUMIF(TechnologyDataRaw!$L$10:$L$43,"1"&amp;$B45,TechnologyDataRaw!P$10:P$43)</f>
        <v>26.0755188945421</v>
      </c>
      <c r="G45" s="12">
        <f>SUMIF(TechnologyDataRaw!$L$10:$L$43,"1"&amp;$B45,TechnologyDataRaw!R$10:R$43)</f>
        <v>1</v>
      </c>
      <c r="H45" s="12">
        <f>SUMIF(TechnologyDataRaw!$L$10:$L$43,"1"&amp;$B45,TechnologyDataRaw!S$10:S$43)</f>
        <v>0.83699999999999997</v>
      </c>
      <c r="I45" s="9">
        <f>SUMIF(TechnologyDataRaw!$L$10:$L$43,"1"&amp;$B45,TechnologyDataRaw!T$10:T$43)</f>
        <v>50</v>
      </c>
      <c r="J45" s="9">
        <f>SUMIF(TechnologyDataRaw!$L$10:$L$43,"1"&amp;$B45,TechnologyDataRaw!U$10:U$43)</f>
        <v>165</v>
      </c>
      <c r="K45" s="26">
        <f>SUMIF(TechnologyDataRaw!$L$10:$L$43,"1"&amp;$B45,TechnologyDataRaw!V$10:V$43)</f>
        <v>7.0000000000000007E-2</v>
      </c>
      <c r="N45">
        <v>1</v>
      </c>
      <c r="Q45">
        <v>1</v>
      </c>
      <c r="R45">
        <v>1</v>
      </c>
      <c r="S45">
        <v>1</v>
      </c>
      <c r="T45">
        <v>1</v>
      </c>
      <c r="U45">
        <v>1</v>
      </c>
      <c r="V45">
        <v>1</v>
      </c>
      <c r="W45">
        <v>1</v>
      </c>
      <c r="X45">
        <v>1</v>
      </c>
      <c r="Y45">
        <v>1</v>
      </c>
      <c r="Z45">
        <v>1</v>
      </c>
      <c r="AA45">
        <v>1</v>
      </c>
      <c r="AB45">
        <v>1</v>
      </c>
      <c r="AC45">
        <v>1</v>
      </c>
      <c r="AD45">
        <v>1</v>
      </c>
      <c r="AE45">
        <v>1</v>
      </c>
      <c r="AF45">
        <v>1</v>
      </c>
      <c r="AG45">
        <v>1</v>
      </c>
      <c r="AH45">
        <v>1</v>
      </c>
      <c r="AI45">
        <v>1</v>
      </c>
      <c r="AJ45">
        <v>1</v>
      </c>
      <c r="AK45">
        <v>1</v>
      </c>
      <c r="AL45">
        <v>1</v>
      </c>
      <c r="AM45">
        <v>1</v>
      </c>
      <c r="AN45">
        <v>1</v>
      </c>
      <c r="AO45">
        <v>1</v>
      </c>
      <c r="AP45">
        <v>1</v>
      </c>
      <c r="AQ45">
        <v>1</v>
      </c>
      <c r="AR45">
        <v>1</v>
      </c>
      <c r="AS45">
        <v>1</v>
      </c>
      <c r="AT45">
        <v>1</v>
      </c>
      <c r="AU45">
        <v>1</v>
      </c>
      <c r="AV45">
        <v>1</v>
      </c>
      <c r="AW45">
        <v>1</v>
      </c>
      <c r="AX45">
        <v>1</v>
      </c>
      <c r="AY45">
        <v>1</v>
      </c>
      <c r="AZ45">
        <v>1</v>
      </c>
      <c r="BA45">
        <v>1</v>
      </c>
      <c r="BB45">
        <v>1</v>
      </c>
      <c r="BC45">
        <v>1</v>
      </c>
      <c r="BD45">
        <v>1</v>
      </c>
      <c r="BE45">
        <v>1</v>
      </c>
      <c r="BF45">
        <v>1</v>
      </c>
      <c r="BG45">
        <v>1</v>
      </c>
      <c r="BH45">
        <v>1</v>
      </c>
      <c r="BI45">
        <v>1</v>
      </c>
      <c r="BJ45">
        <v>1</v>
      </c>
      <c r="BK45">
        <v>1</v>
      </c>
      <c r="BL45">
        <v>1</v>
      </c>
      <c r="BM45">
        <v>1</v>
      </c>
      <c r="BN45">
        <v>1</v>
      </c>
      <c r="BO45">
        <v>1</v>
      </c>
      <c r="BP45">
        <v>1</v>
      </c>
      <c r="BQ45">
        <v>1</v>
      </c>
    </row>
    <row r="46" spans="2:69">
      <c r="B46" s="36" t="s">
        <v>4</v>
      </c>
      <c r="C46" s="11" t="s">
        <v>78</v>
      </c>
      <c r="D46" s="9">
        <f>SUMIF(TechnologyDataRaw!$L$10:$L$43,"1"&amp;$B46,TechnologyDataRaw!N$10:N$43)</f>
        <v>16423.611328040046</v>
      </c>
      <c r="E46" s="72">
        <f>SUMIF(TechnologyDataRaw!$L$10:$L$43,"1"&amp;$B46,TechnologyDataRaw!O$10:O$43)</f>
        <v>252.75151249001959</v>
      </c>
      <c r="F46" s="72">
        <f>SUMIF(TechnologyDataRaw!$L$10:$L$43,"1"&amp;$B46,TechnologyDataRaw!P$10:P$43)</f>
        <v>0</v>
      </c>
      <c r="G46" s="12">
        <f>SUMIF(TechnologyDataRaw!$L$10:$L$43,"1"&amp;$B46,TechnologyDataRaw!R$10:R$43)</f>
        <v>1</v>
      </c>
      <c r="H46" s="12">
        <f>SUMIF(TechnologyDataRaw!$L$10:$L$43,"1"&amp;$B46,TechnologyDataRaw!S$10:S$43)</f>
        <v>1</v>
      </c>
      <c r="I46" s="9">
        <f>SUMIF(TechnologyDataRaw!$L$10:$L$43,"1"&amp;$B46,TechnologyDataRaw!T$10:T$43)</f>
        <v>20</v>
      </c>
      <c r="J46" s="9">
        <f>SUMIF(TechnologyDataRaw!$L$10:$L$43,"1"&amp;$B46,TechnologyDataRaw!U$10:U$43)</f>
        <v>1</v>
      </c>
      <c r="K46" s="26">
        <f>SUMIF(TechnologyDataRaw!$L$10:$L$43,"1"&amp;$B46,TechnologyDataRaw!V$10:V$43)</f>
        <v>0</v>
      </c>
      <c r="M46">
        <v>1</v>
      </c>
      <c r="Q46">
        <v>1</v>
      </c>
      <c r="R46">
        <v>0.97499999999999987</v>
      </c>
      <c r="S46">
        <v>0.95</v>
      </c>
      <c r="T46">
        <v>0.92500000000000004</v>
      </c>
      <c r="U46">
        <v>0.9</v>
      </c>
      <c r="V46">
        <v>0.87749999999999995</v>
      </c>
      <c r="W46">
        <v>0.85499999999999998</v>
      </c>
      <c r="X46">
        <v>0.8324999999999998</v>
      </c>
      <c r="Y46">
        <v>0.80999999999999994</v>
      </c>
      <c r="Z46">
        <v>0.79379999999999995</v>
      </c>
      <c r="AA46">
        <v>0.77759999999999996</v>
      </c>
      <c r="AB46">
        <v>0.76139999999999997</v>
      </c>
      <c r="AC46">
        <v>0.74520000000000008</v>
      </c>
      <c r="AD46">
        <v>0.72899999999999998</v>
      </c>
      <c r="AE46">
        <v>0.72471176470588239</v>
      </c>
      <c r="AF46">
        <v>0.7204235294117648</v>
      </c>
      <c r="AG46">
        <v>0.7161352941176472</v>
      </c>
      <c r="AH46">
        <v>0.7118470588235295</v>
      </c>
      <c r="AI46">
        <v>0.7075588235294118</v>
      </c>
      <c r="AJ46">
        <v>0.7032705882352942</v>
      </c>
      <c r="AK46">
        <v>0.69898235294117661</v>
      </c>
      <c r="AL46">
        <v>0.69469411764705891</v>
      </c>
      <c r="AM46">
        <v>0.69040588235294131</v>
      </c>
      <c r="AN46">
        <v>0.68611764705882361</v>
      </c>
      <c r="AO46">
        <v>0.68182941176470602</v>
      </c>
      <c r="AP46">
        <v>0.67754117647058831</v>
      </c>
      <c r="AQ46">
        <v>0.67325294117647072</v>
      </c>
      <c r="AR46">
        <v>0.66896470588235302</v>
      </c>
      <c r="AS46">
        <v>0.66467647058823542</v>
      </c>
      <c r="AT46">
        <v>0.66038823529411761</v>
      </c>
      <c r="AU46">
        <v>0.65610000000000002</v>
      </c>
      <c r="AV46">
        <v>0.65610000000000002</v>
      </c>
      <c r="AW46">
        <v>0.65610000000000002</v>
      </c>
      <c r="AX46">
        <v>0.65610000000000002</v>
      </c>
      <c r="AY46">
        <v>0.65610000000000002</v>
      </c>
      <c r="AZ46">
        <v>0.65610000000000002</v>
      </c>
      <c r="BA46">
        <v>0.65610000000000002</v>
      </c>
      <c r="BB46">
        <v>0.65610000000000002</v>
      </c>
      <c r="BC46">
        <v>0.65610000000000002</v>
      </c>
      <c r="BD46">
        <v>0.65610000000000002</v>
      </c>
      <c r="BE46">
        <v>0.65610000000000002</v>
      </c>
      <c r="BF46">
        <v>0.65610000000000002</v>
      </c>
      <c r="BG46">
        <v>0.65610000000000002</v>
      </c>
      <c r="BH46">
        <v>0.65610000000000002</v>
      </c>
      <c r="BI46">
        <v>0.65610000000000002</v>
      </c>
      <c r="BJ46">
        <v>0.65610000000000002</v>
      </c>
      <c r="BK46">
        <v>0.65610000000000002</v>
      </c>
      <c r="BL46">
        <v>0.65610000000000002</v>
      </c>
      <c r="BM46">
        <v>0.65610000000000002</v>
      </c>
      <c r="BN46">
        <v>0.65610000000000002</v>
      </c>
      <c r="BO46">
        <v>0.65610000000000002</v>
      </c>
      <c r="BP46">
        <v>0.65610000000000002</v>
      </c>
      <c r="BQ46">
        <v>0.65610000000000002</v>
      </c>
    </row>
    <row r="47" spans="2:69">
      <c r="B47" s="36" t="s">
        <v>79</v>
      </c>
      <c r="C47" s="11" t="s">
        <v>78</v>
      </c>
      <c r="D47" s="9">
        <f>SUMIF(TechnologyDataRaw!$L$10:$L$43,"1"&amp;$B47,TechnologyDataRaw!N$10:N$43)</f>
        <v>50041.980236537951</v>
      </c>
      <c r="E47" s="72">
        <f>SUMIF(TechnologyDataRaw!$L$10:$L$43,"1"&amp;$B47,TechnologyDataRaw!O$10:O$43)</f>
        <v>97.430286002753405</v>
      </c>
      <c r="F47" s="72">
        <f>SUMIF(TechnologyDataRaw!$L$10:$L$43,"1"&amp;$B47,TechnologyDataRaw!P$10:P$43)</f>
        <v>0</v>
      </c>
      <c r="G47" s="12">
        <f>SUMIF(TechnologyDataRaw!$L$10:$L$43,"1"&amp;$B47,TechnologyDataRaw!R$10:R$43)</f>
        <v>1</v>
      </c>
      <c r="H47" s="12">
        <f>SUMIF(TechnologyDataRaw!$L$10:$L$43,"1"&amp;$B47,TechnologyDataRaw!S$10:S$43)</f>
        <v>0.23</v>
      </c>
      <c r="I47" s="9">
        <f>SUMIF(TechnologyDataRaw!$L$10:$L$43,"1"&amp;$B47,TechnologyDataRaw!T$10:T$43)</f>
        <v>15</v>
      </c>
      <c r="J47" s="9">
        <f>SUMIF(TechnologyDataRaw!$L$10:$L$43,"1"&amp;$B47,TechnologyDataRaw!U$10:U$43)</f>
        <v>5</v>
      </c>
      <c r="K47" s="26">
        <f>SUMIF(TechnologyDataRaw!$L$10:$L$43,"1"&amp;$B47,TechnologyDataRaw!V$10:V$43)</f>
        <v>0</v>
      </c>
      <c r="M47">
        <v>1</v>
      </c>
      <c r="Q47">
        <v>1</v>
      </c>
      <c r="R47">
        <v>0.90999999999999981</v>
      </c>
      <c r="S47">
        <v>0.82000000000000006</v>
      </c>
      <c r="T47">
        <v>0.77080000000000004</v>
      </c>
      <c r="U47">
        <v>0.72160000000000002</v>
      </c>
      <c r="V47">
        <v>0.6724</v>
      </c>
      <c r="W47">
        <v>0.61188400000000021</v>
      </c>
      <c r="X47">
        <v>0.55136799999999997</v>
      </c>
      <c r="Y47">
        <v>0.51828592000000007</v>
      </c>
      <c r="Z47">
        <v>0.48520383999999989</v>
      </c>
      <c r="AA47">
        <v>0.45212175999999998</v>
      </c>
      <c r="AB47">
        <v>0.42499445440000005</v>
      </c>
      <c r="AC47">
        <v>0.39786714879999996</v>
      </c>
      <c r="AD47">
        <v>0.37073984320000009</v>
      </c>
      <c r="AE47">
        <v>0.35405655025600008</v>
      </c>
      <c r="AF47">
        <v>0.33737325731200013</v>
      </c>
      <c r="AG47">
        <v>0.32068996436800012</v>
      </c>
      <c r="AH47">
        <v>0.30400667142400012</v>
      </c>
      <c r="AI47">
        <v>0.30400667142400012</v>
      </c>
      <c r="AJ47">
        <v>0.30400667142400012</v>
      </c>
      <c r="AK47">
        <v>0.30400667142400012</v>
      </c>
      <c r="AL47">
        <v>0.30400667142400012</v>
      </c>
      <c r="AM47">
        <v>0.30400667142400012</v>
      </c>
      <c r="AN47">
        <v>0.30400667142400012</v>
      </c>
      <c r="AO47">
        <v>0.30400667142400012</v>
      </c>
      <c r="AP47">
        <v>0.30400667142400012</v>
      </c>
      <c r="AQ47">
        <v>0.30400667142400012</v>
      </c>
      <c r="AR47">
        <v>0.30400667142400012</v>
      </c>
      <c r="AS47">
        <v>0.30400667142400012</v>
      </c>
      <c r="AT47">
        <v>0.30400667142400012</v>
      </c>
      <c r="AU47">
        <v>0.30400667142400012</v>
      </c>
      <c r="AV47">
        <v>0.30400667142400012</v>
      </c>
      <c r="AW47">
        <v>0.30400667142400012</v>
      </c>
      <c r="AX47">
        <v>0.30400667142400012</v>
      </c>
      <c r="AY47">
        <v>0.30400667142400012</v>
      </c>
      <c r="AZ47">
        <v>0.30400667142400012</v>
      </c>
      <c r="BA47">
        <v>0.30400667142400012</v>
      </c>
      <c r="BB47">
        <v>0.30400667142400012</v>
      </c>
      <c r="BC47">
        <v>0.30400667142400012</v>
      </c>
      <c r="BD47">
        <v>0.30400667142400012</v>
      </c>
      <c r="BE47">
        <v>0.30400667142400012</v>
      </c>
      <c r="BF47">
        <v>0.30400667142400012</v>
      </c>
      <c r="BG47">
        <v>0.30400667142400012</v>
      </c>
      <c r="BH47">
        <v>0.30400667142400012</v>
      </c>
      <c r="BI47">
        <v>0.30400667142400012</v>
      </c>
      <c r="BJ47">
        <v>0.30400667142400012</v>
      </c>
      <c r="BK47">
        <v>0.30400667142400012</v>
      </c>
      <c r="BL47">
        <v>0.30400667142400012</v>
      </c>
      <c r="BM47">
        <v>0.30400667142400012</v>
      </c>
      <c r="BN47">
        <v>0.30400667142400012</v>
      </c>
      <c r="BO47">
        <v>0.30400667142400012</v>
      </c>
      <c r="BP47">
        <v>0.30400667142400012</v>
      </c>
      <c r="BQ47">
        <v>0.30400667142400012</v>
      </c>
    </row>
    <row r="48" spans="2:69">
      <c r="B48" s="36" t="s">
        <v>82</v>
      </c>
      <c r="C48" s="11" t="s">
        <v>78</v>
      </c>
      <c r="D48" s="9">
        <f>SUMIF(TechnologyDataRaw!$L$10:$L$43,"1"&amp;$B48,TechnologyDataRaw!N$10:N$43)</f>
        <v>44973.724292822008</v>
      </c>
      <c r="E48" s="72">
        <f>SUMIF(TechnologyDataRaw!$L$10:$L$43,"1"&amp;$B48,TechnologyDataRaw!O$10:O$43)</f>
        <v>473.6379828113304</v>
      </c>
      <c r="F48" s="72">
        <f>SUMIF(TechnologyDataRaw!$L$10:$L$43,"1"&amp;$B48,TechnologyDataRaw!P$10:P$43)</f>
        <v>0</v>
      </c>
      <c r="G48" s="12">
        <f>SUMIF(TechnologyDataRaw!$L$10:$L$43,"1"&amp;$B48,TechnologyDataRaw!R$10:R$43)</f>
        <v>1</v>
      </c>
      <c r="H48" s="12">
        <f>SUMIF(TechnologyDataRaw!$L$10:$L$43,"1"&amp;$B48,TechnologyDataRaw!S$10:S$43)</f>
        <v>0.4</v>
      </c>
      <c r="I48" s="9">
        <f>SUMIF(TechnologyDataRaw!$L$10:$L$43,"1"&amp;$B48,TechnologyDataRaw!T$10:T$43)</f>
        <v>30</v>
      </c>
      <c r="J48" s="9">
        <f>SUMIF(TechnologyDataRaw!$L$10:$L$43,"1"&amp;$B48,TechnologyDataRaw!U$10:U$43)</f>
        <v>100</v>
      </c>
      <c r="K48" s="26">
        <f>SUMIF(TechnologyDataRaw!$L$10:$L$43,"1"&amp;$B48,TechnologyDataRaw!V$10:V$43)</f>
        <v>0.04</v>
      </c>
      <c r="M48">
        <v>1</v>
      </c>
      <c r="Q48">
        <v>1</v>
      </c>
      <c r="R48">
        <v>0.98125000000000007</v>
      </c>
      <c r="S48">
        <v>0.96249999999999991</v>
      </c>
      <c r="T48">
        <v>0.94375000000000009</v>
      </c>
      <c r="U48">
        <v>0.92500000000000004</v>
      </c>
      <c r="V48">
        <v>0.90625</v>
      </c>
      <c r="W48">
        <v>0.88749999999999996</v>
      </c>
      <c r="X48">
        <v>0.86875000000000002</v>
      </c>
      <c r="Y48">
        <v>0.85000000000000009</v>
      </c>
      <c r="Z48">
        <v>0.83406249999999993</v>
      </c>
      <c r="AA48">
        <v>0.81812499999999999</v>
      </c>
      <c r="AB48">
        <v>0.80218750000000016</v>
      </c>
      <c r="AC48">
        <v>0.78625</v>
      </c>
      <c r="AD48">
        <v>0.77031250000000007</v>
      </c>
      <c r="AE48">
        <v>0.75437499999999991</v>
      </c>
      <c r="AF48">
        <v>0.73843749999999997</v>
      </c>
      <c r="AG48">
        <v>0.72250000000000014</v>
      </c>
      <c r="AH48">
        <v>0.70701785714285725</v>
      </c>
      <c r="AI48">
        <v>0.69153571428571436</v>
      </c>
      <c r="AJ48">
        <v>0.67605357142857159</v>
      </c>
      <c r="AK48">
        <v>0.6605714285714287</v>
      </c>
      <c r="AL48">
        <v>0.6450892857142857</v>
      </c>
      <c r="AM48">
        <v>0.62960714285714292</v>
      </c>
      <c r="AN48">
        <v>0.61412500000000003</v>
      </c>
      <c r="AO48">
        <v>0.60096517857142873</v>
      </c>
      <c r="AP48">
        <v>0.58780535714285731</v>
      </c>
      <c r="AQ48">
        <v>0.57464553571428578</v>
      </c>
      <c r="AR48">
        <v>0.56148571428571437</v>
      </c>
      <c r="AS48">
        <v>0.54832589285714295</v>
      </c>
      <c r="AT48">
        <v>0.53516607142857153</v>
      </c>
      <c r="AU48">
        <v>0.52200625</v>
      </c>
      <c r="AV48">
        <v>0.51221863281249991</v>
      </c>
      <c r="AW48">
        <v>0.50243101562499992</v>
      </c>
      <c r="AX48">
        <v>0.49264339843749988</v>
      </c>
      <c r="AY48">
        <v>0.48285578124999984</v>
      </c>
      <c r="AZ48">
        <v>0.47306816406249991</v>
      </c>
      <c r="BA48">
        <v>0.46328054687499992</v>
      </c>
      <c r="BB48">
        <v>0.45349292968749982</v>
      </c>
      <c r="BC48">
        <v>0.4437053125</v>
      </c>
      <c r="BD48">
        <v>0.43538583789062496</v>
      </c>
      <c r="BE48">
        <v>0.42706636328124997</v>
      </c>
      <c r="BF48">
        <v>0.41874688867187504</v>
      </c>
      <c r="BG48">
        <v>0.4104274140625</v>
      </c>
      <c r="BH48">
        <v>0.40210793945312501</v>
      </c>
      <c r="BI48">
        <v>0.39378846484375007</v>
      </c>
      <c r="BJ48">
        <v>0.38546899023437498</v>
      </c>
      <c r="BK48">
        <v>0.37714951562499999</v>
      </c>
      <c r="BL48">
        <v>0.37086369036458333</v>
      </c>
      <c r="BM48">
        <v>0.36457786510416662</v>
      </c>
      <c r="BN48">
        <v>0.35829203984374991</v>
      </c>
      <c r="BO48">
        <v>0.35200621458333325</v>
      </c>
      <c r="BP48">
        <v>0.3457203893229166</v>
      </c>
      <c r="BQ48">
        <v>0.33943456406249994</v>
      </c>
    </row>
    <row r="49" spans="2:69">
      <c r="B49" s="36" t="s">
        <v>81</v>
      </c>
      <c r="C49" s="11" t="s">
        <v>78</v>
      </c>
      <c r="D49" s="9">
        <f>SUMIF(TechnologyDataRaw!$L$10:$L$43,"1"&amp;$B49,TechnologyDataRaw!N$10:N$43)</f>
        <v>67460.586439233011</v>
      </c>
      <c r="E49" s="72">
        <f>SUMIF(TechnologyDataRaw!$L$10:$L$43,"1"&amp;$B49,TechnologyDataRaw!O$10:O$43)</f>
        <v>473.6379828113304</v>
      </c>
      <c r="F49" s="72">
        <f>SUMIF(TechnologyDataRaw!$L$10:$L$43,"1"&amp;$B49,TechnologyDataRaw!P$10:P$43)</f>
        <v>0</v>
      </c>
      <c r="G49" s="12">
        <f>SUMIF(TechnologyDataRaw!$L$10:$L$43,"1"&amp;$B49,TechnologyDataRaw!R$10:R$43)</f>
        <v>1</v>
      </c>
      <c r="H49" s="12">
        <f>SUMIF(TechnologyDataRaw!$L$10:$L$43,"1"&amp;$B49,TechnologyDataRaw!S$10:S$43)</f>
        <v>0.6</v>
      </c>
      <c r="I49" s="9">
        <f>SUMIF(TechnologyDataRaw!$L$10:$L$43,"1"&amp;$B49,TechnologyDataRaw!T$10:T$43)</f>
        <v>30</v>
      </c>
      <c r="J49" s="9">
        <f>SUMIF(TechnologyDataRaw!$L$10:$L$43,"1"&amp;$B49,TechnologyDataRaw!U$10:U$43)</f>
        <v>100</v>
      </c>
      <c r="K49" s="26">
        <f>SUMIF(TechnologyDataRaw!$L$10:$L$43,"1"&amp;$B49,TechnologyDataRaw!V$10:V$43)</f>
        <v>0.04</v>
      </c>
      <c r="M49">
        <v>1</v>
      </c>
      <c r="Q49">
        <v>1</v>
      </c>
      <c r="R49">
        <v>0.97499999999999998</v>
      </c>
      <c r="S49">
        <v>0.95</v>
      </c>
      <c r="T49">
        <v>0.92499999999999993</v>
      </c>
      <c r="U49">
        <v>0.89999999999999991</v>
      </c>
      <c r="V49">
        <v>0.87499999999999978</v>
      </c>
      <c r="W49">
        <v>0.84999999999999987</v>
      </c>
      <c r="X49">
        <v>0.82499999999999996</v>
      </c>
      <c r="Y49">
        <v>0.79999999999999993</v>
      </c>
      <c r="Z49">
        <v>0.78000000000000014</v>
      </c>
      <c r="AA49">
        <v>0.76000000000000012</v>
      </c>
      <c r="AB49">
        <v>0.7400000000000001</v>
      </c>
      <c r="AC49">
        <v>0.72</v>
      </c>
      <c r="AD49">
        <v>0.7</v>
      </c>
      <c r="AE49">
        <v>0.67999999999999994</v>
      </c>
      <c r="AF49">
        <v>0.65999999999999992</v>
      </c>
      <c r="AG49">
        <v>0.64000000000000012</v>
      </c>
      <c r="AH49">
        <v>0.62171428571428577</v>
      </c>
      <c r="AI49">
        <v>0.60342857142857154</v>
      </c>
      <c r="AJ49">
        <v>0.58514285714285719</v>
      </c>
      <c r="AK49">
        <v>0.56685714285714284</v>
      </c>
      <c r="AL49">
        <v>0.54857142857142871</v>
      </c>
      <c r="AM49">
        <v>0.53028571428571436</v>
      </c>
      <c r="AN49">
        <v>0.51200000000000001</v>
      </c>
      <c r="AO49">
        <v>0.49737142857142869</v>
      </c>
      <c r="AP49">
        <v>0.48274285714285714</v>
      </c>
      <c r="AQ49">
        <v>0.4681142857142857</v>
      </c>
      <c r="AR49">
        <v>0.45348571428571427</v>
      </c>
      <c r="AS49">
        <v>0.43885714285714295</v>
      </c>
      <c r="AT49">
        <v>0.42422857142857145</v>
      </c>
      <c r="AU49">
        <v>0.40959999999999996</v>
      </c>
      <c r="AV49">
        <v>0.39789714285714284</v>
      </c>
      <c r="AW49">
        <v>0.38619428571428566</v>
      </c>
      <c r="AX49">
        <v>0.37449142857142859</v>
      </c>
      <c r="AY49">
        <v>0.36278857142857135</v>
      </c>
      <c r="AZ49">
        <v>0.35108571428571428</v>
      </c>
      <c r="BA49">
        <v>0.33938285714285715</v>
      </c>
      <c r="BB49">
        <v>0.32768000000000008</v>
      </c>
      <c r="BC49">
        <v>0.31831771428571426</v>
      </c>
      <c r="BD49">
        <v>0.30895542857142855</v>
      </c>
      <c r="BE49">
        <v>0.29959314285714284</v>
      </c>
      <c r="BF49">
        <v>0.29023085714285712</v>
      </c>
      <c r="BG49">
        <v>0.28086857142857147</v>
      </c>
      <c r="BH49">
        <v>0.2715062857142857</v>
      </c>
      <c r="BI49">
        <v>0.26214400000000004</v>
      </c>
      <c r="BJ49">
        <v>0.2555904</v>
      </c>
      <c r="BK49">
        <v>0.2490368</v>
      </c>
      <c r="BL49">
        <v>0.24248320000000001</v>
      </c>
      <c r="BM49">
        <v>0.23592960000000004</v>
      </c>
      <c r="BN49">
        <v>0.22937600000000005</v>
      </c>
      <c r="BO49">
        <v>0.22282240000000003</v>
      </c>
      <c r="BP49">
        <v>0.21626880000000004</v>
      </c>
      <c r="BQ49">
        <v>0.20971520000000007</v>
      </c>
    </row>
    <row r="50" spans="2:69">
      <c r="B50" s="36" t="s">
        <v>22</v>
      </c>
      <c r="C50" s="11" t="s">
        <v>90</v>
      </c>
      <c r="D50" s="9">
        <f>SUMIF(TechnologyDataRaw!$L$10:$L$43,"1"&amp;$B50,TechnologyDataRaw!N$10:N$43)</f>
        <v>31212.006884862854</v>
      </c>
      <c r="E50" s="72">
        <f>SUMIF(TechnologyDataRaw!$L$10:$L$43,"1"&amp;$B50,TechnologyDataRaw!O$10:O$43)</f>
        <v>537.61831617101529</v>
      </c>
      <c r="F50" s="72">
        <f>SUMIF(TechnologyDataRaw!$L$10:$L$43,"1"&amp;$B50,TechnologyDataRaw!P$10:P$43)</f>
        <v>55.972364647129751</v>
      </c>
      <c r="G50" s="12">
        <f>SUMIF(TechnologyDataRaw!$L$10:$L$43,"1"&amp;$B50,TechnologyDataRaw!R$10:R$43)</f>
        <v>0.3537551601577355</v>
      </c>
      <c r="H50" s="12">
        <f>SUMIF(TechnologyDataRaw!$L$10:$L$43,"1"&amp;$B50,TechnologyDataRaw!S$10:S$43)</f>
        <v>0.90249999999999997</v>
      </c>
      <c r="I50" s="9">
        <f>SUMIF(TechnologyDataRaw!$L$10:$L$43,"1"&amp;$B50,TechnologyDataRaw!T$10:T$43)</f>
        <v>25</v>
      </c>
      <c r="J50" s="9">
        <f>SUMIF(TechnologyDataRaw!$L$10:$L$43,"1"&amp;$B50,TechnologyDataRaw!U$10:U$43)</f>
        <v>80</v>
      </c>
      <c r="K50" s="26">
        <f>SUMIF(TechnologyDataRaw!$L$10:$L$43,"1"&amp;$B50,TechnologyDataRaw!V$10:V$43)</f>
        <v>0.05</v>
      </c>
      <c r="M50">
        <v>1</v>
      </c>
      <c r="Q50">
        <v>1</v>
      </c>
      <c r="R50">
        <v>1</v>
      </c>
      <c r="S50">
        <v>1</v>
      </c>
      <c r="T50">
        <v>1</v>
      </c>
      <c r="U50">
        <v>1</v>
      </c>
      <c r="V50">
        <v>1</v>
      </c>
      <c r="W50">
        <v>1</v>
      </c>
      <c r="X50">
        <v>1</v>
      </c>
      <c r="Y50">
        <v>1</v>
      </c>
      <c r="Z50">
        <v>1</v>
      </c>
      <c r="AA50">
        <v>1</v>
      </c>
      <c r="AB50">
        <v>1</v>
      </c>
      <c r="AC50">
        <v>1</v>
      </c>
      <c r="AD50">
        <v>1</v>
      </c>
      <c r="AE50">
        <v>1</v>
      </c>
      <c r="AF50">
        <v>1</v>
      </c>
      <c r="AG50">
        <v>1</v>
      </c>
      <c r="AH50">
        <v>1</v>
      </c>
      <c r="AI50">
        <v>1</v>
      </c>
      <c r="AJ50">
        <v>1</v>
      </c>
      <c r="AK50">
        <v>1</v>
      </c>
      <c r="AL50">
        <v>1</v>
      </c>
      <c r="AM50">
        <v>1</v>
      </c>
      <c r="AN50">
        <v>1</v>
      </c>
      <c r="AO50">
        <v>1</v>
      </c>
      <c r="AP50">
        <v>1</v>
      </c>
      <c r="AQ50">
        <v>1</v>
      </c>
      <c r="AR50">
        <v>1</v>
      </c>
      <c r="AS50">
        <v>1</v>
      </c>
      <c r="AT50">
        <v>1</v>
      </c>
      <c r="AU50">
        <v>1</v>
      </c>
      <c r="AV50">
        <v>1</v>
      </c>
      <c r="AW50">
        <v>1</v>
      </c>
      <c r="AX50">
        <v>1</v>
      </c>
      <c r="AY50">
        <v>1</v>
      </c>
      <c r="AZ50">
        <v>1</v>
      </c>
      <c r="BA50">
        <v>1</v>
      </c>
      <c r="BB50">
        <v>1</v>
      </c>
      <c r="BC50">
        <v>1</v>
      </c>
      <c r="BD50">
        <v>1</v>
      </c>
      <c r="BE50">
        <v>1</v>
      </c>
      <c r="BF50">
        <v>1</v>
      </c>
      <c r="BG50">
        <v>1</v>
      </c>
      <c r="BH50">
        <v>1</v>
      </c>
      <c r="BI50">
        <v>1</v>
      </c>
      <c r="BJ50">
        <v>1</v>
      </c>
      <c r="BK50">
        <v>1</v>
      </c>
      <c r="BL50">
        <v>1</v>
      </c>
      <c r="BM50">
        <v>1</v>
      </c>
      <c r="BN50">
        <v>1</v>
      </c>
      <c r="BO50">
        <v>1</v>
      </c>
      <c r="BP50">
        <v>1</v>
      </c>
      <c r="BQ50">
        <v>1</v>
      </c>
    </row>
    <row r="51" spans="2:69">
      <c r="B51" s="36" t="s">
        <v>96</v>
      </c>
      <c r="C51" s="11" t="s">
        <v>78</v>
      </c>
      <c r="D51" s="9">
        <f>SUMIF(TechnologyDataRaw!$L$10:$L$43,"1"&amp;$B51,TechnologyDataRaw!N$10:N$43)</f>
        <v>8.5406195153614384</v>
      </c>
      <c r="E51" s="72">
        <f>SUMIF(TechnologyDataRaw!$L$10:$L$43,"1"&amp;$B51,TechnologyDataRaw!O$10:O$43)</f>
        <v>8.3416340755782024</v>
      </c>
      <c r="F51" s="72">
        <f>SUMIF(TechnologyDataRaw!$L$10:$L$43,"1"&amp;$B51,TechnologyDataRaw!P$10:P$43)</f>
        <v>8.3416340755782024</v>
      </c>
      <c r="G51" s="12">
        <f>SUMIF(TechnologyDataRaw!$L$10:$L$43,"1"&amp;$B51,TechnologyDataRaw!R$10:R$43)</f>
        <v>1</v>
      </c>
      <c r="H51" s="12">
        <f>SUMIF(TechnologyDataRaw!$L$10:$L$43,"1"&amp;$B51,TechnologyDataRaw!S$10:S$43)</f>
        <v>0.4</v>
      </c>
      <c r="I51" s="9">
        <f>SUMIF(TechnologyDataRaw!$L$10:$L$43,"1"&amp;$B51,TechnologyDataRaw!T$10:T$43)</f>
        <v>15</v>
      </c>
      <c r="J51" s="9">
        <f>SUMIF(TechnologyDataRaw!$L$10:$L$43,"1"&amp;$B51,TechnologyDataRaw!U$10:U$43)</f>
        <v>5</v>
      </c>
      <c r="K51" s="26">
        <f>SUMIF(TechnologyDataRaw!$L$10:$L$43,"1"&amp;$B51,TechnologyDataRaw!V$10:V$43)</f>
        <v>0</v>
      </c>
      <c r="M51">
        <v>1</v>
      </c>
      <c r="Q51">
        <v>1</v>
      </c>
      <c r="R51">
        <v>1</v>
      </c>
      <c r="S51">
        <v>1</v>
      </c>
      <c r="T51">
        <v>1</v>
      </c>
      <c r="U51">
        <v>1</v>
      </c>
      <c r="V51">
        <v>1</v>
      </c>
      <c r="W51">
        <v>1</v>
      </c>
      <c r="X51">
        <v>1</v>
      </c>
      <c r="Y51">
        <v>1</v>
      </c>
      <c r="Z51">
        <v>1</v>
      </c>
      <c r="AA51">
        <v>1</v>
      </c>
      <c r="AB51">
        <v>1</v>
      </c>
      <c r="AC51">
        <v>1</v>
      </c>
      <c r="AD51">
        <v>1</v>
      </c>
      <c r="AE51">
        <v>1</v>
      </c>
      <c r="AF51">
        <v>1</v>
      </c>
      <c r="AG51">
        <v>1</v>
      </c>
      <c r="AH51">
        <v>1</v>
      </c>
      <c r="AI51">
        <v>1</v>
      </c>
      <c r="AJ51">
        <v>1</v>
      </c>
      <c r="AK51">
        <v>1</v>
      </c>
      <c r="AL51">
        <v>1</v>
      </c>
      <c r="AM51">
        <v>1</v>
      </c>
      <c r="AN51">
        <v>1</v>
      </c>
      <c r="AO51">
        <v>1</v>
      </c>
      <c r="AP51">
        <v>1</v>
      </c>
      <c r="AQ51">
        <v>1</v>
      </c>
      <c r="AR51">
        <v>1</v>
      </c>
      <c r="AS51">
        <v>1</v>
      </c>
      <c r="AT51">
        <v>1</v>
      </c>
      <c r="AU51">
        <v>1</v>
      </c>
      <c r="AV51">
        <v>1</v>
      </c>
      <c r="AW51">
        <v>1</v>
      </c>
      <c r="AX51">
        <v>1</v>
      </c>
      <c r="AY51">
        <v>1</v>
      </c>
      <c r="AZ51">
        <v>1</v>
      </c>
      <c r="BA51">
        <v>1</v>
      </c>
      <c r="BB51">
        <v>1</v>
      </c>
      <c r="BC51">
        <v>1</v>
      </c>
      <c r="BD51">
        <v>1</v>
      </c>
      <c r="BE51">
        <v>1</v>
      </c>
      <c r="BF51">
        <v>1</v>
      </c>
      <c r="BG51">
        <v>1</v>
      </c>
      <c r="BH51">
        <v>1</v>
      </c>
      <c r="BI51">
        <v>1</v>
      </c>
      <c r="BJ51">
        <v>1</v>
      </c>
      <c r="BK51">
        <v>1</v>
      </c>
      <c r="BL51">
        <v>1</v>
      </c>
      <c r="BM51">
        <v>1</v>
      </c>
      <c r="BN51">
        <v>1</v>
      </c>
      <c r="BO51">
        <v>1</v>
      </c>
      <c r="BP51">
        <v>1</v>
      </c>
      <c r="BQ51">
        <v>1</v>
      </c>
    </row>
    <row r="52" spans="2:69">
      <c r="B52" s="36" t="s">
        <v>105</v>
      </c>
      <c r="C52" s="11" t="s">
        <v>84</v>
      </c>
      <c r="D52" s="9">
        <f>SUMIF(TechnologyDataRaw!$L$10:$L$43,"1"&amp;$B52,TechnologyDataRaw!N$10:N$43)</f>
        <v>7064.8251352966272</v>
      </c>
      <c r="E52" s="72">
        <f>SUMIF(TechnologyDataRaw!$L$10:$L$43,"1"&amp;$B52,TechnologyDataRaw!O$10:O$43)</f>
        <v>198.51197177964252</v>
      </c>
      <c r="F52" s="72">
        <f>SUMIF(TechnologyDataRaw!$L$10:$L$43,"1"&amp;$B52,TechnologyDataRaw!P$10:P$43)</f>
        <v>8.1793577745617725</v>
      </c>
      <c r="G52" s="12">
        <f>SUMIF(TechnologyDataRaw!$L$10:$L$43,"1"&amp;$B52,TechnologyDataRaw!R$10:R$43)</f>
        <v>0.34905939650497231</v>
      </c>
      <c r="H52" s="12">
        <f>SUMIF(TechnologyDataRaw!$L$10:$L$43,"1"&amp;$B52,TechnologyDataRaw!S$10:S$43)</f>
        <v>0.87057493204096037</v>
      </c>
      <c r="I52" s="9">
        <f>SUMIF(TechnologyDataRaw!$L$10:$L$43,"1"&amp;$B52,TechnologyDataRaw!T$10:T$43)</f>
        <v>50</v>
      </c>
      <c r="J52" s="9">
        <f>SUMIF(TechnologyDataRaw!$L$10:$L$43,"1"&amp;$B52,TechnologyDataRaw!U$10:U$43)</f>
        <v>564.27777777777783</v>
      </c>
      <c r="K52" s="26">
        <f>SUMIF(TechnologyDataRaw!$L$10:$L$43,"1"&amp;$B52,TechnologyDataRaw!V$10:V$43)</f>
        <v>5.8421522102983153E-2</v>
      </c>
      <c r="L52">
        <v>1</v>
      </c>
      <c r="Q52">
        <v>1</v>
      </c>
      <c r="R52">
        <v>1</v>
      </c>
      <c r="S52">
        <v>1</v>
      </c>
      <c r="T52">
        <v>1</v>
      </c>
      <c r="U52">
        <v>1</v>
      </c>
      <c r="V52">
        <v>1</v>
      </c>
      <c r="W52">
        <v>1</v>
      </c>
      <c r="X52">
        <v>1</v>
      </c>
      <c r="Y52">
        <v>1</v>
      </c>
      <c r="Z52">
        <v>1</v>
      </c>
      <c r="AA52">
        <v>1</v>
      </c>
      <c r="AB52">
        <v>1</v>
      </c>
      <c r="AC52">
        <v>1</v>
      </c>
      <c r="AD52">
        <v>1</v>
      </c>
      <c r="AE52">
        <v>1</v>
      </c>
      <c r="AF52">
        <v>1</v>
      </c>
      <c r="AG52">
        <v>1</v>
      </c>
      <c r="AH52">
        <v>1</v>
      </c>
      <c r="AI52">
        <v>1</v>
      </c>
      <c r="AJ52">
        <v>1</v>
      </c>
      <c r="AK52">
        <v>1</v>
      </c>
      <c r="AL52">
        <v>1</v>
      </c>
      <c r="AM52">
        <v>1</v>
      </c>
      <c r="AN52">
        <v>1</v>
      </c>
      <c r="AO52">
        <v>1</v>
      </c>
      <c r="AP52">
        <v>1</v>
      </c>
      <c r="AQ52">
        <v>1</v>
      </c>
      <c r="AR52">
        <v>1</v>
      </c>
      <c r="AS52">
        <v>1</v>
      </c>
      <c r="AT52">
        <v>1</v>
      </c>
      <c r="AU52">
        <v>1</v>
      </c>
      <c r="AV52">
        <v>1</v>
      </c>
      <c r="AW52">
        <v>1</v>
      </c>
      <c r="AX52">
        <v>1</v>
      </c>
      <c r="AY52">
        <v>1</v>
      </c>
      <c r="AZ52">
        <v>1</v>
      </c>
      <c r="BA52">
        <v>1</v>
      </c>
      <c r="BB52">
        <v>1</v>
      </c>
      <c r="BC52">
        <v>1</v>
      </c>
      <c r="BD52">
        <v>1</v>
      </c>
      <c r="BE52">
        <v>1</v>
      </c>
      <c r="BF52">
        <v>1</v>
      </c>
      <c r="BG52">
        <v>1</v>
      </c>
      <c r="BH52">
        <v>1</v>
      </c>
      <c r="BI52">
        <v>1</v>
      </c>
      <c r="BJ52">
        <v>1</v>
      </c>
      <c r="BK52">
        <v>1</v>
      </c>
      <c r="BL52">
        <v>1</v>
      </c>
      <c r="BM52">
        <v>1</v>
      </c>
      <c r="BN52">
        <v>1</v>
      </c>
      <c r="BO52">
        <v>1</v>
      </c>
      <c r="BP52">
        <v>1</v>
      </c>
      <c r="BQ52">
        <v>1</v>
      </c>
    </row>
    <row r="53" spans="2:69">
      <c r="B53" s="36" t="s">
        <v>106</v>
      </c>
      <c r="C53" s="11" t="s">
        <v>85</v>
      </c>
      <c r="D53" s="9">
        <f>SUMIF(TechnologyDataRaw!$L$10:$L$43,"1"&amp;$B53,TechnologyDataRaw!N$10:N$43)</f>
        <v>7064.8251352966272</v>
      </c>
      <c r="E53" s="72">
        <f>SUMIF(TechnologyDataRaw!$L$10:$L$43,"1"&amp;$B53,TechnologyDataRaw!O$10:O$43)</f>
        <v>274.85142535997028</v>
      </c>
      <c r="F53" s="72">
        <f>SUMIF(TechnologyDataRaw!$L$10:$L$43,"1"&amp;$B53,TechnologyDataRaw!P$10:P$43)</f>
        <v>9.6725078172314873</v>
      </c>
      <c r="G53" s="12">
        <f>SUMIF(TechnologyDataRaw!$L$10:$L$43,"1"&amp;$B53,TechnologyDataRaw!R$10:R$43)</f>
        <v>0.28218973503210287</v>
      </c>
      <c r="H53" s="12">
        <f>SUMIF(TechnologyDataRaw!$L$10:$L$43,"1"&amp;$B53,TechnologyDataRaw!S$10:S$43)</f>
        <v>0.80390233470489603</v>
      </c>
      <c r="I53" s="9">
        <f>SUMIF(TechnologyDataRaw!$L$10:$L$43,"1"&amp;$B53,TechnologyDataRaw!T$10:T$43)</f>
        <v>50</v>
      </c>
      <c r="J53" s="9">
        <f>SUMIF(TechnologyDataRaw!$L$10:$L$43,"1"&amp;$B53,TechnologyDataRaw!U$10:U$43)</f>
        <v>114.43859649122807</v>
      </c>
      <c r="K53" s="26">
        <f>SUMIF(TechnologyDataRaw!$L$10:$L$43,"1"&amp;$B53,TechnologyDataRaw!V$10:V$43)</f>
        <v>0.1256244162747904</v>
      </c>
      <c r="L53">
        <v>1</v>
      </c>
      <c r="Q53">
        <v>1</v>
      </c>
      <c r="R53">
        <v>1</v>
      </c>
      <c r="S53">
        <v>1</v>
      </c>
      <c r="T53">
        <v>1</v>
      </c>
      <c r="U53">
        <v>1</v>
      </c>
      <c r="V53">
        <v>1</v>
      </c>
      <c r="W53">
        <v>1</v>
      </c>
      <c r="X53">
        <v>1</v>
      </c>
      <c r="Y53">
        <v>1</v>
      </c>
      <c r="Z53">
        <v>1</v>
      </c>
      <c r="AA53">
        <v>1</v>
      </c>
      <c r="AB53">
        <v>1</v>
      </c>
      <c r="AC53">
        <v>1</v>
      </c>
      <c r="AD53">
        <v>1</v>
      </c>
      <c r="AE53">
        <v>1</v>
      </c>
      <c r="AF53">
        <v>1</v>
      </c>
      <c r="AG53">
        <v>1</v>
      </c>
      <c r="AH53">
        <v>1</v>
      </c>
      <c r="AI53">
        <v>1</v>
      </c>
      <c r="AJ53">
        <v>1</v>
      </c>
      <c r="AK53">
        <v>1</v>
      </c>
      <c r="AL53">
        <v>1</v>
      </c>
      <c r="AM53">
        <v>1</v>
      </c>
      <c r="AN53">
        <v>1</v>
      </c>
      <c r="AO53">
        <v>1</v>
      </c>
      <c r="AP53">
        <v>1</v>
      </c>
      <c r="AQ53">
        <v>1</v>
      </c>
      <c r="AR53">
        <v>1</v>
      </c>
      <c r="AS53">
        <v>1</v>
      </c>
      <c r="AT53">
        <v>1</v>
      </c>
      <c r="AU53">
        <v>1</v>
      </c>
      <c r="AV53">
        <v>1</v>
      </c>
      <c r="AW53">
        <v>1</v>
      </c>
      <c r="AX53">
        <v>1</v>
      </c>
      <c r="AY53">
        <v>1</v>
      </c>
      <c r="AZ53">
        <v>1</v>
      </c>
      <c r="BA53">
        <v>1</v>
      </c>
      <c r="BB53">
        <v>1</v>
      </c>
      <c r="BC53">
        <v>1</v>
      </c>
      <c r="BD53">
        <v>1</v>
      </c>
      <c r="BE53">
        <v>1</v>
      </c>
      <c r="BF53">
        <v>1</v>
      </c>
      <c r="BG53">
        <v>1</v>
      </c>
      <c r="BH53">
        <v>1</v>
      </c>
      <c r="BI53">
        <v>1</v>
      </c>
      <c r="BJ53">
        <v>1</v>
      </c>
      <c r="BK53">
        <v>1</v>
      </c>
      <c r="BL53">
        <v>1</v>
      </c>
      <c r="BM53">
        <v>1</v>
      </c>
      <c r="BN53">
        <v>1</v>
      </c>
      <c r="BO53">
        <v>1</v>
      </c>
      <c r="BP53">
        <v>1</v>
      </c>
      <c r="BQ53">
        <v>1</v>
      </c>
    </row>
    <row r="54" spans="2:69">
      <c r="B54" s="36" t="s">
        <v>107</v>
      </c>
      <c r="C54" s="11" t="s">
        <v>78</v>
      </c>
      <c r="D54" s="9">
        <f>SUMIF(TechnologyDataRaw!$L$10:$L$43,"1"&amp;$B54,TechnologyDataRaw!N$10:N$43)</f>
        <v>0</v>
      </c>
      <c r="E54" s="72">
        <f>SUMIF(TechnologyDataRaw!$L$10:$L$43,"1"&amp;$B54,TechnologyDataRaw!O$10:O$43)</f>
        <v>130.26677991055652</v>
      </c>
      <c r="F54" s="72">
        <f>SUMIF(TechnologyDataRaw!$L$10:$L$43,"1"&amp;$B54,TechnologyDataRaw!P$10:P$43)</f>
        <v>0</v>
      </c>
      <c r="G54" s="12">
        <f>SUMIF(TechnologyDataRaw!$L$10:$L$43,"1"&amp;$B54,TechnologyDataRaw!R$10:R$43)</f>
        <v>1</v>
      </c>
      <c r="H54" s="12">
        <f>SUMIF(TechnologyDataRaw!$L$10:$L$43,"1"&amp;$B54,TechnologyDataRaw!S$10:S$43)</f>
        <v>0.15079248120300753</v>
      </c>
      <c r="I54" s="9">
        <f>SUMIF(TechnologyDataRaw!$L$10:$L$43,"1"&amp;$B54,TechnologyDataRaw!T$10:T$43)</f>
        <v>100</v>
      </c>
      <c r="J54" s="9">
        <f>SUMIF(TechnologyDataRaw!$L$10:$L$43,"1"&amp;$B54,TechnologyDataRaw!U$10:U$43)</f>
        <v>95</v>
      </c>
      <c r="K54" s="26">
        <f>SUMIF(TechnologyDataRaw!$L$10:$L$43,"1"&amp;$B54,TechnologyDataRaw!V$10:V$43)</f>
        <v>6.5998496240601501E-2</v>
      </c>
      <c r="M54">
        <v>1</v>
      </c>
      <c r="Q54">
        <v>1</v>
      </c>
      <c r="R54">
        <v>1</v>
      </c>
      <c r="S54">
        <v>1</v>
      </c>
      <c r="T54">
        <v>1</v>
      </c>
      <c r="U54">
        <v>1</v>
      </c>
      <c r="V54">
        <v>1</v>
      </c>
      <c r="W54">
        <v>1</v>
      </c>
      <c r="X54">
        <v>1</v>
      </c>
      <c r="Y54">
        <v>1</v>
      </c>
      <c r="Z54">
        <v>1</v>
      </c>
      <c r="AA54">
        <v>1</v>
      </c>
      <c r="AB54">
        <v>1</v>
      </c>
      <c r="AC54">
        <v>1</v>
      </c>
      <c r="AD54">
        <v>1</v>
      </c>
      <c r="AE54">
        <v>1</v>
      </c>
      <c r="AF54">
        <v>1</v>
      </c>
      <c r="AG54">
        <v>1</v>
      </c>
      <c r="AH54">
        <v>1</v>
      </c>
      <c r="AI54">
        <v>1</v>
      </c>
      <c r="AJ54">
        <v>1</v>
      </c>
      <c r="AK54">
        <v>1</v>
      </c>
      <c r="AL54">
        <v>1</v>
      </c>
      <c r="AM54">
        <v>1</v>
      </c>
      <c r="AN54">
        <v>1</v>
      </c>
      <c r="AO54">
        <v>1</v>
      </c>
      <c r="AP54">
        <v>1</v>
      </c>
      <c r="AQ54">
        <v>1</v>
      </c>
      <c r="AR54">
        <v>1</v>
      </c>
      <c r="AS54">
        <v>1</v>
      </c>
      <c r="AT54">
        <v>1</v>
      </c>
      <c r="AU54">
        <v>1</v>
      </c>
      <c r="AV54">
        <v>1</v>
      </c>
      <c r="AW54">
        <v>1</v>
      </c>
      <c r="AX54">
        <v>1</v>
      </c>
      <c r="AY54">
        <v>1</v>
      </c>
      <c r="AZ54">
        <v>1</v>
      </c>
      <c r="BA54">
        <v>1</v>
      </c>
      <c r="BB54">
        <v>1</v>
      </c>
      <c r="BC54">
        <v>1</v>
      </c>
      <c r="BD54">
        <v>1</v>
      </c>
      <c r="BE54">
        <v>1</v>
      </c>
      <c r="BF54">
        <v>1</v>
      </c>
      <c r="BG54">
        <v>1</v>
      </c>
      <c r="BH54">
        <v>1</v>
      </c>
      <c r="BI54">
        <v>1</v>
      </c>
      <c r="BJ54">
        <v>1</v>
      </c>
      <c r="BK54">
        <v>1</v>
      </c>
      <c r="BL54">
        <v>1</v>
      </c>
      <c r="BM54">
        <v>1</v>
      </c>
      <c r="BN54">
        <v>1</v>
      </c>
      <c r="BO54">
        <v>1</v>
      </c>
      <c r="BP54">
        <v>1</v>
      </c>
      <c r="BQ54">
        <v>1</v>
      </c>
    </row>
    <row r="55" spans="2:69">
      <c r="B55" s="36" t="s">
        <v>8</v>
      </c>
      <c r="C55" s="11" t="s">
        <v>78</v>
      </c>
      <c r="D55" s="9">
        <f>SUMIF(TechnologyDataRaw!$L$10:$L$43,"1"&amp;$B55,TechnologyDataRaw!N$10:N$43)</f>
        <v>21075.978095646908</v>
      </c>
      <c r="E55" s="72">
        <f>SUMIF(TechnologyDataRaw!$L$10:$L$43,"1"&amp;$B55,TechnologyDataRaw!O$10:O$43)</f>
        <v>953.03169313480976</v>
      </c>
      <c r="F55" s="72">
        <f>SUMIF(TechnologyDataRaw!$L$10:$L$43,"1"&amp;$B55,TechnologyDataRaw!P$10:P$43)</f>
        <v>8.341634075578204E-2</v>
      </c>
      <c r="G55" s="12">
        <f>SUMIF(TechnologyDataRaw!$L$10:$L$43,"1"&amp;$B55,TechnologyDataRaw!R$10:R$43)</f>
        <v>0.25002361334126</v>
      </c>
      <c r="H55" s="12">
        <f>SUMIF(TechnologyDataRaw!$L$10:$L$43,"1"&amp;$B55,TechnologyDataRaw!S$10:S$43)</f>
        <v>0.85562500000000008</v>
      </c>
      <c r="I55" s="9">
        <f>SUMIF(TechnologyDataRaw!$L$10:$L$43,"1"&amp;$B55,TechnologyDataRaw!T$10:T$43)</f>
        <v>25</v>
      </c>
      <c r="J55" s="9">
        <f>SUMIF(TechnologyDataRaw!$L$10:$L$43,"1"&amp;$B55,TechnologyDataRaw!U$10:U$43)</f>
        <v>30</v>
      </c>
      <c r="K55" s="26">
        <f>SUMIF(TechnologyDataRaw!$L$10:$L$43,"1"&amp;$B55,TechnologyDataRaw!V$10:V$43)</f>
        <v>7.5000000000000011E-2</v>
      </c>
      <c r="M55">
        <v>1</v>
      </c>
      <c r="Q55">
        <v>1</v>
      </c>
      <c r="R55">
        <v>1</v>
      </c>
      <c r="S55">
        <v>1</v>
      </c>
      <c r="T55">
        <v>1</v>
      </c>
      <c r="U55">
        <v>1</v>
      </c>
      <c r="V55">
        <v>1</v>
      </c>
      <c r="W55">
        <v>1</v>
      </c>
      <c r="X55">
        <v>1</v>
      </c>
      <c r="Y55">
        <v>1</v>
      </c>
      <c r="Z55">
        <v>1</v>
      </c>
      <c r="AA55">
        <v>1</v>
      </c>
      <c r="AB55">
        <v>1</v>
      </c>
      <c r="AC55">
        <v>1</v>
      </c>
      <c r="AD55">
        <v>1</v>
      </c>
      <c r="AE55">
        <v>1</v>
      </c>
      <c r="AF55">
        <v>1</v>
      </c>
      <c r="AG55">
        <v>1</v>
      </c>
      <c r="AH55">
        <v>1</v>
      </c>
      <c r="AI55">
        <v>1</v>
      </c>
      <c r="AJ55">
        <v>1</v>
      </c>
      <c r="AK55">
        <v>1</v>
      </c>
      <c r="AL55">
        <v>1</v>
      </c>
      <c r="AM55">
        <v>1</v>
      </c>
      <c r="AN55">
        <v>1</v>
      </c>
      <c r="AO55">
        <v>1</v>
      </c>
      <c r="AP55">
        <v>1</v>
      </c>
      <c r="AQ55">
        <v>1</v>
      </c>
      <c r="AR55">
        <v>1</v>
      </c>
      <c r="AS55">
        <v>1</v>
      </c>
      <c r="AT55">
        <v>1</v>
      </c>
      <c r="AU55">
        <v>1</v>
      </c>
      <c r="AV55">
        <v>1</v>
      </c>
      <c r="AW55">
        <v>1</v>
      </c>
      <c r="AX55">
        <v>1</v>
      </c>
      <c r="AY55">
        <v>1</v>
      </c>
      <c r="AZ55">
        <v>1</v>
      </c>
      <c r="BA55">
        <v>1</v>
      </c>
      <c r="BB55">
        <v>1</v>
      </c>
      <c r="BC55">
        <v>1</v>
      </c>
      <c r="BD55">
        <v>1</v>
      </c>
      <c r="BE55">
        <v>1</v>
      </c>
      <c r="BF55">
        <v>1</v>
      </c>
      <c r="BG55">
        <v>1</v>
      </c>
      <c r="BH55">
        <v>1</v>
      </c>
      <c r="BI55">
        <v>1</v>
      </c>
      <c r="BJ55">
        <v>1</v>
      </c>
      <c r="BK55">
        <v>1</v>
      </c>
      <c r="BL55">
        <v>1</v>
      </c>
      <c r="BM55">
        <v>1</v>
      </c>
      <c r="BN55">
        <v>1</v>
      </c>
      <c r="BO55">
        <v>1</v>
      </c>
      <c r="BP55">
        <v>1</v>
      </c>
      <c r="BQ55">
        <v>1</v>
      </c>
    </row>
    <row r="56" spans="2:69">
      <c r="B56" s="299" t="s">
        <v>117</v>
      </c>
      <c r="C56" s="230"/>
      <c r="D56" s="302">
        <f>SUMIF(TechnologyDataRaw!$L$10:$L$43,"1"&amp;$B56,TechnologyDataRaw!N$10:N$43)</f>
        <v>0</v>
      </c>
      <c r="E56" s="303">
        <f>SUMIF(TechnologyDataRaw!$L$10:$L$43,"1"&amp;$B56,TechnologyDataRaw!O$10:O$43)</f>
        <v>0</v>
      </c>
      <c r="F56" s="303">
        <f>SUMIF(TechnologyDataRaw!$L$10:$L$43,"1"&amp;$B56,TechnologyDataRaw!P$10:P$43)</f>
        <v>0</v>
      </c>
      <c r="G56" s="300">
        <f>SUMIF(TechnologyDataRaw!$L$10:$L$43,"1"&amp;$B56,TechnologyDataRaw!R$10:R$43)</f>
        <v>0</v>
      </c>
      <c r="H56" s="300">
        <f>SUMIF(TechnologyDataRaw!$L$10:$L$43,"1"&amp;$B56,TechnologyDataRaw!S$10:S$43)</f>
        <v>0</v>
      </c>
      <c r="I56" s="302">
        <f>SUMIF(TechnologyDataRaw!$L$10:$L$43,"1"&amp;$B56,TechnologyDataRaw!T$10:T$43)</f>
        <v>0</v>
      </c>
      <c r="J56" s="302">
        <f>SUMIF(TechnologyDataRaw!$L$10:$L$43,"1"&amp;$B56,TechnologyDataRaw!U$10:U$43)</f>
        <v>0</v>
      </c>
      <c r="K56" s="304">
        <f>SUMIF(TechnologyDataRaw!$L$10:$L$43,"1"&amp;$B56,TechnologyDataRaw!V$10:V$43)</f>
        <v>0</v>
      </c>
      <c r="L56" s="230"/>
      <c r="M56" s="230"/>
      <c r="N56" s="230"/>
      <c r="O56" s="230"/>
      <c r="P56" s="230"/>
      <c r="Q56" s="230">
        <v>1</v>
      </c>
      <c r="R56" s="230">
        <v>1</v>
      </c>
      <c r="S56" s="230">
        <v>1</v>
      </c>
      <c r="T56" s="230">
        <v>1</v>
      </c>
      <c r="U56" s="230">
        <v>1</v>
      </c>
      <c r="V56" s="230">
        <v>1</v>
      </c>
      <c r="W56" s="230">
        <v>1</v>
      </c>
      <c r="X56" s="230">
        <v>1</v>
      </c>
      <c r="Y56" s="230">
        <v>1</v>
      </c>
      <c r="Z56" s="230">
        <v>1</v>
      </c>
      <c r="AA56" s="230">
        <v>1</v>
      </c>
      <c r="AB56" s="230">
        <v>1</v>
      </c>
      <c r="AC56" s="230">
        <v>1</v>
      </c>
      <c r="AD56" s="230">
        <v>1</v>
      </c>
      <c r="AE56" s="230">
        <v>1</v>
      </c>
      <c r="AF56" s="230">
        <v>1</v>
      </c>
      <c r="AG56" s="230">
        <v>1</v>
      </c>
      <c r="AH56" s="230">
        <v>1</v>
      </c>
      <c r="AI56" s="230">
        <v>1</v>
      </c>
      <c r="AJ56" s="230">
        <v>1</v>
      </c>
      <c r="AK56" s="230">
        <v>1</v>
      </c>
      <c r="AL56" s="230">
        <v>1</v>
      </c>
      <c r="AM56" s="230">
        <v>1</v>
      </c>
      <c r="AN56" s="230">
        <v>1</v>
      </c>
      <c r="AO56" s="230">
        <v>1</v>
      </c>
      <c r="AP56" s="230">
        <v>1</v>
      </c>
      <c r="AQ56" s="230">
        <v>1</v>
      </c>
      <c r="AR56" s="230">
        <v>1</v>
      </c>
      <c r="AS56" s="230">
        <v>1</v>
      </c>
      <c r="AT56" s="230">
        <v>1</v>
      </c>
      <c r="AU56" s="230">
        <v>1</v>
      </c>
      <c r="AV56" s="230">
        <v>1</v>
      </c>
      <c r="AW56" s="230">
        <v>1</v>
      </c>
      <c r="AX56" s="230">
        <v>1</v>
      </c>
      <c r="AY56" s="230">
        <v>1</v>
      </c>
      <c r="AZ56" s="230">
        <v>1</v>
      </c>
      <c r="BA56" s="230">
        <v>1</v>
      </c>
      <c r="BB56" s="230">
        <v>1</v>
      </c>
      <c r="BC56" s="230">
        <v>1</v>
      </c>
      <c r="BD56" s="230">
        <v>1</v>
      </c>
      <c r="BE56" s="230">
        <v>1</v>
      </c>
      <c r="BF56" s="230">
        <v>1</v>
      </c>
      <c r="BG56" s="230">
        <v>1</v>
      </c>
      <c r="BH56" s="230">
        <v>1</v>
      </c>
      <c r="BI56" s="230">
        <v>1</v>
      </c>
      <c r="BJ56" s="230">
        <v>1</v>
      </c>
      <c r="BK56" s="230">
        <v>1</v>
      </c>
      <c r="BL56" s="230">
        <v>1</v>
      </c>
      <c r="BM56" s="230">
        <v>1</v>
      </c>
      <c r="BN56" s="230">
        <v>1</v>
      </c>
      <c r="BO56" s="230">
        <v>1</v>
      </c>
      <c r="BP56" s="230">
        <v>1</v>
      </c>
      <c r="BQ56" s="230">
        <v>1</v>
      </c>
    </row>
    <row r="57" spans="2:69">
      <c r="B57" s="299" t="s">
        <v>117</v>
      </c>
      <c r="C57" s="230"/>
      <c r="D57" s="302">
        <f>SUMIF(TechnologyDataRaw!$L$10:$L$43,"1"&amp;$B57,TechnologyDataRaw!N$10:N$43)</f>
        <v>0</v>
      </c>
      <c r="E57" s="303">
        <f>SUMIF(TechnologyDataRaw!$L$10:$L$43,"1"&amp;$B57,TechnologyDataRaw!O$10:O$43)</f>
        <v>0</v>
      </c>
      <c r="F57" s="303">
        <f>SUMIF(TechnologyDataRaw!$L$10:$L$43,"1"&amp;$B57,TechnologyDataRaw!P$10:P$43)</f>
        <v>0</v>
      </c>
      <c r="G57" s="300">
        <f>SUMIF(TechnologyDataRaw!$L$10:$L$43,"1"&amp;$B57,TechnologyDataRaw!R$10:R$43)</f>
        <v>0</v>
      </c>
      <c r="H57" s="300">
        <f>SUMIF(TechnologyDataRaw!$L$10:$L$43,"1"&amp;$B57,TechnologyDataRaw!S$10:S$43)</f>
        <v>0</v>
      </c>
      <c r="I57" s="302">
        <f>SUMIF(TechnologyDataRaw!$L$10:$L$43,"1"&amp;$B57,TechnologyDataRaw!T$10:T$43)</f>
        <v>0</v>
      </c>
      <c r="J57" s="302">
        <f>SUMIF(TechnologyDataRaw!$L$10:$L$43,"1"&amp;$B57,TechnologyDataRaw!U$10:U$43)</f>
        <v>0</v>
      </c>
      <c r="K57" s="304">
        <f>SUMIF(TechnologyDataRaw!$L$10:$L$43,"1"&amp;$B57,TechnologyDataRaw!V$10:V$43)</f>
        <v>0</v>
      </c>
      <c r="L57" s="230"/>
      <c r="M57" s="230"/>
      <c r="N57" s="230"/>
      <c r="O57" s="230"/>
      <c r="P57" s="230"/>
      <c r="Q57" s="230">
        <v>1</v>
      </c>
      <c r="R57" s="230">
        <v>1</v>
      </c>
      <c r="S57" s="230">
        <v>1</v>
      </c>
      <c r="T57" s="230">
        <v>1</v>
      </c>
      <c r="U57" s="230">
        <v>1</v>
      </c>
      <c r="V57" s="230">
        <v>1</v>
      </c>
      <c r="W57" s="230">
        <v>1</v>
      </c>
      <c r="X57" s="230">
        <v>1</v>
      </c>
      <c r="Y57" s="230">
        <v>1</v>
      </c>
      <c r="Z57" s="230">
        <v>1</v>
      </c>
      <c r="AA57" s="230">
        <v>1</v>
      </c>
      <c r="AB57" s="230">
        <v>1</v>
      </c>
      <c r="AC57" s="230">
        <v>1</v>
      </c>
      <c r="AD57" s="230">
        <v>1</v>
      </c>
      <c r="AE57" s="230">
        <v>1</v>
      </c>
      <c r="AF57" s="230">
        <v>1</v>
      </c>
      <c r="AG57" s="230">
        <v>1</v>
      </c>
      <c r="AH57" s="230">
        <v>1</v>
      </c>
      <c r="AI57" s="230">
        <v>1</v>
      </c>
      <c r="AJ57" s="230">
        <v>1</v>
      </c>
      <c r="AK57" s="230">
        <v>1</v>
      </c>
      <c r="AL57" s="230">
        <v>1</v>
      </c>
      <c r="AM57" s="230">
        <v>1</v>
      </c>
      <c r="AN57" s="230">
        <v>1</v>
      </c>
      <c r="AO57" s="230">
        <v>1</v>
      </c>
      <c r="AP57" s="230">
        <v>1</v>
      </c>
      <c r="AQ57" s="230">
        <v>1</v>
      </c>
      <c r="AR57" s="230">
        <v>1</v>
      </c>
      <c r="AS57" s="230">
        <v>1</v>
      </c>
      <c r="AT57" s="230">
        <v>1</v>
      </c>
      <c r="AU57" s="230">
        <v>1</v>
      </c>
      <c r="AV57" s="230">
        <v>1</v>
      </c>
      <c r="AW57" s="230">
        <v>1</v>
      </c>
      <c r="AX57" s="230">
        <v>1</v>
      </c>
      <c r="AY57" s="230">
        <v>1</v>
      </c>
      <c r="AZ57" s="230">
        <v>1</v>
      </c>
      <c r="BA57" s="230">
        <v>1</v>
      </c>
      <c r="BB57" s="230">
        <v>1</v>
      </c>
      <c r="BC57" s="230">
        <v>1</v>
      </c>
      <c r="BD57" s="230">
        <v>1</v>
      </c>
      <c r="BE57" s="230">
        <v>1</v>
      </c>
      <c r="BF57" s="230">
        <v>1</v>
      </c>
      <c r="BG57" s="230">
        <v>1</v>
      </c>
      <c r="BH57" s="230">
        <v>1</v>
      </c>
      <c r="BI57" s="230">
        <v>1</v>
      </c>
      <c r="BJ57" s="230">
        <v>1</v>
      </c>
      <c r="BK57" s="230">
        <v>1</v>
      </c>
      <c r="BL57" s="230">
        <v>1</v>
      </c>
      <c r="BM57" s="230">
        <v>1</v>
      </c>
      <c r="BN57" s="230">
        <v>1</v>
      </c>
      <c r="BO57" s="230">
        <v>1</v>
      </c>
      <c r="BP57" s="230">
        <v>1</v>
      </c>
      <c r="BQ57" s="230">
        <v>1</v>
      </c>
    </row>
    <row r="58" spans="2:69">
      <c r="B58" s="36" t="s">
        <v>113</v>
      </c>
      <c r="C58" s="21"/>
      <c r="D58" s="9">
        <f>SUMIF(TechnologyDataRaw!$L$10:$L$43,"1"&amp;$B58,TechnologyDataRaw!N$10:N$43)</f>
        <v>13009.587991832161</v>
      </c>
      <c r="E58" s="72">
        <f>SUMIF(TechnologyDataRaw!$L$10:$L$43,"1"&amp;$B58,TechnologyDataRaw!O$10:O$43)</f>
        <v>57.819628853115084</v>
      </c>
      <c r="F58" s="72">
        <f>SUMIF(TechnologyDataRaw!$L$10:$L$43,"1"&amp;$B58,TechnologyDataRaw!P$10:P$43)</f>
        <v>0</v>
      </c>
      <c r="G58" s="12">
        <f>SUMIF(TechnologyDataRaw!$L$10:$L$43,"1"&amp;$B58,TechnologyDataRaw!R$10:R$43)</f>
        <v>0.72998000000000007</v>
      </c>
      <c r="H58" s="12">
        <f>SUMIF(TechnologyDataRaw!$L$10:$L$43,"1"&amp;$B58,TechnologyDataRaw!S$10:S$43)</f>
        <v>0.22368649211028269</v>
      </c>
      <c r="I58" s="9">
        <f>SUMIF(TechnologyDataRaw!$L$10:$L$43,"1"&amp;$B58,TechnologyDataRaw!T$10:T$43)</f>
        <v>50</v>
      </c>
      <c r="J58" s="9">
        <f>SUMIF(TechnologyDataRaw!$L$10:$L$43,"1"&amp;$B58,TechnologyDataRaw!U$10:U$43)</f>
        <v>333</v>
      </c>
      <c r="K58" s="26">
        <f>SUMIF(TechnologyDataRaw!$L$10:$L$43,"1"&amp;$B58,TechnologyDataRaw!V$10:V$43)</f>
        <v>2.9000000000000001E-2</v>
      </c>
      <c r="Q58">
        <v>1</v>
      </c>
      <c r="R58">
        <v>1</v>
      </c>
      <c r="S58">
        <v>1</v>
      </c>
      <c r="T58">
        <v>1</v>
      </c>
      <c r="U58">
        <v>1</v>
      </c>
      <c r="V58">
        <v>1</v>
      </c>
      <c r="W58">
        <v>1</v>
      </c>
      <c r="X58">
        <v>1</v>
      </c>
      <c r="Y58">
        <v>1</v>
      </c>
      <c r="Z58">
        <v>1</v>
      </c>
      <c r="AA58">
        <v>1</v>
      </c>
      <c r="AB58">
        <v>1</v>
      </c>
      <c r="AC58">
        <v>1</v>
      </c>
      <c r="AD58">
        <v>1</v>
      </c>
      <c r="AE58">
        <v>1</v>
      </c>
      <c r="AF58">
        <v>1</v>
      </c>
      <c r="AG58">
        <v>1</v>
      </c>
      <c r="AH58">
        <v>1</v>
      </c>
      <c r="AI58">
        <v>1</v>
      </c>
      <c r="AJ58">
        <v>1</v>
      </c>
      <c r="AK58">
        <v>1</v>
      </c>
      <c r="AL58">
        <v>1</v>
      </c>
      <c r="AM58">
        <v>1</v>
      </c>
      <c r="AN58">
        <v>1</v>
      </c>
      <c r="AO58">
        <v>1</v>
      </c>
      <c r="AP58">
        <v>1</v>
      </c>
      <c r="AQ58">
        <v>1</v>
      </c>
      <c r="AR58">
        <v>1</v>
      </c>
      <c r="AS58">
        <v>1</v>
      </c>
      <c r="AT58">
        <v>1</v>
      </c>
      <c r="AU58">
        <v>1</v>
      </c>
      <c r="AV58">
        <v>1</v>
      </c>
      <c r="AW58">
        <v>1</v>
      </c>
      <c r="AX58">
        <v>1</v>
      </c>
      <c r="AY58">
        <v>1</v>
      </c>
      <c r="AZ58">
        <v>1</v>
      </c>
      <c r="BA58">
        <v>1</v>
      </c>
      <c r="BB58">
        <v>1</v>
      </c>
      <c r="BC58">
        <v>1</v>
      </c>
      <c r="BD58">
        <v>1</v>
      </c>
      <c r="BE58">
        <v>1</v>
      </c>
      <c r="BF58">
        <v>1</v>
      </c>
      <c r="BG58">
        <v>1</v>
      </c>
      <c r="BH58">
        <v>1</v>
      </c>
      <c r="BI58">
        <v>1</v>
      </c>
      <c r="BJ58">
        <v>1</v>
      </c>
      <c r="BK58">
        <v>1</v>
      </c>
      <c r="BL58">
        <v>1</v>
      </c>
      <c r="BM58">
        <v>1</v>
      </c>
      <c r="BN58">
        <v>1</v>
      </c>
      <c r="BO58">
        <v>1</v>
      </c>
      <c r="BP58">
        <v>1</v>
      </c>
      <c r="BQ58">
        <v>1</v>
      </c>
    </row>
    <row r="59" spans="2:69">
      <c r="B59" s="36" t="s">
        <v>114</v>
      </c>
      <c r="C59" s="11" t="s">
        <v>85</v>
      </c>
      <c r="D59" s="9">
        <f>SUMIF(TechnologyDataRaw!$L$10:$L$43,"1"&amp;$B59,TechnologyDataRaw!N$10:N$43)</f>
        <v>0</v>
      </c>
      <c r="E59" s="72">
        <f>SUMIF(TechnologyDataRaw!$L$10:$L$43,"1"&amp;$B59,TechnologyDataRaw!O$10:O$43)</f>
        <v>0</v>
      </c>
      <c r="F59" s="72">
        <f>SUMIF(TechnologyDataRaw!$L$10:$L$43,"1"&amp;$B59,TechnologyDataRaw!P$10:P$43)</f>
        <v>0</v>
      </c>
      <c r="G59" s="12">
        <f>SUMIF(TechnologyDataRaw!$L$10:$L$43,"1"&amp;$B59,TechnologyDataRaw!R$10:R$43)</f>
        <v>0</v>
      </c>
      <c r="H59" s="12">
        <f>SUMIF(TechnologyDataRaw!$L$10:$L$43,"1"&amp;$B59,TechnologyDataRaw!S$10:S$43)</f>
        <v>0</v>
      </c>
      <c r="I59" s="9">
        <f>SUMIF(TechnologyDataRaw!$L$10:$L$43,"1"&amp;$B59,TechnologyDataRaw!T$10:T$43)</f>
        <v>0</v>
      </c>
      <c r="J59" s="9">
        <f>SUMIF(TechnologyDataRaw!$L$10:$L$43,"1"&amp;$B59,TechnologyDataRaw!U$10:U$43)</f>
        <v>0</v>
      </c>
      <c r="K59" s="26">
        <f>SUMIF(TechnologyDataRaw!$L$10:$L$43,"1"&amp;$B59,TechnologyDataRaw!V$10:V$43)</f>
        <v>0</v>
      </c>
      <c r="L59">
        <v>1</v>
      </c>
      <c r="Q59">
        <v>1</v>
      </c>
      <c r="R59">
        <v>1</v>
      </c>
      <c r="S59">
        <v>1</v>
      </c>
      <c r="T59">
        <v>1</v>
      </c>
      <c r="U59">
        <v>1</v>
      </c>
      <c r="V59">
        <v>1</v>
      </c>
      <c r="W59">
        <v>1</v>
      </c>
      <c r="X59">
        <v>1</v>
      </c>
      <c r="Y59">
        <v>1</v>
      </c>
      <c r="Z59">
        <v>1</v>
      </c>
      <c r="AA59">
        <v>1</v>
      </c>
      <c r="AB59">
        <v>1</v>
      </c>
      <c r="AC59">
        <v>1</v>
      </c>
      <c r="AD59">
        <v>1</v>
      </c>
      <c r="AE59">
        <v>1</v>
      </c>
      <c r="AF59">
        <v>1</v>
      </c>
      <c r="AG59">
        <v>1</v>
      </c>
      <c r="AH59">
        <v>1</v>
      </c>
      <c r="AI59">
        <v>1</v>
      </c>
      <c r="AJ59">
        <v>1</v>
      </c>
      <c r="AK59">
        <v>1</v>
      </c>
      <c r="AL59">
        <v>1</v>
      </c>
      <c r="AM59">
        <v>1</v>
      </c>
      <c r="AN59">
        <v>1</v>
      </c>
      <c r="AO59">
        <v>1</v>
      </c>
      <c r="AP59">
        <v>1</v>
      </c>
      <c r="AQ59">
        <v>1</v>
      </c>
      <c r="AR59">
        <v>1</v>
      </c>
      <c r="AS59">
        <v>1</v>
      </c>
      <c r="AT59">
        <v>1</v>
      </c>
      <c r="AU59">
        <v>1</v>
      </c>
      <c r="AV59">
        <v>1</v>
      </c>
      <c r="AW59">
        <v>1</v>
      </c>
      <c r="AX59">
        <v>1</v>
      </c>
      <c r="AY59">
        <v>1</v>
      </c>
      <c r="AZ59">
        <v>1</v>
      </c>
      <c r="BA59">
        <v>1</v>
      </c>
      <c r="BB59">
        <v>1</v>
      </c>
      <c r="BC59">
        <v>1</v>
      </c>
      <c r="BD59">
        <v>1</v>
      </c>
      <c r="BE59">
        <v>1</v>
      </c>
      <c r="BF59">
        <v>1</v>
      </c>
      <c r="BG59">
        <v>1</v>
      </c>
      <c r="BH59">
        <v>1</v>
      </c>
      <c r="BI59">
        <v>1</v>
      </c>
      <c r="BJ59">
        <v>1</v>
      </c>
      <c r="BK59">
        <v>1</v>
      </c>
      <c r="BL59">
        <v>1</v>
      </c>
      <c r="BM59">
        <v>1</v>
      </c>
      <c r="BN59">
        <v>1</v>
      </c>
      <c r="BO59">
        <v>1</v>
      </c>
      <c r="BP59">
        <v>1</v>
      </c>
      <c r="BQ59">
        <v>1</v>
      </c>
    </row>
    <row r="60" spans="2:69">
      <c r="B60" s="36" t="s">
        <v>115</v>
      </c>
      <c r="C60" s="11" t="s">
        <v>85</v>
      </c>
      <c r="D60" s="9">
        <f>SUMIF(TechnologyDataRaw!$L$10:$L$43,"1"&amp;$B60,TechnologyDataRaw!N$10:N$43)</f>
        <v>0</v>
      </c>
      <c r="E60" s="72">
        <f>SUMIF(TechnologyDataRaw!$L$10:$L$43,"1"&amp;$B60,TechnologyDataRaw!O$10:O$43)</f>
        <v>0</v>
      </c>
      <c r="F60" s="72">
        <f>SUMIF(TechnologyDataRaw!$L$10:$L$43,"1"&amp;$B60,TechnologyDataRaw!P$10:P$43)</f>
        <v>0</v>
      </c>
      <c r="G60" s="12">
        <f>SUMIF(TechnologyDataRaw!$L$10:$L$43,"1"&amp;$B60,TechnologyDataRaw!R$10:R$43)</f>
        <v>0</v>
      </c>
      <c r="H60" s="12">
        <f>SUMIF(TechnologyDataRaw!$L$10:$L$43,"1"&amp;$B60,TechnologyDataRaw!S$10:S$43)</f>
        <v>0</v>
      </c>
      <c r="I60" s="9">
        <f>SUMIF(TechnologyDataRaw!$L$10:$L$43,"1"&amp;$B60,TechnologyDataRaw!T$10:T$43)</f>
        <v>0</v>
      </c>
      <c r="J60" s="9">
        <f>SUMIF(TechnologyDataRaw!$L$10:$L$43,"1"&amp;$B60,TechnologyDataRaw!U$10:U$43)</f>
        <v>0</v>
      </c>
      <c r="K60" s="26">
        <f>SUMIF(TechnologyDataRaw!$L$10:$L$43,"1"&amp;$B60,TechnologyDataRaw!V$10:V$43)</f>
        <v>0</v>
      </c>
      <c r="L60">
        <v>1</v>
      </c>
      <c r="Q60">
        <v>1</v>
      </c>
      <c r="R60">
        <v>1</v>
      </c>
      <c r="S60">
        <v>1</v>
      </c>
      <c r="T60">
        <v>1</v>
      </c>
      <c r="U60">
        <v>1</v>
      </c>
      <c r="V60">
        <v>1</v>
      </c>
      <c r="W60">
        <v>1</v>
      </c>
      <c r="X60">
        <v>1</v>
      </c>
      <c r="Y60">
        <v>1</v>
      </c>
      <c r="Z60">
        <v>1</v>
      </c>
      <c r="AA60">
        <v>1</v>
      </c>
      <c r="AB60">
        <v>1</v>
      </c>
      <c r="AC60">
        <v>1</v>
      </c>
      <c r="AD60">
        <v>1</v>
      </c>
      <c r="AE60">
        <v>1</v>
      </c>
      <c r="AF60">
        <v>1</v>
      </c>
      <c r="AG60">
        <v>1</v>
      </c>
      <c r="AH60">
        <v>1</v>
      </c>
      <c r="AI60">
        <v>1</v>
      </c>
      <c r="AJ60">
        <v>1</v>
      </c>
      <c r="AK60">
        <v>1</v>
      </c>
      <c r="AL60">
        <v>1</v>
      </c>
      <c r="AM60">
        <v>1</v>
      </c>
      <c r="AN60">
        <v>1</v>
      </c>
      <c r="AO60">
        <v>1</v>
      </c>
      <c r="AP60">
        <v>1</v>
      </c>
      <c r="AQ60">
        <v>1</v>
      </c>
      <c r="AR60">
        <v>1</v>
      </c>
      <c r="AS60">
        <v>1</v>
      </c>
      <c r="AT60">
        <v>1</v>
      </c>
      <c r="AU60">
        <v>1</v>
      </c>
      <c r="AV60">
        <v>1</v>
      </c>
      <c r="AW60">
        <v>1</v>
      </c>
      <c r="AX60">
        <v>1</v>
      </c>
      <c r="AY60">
        <v>1</v>
      </c>
      <c r="AZ60">
        <v>1</v>
      </c>
      <c r="BA60">
        <v>1</v>
      </c>
      <c r="BB60">
        <v>1</v>
      </c>
      <c r="BC60">
        <v>1</v>
      </c>
      <c r="BD60">
        <v>1</v>
      </c>
      <c r="BE60">
        <v>1</v>
      </c>
      <c r="BF60">
        <v>1</v>
      </c>
      <c r="BG60">
        <v>1</v>
      </c>
      <c r="BH60">
        <v>1</v>
      </c>
      <c r="BI60">
        <v>1</v>
      </c>
      <c r="BJ60">
        <v>1</v>
      </c>
      <c r="BK60">
        <v>1</v>
      </c>
      <c r="BL60">
        <v>1</v>
      </c>
      <c r="BM60">
        <v>1</v>
      </c>
      <c r="BN60">
        <v>1</v>
      </c>
      <c r="BO60">
        <v>1</v>
      </c>
      <c r="BP60">
        <v>1</v>
      </c>
      <c r="BQ60">
        <v>1</v>
      </c>
    </row>
    <row r="61" spans="2:69">
      <c r="B61" s="36" t="s">
        <v>116</v>
      </c>
      <c r="C61" s="11" t="s">
        <v>85</v>
      </c>
      <c r="D61" s="9">
        <f>SUMIF(TechnologyDataRaw!$L$10:$L$43,"1"&amp;$B61,TechnologyDataRaw!N$10:N$43)</f>
        <v>0</v>
      </c>
      <c r="E61" s="72">
        <f>SUMIF(TechnologyDataRaw!$L$10:$L$43,"1"&amp;$B61,TechnologyDataRaw!O$10:O$43)</f>
        <v>0</v>
      </c>
      <c r="F61" s="72">
        <f>SUMIF(TechnologyDataRaw!$L$10:$L$43,"1"&amp;$B61,TechnologyDataRaw!P$10:P$43)</f>
        <v>0</v>
      </c>
      <c r="G61" s="12">
        <f>SUMIF(TechnologyDataRaw!$L$10:$L$43,"1"&amp;$B61,TechnologyDataRaw!R$10:R$43)</f>
        <v>0</v>
      </c>
      <c r="H61" s="12">
        <f>SUMIF(TechnologyDataRaw!$L$10:$L$43,"1"&amp;$B61,TechnologyDataRaw!S$10:S$43)</f>
        <v>0</v>
      </c>
      <c r="I61" s="9">
        <f>SUMIF(TechnologyDataRaw!$L$10:$L$43,"1"&amp;$B61,TechnologyDataRaw!T$10:T$43)</f>
        <v>0</v>
      </c>
      <c r="J61" s="9">
        <f>SUMIF(TechnologyDataRaw!$L$10:$L$43,"1"&amp;$B61,TechnologyDataRaw!U$10:U$43)</f>
        <v>0</v>
      </c>
      <c r="K61" s="26">
        <f>SUMIF(TechnologyDataRaw!$L$10:$L$43,"1"&amp;$B61,TechnologyDataRaw!V$10:V$43)</f>
        <v>0</v>
      </c>
      <c r="L61">
        <v>1</v>
      </c>
      <c r="Q61">
        <v>1</v>
      </c>
      <c r="R61">
        <v>1</v>
      </c>
      <c r="S61">
        <v>1</v>
      </c>
      <c r="T61">
        <v>1</v>
      </c>
      <c r="U61">
        <v>1</v>
      </c>
      <c r="V61">
        <v>1</v>
      </c>
      <c r="W61">
        <v>1</v>
      </c>
      <c r="X61">
        <v>1</v>
      </c>
      <c r="Y61">
        <v>1</v>
      </c>
      <c r="Z61">
        <v>1</v>
      </c>
      <c r="AA61">
        <v>1</v>
      </c>
      <c r="AB61">
        <v>1</v>
      </c>
      <c r="AC61">
        <v>1</v>
      </c>
      <c r="AD61">
        <v>1</v>
      </c>
      <c r="AE61">
        <v>1</v>
      </c>
      <c r="AF61">
        <v>1</v>
      </c>
      <c r="AG61">
        <v>1</v>
      </c>
      <c r="AH61">
        <v>1</v>
      </c>
      <c r="AI61">
        <v>1</v>
      </c>
      <c r="AJ61">
        <v>1</v>
      </c>
      <c r="AK61">
        <v>1</v>
      </c>
      <c r="AL61">
        <v>1</v>
      </c>
      <c r="AM61">
        <v>1</v>
      </c>
      <c r="AN61">
        <v>1</v>
      </c>
      <c r="AO61">
        <v>1</v>
      </c>
      <c r="AP61">
        <v>1</v>
      </c>
      <c r="AQ61">
        <v>1</v>
      </c>
      <c r="AR61">
        <v>1</v>
      </c>
      <c r="AS61">
        <v>1</v>
      </c>
      <c r="AT61">
        <v>1</v>
      </c>
      <c r="AU61">
        <v>1</v>
      </c>
      <c r="AV61">
        <v>1</v>
      </c>
      <c r="AW61">
        <v>1</v>
      </c>
      <c r="AX61">
        <v>1</v>
      </c>
      <c r="AY61">
        <v>1</v>
      </c>
      <c r="AZ61">
        <v>1</v>
      </c>
      <c r="BA61">
        <v>1</v>
      </c>
      <c r="BB61">
        <v>1</v>
      </c>
      <c r="BC61">
        <v>1</v>
      </c>
      <c r="BD61">
        <v>1</v>
      </c>
      <c r="BE61">
        <v>1</v>
      </c>
      <c r="BF61">
        <v>1</v>
      </c>
      <c r="BG61">
        <v>1</v>
      </c>
      <c r="BH61">
        <v>1</v>
      </c>
      <c r="BI61">
        <v>1</v>
      </c>
      <c r="BJ61">
        <v>1</v>
      </c>
      <c r="BK61">
        <v>1</v>
      </c>
      <c r="BL61">
        <v>1</v>
      </c>
      <c r="BM61">
        <v>1</v>
      </c>
      <c r="BN61">
        <v>1</v>
      </c>
      <c r="BO61">
        <v>1</v>
      </c>
      <c r="BP61">
        <v>1</v>
      </c>
      <c r="BQ61">
        <v>1</v>
      </c>
    </row>
    <row r="62" spans="2:69">
      <c r="B62" s="36" t="s">
        <v>120</v>
      </c>
      <c r="C62" s="11" t="s">
        <v>78</v>
      </c>
      <c r="D62" s="9">
        <f>SUMIF(TechnologyDataRaw!$L$10:$L$43,"1"&amp;$B62,TechnologyDataRaw!N$10:N$43)</f>
        <v>0</v>
      </c>
      <c r="E62" s="72">
        <f>SUMIF(TechnologyDataRaw!$L$10:$L$43,"1"&amp;$B62,TechnologyDataRaw!O$10:O$43)</f>
        <v>0</v>
      </c>
      <c r="F62" s="72">
        <f>SUMIF(TechnologyDataRaw!$L$10:$L$43,"1"&amp;$B62,TechnologyDataRaw!P$10:P$43)</f>
        <v>0</v>
      </c>
      <c r="G62" s="12">
        <f>SUMIF(TechnologyDataRaw!$L$10:$L$43,"1"&amp;$B62,TechnologyDataRaw!R$10:R$43)</f>
        <v>0</v>
      </c>
      <c r="H62" s="12">
        <f>SUMIF(TechnologyDataRaw!$L$10:$L$43,"1"&amp;$B62,TechnologyDataRaw!S$10:S$43)</f>
        <v>0</v>
      </c>
      <c r="I62" s="9">
        <f>SUMIF(TechnologyDataRaw!$L$10:$L$43,"1"&amp;$B62,TechnologyDataRaw!T$10:T$43)</f>
        <v>0</v>
      </c>
      <c r="J62" s="9">
        <f>SUMIF(TechnologyDataRaw!$L$10:$L$43,"1"&amp;$B62,TechnologyDataRaw!U$10:U$43)</f>
        <v>0</v>
      </c>
      <c r="K62" s="26">
        <f>SUMIF(TechnologyDataRaw!$L$10:$L$43,"1"&amp;$B62,TechnologyDataRaw!V$10:V$43)</f>
        <v>0</v>
      </c>
      <c r="M62">
        <v>1</v>
      </c>
      <c r="Q62">
        <v>1</v>
      </c>
      <c r="R62">
        <v>1</v>
      </c>
      <c r="S62">
        <v>1</v>
      </c>
      <c r="T62">
        <v>1</v>
      </c>
      <c r="U62">
        <v>1</v>
      </c>
      <c r="V62">
        <v>1</v>
      </c>
      <c r="W62">
        <v>1</v>
      </c>
      <c r="X62">
        <v>1</v>
      </c>
      <c r="Y62">
        <v>1</v>
      </c>
      <c r="Z62">
        <v>1</v>
      </c>
      <c r="AA62">
        <v>1</v>
      </c>
      <c r="AB62">
        <v>1</v>
      </c>
      <c r="AC62">
        <v>1</v>
      </c>
      <c r="AD62">
        <v>1</v>
      </c>
      <c r="AE62">
        <v>1</v>
      </c>
      <c r="AF62">
        <v>1</v>
      </c>
      <c r="AG62">
        <v>1</v>
      </c>
      <c r="AH62">
        <v>1</v>
      </c>
      <c r="AI62">
        <v>1</v>
      </c>
      <c r="AJ62">
        <v>1</v>
      </c>
      <c r="AK62">
        <v>1</v>
      </c>
      <c r="AL62">
        <v>1</v>
      </c>
      <c r="AM62">
        <v>1</v>
      </c>
      <c r="AN62">
        <v>1</v>
      </c>
      <c r="AO62">
        <v>1</v>
      </c>
      <c r="AP62">
        <v>1</v>
      </c>
      <c r="AQ62">
        <v>1</v>
      </c>
      <c r="AR62">
        <v>1</v>
      </c>
      <c r="AS62">
        <v>1</v>
      </c>
      <c r="AT62">
        <v>1</v>
      </c>
      <c r="AU62">
        <v>1</v>
      </c>
      <c r="AV62">
        <v>1</v>
      </c>
      <c r="AW62">
        <v>1</v>
      </c>
      <c r="AX62">
        <v>1</v>
      </c>
      <c r="AY62">
        <v>1</v>
      </c>
      <c r="AZ62">
        <v>1</v>
      </c>
      <c r="BA62">
        <v>1</v>
      </c>
      <c r="BB62">
        <v>1</v>
      </c>
      <c r="BC62">
        <v>1</v>
      </c>
      <c r="BD62">
        <v>1</v>
      </c>
      <c r="BE62">
        <v>1</v>
      </c>
      <c r="BF62">
        <v>1</v>
      </c>
      <c r="BG62">
        <v>1</v>
      </c>
      <c r="BH62">
        <v>1</v>
      </c>
      <c r="BI62">
        <v>1</v>
      </c>
      <c r="BJ62">
        <v>1</v>
      </c>
      <c r="BK62">
        <v>1</v>
      </c>
      <c r="BL62">
        <v>1</v>
      </c>
      <c r="BM62">
        <v>1</v>
      </c>
      <c r="BN62">
        <v>1</v>
      </c>
      <c r="BO62">
        <v>1</v>
      </c>
      <c r="BP62">
        <v>1</v>
      </c>
      <c r="BQ62">
        <v>1</v>
      </c>
    </row>
    <row r="63" spans="2:69">
      <c r="B63" s="36" t="s">
        <v>117</v>
      </c>
      <c r="C63" t="s">
        <v>117</v>
      </c>
      <c r="D63" s="9">
        <f>SUMIF(TechnologyDataRaw!$L$10:$L$43,"1"&amp;$B63,TechnologyDataRaw!N$10:N$43)</f>
        <v>0</v>
      </c>
      <c r="E63" s="72">
        <f>SUMIF(TechnologyDataRaw!$L$10:$L$43,"1"&amp;$B63,TechnologyDataRaw!O$10:O$43)</f>
        <v>0</v>
      </c>
      <c r="F63" s="72">
        <f>SUMIF(TechnologyDataRaw!$L$10:$L$43,"1"&amp;$B63,TechnologyDataRaw!P$10:P$43)</f>
        <v>0</v>
      </c>
      <c r="G63" s="12">
        <f>SUMIF(TechnologyDataRaw!$L$10:$L$43,"1"&amp;$B63,TechnologyDataRaw!R$10:R$43)</f>
        <v>0</v>
      </c>
      <c r="H63" s="12">
        <f>SUMIF(TechnologyDataRaw!$L$10:$L$43,"1"&amp;$B63,TechnologyDataRaw!S$10:S$43)</f>
        <v>0</v>
      </c>
      <c r="I63" s="9">
        <f>SUMIF(TechnologyDataRaw!$L$10:$L$43,"1"&amp;$B63,TechnologyDataRaw!T$10:T$43)</f>
        <v>0</v>
      </c>
      <c r="J63" s="9">
        <f>SUMIF(TechnologyDataRaw!$L$10:$L$43,"1"&amp;$B63,TechnologyDataRaw!U$10:U$43)</f>
        <v>0</v>
      </c>
      <c r="K63" s="26">
        <f>SUMIF(TechnologyDataRaw!$L$10:$L$43,"1"&amp;$B63,TechnologyDataRaw!V$10:V$43)</f>
        <v>0</v>
      </c>
      <c r="Q63">
        <v>1</v>
      </c>
      <c r="R63">
        <v>1</v>
      </c>
      <c r="S63">
        <v>1</v>
      </c>
      <c r="T63">
        <v>1</v>
      </c>
      <c r="U63">
        <v>1</v>
      </c>
      <c r="V63">
        <v>1</v>
      </c>
      <c r="W63">
        <v>1</v>
      </c>
      <c r="X63">
        <v>1</v>
      </c>
      <c r="Y63">
        <v>1</v>
      </c>
      <c r="Z63">
        <v>1</v>
      </c>
      <c r="AA63">
        <v>1</v>
      </c>
      <c r="AB63">
        <v>1</v>
      </c>
      <c r="AC63">
        <v>1</v>
      </c>
      <c r="AD63">
        <v>1</v>
      </c>
      <c r="AE63">
        <v>1</v>
      </c>
      <c r="AF63">
        <v>1</v>
      </c>
      <c r="AG63">
        <v>1</v>
      </c>
      <c r="AH63">
        <v>1</v>
      </c>
      <c r="AI63">
        <v>1</v>
      </c>
      <c r="AJ63">
        <v>1</v>
      </c>
      <c r="AK63">
        <v>1</v>
      </c>
      <c r="AL63">
        <v>1</v>
      </c>
      <c r="AM63">
        <v>1</v>
      </c>
      <c r="AN63">
        <v>1</v>
      </c>
      <c r="AO63">
        <v>1</v>
      </c>
      <c r="AP63">
        <v>1</v>
      </c>
      <c r="AQ63">
        <v>1</v>
      </c>
      <c r="AR63">
        <v>1</v>
      </c>
      <c r="AS63">
        <v>1</v>
      </c>
      <c r="AT63">
        <v>1</v>
      </c>
      <c r="AU63">
        <v>1</v>
      </c>
      <c r="AV63">
        <v>1</v>
      </c>
      <c r="AW63">
        <v>1</v>
      </c>
      <c r="AX63">
        <v>1</v>
      </c>
      <c r="AY63">
        <v>1</v>
      </c>
      <c r="AZ63">
        <v>1</v>
      </c>
      <c r="BA63">
        <v>1</v>
      </c>
      <c r="BB63">
        <v>1</v>
      </c>
      <c r="BC63">
        <v>1</v>
      </c>
      <c r="BD63">
        <v>1</v>
      </c>
      <c r="BE63">
        <v>1</v>
      </c>
      <c r="BF63">
        <v>1</v>
      </c>
      <c r="BG63">
        <v>1</v>
      </c>
      <c r="BH63">
        <v>1</v>
      </c>
      <c r="BI63">
        <v>1</v>
      </c>
      <c r="BJ63">
        <v>1</v>
      </c>
      <c r="BK63">
        <v>1</v>
      </c>
      <c r="BL63">
        <v>1</v>
      </c>
      <c r="BM63">
        <v>1</v>
      </c>
      <c r="BN63">
        <v>1</v>
      </c>
      <c r="BO63">
        <v>1</v>
      </c>
      <c r="BP63">
        <v>1</v>
      </c>
      <c r="BQ63">
        <v>1</v>
      </c>
    </row>
    <row r="66" spans="2:52">
      <c r="B66" s="44" t="s">
        <v>125</v>
      </c>
      <c r="D66" s="4" t="s">
        <v>214</v>
      </c>
      <c r="J66" t="s">
        <v>594</v>
      </c>
    </row>
    <row r="67" spans="2:52">
      <c r="B67" s="4" t="s">
        <v>102</v>
      </c>
      <c r="C67" s="4" t="s">
        <v>98</v>
      </c>
      <c r="D67" s="4" t="s">
        <v>9</v>
      </c>
      <c r="E67" s="4" t="s">
        <v>11</v>
      </c>
      <c r="F67" s="4" t="s">
        <v>10</v>
      </c>
      <c r="G67" s="4" t="s">
        <v>13</v>
      </c>
      <c r="H67" s="4" t="s">
        <v>12</v>
      </c>
      <c r="I67" s="4" t="s">
        <v>126</v>
      </c>
      <c r="J67" s="4">
        <f>Q37</f>
        <v>2008</v>
      </c>
      <c r="K67" s="4">
        <f t="shared" ref="K67:AF67" si="6">R37</f>
        <v>2009</v>
      </c>
      <c r="L67" s="4">
        <f t="shared" si="6"/>
        <v>2010</v>
      </c>
      <c r="M67" s="4">
        <f t="shared" si="6"/>
        <v>2011</v>
      </c>
      <c r="N67" s="4">
        <f t="shared" si="6"/>
        <v>2012</v>
      </c>
      <c r="O67" s="4">
        <f t="shared" si="6"/>
        <v>2013</v>
      </c>
      <c r="P67" s="4">
        <f t="shared" si="6"/>
        <v>2014</v>
      </c>
      <c r="Q67" s="4">
        <f t="shared" si="6"/>
        <v>2015</v>
      </c>
      <c r="R67" s="4">
        <f t="shared" si="6"/>
        <v>2016</v>
      </c>
      <c r="S67" s="4">
        <f t="shared" si="6"/>
        <v>2017</v>
      </c>
      <c r="T67" s="4">
        <f t="shared" si="6"/>
        <v>2018</v>
      </c>
      <c r="U67" s="4">
        <f t="shared" si="6"/>
        <v>2019</v>
      </c>
      <c r="V67" s="4">
        <f t="shared" si="6"/>
        <v>2020</v>
      </c>
      <c r="W67" s="4">
        <f t="shared" si="6"/>
        <v>2021</v>
      </c>
      <c r="X67" s="4">
        <f t="shared" si="6"/>
        <v>2022</v>
      </c>
      <c r="Y67" s="4">
        <f t="shared" si="6"/>
        <v>2023</v>
      </c>
      <c r="Z67" s="4">
        <f t="shared" si="6"/>
        <v>2024</v>
      </c>
      <c r="AA67" s="4">
        <f t="shared" si="6"/>
        <v>2025</v>
      </c>
      <c r="AB67" s="4">
        <f t="shared" si="6"/>
        <v>2026</v>
      </c>
      <c r="AC67" s="4">
        <f t="shared" si="6"/>
        <v>2027</v>
      </c>
      <c r="AD67" s="4">
        <f t="shared" si="6"/>
        <v>2028</v>
      </c>
      <c r="AE67" s="4">
        <f t="shared" si="6"/>
        <v>2029</v>
      </c>
      <c r="AF67" s="4">
        <f t="shared" si="6"/>
        <v>2030</v>
      </c>
      <c r="AG67" s="4">
        <f t="shared" ref="AG67:AZ67" si="7">AN37</f>
        <v>2031</v>
      </c>
      <c r="AH67" s="4">
        <f t="shared" si="7"/>
        <v>2032</v>
      </c>
      <c r="AI67" s="4">
        <f t="shared" si="7"/>
        <v>2033</v>
      </c>
      <c r="AJ67" s="4">
        <f t="shared" si="7"/>
        <v>2034</v>
      </c>
      <c r="AK67" s="4">
        <f t="shared" si="7"/>
        <v>2035</v>
      </c>
      <c r="AL67" s="4">
        <f t="shared" si="7"/>
        <v>2036</v>
      </c>
      <c r="AM67" s="4">
        <f t="shared" si="7"/>
        <v>2037</v>
      </c>
      <c r="AN67" s="4">
        <f t="shared" si="7"/>
        <v>2038</v>
      </c>
      <c r="AO67" s="4">
        <f t="shared" si="7"/>
        <v>2039</v>
      </c>
      <c r="AP67" s="4">
        <f t="shared" si="7"/>
        <v>2040</v>
      </c>
      <c r="AQ67" s="4">
        <f t="shared" si="7"/>
        <v>2041</v>
      </c>
      <c r="AR67" s="4">
        <f t="shared" si="7"/>
        <v>2042</v>
      </c>
      <c r="AS67" s="4">
        <f t="shared" si="7"/>
        <v>2043</v>
      </c>
      <c r="AT67" s="4">
        <f t="shared" si="7"/>
        <v>2044</v>
      </c>
      <c r="AU67" s="4">
        <f t="shared" si="7"/>
        <v>2045</v>
      </c>
      <c r="AV67" s="4">
        <f t="shared" si="7"/>
        <v>2046</v>
      </c>
      <c r="AW67" s="4">
        <f t="shared" si="7"/>
        <v>2047</v>
      </c>
      <c r="AX67" s="4">
        <f t="shared" si="7"/>
        <v>2048</v>
      </c>
      <c r="AY67" s="4">
        <f t="shared" si="7"/>
        <v>2049</v>
      </c>
      <c r="AZ67" s="4">
        <f t="shared" si="7"/>
        <v>2050</v>
      </c>
    </row>
    <row r="68" spans="2:52">
      <c r="B68" t="str">
        <f>B6</f>
        <v>Existing coal Large</v>
      </c>
      <c r="C68" t="str">
        <f>C6</f>
        <v>Existing coal large</v>
      </c>
      <c r="D68" s="37">
        <f t="shared" ref="D68:D87" si="8">SUMIF($B$38:$B$63,$C68,L$38:L$63)</f>
        <v>1</v>
      </c>
      <c r="E68" s="37">
        <f t="shared" ref="E68:E87" si="9">SUMIF($B$38:$B$63,$C68,M$38:M$63)</f>
        <v>0</v>
      </c>
      <c r="F68" s="37">
        <f t="shared" ref="F68:F87" si="10">SUMIF($B$38:$B$63,$C68,N$38:N$63)</f>
        <v>0</v>
      </c>
      <c r="G68" s="37">
        <f t="shared" ref="G68:G87" si="11">SUMIF($B$38:$B$63,$C68,O$38:O$63)</f>
        <v>0</v>
      </c>
      <c r="H68" s="37">
        <f t="shared" ref="H68:H87" si="12">SUMIF($B$38:$B$63,$C68,P$38:P$63)</f>
        <v>0</v>
      </c>
      <c r="I68">
        <f t="shared" ref="I68:I87" si="13">D6</f>
        <v>7064.8251352966272</v>
      </c>
      <c r="J68" s="37">
        <f>IF($H$27="Y",$I68*SUMIF($B$38:$B$63,$C68,Q$38:Q$63),$I68)</f>
        <v>7064.8251352966272</v>
      </c>
      <c r="K68" s="37">
        <f>IF($H$27="Y",$I68*SUMIF($B$38:$B$63,$C68,R$38:R$63),$I68)</f>
        <v>7064.8251352966272</v>
      </c>
      <c r="L68" s="37">
        <f t="shared" ref="L68:AZ74" si="14">IF($H$27="Y",$I68*SUMIF($B$38:$B$63,$C68,S$38:S$63),$I68)</f>
        <v>7064.8251352966272</v>
      </c>
      <c r="M68" s="37">
        <f t="shared" si="14"/>
        <v>7064.8251352966272</v>
      </c>
      <c r="N68" s="37">
        <f t="shared" si="14"/>
        <v>7064.8251352966272</v>
      </c>
      <c r="O68" s="37">
        <f t="shared" si="14"/>
        <v>7064.8251352966272</v>
      </c>
      <c r="P68" s="37">
        <f t="shared" si="14"/>
        <v>7064.8251352966272</v>
      </c>
      <c r="Q68" s="37">
        <f t="shared" si="14"/>
        <v>7064.8251352966272</v>
      </c>
      <c r="R68" s="37">
        <f t="shared" si="14"/>
        <v>7064.8251352966272</v>
      </c>
      <c r="S68" s="37">
        <f t="shared" si="14"/>
        <v>7064.8251352966272</v>
      </c>
      <c r="T68" s="37">
        <f t="shared" si="14"/>
        <v>7064.8251352966272</v>
      </c>
      <c r="U68" s="37">
        <f t="shared" si="14"/>
        <v>7064.8251352966272</v>
      </c>
      <c r="V68" s="37">
        <f t="shared" si="14"/>
        <v>7064.8251352966272</v>
      </c>
      <c r="W68" s="37">
        <f t="shared" si="14"/>
        <v>7064.8251352966272</v>
      </c>
      <c r="X68" s="37">
        <f t="shared" si="14"/>
        <v>7064.8251352966272</v>
      </c>
      <c r="Y68" s="37">
        <f t="shared" si="14"/>
        <v>7064.8251352966272</v>
      </c>
      <c r="Z68" s="37">
        <f t="shared" si="14"/>
        <v>7064.8251352966272</v>
      </c>
      <c r="AA68" s="37">
        <f t="shared" si="14"/>
        <v>7064.8251352966272</v>
      </c>
      <c r="AB68" s="37">
        <f t="shared" si="14"/>
        <v>7064.8251352966272</v>
      </c>
      <c r="AC68" s="37">
        <f t="shared" si="14"/>
        <v>7064.8251352966272</v>
      </c>
      <c r="AD68" s="37">
        <f t="shared" si="14"/>
        <v>7064.8251352966272</v>
      </c>
      <c r="AE68" s="37">
        <f t="shared" si="14"/>
        <v>7064.8251352966272</v>
      </c>
      <c r="AF68" s="37">
        <f t="shared" si="14"/>
        <v>7064.8251352966272</v>
      </c>
      <c r="AG68" s="37">
        <f t="shared" si="14"/>
        <v>7064.8251352966272</v>
      </c>
      <c r="AH68" s="37">
        <f t="shared" si="14"/>
        <v>7064.8251352966272</v>
      </c>
      <c r="AI68" s="37">
        <f t="shared" si="14"/>
        <v>7064.8251352966272</v>
      </c>
      <c r="AJ68" s="37">
        <f t="shared" si="14"/>
        <v>7064.8251352966272</v>
      </c>
      <c r="AK68" s="37">
        <f t="shared" si="14"/>
        <v>7064.8251352966272</v>
      </c>
      <c r="AL68" s="37">
        <f t="shared" si="14"/>
        <v>7064.8251352966272</v>
      </c>
      <c r="AM68" s="37">
        <f t="shared" si="14"/>
        <v>7064.8251352966272</v>
      </c>
      <c r="AN68" s="37">
        <f t="shared" si="14"/>
        <v>7064.8251352966272</v>
      </c>
      <c r="AO68" s="37">
        <f t="shared" si="14"/>
        <v>7064.8251352966272</v>
      </c>
      <c r="AP68" s="37">
        <f t="shared" si="14"/>
        <v>7064.8251352966272</v>
      </c>
      <c r="AQ68" s="37">
        <f t="shared" si="14"/>
        <v>7064.8251352966272</v>
      </c>
      <c r="AR68" s="37">
        <f t="shared" si="14"/>
        <v>7064.8251352966272</v>
      </c>
      <c r="AS68" s="37">
        <f t="shared" si="14"/>
        <v>7064.8251352966272</v>
      </c>
      <c r="AT68" s="37">
        <f t="shared" si="14"/>
        <v>7064.8251352966272</v>
      </c>
      <c r="AU68" s="37">
        <f t="shared" si="14"/>
        <v>7064.8251352966272</v>
      </c>
      <c r="AV68" s="37">
        <f t="shared" si="14"/>
        <v>7064.8251352966272</v>
      </c>
      <c r="AW68" s="37">
        <f t="shared" si="14"/>
        <v>7064.8251352966272</v>
      </c>
      <c r="AX68" s="37">
        <f t="shared" si="14"/>
        <v>7064.8251352966272</v>
      </c>
      <c r="AY68" s="37">
        <f t="shared" si="14"/>
        <v>7064.8251352966272</v>
      </c>
      <c r="AZ68" s="37">
        <f t="shared" si="14"/>
        <v>7064.8251352966272</v>
      </c>
    </row>
    <row r="69" spans="2:52">
      <c r="B69" t="str">
        <f t="shared" ref="B69:B87" si="15">B7</f>
        <v>Existing coal Small</v>
      </c>
      <c r="C69" t="str">
        <f t="shared" ref="C69:C87" si="16">C7</f>
        <v>Existing coal small</v>
      </c>
      <c r="D69" s="37">
        <f t="shared" si="8"/>
        <v>1</v>
      </c>
      <c r="E69" s="37">
        <f t="shared" si="9"/>
        <v>0</v>
      </c>
      <c r="F69" s="37">
        <f t="shared" si="10"/>
        <v>0</v>
      </c>
      <c r="G69" s="37">
        <f t="shared" si="11"/>
        <v>0</v>
      </c>
      <c r="H69" s="37">
        <f t="shared" si="12"/>
        <v>0</v>
      </c>
      <c r="I69">
        <f t="shared" si="13"/>
        <v>7064.8251352966272</v>
      </c>
      <c r="J69" s="37">
        <f t="shared" ref="J69:K87" si="17">IF($H$27="Y",$I69*SUMIF($B$38:$B$63,$C69,Q$38:Q$63),$I69)</f>
        <v>7064.8251352966272</v>
      </c>
      <c r="K69" s="37">
        <f t="shared" si="17"/>
        <v>7064.8251352966272</v>
      </c>
      <c r="L69" s="37">
        <f t="shared" si="14"/>
        <v>7064.8251352966272</v>
      </c>
      <c r="M69" s="37">
        <f t="shared" si="14"/>
        <v>7064.8251352966272</v>
      </c>
      <c r="N69" s="37">
        <f t="shared" si="14"/>
        <v>7064.8251352966272</v>
      </c>
      <c r="O69" s="37">
        <f t="shared" si="14"/>
        <v>7064.8251352966272</v>
      </c>
      <c r="P69" s="37">
        <f t="shared" si="14"/>
        <v>7064.8251352966272</v>
      </c>
      <c r="Q69" s="37">
        <f t="shared" si="14"/>
        <v>7064.8251352966272</v>
      </c>
      <c r="R69" s="37">
        <f t="shared" si="14"/>
        <v>7064.8251352966272</v>
      </c>
      <c r="S69" s="37">
        <f t="shared" si="14"/>
        <v>7064.8251352966272</v>
      </c>
      <c r="T69" s="37">
        <f t="shared" si="14"/>
        <v>7064.8251352966272</v>
      </c>
      <c r="U69" s="37">
        <f t="shared" si="14"/>
        <v>7064.8251352966272</v>
      </c>
      <c r="V69" s="37">
        <f t="shared" si="14"/>
        <v>7064.8251352966272</v>
      </c>
      <c r="W69" s="37">
        <f t="shared" si="14"/>
        <v>7064.8251352966272</v>
      </c>
      <c r="X69" s="37">
        <f t="shared" si="14"/>
        <v>7064.8251352966272</v>
      </c>
      <c r="Y69" s="37">
        <f t="shared" si="14"/>
        <v>7064.8251352966272</v>
      </c>
      <c r="Z69" s="37">
        <f t="shared" si="14"/>
        <v>7064.8251352966272</v>
      </c>
      <c r="AA69" s="37">
        <f t="shared" si="14"/>
        <v>7064.8251352966272</v>
      </c>
      <c r="AB69" s="37">
        <f t="shared" si="14"/>
        <v>7064.8251352966272</v>
      </c>
      <c r="AC69" s="37">
        <f t="shared" si="14"/>
        <v>7064.8251352966272</v>
      </c>
      <c r="AD69" s="37">
        <f t="shared" si="14"/>
        <v>7064.8251352966272</v>
      </c>
      <c r="AE69" s="37">
        <f t="shared" si="14"/>
        <v>7064.8251352966272</v>
      </c>
      <c r="AF69" s="37">
        <f t="shared" si="14"/>
        <v>7064.8251352966272</v>
      </c>
      <c r="AG69" s="37">
        <f t="shared" si="14"/>
        <v>7064.8251352966272</v>
      </c>
      <c r="AH69" s="37">
        <f t="shared" si="14"/>
        <v>7064.8251352966272</v>
      </c>
      <c r="AI69" s="37">
        <f t="shared" si="14"/>
        <v>7064.8251352966272</v>
      </c>
      <c r="AJ69" s="37">
        <f t="shared" si="14"/>
        <v>7064.8251352966272</v>
      </c>
      <c r="AK69" s="37">
        <f t="shared" si="14"/>
        <v>7064.8251352966272</v>
      </c>
      <c r="AL69" s="37">
        <f t="shared" si="14"/>
        <v>7064.8251352966272</v>
      </c>
      <c r="AM69" s="37">
        <f t="shared" si="14"/>
        <v>7064.8251352966272</v>
      </c>
      <c r="AN69" s="37">
        <f t="shared" si="14"/>
        <v>7064.8251352966272</v>
      </c>
      <c r="AO69" s="37">
        <f t="shared" si="14"/>
        <v>7064.8251352966272</v>
      </c>
      <c r="AP69" s="37">
        <f t="shared" si="14"/>
        <v>7064.8251352966272</v>
      </c>
      <c r="AQ69" s="37">
        <f t="shared" si="14"/>
        <v>7064.8251352966272</v>
      </c>
      <c r="AR69" s="37">
        <f t="shared" si="14"/>
        <v>7064.8251352966272</v>
      </c>
      <c r="AS69" s="37">
        <f t="shared" si="14"/>
        <v>7064.8251352966272</v>
      </c>
      <c r="AT69" s="37">
        <f t="shared" si="14"/>
        <v>7064.8251352966272</v>
      </c>
      <c r="AU69" s="37">
        <f t="shared" si="14"/>
        <v>7064.8251352966272</v>
      </c>
      <c r="AV69" s="37">
        <f t="shared" si="14"/>
        <v>7064.8251352966272</v>
      </c>
      <c r="AW69" s="37">
        <f t="shared" si="14"/>
        <v>7064.8251352966272</v>
      </c>
      <c r="AX69" s="37">
        <f t="shared" si="14"/>
        <v>7064.8251352966272</v>
      </c>
      <c r="AY69" s="37">
        <f t="shared" si="14"/>
        <v>7064.8251352966272</v>
      </c>
      <c r="AZ69" s="37">
        <f t="shared" si="14"/>
        <v>7064.8251352966272</v>
      </c>
    </row>
    <row r="70" spans="2:52">
      <c r="B70" t="str">
        <f t="shared" si="15"/>
        <v>OCGT liquid fuels</v>
      </c>
      <c r="C70" t="str">
        <f t="shared" si="16"/>
        <v>Open-Cycle Gas Turbine diesel</v>
      </c>
      <c r="D70" s="37">
        <f t="shared" si="8"/>
        <v>0</v>
      </c>
      <c r="E70" s="37">
        <f t="shared" si="9"/>
        <v>0</v>
      </c>
      <c r="F70" s="37">
        <f t="shared" si="10"/>
        <v>0</v>
      </c>
      <c r="G70" s="37">
        <f t="shared" si="11"/>
        <v>1</v>
      </c>
      <c r="H70" s="37">
        <f t="shared" si="12"/>
        <v>0</v>
      </c>
      <c r="I70">
        <f t="shared" si="13"/>
        <v>5722.2150752921634</v>
      </c>
      <c r="J70" s="37">
        <f t="shared" si="17"/>
        <v>5722.2150752921634</v>
      </c>
      <c r="K70" s="37">
        <f t="shared" si="17"/>
        <v>5722.2150752921634</v>
      </c>
      <c r="L70" s="37">
        <f t="shared" si="14"/>
        <v>5722.2150752921634</v>
      </c>
      <c r="M70" s="37">
        <f t="shared" si="14"/>
        <v>5722.2150752921634</v>
      </c>
      <c r="N70" s="37">
        <f t="shared" si="14"/>
        <v>5722.2150752921634</v>
      </c>
      <c r="O70" s="37">
        <f t="shared" si="14"/>
        <v>5722.2150752921634</v>
      </c>
      <c r="P70" s="37">
        <f t="shared" si="14"/>
        <v>5722.2150752921634</v>
      </c>
      <c r="Q70" s="37">
        <f t="shared" si="14"/>
        <v>5722.2150752921634</v>
      </c>
      <c r="R70" s="37">
        <f t="shared" si="14"/>
        <v>5722.2150752921634</v>
      </c>
      <c r="S70" s="37">
        <f t="shared" si="14"/>
        <v>5722.2150752921634</v>
      </c>
      <c r="T70" s="37">
        <f t="shared" si="14"/>
        <v>5722.2150752921634</v>
      </c>
      <c r="U70" s="37">
        <f t="shared" si="14"/>
        <v>5722.2150752921634</v>
      </c>
      <c r="V70" s="37">
        <f t="shared" si="14"/>
        <v>5722.2150752921634</v>
      </c>
      <c r="W70" s="37">
        <f t="shared" si="14"/>
        <v>5722.2150752921634</v>
      </c>
      <c r="X70" s="37">
        <f t="shared" si="14"/>
        <v>5722.2150752921634</v>
      </c>
      <c r="Y70" s="37">
        <f t="shared" si="14"/>
        <v>5722.2150752921634</v>
      </c>
      <c r="Z70" s="37">
        <f t="shared" si="14"/>
        <v>5722.2150752921634</v>
      </c>
      <c r="AA70" s="37">
        <f t="shared" si="14"/>
        <v>5722.2150752921634</v>
      </c>
      <c r="AB70" s="37">
        <f t="shared" si="14"/>
        <v>5722.2150752921634</v>
      </c>
      <c r="AC70" s="37">
        <f t="shared" si="14"/>
        <v>5722.2150752921634</v>
      </c>
      <c r="AD70" s="37">
        <f t="shared" si="14"/>
        <v>5722.2150752921634</v>
      </c>
      <c r="AE70" s="37">
        <f t="shared" si="14"/>
        <v>5722.2150752921634</v>
      </c>
      <c r="AF70" s="37">
        <f t="shared" si="14"/>
        <v>5722.2150752921634</v>
      </c>
      <c r="AG70" s="37">
        <f t="shared" si="14"/>
        <v>5722.2150752921634</v>
      </c>
      <c r="AH70" s="37">
        <f t="shared" si="14"/>
        <v>5722.2150752921634</v>
      </c>
      <c r="AI70" s="37">
        <f t="shared" si="14"/>
        <v>5722.2150752921634</v>
      </c>
      <c r="AJ70" s="37">
        <f t="shared" si="14"/>
        <v>5722.2150752921634</v>
      </c>
      <c r="AK70" s="37">
        <f t="shared" si="14"/>
        <v>5722.2150752921634</v>
      </c>
      <c r="AL70" s="37">
        <f t="shared" si="14"/>
        <v>5722.2150752921634</v>
      </c>
      <c r="AM70" s="37">
        <f t="shared" si="14"/>
        <v>5722.2150752921634</v>
      </c>
      <c r="AN70" s="37">
        <f t="shared" si="14"/>
        <v>5722.2150752921634</v>
      </c>
      <c r="AO70" s="37">
        <f t="shared" si="14"/>
        <v>5722.2150752921634</v>
      </c>
      <c r="AP70" s="37">
        <f t="shared" si="14"/>
        <v>5722.2150752921634</v>
      </c>
      <c r="AQ70" s="37">
        <f t="shared" si="14"/>
        <v>5722.2150752921634</v>
      </c>
      <c r="AR70" s="37">
        <f t="shared" si="14"/>
        <v>5722.2150752921634</v>
      </c>
      <c r="AS70" s="37">
        <f t="shared" si="14"/>
        <v>5722.2150752921634</v>
      </c>
      <c r="AT70" s="37">
        <f t="shared" si="14"/>
        <v>5722.2150752921634</v>
      </c>
      <c r="AU70" s="37">
        <f t="shared" si="14"/>
        <v>5722.2150752921634</v>
      </c>
      <c r="AV70" s="37">
        <f t="shared" si="14"/>
        <v>5722.2150752921634</v>
      </c>
      <c r="AW70" s="37">
        <f t="shared" si="14"/>
        <v>5722.2150752921634</v>
      </c>
      <c r="AX70" s="37">
        <f t="shared" si="14"/>
        <v>5722.2150752921634</v>
      </c>
      <c r="AY70" s="37">
        <f t="shared" si="14"/>
        <v>5722.2150752921634</v>
      </c>
      <c r="AZ70" s="37">
        <f t="shared" si="14"/>
        <v>5722.2150752921634</v>
      </c>
    </row>
    <row r="71" spans="2:52">
      <c r="B71" t="str">
        <f t="shared" si="15"/>
        <v>PWR nuclear</v>
      </c>
      <c r="C71" t="str">
        <f t="shared" si="16"/>
        <v>Nuclear Pressurised Water Reactor</v>
      </c>
      <c r="D71" s="37">
        <f t="shared" si="8"/>
        <v>0</v>
      </c>
      <c r="E71" s="37">
        <f t="shared" si="9"/>
        <v>0</v>
      </c>
      <c r="F71" s="37">
        <f t="shared" si="10"/>
        <v>1</v>
      </c>
      <c r="G71" s="37">
        <f t="shared" si="11"/>
        <v>0</v>
      </c>
      <c r="H71" s="37">
        <f t="shared" si="12"/>
        <v>0</v>
      </c>
      <c r="I71">
        <f t="shared" si="13"/>
        <v>37444.899462656853</v>
      </c>
      <c r="J71" s="37">
        <f t="shared" si="17"/>
        <v>37444.899462656853</v>
      </c>
      <c r="K71" s="37">
        <f t="shared" si="17"/>
        <v>37444.899462656853</v>
      </c>
      <c r="L71" s="37">
        <f t="shared" si="14"/>
        <v>37444.899462656853</v>
      </c>
      <c r="M71" s="37">
        <f t="shared" si="14"/>
        <v>37444.899462656853</v>
      </c>
      <c r="N71" s="37">
        <f t="shared" si="14"/>
        <v>37444.899462656853</v>
      </c>
      <c r="O71" s="37">
        <f t="shared" si="14"/>
        <v>37444.899462656853</v>
      </c>
      <c r="P71" s="37">
        <f t="shared" si="14"/>
        <v>37444.899462656853</v>
      </c>
      <c r="Q71" s="37">
        <f t="shared" si="14"/>
        <v>37444.899462656853</v>
      </c>
      <c r="R71" s="37">
        <f t="shared" si="14"/>
        <v>37444.899462656853</v>
      </c>
      <c r="S71" s="37">
        <f t="shared" si="14"/>
        <v>37444.899462656853</v>
      </c>
      <c r="T71" s="37">
        <f t="shared" si="14"/>
        <v>37444.899462656853</v>
      </c>
      <c r="U71" s="37">
        <f t="shared" si="14"/>
        <v>37444.899462656853</v>
      </c>
      <c r="V71" s="37">
        <f t="shared" si="14"/>
        <v>37444.899462656853</v>
      </c>
      <c r="W71" s="37">
        <f t="shared" si="14"/>
        <v>37444.899462656853</v>
      </c>
      <c r="X71" s="37">
        <f t="shared" si="14"/>
        <v>37444.899462656853</v>
      </c>
      <c r="Y71" s="37">
        <f t="shared" si="14"/>
        <v>37444.899462656853</v>
      </c>
      <c r="Z71" s="37">
        <f t="shared" si="14"/>
        <v>37444.899462656853</v>
      </c>
      <c r="AA71" s="37">
        <f t="shared" si="14"/>
        <v>37444.899462656853</v>
      </c>
      <c r="AB71" s="37">
        <f t="shared" si="14"/>
        <v>37444.899462656853</v>
      </c>
      <c r="AC71" s="37">
        <f t="shared" si="14"/>
        <v>37444.899462656853</v>
      </c>
      <c r="AD71" s="37">
        <f t="shared" si="14"/>
        <v>37444.899462656853</v>
      </c>
      <c r="AE71" s="37">
        <f t="shared" si="14"/>
        <v>37444.899462656853</v>
      </c>
      <c r="AF71" s="37">
        <f t="shared" si="14"/>
        <v>37444.899462656853</v>
      </c>
      <c r="AG71" s="37">
        <f t="shared" si="14"/>
        <v>37444.899462656853</v>
      </c>
      <c r="AH71" s="37">
        <f t="shared" si="14"/>
        <v>37444.899462656853</v>
      </c>
      <c r="AI71" s="37">
        <f t="shared" si="14"/>
        <v>37444.899462656853</v>
      </c>
      <c r="AJ71" s="37">
        <f t="shared" si="14"/>
        <v>37444.899462656853</v>
      </c>
      <c r="AK71" s="37">
        <f t="shared" si="14"/>
        <v>37444.899462656853</v>
      </c>
      <c r="AL71" s="37">
        <f t="shared" si="14"/>
        <v>37444.899462656853</v>
      </c>
      <c r="AM71" s="37">
        <f t="shared" si="14"/>
        <v>37444.899462656853</v>
      </c>
      <c r="AN71" s="37">
        <f t="shared" si="14"/>
        <v>37444.899462656853</v>
      </c>
      <c r="AO71" s="37">
        <f t="shared" si="14"/>
        <v>37444.899462656853</v>
      </c>
      <c r="AP71" s="37">
        <f t="shared" si="14"/>
        <v>37444.899462656853</v>
      </c>
      <c r="AQ71" s="37">
        <f t="shared" si="14"/>
        <v>37444.899462656853</v>
      </c>
      <c r="AR71" s="37">
        <f t="shared" si="14"/>
        <v>37444.899462656853</v>
      </c>
      <c r="AS71" s="37">
        <f t="shared" si="14"/>
        <v>37444.899462656853</v>
      </c>
      <c r="AT71" s="37">
        <f t="shared" si="14"/>
        <v>37444.899462656853</v>
      </c>
      <c r="AU71" s="37">
        <f t="shared" si="14"/>
        <v>37444.899462656853</v>
      </c>
      <c r="AV71" s="37">
        <f t="shared" si="14"/>
        <v>37444.899462656853</v>
      </c>
      <c r="AW71" s="37">
        <f t="shared" si="14"/>
        <v>37444.899462656853</v>
      </c>
      <c r="AX71" s="37">
        <f t="shared" si="14"/>
        <v>37444.899462656853</v>
      </c>
      <c r="AY71" s="37">
        <f t="shared" si="14"/>
        <v>37444.899462656853</v>
      </c>
      <c r="AZ71" s="37">
        <f t="shared" si="14"/>
        <v>37444.899462656853</v>
      </c>
    </row>
    <row r="72" spans="2:52">
      <c r="B72" t="str">
        <f t="shared" si="15"/>
        <v>Hydro</v>
      </c>
      <c r="C72" t="str">
        <f t="shared" si="16"/>
        <v>Hydro existing</v>
      </c>
      <c r="D72" s="37">
        <f t="shared" si="8"/>
        <v>0</v>
      </c>
      <c r="E72" s="37">
        <f t="shared" si="9"/>
        <v>1</v>
      </c>
      <c r="F72" s="37">
        <f t="shared" si="10"/>
        <v>0</v>
      </c>
      <c r="G72" s="37">
        <f t="shared" si="11"/>
        <v>0</v>
      </c>
      <c r="H72" s="37">
        <f t="shared" si="12"/>
        <v>0</v>
      </c>
      <c r="I72">
        <f t="shared" si="13"/>
        <v>0</v>
      </c>
      <c r="J72" s="37">
        <f t="shared" si="17"/>
        <v>0</v>
      </c>
      <c r="K72" s="37">
        <f t="shared" si="17"/>
        <v>0</v>
      </c>
      <c r="L72" s="37">
        <f t="shared" si="14"/>
        <v>0</v>
      </c>
      <c r="M72" s="37">
        <f t="shared" si="14"/>
        <v>0</v>
      </c>
      <c r="N72" s="37">
        <f t="shared" si="14"/>
        <v>0</v>
      </c>
      <c r="O72" s="37">
        <f t="shared" si="14"/>
        <v>0</v>
      </c>
      <c r="P72" s="37">
        <f t="shared" si="14"/>
        <v>0</v>
      </c>
      <c r="Q72" s="37">
        <f t="shared" si="14"/>
        <v>0</v>
      </c>
      <c r="R72" s="37">
        <f t="shared" si="14"/>
        <v>0</v>
      </c>
      <c r="S72" s="37">
        <f t="shared" si="14"/>
        <v>0</v>
      </c>
      <c r="T72" s="37">
        <f t="shared" si="14"/>
        <v>0</v>
      </c>
      <c r="U72" s="37">
        <f t="shared" si="14"/>
        <v>0</v>
      </c>
      <c r="V72" s="37">
        <f t="shared" si="14"/>
        <v>0</v>
      </c>
      <c r="W72" s="37">
        <f t="shared" si="14"/>
        <v>0</v>
      </c>
      <c r="X72" s="37">
        <f t="shared" si="14"/>
        <v>0</v>
      </c>
      <c r="Y72" s="37">
        <f t="shared" si="14"/>
        <v>0</v>
      </c>
      <c r="Z72" s="37">
        <f t="shared" si="14"/>
        <v>0</v>
      </c>
      <c r="AA72" s="37">
        <f t="shared" si="14"/>
        <v>0</v>
      </c>
      <c r="AB72" s="37">
        <f t="shared" si="14"/>
        <v>0</v>
      </c>
      <c r="AC72" s="37">
        <f t="shared" si="14"/>
        <v>0</v>
      </c>
      <c r="AD72" s="37">
        <f t="shared" si="14"/>
        <v>0</v>
      </c>
      <c r="AE72" s="37">
        <f t="shared" si="14"/>
        <v>0</v>
      </c>
      <c r="AF72" s="37">
        <f t="shared" si="14"/>
        <v>0</v>
      </c>
      <c r="AG72" s="37">
        <f t="shared" si="14"/>
        <v>0</v>
      </c>
      <c r="AH72" s="37">
        <f t="shared" si="14"/>
        <v>0</v>
      </c>
      <c r="AI72" s="37">
        <f t="shared" si="14"/>
        <v>0</v>
      </c>
      <c r="AJ72" s="37">
        <f t="shared" si="14"/>
        <v>0</v>
      </c>
      <c r="AK72" s="37">
        <f t="shared" si="14"/>
        <v>0</v>
      </c>
      <c r="AL72" s="37">
        <f t="shared" si="14"/>
        <v>0</v>
      </c>
      <c r="AM72" s="37">
        <f t="shared" si="14"/>
        <v>0</v>
      </c>
      <c r="AN72" s="37">
        <f t="shared" si="14"/>
        <v>0</v>
      </c>
      <c r="AO72" s="37">
        <f t="shared" si="14"/>
        <v>0</v>
      </c>
      <c r="AP72" s="37">
        <f t="shared" si="14"/>
        <v>0</v>
      </c>
      <c r="AQ72" s="37">
        <f t="shared" si="14"/>
        <v>0</v>
      </c>
      <c r="AR72" s="37">
        <f t="shared" si="14"/>
        <v>0</v>
      </c>
      <c r="AS72" s="37">
        <f t="shared" si="14"/>
        <v>0</v>
      </c>
      <c r="AT72" s="37">
        <f t="shared" si="14"/>
        <v>0</v>
      </c>
      <c r="AU72" s="37">
        <f t="shared" si="14"/>
        <v>0</v>
      </c>
      <c r="AV72" s="37">
        <f t="shared" si="14"/>
        <v>0</v>
      </c>
      <c r="AW72" s="37">
        <f t="shared" si="14"/>
        <v>0</v>
      </c>
      <c r="AX72" s="37">
        <f t="shared" si="14"/>
        <v>0</v>
      </c>
      <c r="AY72" s="37">
        <f t="shared" si="14"/>
        <v>0</v>
      </c>
      <c r="AZ72" s="37">
        <f t="shared" si="14"/>
        <v>0</v>
      </c>
    </row>
    <row r="73" spans="2:52">
      <c r="B73" t="str">
        <f t="shared" si="15"/>
        <v>Landfill gas</v>
      </c>
      <c r="C73" t="str">
        <f t="shared" si="16"/>
        <v>Landfill gas</v>
      </c>
      <c r="D73" s="37">
        <f t="shared" si="8"/>
        <v>0</v>
      </c>
      <c r="E73" s="37">
        <f t="shared" si="9"/>
        <v>1</v>
      </c>
      <c r="F73" s="37">
        <f t="shared" si="10"/>
        <v>0</v>
      </c>
      <c r="G73" s="37">
        <f t="shared" si="11"/>
        <v>0</v>
      </c>
      <c r="H73" s="37">
        <f t="shared" si="12"/>
        <v>0</v>
      </c>
      <c r="I73">
        <f t="shared" si="13"/>
        <v>21075.978095646908</v>
      </c>
      <c r="J73" s="37">
        <f t="shared" si="17"/>
        <v>21075.978095646908</v>
      </c>
      <c r="K73" s="37">
        <f t="shared" si="17"/>
        <v>21075.978095646908</v>
      </c>
      <c r="L73" s="37">
        <f t="shared" si="14"/>
        <v>21075.978095646908</v>
      </c>
      <c r="M73" s="37">
        <f t="shared" si="14"/>
        <v>21075.978095646908</v>
      </c>
      <c r="N73" s="37">
        <f t="shared" si="14"/>
        <v>21075.978095646908</v>
      </c>
      <c r="O73" s="37">
        <f t="shared" si="14"/>
        <v>21075.978095646908</v>
      </c>
      <c r="P73" s="37">
        <f t="shared" si="14"/>
        <v>21075.978095646908</v>
      </c>
      <c r="Q73" s="37">
        <f t="shared" si="14"/>
        <v>21075.978095646908</v>
      </c>
      <c r="R73" s="37">
        <f t="shared" si="14"/>
        <v>21075.978095646908</v>
      </c>
      <c r="S73" s="37">
        <f t="shared" si="14"/>
        <v>21075.978095646908</v>
      </c>
      <c r="T73" s="37">
        <f t="shared" si="14"/>
        <v>21075.978095646908</v>
      </c>
      <c r="U73" s="37">
        <f t="shared" si="14"/>
        <v>21075.978095646908</v>
      </c>
      <c r="V73" s="37">
        <f t="shared" si="14"/>
        <v>21075.978095646908</v>
      </c>
      <c r="W73" s="37">
        <f t="shared" si="14"/>
        <v>21075.978095646908</v>
      </c>
      <c r="X73" s="37">
        <f t="shared" si="14"/>
        <v>21075.978095646908</v>
      </c>
      <c r="Y73" s="37">
        <f t="shared" si="14"/>
        <v>21075.978095646908</v>
      </c>
      <c r="Z73" s="37">
        <f t="shared" si="14"/>
        <v>21075.978095646908</v>
      </c>
      <c r="AA73" s="37">
        <f t="shared" si="14"/>
        <v>21075.978095646908</v>
      </c>
      <c r="AB73" s="37">
        <f t="shared" si="14"/>
        <v>21075.978095646908</v>
      </c>
      <c r="AC73" s="37">
        <f t="shared" si="14"/>
        <v>21075.978095646908</v>
      </c>
      <c r="AD73" s="37">
        <f t="shared" si="14"/>
        <v>21075.978095646908</v>
      </c>
      <c r="AE73" s="37">
        <f t="shared" si="14"/>
        <v>21075.978095646908</v>
      </c>
      <c r="AF73" s="37">
        <f t="shared" si="14"/>
        <v>21075.978095646908</v>
      </c>
      <c r="AG73" s="37">
        <f t="shared" si="14"/>
        <v>21075.978095646908</v>
      </c>
      <c r="AH73" s="37">
        <f t="shared" si="14"/>
        <v>21075.978095646908</v>
      </c>
      <c r="AI73" s="37">
        <f t="shared" si="14"/>
        <v>21075.978095646908</v>
      </c>
      <c r="AJ73" s="37">
        <f t="shared" si="14"/>
        <v>21075.978095646908</v>
      </c>
      <c r="AK73" s="37">
        <f t="shared" si="14"/>
        <v>21075.978095646908</v>
      </c>
      <c r="AL73" s="37">
        <f t="shared" si="14"/>
        <v>21075.978095646908</v>
      </c>
      <c r="AM73" s="37">
        <f t="shared" si="14"/>
        <v>21075.978095646908</v>
      </c>
      <c r="AN73" s="37">
        <f t="shared" si="14"/>
        <v>21075.978095646908</v>
      </c>
      <c r="AO73" s="37">
        <f t="shared" si="14"/>
        <v>21075.978095646908</v>
      </c>
      <c r="AP73" s="37">
        <f t="shared" si="14"/>
        <v>21075.978095646908</v>
      </c>
      <c r="AQ73" s="37">
        <f t="shared" si="14"/>
        <v>21075.978095646908</v>
      </c>
      <c r="AR73" s="37">
        <f t="shared" si="14"/>
        <v>21075.978095646908</v>
      </c>
      <c r="AS73" s="37">
        <f t="shared" si="14"/>
        <v>21075.978095646908</v>
      </c>
      <c r="AT73" s="37">
        <f t="shared" si="14"/>
        <v>21075.978095646908</v>
      </c>
      <c r="AU73" s="37">
        <f t="shared" si="14"/>
        <v>21075.978095646908</v>
      </c>
      <c r="AV73" s="37">
        <f t="shared" si="14"/>
        <v>21075.978095646908</v>
      </c>
      <c r="AW73" s="37">
        <f t="shared" si="14"/>
        <v>21075.978095646908</v>
      </c>
      <c r="AX73" s="37">
        <f t="shared" si="14"/>
        <v>21075.978095646908</v>
      </c>
      <c r="AY73" s="37">
        <f t="shared" si="14"/>
        <v>21075.978095646908</v>
      </c>
      <c r="AZ73" s="37">
        <f t="shared" si="14"/>
        <v>21075.978095646908</v>
      </c>
    </row>
    <row r="74" spans="2:52">
      <c r="B74" t="str">
        <f t="shared" si="15"/>
        <v>Biomass</v>
      </c>
      <c r="C74" t="str">
        <f t="shared" si="16"/>
        <v>Biomass</v>
      </c>
      <c r="D74" s="37">
        <f t="shared" si="8"/>
        <v>0</v>
      </c>
      <c r="E74" s="37">
        <f t="shared" si="9"/>
        <v>1</v>
      </c>
      <c r="F74" s="37">
        <f t="shared" si="10"/>
        <v>0</v>
      </c>
      <c r="G74" s="37">
        <f t="shared" si="11"/>
        <v>0</v>
      </c>
      <c r="H74" s="37">
        <f t="shared" si="12"/>
        <v>0</v>
      </c>
      <c r="I74">
        <f t="shared" si="13"/>
        <v>31212.006884862854</v>
      </c>
      <c r="J74" s="37">
        <f t="shared" si="17"/>
        <v>31212.006884862854</v>
      </c>
      <c r="K74" s="37">
        <f t="shared" si="17"/>
        <v>31212.006884862854</v>
      </c>
      <c r="L74" s="37">
        <f t="shared" si="14"/>
        <v>31212.006884862854</v>
      </c>
      <c r="M74" s="37">
        <f t="shared" si="14"/>
        <v>31212.006884862854</v>
      </c>
      <c r="N74" s="37">
        <f t="shared" si="14"/>
        <v>31212.006884862854</v>
      </c>
      <c r="O74" s="37">
        <f t="shared" si="14"/>
        <v>31212.006884862854</v>
      </c>
      <c r="P74" s="37">
        <f t="shared" si="14"/>
        <v>31212.006884862854</v>
      </c>
      <c r="Q74" s="37">
        <f t="shared" si="14"/>
        <v>31212.006884862854</v>
      </c>
      <c r="R74" s="37">
        <f t="shared" si="14"/>
        <v>31212.006884862854</v>
      </c>
      <c r="S74" s="37">
        <f t="shared" si="14"/>
        <v>31212.006884862854</v>
      </c>
      <c r="T74" s="37">
        <f t="shared" si="14"/>
        <v>31212.006884862854</v>
      </c>
      <c r="U74" s="37">
        <f t="shared" ref="U74:U87" si="18">IF($H$27="Y",$I74*SUMIF($B$38:$B$63,$C74,AB$38:AB$63),$I74)</f>
        <v>31212.006884862854</v>
      </c>
      <c r="V74" s="37">
        <f t="shared" ref="V74:V87" si="19">IF($H$27="Y",$I74*SUMIF($B$38:$B$63,$C74,AC$38:AC$63),$I74)</f>
        <v>31212.006884862854</v>
      </c>
      <c r="W74" s="37">
        <f t="shared" ref="W74:W87" si="20">IF($H$27="Y",$I74*SUMIF($B$38:$B$63,$C74,AD$38:AD$63),$I74)</f>
        <v>31212.006884862854</v>
      </c>
      <c r="X74" s="37">
        <f t="shared" ref="X74:X87" si="21">IF($H$27="Y",$I74*SUMIF($B$38:$B$63,$C74,AE$38:AE$63),$I74)</f>
        <v>31212.006884862854</v>
      </c>
      <c r="Y74" s="37">
        <f t="shared" ref="Y74:Y87" si="22">IF($H$27="Y",$I74*SUMIF($B$38:$B$63,$C74,AF$38:AF$63),$I74)</f>
        <v>31212.006884862854</v>
      </c>
      <c r="Z74" s="37">
        <f t="shared" ref="Z74:Z87" si="23">IF($H$27="Y",$I74*SUMIF($B$38:$B$63,$C74,AG$38:AG$63),$I74)</f>
        <v>31212.006884862854</v>
      </c>
      <c r="AA74" s="37">
        <f t="shared" ref="AA74:AA87" si="24">IF($H$27="Y",$I74*SUMIF($B$38:$B$63,$C74,AH$38:AH$63),$I74)</f>
        <v>31212.006884862854</v>
      </c>
      <c r="AB74" s="37">
        <f t="shared" ref="AB74:AB87" si="25">IF($H$27="Y",$I74*SUMIF($B$38:$B$63,$C74,AI$38:AI$63),$I74)</f>
        <v>31212.006884862854</v>
      </c>
      <c r="AC74" s="37">
        <f t="shared" ref="AC74:AC87" si="26">IF($H$27="Y",$I74*SUMIF($B$38:$B$63,$C74,AJ$38:AJ$63),$I74)</f>
        <v>31212.006884862854</v>
      </c>
      <c r="AD74" s="37">
        <f t="shared" ref="AD74:AD87" si="27">IF($H$27="Y",$I74*SUMIF($B$38:$B$63,$C74,AK$38:AK$63),$I74)</f>
        <v>31212.006884862854</v>
      </c>
      <c r="AE74" s="37">
        <f t="shared" ref="AE74:AE87" si="28">IF($H$27="Y",$I74*SUMIF($B$38:$B$63,$C74,AL$38:AL$63),$I74)</f>
        <v>31212.006884862854</v>
      </c>
      <c r="AF74" s="37">
        <f t="shared" ref="AF74:AF87" si="29">IF($H$27="Y",$I74*SUMIF($B$38:$B$63,$C74,AM$38:AM$63),$I74)</f>
        <v>31212.006884862854</v>
      </c>
      <c r="AG74" s="37">
        <f t="shared" ref="AG74:AG87" si="30">IF($H$27="Y",$I74*SUMIF($B$38:$B$63,$C74,AN$38:AN$63),$I74)</f>
        <v>31212.006884862854</v>
      </c>
      <c r="AH74" s="37">
        <f t="shared" ref="AH74:AH87" si="31">IF($H$27="Y",$I74*SUMIF($B$38:$B$63,$C74,AO$38:AO$63),$I74)</f>
        <v>31212.006884862854</v>
      </c>
      <c r="AI74" s="37">
        <f t="shared" ref="AI74:AI87" si="32">IF($H$27="Y",$I74*SUMIF($B$38:$B$63,$C74,AP$38:AP$63),$I74)</f>
        <v>31212.006884862854</v>
      </c>
      <c r="AJ74" s="37">
        <f t="shared" ref="AJ74:AJ87" si="33">IF($H$27="Y",$I74*SUMIF($B$38:$B$63,$C74,AQ$38:AQ$63),$I74)</f>
        <v>31212.006884862854</v>
      </c>
      <c r="AK74" s="37">
        <f t="shared" ref="AK74:AK87" si="34">IF($H$27="Y",$I74*SUMIF($B$38:$B$63,$C74,AR$38:AR$63),$I74)</f>
        <v>31212.006884862854</v>
      </c>
      <c r="AL74" s="37">
        <f t="shared" ref="AL74:AL87" si="35">IF($H$27="Y",$I74*SUMIF($B$38:$B$63,$C74,AS$38:AS$63),$I74)</f>
        <v>31212.006884862854</v>
      </c>
      <c r="AM74" s="37">
        <f t="shared" ref="AM74:AM87" si="36">IF($H$27="Y",$I74*SUMIF($B$38:$B$63,$C74,AT$38:AT$63),$I74)</f>
        <v>31212.006884862854</v>
      </c>
      <c r="AN74" s="37">
        <f t="shared" ref="AN74:AN87" si="37">IF($H$27="Y",$I74*SUMIF($B$38:$B$63,$C74,AU$38:AU$63),$I74)</f>
        <v>31212.006884862854</v>
      </c>
      <c r="AO74" s="37">
        <f t="shared" ref="AO74:AO87" si="38">IF($H$27="Y",$I74*SUMIF($B$38:$B$63,$C74,AV$38:AV$63),$I74)</f>
        <v>31212.006884862854</v>
      </c>
      <c r="AP74" s="37">
        <f t="shared" ref="AP74:AP87" si="39">IF($H$27="Y",$I74*SUMIF($B$38:$B$63,$C74,AW$38:AW$63),$I74)</f>
        <v>31212.006884862854</v>
      </c>
      <c r="AQ74" s="37">
        <f t="shared" ref="AQ74:AQ87" si="40">IF($H$27="Y",$I74*SUMIF($B$38:$B$63,$C74,AX$38:AX$63),$I74)</f>
        <v>31212.006884862854</v>
      </c>
      <c r="AR74" s="37">
        <f t="shared" ref="AR74:AR87" si="41">IF($H$27="Y",$I74*SUMIF($B$38:$B$63,$C74,AY$38:AY$63),$I74)</f>
        <v>31212.006884862854</v>
      </c>
      <c r="AS74" s="37">
        <f t="shared" ref="AS74:AS87" si="42">IF($H$27="Y",$I74*SUMIF($B$38:$B$63,$C74,AZ$38:AZ$63),$I74)</f>
        <v>31212.006884862854</v>
      </c>
      <c r="AT74" s="37">
        <f t="shared" ref="AT74:AT87" si="43">IF($H$27="Y",$I74*SUMIF($B$38:$B$63,$C74,BA$38:BA$63),$I74)</f>
        <v>31212.006884862854</v>
      </c>
      <c r="AU74" s="37">
        <f t="shared" ref="AU74:AU87" si="44">IF($H$27="Y",$I74*SUMIF($B$38:$B$63,$C74,BB$38:BB$63),$I74)</f>
        <v>31212.006884862854</v>
      </c>
      <c r="AV74" s="37">
        <f t="shared" ref="AV74:AV87" si="45">IF($H$27="Y",$I74*SUMIF($B$38:$B$63,$C74,BC$38:BC$63),$I74)</f>
        <v>31212.006884862854</v>
      </c>
      <c r="AW74" s="37">
        <f t="shared" ref="AW74:AW87" si="46">IF($H$27="Y",$I74*SUMIF($B$38:$B$63,$C74,BD$38:BD$63),$I74)</f>
        <v>31212.006884862854</v>
      </c>
      <c r="AX74" s="37">
        <f t="shared" ref="AX74:AX87" si="47">IF($H$27="Y",$I74*SUMIF($B$38:$B$63,$C74,BE$38:BE$63),$I74)</f>
        <v>31212.006884862854</v>
      </c>
      <c r="AY74" s="37">
        <f t="shared" ref="AY74:AY87" si="48">IF($H$27="Y",$I74*SUMIF($B$38:$B$63,$C74,BF$38:BF$63),$I74)</f>
        <v>31212.006884862854</v>
      </c>
      <c r="AZ74" s="37">
        <f t="shared" ref="AZ74:AZ87" si="49">IF($H$27="Y",$I74*SUMIF($B$38:$B$63,$C74,BG$38:BG$63),$I74)</f>
        <v>31212.006884862854</v>
      </c>
    </row>
    <row r="75" spans="2:52">
      <c r="B75" t="str">
        <f t="shared" si="15"/>
        <v>Supercritical coal</v>
      </c>
      <c r="C75" t="str">
        <f t="shared" si="16"/>
        <v>Supercritical Coal</v>
      </c>
      <c r="D75" s="37">
        <f t="shared" si="8"/>
        <v>1</v>
      </c>
      <c r="E75" s="37">
        <f t="shared" si="9"/>
        <v>0</v>
      </c>
      <c r="F75" s="37">
        <f t="shared" si="10"/>
        <v>0</v>
      </c>
      <c r="G75" s="37">
        <f t="shared" si="11"/>
        <v>0</v>
      </c>
      <c r="H75" s="37">
        <f t="shared" si="12"/>
        <v>0</v>
      </c>
      <c r="I75">
        <f t="shared" si="13"/>
        <v>20145.259529792107</v>
      </c>
      <c r="J75" s="37">
        <f t="shared" si="17"/>
        <v>20145.259529792107</v>
      </c>
      <c r="K75" s="37">
        <f t="shared" si="17"/>
        <v>20007.278300135997</v>
      </c>
      <c r="L75" s="37">
        <f t="shared" ref="L75:L87" si="50">IF($H$27="Y",$I75*SUMIF($B$38:$B$63,$C75,S$38:S$63),$I75)</f>
        <v>19869.297070479886</v>
      </c>
      <c r="M75" s="37">
        <f t="shared" ref="M75:M87" si="51">IF($H$27="Y",$I75*SUMIF($B$38:$B$63,$C75,T$38:T$63),$I75)</f>
        <v>19808.160771801482</v>
      </c>
      <c r="N75" s="37">
        <f t="shared" ref="N75:N87" si="52">IF($H$27="Y",$I75*SUMIF($B$38:$B$63,$C75,U$38:U$63),$I75)</f>
        <v>19747.024473123085</v>
      </c>
      <c r="O75" s="37">
        <f t="shared" ref="O75:O87" si="53">IF($H$27="Y",$I75*SUMIF($B$38:$B$63,$C75,V$38:V$63),$I75)</f>
        <v>19685.888174444684</v>
      </c>
      <c r="P75" s="37">
        <f t="shared" ref="P75:P87" si="54">IF($H$27="Y",$I75*SUMIF($B$38:$B$63,$C75,W$38:W$63),$I75)</f>
        <v>19624.751875766287</v>
      </c>
      <c r="Q75" s="37">
        <f t="shared" ref="Q75:Q87" si="55">IF($H$27="Y",$I75*SUMIF($B$38:$B$63,$C75,X$38:X$63),$I75)</f>
        <v>19563.615577087883</v>
      </c>
      <c r="R75" s="37">
        <f t="shared" ref="R75:R87" si="56">IF($H$27="Y",$I75*SUMIF($B$38:$B$63,$C75,Y$38:Y$63),$I75)</f>
        <v>19502.479278409486</v>
      </c>
      <c r="S75" s="37">
        <f t="shared" ref="S75:S87" si="57">IF($H$27="Y",$I75*SUMIF($B$38:$B$63,$C75,Z$38:Z$63),$I75)</f>
        <v>19441.342979731086</v>
      </c>
      <c r="T75" s="37">
        <f t="shared" ref="T75:T87" si="58">IF($H$27="Y",$I75*SUMIF($B$38:$B$63,$C75,AA$38:AA$63),$I75)</f>
        <v>19380.206681052689</v>
      </c>
      <c r="U75" s="37">
        <f t="shared" si="18"/>
        <v>19319.070382374288</v>
      </c>
      <c r="V75" s="37">
        <f t="shared" si="19"/>
        <v>19257.934083695887</v>
      </c>
      <c r="W75" s="37">
        <f t="shared" si="20"/>
        <v>19196.797785017487</v>
      </c>
      <c r="X75" s="37">
        <f t="shared" si="21"/>
        <v>19135.661486339086</v>
      </c>
      <c r="Y75" s="37">
        <f t="shared" si="22"/>
        <v>19074.525187660685</v>
      </c>
      <c r="Z75" s="37">
        <f t="shared" si="23"/>
        <v>19020.02654426737</v>
      </c>
      <c r="AA75" s="37">
        <f t="shared" si="24"/>
        <v>18965.527900874054</v>
      </c>
      <c r="AB75" s="37">
        <f t="shared" si="25"/>
        <v>18911.029257480739</v>
      </c>
      <c r="AC75" s="37">
        <f t="shared" si="26"/>
        <v>18856.530614087424</v>
      </c>
      <c r="AD75" s="37">
        <f t="shared" si="27"/>
        <v>18802.031970694108</v>
      </c>
      <c r="AE75" s="37">
        <f t="shared" si="28"/>
        <v>18747.533327300793</v>
      </c>
      <c r="AF75" s="37">
        <f t="shared" si="29"/>
        <v>18693.034683907474</v>
      </c>
      <c r="AG75" s="37">
        <f t="shared" si="30"/>
        <v>18638.536040514158</v>
      </c>
      <c r="AH75" s="37">
        <f t="shared" si="31"/>
        <v>18584.037397120839</v>
      </c>
      <c r="AI75" s="37">
        <f t="shared" si="32"/>
        <v>18529.53875372752</v>
      </c>
      <c r="AJ75" s="37">
        <f t="shared" si="33"/>
        <v>18475.040110334205</v>
      </c>
      <c r="AK75" s="37">
        <f t="shared" si="34"/>
        <v>18420.541466940893</v>
      </c>
      <c r="AL75" s="37">
        <f t="shared" si="35"/>
        <v>18366.042823547574</v>
      </c>
      <c r="AM75" s="37">
        <f t="shared" si="36"/>
        <v>18311.544180154258</v>
      </c>
      <c r="AN75" s="37">
        <f t="shared" si="37"/>
        <v>18278.250463463068</v>
      </c>
      <c r="AO75" s="37">
        <f t="shared" si="38"/>
        <v>18244.956746771884</v>
      </c>
      <c r="AP75" s="37">
        <f t="shared" si="39"/>
        <v>18211.663030080694</v>
      </c>
      <c r="AQ75" s="37">
        <f t="shared" si="40"/>
        <v>18178.369313389503</v>
      </c>
      <c r="AR75" s="37">
        <f t="shared" si="41"/>
        <v>18145.075596698312</v>
      </c>
      <c r="AS75" s="37">
        <f t="shared" si="42"/>
        <v>18111.781880007118</v>
      </c>
      <c r="AT75" s="37">
        <f t="shared" si="43"/>
        <v>18078.488163315931</v>
      </c>
      <c r="AU75" s="37">
        <f t="shared" si="44"/>
        <v>18045.194446624744</v>
      </c>
      <c r="AV75" s="37">
        <f t="shared" si="45"/>
        <v>18011.900729933554</v>
      </c>
      <c r="AW75" s="37">
        <f t="shared" si="46"/>
        <v>17978.607013242363</v>
      </c>
      <c r="AX75" s="37">
        <f t="shared" si="47"/>
        <v>17945.313296551176</v>
      </c>
      <c r="AY75" s="37">
        <f t="shared" si="48"/>
        <v>17912.019579859985</v>
      </c>
      <c r="AZ75" s="37">
        <f t="shared" si="49"/>
        <v>17878.725863168795</v>
      </c>
    </row>
    <row r="76" spans="2:52">
      <c r="B76" t="str">
        <f t="shared" si="15"/>
        <v xml:space="preserve">Wind 30% </v>
      </c>
      <c r="C76" t="str">
        <f t="shared" si="16"/>
        <v>Wind</v>
      </c>
      <c r="D76" s="37">
        <f t="shared" si="8"/>
        <v>0</v>
      </c>
      <c r="E76" s="37">
        <f t="shared" si="9"/>
        <v>1</v>
      </c>
      <c r="F76" s="37">
        <f t="shared" si="10"/>
        <v>0</v>
      </c>
      <c r="G76" s="37">
        <f t="shared" si="11"/>
        <v>0</v>
      </c>
      <c r="H76" s="37">
        <f t="shared" si="12"/>
        <v>0</v>
      </c>
      <c r="I76">
        <f t="shared" si="13"/>
        <v>16423.611328040046</v>
      </c>
      <c r="J76" s="37">
        <f t="shared" si="17"/>
        <v>16423.611328040046</v>
      </c>
      <c r="K76" s="37">
        <f t="shared" si="17"/>
        <v>16013.021044839043</v>
      </c>
      <c r="L76" s="37">
        <f t="shared" si="50"/>
        <v>15602.430761638043</v>
      </c>
      <c r="M76" s="37">
        <f t="shared" si="51"/>
        <v>15191.840478437043</v>
      </c>
      <c r="N76" s="37">
        <f t="shared" si="52"/>
        <v>14781.250195236042</v>
      </c>
      <c r="O76" s="37">
        <f t="shared" si="53"/>
        <v>14411.71894035514</v>
      </c>
      <c r="P76" s="37">
        <f t="shared" si="54"/>
        <v>14042.187685474239</v>
      </c>
      <c r="Q76" s="37">
        <f t="shared" si="55"/>
        <v>13672.656430593335</v>
      </c>
      <c r="R76" s="37">
        <f t="shared" si="56"/>
        <v>13303.125175712436</v>
      </c>
      <c r="S76" s="37">
        <f t="shared" si="57"/>
        <v>13037.062672198188</v>
      </c>
      <c r="T76" s="37">
        <f t="shared" si="58"/>
        <v>12771.000168683939</v>
      </c>
      <c r="U76" s="37">
        <f t="shared" si="18"/>
        <v>12504.937665169691</v>
      </c>
      <c r="V76" s="37">
        <f t="shared" si="19"/>
        <v>12238.875161655444</v>
      </c>
      <c r="W76" s="37">
        <f t="shared" si="20"/>
        <v>11972.812658141193</v>
      </c>
      <c r="X76" s="37">
        <f t="shared" si="21"/>
        <v>11902.384348387423</v>
      </c>
      <c r="Y76" s="37">
        <f t="shared" si="22"/>
        <v>11831.956038633651</v>
      </c>
      <c r="Z76" s="37">
        <f t="shared" si="23"/>
        <v>11761.527728879881</v>
      </c>
      <c r="AA76" s="37">
        <f t="shared" si="24"/>
        <v>11691.099419126109</v>
      </c>
      <c r="AB76" s="37">
        <f t="shared" si="25"/>
        <v>11620.671109372335</v>
      </c>
      <c r="AC76" s="37">
        <f t="shared" si="26"/>
        <v>11550.242799618565</v>
      </c>
      <c r="AD76" s="37">
        <f t="shared" si="27"/>
        <v>11479.814489864793</v>
      </c>
      <c r="AE76" s="37">
        <f t="shared" si="28"/>
        <v>11409.386180111022</v>
      </c>
      <c r="AF76" s="37">
        <f t="shared" si="29"/>
        <v>11338.95787035725</v>
      </c>
      <c r="AG76" s="37">
        <f t="shared" si="30"/>
        <v>11268.529560603478</v>
      </c>
      <c r="AH76" s="37">
        <f t="shared" si="31"/>
        <v>11198.101250849706</v>
      </c>
      <c r="AI76" s="37">
        <f t="shared" si="32"/>
        <v>11127.672941095934</v>
      </c>
      <c r="AJ76" s="37">
        <f t="shared" si="33"/>
        <v>11057.244631342162</v>
      </c>
      <c r="AK76" s="37">
        <f t="shared" si="34"/>
        <v>10986.816321588391</v>
      </c>
      <c r="AL76" s="37">
        <f t="shared" si="35"/>
        <v>10916.388011834621</v>
      </c>
      <c r="AM76" s="37">
        <f t="shared" si="36"/>
        <v>10845.959702080845</v>
      </c>
      <c r="AN76" s="37">
        <f t="shared" si="37"/>
        <v>10775.531392327075</v>
      </c>
      <c r="AO76" s="37">
        <f t="shared" si="38"/>
        <v>10775.531392327075</v>
      </c>
      <c r="AP76" s="37">
        <f t="shared" si="39"/>
        <v>10775.531392327075</v>
      </c>
      <c r="AQ76" s="37">
        <f t="shared" si="40"/>
        <v>10775.531392327075</v>
      </c>
      <c r="AR76" s="37">
        <f t="shared" si="41"/>
        <v>10775.531392327075</v>
      </c>
      <c r="AS76" s="37">
        <f t="shared" si="42"/>
        <v>10775.531392327075</v>
      </c>
      <c r="AT76" s="37">
        <f t="shared" si="43"/>
        <v>10775.531392327075</v>
      </c>
      <c r="AU76" s="37">
        <f t="shared" si="44"/>
        <v>10775.531392327075</v>
      </c>
      <c r="AV76" s="37">
        <f t="shared" si="45"/>
        <v>10775.531392327075</v>
      </c>
      <c r="AW76" s="37">
        <f t="shared" si="46"/>
        <v>10775.531392327075</v>
      </c>
      <c r="AX76" s="37">
        <f t="shared" si="47"/>
        <v>10775.531392327075</v>
      </c>
      <c r="AY76" s="37">
        <f t="shared" si="48"/>
        <v>10775.531392327075</v>
      </c>
      <c r="AZ76" s="37">
        <f t="shared" si="49"/>
        <v>10775.531392327075</v>
      </c>
    </row>
    <row r="77" spans="2:52">
      <c r="B77" t="str">
        <f t="shared" si="15"/>
        <v>Wind 25%</v>
      </c>
      <c r="C77" t="str">
        <f t="shared" si="16"/>
        <v>Wind</v>
      </c>
      <c r="D77" s="37">
        <f t="shared" si="8"/>
        <v>0</v>
      </c>
      <c r="E77" s="37">
        <f t="shared" si="9"/>
        <v>1</v>
      </c>
      <c r="F77" s="37">
        <f t="shared" si="10"/>
        <v>0</v>
      </c>
      <c r="G77" s="37">
        <f t="shared" si="11"/>
        <v>0</v>
      </c>
      <c r="H77" s="37">
        <f t="shared" si="12"/>
        <v>0</v>
      </c>
      <c r="I77">
        <f t="shared" si="13"/>
        <v>16423.611328040046</v>
      </c>
      <c r="J77" s="37">
        <f t="shared" si="17"/>
        <v>16423.611328040046</v>
      </c>
      <c r="K77" s="37">
        <f t="shared" si="17"/>
        <v>16013.021044839043</v>
      </c>
      <c r="L77" s="37">
        <f t="shared" si="50"/>
        <v>15602.430761638043</v>
      </c>
      <c r="M77" s="37">
        <f t="shared" si="51"/>
        <v>15191.840478437043</v>
      </c>
      <c r="N77" s="37">
        <f t="shared" si="52"/>
        <v>14781.250195236042</v>
      </c>
      <c r="O77" s="37">
        <f t="shared" si="53"/>
        <v>14411.71894035514</v>
      </c>
      <c r="P77" s="37">
        <f t="shared" si="54"/>
        <v>14042.187685474239</v>
      </c>
      <c r="Q77" s="37">
        <f t="shared" si="55"/>
        <v>13672.656430593335</v>
      </c>
      <c r="R77" s="37">
        <f t="shared" si="56"/>
        <v>13303.125175712436</v>
      </c>
      <c r="S77" s="37">
        <f t="shared" si="57"/>
        <v>13037.062672198188</v>
      </c>
      <c r="T77" s="37">
        <f t="shared" si="58"/>
        <v>12771.000168683939</v>
      </c>
      <c r="U77" s="37">
        <f t="shared" si="18"/>
        <v>12504.937665169691</v>
      </c>
      <c r="V77" s="37">
        <f t="shared" si="19"/>
        <v>12238.875161655444</v>
      </c>
      <c r="W77" s="37">
        <f t="shared" si="20"/>
        <v>11972.812658141193</v>
      </c>
      <c r="X77" s="37">
        <f t="shared" si="21"/>
        <v>11902.384348387423</v>
      </c>
      <c r="Y77" s="37">
        <f t="shared" si="22"/>
        <v>11831.956038633651</v>
      </c>
      <c r="Z77" s="37">
        <f t="shared" si="23"/>
        <v>11761.527728879881</v>
      </c>
      <c r="AA77" s="37">
        <f t="shared" si="24"/>
        <v>11691.099419126109</v>
      </c>
      <c r="AB77" s="37">
        <f t="shared" si="25"/>
        <v>11620.671109372335</v>
      </c>
      <c r="AC77" s="37">
        <f t="shared" si="26"/>
        <v>11550.242799618565</v>
      </c>
      <c r="AD77" s="37">
        <f t="shared" si="27"/>
        <v>11479.814489864793</v>
      </c>
      <c r="AE77" s="37">
        <f t="shared" si="28"/>
        <v>11409.386180111022</v>
      </c>
      <c r="AF77" s="37">
        <f t="shared" si="29"/>
        <v>11338.95787035725</v>
      </c>
      <c r="AG77" s="37">
        <f t="shared" si="30"/>
        <v>11268.529560603478</v>
      </c>
      <c r="AH77" s="37">
        <f t="shared" si="31"/>
        <v>11198.101250849706</v>
      </c>
      <c r="AI77" s="37">
        <f t="shared" si="32"/>
        <v>11127.672941095934</v>
      </c>
      <c r="AJ77" s="37">
        <f t="shared" si="33"/>
        <v>11057.244631342162</v>
      </c>
      <c r="AK77" s="37">
        <f t="shared" si="34"/>
        <v>10986.816321588391</v>
      </c>
      <c r="AL77" s="37">
        <f t="shared" si="35"/>
        <v>10916.388011834621</v>
      </c>
      <c r="AM77" s="37">
        <f t="shared" si="36"/>
        <v>10845.959702080845</v>
      </c>
      <c r="AN77" s="37">
        <f t="shared" si="37"/>
        <v>10775.531392327075</v>
      </c>
      <c r="AO77" s="37">
        <f t="shared" si="38"/>
        <v>10775.531392327075</v>
      </c>
      <c r="AP77" s="37">
        <f t="shared" si="39"/>
        <v>10775.531392327075</v>
      </c>
      <c r="AQ77" s="37">
        <f t="shared" si="40"/>
        <v>10775.531392327075</v>
      </c>
      <c r="AR77" s="37">
        <f t="shared" si="41"/>
        <v>10775.531392327075</v>
      </c>
      <c r="AS77" s="37">
        <f t="shared" si="42"/>
        <v>10775.531392327075</v>
      </c>
      <c r="AT77" s="37">
        <f t="shared" si="43"/>
        <v>10775.531392327075</v>
      </c>
      <c r="AU77" s="37">
        <f t="shared" si="44"/>
        <v>10775.531392327075</v>
      </c>
      <c r="AV77" s="37">
        <f t="shared" si="45"/>
        <v>10775.531392327075</v>
      </c>
      <c r="AW77" s="37">
        <f t="shared" si="46"/>
        <v>10775.531392327075</v>
      </c>
      <c r="AX77" s="37">
        <f t="shared" si="47"/>
        <v>10775.531392327075</v>
      </c>
      <c r="AY77" s="37">
        <f t="shared" si="48"/>
        <v>10775.531392327075</v>
      </c>
      <c r="AZ77" s="37">
        <f t="shared" si="49"/>
        <v>10775.531392327075</v>
      </c>
    </row>
    <row r="78" spans="2:52">
      <c r="B78" t="str">
        <f t="shared" si="15"/>
        <v>solar thermal central reciever</v>
      </c>
      <c r="C78" t="str">
        <f t="shared" si="16"/>
        <v>Solar Central Receiver</v>
      </c>
      <c r="D78" s="37">
        <f t="shared" si="8"/>
        <v>0</v>
      </c>
      <c r="E78" s="37">
        <f t="shared" si="9"/>
        <v>1</v>
      </c>
      <c r="F78" s="37">
        <f t="shared" si="10"/>
        <v>0</v>
      </c>
      <c r="G78" s="37">
        <f t="shared" si="11"/>
        <v>0</v>
      </c>
      <c r="H78" s="37">
        <f t="shared" si="12"/>
        <v>0</v>
      </c>
      <c r="I78">
        <f t="shared" si="13"/>
        <v>67460.586439233011</v>
      </c>
      <c r="J78" s="37">
        <f t="shared" si="17"/>
        <v>67460.586439233011</v>
      </c>
      <c r="K78" s="37">
        <f t="shared" si="17"/>
        <v>65774.071778252182</v>
      </c>
      <c r="L78" s="37">
        <f t="shared" si="50"/>
        <v>64087.557117271361</v>
      </c>
      <c r="M78" s="37">
        <f t="shared" si="51"/>
        <v>62401.042456290532</v>
      </c>
      <c r="N78" s="37">
        <f t="shared" si="52"/>
        <v>60714.527795309703</v>
      </c>
      <c r="O78" s="37">
        <f t="shared" si="53"/>
        <v>59028.013134328867</v>
      </c>
      <c r="P78" s="37">
        <f t="shared" si="54"/>
        <v>57341.498473348052</v>
      </c>
      <c r="Q78" s="37">
        <f t="shared" si="55"/>
        <v>55654.983812367231</v>
      </c>
      <c r="R78" s="37">
        <f t="shared" si="56"/>
        <v>53968.469151386402</v>
      </c>
      <c r="S78" s="37">
        <f t="shared" si="57"/>
        <v>52619.25742260176</v>
      </c>
      <c r="T78" s="37">
        <f t="shared" si="58"/>
        <v>51270.045693817097</v>
      </c>
      <c r="U78" s="37">
        <f t="shared" si="18"/>
        <v>49920.833965032434</v>
      </c>
      <c r="V78" s="37">
        <f t="shared" si="19"/>
        <v>48571.622236247764</v>
      </c>
      <c r="W78" s="37">
        <f t="shared" si="20"/>
        <v>47222.410507463108</v>
      </c>
      <c r="X78" s="37">
        <f t="shared" si="21"/>
        <v>45873.198778678445</v>
      </c>
      <c r="Y78" s="37">
        <f t="shared" si="22"/>
        <v>44523.987049893782</v>
      </c>
      <c r="Z78" s="37">
        <f t="shared" si="23"/>
        <v>43174.775321109133</v>
      </c>
      <c r="AA78" s="37">
        <f t="shared" si="24"/>
        <v>41941.210311934585</v>
      </c>
      <c r="AB78" s="37">
        <f t="shared" si="25"/>
        <v>40707.645302760044</v>
      </c>
      <c r="AC78" s="37">
        <f t="shared" si="26"/>
        <v>39474.080293585488</v>
      </c>
      <c r="AD78" s="37">
        <f t="shared" si="27"/>
        <v>38240.51528441094</v>
      </c>
      <c r="AE78" s="37">
        <f t="shared" si="28"/>
        <v>37006.950275236406</v>
      </c>
      <c r="AF78" s="37">
        <f t="shared" si="29"/>
        <v>35773.38526606185</v>
      </c>
      <c r="AG78" s="37">
        <f t="shared" si="30"/>
        <v>34539.820256887302</v>
      </c>
      <c r="AH78" s="37">
        <f t="shared" si="31"/>
        <v>33552.968249547674</v>
      </c>
      <c r="AI78" s="37">
        <f t="shared" si="32"/>
        <v>32566.116242208027</v>
      </c>
      <c r="AJ78" s="37">
        <f t="shared" si="33"/>
        <v>31579.264234868391</v>
      </c>
      <c r="AK78" s="37">
        <f t="shared" si="34"/>
        <v>30592.412227528752</v>
      </c>
      <c r="AL78" s="37">
        <f t="shared" si="35"/>
        <v>29605.560220189123</v>
      </c>
      <c r="AM78" s="37">
        <f t="shared" si="36"/>
        <v>28618.70821284948</v>
      </c>
      <c r="AN78" s="37">
        <f t="shared" si="37"/>
        <v>27631.856205509837</v>
      </c>
      <c r="AO78" s="37">
        <f t="shared" si="38"/>
        <v>26842.374599638129</v>
      </c>
      <c r="AP78" s="37">
        <f t="shared" si="39"/>
        <v>26052.892993766418</v>
      </c>
      <c r="AQ78" s="37">
        <f t="shared" si="40"/>
        <v>25263.411387894714</v>
      </c>
      <c r="AR78" s="37">
        <f t="shared" si="41"/>
        <v>24473.929782022999</v>
      </c>
      <c r="AS78" s="37">
        <f t="shared" si="42"/>
        <v>23684.448176151291</v>
      </c>
      <c r="AT78" s="37">
        <f t="shared" si="43"/>
        <v>22894.966570279583</v>
      </c>
      <c r="AU78" s="37">
        <f t="shared" si="44"/>
        <v>22105.484964407879</v>
      </c>
      <c r="AV78" s="37">
        <f t="shared" si="45"/>
        <v>21473.899679710503</v>
      </c>
      <c r="AW78" s="37">
        <f t="shared" si="46"/>
        <v>20842.314395013134</v>
      </c>
      <c r="AX78" s="37">
        <f t="shared" si="47"/>
        <v>20210.72911031577</v>
      </c>
      <c r="AY78" s="37">
        <f t="shared" si="48"/>
        <v>19579.143825618401</v>
      </c>
      <c r="AZ78" s="37">
        <f t="shared" si="49"/>
        <v>18947.558540921036</v>
      </c>
    </row>
    <row r="79" spans="2:52">
      <c r="B79" t="str">
        <f t="shared" si="15"/>
        <v>solar thermal trough</v>
      </c>
      <c r="C79" t="str">
        <f t="shared" si="16"/>
        <v>Solar Parabolic Trough</v>
      </c>
      <c r="D79" s="37">
        <f t="shared" si="8"/>
        <v>0</v>
      </c>
      <c r="E79" s="37">
        <f t="shared" si="9"/>
        <v>1</v>
      </c>
      <c r="F79" s="37">
        <f t="shared" si="10"/>
        <v>0</v>
      </c>
      <c r="G79" s="37">
        <f t="shared" si="11"/>
        <v>0</v>
      </c>
      <c r="H79" s="37">
        <f t="shared" si="12"/>
        <v>0</v>
      </c>
      <c r="I79">
        <f t="shared" si="13"/>
        <v>44973.724292822008</v>
      </c>
      <c r="J79" s="37">
        <f t="shared" si="17"/>
        <v>44973.724292822008</v>
      </c>
      <c r="K79" s="37">
        <f t="shared" si="17"/>
        <v>44130.4669623316</v>
      </c>
      <c r="L79" s="37">
        <f t="shared" si="50"/>
        <v>43287.209631841179</v>
      </c>
      <c r="M79" s="37">
        <f t="shared" si="51"/>
        <v>42443.952301350771</v>
      </c>
      <c r="N79" s="37">
        <f t="shared" si="52"/>
        <v>41600.694970860357</v>
      </c>
      <c r="O79" s="37">
        <f t="shared" si="53"/>
        <v>40757.437640369943</v>
      </c>
      <c r="P79" s="37">
        <f t="shared" si="54"/>
        <v>39914.180309879528</v>
      </c>
      <c r="Q79" s="37">
        <f t="shared" si="55"/>
        <v>39070.922979389121</v>
      </c>
      <c r="R79" s="37">
        <f t="shared" si="56"/>
        <v>38227.665648898714</v>
      </c>
      <c r="S79" s="37">
        <f t="shared" si="57"/>
        <v>37510.896917981852</v>
      </c>
      <c r="T79" s="37">
        <f t="shared" si="58"/>
        <v>36794.128187065005</v>
      </c>
      <c r="U79" s="37">
        <f t="shared" si="18"/>
        <v>36077.359456148159</v>
      </c>
      <c r="V79" s="37">
        <f t="shared" si="19"/>
        <v>35360.590725231305</v>
      </c>
      <c r="W79" s="37">
        <f t="shared" si="20"/>
        <v>34643.821994314458</v>
      </c>
      <c r="X79" s="37">
        <f t="shared" si="21"/>
        <v>33927.053263397596</v>
      </c>
      <c r="Y79" s="37">
        <f t="shared" si="22"/>
        <v>33210.284532480749</v>
      </c>
      <c r="Z79" s="37">
        <f t="shared" si="23"/>
        <v>32493.515801563906</v>
      </c>
      <c r="AA79" s="37">
        <f t="shared" si="24"/>
        <v>31797.22617724468</v>
      </c>
      <c r="AB79" s="37">
        <f t="shared" si="25"/>
        <v>31100.93655292545</v>
      </c>
      <c r="AC79" s="37">
        <f t="shared" si="26"/>
        <v>30404.646928606227</v>
      </c>
      <c r="AD79" s="37">
        <f t="shared" si="27"/>
        <v>29708.357304287001</v>
      </c>
      <c r="AE79" s="37">
        <f t="shared" si="28"/>
        <v>29012.067679967768</v>
      </c>
      <c r="AF79" s="37">
        <f t="shared" si="29"/>
        <v>28315.778055648545</v>
      </c>
      <c r="AG79" s="37">
        <f t="shared" si="30"/>
        <v>27619.488431329315</v>
      </c>
      <c r="AH79" s="37">
        <f t="shared" si="31"/>
        <v>27027.64225065798</v>
      </c>
      <c r="AI79" s="37">
        <f t="shared" si="32"/>
        <v>26435.796069986638</v>
      </c>
      <c r="AJ79" s="37">
        <f t="shared" si="33"/>
        <v>25843.949889315292</v>
      </c>
      <c r="AK79" s="37">
        <f t="shared" si="34"/>
        <v>25252.10370864395</v>
      </c>
      <c r="AL79" s="37">
        <f t="shared" si="35"/>
        <v>24660.257527972608</v>
      </c>
      <c r="AM79" s="37">
        <f t="shared" si="36"/>
        <v>24068.411347301266</v>
      </c>
      <c r="AN79" s="37">
        <f t="shared" si="37"/>
        <v>23476.56516662992</v>
      </c>
      <c r="AO79" s="37">
        <f t="shared" si="38"/>
        <v>23036.379569755602</v>
      </c>
      <c r="AP79" s="37">
        <f t="shared" si="39"/>
        <v>22596.193972881294</v>
      </c>
      <c r="AQ79" s="37">
        <f t="shared" si="40"/>
        <v>22156.008376006979</v>
      </c>
      <c r="AR79" s="37">
        <f t="shared" si="41"/>
        <v>21715.822779132668</v>
      </c>
      <c r="AS79" s="37">
        <f t="shared" si="42"/>
        <v>21275.637182258361</v>
      </c>
      <c r="AT79" s="37">
        <f t="shared" si="43"/>
        <v>20835.451585384049</v>
      </c>
      <c r="AU79" s="37">
        <f t="shared" si="44"/>
        <v>20395.265988509735</v>
      </c>
      <c r="AV79" s="37">
        <f t="shared" si="45"/>
        <v>19955.080391635431</v>
      </c>
      <c r="AW79" s="37">
        <f t="shared" si="46"/>
        <v>19580.922634292263</v>
      </c>
      <c r="AX79" s="37">
        <f t="shared" si="47"/>
        <v>19206.764876949099</v>
      </c>
      <c r="AY79" s="37">
        <f t="shared" si="48"/>
        <v>18832.607119605938</v>
      </c>
      <c r="AZ79" s="37">
        <f t="shared" si="49"/>
        <v>18458.449362262774</v>
      </c>
    </row>
    <row r="80" spans="2:52">
      <c r="B80" t="str">
        <f t="shared" si="15"/>
        <v>solar PV</v>
      </c>
      <c r="C80" t="str">
        <f t="shared" si="16"/>
        <v>Solar Photovoltaic</v>
      </c>
      <c r="D80" s="37">
        <f t="shared" si="8"/>
        <v>0</v>
      </c>
      <c r="E80" s="37">
        <f t="shared" si="9"/>
        <v>1</v>
      </c>
      <c r="F80" s="37">
        <f t="shared" si="10"/>
        <v>0</v>
      </c>
      <c r="G80" s="37">
        <f t="shared" si="11"/>
        <v>0</v>
      </c>
      <c r="H80" s="37">
        <f t="shared" si="12"/>
        <v>0</v>
      </c>
      <c r="I80">
        <f t="shared" si="13"/>
        <v>50041.980236537951</v>
      </c>
      <c r="J80" s="37">
        <f t="shared" si="17"/>
        <v>50041.980236537951</v>
      </c>
      <c r="K80" s="37">
        <f t="shared" si="17"/>
        <v>45538.202015249524</v>
      </c>
      <c r="L80" s="37">
        <f t="shared" si="50"/>
        <v>41034.423793961119</v>
      </c>
      <c r="M80" s="37">
        <f t="shared" si="51"/>
        <v>38572.358366323453</v>
      </c>
      <c r="N80" s="37">
        <f t="shared" si="52"/>
        <v>36110.292938685787</v>
      </c>
      <c r="O80" s="37">
        <f t="shared" si="53"/>
        <v>33648.227511048121</v>
      </c>
      <c r="P80" s="37">
        <f t="shared" si="54"/>
        <v>30619.887035053798</v>
      </c>
      <c r="Q80" s="37">
        <f t="shared" si="55"/>
        <v>27591.546559059454</v>
      </c>
      <c r="R80" s="37">
        <f t="shared" si="56"/>
        <v>25936.053765515891</v>
      </c>
      <c r="S80" s="37">
        <f t="shared" si="57"/>
        <v>24280.560971972318</v>
      </c>
      <c r="T80" s="37">
        <f t="shared" si="58"/>
        <v>22625.068178428755</v>
      </c>
      <c r="U80" s="37">
        <f t="shared" si="18"/>
        <v>21267.564087723033</v>
      </c>
      <c r="V80" s="37">
        <f t="shared" si="19"/>
        <v>19910.059997017303</v>
      </c>
      <c r="W80" s="37">
        <f t="shared" si="20"/>
        <v>18552.555906311583</v>
      </c>
      <c r="X80" s="37">
        <f t="shared" si="21"/>
        <v>17717.690890527563</v>
      </c>
      <c r="Y80" s="37">
        <f t="shared" si="22"/>
        <v>16882.825874743543</v>
      </c>
      <c r="Z80" s="37">
        <f t="shared" si="23"/>
        <v>16047.960858959523</v>
      </c>
      <c r="AA80" s="37">
        <f t="shared" si="24"/>
        <v>15213.095843175501</v>
      </c>
      <c r="AB80" s="37">
        <f t="shared" si="25"/>
        <v>15213.095843175501</v>
      </c>
      <c r="AC80" s="37">
        <f t="shared" si="26"/>
        <v>15213.095843175501</v>
      </c>
      <c r="AD80" s="37">
        <f t="shared" si="27"/>
        <v>15213.095843175501</v>
      </c>
      <c r="AE80" s="37">
        <f t="shared" si="28"/>
        <v>15213.095843175501</v>
      </c>
      <c r="AF80" s="37">
        <f t="shared" si="29"/>
        <v>15213.095843175501</v>
      </c>
      <c r="AG80" s="37">
        <f t="shared" si="30"/>
        <v>15213.095843175501</v>
      </c>
      <c r="AH80" s="37">
        <f t="shared" si="31"/>
        <v>15213.095843175501</v>
      </c>
      <c r="AI80" s="37">
        <f t="shared" si="32"/>
        <v>15213.095843175501</v>
      </c>
      <c r="AJ80" s="37">
        <f t="shared" si="33"/>
        <v>15213.095843175501</v>
      </c>
      <c r="AK80" s="37">
        <f t="shared" si="34"/>
        <v>15213.095843175501</v>
      </c>
      <c r="AL80" s="37">
        <f t="shared" si="35"/>
        <v>15213.095843175501</v>
      </c>
      <c r="AM80" s="37">
        <f t="shared" si="36"/>
        <v>15213.095843175501</v>
      </c>
      <c r="AN80" s="37">
        <f t="shared" si="37"/>
        <v>15213.095843175501</v>
      </c>
      <c r="AO80" s="37">
        <f t="shared" si="38"/>
        <v>15213.095843175501</v>
      </c>
      <c r="AP80" s="37">
        <f t="shared" si="39"/>
        <v>15213.095843175501</v>
      </c>
      <c r="AQ80" s="37">
        <f t="shared" si="40"/>
        <v>15213.095843175501</v>
      </c>
      <c r="AR80" s="37">
        <f t="shared" si="41"/>
        <v>15213.095843175501</v>
      </c>
      <c r="AS80" s="37">
        <f t="shared" si="42"/>
        <v>15213.095843175501</v>
      </c>
      <c r="AT80" s="37">
        <f t="shared" si="43"/>
        <v>15213.095843175501</v>
      </c>
      <c r="AU80" s="37">
        <f t="shared" si="44"/>
        <v>15213.095843175501</v>
      </c>
      <c r="AV80" s="37">
        <f t="shared" si="45"/>
        <v>15213.095843175501</v>
      </c>
      <c r="AW80" s="37">
        <f t="shared" si="46"/>
        <v>15213.095843175501</v>
      </c>
      <c r="AX80" s="37">
        <f t="shared" si="47"/>
        <v>15213.095843175501</v>
      </c>
      <c r="AY80" s="37">
        <f t="shared" si="48"/>
        <v>15213.095843175501</v>
      </c>
      <c r="AZ80" s="37">
        <f t="shared" si="49"/>
        <v>15213.095843175501</v>
      </c>
    </row>
    <row r="81" spans="2:52">
      <c r="B81" t="str">
        <f t="shared" si="15"/>
        <v>combined cycle gas</v>
      </c>
      <c r="C81" t="str">
        <f t="shared" si="16"/>
        <v>Combined Cycle Gas Turbine</v>
      </c>
      <c r="D81" s="37">
        <f t="shared" si="8"/>
        <v>0</v>
      </c>
      <c r="E81" s="37">
        <f t="shared" si="9"/>
        <v>0</v>
      </c>
      <c r="F81" s="37">
        <f t="shared" si="10"/>
        <v>0</v>
      </c>
      <c r="G81" s="37">
        <f t="shared" si="11"/>
        <v>0</v>
      </c>
      <c r="H81" s="37">
        <f t="shared" si="12"/>
        <v>1</v>
      </c>
      <c r="I81">
        <f t="shared" si="13"/>
        <v>8763.4555914193443</v>
      </c>
      <c r="J81" s="37">
        <f t="shared" si="17"/>
        <v>8763.4555914193443</v>
      </c>
      <c r="K81" s="37">
        <f t="shared" si="17"/>
        <v>8713.663230104461</v>
      </c>
      <c r="L81" s="37">
        <f t="shared" si="50"/>
        <v>8663.8708687895778</v>
      </c>
      <c r="M81" s="37">
        <f t="shared" si="51"/>
        <v>8614.0785074746946</v>
      </c>
      <c r="N81" s="37">
        <f t="shared" si="52"/>
        <v>8564.2861461598131</v>
      </c>
      <c r="O81" s="37">
        <f t="shared" si="53"/>
        <v>8514.4937848449299</v>
      </c>
      <c r="P81" s="37">
        <f t="shared" si="54"/>
        <v>8494.2211805952975</v>
      </c>
      <c r="Q81" s="37">
        <f t="shared" si="55"/>
        <v>8473.9485763456651</v>
      </c>
      <c r="R81" s="37">
        <f t="shared" si="56"/>
        <v>8453.6759720960363</v>
      </c>
      <c r="S81" s="37">
        <f t="shared" si="57"/>
        <v>8433.4033678464057</v>
      </c>
      <c r="T81" s="37">
        <f t="shared" si="58"/>
        <v>8413.1307635967751</v>
      </c>
      <c r="U81" s="37">
        <f t="shared" si="18"/>
        <v>8392.8581593471445</v>
      </c>
      <c r="V81" s="37">
        <f t="shared" si="19"/>
        <v>8372.5855550975139</v>
      </c>
      <c r="W81" s="37">
        <f t="shared" si="20"/>
        <v>8352.3129508478833</v>
      </c>
      <c r="X81" s="37">
        <f t="shared" si="21"/>
        <v>8332.0403465982527</v>
      </c>
      <c r="Y81" s="37">
        <f t="shared" si="22"/>
        <v>8311.7677423486202</v>
      </c>
      <c r="Z81" s="37">
        <f t="shared" si="23"/>
        <v>8291.4951380989896</v>
      </c>
      <c r="AA81" s="37">
        <f t="shared" si="24"/>
        <v>8271.222533849359</v>
      </c>
      <c r="AB81" s="37">
        <f t="shared" si="25"/>
        <v>8250.9499295997266</v>
      </c>
      <c r="AC81" s="37">
        <f t="shared" si="26"/>
        <v>8230.6773253500978</v>
      </c>
      <c r="AD81" s="37">
        <f t="shared" si="27"/>
        <v>8210.4047211004654</v>
      </c>
      <c r="AE81" s="37">
        <f t="shared" si="28"/>
        <v>8190.1321168508348</v>
      </c>
      <c r="AF81" s="37">
        <f t="shared" si="29"/>
        <v>8169.8595126012051</v>
      </c>
      <c r="AG81" s="37">
        <f t="shared" si="30"/>
        <v>8149.5869083515745</v>
      </c>
      <c r="AH81" s="37">
        <f t="shared" si="31"/>
        <v>8129.3143041019439</v>
      </c>
      <c r="AI81" s="37">
        <f t="shared" si="32"/>
        <v>8109.0416998523124</v>
      </c>
      <c r="AJ81" s="37">
        <f t="shared" si="33"/>
        <v>8088.7690956026836</v>
      </c>
      <c r="AK81" s="37">
        <f t="shared" si="34"/>
        <v>8076.130393890804</v>
      </c>
      <c r="AL81" s="37">
        <f t="shared" si="35"/>
        <v>8063.4916921789236</v>
      </c>
      <c r="AM81" s="37">
        <f t="shared" si="36"/>
        <v>8050.8529904670449</v>
      </c>
      <c r="AN81" s="37">
        <f t="shared" si="37"/>
        <v>8038.2142887551654</v>
      </c>
      <c r="AO81" s="37">
        <f t="shared" si="38"/>
        <v>8025.5755870432868</v>
      </c>
      <c r="AP81" s="37">
        <f t="shared" si="39"/>
        <v>8012.9368853314072</v>
      </c>
      <c r="AQ81" s="37">
        <f t="shared" si="40"/>
        <v>8000.2981836195286</v>
      </c>
      <c r="AR81" s="37">
        <f t="shared" si="41"/>
        <v>7987.6594819076481</v>
      </c>
      <c r="AS81" s="37">
        <f t="shared" si="42"/>
        <v>7975.0207801957695</v>
      </c>
      <c r="AT81" s="37">
        <f t="shared" si="43"/>
        <v>7962.3820784838908</v>
      </c>
      <c r="AU81" s="37">
        <f t="shared" si="44"/>
        <v>7949.7433767720113</v>
      </c>
      <c r="AV81" s="37">
        <f t="shared" si="45"/>
        <v>7937.1046750601317</v>
      </c>
      <c r="AW81" s="37">
        <f t="shared" si="46"/>
        <v>7924.4659733482522</v>
      </c>
      <c r="AX81" s="37">
        <f t="shared" si="47"/>
        <v>7911.8272716363736</v>
      </c>
      <c r="AY81" s="37">
        <f t="shared" si="48"/>
        <v>7899.1885699244949</v>
      </c>
      <c r="AZ81" s="37">
        <f t="shared" si="49"/>
        <v>7886.5498682126163</v>
      </c>
    </row>
    <row r="82" spans="2:52">
      <c r="B82" t="str">
        <f t="shared" si="15"/>
        <v>PBMR</v>
      </c>
      <c r="C82" t="str">
        <f t="shared" si="16"/>
        <v>Nuclear Pebble-Bed Modular Reactor</v>
      </c>
      <c r="D82" s="37">
        <f t="shared" si="8"/>
        <v>0</v>
      </c>
      <c r="E82" s="37">
        <f t="shared" si="9"/>
        <v>0</v>
      </c>
      <c r="F82" s="37">
        <f t="shared" si="10"/>
        <v>1</v>
      </c>
      <c r="G82" s="37">
        <f t="shared" si="11"/>
        <v>0</v>
      </c>
      <c r="H82" s="37">
        <f t="shared" si="12"/>
        <v>0</v>
      </c>
      <c r="I82">
        <f t="shared" si="13"/>
        <v>35491.598759818553</v>
      </c>
      <c r="J82" s="37">
        <f t="shared" si="17"/>
        <v>35491.598759818553</v>
      </c>
      <c r="K82" s="37">
        <f t="shared" si="17"/>
        <v>35491.598759818553</v>
      </c>
      <c r="L82" s="37">
        <f t="shared" si="50"/>
        <v>35491.598759818553</v>
      </c>
      <c r="M82" s="37">
        <f t="shared" si="51"/>
        <v>35491.598759818553</v>
      </c>
      <c r="N82" s="37">
        <f t="shared" si="52"/>
        <v>35491.598759818553</v>
      </c>
      <c r="O82" s="37">
        <f t="shared" si="53"/>
        <v>35491.598759818553</v>
      </c>
      <c r="P82" s="37">
        <f t="shared" si="54"/>
        <v>35491.598759818553</v>
      </c>
      <c r="Q82" s="37">
        <f t="shared" si="55"/>
        <v>35491.598759818553</v>
      </c>
      <c r="R82" s="37">
        <f t="shared" si="56"/>
        <v>35491.598759818553</v>
      </c>
      <c r="S82" s="37">
        <f t="shared" si="57"/>
        <v>35491.598759818553</v>
      </c>
      <c r="T82" s="37">
        <f t="shared" si="58"/>
        <v>35491.598759818553</v>
      </c>
      <c r="U82" s="37">
        <f t="shared" si="18"/>
        <v>35491.598759818553</v>
      </c>
      <c r="V82" s="37">
        <f t="shared" si="19"/>
        <v>35491.598759818553</v>
      </c>
      <c r="W82" s="37">
        <f t="shared" si="20"/>
        <v>35491.598759818553</v>
      </c>
      <c r="X82" s="37">
        <f t="shared" si="21"/>
        <v>35491.598759818553</v>
      </c>
      <c r="Y82" s="37">
        <f t="shared" si="22"/>
        <v>35491.598759818553</v>
      </c>
      <c r="Z82" s="37">
        <f t="shared" si="23"/>
        <v>35491.598759818553</v>
      </c>
      <c r="AA82" s="37">
        <f t="shared" si="24"/>
        <v>35491.598759818553</v>
      </c>
      <c r="AB82" s="37">
        <f t="shared" si="25"/>
        <v>35491.598759818553</v>
      </c>
      <c r="AC82" s="37">
        <f t="shared" si="26"/>
        <v>35491.598759818553</v>
      </c>
      <c r="AD82" s="37">
        <f t="shared" si="27"/>
        <v>35491.598759818553</v>
      </c>
      <c r="AE82" s="37">
        <f t="shared" si="28"/>
        <v>35491.598759818553</v>
      </c>
      <c r="AF82" s="37">
        <f t="shared" si="29"/>
        <v>35491.598759818553</v>
      </c>
      <c r="AG82" s="37">
        <f t="shared" si="30"/>
        <v>35491.598759818553</v>
      </c>
      <c r="AH82" s="37">
        <f t="shared" si="31"/>
        <v>35491.598759818553</v>
      </c>
      <c r="AI82" s="37">
        <f t="shared" si="32"/>
        <v>35491.598759818553</v>
      </c>
      <c r="AJ82" s="37">
        <f t="shared" si="33"/>
        <v>35491.598759818553</v>
      </c>
      <c r="AK82" s="37">
        <f t="shared" si="34"/>
        <v>35491.598759818553</v>
      </c>
      <c r="AL82" s="37">
        <f t="shared" si="35"/>
        <v>35491.598759818553</v>
      </c>
      <c r="AM82" s="37">
        <f t="shared" si="36"/>
        <v>35491.598759818553</v>
      </c>
      <c r="AN82" s="37">
        <f t="shared" si="37"/>
        <v>35491.598759818553</v>
      </c>
      <c r="AO82" s="37">
        <f t="shared" si="38"/>
        <v>35491.598759818553</v>
      </c>
      <c r="AP82" s="37">
        <f t="shared" si="39"/>
        <v>35491.598759818553</v>
      </c>
      <c r="AQ82" s="37">
        <f t="shared" si="40"/>
        <v>35491.598759818553</v>
      </c>
      <c r="AR82" s="37">
        <f t="shared" si="41"/>
        <v>35491.598759818553</v>
      </c>
      <c r="AS82" s="37">
        <f t="shared" si="42"/>
        <v>35491.598759818553</v>
      </c>
      <c r="AT82" s="37">
        <f t="shared" si="43"/>
        <v>35491.598759818553</v>
      </c>
      <c r="AU82" s="37">
        <f t="shared" si="44"/>
        <v>35491.598759818553</v>
      </c>
      <c r="AV82" s="37">
        <f t="shared" si="45"/>
        <v>35491.598759818553</v>
      </c>
      <c r="AW82" s="37">
        <f t="shared" si="46"/>
        <v>35491.598759818553</v>
      </c>
      <c r="AX82" s="37">
        <f t="shared" si="47"/>
        <v>35491.598759818553</v>
      </c>
      <c r="AY82" s="37">
        <f t="shared" si="48"/>
        <v>35491.598759818553</v>
      </c>
      <c r="AZ82" s="37">
        <f t="shared" si="49"/>
        <v>35491.598759818553</v>
      </c>
    </row>
    <row r="83" spans="2:52">
      <c r="B83" t="str">
        <f t="shared" si="15"/>
        <v>IGCC</v>
      </c>
      <c r="C83" t="str">
        <f t="shared" si="16"/>
        <v>Integrated Gasification Combined Cycle Coal</v>
      </c>
      <c r="D83" s="37">
        <f t="shared" si="8"/>
        <v>1</v>
      </c>
      <c r="E83" s="37">
        <f t="shared" si="9"/>
        <v>0</v>
      </c>
      <c r="F83" s="37">
        <f t="shared" si="10"/>
        <v>0</v>
      </c>
      <c r="G83" s="37">
        <f t="shared" si="11"/>
        <v>0</v>
      </c>
      <c r="H83" s="37">
        <f t="shared" si="12"/>
        <v>0</v>
      </c>
      <c r="I83">
        <f t="shared" si="13"/>
        <v>23406.72339604314</v>
      </c>
      <c r="J83" s="37">
        <f t="shared" si="17"/>
        <v>23406.72339604314</v>
      </c>
      <c r="K83" s="37">
        <f t="shared" si="17"/>
        <v>23406.72339604314</v>
      </c>
      <c r="L83" s="37">
        <f t="shared" si="50"/>
        <v>23406.72339604314</v>
      </c>
      <c r="M83" s="37">
        <f t="shared" si="51"/>
        <v>23406.72339604314</v>
      </c>
      <c r="N83" s="37">
        <f t="shared" si="52"/>
        <v>23406.72339604314</v>
      </c>
      <c r="O83" s="37">
        <f t="shared" si="53"/>
        <v>23406.72339604314</v>
      </c>
      <c r="P83" s="37">
        <f t="shared" si="54"/>
        <v>23406.72339604314</v>
      </c>
      <c r="Q83" s="37">
        <f t="shared" si="55"/>
        <v>23406.72339604314</v>
      </c>
      <c r="R83" s="37">
        <f t="shared" si="56"/>
        <v>23406.72339604314</v>
      </c>
      <c r="S83" s="37">
        <f t="shared" si="57"/>
        <v>23406.72339604314</v>
      </c>
      <c r="T83" s="37">
        <f t="shared" si="58"/>
        <v>23406.72339604314</v>
      </c>
      <c r="U83" s="37">
        <f t="shared" si="18"/>
        <v>23406.72339604314</v>
      </c>
      <c r="V83" s="37">
        <f t="shared" si="19"/>
        <v>23406.72339604314</v>
      </c>
      <c r="W83" s="37">
        <f t="shared" si="20"/>
        <v>23406.72339604314</v>
      </c>
      <c r="X83" s="37">
        <f t="shared" si="21"/>
        <v>23406.72339604314</v>
      </c>
      <c r="Y83" s="37">
        <f t="shared" si="22"/>
        <v>23406.72339604314</v>
      </c>
      <c r="Z83" s="37">
        <f t="shared" si="23"/>
        <v>23406.72339604314</v>
      </c>
      <c r="AA83" s="37">
        <f t="shared" si="24"/>
        <v>23406.72339604314</v>
      </c>
      <c r="AB83" s="37">
        <f t="shared" si="25"/>
        <v>23406.72339604314</v>
      </c>
      <c r="AC83" s="37">
        <f t="shared" si="26"/>
        <v>23406.72339604314</v>
      </c>
      <c r="AD83" s="37">
        <f t="shared" si="27"/>
        <v>23406.72339604314</v>
      </c>
      <c r="AE83" s="37">
        <f t="shared" si="28"/>
        <v>23406.72339604314</v>
      </c>
      <c r="AF83" s="37">
        <f t="shared" si="29"/>
        <v>23406.72339604314</v>
      </c>
      <c r="AG83" s="37">
        <f t="shared" si="30"/>
        <v>23406.72339604314</v>
      </c>
      <c r="AH83" s="37">
        <f t="shared" si="31"/>
        <v>23406.72339604314</v>
      </c>
      <c r="AI83" s="37">
        <f t="shared" si="32"/>
        <v>23406.72339604314</v>
      </c>
      <c r="AJ83" s="37">
        <f t="shared" si="33"/>
        <v>23406.72339604314</v>
      </c>
      <c r="AK83" s="37">
        <f t="shared" si="34"/>
        <v>23406.72339604314</v>
      </c>
      <c r="AL83" s="37">
        <f t="shared" si="35"/>
        <v>23406.72339604314</v>
      </c>
      <c r="AM83" s="37">
        <f t="shared" si="36"/>
        <v>23406.72339604314</v>
      </c>
      <c r="AN83" s="37">
        <f t="shared" si="37"/>
        <v>23406.72339604314</v>
      </c>
      <c r="AO83" s="37">
        <f t="shared" si="38"/>
        <v>23406.72339604314</v>
      </c>
      <c r="AP83" s="37">
        <f t="shared" si="39"/>
        <v>23406.72339604314</v>
      </c>
      <c r="AQ83" s="37">
        <f t="shared" si="40"/>
        <v>23406.72339604314</v>
      </c>
      <c r="AR83" s="37">
        <f t="shared" si="41"/>
        <v>23406.72339604314</v>
      </c>
      <c r="AS83" s="37">
        <f t="shared" si="42"/>
        <v>23406.72339604314</v>
      </c>
      <c r="AT83" s="37">
        <f t="shared" si="43"/>
        <v>23406.72339604314</v>
      </c>
      <c r="AU83" s="37">
        <f t="shared" si="44"/>
        <v>23406.72339604314</v>
      </c>
      <c r="AV83" s="37">
        <f t="shared" si="45"/>
        <v>23406.72339604314</v>
      </c>
      <c r="AW83" s="37">
        <f t="shared" si="46"/>
        <v>23406.72339604314</v>
      </c>
      <c r="AX83" s="37">
        <f t="shared" si="47"/>
        <v>23406.72339604314</v>
      </c>
      <c r="AY83" s="37">
        <f t="shared" si="48"/>
        <v>23406.72339604314</v>
      </c>
      <c r="AZ83" s="37">
        <f t="shared" si="49"/>
        <v>23406.72339604314</v>
      </c>
    </row>
    <row r="84" spans="2:52">
      <c r="B84" t="str">
        <f t="shared" si="15"/>
        <v>-</v>
      </c>
      <c r="C84" t="str">
        <f t="shared" si="16"/>
        <v>not used</v>
      </c>
      <c r="D84" s="37">
        <f t="shared" si="8"/>
        <v>0</v>
      </c>
      <c r="E84" s="37">
        <f t="shared" si="9"/>
        <v>0</v>
      </c>
      <c r="F84" s="37">
        <f t="shared" si="10"/>
        <v>0</v>
      </c>
      <c r="G84" s="37">
        <f t="shared" si="11"/>
        <v>0</v>
      </c>
      <c r="H84" s="37">
        <f t="shared" si="12"/>
        <v>0</v>
      </c>
      <c r="I84">
        <f t="shared" si="13"/>
        <v>0</v>
      </c>
      <c r="J84" s="37">
        <f t="shared" si="17"/>
        <v>0</v>
      </c>
      <c r="K84" s="37">
        <f t="shared" si="17"/>
        <v>0</v>
      </c>
      <c r="L84" s="37">
        <f t="shared" si="50"/>
        <v>0</v>
      </c>
      <c r="M84" s="37">
        <f t="shared" si="51"/>
        <v>0</v>
      </c>
      <c r="N84" s="37">
        <f t="shared" si="52"/>
        <v>0</v>
      </c>
      <c r="O84" s="37">
        <f t="shared" si="53"/>
        <v>0</v>
      </c>
      <c r="P84" s="37">
        <f t="shared" si="54"/>
        <v>0</v>
      </c>
      <c r="Q84" s="37">
        <f t="shared" si="55"/>
        <v>0</v>
      </c>
      <c r="R84" s="37">
        <f t="shared" si="56"/>
        <v>0</v>
      </c>
      <c r="S84" s="37">
        <f t="shared" si="57"/>
        <v>0</v>
      </c>
      <c r="T84" s="37">
        <f t="shared" si="58"/>
        <v>0</v>
      </c>
      <c r="U84" s="37">
        <f t="shared" si="18"/>
        <v>0</v>
      </c>
      <c r="V84" s="37">
        <f t="shared" si="19"/>
        <v>0</v>
      </c>
      <c r="W84" s="37">
        <f t="shared" si="20"/>
        <v>0</v>
      </c>
      <c r="X84" s="37">
        <f t="shared" si="21"/>
        <v>0</v>
      </c>
      <c r="Y84" s="37">
        <f t="shared" si="22"/>
        <v>0</v>
      </c>
      <c r="Z84" s="37">
        <f t="shared" si="23"/>
        <v>0</v>
      </c>
      <c r="AA84" s="37">
        <f t="shared" si="24"/>
        <v>0</v>
      </c>
      <c r="AB84" s="37">
        <f t="shared" si="25"/>
        <v>0</v>
      </c>
      <c r="AC84" s="37">
        <f t="shared" si="26"/>
        <v>0</v>
      </c>
      <c r="AD84" s="37">
        <f t="shared" si="27"/>
        <v>0</v>
      </c>
      <c r="AE84" s="37">
        <f t="shared" si="28"/>
        <v>0</v>
      </c>
      <c r="AF84" s="37">
        <f t="shared" si="29"/>
        <v>0</v>
      </c>
      <c r="AG84" s="37">
        <f t="shared" si="30"/>
        <v>0</v>
      </c>
      <c r="AH84" s="37">
        <f t="shared" si="31"/>
        <v>0</v>
      </c>
      <c r="AI84" s="37">
        <f t="shared" si="32"/>
        <v>0</v>
      </c>
      <c r="AJ84" s="37">
        <f t="shared" si="33"/>
        <v>0</v>
      </c>
      <c r="AK84" s="37">
        <f t="shared" si="34"/>
        <v>0</v>
      </c>
      <c r="AL84" s="37">
        <f t="shared" si="35"/>
        <v>0</v>
      </c>
      <c r="AM84" s="37">
        <f t="shared" si="36"/>
        <v>0</v>
      </c>
      <c r="AN84" s="37">
        <f t="shared" si="37"/>
        <v>0</v>
      </c>
      <c r="AO84" s="37">
        <f t="shared" si="38"/>
        <v>0</v>
      </c>
      <c r="AP84" s="37">
        <f t="shared" si="39"/>
        <v>0</v>
      </c>
      <c r="AQ84" s="37">
        <f t="shared" si="40"/>
        <v>0</v>
      </c>
      <c r="AR84" s="37">
        <f t="shared" si="41"/>
        <v>0</v>
      </c>
      <c r="AS84" s="37">
        <f t="shared" si="42"/>
        <v>0</v>
      </c>
      <c r="AT84" s="37">
        <f t="shared" si="43"/>
        <v>0</v>
      </c>
      <c r="AU84" s="37">
        <f t="shared" si="44"/>
        <v>0</v>
      </c>
      <c r="AV84" s="37">
        <f t="shared" si="45"/>
        <v>0</v>
      </c>
      <c r="AW84" s="37">
        <f t="shared" si="46"/>
        <v>0</v>
      </c>
      <c r="AX84" s="37">
        <f t="shared" si="47"/>
        <v>0</v>
      </c>
      <c r="AY84" s="37">
        <f t="shared" si="48"/>
        <v>0</v>
      </c>
      <c r="AZ84" s="37">
        <f t="shared" si="49"/>
        <v>0</v>
      </c>
    </row>
    <row r="85" spans="2:52">
      <c r="B85" t="str">
        <f t="shared" si="15"/>
        <v>-</v>
      </c>
      <c r="C85" t="str">
        <f t="shared" si="16"/>
        <v>not used</v>
      </c>
      <c r="D85" s="37">
        <f t="shared" si="8"/>
        <v>0</v>
      </c>
      <c r="E85" s="37">
        <f t="shared" si="9"/>
        <v>0</v>
      </c>
      <c r="F85" s="37">
        <f t="shared" si="10"/>
        <v>0</v>
      </c>
      <c r="G85" s="37">
        <f t="shared" si="11"/>
        <v>0</v>
      </c>
      <c r="H85" s="37">
        <f t="shared" si="12"/>
        <v>0</v>
      </c>
      <c r="I85">
        <f t="shared" si="13"/>
        <v>0</v>
      </c>
      <c r="J85" s="37">
        <f t="shared" si="17"/>
        <v>0</v>
      </c>
      <c r="K85" s="37">
        <f t="shared" si="17"/>
        <v>0</v>
      </c>
      <c r="L85" s="37">
        <f t="shared" si="50"/>
        <v>0</v>
      </c>
      <c r="M85" s="37">
        <f t="shared" si="51"/>
        <v>0</v>
      </c>
      <c r="N85" s="37">
        <f t="shared" si="52"/>
        <v>0</v>
      </c>
      <c r="O85" s="37">
        <f t="shared" si="53"/>
        <v>0</v>
      </c>
      <c r="P85" s="37">
        <f t="shared" si="54"/>
        <v>0</v>
      </c>
      <c r="Q85" s="37">
        <f t="shared" si="55"/>
        <v>0</v>
      </c>
      <c r="R85" s="37">
        <f t="shared" si="56"/>
        <v>0</v>
      </c>
      <c r="S85" s="37">
        <f t="shared" si="57"/>
        <v>0</v>
      </c>
      <c r="T85" s="37">
        <f t="shared" si="58"/>
        <v>0</v>
      </c>
      <c r="U85" s="37">
        <f t="shared" si="18"/>
        <v>0</v>
      </c>
      <c r="V85" s="37">
        <f t="shared" si="19"/>
        <v>0</v>
      </c>
      <c r="W85" s="37">
        <f t="shared" si="20"/>
        <v>0</v>
      </c>
      <c r="X85" s="37">
        <f t="shared" si="21"/>
        <v>0</v>
      </c>
      <c r="Y85" s="37">
        <f t="shared" si="22"/>
        <v>0</v>
      </c>
      <c r="Z85" s="37">
        <f t="shared" si="23"/>
        <v>0</v>
      </c>
      <c r="AA85" s="37">
        <f t="shared" si="24"/>
        <v>0</v>
      </c>
      <c r="AB85" s="37">
        <f t="shared" si="25"/>
        <v>0</v>
      </c>
      <c r="AC85" s="37">
        <f t="shared" si="26"/>
        <v>0</v>
      </c>
      <c r="AD85" s="37">
        <f t="shared" si="27"/>
        <v>0</v>
      </c>
      <c r="AE85" s="37">
        <f t="shared" si="28"/>
        <v>0</v>
      </c>
      <c r="AF85" s="37">
        <f t="shared" si="29"/>
        <v>0</v>
      </c>
      <c r="AG85" s="37">
        <f t="shared" si="30"/>
        <v>0</v>
      </c>
      <c r="AH85" s="37">
        <f t="shared" si="31"/>
        <v>0</v>
      </c>
      <c r="AI85" s="37">
        <f t="shared" si="32"/>
        <v>0</v>
      </c>
      <c r="AJ85" s="37">
        <f t="shared" si="33"/>
        <v>0</v>
      </c>
      <c r="AK85" s="37">
        <f t="shared" si="34"/>
        <v>0</v>
      </c>
      <c r="AL85" s="37">
        <f t="shared" si="35"/>
        <v>0</v>
      </c>
      <c r="AM85" s="37">
        <f t="shared" si="36"/>
        <v>0</v>
      </c>
      <c r="AN85" s="37">
        <f t="shared" si="37"/>
        <v>0</v>
      </c>
      <c r="AO85" s="37">
        <f t="shared" si="38"/>
        <v>0</v>
      </c>
      <c r="AP85" s="37">
        <f t="shared" si="39"/>
        <v>0</v>
      </c>
      <c r="AQ85" s="37">
        <f t="shared" si="40"/>
        <v>0</v>
      </c>
      <c r="AR85" s="37">
        <f t="shared" si="41"/>
        <v>0</v>
      </c>
      <c r="AS85" s="37">
        <f t="shared" si="42"/>
        <v>0</v>
      </c>
      <c r="AT85" s="37">
        <f t="shared" si="43"/>
        <v>0</v>
      </c>
      <c r="AU85" s="37">
        <f t="shared" si="44"/>
        <v>0</v>
      </c>
      <c r="AV85" s="37">
        <f t="shared" si="45"/>
        <v>0</v>
      </c>
      <c r="AW85" s="37">
        <f t="shared" si="46"/>
        <v>0</v>
      </c>
      <c r="AX85" s="37">
        <f t="shared" si="47"/>
        <v>0</v>
      </c>
      <c r="AY85" s="37">
        <f t="shared" si="48"/>
        <v>0</v>
      </c>
      <c r="AZ85" s="37">
        <f t="shared" si="49"/>
        <v>0</v>
      </c>
    </row>
    <row r="86" spans="2:52">
      <c r="B86" t="str">
        <f t="shared" si="15"/>
        <v>-</v>
      </c>
      <c r="C86" t="str">
        <f t="shared" si="16"/>
        <v>not used</v>
      </c>
      <c r="D86" s="37">
        <f t="shared" si="8"/>
        <v>0</v>
      </c>
      <c r="E86" s="37">
        <f t="shared" si="9"/>
        <v>0</v>
      </c>
      <c r="F86" s="37">
        <f t="shared" si="10"/>
        <v>0</v>
      </c>
      <c r="G86" s="37">
        <f t="shared" si="11"/>
        <v>0</v>
      </c>
      <c r="H86" s="37">
        <f t="shared" si="12"/>
        <v>0</v>
      </c>
      <c r="I86">
        <f t="shared" si="13"/>
        <v>0</v>
      </c>
      <c r="J86" s="37">
        <f t="shared" si="17"/>
        <v>0</v>
      </c>
      <c r="K86" s="37">
        <f t="shared" si="17"/>
        <v>0</v>
      </c>
      <c r="L86" s="37">
        <f t="shared" si="50"/>
        <v>0</v>
      </c>
      <c r="M86" s="37">
        <f t="shared" si="51"/>
        <v>0</v>
      </c>
      <c r="N86" s="37">
        <f t="shared" si="52"/>
        <v>0</v>
      </c>
      <c r="O86" s="37">
        <f t="shared" si="53"/>
        <v>0</v>
      </c>
      <c r="P86" s="37">
        <f t="shared" si="54"/>
        <v>0</v>
      </c>
      <c r="Q86" s="37">
        <f t="shared" si="55"/>
        <v>0</v>
      </c>
      <c r="R86" s="37">
        <f t="shared" si="56"/>
        <v>0</v>
      </c>
      <c r="S86" s="37">
        <f t="shared" si="57"/>
        <v>0</v>
      </c>
      <c r="T86" s="37">
        <f t="shared" si="58"/>
        <v>0</v>
      </c>
      <c r="U86" s="37">
        <f t="shared" si="18"/>
        <v>0</v>
      </c>
      <c r="V86" s="37">
        <f t="shared" si="19"/>
        <v>0</v>
      </c>
      <c r="W86" s="37">
        <f t="shared" si="20"/>
        <v>0</v>
      </c>
      <c r="X86" s="37">
        <f t="shared" si="21"/>
        <v>0</v>
      </c>
      <c r="Y86" s="37">
        <f t="shared" si="22"/>
        <v>0</v>
      </c>
      <c r="Z86" s="37">
        <f t="shared" si="23"/>
        <v>0</v>
      </c>
      <c r="AA86" s="37">
        <f t="shared" si="24"/>
        <v>0</v>
      </c>
      <c r="AB86" s="37">
        <f t="shared" si="25"/>
        <v>0</v>
      </c>
      <c r="AC86" s="37">
        <f t="shared" si="26"/>
        <v>0</v>
      </c>
      <c r="AD86" s="37">
        <f t="shared" si="27"/>
        <v>0</v>
      </c>
      <c r="AE86" s="37">
        <f t="shared" si="28"/>
        <v>0</v>
      </c>
      <c r="AF86" s="37">
        <f t="shared" si="29"/>
        <v>0</v>
      </c>
      <c r="AG86" s="37">
        <f t="shared" si="30"/>
        <v>0</v>
      </c>
      <c r="AH86" s="37">
        <f t="shared" si="31"/>
        <v>0</v>
      </c>
      <c r="AI86" s="37">
        <f t="shared" si="32"/>
        <v>0</v>
      </c>
      <c r="AJ86" s="37">
        <f t="shared" si="33"/>
        <v>0</v>
      </c>
      <c r="AK86" s="37">
        <f t="shared" si="34"/>
        <v>0</v>
      </c>
      <c r="AL86" s="37">
        <f t="shared" si="35"/>
        <v>0</v>
      </c>
      <c r="AM86" s="37">
        <f t="shared" si="36"/>
        <v>0</v>
      </c>
      <c r="AN86" s="37">
        <f t="shared" si="37"/>
        <v>0</v>
      </c>
      <c r="AO86" s="37">
        <f t="shared" si="38"/>
        <v>0</v>
      </c>
      <c r="AP86" s="37">
        <f t="shared" si="39"/>
        <v>0</v>
      </c>
      <c r="AQ86" s="37">
        <f t="shared" si="40"/>
        <v>0</v>
      </c>
      <c r="AR86" s="37">
        <f t="shared" si="41"/>
        <v>0</v>
      </c>
      <c r="AS86" s="37">
        <f t="shared" si="42"/>
        <v>0</v>
      </c>
      <c r="AT86" s="37">
        <f t="shared" si="43"/>
        <v>0</v>
      </c>
      <c r="AU86" s="37">
        <f t="shared" si="44"/>
        <v>0</v>
      </c>
      <c r="AV86" s="37">
        <f t="shared" si="45"/>
        <v>0</v>
      </c>
      <c r="AW86" s="37">
        <f t="shared" si="46"/>
        <v>0</v>
      </c>
      <c r="AX86" s="37">
        <f t="shared" si="47"/>
        <v>0</v>
      </c>
      <c r="AY86" s="37">
        <f t="shared" si="48"/>
        <v>0</v>
      </c>
      <c r="AZ86" s="37">
        <f t="shared" si="49"/>
        <v>0</v>
      </c>
    </row>
    <row r="87" spans="2:52">
      <c r="B87" t="str">
        <f t="shared" si="15"/>
        <v>Pumped storage</v>
      </c>
      <c r="C87" t="str">
        <f t="shared" si="16"/>
        <v>Pumped Storage</v>
      </c>
      <c r="D87" s="37">
        <f t="shared" si="8"/>
        <v>0</v>
      </c>
      <c r="E87" s="37">
        <f t="shared" si="9"/>
        <v>0</v>
      </c>
      <c r="F87" s="37">
        <f t="shared" si="10"/>
        <v>0</v>
      </c>
      <c r="G87" s="37">
        <f t="shared" si="11"/>
        <v>0</v>
      </c>
      <c r="H87" s="37">
        <f t="shared" si="12"/>
        <v>0</v>
      </c>
      <c r="I87">
        <f t="shared" si="13"/>
        <v>13009.587991832161</v>
      </c>
      <c r="J87" s="37">
        <f t="shared" si="17"/>
        <v>13009.587991832161</v>
      </c>
      <c r="K87" s="37">
        <f t="shared" si="17"/>
        <v>13009.587991832161</v>
      </c>
      <c r="L87" s="37">
        <f t="shared" si="50"/>
        <v>13009.587991832161</v>
      </c>
      <c r="M87" s="37">
        <f t="shared" si="51"/>
        <v>13009.587991832161</v>
      </c>
      <c r="N87" s="37">
        <f t="shared" si="52"/>
        <v>13009.587991832161</v>
      </c>
      <c r="O87" s="37">
        <f t="shared" si="53"/>
        <v>13009.587991832161</v>
      </c>
      <c r="P87" s="37">
        <f t="shared" si="54"/>
        <v>13009.587991832161</v>
      </c>
      <c r="Q87" s="37">
        <f t="shared" si="55"/>
        <v>13009.587991832161</v>
      </c>
      <c r="R87" s="37">
        <f t="shared" si="56"/>
        <v>13009.587991832161</v>
      </c>
      <c r="S87" s="37">
        <f t="shared" si="57"/>
        <v>13009.587991832161</v>
      </c>
      <c r="T87" s="37">
        <f t="shared" si="58"/>
        <v>13009.587991832161</v>
      </c>
      <c r="U87" s="37">
        <f t="shared" si="18"/>
        <v>13009.587991832161</v>
      </c>
      <c r="V87" s="37">
        <f t="shared" si="19"/>
        <v>13009.587991832161</v>
      </c>
      <c r="W87" s="37">
        <f t="shared" si="20"/>
        <v>13009.587991832161</v>
      </c>
      <c r="X87" s="37">
        <f t="shared" si="21"/>
        <v>13009.587991832161</v>
      </c>
      <c r="Y87" s="37">
        <f t="shared" si="22"/>
        <v>13009.587991832161</v>
      </c>
      <c r="Z87" s="37">
        <f t="shared" si="23"/>
        <v>13009.587991832161</v>
      </c>
      <c r="AA87" s="37">
        <f t="shared" si="24"/>
        <v>13009.587991832161</v>
      </c>
      <c r="AB87" s="37">
        <f t="shared" si="25"/>
        <v>13009.587991832161</v>
      </c>
      <c r="AC87" s="37">
        <f t="shared" si="26"/>
        <v>13009.587991832161</v>
      </c>
      <c r="AD87" s="37">
        <f t="shared" si="27"/>
        <v>13009.587991832161</v>
      </c>
      <c r="AE87" s="37">
        <f t="shared" si="28"/>
        <v>13009.587991832161</v>
      </c>
      <c r="AF87" s="37">
        <f t="shared" si="29"/>
        <v>13009.587991832161</v>
      </c>
      <c r="AG87" s="37">
        <f t="shared" si="30"/>
        <v>13009.587991832161</v>
      </c>
      <c r="AH87" s="37">
        <f t="shared" si="31"/>
        <v>13009.587991832161</v>
      </c>
      <c r="AI87" s="37">
        <f t="shared" si="32"/>
        <v>13009.587991832161</v>
      </c>
      <c r="AJ87" s="37">
        <f t="shared" si="33"/>
        <v>13009.587991832161</v>
      </c>
      <c r="AK87" s="37">
        <f t="shared" si="34"/>
        <v>13009.587991832161</v>
      </c>
      <c r="AL87" s="37">
        <f t="shared" si="35"/>
        <v>13009.587991832161</v>
      </c>
      <c r="AM87" s="37">
        <f t="shared" si="36"/>
        <v>13009.587991832161</v>
      </c>
      <c r="AN87" s="37">
        <f t="shared" si="37"/>
        <v>13009.587991832161</v>
      </c>
      <c r="AO87" s="37">
        <f t="shared" si="38"/>
        <v>13009.587991832161</v>
      </c>
      <c r="AP87" s="37">
        <f t="shared" si="39"/>
        <v>13009.587991832161</v>
      </c>
      <c r="AQ87" s="37">
        <f t="shared" si="40"/>
        <v>13009.587991832161</v>
      </c>
      <c r="AR87" s="37">
        <f t="shared" si="41"/>
        <v>13009.587991832161</v>
      </c>
      <c r="AS87" s="37">
        <f t="shared" si="42"/>
        <v>13009.587991832161</v>
      </c>
      <c r="AT87" s="37">
        <f t="shared" si="43"/>
        <v>13009.587991832161</v>
      </c>
      <c r="AU87" s="37">
        <f t="shared" si="44"/>
        <v>13009.587991832161</v>
      </c>
      <c r="AV87" s="37">
        <f t="shared" si="45"/>
        <v>13009.587991832161</v>
      </c>
      <c r="AW87" s="37">
        <f t="shared" si="46"/>
        <v>13009.587991832161</v>
      </c>
      <c r="AX87" s="37">
        <f t="shared" si="47"/>
        <v>13009.587991832161</v>
      </c>
      <c r="AY87" s="37">
        <f t="shared" si="48"/>
        <v>13009.587991832161</v>
      </c>
      <c r="AZ87" s="37">
        <f t="shared" si="49"/>
        <v>13009.587991832161</v>
      </c>
    </row>
    <row r="93" spans="2:52">
      <c r="B93" s="44" t="s">
        <v>127</v>
      </c>
    </row>
    <row r="94" spans="2:52">
      <c r="C94" s="4" t="s">
        <v>64</v>
      </c>
      <c r="D94" s="4" t="s">
        <v>65</v>
      </c>
      <c r="E94" s="4" t="s">
        <v>66</v>
      </c>
      <c r="F94" s="4" t="s">
        <v>67</v>
      </c>
      <c r="G94" s="4">
        <v>2008</v>
      </c>
      <c r="H94" s="4">
        <v>2009</v>
      </c>
      <c r="I94" s="4">
        <v>2010</v>
      </c>
      <c r="J94" s="4">
        <v>2011</v>
      </c>
      <c r="K94" s="4">
        <v>2012</v>
      </c>
      <c r="L94" s="4">
        <v>2013</v>
      </c>
      <c r="M94" s="4">
        <v>2014</v>
      </c>
      <c r="N94" s="4">
        <v>2015</v>
      </c>
      <c r="O94" s="4">
        <v>2016</v>
      </c>
      <c r="P94" s="4">
        <v>2017</v>
      </c>
      <c r="Q94" s="4">
        <v>2018</v>
      </c>
      <c r="R94" s="4">
        <v>2019</v>
      </c>
      <c r="S94" s="4">
        <v>2020</v>
      </c>
      <c r="T94" s="4">
        <v>2021</v>
      </c>
      <c r="U94" s="4">
        <v>2022</v>
      </c>
      <c r="V94" s="4">
        <v>2023</v>
      </c>
      <c r="W94" s="4">
        <v>2024</v>
      </c>
      <c r="X94" s="4">
        <v>2025</v>
      </c>
      <c r="Y94" s="4">
        <v>2026</v>
      </c>
      <c r="Z94" s="4">
        <v>2027</v>
      </c>
      <c r="AA94" s="4">
        <v>2028</v>
      </c>
      <c r="AB94" s="4">
        <v>2029</v>
      </c>
      <c r="AC94" s="4">
        <v>2030</v>
      </c>
    </row>
    <row r="95" spans="2:52">
      <c r="B95" s="4" t="s">
        <v>102</v>
      </c>
      <c r="C95" s="4" t="s">
        <v>69</v>
      </c>
      <c r="D95" s="4" t="s">
        <v>70</v>
      </c>
      <c r="E95" s="4"/>
      <c r="F95" s="4"/>
      <c r="G95" s="4"/>
      <c r="I95" s="38"/>
      <c r="J95" s="38"/>
      <c r="K95" s="38"/>
      <c r="L95" s="38"/>
    </row>
    <row r="96" spans="2:52">
      <c r="B96" t="str">
        <f>B6</f>
        <v>Existing coal Large</v>
      </c>
      <c r="C96">
        <f t="shared" ref="C96:C115" si="59">E6</f>
        <v>198.51197177964252</v>
      </c>
      <c r="D96">
        <f t="shared" ref="D96:D115" si="60">F6</f>
        <v>8.1793577745617725</v>
      </c>
      <c r="E96">
        <f t="shared" ref="E96:E115" si="61">H6</f>
        <v>0.87057493204096037</v>
      </c>
      <c r="F96" s="21">
        <f t="shared" ref="F96:F115" si="62">I6</f>
        <v>50</v>
      </c>
      <c r="G96" s="46">
        <f ca="1">(-PMT(discount_rate,$F96,J68)+$C96)/(8.76*$E96)+'Fuel Costs'!I126+$D96</f>
        <v>190.64414220313378</v>
      </c>
      <c r="H96" s="46">
        <f ca="1">(-PMT(discount_rate,$F96,K68)+$C96)/(8.76*$E96)+'Fuel Costs'!J126+$D96</f>
        <v>190.91751765307714</v>
      </c>
      <c r="I96" s="47">
        <f ca="1">(-PMT(discount_rate,$F96,L68)+$C96)/(8.76*$E96)+'Fuel Costs'!K126+$D96</f>
        <v>191.21823064801481</v>
      </c>
      <c r="J96" s="46">
        <f ca="1">(-PMT(discount_rate,$F96,M68)+$C96)/(8.76*$E96)+'Fuel Costs'!L126+$D96</f>
        <v>191.51424518589917</v>
      </c>
      <c r="K96" s="46">
        <f ca="1">(-PMT(discount_rate,$F96,N68)+$C96)/(8.76*$E96)+'Fuel Costs'!M126+$D96</f>
        <v>191.8050914210248</v>
      </c>
      <c r="L96" s="46">
        <f ca="1">(-PMT(discount_rate,$F96,O68)+$C96)/(8.76*$E96)+'Fuel Costs'!N126+$D96</f>
        <v>192.09025252311591</v>
      </c>
      <c r="M96" s="46">
        <f ca="1">(-PMT(discount_rate,$F96,P68)+$C96)/(8.76*$E96)+'Fuel Costs'!O126+$D96</f>
        <v>192.36915997886899</v>
      </c>
      <c r="N96" s="46">
        <f ca="1">(-PMT(discount_rate,$F96,Q68)+$C96)/(8.76*$E96)+'Fuel Costs'!P126+$D96</f>
        <v>192.64118842365031</v>
      </c>
      <c r="O96" s="46">
        <f ca="1">(-PMT(discount_rate,$F96,R68)+$C96)/(8.76*$E96)+'Fuel Costs'!Q126+$D96</f>
        <v>192.90564995636262</v>
      </c>
      <c r="P96" s="46">
        <f ca="1">(-PMT(discount_rate,$F96,S68)+$C96)/(8.76*$E96)+'Fuel Costs'!R126+$D96</f>
        <v>193.16178788579907</v>
      </c>
      <c r="Q96" s="46">
        <f ca="1">(-PMT(discount_rate,$F96,T68)+$C96)/(8.76*$E96)+'Fuel Costs'!S126+$D96</f>
        <v>193.40876985163203</v>
      </c>
      <c r="R96" s="46">
        <f ca="1">(-PMT(discount_rate,$F96,U68)+$C96)/(8.76*$E96)+'Fuel Costs'!T126+$D96</f>
        <v>193.6456802575012</v>
      </c>
      <c r="S96" s="46">
        <f ca="1">(-PMT(discount_rate,$F96,V68)+$C96)/(8.76*$E96)+'Fuel Costs'!U126+$D96</f>
        <v>193.87151194741017</v>
      </c>
      <c r="T96" s="46">
        <f ca="1">(-PMT(discount_rate,$F96,W68)+$C96)/(8.76*$E96)+'Fuel Costs'!V126+$D96</f>
        <v>194.0851570497629</v>
      </c>
      <c r="U96" s="46">
        <f ca="1">(-PMT(discount_rate,$F96,X68)+$C96)/(8.76*$E96)+'Fuel Costs'!W126+$D96</f>
        <v>194.28539690580382</v>
      </c>
      <c r="V96" s="46">
        <f ca="1">(-PMT(discount_rate,$F96,Y68)+$C96)/(8.76*$E96)+'Fuel Costs'!X126+$D96</f>
        <v>194.47089099090169</v>
      </c>
      <c r="W96" s="46">
        <f ca="1">(-PMT(discount_rate,$F96,Z68)+$C96)/(8.76*$E96)+'Fuel Costs'!Y126+$D96</f>
        <v>194.64016472796226</v>
      </c>
      <c r="X96" s="46">
        <f ca="1">(-PMT(discount_rate,$F96,AA68)+$C96)/(8.76*$E96)+'Fuel Costs'!Z126+$D96</f>
        <v>194.7915960821818</v>
      </c>
      <c r="Y96" s="46">
        <f ca="1">(-PMT(discount_rate,$F96,AB68)+$C96)/(8.76*$E96)+'Fuel Costs'!AA126+$D96</f>
        <v>194.92340081527612</v>
      </c>
      <c r="Z96" s="46">
        <f ca="1">(-PMT(discount_rate,$F96,AC68)+$C96)/(8.76*$E96)+'Fuel Costs'!AB126+$D96</f>
        <v>195.03361626513279</v>
      </c>
      <c r="AA96" s="46">
        <f ca="1">(-PMT(discount_rate,$F96,AD68)+$C96)/(8.76*$E96)+'Fuel Costs'!AC126+$D96</f>
        <v>195.12008350342802</v>
      </c>
      <c r="AB96" s="46">
        <f ca="1">(-PMT(discount_rate,$F96,AE68)+$C96)/(8.76*$E96)+'Fuel Costs'!AD126+$D96</f>
        <v>195.18042770900564</v>
      </c>
      <c r="AC96" s="46">
        <f ca="1">(-PMT(discount_rate,$F96,AF68)+$C96)/(8.76*$E96)+'Fuel Costs'!AE126+$D96</f>
        <v>195.21203657859394</v>
      </c>
    </row>
    <row r="97" spans="2:29">
      <c r="B97" t="str">
        <f t="shared" ref="B97:B115" si="63">B7</f>
        <v>Existing coal Small</v>
      </c>
      <c r="C97">
        <f t="shared" si="59"/>
        <v>274.85142535997028</v>
      </c>
      <c r="D97">
        <f t="shared" si="60"/>
        <v>9.6725078172314873</v>
      </c>
      <c r="E97">
        <f t="shared" si="61"/>
        <v>0.80390233470489603</v>
      </c>
      <c r="F97" s="21">
        <f t="shared" si="62"/>
        <v>50</v>
      </c>
      <c r="G97" s="46">
        <f ca="1">(-PMT(discount_rate,$F97,J69)+$C97)/(8.76*$E97)+'Fuel Costs'!I127+$D97</f>
        <v>247.77736360432948</v>
      </c>
      <c r="H97" s="46">
        <f ca="1">(-PMT(discount_rate,$F97,K69)+$C97)/(8.76*$E97)+'Fuel Costs'!J127+$D97</f>
        <v>248.2021442164336</v>
      </c>
      <c r="I97" s="46">
        <f ca="1">(-PMT(discount_rate,$F97,L69)+$C97)/(8.76*$E97)+'Fuel Costs'!K127+$D97</f>
        <v>248.66940288974811</v>
      </c>
      <c r="J97" s="46">
        <f ca="1">(-PMT(discount_rate,$F97,M69)+$C97)/(8.76*$E97)+'Fuel Costs'!L127+$D97</f>
        <v>249.12936093140948</v>
      </c>
      <c r="K97" s="46">
        <f ca="1">(-PMT(discount_rate,$F97,N69)+$C97)/(8.76*$E97)+'Fuel Costs'!M127+$D97</f>
        <v>249.58128827825229</v>
      </c>
      <c r="L97" s="46">
        <f ca="1">(-PMT(discount_rate,$F97,O69)+$C97)/(8.76*$E97)+'Fuel Costs'!N127+$D97</f>
        <v>250.02438186079473</v>
      </c>
      <c r="M97" s="46">
        <f ca="1">(-PMT(discount_rate,$F97,P69)+$C97)/(8.76*$E97)+'Fuel Costs'!O127+$D97</f>
        <v>250.45775830260678</v>
      </c>
      <c r="N97" s="46">
        <f ca="1">(-PMT(discount_rate,$F97,Q69)+$C97)/(8.76*$E97)+'Fuel Costs'!P127+$D97</f>
        <v>250.88044588961534</v>
      </c>
      <c r="O97" s="46">
        <f ca="1">(-PMT(discount_rate,$F97,R69)+$C97)/(8.76*$E97)+'Fuel Costs'!Q127+$D97</f>
        <v>251.29137573634011</v>
      </c>
      <c r="P97" s="46">
        <f ca="1">(-PMT(discount_rate,$F97,S69)+$C97)/(8.76*$E97)+'Fuel Costs'!R127+$D97</f>
        <v>251.6893720687527</v>
      </c>
      <c r="Q97" s="46">
        <f ca="1">(-PMT(discount_rate,$F97,T69)+$C97)/(8.76*$E97)+'Fuel Costs'!S127+$D97</f>
        <v>252.07314153542188</v>
      </c>
      <c r="R97" s="46">
        <f ca="1">(-PMT(discount_rate,$F97,U69)+$C97)/(8.76*$E97)+'Fuel Costs'!T127+$D97</f>
        <v>252.44126144977335</v>
      </c>
      <c r="S97" s="46">
        <f ca="1">(-PMT(discount_rate,$F97,V69)+$C97)/(8.76*$E97)+'Fuel Costs'!U127+$D97</f>
        <v>252.79216685657531</v>
      </c>
      <c r="T97" s="46">
        <f ca="1">(-PMT(discount_rate,$F97,W69)+$C97)/(8.76*$E97)+'Fuel Costs'!V127+$D97</f>
        <v>253.12413630507282</v>
      </c>
      <c r="U97" s="46">
        <f ca="1">(-PMT(discount_rate,$F97,X69)+$C97)/(8.76*$E97)+'Fuel Costs'!W127+$D97</f>
        <v>253.43527619943538</v>
      </c>
      <c r="V97" s="46">
        <f ca="1">(-PMT(discount_rate,$F97,Y69)+$C97)/(8.76*$E97)+'Fuel Costs'!X127+$D97</f>
        <v>253.72350358424958</v>
      </c>
      <c r="W97" s="46">
        <f ca="1">(-PMT(discount_rate,$F97,Z69)+$C97)/(8.76*$E97)+'Fuel Costs'!Y127+$D97</f>
        <v>253.98652720856057</v>
      </c>
      <c r="X97" s="46">
        <f ca="1">(-PMT(discount_rate,$F97,AA69)+$C97)/(8.76*$E97)+'Fuel Costs'!Z127+$D97</f>
        <v>254.22182669631795</v>
      </c>
      <c r="Y97" s="46">
        <f ca="1">(-PMT(discount_rate,$F97,AB69)+$C97)/(8.76*$E97)+'Fuel Costs'!AA127+$D97</f>
        <v>254.42662963386644</v>
      </c>
      <c r="Z97" s="46">
        <f ca="1">(-PMT(discount_rate,$F97,AC69)+$C97)/(8.76*$E97)+'Fuel Costs'!AB127+$D97</f>
        <v>254.59788636618518</v>
      </c>
      <c r="AA97" s="46">
        <f ca="1">(-PMT(discount_rate,$F97,AD69)+$C97)/(8.76*$E97)+'Fuel Costs'!AC127+$D97</f>
        <v>254.73224227275105</v>
      </c>
      <c r="AB97" s="46">
        <f ca="1">(-PMT(discount_rate,$F97,AE69)+$C97)/(8.76*$E97)+'Fuel Costs'!AD127+$D97</f>
        <v>254.82600727098887</v>
      </c>
      <c r="AC97" s="46">
        <f ca="1">(-PMT(discount_rate,$F97,AF69)+$C97)/(8.76*$E97)+'Fuel Costs'!AE127+$D97</f>
        <v>254.87512227006582</v>
      </c>
    </row>
    <row r="98" spans="2:29">
      <c r="B98" t="str">
        <f t="shared" si="63"/>
        <v>OCGT liquid fuels</v>
      </c>
      <c r="C98">
        <f t="shared" si="59"/>
        <v>101.01718865525203</v>
      </c>
      <c r="D98">
        <f t="shared" si="60"/>
        <v>29.779633649814187</v>
      </c>
      <c r="E98">
        <f t="shared" si="61"/>
        <v>0.93003819999999993</v>
      </c>
      <c r="F98" s="21">
        <f t="shared" si="62"/>
        <v>25</v>
      </c>
      <c r="G98" s="47">
        <f ca="1">(-PMT(discount_rate,$F98,J70)+$C98)/(8.76*$E98)+'Fuel Costs'!I128+$D98</f>
        <v>2302.7967414157279</v>
      </c>
      <c r="H98" s="47">
        <f ca="1">(-PMT(discount_rate,$F98,K70)+$C98)/(8.76*$E98)+'Fuel Costs'!J128+$D98</f>
        <v>2299.4042938808329</v>
      </c>
      <c r="I98" s="47">
        <f ca="1">(-PMT(discount_rate,$F98,L70)+$C98)/(8.76*$E98)+'Fuel Costs'!K128+$D98</f>
        <v>2376.7304107856526</v>
      </c>
      <c r="J98" s="47">
        <f ca="1">(-PMT(discount_rate,$F98,M70)+$C98)/(8.76*$E98)+'Fuel Costs'!L128+$D98</f>
        <v>2452.848354297585</v>
      </c>
      <c r="K98" s="47">
        <f ca="1">(-PMT(discount_rate,$F98,N70)+$C98)/(8.76*$E98)+'Fuel Costs'!M128+$D98</f>
        <v>2527.6373070773407</v>
      </c>
      <c r="L98" s="47">
        <f ca="1">(-PMT(discount_rate,$F98,O70)+$C98)/(8.76*$E98)+'Fuel Costs'!N128+$D98</f>
        <v>2600.9643700517036</v>
      </c>
      <c r="M98" s="47">
        <f ca="1">(-PMT(discount_rate,$F98,P70)+$C98)/(8.76*$E98)+'Fuel Costs'!O128+$D98</f>
        <v>2672.6833542401328</v>
      </c>
      <c r="N98" s="47">
        <f ca="1">(-PMT(discount_rate,$F98,Q70)+$C98)/(8.76*$E98)+'Fuel Costs'!P128+$D98</f>
        <v>2742.6334517640344</v>
      </c>
      <c r="O98" s="47">
        <f ca="1">(-PMT(discount_rate,$F98,R70)+$C98)/(8.76*$E98)+'Fuel Costs'!Q128+$D98</f>
        <v>2810.6377739569584</v>
      </c>
      <c r="P98" s="47">
        <f ca="1">(-PMT(discount_rate,$F98,S70)+$C98)/(8.76*$E98)+'Fuel Costs'!R128+$D98</f>
        <v>2876.5017432858053</v>
      </c>
      <c r="Q98" s="47">
        <f ca="1">(-PMT(discount_rate,$F98,T70)+$C98)/(8.76*$E98)+'Fuel Costs'!S128+$D98</f>
        <v>2940.0113244641661</v>
      </c>
      <c r="R98" s="47">
        <f ca="1">(-PMT(discount_rate,$F98,U70)+$C98)/(8.76*$E98)+'Fuel Costs'!T128+$D98</f>
        <v>3000.9310786769947</v>
      </c>
      <c r="S98" s="47">
        <f ca="1">(-PMT(discount_rate,$F98,V70)+$C98)/(8.76*$E98)+'Fuel Costs'!U128+$D98</f>
        <v>3059.0020232277366</v>
      </c>
      <c r="T98" s="47">
        <f ca="1">(-PMT(discount_rate,$F98,W70)+$C98)/(8.76*$E98)+'Fuel Costs'!V128+$D98</f>
        <v>3113.9392771501834</v>
      </c>
      <c r="U98" s="47">
        <f ca="1">(-PMT(discount_rate,$F98,X70)+$C98)/(8.76*$E98)+'Fuel Costs'!W128+$D98</f>
        <v>3165.4294713815057</v>
      </c>
      <c r="V98" s="47">
        <f ca="1">(-PMT(discount_rate,$F98,Y70)+$C98)/(8.76*$E98)+'Fuel Costs'!X128+$D98</f>
        <v>3213.1278999525907</v>
      </c>
      <c r="W98" s="47">
        <f ca="1">(-PMT(discount_rate,$F98,Z70)+$C98)/(8.76*$E98)+'Fuel Costs'!Y128+$D98</f>
        <v>3256.6553862974142</v>
      </c>
      <c r="X98" s="47">
        <f ca="1">(-PMT(discount_rate,$F98,AA70)+$C98)/(8.76*$E98)+'Fuel Costs'!Z128+$D98</f>
        <v>3295.5948361933515</v>
      </c>
      <c r="Y98" s="47">
        <f ca="1">(-PMT(discount_rate,$F98,AB70)+$C98)/(8.76*$E98)+'Fuel Costs'!AA128+$D98</f>
        <v>3329.4874459955122</v>
      </c>
      <c r="Z98" s="47">
        <f ca="1">(-PMT(discount_rate,$F98,AC70)+$C98)/(8.76*$E98)+'Fuel Costs'!AB128+$D98</f>
        <v>3357.8285316945203</v>
      </c>
      <c r="AA98" s="47">
        <f ca="1">(-PMT(discount_rate,$F98,AD70)+$C98)/(8.76*$E98)+'Fuel Costs'!AC128+$D98</f>
        <v>3380.0629408800596</v>
      </c>
      <c r="AB98" s="47">
        <f ca="1">(-PMT(discount_rate,$F98,AE70)+$C98)/(8.76*$E98)+'Fuel Costs'!AD128+$D98</f>
        <v>3395.5800059007834</v>
      </c>
      <c r="AC98" s="47">
        <f ca="1">(-PMT(discount_rate,$F98,AF70)+$C98)/(8.76*$E98)+'Fuel Costs'!AE128+$D98</f>
        <v>3403.7079923402098</v>
      </c>
    </row>
    <row r="99" spans="2:29">
      <c r="B99" t="str">
        <f t="shared" si="63"/>
        <v>PWR nuclear</v>
      </c>
      <c r="C99">
        <f t="shared" si="59"/>
        <v>750.91389948354981</v>
      </c>
      <c r="D99">
        <f t="shared" si="60"/>
        <v>4.0874006970333197</v>
      </c>
      <c r="E99">
        <f t="shared" si="61"/>
        <v>0.83699999999999997</v>
      </c>
      <c r="F99" s="21">
        <f t="shared" si="62"/>
        <v>40</v>
      </c>
      <c r="G99" s="47">
        <f ca="1">(-PMT(discount_rate,$F99,J71)+$C99)/(8.76*$E99)+'Fuel Costs'!I129+$D99</f>
        <v>688.06052079193375</v>
      </c>
      <c r="H99" s="47">
        <f ca="1">(-PMT(discount_rate,$F99,K71)+$C99)/(8.76*$E99)+'Fuel Costs'!J129+$D99</f>
        <v>689.07289464885764</v>
      </c>
      <c r="I99" s="47">
        <f ca="1">(-PMT(discount_rate,$F99,L71)+$C99)/(8.76*$E99)+'Fuel Costs'!K129+$D99</f>
        <v>689.33745699382848</v>
      </c>
      <c r="J99" s="47">
        <f ca="1">(-PMT(discount_rate,$F99,M71)+$C99)/(8.76*$E99)+'Fuel Costs'!L129+$D99</f>
        <v>689.59890504217776</v>
      </c>
      <c r="K99" s="47">
        <f ca="1">(-PMT(discount_rate,$F99,N71)+$C99)/(8.76*$E99)+'Fuel Costs'!M129+$D99</f>
        <v>689.85677951158777</v>
      </c>
      <c r="L99" s="47">
        <f ca="1">(-PMT(discount_rate,$F99,O71)+$C99)/(8.76*$E99)+'Fuel Costs'!N129+$D99</f>
        <v>690.1105744522456</v>
      </c>
      <c r="M99" s="47">
        <f ca="1">(-PMT(discount_rate,$F99,P71)+$C99)/(8.76*$E99)+'Fuel Costs'!O129+$D99</f>
        <v>690.35973257639773</v>
      </c>
      <c r="N99" s="47">
        <f ca="1">(-PMT(discount_rate,$F99,Q71)+$C99)/(8.76*$E99)+'Fuel Costs'!P129+$D99</f>
        <v>690.60364012084051</v>
      </c>
      <c r="O99" s="47">
        <f ca="1">(-PMT(discount_rate,$F99,R71)+$C99)/(8.76*$E99)+'Fuel Costs'!Q129+$D99</f>
        <v>690.84162119564257</v>
      </c>
      <c r="P99" s="47">
        <f ca="1">(-PMT(discount_rate,$F99,S71)+$C99)/(8.76*$E99)+'Fuel Costs'!R129+$D99</f>
        <v>691.07293156771925</v>
      </c>
      <c r="Q99" s="47">
        <f ca="1">(-PMT(discount_rate,$F99,T71)+$C99)/(8.76*$E99)+'Fuel Costs'!S129+$D99</f>
        <v>691.29675182274707</v>
      </c>
      <c r="R99" s="47">
        <f ca="1">(-PMT(discount_rate,$F99,U71)+$C99)/(8.76*$E99)+'Fuel Costs'!T129+$D99</f>
        <v>691.51217984325001</v>
      </c>
      <c r="S99" s="47">
        <f ca="1">(-PMT(discount_rate,$F99,V71)+$C99)/(8.76*$E99)+'Fuel Costs'!U129+$D99</f>
        <v>691.71822253447522</v>
      </c>
      <c r="T99" s="47">
        <f ca="1">(-PMT(discount_rate,$F99,W71)+$C99)/(8.76*$E99)+'Fuel Costs'!V129+$D99</f>
        <v>691.91378672283827</v>
      </c>
      <c r="U99" s="47">
        <f ca="1">(-PMT(discount_rate,$F99,X71)+$C99)/(8.76*$E99)+'Fuel Costs'!W129+$D99</f>
        <v>692.09766914419322</v>
      </c>
      <c r="V99" s="47">
        <f ca="1">(-PMT(discount_rate,$F99,Y71)+$C99)/(8.76*$E99)+'Fuel Costs'!X129+$D99</f>
        <v>692.26854543090997</v>
      </c>
      <c r="W99" s="47">
        <f ca="1">(-PMT(discount_rate,$F99,Z71)+$C99)/(8.76*$E99)+'Fuel Costs'!Y129+$D99</f>
        <v>692.42495799764072</v>
      </c>
      <c r="X99" s="47">
        <f ca="1">(-PMT(discount_rate,$F99,AA71)+$C99)/(8.76*$E99)+'Fuel Costs'!Z129+$D99</f>
        <v>692.56530271564372</v>
      </c>
      <c r="Y99" s="47">
        <f ca="1">(-PMT(discount_rate,$F99,AB71)+$C99)/(8.76*$E99)+'Fuel Costs'!AA129+$D99</f>
        <v>692.68781425451903</v>
      </c>
      <c r="Z99" s="47">
        <f ca="1">(-PMT(discount_rate,$F99,AC71)+$C99)/(8.76*$E99)+'Fuel Costs'!AB129+$D99</f>
        <v>692.7905499580994</v>
      </c>
      <c r="AA99" s="47">
        <f ca="1">(-PMT(discount_rate,$F99,AD71)+$C99)/(8.76*$E99)+'Fuel Costs'!AC129+$D99</f>
        <v>692.87137210790945</v>
      </c>
      <c r="AB99" s="47">
        <f ca="1">(-PMT(discount_rate,$F99,AE71)+$C99)/(8.76*$E99)+'Fuel Costs'!AD129+$D99</f>
        <v>692.92792841295125</v>
      </c>
      <c r="AC99" s="47">
        <f ca="1">(-PMT(discount_rate,$F99,AF71)+$C99)/(8.76*$E99)+'Fuel Costs'!AE129+$D99</f>
        <v>692.95763054844952</v>
      </c>
    </row>
    <row r="100" spans="2:29">
      <c r="B100" t="str">
        <f t="shared" si="63"/>
        <v>Hydro</v>
      </c>
      <c r="C100">
        <f t="shared" si="59"/>
        <v>130.26677991055652</v>
      </c>
      <c r="D100">
        <f t="shared" si="60"/>
        <v>0</v>
      </c>
      <c r="E100">
        <f t="shared" si="61"/>
        <v>0.15079248120300753</v>
      </c>
      <c r="F100" s="21">
        <f t="shared" si="62"/>
        <v>100</v>
      </c>
      <c r="G100" s="47">
        <f ca="1">(-PMT(discount_rate,$F100,J72)+$C100)/(8.76*$E100)+'Fuel Costs'!I130+$D100</f>
        <v>98.616567997651174</v>
      </c>
      <c r="H100" s="47">
        <f ca="1">(-PMT(discount_rate,$F100,K72)+$C100)/(8.76*$E100)+'Fuel Costs'!J130+$D100</f>
        <v>98.616567997651174</v>
      </c>
      <c r="I100" s="47">
        <f ca="1">(-PMT(discount_rate,$F100,L72)+$C100)/(8.76*$E100)+'Fuel Costs'!K130+$D100</f>
        <v>98.616567997651174</v>
      </c>
      <c r="J100" s="47">
        <f ca="1">(-PMT(discount_rate,$F100,M72)+$C100)/(8.76*$E100)+'Fuel Costs'!L130+$D100</f>
        <v>98.616567997651174</v>
      </c>
      <c r="K100" s="47">
        <f ca="1">(-PMT(discount_rate,$F100,N72)+$C100)/(8.76*$E100)+'Fuel Costs'!M130+$D100</f>
        <v>98.616567997651174</v>
      </c>
      <c r="L100" s="47">
        <f ca="1">(-PMT(discount_rate,$F100,O72)+$C100)/(8.76*$E100)+'Fuel Costs'!N130+$D100</f>
        <v>98.616567997651174</v>
      </c>
      <c r="M100" s="47">
        <f ca="1">(-PMT(discount_rate,$F100,P72)+$C100)/(8.76*$E100)+'Fuel Costs'!O130+$D100</f>
        <v>98.616567997651174</v>
      </c>
      <c r="N100" s="47">
        <f ca="1">(-PMT(discount_rate,$F100,Q72)+$C100)/(8.76*$E100)+'Fuel Costs'!P130+$D100</f>
        <v>98.616567997651174</v>
      </c>
      <c r="O100" s="47">
        <f ca="1">(-PMT(discount_rate,$F100,R72)+$C100)/(8.76*$E100)+'Fuel Costs'!Q130+$D100</f>
        <v>98.616567997651174</v>
      </c>
      <c r="P100" s="47">
        <f ca="1">(-PMT(discount_rate,$F100,S72)+$C100)/(8.76*$E100)+'Fuel Costs'!R130+$D100</f>
        <v>98.616567997651174</v>
      </c>
      <c r="Q100" s="47">
        <f ca="1">(-PMT(discount_rate,$F100,T72)+$C100)/(8.76*$E100)+'Fuel Costs'!S130+$D100</f>
        <v>98.616567997651174</v>
      </c>
      <c r="R100" s="47">
        <f ca="1">(-PMT(discount_rate,$F100,U72)+$C100)/(8.76*$E100)+'Fuel Costs'!T130+$D100</f>
        <v>98.616567997651174</v>
      </c>
      <c r="S100" s="47">
        <f ca="1">(-PMT(discount_rate,$F100,V72)+$C100)/(8.76*$E100)+'Fuel Costs'!U130+$D100</f>
        <v>98.616567997651174</v>
      </c>
      <c r="T100" s="47">
        <f ca="1">(-PMT(discount_rate,$F100,W72)+$C100)/(8.76*$E100)+'Fuel Costs'!V130+$D100</f>
        <v>98.616567997651174</v>
      </c>
      <c r="U100" s="47">
        <f ca="1">(-PMT(discount_rate,$F100,X72)+$C100)/(8.76*$E100)+'Fuel Costs'!W130+$D100</f>
        <v>98.616567997651174</v>
      </c>
      <c r="V100" s="47">
        <f ca="1">(-PMT(discount_rate,$F100,Y72)+$C100)/(8.76*$E100)+'Fuel Costs'!X130+$D100</f>
        <v>98.616567997651174</v>
      </c>
      <c r="W100" s="47">
        <f ca="1">(-PMT(discount_rate,$F100,Z72)+$C100)/(8.76*$E100)+'Fuel Costs'!Y130+$D100</f>
        <v>98.616567997651174</v>
      </c>
      <c r="X100" s="47">
        <f ca="1">(-PMT(discount_rate,$F100,AA72)+$C100)/(8.76*$E100)+'Fuel Costs'!Z130+$D100</f>
        <v>98.616567997651174</v>
      </c>
      <c r="Y100" s="47">
        <f ca="1">(-PMT(discount_rate,$F100,AB72)+$C100)/(8.76*$E100)+'Fuel Costs'!AA130+$D100</f>
        <v>98.616567997651174</v>
      </c>
      <c r="Z100" s="47">
        <f ca="1">(-PMT(discount_rate,$F100,AC72)+$C100)/(8.76*$E100)+'Fuel Costs'!AB130+$D100</f>
        <v>98.616567997651174</v>
      </c>
      <c r="AA100" s="47">
        <f ca="1">(-PMT(discount_rate,$F100,AD72)+$C100)/(8.76*$E100)+'Fuel Costs'!AC130+$D100</f>
        <v>98.616567997651174</v>
      </c>
      <c r="AB100" s="47">
        <f ca="1">(-PMT(discount_rate,$F100,AE72)+$C100)/(8.76*$E100)+'Fuel Costs'!AD130+$D100</f>
        <v>98.616567997651174</v>
      </c>
      <c r="AC100" s="47">
        <f ca="1">(-PMT(discount_rate,$F100,AF72)+$C100)/(8.76*$E100)+'Fuel Costs'!AE130+$D100</f>
        <v>98.616567997651174</v>
      </c>
    </row>
    <row r="101" spans="2:29">
      <c r="B101" t="str">
        <f t="shared" si="63"/>
        <v>Landfill gas</v>
      </c>
      <c r="C101">
        <f t="shared" si="59"/>
        <v>953.03169313480976</v>
      </c>
      <c r="D101">
        <f t="shared" si="60"/>
        <v>8.341634075578204E-2</v>
      </c>
      <c r="E101">
        <f t="shared" si="61"/>
        <v>0.85562500000000008</v>
      </c>
      <c r="F101" s="21">
        <f t="shared" si="62"/>
        <v>25</v>
      </c>
      <c r="G101" s="47">
        <f ca="1">(-PMT(discount_rate,$F101,J73)+$C101)/(8.76*$E101)+'Fuel Costs'!I131+$D101</f>
        <v>437.01622660473356</v>
      </c>
      <c r="H101" s="47">
        <f ca="1">(-PMT(discount_rate,$F101,K73)+$C101)/(8.76*$E101)+'Fuel Costs'!J131+$D101</f>
        <v>437.01622660473356</v>
      </c>
      <c r="I101" s="47">
        <f ca="1">(-PMT(discount_rate,$F101,L73)+$C101)/(8.76*$E101)+'Fuel Costs'!K131+$D101</f>
        <v>437.01622660473356</v>
      </c>
      <c r="J101" s="47">
        <f ca="1">(-PMT(discount_rate,$F101,M73)+$C101)/(8.76*$E101)+'Fuel Costs'!L131+$D101</f>
        <v>437.01622660473356</v>
      </c>
      <c r="K101" s="47">
        <f ca="1">(-PMT(discount_rate,$F101,N73)+$C101)/(8.76*$E101)+'Fuel Costs'!M131+$D101</f>
        <v>437.01622660473356</v>
      </c>
      <c r="L101" s="47">
        <f ca="1">(-PMT(discount_rate,$F101,O73)+$C101)/(8.76*$E101)+'Fuel Costs'!N131+$D101</f>
        <v>437.01622660473356</v>
      </c>
      <c r="M101" s="47">
        <f ca="1">(-PMT(discount_rate,$F101,P73)+$C101)/(8.76*$E101)+'Fuel Costs'!O131+$D101</f>
        <v>437.01622660473356</v>
      </c>
      <c r="N101" s="47">
        <f ca="1">(-PMT(discount_rate,$F101,Q73)+$C101)/(8.76*$E101)+'Fuel Costs'!P131+$D101</f>
        <v>437.01622660473356</v>
      </c>
      <c r="O101" s="47">
        <f ca="1">(-PMT(discount_rate,$F101,R73)+$C101)/(8.76*$E101)+'Fuel Costs'!Q131+$D101</f>
        <v>437.01622660473356</v>
      </c>
      <c r="P101" s="47">
        <f ca="1">(-PMT(discount_rate,$F101,S73)+$C101)/(8.76*$E101)+'Fuel Costs'!R131+$D101</f>
        <v>437.01622660473356</v>
      </c>
      <c r="Q101" s="47">
        <f ca="1">(-PMT(discount_rate,$F101,T73)+$C101)/(8.76*$E101)+'Fuel Costs'!S131+$D101</f>
        <v>437.01622660473356</v>
      </c>
      <c r="R101" s="47">
        <f ca="1">(-PMT(discount_rate,$F101,U73)+$C101)/(8.76*$E101)+'Fuel Costs'!T131+$D101</f>
        <v>437.01622660473356</v>
      </c>
      <c r="S101" s="47">
        <f ca="1">(-PMT(discount_rate,$F101,V73)+$C101)/(8.76*$E101)+'Fuel Costs'!U131+$D101</f>
        <v>437.01622660473356</v>
      </c>
      <c r="T101" s="47">
        <f ca="1">(-PMT(discount_rate,$F101,W73)+$C101)/(8.76*$E101)+'Fuel Costs'!V131+$D101</f>
        <v>437.01622660473356</v>
      </c>
      <c r="U101" s="47">
        <f ca="1">(-PMT(discount_rate,$F101,X73)+$C101)/(8.76*$E101)+'Fuel Costs'!W131+$D101</f>
        <v>437.01622660473356</v>
      </c>
      <c r="V101" s="47">
        <f ca="1">(-PMT(discount_rate,$F101,Y73)+$C101)/(8.76*$E101)+'Fuel Costs'!X131+$D101</f>
        <v>437.01622660473356</v>
      </c>
      <c r="W101" s="47">
        <f ca="1">(-PMT(discount_rate,$F101,Z73)+$C101)/(8.76*$E101)+'Fuel Costs'!Y131+$D101</f>
        <v>437.01622660473356</v>
      </c>
      <c r="X101" s="47">
        <f ca="1">(-PMT(discount_rate,$F101,AA73)+$C101)/(8.76*$E101)+'Fuel Costs'!Z131+$D101</f>
        <v>437.01622660473356</v>
      </c>
      <c r="Y101" s="47">
        <f ca="1">(-PMT(discount_rate,$F101,AB73)+$C101)/(8.76*$E101)+'Fuel Costs'!AA131+$D101</f>
        <v>437.01622660473356</v>
      </c>
      <c r="Z101" s="47">
        <f ca="1">(-PMT(discount_rate,$F101,AC73)+$C101)/(8.76*$E101)+'Fuel Costs'!AB131+$D101</f>
        <v>437.01622660473356</v>
      </c>
      <c r="AA101" s="47">
        <f ca="1">(-PMT(discount_rate,$F101,AD73)+$C101)/(8.76*$E101)+'Fuel Costs'!AC131+$D101</f>
        <v>437.01622660473356</v>
      </c>
      <c r="AB101" s="47">
        <f ca="1">(-PMT(discount_rate,$F101,AE73)+$C101)/(8.76*$E101)+'Fuel Costs'!AD131+$D101</f>
        <v>437.01622660473356</v>
      </c>
      <c r="AC101" s="47">
        <f ca="1">(-PMT(discount_rate,$F101,AF73)+$C101)/(8.76*$E101)+'Fuel Costs'!AE131+$D101</f>
        <v>437.01622660473356</v>
      </c>
    </row>
    <row r="102" spans="2:29">
      <c r="B102" t="str">
        <f t="shared" si="63"/>
        <v>Biomass</v>
      </c>
      <c r="C102">
        <f t="shared" si="59"/>
        <v>537.61831617101529</v>
      </c>
      <c r="D102">
        <f t="shared" si="60"/>
        <v>55.972364647129751</v>
      </c>
      <c r="E102">
        <f t="shared" si="61"/>
        <v>0.90249999999999997</v>
      </c>
      <c r="F102" s="21">
        <f t="shared" si="62"/>
        <v>25</v>
      </c>
      <c r="G102" s="47">
        <f ca="1">(-PMT(discount_rate,$F102,J74)+$C102)/(8.76*$E102)+'Fuel Costs'!I132+$D102</f>
        <v>558.91130187856629</v>
      </c>
      <c r="H102" s="47">
        <f ca="1">(-PMT(discount_rate,$F102,K74)+$C102)/(8.76*$E102)+'Fuel Costs'!J132+$D102</f>
        <v>558.91130187856629</v>
      </c>
      <c r="I102" s="47">
        <f ca="1">(-PMT(discount_rate,$F102,L74)+$C102)/(8.76*$E102)+'Fuel Costs'!K132+$D102</f>
        <v>558.91130187856629</v>
      </c>
      <c r="J102" s="47">
        <f ca="1">(-PMT(discount_rate,$F102,M74)+$C102)/(8.76*$E102)+'Fuel Costs'!L132+$D102</f>
        <v>558.91130187856629</v>
      </c>
      <c r="K102" s="47">
        <f ca="1">(-PMT(discount_rate,$F102,N74)+$C102)/(8.76*$E102)+'Fuel Costs'!M132+$D102</f>
        <v>558.91130187856629</v>
      </c>
      <c r="L102" s="47">
        <f ca="1">(-PMT(discount_rate,$F102,O74)+$C102)/(8.76*$E102)+'Fuel Costs'!N132+$D102</f>
        <v>558.91130187856629</v>
      </c>
      <c r="M102" s="47">
        <f ca="1">(-PMT(discount_rate,$F102,P74)+$C102)/(8.76*$E102)+'Fuel Costs'!O132+$D102</f>
        <v>558.91130187856629</v>
      </c>
      <c r="N102" s="47">
        <f ca="1">(-PMT(discount_rate,$F102,Q74)+$C102)/(8.76*$E102)+'Fuel Costs'!P132+$D102</f>
        <v>558.91130187856629</v>
      </c>
      <c r="O102" s="47">
        <f ca="1">(-PMT(discount_rate,$F102,R74)+$C102)/(8.76*$E102)+'Fuel Costs'!Q132+$D102</f>
        <v>558.91130187856629</v>
      </c>
      <c r="P102" s="47">
        <f ca="1">(-PMT(discount_rate,$F102,S74)+$C102)/(8.76*$E102)+'Fuel Costs'!R132+$D102</f>
        <v>558.91130187856629</v>
      </c>
      <c r="Q102" s="47">
        <f ca="1">(-PMT(discount_rate,$F102,T74)+$C102)/(8.76*$E102)+'Fuel Costs'!S132+$D102</f>
        <v>558.91130187856629</v>
      </c>
      <c r="R102" s="47">
        <f ca="1">(-PMT(discount_rate,$F102,U74)+$C102)/(8.76*$E102)+'Fuel Costs'!T132+$D102</f>
        <v>558.91130187856629</v>
      </c>
      <c r="S102" s="47">
        <f ca="1">(-PMT(discount_rate,$F102,V74)+$C102)/(8.76*$E102)+'Fuel Costs'!U132+$D102</f>
        <v>558.91130187856629</v>
      </c>
      <c r="T102" s="47">
        <f ca="1">(-PMT(discount_rate,$F102,W74)+$C102)/(8.76*$E102)+'Fuel Costs'!V132+$D102</f>
        <v>558.91130187856629</v>
      </c>
      <c r="U102" s="47">
        <f ca="1">(-PMT(discount_rate,$F102,X74)+$C102)/(8.76*$E102)+'Fuel Costs'!W132+$D102</f>
        <v>558.91130187856629</v>
      </c>
      <c r="V102" s="47">
        <f ca="1">(-PMT(discount_rate,$F102,Y74)+$C102)/(8.76*$E102)+'Fuel Costs'!X132+$D102</f>
        <v>558.91130187856629</v>
      </c>
      <c r="W102" s="47">
        <f ca="1">(-PMT(discount_rate,$F102,Z74)+$C102)/(8.76*$E102)+'Fuel Costs'!Y132+$D102</f>
        <v>558.91130187856629</v>
      </c>
      <c r="X102" s="47">
        <f ca="1">(-PMT(discount_rate,$F102,AA74)+$C102)/(8.76*$E102)+'Fuel Costs'!Z132+$D102</f>
        <v>558.91130187856629</v>
      </c>
      <c r="Y102" s="47">
        <f ca="1">(-PMT(discount_rate,$F102,AB74)+$C102)/(8.76*$E102)+'Fuel Costs'!AA132+$D102</f>
        <v>558.91130187856629</v>
      </c>
      <c r="Z102" s="47">
        <f ca="1">(-PMT(discount_rate,$F102,AC74)+$C102)/(8.76*$E102)+'Fuel Costs'!AB132+$D102</f>
        <v>558.91130187856629</v>
      </c>
      <c r="AA102" s="47">
        <f ca="1">(-PMT(discount_rate,$F102,AD74)+$C102)/(8.76*$E102)+'Fuel Costs'!AC132+$D102</f>
        <v>558.91130187856629</v>
      </c>
      <c r="AB102" s="47">
        <f ca="1">(-PMT(discount_rate,$F102,AE74)+$C102)/(8.76*$E102)+'Fuel Costs'!AD132+$D102</f>
        <v>558.91130187856629</v>
      </c>
      <c r="AC102" s="47">
        <f ca="1">(-PMT(discount_rate,$F102,AF74)+$C102)/(8.76*$E102)+'Fuel Costs'!AE132+$D102</f>
        <v>558.91130187856629</v>
      </c>
    </row>
    <row r="103" spans="2:29">
      <c r="B103" t="str">
        <f t="shared" si="63"/>
        <v>Supercritical coal</v>
      </c>
      <c r="C103">
        <f t="shared" si="59"/>
        <v>229.64518610066796</v>
      </c>
      <c r="D103">
        <f t="shared" si="60"/>
        <v>28.716075305177963</v>
      </c>
      <c r="E103">
        <f t="shared" si="61"/>
        <v>0.85716400000000004</v>
      </c>
      <c r="F103" s="21">
        <f t="shared" si="62"/>
        <v>30</v>
      </c>
      <c r="G103" s="47">
        <f ca="1">(-PMT(discount_rate,$F103,J75)+$C103)/(8.76*$E103)+'Fuel Costs'!I133+$D103</f>
        <v>418.09827627044751</v>
      </c>
      <c r="H103" s="47">
        <f ca="1">(-PMT(discount_rate,$F103,K75)+$C103)/(8.76*$E103)+'Fuel Costs'!J133+$D103</f>
        <v>416.4888654229249</v>
      </c>
      <c r="I103" s="47">
        <f ca="1">(-PMT(discount_rate,$F103,L75)+$C103)/(8.76*$E103)+'Fuel Costs'!K133+$D103</f>
        <v>414.91344516598139</v>
      </c>
      <c r="J103" s="47">
        <f ca="1">(-PMT(discount_rate,$F103,M75)+$C103)/(8.76*$E103)+'Fuel Costs'!L133+$D103</f>
        <v>414.41780248858265</v>
      </c>
      <c r="K103" s="47">
        <f ca="1">(-PMT(discount_rate,$F103,N75)+$C103)/(8.76*$E103)+'Fuel Costs'!M133+$D103</f>
        <v>413.91573371611605</v>
      </c>
      <c r="L103" s="47">
        <f ca="1">(-PMT(discount_rate,$F103,O75)+$C103)/(8.76*$E103)+'Fuel Costs'!N133+$D103</f>
        <v>413.40659623907464</v>
      </c>
      <c r="M103" s="47">
        <f ca="1">(-PMT(discount_rate,$F103,P75)+$C103)/(8.76*$E103)+'Fuel Costs'!O133+$D103</f>
        <v>412.88968318700103</v>
      </c>
      <c r="N103" s="47">
        <f ca="1">(-PMT(discount_rate,$F103,Q75)+$C103)/(8.76*$E103)+'Fuel Costs'!P133+$D103</f>
        <v>412.36421700239197</v>
      </c>
      <c r="O103" s="47">
        <f ca="1">(-PMT(discount_rate,$F103,R75)+$C103)/(8.76*$E103)+'Fuel Costs'!Q133+$D103</f>
        <v>411.82934237199396</v>
      </c>
      <c r="P103" s="47">
        <f ca="1">(-PMT(discount_rate,$F103,S75)+$C103)/(8.76*$E103)+'Fuel Costs'!R133+$D103</f>
        <v>411.28411845122793</v>
      </c>
      <c r="Q103" s="47">
        <f ca="1">(-PMT(discount_rate,$F103,T75)+$C103)/(8.76*$E103)+'Fuel Costs'!S133+$D103</f>
        <v>410.7275103110573</v>
      </c>
      <c r="R103" s="47">
        <f ca="1">(-PMT(discount_rate,$F103,U75)+$C103)/(8.76*$E103)+'Fuel Costs'!T133+$D103</f>
        <v>410.15837952954143</v>
      </c>
      <c r="S103" s="47">
        <f ca="1">(-PMT(discount_rate,$F103,V75)+$C103)/(8.76*$E103)+'Fuel Costs'!U133+$D103</f>
        <v>409.57547384254593</v>
      </c>
      <c r="T103" s="47">
        <f ca="1">(-PMT(discount_rate,$F103,W75)+$C103)/(8.76*$E103)+'Fuel Costs'!V133+$D103</f>
        <v>408.97741575952273</v>
      </c>
      <c r="U103" s="47">
        <f ca="1">(-PMT(discount_rate,$F103,X75)+$C103)/(8.76*$E103)+'Fuel Costs'!W133+$D103</f>
        <v>408.36269004086915</v>
      </c>
      <c r="V103" s="47">
        <f ca="1">(-PMT(discount_rate,$F103,Y75)+$C103)/(8.76*$E103)+'Fuel Costs'!X133+$D103</f>
        <v>407.72962992302217</v>
      </c>
      <c r="W103" s="47">
        <f ca="1">(-PMT(discount_rate,$F103,Z75)+$C103)/(8.76*$E103)+'Fuel Costs'!Y133+$D103</f>
        <v>407.17017481242823</v>
      </c>
      <c r="X103" s="47">
        <f ca="1">(-PMT(discount_rate,$F103,AA75)+$C103)/(8.76*$E103)+'Fuel Costs'!Z133+$D103</f>
        <v>406.58853507881025</v>
      </c>
      <c r="Y103" s="47">
        <f ca="1">(-PMT(discount_rate,$F103,AB75)+$C103)/(8.76*$E103)+'Fuel Costs'!AA133+$D103</f>
        <v>405.98249225986586</v>
      </c>
      <c r="Z103" s="47">
        <f ca="1">(-PMT(discount_rate,$F103,AC75)+$C103)/(8.76*$E103)+'Fuel Costs'!AB133+$D103</f>
        <v>405.34960604706231</v>
      </c>
      <c r="AA103" s="47">
        <f ca="1">(-PMT(discount_rate,$F103,AD75)+$C103)/(8.76*$E103)+'Fuel Costs'!AC133+$D103</f>
        <v>404.68719210101364</v>
      </c>
      <c r="AB103" s="47">
        <f ca="1">(-PMT(discount_rate,$F103,AE75)+$C103)/(8.76*$E103)+'Fuel Costs'!AD133+$D103</f>
        <v>403.99229764839549</v>
      </c>
      <c r="AC103" s="47">
        <f ca="1">(-PMT(discount_rate,$F103,AF75)+$C103)/(8.76*$E103)+'Fuel Costs'!AE133+$D103</f>
        <v>403.2616746385508</v>
      </c>
    </row>
    <row r="104" spans="2:29">
      <c r="B104" t="str">
        <f t="shared" si="63"/>
        <v xml:space="preserve">Wind 30% </v>
      </c>
      <c r="C104">
        <f t="shared" si="59"/>
        <v>252.75151249001959</v>
      </c>
      <c r="D104">
        <f t="shared" si="60"/>
        <v>0</v>
      </c>
      <c r="E104">
        <f t="shared" si="61"/>
        <v>0.3</v>
      </c>
      <c r="F104" s="21">
        <f t="shared" si="62"/>
        <v>20</v>
      </c>
      <c r="G104" s="47">
        <f ca="1">(-PMT(discount_rate,$F104,J76)+$C104)/(8.76*$E104)+'Fuel Costs'!I134+$D104</f>
        <v>830.23696213536357</v>
      </c>
      <c r="H104" s="47">
        <f ca="1">(-PMT(discount_rate,$F104,K76)+$C104)/(8.76*$E104)+'Fuel Costs'!J134+$D104</f>
        <v>811.88544744737158</v>
      </c>
      <c r="I104" s="47">
        <f ca="1">(-PMT(discount_rate,$F104,L76)+$C104)/(8.76*$E104)+'Fuel Costs'!K134+$D104</f>
        <v>793.53393275937981</v>
      </c>
      <c r="J104" s="47">
        <f ca="1">(-PMT(discount_rate,$F104,M76)+$C104)/(8.76*$E104)+'Fuel Costs'!L134+$D104</f>
        <v>775.18241807138781</v>
      </c>
      <c r="K104" s="47">
        <f ca="1">(-PMT(discount_rate,$F104,N76)+$C104)/(8.76*$E104)+'Fuel Costs'!M134+$D104</f>
        <v>756.83090338339582</v>
      </c>
      <c r="L104" s="47">
        <f ca="1">(-PMT(discount_rate,$F104,O76)+$C104)/(8.76*$E104)+'Fuel Costs'!N134+$D104</f>
        <v>740.31454016420298</v>
      </c>
      <c r="M104" s="47">
        <f ca="1">(-PMT(discount_rate,$F104,P76)+$C104)/(8.76*$E104)+'Fuel Costs'!O134+$D104</f>
        <v>723.79817694501014</v>
      </c>
      <c r="N104" s="47">
        <f ca="1">(-PMT(discount_rate,$F104,Q76)+$C104)/(8.76*$E104)+'Fuel Costs'!P134+$D104</f>
        <v>707.2818137258173</v>
      </c>
      <c r="O104" s="47">
        <f ca="1">(-PMT(discount_rate,$F104,R76)+$C104)/(8.76*$E104)+'Fuel Costs'!Q134+$D104</f>
        <v>690.76545050662457</v>
      </c>
      <c r="P104" s="47">
        <f ca="1">(-PMT(discount_rate,$F104,S76)+$C104)/(8.76*$E104)+'Fuel Costs'!R134+$D104</f>
        <v>678.87366898880589</v>
      </c>
      <c r="Q104" s="47">
        <f ca="1">(-PMT(discount_rate,$F104,T76)+$C104)/(8.76*$E104)+'Fuel Costs'!S134+$D104</f>
        <v>666.98188747098698</v>
      </c>
      <c r="R104" s="47">
        <f ca="1">(-PMT(discount_rate,$F104,U76)+$C104)/(8.76*$E104)+'Fuel Costs'!T134+$D104</f>
        <v>655.0901059531684</v>
      </c>
      <c r="S104" s="47">
        <f ca="1">(-PMT(discount_rate,$F104,V76)+$C104)/(8.76*$E104)+'Fuel Costs'!U134+$D104</f>
        <v>643.19832443534949</v>
      </c>
      <c r="T104" s="47">
        <f ca="1">(-PMT(discount_rate,$F104,W76)+$C104)/(8.76*$E104)+'Fuel Costs'!V134+$D104</f>
        <v>631.30654291753069</v>
      </c>
      <c r="U104" s="47">
        <f ca="1">(-PMT(discount_rate,$F104,X76)+$C104)/(8.76*$E104)+'Fuel Costs'!W134+$D104</f>
        <v>628.15871839810814</v>
      </c>
      <c r="V104" s="47">
        <f ca="1">(-PMT(discount_rate,$F104,Y76)+$C104)/(8.76*$E104)+'Fuel Costs'!X134+$D104</f>
        <v>625.01089387868547</v>
      </c>
      <c r="W104" s="47">
        <f ca="1">(-PMT(discount_rate,$F104,Z76)+$C104)/(8.76*$E104)+'Fuel Costs'!Y134+$D104</f>
        <v>621.86306935926291</v>
      </c>
      <c r="X104" s="47">
        <f ca="1">(-PMT(discount_rate,$F104,AA76)+$C104)/(8.76*$E104)+'Fuel Costs'!Z134+$D104</f>
        <v>618.71524483984035</v>
      </c>
      <c r="Y104" s="47">
        <f ca="1">(-PMT(discount_rate,$F104,AB76)+$C104)/(8.76*$E104)+'Fuel Costs'!AA134+$D104</f>
        <v>615.56742032041757</v>
      </c>
      <c r="Z104" s="47">
        <f ca="1">(-PMT(discount_rate,$F104,AC76)+$C104)/(8.76*$E104)+'Fuel Costs'!AB134+$D104</f>
        <v>612.41959580099513</v>
      </c>
      <c r="AA104" s="47">
        <f ca="1">(-PMT(discount_rate,$F104,AD76)+$C104)/(8.76*$E104)+'Fuel Costs'!AC134+$D104</f>
        <v>609.27177128157246</v>
      </c>
      <c r="AB104" s="47">
        <f ca="1">(-PMT(discount_rate,$F104,AE76)+$C104)/(8.76*$E104)+'Fuel Costs'!AD134+$D104</f>
        <v>606.12394676214979</v>
      </c>
      <c r="AC104" s="47">
        <f ca="1">(-PMT(discount_rate,$F104,AF76)+$C104)/(8.76*$E104)+'Fuel Costs'!AE134+$D104</f>
        <v>602.97612224272723</v>
      </c>
    </row>
    <row r="105" spans="2:29">
      <c r="B105" t="str">
        <f t="shared" si="63"/>
        <v>Wind 25%</v>
      </c>
      <c r="C105">
        <f t="shared" si="59"/>
        <v>252.75151249001959</v>
      </c>
      <c r="D105">
        <f t="shared" si="60"/>
        <v>0</v>
      </c>
      <c r="E105">
        <f t="shared" si="61"/>
        <v>0.25</v>
      </c>
      <c r="F105" s="21">
        <f t="shared" si="62"/>
        <v>20</v>
      </c>
      <c r="G105" s="47">
        <f ca="1">(-PMT(discount_rate,$F105,J77)+$C105)/(8.76*$E105)+'Fuel Costs'!I135+$D105</f>
        <v>996.28435456243619</v>
      </c>
      <c r="H105" s="47">
        <f ca="1">(-PMT(discount_rate,$F105,K77)+$C105)/(8.76*$E105)+'Fuel Costs'!J135+$D105</f>
        <v>974.26253693684578</v>
      </c>
      <c r="I105" s="47">
        <f ca="1">(-PMT(discount_rate,$F105,L77)+$C105)/(8.76*$E105)+'Fuel Costs'!K135+$D105</f>
        <v>952.24071931125559</v>
      </c>
      <c r="J105" s="47">
        <f ca="1">(-PMT(discount_rate,$F105,M77)+$C105)/(8.76*$E105)+'Fuel Costs'!L135+$D105</f>
        <v>930.21890168566529</v>
      </c>
      <c r="K105" s="47">
        <f ca="1">(-PMT(discount_rate,$F105,N77)+$C105)/(8.76*$E105)+'Fuel Costs'!M135+$D105</f>
        <v>908.19708406007487</v>
      </c>
      <c r="L105" s="47">
        <f ca="1">(-PMT(discount_rate,$F105,O77)+$C105)/(8.76*$E105)+'Fuel Costs'!N135+$D105</f>
        <v>888.37744819704358</v>
      </c>
      <c r="M105" s="47">
        <f ca="1">(-PMT(discount_rate,$F105,P77)+$C105)/(8.76*$E105)+'Fuel Costs'!O135+$D105</f>
        <v>868.55781233401217</v>
      </c>
      <c r="N105" s="47">
        <f ca="1">(-PMT(discount_rate,$F105,Q77)+$C105)/(8.76*$E105)+'Fuel Costs'!P135+$D105</f>
        <v>848.73817647098065</v>
      </c>
      <c r="O105" s="47">
        <f ca="1">(-PMT(discount_rate,$F105,R77)+$C105)/(8.76*$E105)+'Fuel Costs'!Q135+$D105</f>
        <v>828.91854060794947</v>
      </c>
      <c r="P105" s="47">
        <f ca="1">(-PMT(discount_rate,$F105,S77)+$C105)/(8.76*$E105)+'Fuel Costs'!R135+$D105</f>
        <v>814.64840278656698</v>
      </c>
      <c r="Q105" s="47">
        <f ca="1">(-PMT(discount_rate,$F105,T77)+$C105)/(8.76*$E105)+'Fuel Costs'!S135+$D105</f>
        <v>800.37826496518437</v>
      </c>
      <c r="R105" s="47">
        <f ca="1">(-PMT(discount_rate,$F105,U77)+$C105)/(8.76*$E105)+'Fuel Costs'!T135+$D105</f>
        <v>786.10812714380199</v>
      </c>
      <c r="S105" s="47">
        <f ca="1">(-PMT(discount_rate,$F105,V77)+$C105)/(8.76*$E105)+'Fuel Costs'!U135+$D105</f>
        <v>771.83798932241939</v>
      </c>
      <c r="T105" s="47">
        <f ca="1">(-PMT(discount_rate,$F105,W77)+$C105)/(8.76*$E105)+'Fuel Costs'!V135+$D105</f>
        <v>757.56785150103678</v>
      </c>
      <c r="U105" s="47">
        <f ca="1">(-PMT(discount_rate,$F105,X77)+$C105)/(8.76*$E105)+'Fuel Costs'!W135+$D105</f>
        <v>753.79046207772967</v>
      </c>
      <c r="V105" s="47">
        <f ca="1">(-PMT(discount_rate,$F105,Y77)+$C105)/(8.76*$E105)+'Fuel Costs'!X135+$D105</f>
        <v>750.01307265442244</v>
      </c>
      <c r="W105" s="47">
        <f ca="1">(-PMT(discount_rate,$F105,Z77)+$C105)/(8.76*$E105)+'Fuel Costs'!Y135+$D105</f>
        <v>746.23568323111544</v>
      </c>
      <c r="X105" s="47">
        <f ca="1">(-PMT(discount_rate,$F105,AA77)+$C105)/(8.76*$E105)+'Fuel Costs'!Z135+$D105</f>
        <v>742.45829380780845</v>
      </c>
      <c r="Y105" s="47">
        <f ca="1">(-PMT(discount_rate,$F105,AB77)+$C105)/(8.76*$E105)+'Fuel Costs'!AA135+$D105</f>
        <v>738.68090438450099</v>
      </c>
      <c r="Z105" s="47">
        <f ca="1">(-PMT(discount_rate,$F105,AC77)+$C105)/(8.76*$E105)+'Fuel Costs'!AB135+$D105</f>
        <v>734.90351496119399</v>
      </c>
      <c r="AA105" s="47">
        <f ca="1">(-PMT(discount_rate,$F105,AD77)+$C105)/(8.76*$E105)+'Fuel Costs'!AC135+$D105</f>
        <v>731.12612553788688</v>
      </c>
      <c r="AB105" s="47">
        <f ca="1">(-PMT(discount_rate,$F105,AE77)+$C105)/(8.76*$E105)+'Fuel Costs'!AD135+$D105</f>
        <v>727.34873611457965</v>
      </c>
      <c r="AC105" s="47">
        <f ca="1">(-PMT(discount_rate,$F105,AF77)+$C105)/(8.76*$E105)+'Fuel Costs'!AE135+$D105</f>
        <v>723.57134669127254</v>
      </c>
    </row>
    <row r="106" spans="2:29">
      <c r="B106" t="str">
        <f t="shared" si="63"/>
        <v>solar thermal central reciever</v>
      </c>
      <c r="C106">
        <f t="shared" si="59"/>
        <v>473.6379828113304</v>
      </c>
      <c r="D106">
        <f t="shared" si="60"/>
        <v>0</v>
      </c>
      <c r="E106">
        <f t="shared" si="61"/>
        <v>0.6</v>
      </c>
      <c r="F106" s="21">
        <f t="shared" si="62"/>
        <v>30</v>
      </c>
      <c r="G106" s="47">
        <f ca="1">(-PMT(discount_rate,$F106,J78)+$C106)/(8.76*$E106)+'Fuel Costs'!I136+$D106</f>
        <v>1451.6374198947865</v>
      </c>
      <c r="H106" s="47">
        <f ca="1">(-PMT(discount_rate,$F106,K78)+$C106)/(8.76*$E106)+'Fuel Costs'!J136+$D106</f>
        <v>1417.5993286840003</v>
      </c>
      <c r="I106" s="47">
        <f ca="1">(-PMT(discount_rate,$F106,L78)+$C106)/(8.76*$E106)+'Fuel Costs'!K136+$D106</f>
        <v>1383.5612374732143</v>
      </c>
      <c r="J106" s="47">
        <f ca="1">(-PMT(discount_rate,$F106,M78)+$C106)/(8.76*$E106)+'Fuel Costs'!L136+$D106</f>
        <v>1349.5231462624281</v>
      </c>
      <c r="K106" s="47">
        <f ca="1">(-PMT(discount_rate,$F106,N78)+$C106)/(8.76*$E106)+'Fuel Costs'!M136+$D106</f>
        <v>1315.4850550516419</v>
      </c>
      <c r="L106" s="47">
        <f ca="1">(-PMT(discount_rate,$F106,O78)+$C106)/(8.76*$E106)+'Fuel Costs'!N136+$D106</f>
        <v>1281.4469638408557</v>
      </c>
      <c r="M106" s="47">
        <f ca="1">(-PMT(discount_rate,$F106,P78)+$C106)/(8.76*$E106)+'Fuel Costs'!O136+$D106</f>
        <v>1247.4088726300697</v>
      </c>
      <c r="N106" s="47">
        <f ca="1">(-PMT(discount_rate,$F106,Q78)+$C106)/(8.76*$E106)+'Fuel Costs'!P136+$D106</f>
        <v>1213.370781419284</v>
      </c>
      <c r="O106" s="47">
        <f ca="1">(-PMT(discount_rate,$F106,R78)+$C106)/(8.76*$E106)+'Fuel Costs'!Q136+$D106</f>
        <v>1179.3326902084975</v>
      </c>
      <c r="P106" s="47">
        <f ca="1">(-PMT(discount_rate,$F106,S78)+$C106)/(8.76*$E106)+'Fuel Costs'!R136+$D106</f>
        <v>1152.1022172398691</v>
      </c>
      <c r="Q106" s="47">
        <f ca="1">(-PMT(discount_rate,$F106,T78)+$C106)/(8.76*$E106)+'Fuel Costs'!S136+$D106</f>
        <v>1124.8717442712402</v>
      </c>
      <c r="R106" s="47">
        <f ca="1">(-PMT(discount_rate,$F106,U78)+$C106)/(8.76*$E106)+'Fuel Costs'!T136+$D106</f>
        <v>1097.6412713026114</v>
      </c>
      <c r="S106" s="47">
        <f ca="1">(-PMT(discount_rate,$F106,V78)+$C106)/(8.76*$E106)+'Fuel Costs'!U136+$D106</f>
        <v>1070.4107983339823</v>
      </c>
      <c r="T106" s="47">
        <f ca="1">(-PMT(discount_rate,$F106,W78)+$C106)/(8.76*$E106)+'Fuel Costs'!V136+$D106</f>
        <v>1043.1803253653534</v>
      </c>
      <c r="U106" s="47">
        <f ca="1">(-PMT(discount_rate,$F106,X78)+$C106)/(8.76*$E106)+'Fuel Costs'!W136+$D106</f>
        <v>1015.9498523967245</v>
      </c>
      <c r="V106" s="47">
        <f ca="1">(-PMT(discount_rate,$F106,Y78)+$C106)/(8.76*$E106)+'Fuel Costs'!X136+$D106</f>
        <v>988.71937942809552</v>
      </c>
      <c r="W106" s="47">
        <f ca="1">(-PMT(discount_rate,$F106,Z78)+$C106)/(8.76*$E106)+'Fuel Costs'!Y136+$D106</f>
        <v>961.4889064594671</v>
      </c>
      <c r="X106" s="47">
        <f ca="1">(-PMT(discount_rate,$F106,AA78)+$C106)/(8.76*$E106)+'Fuel Costs'!Z136+$D106</f>
        <v>936.5924740310063</v>
      </c>
      <c r="Y106" s="47">
        <f ca="1">(-PMT(discount_rate,$F106,AB78)+$C106)/(8.76*$E106)+'Fuel Costs'!AA136+$D106</f>
        <v>911.69604160254562</v>
      </c>
      <c r="Z106" s="47">
        <f ca="1">(-PMT(discount_rate,$F106,AC78)+$C106)/(8.76*$E106)+'Fuel Costs'!AB136+$D106</f>
        <v>886.79960917408482</v>
      </c>
      <c r="AA106" s="47">
        <f ca="1">(-PMT(discount_rate,$F106,AD78)+$C106)/(8.76*$E106)+'Fuel Costs'!AC136+$D106</f>
        <v>861.90317674562402</v>
      </c>
      <c r="AB106" s="47">
        <f ca="1">(-PMT(discount_rate,$F106,AE78)+$C106)/(8.76*$E106)+'Fuel Costs'!AD136+$D106</f>
        <v>837.00674431716357</v>
      </c>
      <c r="AC106" s="47">
        <f ca="1">(-PMT(discount_rate,$F106,AF78)+$C106)/(8.76*$E106)+'Fuel Costs'!AE136+$D106</f>
        <v>812.11031188870277</v>
      </c>
    </row>
    <row r="107" spans="2:29">
      <c r="B107" t="str">
        <f t="shared" si="63"/>
        <v>solar thermal trough</v>
      </c>
      <c r="C107">
        <f t="shared" si="59"/>
        <v>473.6379828113304</v>
      </c>
      <c r="D107">
        <f t="shared" si="60"/>
        <v>0</v>
      </c>
      <c r="E107">
        <f t="shared" si="61"/>
        <v>0.4</v>
      </c>
      <c r="F107" s="21">
        <f t="shared" si="62"/>
        <v>30</v>
      </c>
      <c r="G107" s="47">
        <f ca="1">(-PMT(discount_rate,$F107,J79)+$C107)/(8.76*$E107)+'Fuel Costs'!I137+$D107</f>
        <v>1496.6943056264579</v>
      </c>
      <c r="H107" s="47">
        <f ca="1">(-PMT(discount_rate,$F107,K79)+$C107)/(8.76*$E107)+'Fuel Costs'!J137+$D107</f>
        <v>1471.1657372183683</v>
      </c>
      <c r="I107" s="47">
        <f ca="1">(-PMT(discount_rate,$F107,L79)+$C107)/(8.76*$E107)+'Fuel Costs'!K137+$D107</f>
        <v>1445.6371688102786</v>
      </c>
      <c r="J107" s="47">
        <f ca="1">(-PMT(discount_rate,$F107,M79)+$C107)/(8.76*$E107)+'Fuel Costs'!L137+$D107</f>
        <v>1420.108600402189</v>
      </c>
      <c r="K107" s="47">
        <f ca="1">(-PMT(discount_rate,$F107,N79)+$C107)/(8.76*$E107)+'Fuel Costs'!M137+$D107</f>
        <v>1394.5800319940995</v>
      </c>
      <c r="L107" s="47">
        <f ca="1">(-PMT(discount_rate,$F107,O79)+$C107)/(8.76*$E107)+'Fuel Costs'!N137+$D107</f>
        <v>1369.05146358601</v>
      </c>
      <c r="M107" s="47">
        <f ca="1">(-PMT(discount_rate,$F107,P79)+$C107)/(8.76*$E107)+'Fuel Costs'!O137+$D107</f>
        <v>1343.5228951779202</v>
      </c>
      <c r="N107" s="47">
        <f ca="1">(-PMT(discount_rate,$F107,Q79)+$C107)/(8.76*$E107)+'Fuel Costs'!P137+$D107</f>
        <v>1317.9943267698309</v>
      </c>
      <c r="O107" s="47">
        <f ca="1">(-PMT(discount_rate,$F107,R79)+$C107)/(8.76*$E107)+'Fuel Costs'!Q137+$D107</f>
        <v>1292.4657583617413</v>
      </c>
      <c r="P107" s="47">
        <f ca="1">(-PMT(discount_rate,$F107,S79)+$C107)/(8.76*$E107)+'Fuel Costs'!R137+$D107</f>
        <v>1270.7664752148653</v>
      </c>
      <c r="Q107" s="47">
        <f ca="1">(-PMT(discount_rate,$F107,T79)+$C107)/(8.76*$E107)+'Fuel Costs'!S137+$D107</f>
        <v>1249.067192067989</v>
      </c>
      <c r="R107" s="47">
        <f ca="1">(-PMT(discount_rate,$F107,U79)+$C107)/(8.76*$E107)+'Fuel Costs'!T137+$D107</f>
        <v>1227.3679089211132</v>
      </c>
      <c r="S107" s="47">
        <f ca="1">(-PMT(discount_rate,$F107,V79)+$C107)/(8.76*$E107)+'Fuel Costs'!U137+$D107</f>
        <v>1205.6686257742367</v>
      </c>
      <c r="T107" s="47">
        <f ca="1">(-PMT(discount_rate,$F107,W79)+$C107)/(8.76*$E107)+'Fuel Costs'!V137+$D107</f>
        <v>1183.9693426273609</v>
      </c>
      <c r="U107" s="47">
        <f ca="1">(-PMT(discount_rate,$F107,X79)+$C107)/(8.76*$E107)+'Fuel Costs'!W137+$D107</f>
        <v>1162.2700594804842</v>
      </c>
      <c r="V107" s="47">
        <f ca="1">(-PMT(discount_rate,$F107,Y79)+$C107)/(8.76*$E107)+'Fuel Costs'!X137+$D107</f>
        <v>1140.5707763336084</v>
      </c>
      <c r="W107" s="47">
        <f ca="1">(-PMT(discount_rate,$F107,Z79)+$C107)/(8.76*$E107)+'Fuel Costs'!Y137+$D107</f>
        <v>1118.8714931867326</v>
      </c>
      <c r="X107" s="47">
        <f ca="1">(-PMT(discount_rate,$F107,AA79)+$C107)/(8.76*$E107)+'Fuel Costs'!Z137+$D107</f>
        <v>1097.7921895583384</v>
      </c>
      <c r="Y107" s="47">
        <f ca="1">(-PMT(discount_rate,$F107,AB79)+$C107)/(8.76*$E107)+'Fuel Costs'!AA137+$D107</f>
        <v>1076.7128859299446</v>
      </c>
      <c r="Z107" s="47">
        <f ca="1">(-PMT(discount_rate,$F107,AC79)+$C107)/(8.76*$E107)+'Fuel Costs'!AB137+$D107</f>
        <v>1055.6335823015506</v>
      </c>
      <c r="AA107" s="47">
        <f ca="1">(-PMT(discount_rate,$F107,AD79)+$C107)/(8.76*$E107)+'Fuel Costs'!AC137+$D107</f>
        <v>1034.5542786731567</v>
      </c>
      <c r="AB107" s="47">
        <f ca="1">(-PMT(discount_rate,$F107,AE79)+$C107)/(8.76*$E107)+'Fuel Costs'!AD137+$D107</f>
        <v>1013.4749750447625</v>
      </c>
      <c r="AC107" s="47">
        <f ca="1">(-PMT(discount_rate,$F107,AF79)+$C107)/(8.76*$E107)+'Fuel Costs'!AE137+$D107</f>
        <v>992.3956714163686</v>
      </c>
    </row>
    <row r="108" spans="2:29">
      <c r="B108" t="str">
        <f t="shared" si="63"/>
        <v>solar PV</v>
      </c>
      <c r="C108">
        <f t="shared" si="59"/>
        <v>97.430286002753405</v>
      </c>
      <c r="D108">
        <f t="shared" si="60"/>
        <v>0</v>
      </c>
      <c r="E108">
        <f t="shared" si="61"/>
        <v>0.23</v>
      </c>
      <c r="F108" s="21">
        <f t="shared" si="62"/>
        <v>15</v>
      </c>
      <c r="G108" s="47">
        <f ca="1">(-PMT(discount_rate,$F108,J80)+$C108)/(8.76*$E108)+'Fuel Costs'!I138+$D108</f>
        <v>3313.7971166486163</v>
      </c>
      <c r="H108" s="47">
        <f ca="1">(-PMT(discount_rate,$F108,K80)+$C108)/(8.76*$E108)+'Fuel Costs'!J138+$D108</f>
        <v>3019.9075330592368</v>
      </c>
      <c r="I108" s="47">
        <f ca="1">(-PMT(discount_rate,$F108,L80)+$C108)/(8.76*$E108)+'Fuel Costs'!K138+$D108</f>
        <v>2726.01794946986</v>
      </c>
      <c r="J108" s="47">
        <f ca="1">(-PMT(discount_rate,$F108,M80)+$C108)/(8.76*$E108)+'Fuel Costs'!L138+$D108</f>
        <v>2565.3583104409995</v>
      </c>
      <c r="K108" s="47">
        <f ca="1">(-PMT(discount_rate,$F108,N80)+$C108)/(8.76*$E108)+'Fuel Costs'!M138+$D108</f>
        <v>2404.6986714121394</v>
      </c>
      <c r="L108" s="47">
        <f ca="1">(-PMT(discount_rate,$F108,O80)+$C108)/(8.76*$E108)+'Fuel Costs'!N138+$D108</f>
        <v>2244.0390323832798</v>
      </c>
      <c r="M108" s="47">
        <f ca="1">(-PMT(discount_rate,$F108,P80)+$C108)/(8.76*$E108)+'Fuel Costs'!O138+$D108</f>
        <v>2046.4276763777825</v>
      </c>
      <c r="N108" s="47">
        <f ca="1">(-PMT(discount_rate,$F108,Q80)+$C108)/(8.76*$E108)+'Fuel Costs'!P138+$D108</f>
        <v>1848.8163203722836</v>
      </c>
      <c r="O108" s="47">
        <f ca="1">(-PMT(discount_rate,$F108,R80)+$C108)/(8.76*$E108)+'Fuel Costs'!Q138+$D108</f>
        <v>1740.7887790892783</v>
      </c>
      <c r="P108" s="47">
        <f ca="1">(-PMT(discount_rate,$F108,S80)+$C108)/(8.76*$E108)+'Fuel Costs'!R138+$D108</f>
        <v>1632.7612378062727</v>
      </c>
      <c r="Q108" s="47">
        <f ca="1">(-PMT(discount_rate,$F108,T80)+$C108)/(8.76*$E108)+'Fuel Costs'!S138+$D108</f>
        <v>1524.7336965232676</v>
      </c>
      <c r="R108" s="47">
        <f ca="1">(-PMT(discount_rate,$F108,U80)+$C108)/(8.76*$E108)+'Fuel Costs'!T138+$D108</f>
        <v>1436.1511126712032</v>
      </c>
      <c r="S108" s="47">
        <f ca="1">(-PMT(discount_rate,$F108,V80)+$C108)/(8.76*$E108)+'Fuel Costs'!U138+$D108</f>
        <v>1347.5685288191382</v>
      </c>
      <c r="T108" s="47">
        <f ca="1">(-PMT(discount_rate,$F108,W80)+$C108)/(8.76*$E108)+'Fuel Costs'!V138+$D108</f>
        <v>1258.9859449670741</v>
      </c>
      <c r="U108" s="47">
        <f ca="1">(-PMT(discount_rate,$F108,X80)+$C108)/(8.76*$E108)+'Fuel Costs'!W138+$D108</f>
        <v>1204.5076558980547</v>
      </c>
      <c r="V108" s="47">
        <f ca="1">(-PMT(discount_rate,$F108,Y80)+$C108)/(8.76*$E108)+'Fuel Costs'!X138+$D108</f>
        <v>1150.0293668290349</v>
      </c>
      <c r="W108" s="47">
        <f ca="1">(-PMT(discount_rate,$F108,Z80)+$C108)/(8.76*$E108)+'Fuel Costs'!Y138+$D108</f>
        <v>1095.5510777600155</v>
      </c>
      <c r="X108" s="47">
        <f ca="1">(-PMT(discount_rate,$F108,AA80)+$C108)/(8.76*$E108)+'Fuel Costs'!Z138+$D108</f>
        <v>1041.0727886909956</v>
      </c>
      <c r="Y108" s="47">
        <f ca="1">(-PMT(discount_rate,$F108,AB80)+$C108)/(8.76*$E108)+'Fuel Costs'!AA138+$D108</f>
        <v>1041.0727886909956</v>
      </c>
      <c r="Z108" s="47">
        <f ca="1">(-PMT(discount_rate,$F108,AC80)+$C108)/(8.76*$E108)+'Fuel Costs'!AB138+$D108</f>
        <v>1041.0727886909956</v>
      </c>
      <c r="AA108" s="47">
        <f ca="1">(-PMT(discount_rate,$F108,AD80)+$C108)/(8.76*$E108)+'Fuel Costs'!AC138+$D108</f>
        <v>1041.0727886909956</v>
      </c>
      <c r="AB108" s="47">
        <f ca="1">(-PMT(discount_rate,$F108,AE80)+$C108)/(8.76*$E108)+'Fuel Costs'!AD138+$D108</f>
        <v>1041.0727886909956</v>
      </c>
      <c r="AC108" s="47">
        <f ca="1">(-PMT(discount_rate,$F108,AF80)+$C108)/(8.76*$E108)+'Fuel Costs'!AE138+$D108</f>
        <v>1041.0727886909956</v>
      </c>
    </row>
    <row r="109" spans="2:29">
      <c r="B109" t="str">
        <f t="shared" si="63"/>
        <v>combined cycle gas</v>
      </c>
      <c r="C109">
        <f t="shared" si="59"/>
        <v>104.10359326321597</v>
      </c>
      <c r="D109">
        <f t="shared" si="60"/>
        <v>17.267182536446882</v>
      </c>
      <c r="E109">
        <f t="shared" si="61"/>
        <v>0.90249999999999997</v>
      </c>
      <c r="F109" s="21">
        <f t="shared" si="62"/>
        <v>25</v>
      </c>
      <c r="G109" s="47">
        <f ca="1">(-PMT(discount_rate,$F109,J81)+$C109)/(8.76*$E109)+'Fuel Costs'!I139+$D109</f>
        <v>587.17363751053961</v>
      </c>
      <c r="H109" s="47">
        <f ca="1">(-PMT(discount_rate,$F109,K81)+$C109)/(8.76*$E109)+'Fuel Costs'!J139+$D109</f>
        <v>588.05697735712704</v>
      </c>
      <c r="I109" s="47">
        <f ca="1">(-PMT(discount_rate,$F109,L81)+$C109)/(8.76*$E109)+'Fuel Costs'!K139+$D109</f>
        <v>604.05925836657377</v>
      </c>
      <c r="J109" s="47">
        <f ca="1">(-PMT(discount_rate,$F109,M81)+$C109)/(8.76*$E109)+'Fuel Costs'!L139+$D109</f>
        <v>619.80067247782381</v>
      </c>
      <c r="K109" s="47">
        <f ca="1">(-PMT(discount_rate,$F109,N81)+$C109)/(8.76*$E109)+'Fuel Costs'!M139+$D109</f>
        <v>635.25513300105763</v>
      </c>
      <c r="L109" s="47">
        <f ca="1">(-PMT(discount_rate,$F109,O81)+$C109)/(8.76*$E109)+'Fuel Costs'!N139+$D109</f>
        <v>650.39394457747335</v>
      </c>
      <c r="M109" s="47">
        <f ca="1">(-PMT(discount_rate,$F109,P81)+$C109)/(8.76*$E109)+'Fuel Costs'!O139+$D109</f>
        <v>665.59689772131117</v>
      </c>
      <c r="N109" s="47">
        <f ca="1">(-PMT(discount_rate,$F109,Q81)+$C109)/(8.76*$E109)+'Fuel Costs'!P139+$D109</f>
        <v>680.41791563949914</v>
      </c>
      <c r="O109" s="47">
        <f ca="1">(-PMT(discount_rate,$F109,R81)+$C109)/(8.76*$E109)+'Fuel Costs'!Q139+$D109</f>
        <v>694.81880480947234</v>
      </c>
      <c r="P109" s="47">
        <f ca="1">(-PMT(discount_rate,$F109,S81)+$C109)/(8.76*$E109)+'Fuel Costs'!R139+$D109</f>
        <v>708.75755235640929</v>
      </c>
      <c r="Q109" s="47">
        <f ca="1">(-PMT(discount_rate,$F109,T81)+$C109)/(8.76*$E109)+'Fuel Costs'!S139+$D109</f>
        <v>722.18794411800627</v>
      </c>
      <c r="R109" s="47">
        <f ca="1">(-PMT(discount_rate,$F109,U81)+$C109)/(8.76*$E109)+'Fuel Costs'!T139+$D109</f>
        <v>735.05914451572949</v>
      </c>
      <c r="S109" s="47">
        <f ca="1">(-PMT(discount_rate,$F109,V81)+$C109)/(8.76*$E109)+'Fuel Costs'!U139+$D109</f>
        <v>747.31523441319132</v>
      </c>
      <c r="T109" s="47">
        <f ca="1">(-PMT(discount_rate,$F109,W81)+$C109)/(8.76*$E109)+'Fuel Costs'!V139+$D109</f>
        <v>758.8947027603657</v>
      </c>
      <c r="U109" s="47">
        <f ca="1">(-PMT(discount_rate,$F109,X81)+$C109)/(8.76*$E109)+'Fuel Costs'!W139+$D109</f>
        <v>769.72988740222399</v>
      </c>
      <c r="V109" s="47">
        <f ca="1">(-PMT(discount_rate,$F109,Y81)+$C109)/(8.76*$E109)+'Fuel Costs'!X139+$D109</f>
        <v>779.74635996823451</v>
      </c>
      <c r="W109" s="47">
        <f ca="1">(-PMT(discount_rate,$F109,Z81)+$C109)/(8.76*$E109)+'Fuel Costs'!Y139+$D109</f>
        <v>788.86224925081228</v>
      </c>
      <c r="X109" s="47">
        <f ca="1">(-PMT(discount_rate,$F109,AA81)+$C109)/(8.76*$E109)+'Fuel Costs'!Z139+$D109</f>
        <v>796.98749692161459</v>
      </c>
      <c r="Y109" s="47">
        <f ca="1">(-PMT(discount_rate,$F109,AB81)+$C109)/(8.76*$E109)+'Fuel Costs'!AA139+$D109</f>
        <v>804.02303881946318</v>
      </c>
      <c r="Z109" s="47">
        <f ca="1">(-PMT(discount_rate,$F109,AC81)+$C109)/(8.76*$E109)+'Fuel Costs'!AB139+$D109</f>
        <v>809.859904367063</v>
      </c>
      <c r="AA109" s="47">
        <f ca="1">(-PMT(discount_rate,$F109,AD81)+$C109)/(8.76*$E109)+'Fuel Costs'!AC139+$D109</f>
        <v>814.37822592938949</v>
      </c>
      <c r="AB109" s="47">
        <f ca="1">(-PMT(discount_rate,$F109,AE81)+$C109)/(8.76*$E109)+'Fuel Costs'!AD139+$D109</f>
        <v>817.44614910791472</v>
      </c>
      <c r="AC109" s="47">
        <f ca="1">(-PMT(discount_rate,$F109,AF81)+$C109)/(8.76*$E109)+'Fuel Costs'!AE139+$D109</f>
        <v>818.91863406425909</v>
      </c>
    </row>
    <row r="110" spans="2:29">
      <c r="B110" t="str">
        <f t="shared" si="63"/>
        <v>PBMR</v>
      </c>
      <c r="C110">
        <f t="shared" si="59"/>
        <v>153.85689865992643</v>
      </c>
      <c r="D110">
        <f t="shared" si="60"/>
        <v>26.0755188945421</v>
      </c>
      <c r="E110">
        <f t="shared" si="61"/>
        <v>0.83699999999999997</v>
      </c>
      <c r="F110" s="21">
        <f t="shared" si="62"/>
        <v>50</v>
      </c>
      <c r="G110" s="47">
        <f ca="1">(-PMT(discount_rate,$F110,J82)+$C110)/(8.76*$E110)+'Fuel Costs'!I140+$D110</f>
        <v>554.69775003908808</v>
      </c>
      <c r="H110" s="47">
        <f ca="1">(-PMT(discount_rate,$F110,K82)+$C110)/(8.76*$E110)+'Fuel Costs'!J140+$D110</f>
        <v>555.02430195507884</v>
      </c>
      <c r="I110" s="47">
        <f ca="1">(-PMT(discount_rate,$F110,L82)+$C110)/(8.76*$E110)+'Fuel Costs'!K140+$D110</f>
        <v>555.10963934309848</v>
      </c>
      <c r="J110" s="47">
        <f ca="1">(-PMT(discount_rate,$F110,M82)+$C110)/(8.76*$E110)+'Fuel Costs'!L140+$D110</f>
        <v>555.1939721817397</v>
      </c>
      <c r="K110" s="47">
        <f ca="1">(-PMT(discount_rate,$F110,N82)+$C110)/(8.76*$E110)+'Fuel Costs'!M140+$D110</f>
        <v>555.27715232462367</v>
      </c>
      <c r="L110" s="47">
        <f ca="1">(-PMT(discount_rate,$F110,O82)+$C110)/(8.76*$E110)+'Fuel Costs'!N140+$D110</f>
        <v>555.35901657227657</v>
      </c>
      <c r="M110" s="47">
        <f ca="1">(-PMT(discount_rate,$F110,P82)+$C110)/(8.76*$E110)+'Fuel Costs'!O140+$D110</f>
        <v>555.43938516562787</v>
      </c>
      <c r="N110" s="47">
        <f ca="1">(-PMT(discount_rate,$F110,Q82)+$C110)/(8.76*$E110)+'Fuel Costs'!P140+$D110</f>
        <v>555.51806012885186</v>
      </c>
      <c r="O110" s="47">
        <f ca="1">(-PMT(discount_rate,$F110,R82)+$C110)/(8.76*$E110)+'Fuel Costs'!Q140+$D110</f>
        <v>555.59482344648848</v>
      </c>
      <c r="P110" s="47">
        <f ca="1">(-PMT(discount_rate,$F110,S82)+$C110)/(8.76*$E110)+'Fuel Costs'!R140+$D110</f>
        <v>555.66943505826964</v>
      </c>
      <c r="Q110" s="47">
        <f ca="1">(-PMT(discount_rate,$F110,T82)+$C110)/(8.76*$E110)+'Fuel Costs'!S140+$D110</f>
        <v>555.74163065342157</v>
      </c>
      <c r="R110" s="47">
        <f ca="1">(-PMT(discount_rate,$F110,U82)+$C110)/(8.76*$E110)+'Fuel Costs'!T140+$D110</f>
        <v>555.81111924439244</v>
      </c>
      <c r="S110" s="47">
        <f ca="1">(-PMT(discount_rate,$F110,V82)+$C110)/(8.76*$E110)+'Fuel Costs'!U140+$D110</f>
        <v>555.87758049794547</v>
      </c>
      <c r="T110" s="47">
        <f ca="1">(-PMT(discount_rate,$F110,W82)+$C110)/(8.76*$E110)+'Fuel Costs'!V140+$D110</f>
        <v>555.94066179935635</v>
      </c>
      <c r="U110" s="47">
        <f ca="1">(-PMT(discount_rate,$F110,X82)+$C110)/(8.76*$E110)+'Fuel Costs'!W140+$D110</f>
        <v>555.99997502302347</v>
      </c>
      <c r="V110" s="47">
        <f ca="1">(-PMT(discount_rate,$F110,Y82)+$C110)/(8.76*$E110)+'Fuel Costs'!X140+$D110</f>
        <v>556.05509298013305</v>
      </c>
      <c r="W110" s="47">
        <f ca="1">(-PMT(discount_rate,$F110,Z82)+$C110)/(8.76*$E110)+'Fuel Costs'!Y140+$D110</f>
        <v>556.10554551108453</v>
      </c>
      <c r="X110" s="47">
        <f ca="1">(-PMT(discount_rate,$F110,AA82)+$C110)/(8.76*$E110)+'Fuel Costs'!Z140+$D110</f>
        <v>556.15081518715294</v>
      </c>
      <c r="Y110" s="47">
        <f ca="1">(-PMT(discount_rate,$F110,AB82)+$C110)/(8.76*$E110)+'Fuel Costs'!AA140+$D110</f>
        <v>556.19033258231002</v>
      </c>
      <c r="Z110" s="47">
        <f ca="1">(-PMT(discount_rate,$F110,AC82)+$C110)/(8.76*$E110)+'Fuel Costs'!AB140+$D110</f>
        <v>556.22347107222197</v>
      </c>
      <c r="AA110" s="47">
        <f ca="1">(-PMT(discount_rate,$F110,AD82)+$C110)/(8.76*$E110)+'Fuel Costs'!AC140+$D110</f>
        <v>556.24954111314059</v>
      </c>
      <c r="AB110" s="47">
        <f ca="1">(-PMT(discount_rate,$F110,AE82)+$C110)/(8.76*$E110)+'Fuel Costs'!AD140+$D110</f>
        <v>556.26778394867654</v>
      </c>
      <c r="AC110" s="47">
        <f ca="1">(-PMT(discount_rate,$F110,AF82)+$C110)/(8.76*$E110)+'Fuel Costs'!AE140+$D110</f>
        <v>556.27736468724424</v>
      </c>
    </row>
    <row r="111" spans="2:29">
      <c r="B111" t="str">
        <f t="shared" si="63"/>
        <v>IGCC</v>
      </c>
      <c r="C111">
        <f t="shared" si="59"/>
        <v>322.57098970260915</v>
      </c>
      <c r="D111">
        <f t="shared" si="60"/>
        <v>24.357571500688351</v>
      </c>
      <c r="E111">
        <f t="shared" si="61"/>
        <v>0.85716400000000004</v>
      </c>
      <c r="F111" s="21">
        <f t="shared" si="62"/>
        <v>30</v>
      </c>
      <c r="G111" s="47">
        <f ca="1">(-PMT(discount_rate,$F111,J83)+$C111)/(8.76*$E111)+'Fuel Costs'!I141+$D111</f>
        <v>468.6831628417649</v>
      </c>
      <c r="H111" s="47">
        <f ca="1">(-PMT(discount_rate,$F111,K83)+$C111)/(8.76*$E111)+'Fuel Costs'!J141+$D111</f>
        <v>469.00699710961749</v>
      </c>
      <c r="I111" s="47">
        <f ca="1">(-PMT(discount_rate,$F111,L83)+$C111)/(8.76*$E111)+'Fuel Costs'!K141+$D111</f>
        <v>469.36321480425545</v>
      </c>
      <c r="J111" s="47">
        <f ca="1">(-PMT(discount_rate,$F111,M83)+$C111)/(8.76*$E111)+'Fuel Costs'!L141+$D111</f>
        <v>469.71386681477566</v>
      </c>
      <c r="K111" s="47">
        <f ca="1">(-PMT(discount_rate,$F111,N83)+$C111)/(8.76*$E111)+'Fuel Costs'!M141+$D111</f>
        <v>470.05839657276636</v>
      </c>
      <c r="L111" s="47">
        <f ca="1">(-PMT(discount_rate,$F111,O83)+$C111)/(8.76*$E111)+'Fuel Costs'!N141+$D111</f>
        <v>470.39619185297477</v>
      </c>
      <c r="M111" s="47">
        <f ca="1">(-PMT(discount_rate,$F111,P83)+$C111)/(8.76*$E111)+'Fuel Costs'!O141+$D111</f>
        <v>470.72657920762265</v>
      </c>
      <c r="N111" s="47">
        <f ca="1">(-PMT(discount_rate,$F111,Q83)+$C111)/(8.76*$E111)+'Fuel Costs'!P141+$D111</f>
        <v>471.04881784415375</v>
      </c>
      <c r="O111" s="47">
        <f ca="1">(-PMT(discount_rate,$F111,R83)+$C111)/(8.76*$E111)+'Fuel Costs'!Q141+$D111</f>
        <v>471.36209289075668</v>
      </c>
      <c r="P111" s="47">
        <f ca="1">(-PMT(discount_rate,$F111,S83)+$C111)/(8.76*$E111)+'Fuel Costs'!R141+$D111</f>
        <v>471.66550798843832</v>
      </c>
      <c r="Q111" s="47">
        <f ca="1">(-PMT(discount_rate,$F111,T83)+$C111)/(8.76*$E111)+'Fuel Costs'!S141+$D111</f>
        <v>471.95807714230671</v>
      </c>
      <c r="R111" s="47">
        <f ca="1">(-PMT(discount_rate,$F111,U83)+$C111)/(8.76*$E111)+'Fuel Costs'!T141+$D111</f>
        <v>472.23871575798057</v>
      </c>
      <c r="S111" s="47">
        <f ca="1">(-PMT(discount_rate,$F111,V83)+$C111)/(8.76*$E111)+'Fuel Costs'!U141+$D111</f>
        <v>472.50623078164028</v>
      </c>
      <c r="T111" s="47">
        <f ca="1">(-PMT(discount_rate,$F111,W83)+$C111)/(8.76*$E111)+'Fuel Costs'!V141+$D111</f>
        <v>472.75930985408456</v>
      </c>
      <c r="U111" s="47">
        <f ca="1">(-PMT(discount_rate,$F111,X83)+$C111)/(8.76*$E111)+'Fuel Costs'!W141+$D111</f>
        <v>472.99650938019181</v>
      </c>
      <c r="V111" s="47">
        <f ca="1">(-PMT(discount_rate,$F111,Y83)+$C111)/(8.76*$E111)+'Fuel Costs'!X141+$D111</f>
        <v>473.21624140532833</v>
      </c>
      <c r="W111" s="47">
        <f ca="1">(-PMT(discount_rate,$F111,Z83)+$C111)/(8.76*$E111)+'Fuel Costs'!Y141+$D111</f>
        <v>473.4167591793971</v>
      </c>
      <c r="X111" s="47">
        <f ca="1">(-PMT(discount_rate,$F111,AA83)+$C111)/(8.76*$E111)+'Fuel Costs'!Z141+$D111</f>
        <v>473.59614127729128</v>
      </c>
      <c r="Y111" s="47">
        <f ca="1">(-PMT(discount_rate,$F111,AB83)+$C111)/(8.76*$E111)+'Fuel Costs'!AA141+$D111</f>
        <v>473.75227413139339</v>
      </c>
      <c r="Z111" s="47">
        <f ca="1">(-PMT(discount_rate,$F111,AC83)+$C111)/(8.76*$E111)+'Fuel Costs'!AB141+$D111</f>
        <v>473.88283281732436</v>
      </c>
      <c r="AA111" s="47">
        <f ca="1">(-PMT(discount_rate,$F111,AD83)+$C111)/(8.76*$E111)+'Fuel Costs'!AC141+$D111</f>
        <v>473.98525991826693</v>
      </c>
      <c r="AB111" s="47">
        <f ca="1">(-PMT(discount_rate,$F111,AE83)+$C111)/(8.76*$E111)+'Fuel Costs'!AD141+$D111</f>
        <v>474.05674227572229</v>
      </c>
      <c r="AC111" s="47">
        <f ca="1">(-PMT(discount_rate,$F111,AF83)+$C111)/(8.76*$E111)+'Fuel Costs'!AE141+$D111</f>
        <v>474.09418541534183</v>
      </c>
    </row>
    <row r="112" spans="2:29">
      <c r="B112" t="str">
        <f t="shared" si="63"/>
        <v>-</v>
      </c>
      <c r="C112">
        <f t="shared" si="59"/>
        <v>0</v>
      </c>
      <c r="D112">
        <f t="shared" si="60"/>
        <v>0</v>
      </c>
      <c r="E112">
        <f t="shared" si="61"/>
        <v>0</v>
      </c>
      <c r="F112" s="21">
        <f t="shared" si="62"/>
        <v>0</v>
      </c>
      <c r="G112" s="47" t="e">
        <f ca="1">(-PMT(discount_rate,$F112,J84)+$C112)/(8.76*$E112)+'Fuel Costs'!I142+$D112</f>
        <v>#DIV/0!</v>
      </c>
      <c r="H112" s="47" t="e">
        <f ca="1">(-PMT(discount_rate,$F112,K84)+$C112)/(8.76*$E112)+'Fuel Costs'!J142+$D112</f>
        <v>#DIV/0!</v>
      </c>
      <c r="I112" s="47" t="e">
        <f ca="1">(-PMT(discount_rate,$F112,L84)+$C112)/(8.76*$E112)+'Fuel Costs'!K142+$D112</f>
        <v>#DIV/0!</v>
      </c>
      <c r="J112" s="47" t="e">
        <f ca="1">(-PMT(discount_rate,$F112,M84)+$C112)/(8.76*$E112)+'Fuel Costs'!L142+$D112</f>
        <v>#DIV/0!</v>
      </c>
      <c r="K112" s="47" t="e">
        <f ca="1">(-PMT(discount_rate,$F112,N84)+$C112)/(8.76*$E112)+'Fuel Costs'!M142+$D112</f>
        <v>#DIV/0!</v>
      </c>
      <c r="L112" s="47" t="e">
        <f ca="1">(-PMT(discount_rate,$F112,O84)+$C112)/(8.76*$E112)+'Fuel Costs'!N142+$D112</f>
        <v>#DIV/0!</v>
      </c>
      <c r="M112" s="47" t="e">
        <f ca="1">(-PMT(discount_rate,$F112,P84)+$C112)/(8.76*$E112)+'Fuel Costs'!O142+$D112</f>
        <v>#DIV/0!</v>
      </c>
      <c r="N112" s="47" t="e">
        <f ca="1">(-PMT(discount_rate,$F112,Q84)+$C112)/(8.76*$E112)+'Fuel Costs'!P142+$D112</f>
        <v>#DIV/0!</v>
      </c>
      <c r="O112" s="47" t="e">
        <f ca="1">(-PMT(discount_rate,$F112,R84)+$C112)/(8.76*$E112)+'Fuel Costs'!Q142+$D112</f>
        <v>#DIV/0!</v>
      </c>
      <c r="P112" s="47" t="e">
        <f ca="1">(-PMT(discount_rate,$F112,S84)+$C112)/(8.76*$E112)+'Fuel Costs'!R142+$D112</f>
        <v>#DIV/0!</v>
      </c>
      <c r="Q112" s="47" t="e">
        <f ca="1">(-PMT(discount_rate,$F112,T84)+$C112)/(8.76*$E112)+'Fuel Costs'!S142+$D112</f>
        <v>#DIV/0!</v>
      </c>
      <c r="R112" s="47" t="e">
        <f ca="1">(-PMT(discount_rate,$F112,U84)+$C112)/(8.76*$E112)+'Fuel Costs'!T142+$D112</f>
        <v>#DIV/0!</v>
      </c>
      <c r="S112" s="47" t="e">
        <f ca="1">(-PMT(discount_rate,$F112,V84)+$C112)/(8.76*$E112)+'Fuel Costs'!U142+$D112</f>
        <v>#DIV/0!</v>
      </c>
      <c r="T112" s="47" t="e">
        <f ca="1">(-PMT(discount_rate,$F112,W84)+$C112)/(8.76*$E112)+'Fuel Costs'!V142+$D112</f>
        <v>#DIV/0!</v>
      </c>
      <c r="U112" s="47" t="e">
        <f ca="1">(-PMT(discount_rate,$F112,X84)+$C112)/(8.76*$E112)+'Fuel Costs'!W142+$D112</f>
        <v>#DIV/0!</v>
      </c>
      <c r="V112" s="47" t="e">
        <f ca="1">(-PMT(discount_rate,$F112,Y84)+$C112)/(8.76*$E112)+'Fuel Costs'!X142+$D112</f>
        <v>#DIV/0!</v>
      </c>
      <c r="W112" s="47" t="e">
        <f ca="1">(-PMT(discount_rate,$F112,Z84)+$C112)/(8.76*$E112)+'Fuel Costs'!Y142+$D112</f>
        <v>#DIV/0!</v>
      </c>
      <c r="X112" s="47" t="e">
        <f ca="1">(-PMT(discount_rate,$F112,AA84)+$C112)/(8.76*$E112)+'Fuel Costs'!Z142+$D112</f>
        <v>#DIV/0!</v>
      </c>
      <c r="Y112" s="47" t="e">
        <f ca="1">(-PMT(discount_rate,$F112,AB84)+$C112)/(8.76*$E112)+'Fuel Costs'!AA142+$D112</f>
        <v>#DIV/0!</v>
      </c>
      <c r="Z112" s="47" t="e">
        <f ca="1">(-PMT(discount_rate,$F112,AC84)+$C112)/(8.76*$E112)+'Fuel Costs'!AB142+$D112</f>
        <v>#DIV/0!</v>
      </c>
      <c r="AA112" s="47" t="e">
        <f ca="1">(-PMT(discount_rate,$F112,AD84)+$C112)/(8.76*$E112)+'Fuel Costs'!AC142+$D112</f>
        <v>#DIV/0!</v>
      </c>
      <c r="AB112" s="47" t="e">
        <f ca="1">(-PMT(discount_rate,$F112,AE84)+$C112)/(8.76*$E112)+'Fuel Costs'!AD142+$D112</f>
        <v>#DIV/0!</v>
      </c>
      <c r="AC112" s="47" t="e">
        <f ca="1">(-PMT(discount_rate,$F112,AF84)+$C112)/(8.76*$E112)+'Fuel Costs'!AE142+$D112</f>
        <v>#DIV/0!</v>
      </c>
    </row>
    <row r="113" spans="2:29">
      <c r="B113" t="str">
        <f t="shared" si="63"/>
        <v>-</v>
      </c>
      <c r="C113">
        <f t="shared" si="59"/>
        <v>0</v>
      </c>
      <c r="D113">
        <f t="shared" si="60"/>
        <v>0</v>
      </c>
      <c r="E113">
        <f t="shared" si="61"/>
        <v>0</v>
      </c>
      <c r="F113" s="21">
        <f t="shared" si="62"/>
        <v>0</v>
      </c>
      <c r="G113" s="47" t="e">
        <f ca="1">(-PMT(discount_rate,$F113,J85)+$C113)/(8.76*$E113)+'Fuel Costs'!I143+$D113</f>
        <v>#DIV/0!</v>
      </c>
      <c r="H113" s="47" t="e">
        <f ca="1">(-PMT(discount_rate,$F113,K85)+$C113)/(8.76*$E113)+'Fuel Costs'!J143+$D113</f>
        <v>#DIV/0!</v>
      </c>
      <c r="I113" s="47" t="e">
        <f ca="1">(-PMT(discount_rate,$F113,L85)+$C113)/(8.76*$E113)+'Fuel Costs'!K143+$D113</f>
        <v>#DIV/0!</v>
      </c>
      <c r="J113" s="47" t="e">
        <f ca="1">(-PMT(discount_rate,$F113,M85)+$C113)/(8.76*$E113)+'Fuel Costs'!L143+$D113</f>
        <v>#DIV/0!</v>
      </c>
      <c r="K113" s="47" t="e">
        <f ca="1">(-PMT(discount_rate,$F113,N85)+$C113)/(8.76*$E113)+'Fuel Costs'!M143+$D113</f>
        <v>#DIV/0!</v>
      </c>
      <c r="L113" s="47" t="e">
        <f ca="1">(-PMT(discount_rate,$F113,O85)+$C113)/(8.76*$E113)+'Fuel Costs'!N143+$D113</f>
        <v>#DIV/0!</v>
      </c>
      <c r="M113" s="47" t="e">
        <f ca="1">(-PMT(discount_rate,$F113,P85)+$C113)/(8.76*$E113)+'Fuel Costs'!O143+$D113</f>
        <v>#DIV/0!</v>
      </c>
      <c r="N113" s="47" t="e">
        <f ca="1">(-PMT(discount_rate,$F113,Q85)+$C113)/(8.76*$E113)+'Fuel Costs'!P143+$D113</f>
        <v>#DIV/0!</v>
      </c>
      <c r="O113" s="47" t="e">
        <f ca="1">(-PMT(discount_rate,$F113,R85)+$C113)/(8.76*$E113)+'Fuel Costs'!Q143+$D113</f>
        <v>#DIV/0!</v>
      </c>
      <c r="P113" s="47" t="e">
        <f ca="1">(-PMT(discount_rate,$F113,S85)+$C113)/(8.76*$E113)+'Fuel Costs'!R143+$D113</f>
        <v>#DIV/0!</v>
      </c>
      <c r="Q113" s="47" t="e">
        <f ca="1">(-PMT(discount_rate,$F113,T85)+$C113)/(8.76*$E113)+'Fuel Costs'!S143+$D113</f>
        <v>#DIV/0!</v>
      </c>
      <c r="R113" s="47" t="e">
        <f ca="1">(-PMT(discount_rate,$F113,U85)+$C113)/(8.76*$E113)+'Fuel Costs'!T143+$D113</f>
        <v>#DIV/0!</v>
      </c>
      <c r="S113" s="47" t="e">
        <f ca="1">(-PMT(discount_rate,$F113,V85)+$C113)/(8.76*$E113)+'Fuel Costs'!U143+$D113</f>
        <v>#DIV/0!</v>
      </c>
      <c r="T113" s="47" t="e">
        <f ca="1">(-PMT(discount_rate,$F113,W85)+$C113)/(8.76*$E113)+'Fuel Costs'!V143+$D113</f>
        <v>#DIV/0!</v>
      </c>
      <c r="U113" s="47" t="e">
        <f ca="1">(-PMT(discount_rate,$F113,X85)+$C113)/(8.76*$E113)+'Fuel Costs'!W143+$D113</f>
        <v>#DIV/0!</v>
      </c>
      <c r="V113" s="47" t="e">
        <f ca="1">(-PMT(discount_rate,$F113,Y85)+$C113)/(8.76*$E113)+'Fuel Costs'!X143+$D113</f>
        <v>#DIV/0!</v>
      </c>
      <c r="W113" s="47" t="e">
        <f ca="1">(-PMT(discount_rate,$F113,Z85)+$C113)/(8.76*$E113)+'Fuel Costs'!Y143+$D113</f>
        <v>#DIV/0!</v>
      </c>
      <c r="X113" s="47" t="e">
        <f ca="1">(-PMT(discount_rate,$F113,AA85)+$C113)/(8.76*$E113)+'Fuel Costs'!Z143+$D113</f>
        <v>#DIV/0!</v>
      </c>
      <c r="Y113" s="47" t="e">
        <f ca="1">(-PMT(discount_rate,$F113,AB85)+$C113)/(8.76*$E113)+'Fuel Costs'!AA143+$D113</f>
        <v>#DIV/0!</v>
      </c>
      <c r="Z113" s="47" t="e">
        <f ca="1">(-PMT(discount_rate,$F113,AC85)+$C113)/(8.76*$E113)+'Fuel Costs'!AB143+$D113</f>
        <v>#DIV/0!</v>
      </c>
      <c r="AA113" s="47" t="e">
        <f ca="1">(-PMT(discount_rate,$F113,AD85)+$C113)/(8.76*$E113)+'Fuel Costs'!AC143+$D113</f>
        <v>#DIV/0!</v>
      </c>
      <c r="AB113" s="47" t="e">
        <f ca="1">(-PMT(discount_rate,$F113,AE85)+$C113)/(8.76*$E113)+'Fuel Costs'!AD143+$D113</f>
        <v>#DIV/0!</v>
      </c>
      <c r="AC113" s="47" t="e">
        <f ca="1">(-PMT(discount_rate,$F113,AF85)+$C113)/(8.76*$E113)+'Fuel Costs'!AE143+$D113</f>
        <v>#DIV/0!</v>
      </c>
    </row>
    <row r="114" spans="2:29">
      <c r="B114" t="str">
        <f t="shared" si="63"/>
        <v>-</v>
      </c>
      <c r="C114">
        <f t="shared" si="59"/>
        <v>0</v>
      </c>
      <c r="D114">
        <f t="shared" si="60"/>
        <v>0</v>
      </c>
      <c r="E114">
        <f t="shared" si="61"/>
        <v>0</v>
      </c>
      <c r="F114" s="21">
        <f t="shared" si="62"/>
        <v>0</v>
      </c>
      <c r="G114" s="47" t="e">
        <f ca="1">(-PMT(discount_rate,$F114,J86)+$C114)/(8.76*$E114)+'Fuel Costs'!I144+$D114</f>
        <v>#DIV/0!</v>
      </c>
      <c r="H114" s="47" t="e">
        <f ca="1">(-PMT(discount_rate,$F114,K86)+$C114)/(8.76*$E114)+'Fuel Costs'!J144+$D114</f>
        <v>#DIV/0!</v>
      </c>
      <c r="I114" s="47" t="e">
        <f ca="1">(-PMT(discount_rate,$F114,L86)+$C114)/(8.76*$E114)+'Fuel Costs'!K144+$D114</f>
        <v>#DIV/0!</v>
      </c>
      <c r="J114" s="47" t="e">
        <f ca="1">(-PMT(discount_rate,$F114,M86)+$C114)/(8.76*$E114)+'Fuel Costs'!L144+$D114</f>
        <v>#DIV/0!</v>
      </c>
      <c r="K114" s="47" t="e">
        <f ca="1">(-PMT(discount_rate,$F114,N86)+$C114)/(8.76*$E114)+'Fuel Costs'!M144+$D114</f>
        <v>#DIV/0!</v>
      </c>
      <c r="L114" s="47" t="e">
        <f ca="1">(-PMT(discount_rate,$F114,O86)+$C114)/(8.76*$E114)+'Fuel Costs'!N144+$D114</f>
        <v>#DIV/0!</v>
      </c>
      <c r="M114" s="47" t="e">
        <f ca="1">(-PMT(discount_rate,$F114,P86)+$C114)/(8.76*$E114)+'Fuel Costs'!O144+$D114</f>
        <v>#DIV/0!</v>
      </c>
      <c r="N114" s="47" t="e">
        <f ca="1">(-PMT(discount_rate,$F114,Q86)+$C114)/(8.76*$E114)+'Fuel Costs'!P144+$D114</f>
        <v>#DIV/0!</v>
      </c>
      <c r="O114" s="47" t="e">
        <f ca="1">(-PMT(discount_rate,$F114,R86)+$C114)/(8.76*$E114)+'Fuel Costs'!Q144+$D114</f>
        <v>#DIV/0!</v>
      </c>
      <c r="P114" s="47" t="e">
        <f ca="1">(-PMT(discount_rate,$F114,S86)+$C114)/(8.76*$E114)+'Fuel Costs'!R144+$D114</f>
        <v>#DIV/0!</v>
      </c>
      <c r="Q114" s="47" t="e">
        <f ca="1">(-PMT(discount_rate,$F114,T86)+$C114)/(8.76*$E114)+'Fuel Costs'!S144+$D114</f>
        <v>#DIV/0!</v>
      </c>
      <c r="R114" s="47" t="e">
        <f ca="1">(-PMT(discount_rate,$F114,U86)+$C114)/(8.76*$E114)+'Fuel Costs'!T144+$D114</f>
        <v>#DIV/0!</v>
      </c>
      <c r="S114" s="47" t="e">
        <f ca="1">(-PMT(discount_rate,$F114,V86)+$C114)/(8.76*$E114)+'Fuel Costs'!U144+$D114</f>
        <v>#DIV/0!</v>
      </c>
      <c r="T114" s="47" t="e">
        <f ca="1">(-PMT(discount_rate,$F114,W86)+$C114)/(8.76*$E114)+'Fuel Costs'!V144+$D114</f>
        <v>#DIV/0!</v>
      </c>
      <c r="U114" s="47" t="e">
        <f ca="1">(-PMT(discount_rate,$F114,X86)+$C114)/(8.76*$E114)+'Fuel Costs'!W144+$D114</f>
        <v>#DIV/0!</v>
      </c>
      <c r="V114" s="47" t="e">
        <f ca="1">(-PMT(discount_rate,$F114,Y86)+$C114)/(8.76*$E114)+'Fuel Costs'!X144+$D114</f>
        <v>#DIV/0!</v>
      </c>
      <c r="W114" s="47" t="e">
        <f ca="1">(-PMT(discount_rate,$F114,Z86)+$C114)/(8.76*$E114)+'Fuel Costs'!Y144+$D114</f>
        <v>#DIV/0!</v>
      </c>
      <c r="X114" s="47" t="e">
        <f ca="1">(-PMT(discount_rate,$F114,AA86)+$C114)/(8.76*$E114)+'Fuel Costs'!Z144+$D114</f>
        <v>#DIV/0!</v>
      </c>
      <c r="Y114" s="47" t="e">
        <f ca="1">(-PMT(discount_rate,$F114,AB86)+$C114)/(8.76*$E114)+'Fuel Costs'!AA144+$D114</f>
        <v>#DIV/0!</v>
      </c>
      <c r="Z114" s="47" t="e">
        <f ca="1">(-PMT(discount_rate,$F114,AC86)+$C114)/(8.76*$E114)+'Fuel Costs'!AB144+$D114</f>
        <v>#DIV/0!</v>
      </c>
      <c r="AA114" s="47" t="e">
        <f ca="1">(-PMT(discount_rate,$F114,AD86)+$C114)/(8.76*$E114)+'Fuel Costs'!AC144+$D114</f>
        <v>#DIV/0!</v>
      </c>
      <c r="AB114" s="47" t="e">
        <f ca="1">(-PMT(discount_rate,$F114,AE86)+$C114)/(8.76*$E114)+'Fuel Costs'!AD144+$D114</f>
        <v>#DIV/0!</v>
      </c>
      <c r="AC114" s="47" t="e">
        <f ca="1">(-PMT(discount_rate,$F114,AF86)+$C114)/(8.76*$E114)+'Fuel Costs'!AE144+$D114</f>
        <v>#DIV/0!</v>
      </c>
    </row>
    <row r="115" spans="2:29">
      <c r="B115" t="str">
        <f t="shared" si="63"/>
        <v>Pumped storage</v>
      </c>
      <c r="C115">
        <f t="shared" si="59"/>
        <v>57.819628853115084</v>
      </c>
      <c r="D115">
        <f t="shared" si="60"/>
        <v>0</v>
      </c>
      <c r="E115">
        <f t="shared" si="61"/>
        <v>0.22368649211028269</v>
      </c>
      <c r="F115" s="21">
        <f t="shared" si="62"/>
        <v>50</v>
      </c>
      <c r="G115" s="47">
        <f ca="1">(-PMT(discount_rate,$F115,J87)+$C115)/(8.76*$E115)+'Fuel Costs'!I145+$D115</f>
        <v>699.13771539263894</v>
      </c>
      <c r="H115" s="47">
        <f ca="1">(-PMT(discount_rate,$F115,K87)+$C115)/(8.76*$E115)+'Fuel Costs'!J145+$D115</f>
        <v>699.13771539263894</v>
      </c>
      <c r="I115" s="47">
        <f ca="1">(-PMT(discount_rate,$F115,L87)+$C115)/(8.76*$E115)+'Fuel Costs'!K145+$D115</f>
        <v>699.13771539263894</v>
      </c>
      <c r="J115" s="47">
        <f ca="1">(-PMT(discount_rate,$F115,M87)+$C115)/(8.76*$E115)+'Fuel Costs'!L145+$D115</f>
        <v>699.13771539263894</v>
      </c>
      <c r="K115" s="47">
        <f ca="1">(-PMT(discount_rate,$F115,N87)+$C115)/(8.76*$E115)+'Fuel Costs'!M145+$D115</f>
        <v>699.13771539263894</v>
      </c>
      <c r="L115" s="47">
        <f ca="1">(-PMT(discount_rate,$F115,O87)+$C115)/(8.76*$E115)+'Fuel Costs'!N145+$D115</f>
        <v>699.13771539263894</v>
      </c>
      <c r="M115" s="47">
        <f ca="1">(-PMT(discount_rate,$F115,P87)+$C115)/(8.76*$E115)+'Fuel Costs'!O145+$D115</f>
        <v>699.13771539263894</v>
      </c>
      <c r="N115" s="47">
        <f ca="1">(-PMT(discount_rate,$F115,Q87)+$C115)/(8.76*$E115)+'Fuel Costs'!P145+$D115</f>
        <v>699.13771539263894</v>
      </c>
      <c r="O115" s="47">
        <f ca="1">(-PMT(discount_rate,$F115,R87)+$C115)/(8.76*$E115)+'Fuel Costs'!Q145+$D115</f>
        <v>699.13771539263894</v>
      </c>
      <c r="P115" s="47">
        <f ca="1">(-PMT(discount_rate,$F115,S87)+$C115)/(8.76*$E115)+'Fuel Costs'!R145+$D115</f>
        <v>699.13771539263894</v>
      </c>
      <c r="Q115" s="47">
        <f ca="1">(-PMT(discount_rate,$F115,T87)+$C115)/(8.76*$E115)+'Fuel Costs'!S145+$D115</f>
        <v>699.13771539263894</v>
      </c>
      <c r="R115" s="47">
        <f ca="1">(-PMT(discount_rate,$F115,U87)+$C115)/(8.76*$E115)+'Fuel Costs'!T145+$D115</f>
        <v>699.13771539263894</v>
      </c>
      <c r="S115" s="47">
        <f ca="1">(-PMT(discount_rate,$F115,V87)+$C115)/(8.76*$E115)+'Fuel Costs'!U145+$D115</f>
        <v>699.13771539263894</v>
      </c>
      <c r="T115" s="47">
        <f ca="1">(-PMT(discount_rate,$F115,W87)+$C115)/(8.76*$E115)+'Fuel Costs'!V145+$D115</f>
        <v>699.13771539263894</v>
      </c>
      <c r="U115" s="47">
        <f ca="1">(-PMT(discount_rate,$F115,X87)+$C115)/(8.76*$E115)+'Fuel Costs'!W145+$D115</f>
        <v>699.13771539263894</v>
      </c>
      <c r="V115" s="47">
        <f ca="1">(-PMT(discount_rate,$F115,Y87)+$C115)/(8.76*$E115)+'Fuel Costs'!X145+$D115</f>
        <v>699.13771539263894</v>
      </c>
      <c r="W115" s="47">
        <f ca="1">(-PMT(discount_rate,$F115,Z87)+$C115)/(8.76*$E115)+'Fuel Costs'!Y145+$D115</f>
        <v>699.13771539263894</v>
      </c>
      <c r="X115" s="47">
        <f ca="1">(-PMT(discount_rate,$F115,AA87)+$C115)/(8.76*$E115)+'Fuel Costs'!Z145+$D115</f>
        <v>699.13771539263894</v>
      </c>
      <c r="Y115" s="47">
        <f ca="1">(-PMT(discount_rate,$F115,AB87)+$C115)/(8.76*$E115)+'Fuel Costs'!AA145+$D115</f>
        <v>699.13771539263894</v>
      </c>
      <c r="Z115" s="47">
        <f ca="1">(-PMT(discount_rate,$F115,AC87)+$C115)/(8.76*$E115)+'Fuel Costs'!AB145+$D115</f>
        <v>699.13771539263894</v>
      </c>
      <c r="AA115" s="47">
        <f ca="1">(-PMT(discount_rate,$F115,AD87)+$C115)/(8.76*$E115)+'Fuel Costs'!AC145+$D115</f>
        <v>699.13771539263894</v>
      </c>
      <c r="AB115" s="47">
        <f ca="1">(-PMT(discount_rate,$F115,AE87)+$C115)/(8.76*$E115)+'Fuel Costs'!AD145+$D115</f>
        <v>699.13771539263894</v>
      </c>
      <c r="AC115" s="47">
        <f ca="1">(-PMT(discount_rate,$F115,AF87)+$C115)/(8.76*$E115)+'Fuel Costs'!AE145+$D115</f>
        <v>699.13771539263894</v>
      </c>
    </row>
    <row r="118" spans="2:29">
      <c r="B118" s="44" t="s">
        <v>128</v>
      </c>
      <c r="G118" s="4">
        <f t="shared" ref="G118:AC118" si="64">G94</f>
        <v>2008</v>
      </c>
      <c r="H118" s="4">
        <f t="shared" si="64"/>
        <v>2009</v>
      </c>
      <c r="I118" s="4">
        <f t="shared" si="64"/>
        <v>2010</v>
      </c>
      <c r="J118" s="4">
        <f t="shared" si="64"/>
        <v>2011</v>
      </c>
      <c r="K118" s="4">
        <f t="shared" si="64"/>
        <v>2012</v>
      </c>
      <c r="L118" s="4">
        <f t="shared" si="64"/>
        <v>2013</v>
      </c>
      <c r="M118" s="4">
        <f t="shared" si="64"/>
        <v>2014</v>
      </c>
      <c r="N118" s="4">
        <f t="shared" si="64"/>
        <v>2015</v>
      </c>
      <c r="O118" s="4">
        <f t="shared" si="64"/>
        <v>2016</v>
      </c>
      <c r="P118" s="4">
        <f t="shared" si="64"/>
        <v>2017</v>
      </c>
      <c r="Q118" s="4">
        <f t="shared" si="64"/>
        <v>2018</v>
      </c>
      <c r="R118" s="4">
        <f t="shared" si="64"/>
        <v>2019</v>
      </c>
      <c r="S118" s="4">
        <f t="shared" si="64"/>
        <v>2020</v>
      </c>
      <c r="T118" s="4">
        <f t="shared" si="64"/>
        <v>2021</v>
      </c>
      <c r="U118" s="4">
        <f t="shared" si="64"/>
        <v>2022</v>
      </c>
      <c r="V118" s="4">
        <f t="shared" si="64"/>
        <v>2023</v>
      </c>
      <c r="W118" s="4">
        <f t="shared" si="64"/>
        <v>2024</v>
      </c>
      <c r="X118" s="4">
        <f t="shared" si="64"/>
        <v>2025</v>
      </c>
      <c r="Y118" s="4">
        <f t="shared" si="64"/>
        <v>2026</v>
      </c>
      <c r="Z118" s="4">
        <f t="shared" si="64"/>
        <v>2027</v>
      </c>
      <c r="AA118" s="4">
        <f t="shared" si="64"/>
        <v>2028</v>
      </c>
      <c r="AB118" s="4">
        <f t="shared" si="64"/>
        <v>2029</v>
      </c>
      <c r="AC118" s="4">
        <f t="shared" si="64"/>
        <v>2030</v>
      </c>
    </row>
    <row r="119" spans="2:29">
      <c r="F119" t="str">
        <f t="shared" ref="F119:F133" si="65">B98</f>
        <v>OCGT liquid fuels</v>
      </c>
      <c r="G119" s="48">
        <f t="shared" ref="G119:AC119" ca="1" si="66">G98</f>
        <v>2302.7967414157279</v>
      </c>
      <c r="H119" s="48">
        <f t="shared" ca="1" si="66"/>
        <v>2299.4042938808329</v>
      </c>
      <c r="I119" s="48">
        <f t="shared" ca="1" si="66"/>
        <v>2376.7304107856526</v>
      </c>
      <c r="J119" s="48">
        <f t="shared" ca="1" si="66"/>
        <v>2452.848354297585</v>
      </c>
      <c r="K119" s="48">
        <f t="shared" ca="1" si="66"/>
        <v>2527.6373070773407</v>
      </c>
      <c r="L119" s="48">
        <f t="shared" ca="1" si="66"/>
        <v>2600.9643700517036</v>
      </c>
      <c r="M119" s="48">
        <f t="shared" ca="1" si="66"/>
        <v>2672.6833542401328</v>
      </c>
      <c r="N119" s="48">
        <f t="shared" ca="1" si="66"/>
        <v>2742.6334517640344</v>
      </c>
      <c r="O119" s="48">
        <f t="shared" ca="1" si="66"/>
        <v>2810.6377739569584</v>
      </c>
      <c r="P119" s="48">
        <f t="shared" ca="1" si="66"/>
        <v>2876.5017432858053</v>
      </c>
      <c r="Q119" s="48">
        <f t="shared" ca="1" si="66"/>
        <v>2940.0113244641661</v>
      </c>
      <c r="R119" s="48">
        <f t="shared" ca="1" si="66"/>
        <v>3000.9310786769947</v>
      </c>
      <c r="S119" s="48">
        <f t="shared" ca="1" si="66"/>
        <v>3059.0020232277366</v>
      </c>
      <c r="T119" s="48">
        <f t="shared" ca="1" si="66"/>
        <v>3113.9392771501834</v>
      </c>
      <c r="U119" s="48">
        <f t="shared" ca="1" si="66"/>
        <v>3165.4294713815057</v>
      </c>
      <c r="V119" s="48">
        <f t="shared" ca="1" si="66"/>
        <v>3213.1278999525907</v>
      </c>
      <c r="W119" s="48">
        <f t="shared" ca="1" si="66"/>
        <v>3256.6553862974142</v>
      </c>
      <c r="X119" s="48">
        <f t="shared" ca="1" si="66"/>
        <v>3295.5948361933515</v>
      </c>
      <c r="Y119" s="48">
        <f t="shared" ca="1" si="66"/>
        <v>3329.4874459955122</v>
      </c>
      <c r="Z119" s="48">
        <f t="shared" ca="1" si="66"/>
        <v>3357.8285316945203</v>
      </c>
      <c r="AA119" s="48">
        <f t="shared" ca="1" si="66"/>
        <v>3380.0629408800596</v>
      </c>
      <c r="AB119" s="48">
        <f t="shared" ca="1" si="66"/>
        <v>3395.5800059007834</v>
      </c>
      <c r="AC119" s="48">
        <f t="shared" ca="1" si="66"/>
        <v>3403.7079923402098</v>
      </c>
    </row>
    <row r="120" spans="2:29">
      <c r="F120" t="str">
        <f t="shared" si="65"/>
        <v>PWR nuclear</v>
      </c>
      <c r="G120" s="48">
        <f t="shared" ref="G120:AC120" ca="1" si="67">G99</f>
        <v>688.06052079193375</v>
      </c>
      <c r="H120" s="48">
        <f t="shared" ca="1" si="67"/>
        <v>689.07289464885764</v>
      </c>
      <c r="I120" s="48">
        <f t="shared" ca="1" si="67"/>
        <v>689.33745699382848</v>
      </c>
      <c r="J120" s="48">
        <f t="shared" ca="1" si="67"/>
        <v>689.59890504217776</v>
      </c>
      <c r="K120" s="48">
        <f t="shared" ca="1" si="67"/>
        <v>689.85677951158777</v>
      </c>
      <c r="L120" s="48">
        <f t="shared" ca="1" si="67"/>
        <v>690.1105744522456</v>
      </c>
      <c r="M120" s="48">
        <f t="shared" ca="1" si="67"/>
        <v>690.35973257639773</v>
      </c>
      <c r="N120" s="48">
        <f t="shared" ca="1" si="67"/>
        <v>690.60364012084051</v>
      </c>
      <c r="O120" s="48">
        <f t="shared" ca="1" si="67"/>
        <v>690.84162119564257</v>
      </c>
      <c r="P120" s="48">
        <f t="shared" ca="1" si="67"/>
        <v>691.07293156771925</v>
      </c>
      <c r="Q120" s="48">
        <f t="shared" ca="1" si="67"/>
        <v>691.29675182274707</v>
      </c>
      <c r="R120" s="48">
        <f t="shared" ca="1" si="67"/>
        <v>691.51217984325001</v>
      </c>
      <c r="S120" s="48">
        <f t="shared" ca="1" si="67"/>
        <v>691.71822253447522</v>
      </c>
      <c r="T120" s="48">
        <f t="shared" ca="1" si="67"/>
        <v>691.91378672283827</v>
      </c>
      <c r="U120" s="48">
        <f t="shared" ca="1" si="67"/>
        <v>692.09766914419322</v>
      </c>
      <c r="V120" s="48">
        <f t="shared" ca="1" si="67"/>
        <v>692.26854543090997</v>
      </c>
      <c r="W120" s="48">
        <f t="shared" ca="1" si="67"/>
        <v>692.42495799764072</v>
      </c>
      <c r="X120" s="48">
        <f t="shared" ca="1" si="67"/>
        <v>692.56530271564372</v>
      </c>
      <c r="Y120" s="48">
        <f t="shared" ca="1" si="67"/>
        <v>692.68781425451903</v>
      </c>
      <c r="Z120" s="48">
        <f t="shared" ca="1" si="67"/>
        <v>692.7905499580994</v>
      </c>
      <c r="AA120" s="48">
        <f t="shared" ca="1" si="67"/>
        <v>692.87137210790945</v>
      </c>
      <c r="AB120" s="48">
        <f t="shared" ca="1" si="67"/>
        <v>692.92792841295125</v>
      </c>
      <c r="AC120" s="48">
        <f t="shared" ca="1" si="67"/>
        <v>692.95763054844952</v>
      </c>
    </row>
    <row r="121" spans="2:29">
      <c r="F121" t="str">
        <f t="shared" si="65"/>
        <v>Hydro</v>
      </c>
      <c r="G121" s="48">
        <f t="shared" ref="G121:AC121" ca="1" si="68">G100</f>
        <v>98.616567997651174</v>
      </c>
      <c r="H121" s="48">
        <f t="shared" ca="1" si="68"/>
        <v>98.616567997651174</v>
      </c>
      <c r="I121" s="48">
        <f t="shared" ca="1" si="68"/>
        <v>98.616567997651174</v>
      </c>
      <c r="J121" s="48">
        <f t="shared" ca="1" si="68"/>
        <v>98.616567997651174</v>
      </c>
      <c r="K121" s="48">
        <f t="shared" ca="1" si="68"/>
        <v>98.616567997651174</v>
      </c>
      <c r="L121" s="48">
        <f t="shared" ca="1" si="68"/>
        <v>98.616567997651174</v>
      </c>
      <c r="M121" s="48">
        <f t="shared" ca="1" si="68"/>
        <v>98.616567997651174</v>
      </c>
      <c r="N121" s="48">
        <f t="shared" ca="1" si="68"/>
        <v>98.616567997651174</v>
      </c>
      <c r="O121" s="48">
        <f t="shared" ca="1" si="68"/>
        <v>98.616567997651174</v>
      </c>
      <c r="P121" s="48">
        <f t="shared" ca="1" si="68"/>
        <v>98.616567997651174</v>
      </c>
      <c r="Q121" s="48">
        <f t="shared" ca="1" si="68"/>
        <v>98.616567997651174</v>
      </c>
      <c r="R121" s="48">
        <f t="shared" ca="1" si="68"/>
        <v>98.616567997651174</v>
      </c>
      <c r="S121" s="48">
        <f t="shared" ca="1" si="68"/>
        <v>98.616567997651174</v>
      </c>
      <c r="T121" s="48">
        <f t="shared" ca="1" si="68"/>
        <v>98.616567997651174</v>
      </c>
      <c r="U121" s="48">
        <f t="shared" ca="1" si="68"/>
        <v>98.616567997651174</v>
      </c>
      <c r="V121" s="48">
        <f t="shared" ca="1" si="68"/>
        <v>98.616567997651174</v>
      </c>
      <c r="W121" s="48">
        <f t="shared" ca="1" si="68"/>
        <v>98.616567997651174</v>
      </c>
      <c r="X121" s="48">
        <f t="shared" ca="1" si="68"/>
        <v>98.616567997651174</v>
      </c>
      <c r="Y121" s="48">
        <f t="shared" ca="1" si="68"/>
        <v>98.616567997651174</v>
      </c>
      <c r="Z121" s="48">
        <f t="shared" ca="1" si="68"/>
        <v>98.616567997651174</v>
      </c>
      <c r="AA121" s="48">
        <f t="shared" ca="1" si="68"/>
        <v>98.616567997651174</v>
      </c>
      <c r="AB121" s="48">
        <f t="shared" ca="1" si="68"/>
        <v>98.616567997651174</v>
      </c>
      <c r="AC121" s="48">
        <f t="shared" ca="1" si="68"/>
        <v>98.616567997651174</v>
      </c>
    </row>
    <row r="122" spans="2:29">
      <c r="F122" t="str">
        <f t="shared" si="65"/>
        <v>Landfill gas</v>
      </c>
      <c r="G122" s="48">
        <f t="shared" ref="G122:AC122" ca="1" si="69">G101</f>
        <v>437.01622660473356</v>
      </c>
      <c r="H122" s="48">
        <f t="shared" ca="1" si="69"/>
        <v>437.01622660473356</v>
      </c>
      <c r="I122" s="48">
        <f t="shared" ca="1" si="69"/>
        <v>437.01622660473356</v>
      </c>
      <c r="J122" s="48">
        <f t="shared" ca="1" si="69"/>
        <v>437.01622660473356</v>
      </c>
      <c r="K122" s="48">
        <f t="shared" ca="1" si="69"/>
        <v>437.01622660473356</v>
      </c>
      <c r="L122" s="48">
        <f t="shared" ca="1" si="69"/>
        <v>437.01622660473356</v>
      </c>
      <c r="M122" s="48">
        <f t="shared" ca="1" si="69"/>
        <v>437.01622660473356</v>
      </c>
      <c r="N122" s="48">
        <f t="shared" ca="1" si="69"/>
        <v>437.01622660473356</v>
      </c>
      <c r="O122" s="48">
        <f t="shared" ca="1" si="69"/>
        <v>437.01622660473356</v>
      </c>
      <c r="P122" s="48">
        <f t="shared" ca="1" si="69"/>
        <v>437.01622660473356</v>
      </c>
      <c r="Q122" s="48">
        <f t="shared" ca="1" si="69"/>
        <v>437.01622660473356</v>
      </c>
      <c r="R122" s="48">
        <f t="shared" ca="1" si="69"/>
        <v>437.01622660473356</v>
      </c>
      <c r="S122" s="48">
        <f t="shared" ca="1" si="69"/>
        <v>437.01622660473356</v>
      </c>
      <c r="T122" s="48">
        <f t="shared" ca="1" si="69"/>
        <v>437.01622660473356</v>
      </c>
      <c r="U122" s="48">
        <f t="shared" ca="1" si="69"/>
        <v>437.01622660473356</v>
      </c>
      <c r="V122" s="48">
        <f t="shared" ca="1" si="69"/>
        <v>437.01622660473356</v>
      </c>
      <c r="W122" s="48">
        <f t="shared" ca="1" si="69"/>
        <v>437.01622660473356</v>
      </c>
      <c r="X122" s="48">
        <f t="shared" ca="1" si="69"/>
        <v>437.01622660473356</v>
      </c>
      <c r="Y122" s="48">
        <f t="shared" ca="1" si="69"/>
        <v>437.01622660473356</v>
      </c>
      <c r="Z122" s="48">
        <f t="shared" ca="1" si="69"/>
        <v>437.01622660473356</v>
      </c>
      <c r="AA122" s="48">
        <f t="shared" ca="1" si="69"/>
        <v>437.01622660473356</v>
      </c>
      <c r="AB122" s="48">
        <f t="shared" ca="1" si="69"/>
        <v>437.01622660473356</v>
      </c>
      <c r="AC122" s="48">
        <f t="shared" ca="1" si="69"/>
        <v>437.01622660473356</v>
      </c>
    </row>
    <row r="123" spans="2:29">
      <c r="F123" t="str">
        <f t="shared" si="65"/>
        <v>Biomass</v>
      </c>
      <c r="G123" s="48">
        <f t="shared" ref="G123:AC123" ca="1" si="70">G102</f>
        <v>558.91130187856629</v>
      </c>
      <c r="H123" s="48">
        <f t="shared" ca="1" si="70"/>
        <v>558.91130187856629</v>
      </c>
      <c r="I123" s="48">
        <f t="shared" ca="1" si="70"/>
        <v>558.91130187856629</v>
      </c>
      <c r="J123" s="48">
        <f t="shared" ca="1" si="70"/>
        <v>558.91130187856629</v>
      </c>
      <c r="K123" s="48">
        <f t="shared" ca="1" si="70"/>
        <v>558.91130187856629</v>
      </c>
      <c r="L123" s="48">
        <f t="shared" ca="1" si="70"/>
        <v>558.91130187856629</v>
      </c>
      <c r="M123" s="48">
        <f t="shared" ca="1" si="70"/>
        <v>558.91130187856629</v>
      </c>
      <c r="N123" s="48">
        <f t="shared" ca="1" si="70"/>
        <v>558.91130187856629</v>
      </c>
      <c r="O123" s="48">
        <f t="shared" ca="1" si="70"/>
        <v>558.91130187856629</v>
      </c>
      <c r="P123" s="48">
        <f t="shared" ca="1" si="70"/>
        <v>558.91130187856629</v>
      </c>
      <c r="Q123" s="48">
        <f t="shared" ca="1" si="70"/>
        <v>558.91130187856629</v>
      </c>
      <c r="R123" s="48">
        <f t="shared" ca="1" si="70"/>
        <v>558.91130187856629</v>
      </c>
      <c r="S123" s="48">
        <f t="shared" ca="1" si="70"/>
        <v>558.91130187856629</v>
      </c>
      <c r="T123" s="48">
        <f t="shared" ca="1" si="70"/>
        <v>558.91130187856629</v>
      </c>
      <c r="U123" s="48">
        <f t="shared" ca="1" si="70"/>
        <v>558.91130187856629</v>
      </c>
      <c r="V123" s="48">
        <f t="shared" ca="1" si="70"/>
        <v>558.91130187856629</v>
      </c>
      <c r="W123" s="48">
        <f t="shared" ca="1" si="70"/>
        <v>558.91130187856629</v>
      </c>
      <c r="X123" s="48">
        <f t="shared" ca="1" si="70"/>
        <v>558.91130187856629</v>
      </c>
      <c r="Y123" s="48">
        <f t="shared" ca="1" si="70"/>
        <v>558.91130187856629</v>
      </c>
      <c r="Z123" s="48">
        <f t="shared" ca="1" si="70"/>
        <v>558.91130187856629</v>
      </c>
      <c r="AA123" s="48">
        <f t="shared" ca="1" si="70"/>
        <v>558.91130187856629</v>
      </c>
      <c r="AB123" s="48">
        <f t="shared" ca="1" si="70"/>
        <v>558.91130187856629</v>
      </c>
      <c r="AC123" s="48">
        <f t="shared" ca="1" si="70"/>
        <v>558.91130187856629</v>
      </c>
    </row>
    <row r="124" spans="2:29">
      <c r="F124" t="str">
        <f t="shared" si="65"/>
        <v>Supercritical coal</v>
      </c>
      <c r="G124" s="48">
        <f t="shared" ref="G124:AC124" ca="1" si="71">G103</f>
        <v>418.09827627044751</v>
      </c>
      <c r="H124" s="48">
        <f t="shared" ca="1" si="71"/>
        <v>416.4888654229249</v>
      </c>
      <c r="I124" s="48">
        <f t="shared" ca="1" si="71"/>
        <v>414.91344516598139</v>
      </c>
      <c r="J124" s="48">
        <f t="shared" ca="1" si="71"/>
        <v>414.41780248858265</v>
      </c>
      <c r="K124" s="48">
        <f t="shared" ca="1" si="71"/>
        <v>413.91573371611605</v>
      </c>
      <c r="L124" s="48">
        <f t="shared" ca="1" si="71"/>
        <v>413.40659623907464</v>
      </c>
      <c r="M124" s="48">
        <f t="shared" ca="1" si="71"/>
        <v>412.88968318700103</v>
      </c>
      <c r="N124" s="48">
        <f t="shared" ca="1" si="71"/>
        <v>412.36421700239197</v>
      </c>
      <c r="O124" s="48">
        <f t="shared" ca="1" si="71"/>
        <v>411.82934237199396</v>
      </c>
      <c r="P124" s="48">
        <f t="shared" ca="1" si="71"/>
        <v>411.28411845122793</v>
      </c>
      <c r="Q124" s="48">
        <f t="shared" ca="1" si="71"/>
        <v>410.7275103110573</v>
      </c>
      <c r="R124" s="48">
        <f t="shared" ca="1" si="71"/>
        <v>410.15837952954143</v>
      </c>
      <c r="S124" s="48">
        <f t="shared" ca="1" si="71"/>
        <v>409.57547384254593</v>
      </c>
      <c r="T124" s="48">
        <f t="shared" ca="1" si="71"/>
        <v>408.97741575952273</v>
      </c>
      <c r="U124" s="48">
        <f t="shared" ca="1" si="71"/>
        <v>408.36269004086915</v>
      </c>
      <c r="V124" s="48">
        <f t="shared" ca="1" si="71"/>
        <v>407.72962992302217</v>
      </c>
      <c r="W124" s="48">
        <f t="shared" ca="1" si="71"/>
        <v>407.17017481242823</v>
      </c>
      <c r="X124" s="48">
        <f t="shared" ca="1" si="71"/>
        <v>406.58853507881025</v>
      </c>
      <c r="Y124" s="48">
        <f t="shared" ca="1" si="71"/>
        <v>405.98249225986586</v>
      </c>
      <c r="Z124" s="48">
        <f t="shared" ca="1" si="71"/>
        <v>405.34960604706231</v>
      </c>
      <c r="AA124" s="48">
        <f t="shared" ca="1" si="71"/>
        <v>404.68719210101364</v>
      </c>
      <c r="AB124" s="48">
        <f t="shared" ca="1" si="71"/>
        <v>403.99229764839549</v>
      </c>
      <c r="AC124" s="48">
        <f t="shared" ca="1" si="71"/>
        <v>403.2616746385508</v>
      </c>
    </row>
    <row r="125" spans="2:29">
      <c r="F125" t="str">
        <f t="shared" si="65"/>
        <v xml:space="preserve">Wind 30% </v>
      </c>
      <c r="G125" s="48">
        <f t="shared" ref="G125:AC125" ca="1" si="72">G104</f>
        <v>830.23696213536357</v>
      </c>
      <c r="H125" s="48">
        <f t="shared" ca="1" si="72"/>
        <v>811.88544744737158</v>
      </c>
      <c r="I125" s="48">
        <f t="shared" ca="1" si="72"/>
        <v>793.53393275937981</v>
      </c>
      <c r="J125" s="48">
        <f t="shared" ca="1" si="72"/>
        <v>775.18241807138781</v>
      </c>
      <c r="K125" s="48">
        <f t="shared" ca="1" si="72"/>
        <v>756.83090338339582</v>
      </c>
      <c r="L125" s="48">
        <f t="shared" ca="1" si="72"/>
        <v>740.31454016420298</v>
      </c>
      <c r="M125" s="48">
        <f t="shared" ca="1" si="72"/>
        <v>723.79817694501014</v>
      </c>
      <c r="N125" s="48">
        <f t="shared" ca="1" si="72"/>
        <v>707.2818137258173</v>
      </c>
      <c r="O125" s="48">
        <f t="shared" ca="1" si="72"/>
        <v>690.76545050662457</v>
      </c>
      <c r="P125" s="48">
        <f t="shared" ca="1" si="72"/>
        <v>678.87366898880589</v>
      </c>
      <c r="Q125" s="48">
        <f t="shared" ca="1" si="72"/>
        <v>666.98188747098698</v>
      </c>
      <c r="R125" s="48">
        <f t="shared" ca="1" si="72"/>
        <v>655.0901059531684</v>
      </c>
      <c r="S125" s="48">
        <f t="shared" ca="1" si="72"/>
        <v>643.19832443534949</v>
      </c>
      <c r="T125" s="48">
        <f t="shared" ca="1" si="72"/>
        <v>631.30654291753069</v>
      </c>
      <c r="U125" s="48">
        <f t="shared" ca="1" si="72"/>
        <v>628.15871839810814</v>
      </c>
      <c r="V125" s="48">
        <f t="shared" ca="1" si="72"/>
        <v>625.01089387868547</v>
      </c>
      <c r="W125" s="48">
        <f t="shared" ca="1" si="72"/>
        <v>621.86306935926291</v>
      </c>
      <c r="X125" s="48">
        <f t="shared" ca="1" si="72"/>
        <v>618.71524483984035</v>
      </c>
      <c r="Y125" s="48">
        <f t="shared" ca="1" si="72"/>
        <v>615.56742032041757</v>
      </c>
      <c r="Z125" s="48">
        <f t="shared" ca="1" si="72"/>
        <v>612.41959580099513</v>
      </c>
      <c r="AA125" s="48">
        <f t="shared" ca="1" si="72"/>
        <v>609.27177128157246</v>
      </c>
      <c r="AB125" s="48">
        <f t="shared" ca="1" si="72"/>
        <v>606.12394676214979</v>
      </c>
      <c r="AC125" s="48">
        <f t="shared" ca="1" si="72"/>
        <v>602.97612224272723</v>
      </c>
    </row>
    <row r="126" spans="2:29">
      <c r="F126" t="str">
        <f t="shared" si="65"/>
        <v>Wind 25%</v>
      </c>
      <c r="G126" s="48">
        <f t="shared" ref="G126:AC126" ca="1" si="73">G105</f>
        <v>996.28435456243619</v>
      </c>
      <c r="H126" s="48">
        <f t="shared" ca="1" si="73"/>
        <v>974.26253693684578</v>
      </c>
      <c r="I126" s="48">
        <f t="shared" ca="1" si="73"/>
        <v>952.24071931125559</v>
      </c>
      <c r="J126" s="48">
        <f t="shared" ca="1" si="73"/>
        <v>930.21890168566529</v>
      </c>
      <c r="K126" s="48">
        <f t="shared" ca="1" si="73"/>
        <v>908.19708406007487</v>
      </c>
      <c r="L126" s="48">
        <f t="shared" ca="1" si="73"/>
        <v>888.37744819704358</v>
      </c>
      <c r="M126" s="48">
        <f t="shared" ca="1" si="73"/>
        <v>868.55781233401217</v>
      </c>
      <c r="N126" s="48">
        <f t="shared" ca="1" si="73"/>
        <v>848.73817647098065</v>
      </c>
      <c r="O126" s="48">
        <f t="shared" ca="1" si="73"/>
        <v>828.91854060794947</v>
      </c>
      <c r="P126" s="48">
        <f t="shared" ca="1" si="73"/>
        <v>814.64840278656698</v>
      </c>
      <c r="Q126" s="48">
        <f t="shared" ca="1" si="73"/>
        <v>800.37826496518437</v>
      </c>
      <c r="R126" s="48">
        <f t="shared" ca="1" si="73"/>
        <v>786.10812714380199</v>
      </c>
      <c r="S126" s="48">
        <f t="shared" ca="1" si="73"/>
        <v>771.83798932241939</v>
      </c>
      <c r="T126" s="48">
        <f t="shared" ca="1" si="73"/>
        <v>757.56785150103678</v>
      </c>
      <c r="U126" s="48">
        <f t="shared" ca="1" si="73"/>
        <v>753.79046207772967</v>
      </c>
      <c r="V126" s="48">
        <f t="shared" ca="1" si="73"/>
        <v>750.01307265442244</v>
      </c>
      <c r="W126" s="48">
        <f t="shared" ca="1" si="73"/>
        <v>746.23568323111544</v>
      </c>
      <c r="X126" s="48">
        <f t="shared" ca="1" si="73"/>
        <v>742.45829380780845</v>
      </c>
      <c r="Y126" s="48">
        <f t="shared" ca="1" si="73"/>
        <v>738.68090438450099</v>
      </c>
      <c r="Z126" s="48">
        <f t="shared" ca="1" si="73"/>
        <v>734.90351496119399</v>
      </c>
      <c r="AA126" s="48">
        <f t="shared" ca="1" si="73"/>
        <v>731.12612553788688</v>
      </c>
      <c r="AB126" s="48">
        <f t="shared" ca="1" si="73"/>
        <v>727.34873611457965</v>
      </c>
      <c r="AC126" s="48">
        <f t="shared" ca="1" si="73"/>
        <v>723.57134669127254</v>
      </c>
    </row>
    <row r="127" spans="2:29">
      <c r="F127" t="str">
        <f t="shared" si="65"/>
        <v>solar thermal central reciever</v>
      </c>
      <c r="G127" s="48">
        <f t="shared" ref="G127:AC127" ca="1" si="74">G106</f>
        <v>1451.6374198947865</v>
      </c>
      <c r="H127" s="48">
        <f t="shared" ca="1" si="74"/>
        <v>1417.5993286840003</v>
      </c>
      <c r="I127" s="48">
        <f t="shared" ca="1" si="74"/>
        <v>1383.5612374732143</v>
      </c>
      <c r="J127" s="48">
        <f t="shared" ca="1" si="74"/>
        <v>1349.5231462624281</v>
      </c>
      <c r="K127" s="48">
        <f t="shared" ca="1" si="74"/>
        <v>1315.4850550516419</v>
      </c>
      <c r="L127" s="48">
        <f t="shared" ca="1" si="74"/>
        <v>1281.4469638408557</v>
      </c>
      <c r="M127" s="48">
        <f t="shared" ca="1" si="74"/>
        <v>1247.4088726300697</v>
      </c>
      <c r="N127" s="48">
        <f t="shared" ca="1" si="74"/>
        <v>1213.370781419284</v>
      </c>
      <c r="O127" s="48">
        <f t="shared" ca="1" si="74"/>
        <v>1179.3326902084975</v>
      </c>
      <c r="P127" s="48">
        <f t="shared" ca="1" si="74"/>
        <v>1152.1022172398691</v>
      </c>
      <c r="Q127" s="48">
        <f t="shared" ca="1" si="74"/>
        <v>1124.8717442712402</v>
      </c>
      <c r="R127" s="48">
        <f t="shared" ca="1" si="74"/>
        <v>1097.6412713026114</v>
      </c>
      <c r="S127" s="48">
        <f t="shared" ca="1" si="74"/>
        <v>1070.4107983339823</v>
      </c>
      <c r="T127" s="48">
        <f t="shared" ca="1" si="74"/>
        <v>1043.1803253653534</v>
      </c>
      <c r="U127" s="48">
        <f t="shared" ca="1" si="74"/>
        <v>1015.9498523967245</v>
      </c>
      <c r="V127" s="48">
        <f t="shared" ca="1" si="74"/>
        <v>988.71937942809552</v>
      </c>
      <c r="W127" s="48">
        <f t="shared" ca="1" si="74"/>
        <v>961.4889064594671</v>
      </c>
      <c r="X127" s="48">
        <f t="shared" ca="1" si="74"/>
        <v>936.5924740310063</v>
      </c>
      <c r="Y127" s="48">
        <f t="shared" ca="1" si="74"/>
        <v>911.69604160254562</v>
      </c>
      <c r="Z127" s="48">
        <f t="shared" ca="1" si="74"/>
        <v>886.79960917408482</v>
      </c>
      <c r="AA127" s="48">
        <f t="shared" ca="1" si="74"/>
        <v>861.90317674562402</v>
      </c>
      <c r="AB127" s="48">
        <f t="shared" ca="1" si="74"/>
        <v>837.00674431716357</v>
      </c>
      <c r="AC127" s="48">
        <f t="shared" ca="1" si="74"/>
        <v>812.11031188870277</v>
      </c>
    </row>
    <row r="128" spans="2:29">
      <c r="F128" t="str">
        <f t="shared" si="65"/>
        <v>solar thermal trough</v>
      </c>
      <c r="G128" s="48">
        <f t="shared" ref="G128:AC128" ca="1" si="75">G107</f>
        <v>1496.6943056264579</v>
      </c>
      <c r="H128" s="48">
        <f t="shared" ca="1" si="75"/>
        <v>1471.1657372183683</v>
      </c>
      <c r="I128" s="48">
        <f t="shared" ca="1" si="75"/>
        <v>1445.6371688102786</v>
      </c>
      <c r="J128" s="48">
        <f t="shared" ca="1" si="75"/>
        <v>1420.108600402189</v>
      </c>
      <c r="K128" s="48">
        <f t="shared" ca="1" si="75"/>
        <v>1394.5800319940995</v>
      </c>
      <c r="L128" s="48">
        <f t="shared" ca="1" si="75"/>
        <v>1369.05146358601</v>
      </c>
      <c r="M128" s="48">
        <f t="shared" ca="1" si="75"/>
        <v>1343.5228951779202</v>
      </c>
      <c r="N128" s="48">
        <f t="shared" ca="1" si="75"/>
        <v>1317.9943267698309</v>
      </c>
      <c r="O128" s="48">
        <f t="shared" ca="1" si="75"/>
        <v>1292.4657583617413</v>
      </c>
      <c r="P128" s="48">
        <f t="shared" ca="1" si="75"/>
        <v>1270.7664752148653</v>
      </c>
      <c r="Q128" s="48">
        <f t="shared" ca="1" si="75"/>
        <v>1249.067192067989</v>
      </c>
      <c r="R128" s="48">
        <f t="shared" ca="1" si="75"/>
        <v>1227.3679089211132</v>
      </c>
      <c r="S128" s="48">
        <f t="shared" ca="1" si="75"/>
        <v>1205.6686257742367</v>
      </c>
      <c r="T128" s="48">
        <f t="shared" ca="1" si="75"/>
        <v>1183.9693426273609</v>
      </c>
      <c r="U128" s="48">
        <f t="shared" ca="1" si="75"/>
        <v>1162.2700594804842</v>
      </c>
      <c r="V128" s="48">
        <f t="shared" ca="1" si="75"/>
        <v>1140.5707763336084</v>
      </c>
      <c r="W128" s="48">
        <f t="shared" ca="1" si="75"/>
        <v>1118.8714931867326</v>
      </c>
      <c r="X128" s="48">
        <f t="shared" ca="1" si="75"/>
        <v>1097.7921895583384</v>
      </c>
      <c r="Y128" s="48">
        <f t="shared" ca="1" si="75"/>
        <v>1076.7128859299446</v>
      </c>
      <c r="Z128" s="48">
        <f t="shared" ca="1" si="75"/>
        <v>1055.6335823015506</v>
      </c>
      <c r="AA128" s="48">
        <f t="shared" ca="1" si="75"/>
        <v>1034.5542786731567</v>
      </c>
      <c r="AB128" s="48">
        <f t="shared" ca="1" si="75"/>
        <v>1013.4749750447625</v>
      </c>
      <c r="AC128" s="48">
        <f t="shared" ca="1" si="75"/>
        <v>992.3956714163686</v>
      </c>
    </row>
    <row r="129" spans="4:29">
      <c r="F129" t="str">
        <f t="shared" si="65"/>
        <v>solar PV</v>
      </c>
      <c r="G129" s="48">
        <f t="shared" ref="G129:AC129" ca="1" si="76">G108</f>
        <v>3313.7971166486163</v>
      </c>
      <c r="H129" s="48">
        <f t="shared" ca="1" si="76"/>
        <v>3019.9075330592368</v>
      </c>
      <c r="I129" s="48">
        <f t="shared" ca="1" si="76"/>
        <v>2726.01794946986</v>
      </c>
      <c r="J129" s="48">
        <f t="shared" ca="1" si="76"/>
        <v>2565.3583104409995</v>
      </c>
      <c r="K129" s="48">
        <f t="shared" ca="1" si="76"/>
        <v>2404.6986714121394</v>
      </c>
      <c r="L129" s="48">
        <f t="shared" ca="1" si="76"/>
        <v>2244.0390323832798</v>
      </c>
      <c r="M129" s="48">
        <f t="shared" ca="1" si="76"/>
        <v>2046.4276763777825</v>
      </c>
      <c r="N129" s="48">
        <f t="shared" ca="1" si="76"/>
        <v>1848.8163203722836</v>
      </c>
      <c r="O129" s="48">
        <f t="shared" ca="1" si="76"/>
        <v>1740.7887790892783</v>
      </c>
      <c r="P129" s="48">
        <f t="shared" ca="1" si="76"/>
        <v>1632.7612378062727</v>
      </c>
      <c r="Q129" s="48">
        <f t="shared" ca="1" si="76"/>
        <v>1524.7336965232676</v>
      </c>
      <c r="R129" s="48">
        <f t="shared" ca="1" si="76"/>
        <v>1436.1511126712032</v>
      </c>
      <c r="S129" s="48">
        <f t="shared" ca="1" si="76"/>
        <v>1347.5685288191382</v>
      </c>
      <c r="T129" s="48">
        <f t="shared" ca="1" si="76"/>
        <v>1258.9859449670741</v>
      </c>
      <c r="U129" s="48">
        <f t="shared" ca="1" si="76"/>
        <v>1204.5076558980547</v>
      </c>
      <c r="V129" s="48">
        <f t="shared" ca="1" si="76"/>
        <v>1150.0293668290349</v>
      </c>
      <c r="W129" s="48">
        <f t="shared" ca="1" si="76"/>
        <v>1095.5510777600155</v>
      </c>
      <c r="X129" s="48">
        <f t="shared" ca="1" si="76"/>
        <v>1041.0727886909956</v>
      </c>
      <c r="Y129" s="48">
        <f t="shared" ca="1" si="76"/>
        <v>1041.0727886909956</v>
      </c>
      <c r="Z129" s="48">
        <f t="shared" ca="1" si="76"/>
        <v>1041.0727886909956</v>
      </c>
      <c r="AA129" s="48">
        <f t="shared" ca="1" si="76"/>
        <v>1041.0727886909956</v>
      </c>
      <c r="AB129" s="48">
        <f t="shared" ca="1" si="76"/>
        <v>1041.0727886909956</v>
      </c>
      <c r="AC129" s="48">
        <f t="shared" ca="1" si="76"/>
        <v>1041.0727886909956</v>
      </c>
    </row>
    <row r="130" spans="4:29">
      <c r="F130" t="str">
        <f t="shared" si="65"/>
        <v>combined cycle gas</v>
      </c>
      <c r="G130" s="48">
        <f t="shared" ref="G130:AC130" ca="1" si="77">G109</f>
        <v>587.17363751053961</v>
      </c>
      <c r="H130" s="48">
        <f t="shared" ca="1" si="77"/>
        <v>588.05697735712704</v>
      </c>
      <c r="I130" s="48">
        <f t="shared" ca="1" si="77"/>
        <v>604.05925836657377</v>
      </c>
      <c r="J130" s="48">
        <f t="shared" ca="1" si="77"/>
        <v>619.80067247782381</v>
      </c>
      <c r="K130" s="48">
        <f t="shared" ca="1" si="77"/>
        <v>635.25513300105763</v>
      </c>
      <c r="L130" s="48">
        <f t="shared" ca="1" si="77"/>
        <v>650.39394457747335</v>
      </c>
      <c r="M130" s="48">
        <f t="shared" ca="1" si="77"/>
        <v>665.59689772131117</v>
      </c>
      <c r="N130" s="48">
        <f t="shared" ca="1" si="77"/>
        <v>680.41791563949914</v>
      </c>
      <c r="O130" s="48">
        <f t="shared" ca="1" si="77"/>
        <v>694.81880480947234</v>
      </c>
      <c r="P130" s="48">
        <f t="shared" ca="1" si="77"/>
        <v>708.75755235640929</v>
      </c>
      <c r="Q130" s="48">
        <f t="shared" ca="1" si="77"/>
        <v>722.18794411800627</v>
      </c>
      <c r="R130" s="48">
        <f t="shared" ca="1" si="77"/>
        <v>735.05914451572949</v>
      </c>
      <c r="S130" s="48">
        <f t="shared" ca="1" si="77"/>
        <v>747.31523441319132</v>
      </c>
      <c r="T130" s="48">
        <f t="shared" ca="1" si="77"/>
        <v>758.8947027603657</v>
      </c>
      <c r="U130" s="48">
        <f t="shared" ca="1" si="77"/>
        <v>769.72988740222399</v>
      </c>
      <c r="V130" s="48">
        <f t="shared" ca="1" si="77"/>
        <v>779.74635996823451</v>
      </c>
      <c r="W130" s="48">
        <f t="shared" ca="1" si="77"/>
        <v>788.86224925081228</v>
      </c>
      <c r="X130" s="48">
        <f t="shared" ca="1" si="77"/>
        <v>796.98749692161459</v>
      </c>
      <c r="Y130" s="48">
        <f t="shared" ca="1" si="77"/>
        <v>804.02303881946318</v>
      </c>
      <c r="Z130" s="48">
        <f t="shared" ca="1" si="77"/>
        <v>809.859904367063</v>
      </c>
      <c r="AA130" s="48">
        <f t="shared" ca="1" si="77"/>
        <v>814.37822592938949</v>
      </c>
      <c r="AB130" s="48">
        <f t="shared" ca="1" si="77"/>
        <v>817.44614910791472</v>
      </c>
      <c r="AC130" s="48">
        <f t="shared" ca="1" si="77"/>
        <v>818.91863406425909</v>
      </c>
    </row>
    <row r="131" spans="4:29">
      <c r="F131" t="str">
        <f t="shared" si="65"/>
        <v>PBMR</v>
      </c>
      <c r="G131" s="48">
        <f t="shared" ref="G131:AC131" ca="1" si="78">G110</f>
        <v>554.69775003908808</v>
      </c>
      <c r="H131" s="48">
        <f t="shared" ca="1" si="78"/>
        <v>555.02430195507884</v>
      </c>
      <c r="I131" s="48">
        <f t="shared" ca="1" si="78"/>
        <v>555.10963934309848</v>
      </c>
      <c r="J131" s="48">
        <f t="shared" ca="1" si="78"/>
        <v>555.1939721817397</v>
      </c>
      <c r="K131" s="48">
        <f t="shared" ca="1" si="78"/>
        <v>555.27715232462367</v>
      </c>
      <c r="L131" s="48">
        <f t="shared" ca="1" si="78"/>
        <v>555.35901657227657</v>
      </c>
      <c r="M131" s="48">
        <f t="shared" ca="1" si="78"/>
        <v>555.43938516562787</v>
      </c>
      <c r="N131" s="48">
        <f t="shared" ca="1" si="78"/>
        <v>555.51806012885186</v>
      </c>
      <c r="O131" s="48">
        <f t="shared" ca="1" si="78"/>
        <v>555.59482344648848</v>
      </c>
      <c r="P131" s="48">
        <f t="shared" ca="1" si="78"/>
        <v>555.66943505826964</v>
      </c>
      <c r="Q131" s="48">
        <f t="shared" ca="1" si="78"/>
        <v>555.74163065342157</v>
      </c>
      <c r="R131" s="48">
        <f t="shared" ca="1" si="78"/>
        <v>555.81111924439244</v>
      </c>
      <c r="S131" s="48">
        <f t="shared" ca="1" si="78"/>
        <v>555.87758049794547</v>
      </c>
      <c r="T131" s="48">
        <f t="shared" ca="1" si="78"/>
        <v>555.94066179935635</v>
      </c>
      <c r="U131" s="48">
        <f t="shared" ca="1" si="78"/>
        <v>555.99997502302347</v>
      </c>
      <c r="V131" s="48">
        <f t="shared" ca="1" si="78"/>
        <v>556.05509298013305</v>
      </c>
      <c r="W131" s="48">
        <f t="shared" ca="1" si="78"/>
        <v>556.10554551108453</v>
      </c>
      <c r="X131" s="48">
        <f t="shared" ca="1" si="78"/>
        <v>556.15081518715294</v>
      </c>
      <c r="Y131" s="48">
        <f t="shared" ca="1" si="78"/>
        <v>556.19033258231002</v>
      </c>
      <c r="Z131" s="48">
        <f t="shared" ca="1" si="78"/>
        <v>556.22347107222197</v>
      </c>
      <c r="AA131" s="48">
        <f t="shared" ca="1" si="78"/>
        <v>556.24954111314059</v>
      </c>
      <c r="AB131" s="48">
        <f t="shared" ca="1" si="78"/>
        <v>556.26778394867654</v>
      </c>
      <c r="AC131" s="48">
        <f t="shared" ca="1" si="78"/>
        <v>556.27736468724424</v>
      </c>
    </row>
    <row r="132" spans="4:29">
      <c r="F132" t="str">
        <f t="shared" si="65"/>
        <v>IGCC</v>
      </c>
      <c r="G132" s="48">
        <f t="shared" ref="G132:AC132" ca="1" si="79">G111</f>
        <v>468.6831628417649</v>
      </c>
      <c r="H132" s="48">
        <f t="shared" ca="1" si="79"/>
        <v>469.00699710961749</v>
      </c>
      <c r="I132" s="48">
        <f t="shared" ca="1" si="79"/>
        <v>469.36321480425545</v>
      </c>
      <c r="J132" s="48">
        <f t="shared" ca="1" si="79"/>
        <v>469.71386681477566</v>
      </c>
      <c r="K132" s="48">
        <f t="shared" ca="1" si="79"/>
        <v>470.05839657276636</v>
      </c>
      <c r="L132" s="48">
        <f t="shared" ca="1" si="79"/>
        <v>470.39619185297477</v>
      </c>
      <c r="M132" s="48">
        <f t="shared" ca="1" si="79"/>
        <v>470.72657920762265</v>
      </c>
      <c r="N132" s="48">
        <f t="shared" ca="1" si="79"/>
        <v>471.04881784415375</v>
      </c>
      <c r="O132" s="48">
        <f t="shared" ca="1" si="79"/>
        <v>471.36209289075668</v>
      </c>
      <c r="P132" s="48">
        <f t="shared" ca="1" si="79"/>
        <v>471.66550798843832</v>
      </c>
      <c r="Q132" s="48">
        <f t="shared" ca="1" si="79"/>
        <v>471.95807714230671</v>
      </c>
      <c r="R132" s="48">
        <f t="shared" ca="1" si="79"/>
        <v>472.23871575798057</v>
      </c>
      <c r="S132" s="48">
        <f t="shared" ca="1" si="79"/>
        <v>472.50623078164028</v>
      </c>
      <c r="T132" s="48">
        <f t="shared" ca="1" si="79"/>
        <v>472.75930985408456</v>
      </c>
      <c r="U132" s="48">
        <f t="shared" ca="1" si="79"/>
        <v>472.99650938019181</v>
      </c>
      <c r="V132" s="48">
        <f t="shared" ca="1" si="79"/>
        <v>473.21624140532833</v>
      </c>
      <c r="W132" s="48">
        <f t="shared" ca="1" si="79"/>
        <v>473.4167591793971</v>
      </c>
      <c r="X132" s="48">
        <f t="shared" ca="1" si="79"/>
        <v>473.59614127729128</v>
      </c>
      <c r="Y132" s="48">
        <f t="shared" ca="1" si="79"/>
        <v>473.75227413139339</v>
      </c>
      <c r="Z132" s="48">
        <f t="shared" ca="1" si="79"/>
        <v>473.88283281732436</v>
      </c>
      <c r="AA132" s="48">
        <f t="shared" ca="1" si="79"/>
        <v>473.98525991826693</v>
      </c>
      <c r="AB132" s="48">
        <f t="shared" ca="1" si="79"/>
        <v>474.05674227572229</v>
      </c>
      <c r="AC132" s="48">
        <f t="shared" ca="1" si="79"/>
        <v>474.09418541534183</v>
      </c>
    </row>
    <row r="133" spans="4:29">
      <c r="F133" t="str">
        <f t="shared" si="65"/>
        <v>-</v>
      </c>
      <c r="G133" s="48" t="e">
        <f t="shared" ref="G133:AC133" ca="1" si="80">G112</f>
        <v>#DIV/0!</v>
      </c>
      <c r="H133" s="48" t="e">
        <f t="shared" ca="1" si="80"/>
        <v>#DIV/0!</v>
      </c>
      <c r="I133" s="48" t="e">
        <f t="shared" ca="1" si="80"/>
        <v>#DIV/0!</v>
      </c>
      <c r="J133" s="48" t="e">
        <f t="shared" ca="1" si="80"/>
        <v>#DIV/0!</v>
      </c>
      <c r="K133" s="48" t="e">
        <f t="shared" ca="1" si="80"/>
        <v>#DIV/0!</v>
      </c>
      <c r="L133" s="48" t="e">
        <f t="shared" ca="1" si="80"/>
        <v>#DIV/0!</v>
      </c>
      <c r="M133" s="48" t="e">
        <f t="shared" ca="1" si="80"/>
        <v>#DIV/0!</v>
      </c>
      <c r="N133" s="48" t="e">
        <f t="shared" ca="1" si="80"/>
        <v>#DIV/0!</v>
      </c>
      <c r="O133" s="48" t="e">
        <f t="shared" ca="1" si="80"/>
        <v>#DIV/0!</v>
      </c>
      <c r="P133" s="48" t="e">
        <f t="shared" ca="1" si="80"/>
        <v>#DIV/0!</v>
      </c>
      <c r="Q133" s="48" t="e">
        <f t="shared" ca="1" si="80"/>
        <v>#DIV/0!</v>
      </c>
      <c r="R133" s="48" t="e">
        <f t="shared" ca="1" si="80"/>
        <v>#DIV/0!</v>
      </c>
      <c r="S133" s="48" t="e">
        <f t="shared" ca="1" si="80"/>
        <v>#DIV/0!</v>
      </c>
      <c r="T133" s="48" t="e">
        <f t="shared" ca="1" si="80"/>
        <v>#DIV/0!</v>
      </c>
      <c r="U133" s="48" t="e">
        <f t="shared" ca="1" si="80"/>
        <v>#DIV/0!</v>
      </c>
      <c r="V133" s="48" t="e">
        <f t="shared" ca="1" si="80"/>
        <v>#DIV/0!</v>
      </c>
      <c r="W133" s="48" t="e">
        <f t="shared" ca="1" si="80"/>
        <v>#DIV/0!</v>
      </c>
      <c r="X133" s="48" t="e">
        <f t="shared" ca="1" si="80"/>
        <v>#DIV/0!</v>
      </c>
      <c r="Y133" s="48" t="e">
        <f t="shared" ca="1" si="80"/>
        <v>#DIV/0!</v>
      </c>
      <c r="Z133" s="48" t="e">
        <f t="shared" ca="1" si="80"/>
        <v>#DIV/0!</v>
      </c>
      <c r="AA133" s="48" t="e">
        <f t="shared" ca="1" si="80"/>
        <v>#DIV/0!</v>
      </c>
      <c r="AB133" s="48" t="e">
        <f t="shared" ca="1" si="80"/>
        <v>#DIV/0!</v>
      </c>
      <c r="AC133" s="48" t="e">
        <f t="shared" ca="1" si="80"/>
        <v>#DIV/0!</v>
      </c>
    </row>
    <row r="134" spans="4:29">
      <c r="F134" t="str">
        <f t="shared" ref="F134:F136" si="81">B113</f>
        <v>-</v>
      </c>
      <c r="G134" s="48" t="e">
        <f t="shared" ref="G134:AC134" ca="1" si="82">G113</f>
        <v>#DIV/0!</v>
      </c>
      <c r="H134" s="48" t="e">
        <f t="shared" ca="1" si="82"/>
        <v>#DIV/0!</v>
      </c>
      <c r="I134" s="48" t="e">
        <f t="shared" ca="1" si="82"/>
        <v>#DIV/0!</v>
      </c>
      <c r="J134" s="48" t="e">
        <f t="shared" ca="1" si="82"/>
        <v>#DIV/0!</v>
      </c>
      <c r="K134" s="48" t="e">
        <f t="shared" ca="1" si="82"/>
        <v>#DIV/0!</v>
      </c>
      <c r="L134" s="48" t="e">
        <f t="shared" ca="1" si="82"/>
        <v>#DIV/0!</v>
      </c>
      <c r="M134" s="48" t="e">
        <f t="shared" ca="1" si="82"/>
        <v>#DIV/0!</v>
      </c>
      <c r="N134" s="48" t="e">
        <f t="shared" ca="1" si="82"/>
        <v>#DIV/0!</v>
      </c>
      <c r="O134" s="48" t="e">
        <f t="shared" ca="1" si="82"/>
        <v>#DIV/0!</v>
      </c>
      <c r="P134" s="48" t="e">
        <f t="shared" ca="1" si="82"/>
        <v>#DIV/0!</v>
      </c>
      <c r="Q134" s="48" t="e">
        <f t="shared" ca="1" si="82"/>
        <v>#DIV/0!</v>
      </c>
      <c r="R134" s="48" t="e">
        <f t="shared" ca="1" si="82"/>
        <v>#DIV/0!</v>
      </c>
      <c r="S134" s="48" t="e">
        <f t="shared" ca="1" si="82"/>
        <v>#DIV/0!</v>
      </c>
      <c r="T134" s="48" t="e">
        <f t="shared" ca="1" si="82"/>
        <v>#DIV/0!</v>
      </c>
      <c r="U134" s="48" t="e">
        <f t="shared" ca="1" si="82"/>
        <v>#DIV/0!</v>
      </c>
      <c r="V134" s="48" t="e">
        <f t="shared" ca="1" si="82"/>
        <v>#DIV/0!</v>
      </c>
      <c r="W134" s="48" t="e">
        <f t="shared" ca="1" si="82"/>
        <v>#DIV/0!</v>
      </c>
      <c r="X134" s="48" t="e">
        <f t="shared" ca="1" si="82"/>
        <v>#DIV/0!</v>
      </c>
      <c r="Y134" s="48" t="e">
        <f t="shared" ca="1" si="82"/>
        <v>#DIV/0!</v>
      </c>
      <c r="Z134" s="48" t="e">
        <f t="shared" ca="1" si="82"/>
        <v>#DIV/0!</v>
      </c>
      <c r="AA134" s="48" t="e">
        <f t="shared" ca="1" si="82"/>
        <v>#DIV/0!</v>
      </c>
      <c r="AB134" s="48" t="e">
        <f t="shared" ca="1" si="82"/>
        <v>#DIV/0!</v>
      </c>
      <c r="AC134" s="48" t="e">
        <f t="shared" ca="1" si="82"/>
        <v>#DIV/0!</v>
      </c>
    </row>
    <row r="135" spans="4:29">
      <c r="F135" t="str">
        <f t="shared" si="81"/>
        <v>-</v>
      </c>
      <c r="G135" s="48" t="e">
        <f t="shared" ref="G135:AC135" ca="1" si="83">G114</f>
        <v>#DIV/0!</v>
      </c>
      <c r="H135" s="48" t="e">
        <f t="shared" ca="1" si="83"/>
        <v>#DIV/0!</v>
      </c>
      <c r="I135" s="48" t="e">
        <f t="shared" ca="1" si="83"/>
        <v>#DIV/0!</v>
      </c>
      <c r="J135" s="48" t="e">
        <f t="shared" ca="1" si="83"/>
        <v>#DIV/0!</v>
      </c>
      <c r="K135" s="48" t="e">
        <f t="shared" ca="1" si="83"/>
        <v>#DIV/0!</v>
      </c>
      <c r="L135" s="48" t="e">
        <f t="shared" ca="1" si="83"/>
        <v>#DIV/0!</v>
      </c>
      <c r="M135" s="48" t="e">
        <f t="shared" ca="1" si="83"/>
        <v>#DIV/0!</v>
      </c>
      <c r="N135" s="48" t="e">
        <f t="shared" ca="1" si="83"/>
        <v>#DIV/0!</v>
      </c>
      <c r="O135" s="48" t="e">
        <f t="shared" ca="1" si="83"/>
        <v>#DIV/0!</v>
      </c>
      <c r="P135" s="48" t="e">
        <f t="shared" ca="1" si="83"/>
        <v>#DIV/0!</v>
      </c>
      <c r="Q135" s="48" t="e">
        <f t="shared" ca="1" si="83"/>
        <v>#DIV/0!</v>
      </c>
      <c r="R135" s="48" t="e">
        <f t="shared" ca="1" si="83"/>
        <v>#DIV/0!</v>
      </c>
      <c r="S135" s="48" t="e">
        <f t="shared" ca="1" si="83"/>
        <v>#DIV/0!</v>
      </c>
      <c r="T135" s="48" t="e">
        <f t="shared" ca="1" si="83"/>
        <v>#DIV/0!</v>
      </c>
      <c r="U135" s="48" t="e">
        <f t="shared" ca="1" si="83"/>
        <v>#DIV/0!</v>
      </c>
      <c r="V135" s="48" t="e">
        <f t="shared" ca="1" si="83"/>
        <v>#DIV/0!</v>
      </c>
      <c r="W135" s="48" t="e">
        <f t="shared" ca="1" si="83"/>
        <v>#DIV/0!</v>
      </c>
      <c r="X135" s="48" t="e">
        <f t="shared" ca="1" si="83"/>
        <v>#DIV/0!</v>
      </c>
      <c r="Y135" s="48" t="e">
        <f t="shared" ca="1" si="83"/>
        <v>#DIV/0!</v>
      </c>
      <c r="Z135" s="48" t="e">
        <f t="shared" ca="1" si="83"/>
        <v>#DIV/0!</v>
      </c>
      <c r="AA135" s="48" t="e">
        <f t="shared" ca="1" si="83"/>
        <v>#DIV/0!</v>
      </c>
      <c r="AB135" s="48" t="e">
        <f t="shared" ca="1" si="83"/>
        <v>#DIV/0!</v>
      </c>
      <c r="AC135" s="48" t="e">
        <f t="shared" ca="1" si="83"/>
        <v>#DIV/0!</v>
      </c>
    </row>
    <row r="136" spans="4:29">
      <c r="F136" t="str">
        <f t="shared" si="81"/>
        <v>Pumped storage</v>
      </c>
      <c r="G136" s="48">
        <f t="shared" ref="G136:AC136" ca="1" si="84">G115</f>
        <v>699.13771539263894</v>
      </c>
      <c r="H136" s="48">
        <f t="shared" ca="1" si="84"/>
        <v>699.13771539263894</v>
      </c>
      <c r="I136" s="48">
        <f t="shared" ca="1" si="84"/>
        <v>699.13771539263894</v>
      </c>
      <c r="J136" s="48">
        <f t="shared" ca="1" si="84"/>
        <v>699.13771539263894</v>
      </c>
      <c r="K136" s="48">
        <f t="shared" ca="1" si="84"/>
        <v>699.13771539263894</v>
      </c>
      <c r="L136" s="48">
        <f t="shared" ca="1" si="84"/>
        <v>699.13771539263894</v>
      </c>
      <c r="M136" s="48">
        <f t="shared" ca="1" si="84"/>
        <v>699.13771539263894</v>
      </c>
      <c r="N136" s="48">
        <f t="shared" ca="1" si="84"/>
        <v>699.13771539263894</v>
      </c>
      <c r="O136" s="48">
        <f t="shared" ca="1" si="84"/>
        <v>699.13771539263894</v>
      </c>
      <c r="P136" s="48">
        <f t="shared" ca="1" si="84"/>
        <v>699.13771539263894</v>
      </c>
      <c r="Q136" s="48">
        <f t="shared" ca="1" si="84"/>
        <v>699.13771539263894</v>
      </c>
      <c r="R136" s="48">
        <f t="shared" ca="1" si="84"/>
        <v>699.13771539263894</v>
      </c>
      <c r="S136" s="48">
        <f t="shared" ca="1" si="84"/>
        <v>699.13771539263894</v>
      </c>
      <c r="T136" s="48">
        <f t="shared" ca="1" si="84"/>
        <v>699.13771539263894</v>
      </c>
      <c r="U136" s="48">
        <f t="shared" ca="1" si="84"/>
        <v>699.13771539263894</v>
      </c>
      <c r="V136" s="48">
        <f t="shared" ca="1" si="84"/>
        <v>699.13771539263894</v>
      </c>
      <c r="W136" s="48">
        <f t="shared" ca="1" si="84"/>
        <v>699.13771539263894</v>
      </c>
      <c r="X136" s="48">
        <f t="shared" ca="1" si="84"/>
        <v>699.13771539263894</v>
      </c>
      <c r="Y136" s="48">
        <f t="shared" ca="1" si="84"/>
        <v>699.13771539263894</v>
      </c>
      <c r="Z136" s="48">
        <f t="shared" ca="1" si="84"/>
        <v>699.13771539263894</v>
      </c>
      <c r="AA136" s="48">
        <f t="shared" ca="1" si="84"/>
        <v>699.13771539263894</v>
      </c>
      <c r="AB136" s="48">
        <f t="shared" ca="1" si="84"/>
        <v>699.13771539263894</v>
      </c>
      <c r="AC136" s="48">
        <f t="shared" ca="1" si="84"/>
        <v>699.13771539263894</v>
      </c>
    </row>
    <row r="137" spans="4:29">
      <c r="G137" s="48"/>
      <c r="H137" s="48"/>
      <c r="I137" s="48"/>
      <c r="J137" s="48"/>
      <c r="K137" s="48"/>
      <c r="L137" s="48"/>
      <c r="M137" s="48"/>
      <c r="N137" s="48"/>
      <c r="O137" s="48"/>
      <c r="P137" s="48"/>
      <c r="Q137" s="48"/>
      <c r="R137" s="48"/>
      <c r="S137" s="48"/>
      <c r="T137" s="48"/>
      <c r="U137" s="48"/>
      <c r="V137" s="48"/>
      <c r="W137" s="48"/>
      <c r="X137" s="48"/>
      <c r="Y137" s="48"/>
      <c r="Z137" s="48"/>
      <c r="AA137" s="48"/>
      <c r="AB137" s="48"/>
      <c r="AC137" s="48"/>
    </row>
    <row r="138" spans="4:29">
      <c r="G138" s="48" t="s">
        <v>681</v>
      </c>
      <c r="I138" s="27">
        <f>I118</f>
        <v>2010</v>
      </c>
      <c r="J138" s="27">
        <f t="shared" ref="J138:AC138" si="85">J118</f>
        <v>2011</v>
      </c>
      <c r="K138" s="27">
        <f t="shared" si="85"/>
        <v>2012</v>
      </c>
      <c r="L138" s="27">
        <f t="shared" si="85"/>
        <v>2013</v>
      </c>
      <c r="M138" s="27">
        <f t="shared" si="85"/>
        <v>2014</v>
      </c>
      <c r="N138" s="27">
        <f t="shared" si="85"/>
        <v>2015</v>
      </c>
      <c r="O138" s="27">
        <f t="shared" si="85"/>
        <v>2016</v>
      </c>
      <c r="P138" s="27">
        <f t="shared" si="85"/>
        <v>2017</v>
      </c>
      <c r="Q138" s="27">
        <f t="shared" si="85"/>
        <v>2018</v>
      </c>
      <c r="R138" s="27">
        <f t="shared" si="85"/>
        <v>2019</v>
      </c>
      <c r="S138" s="27">
        <f t="shared" si="85"/>
        <v>2020</v>
      </c>
      <c r="T138" s="27">
        <f t="shared" si="85"/>
        <v>2021</v>
      </c>
      <c r="U138" s="27">
        <f t="shared" si="85"/>
        <v>2022</v>
      </c>
      <c r="V138" s="27">
        <f t="shared" si="85"/>
        <v>2023</v>
      </c>
      <c r="W138" s="27">
        <f t="shared" si="85"/>
        <v>2024</v>
      </c>
      <c r="X138" s="27">
        <f t="shared" si="85"/>
        <v>2025</v>
      </c>
      <c r="Y138" s="27">
        <f t="shared" si="85"/>
        <v>2026</v>
      </c>
      <c r="Z138" s="27">
        <f t="shared" si="85"/>
        <v>2027</v>
      </c>
      <c r="AA138" s="27">
        <f t="shared" si="85"/>
        <v>2028</v>
      </c>
      <c r="AB138" s="27">
        <f t="shared" si="85"/>
        <v>2029</v>
      </c>
      <c r="AC138" s="27">
        <f t="shared" si="85"/>
        <v>2030</v>
      </c>
    </row>
    <row r="139" spans="4:29">
      <c r="D139" t="str">
        <f>'Cost Curves'!M2</f>
        <v>combined cycle gas</v>
      </c>
      <c r="G139" s="48"/>
      <c r="H139" s="48" t="s">
        <v>258</v>
      </c>
      <c r="I139" s="323">
        <f t="shared" ref="I139:AC139" si="86">(-PMT(discount_rate,SUMIF($B$96:$B$115,$D$139,$F$96:$F$115),SUMIF($B$96:$B$115,$D$139,L$68:L$87)))/(8.76*SUMIF($B$96:$B$115,$D$139,$E$96:$E$115))/10</f>
        <v>12.073033447397876</v>
      </c>
      <c r="J139" s="323">
        <f t="shared" si="86"/>
        <v>12.003648197700187</v>
      </c>
      <c r="K139" s="323">
        <f t="shared" si="86"/>
        <v>11.9342629480025</v>
      </c>
      <c r="L139" s="323">
        <f t="shared" si="86"/>
        <v>11.864877698304811</v>
      </c>
      <c r="M139" s="323">
        <f t="shared" si="86"/>
        <v>11.83662798949932</v>
      </c>
      <c r="N139" s="323">
        <f t="shared" si="86"/>
        <v>11.80837828069383</v>
      </c>
      <c r="O139" s="323">
        <f t="shared" si="86"/>
        <v>11.780128571888344</v>
      </c>
      <c r="P139" s="323">
        <f t="shared" si="86"/>
        <v>11.751878863082858</v>
      </c>
      <c r="Q139" s="323">
        <f t="shared" si="86"/>
        <v>11.72362915427737</v>
      </c>
      <c r="R139" s="323">
        <f t="shared" si="86"/>
        <v>11.695379445471882</v>
      </c>
      <c r="S139" s="323">
        <f t="shared" si="86"/>
        <v>11.667129736666398</v>
      </c>
      <c r="T139" s="323">
        <f t="shared" si="86"/>
        <v>11.638880027860909</v>
      </c>
      <c r="U139" s="323">
        <f t="shared" si="86"/>
        <v>11.610630319055421</v>
      </c>
      <c r="V139" s="323">
        <f t="shared" si="86"/>
        <v>11.582380610249931</v>
      </c>
      <c r="W139" s="323">
        <f t="shared" si="86"/>
        <v>11.554130901444445</v>
      </c>
      <c r="X139" s="323">
        <f t="shared" si="86"/>
        <v>11.525881192638955</v>
      </c>
      <c r="Y139" s="323">
        <f t="shared" si="86"/>
        <v>11.497631483833466</v>
      </c>
      <c r="Z139" s="323">
        <f t="shared" si="86"/>
        <v>11.46938177502798</v>
      </c>
      <c r="AA139" s="323">
        <f t="shared" si="86"/>
        <v>11.441132066222492</v>
      </c>
      <c r="AB139" s="323">
        <f t="shared" si="86"/>
        <v>11.412882357417004</v>
      </c>
      <c r="AC139" s="323">
        <f t="shared" si="86"/>
        <v>11.384632648611518</v>
      </c>
    </row>
    <row r="140" spans="4:29">
      <c r="H140" s="11" t="s">
        <v>682</v>
      </c>
      <c r="I140" s="29">
        <f>(SUMIF($B$96:$B$115,$D$139,$C$96:$C$115))/(8.76*SUMIF($B$96:$B$115,$D$139,$E$96:$E$115))/10</f>
        <v>1.3167835826814906</v>
      </c>
      <c r="J140" s="29">
        <f t="shared" ref="J140:AC140" si="87">(SUMIF($B$96:$B$115,$D$139,$C$96:$C$115))/(8.76*SUMIF($B$96:$B$115,$D$139,$E$96:$E$115))/10</f>
        <v>1.3167835826814906</v>
      </c>
      <c r="K140" s="29">
        <f t="shared" si="87"/>
        <v>1.3167835826814906</v>
      </c>
      <c r="L140" s="29">
        <f t="shared" si="87"/>
        <v>1.3167835826814906</v>
      </c>
      <c r="M140" s="29">
        <f t="shared" si="87"/>
        <v>1.3167835826814906</v>
      </c>
      <c r="N140" s="29">
        <f t="shared" si="87"/>
        <v>1.3167835826814906</v>
      </c>
      <c r="O140" s="29">
        <f t="shared" si="87"/>
        <v>1.3167835826814906</v>
      </c>
      <c r="P140" s="29">
        <f t="shared" si="87"/>
        <v>1.3167835826814906</v>
      </c>
      <c r="Q140" s="29">
        <f t="shared" si="87"/>
        <v>1.3167835826814906</v>
      </c>
      <c r="R140" s="29">
        <f t="shared" si="87"/>
        <v>1.3167835826814906</v>
      </c>
      <c r="S140" s="29">
        <f t="shared" si="87"/>
        <v>1.3167835826814906</v>
      </c>
      <c r="T140" s="29">
        <f t="shared" si="87"/>
        <v>1.3167835826814906</v>
      </c>
      <c r="U140" s="29">
        <f t="shared" si="87"/>
        <v>1.3167835826814906</v>
      </c>
      <c r="V140" s="29">
        <f t="shared" si="87"/>
        <v>1.3167835826814906</v>
      </c>
      <c r="W140" s="29">
        <f t="shared" si="87"/>
        <v>1.3167835826814906</v>
      </c>
      <c r="X140" s="29">
        <f t="shared" si="87"/>
        <v>1.3167835826814906</v>
      </c>
      <c r="Y140" s="29">
        <f t="shared" si="87"/>
        <v>1.3167835826814906</v>
      </c>
      <c r="Z140" s="29">
        <f t="shared" si="87"/>
        <v>1.3167835826814906</v>
      </c>
      <c r="AA140" s="29">
        <f t="shared" si="87"/>
        <v>1.3167835826814906</v>
      </c>
      <c r="AB140" s="29">
        <f t="shared" si="87"/>
        <v>1.3167835826814906</v>
      </c>
      <c r="AC140" s="29">
        <f t="shared" si="87"/>
        <v>1.3167835826814906</v>
      </c>
    </row>
    <row r="141" spans="4:29">
      <c r="H141" s="48" t="s">
        <v>683</v>
      </c>
      <c r="I141" s="29">
        <f>SUMIF($B$96:$B$115,$D$139,$D$96:$D$115)/10</f>
        <v>1.7267182536446881</v>
      </c>
      <c r="J141" s="29">
        <f t="shared" ref="J141:AC141" si="88">SUMIF($B$96:$B$115,$D$139,$D$96:$D$115)/10</f>
        <v>1.7267182536446881</v>
      </c>
      <c r="K141" s="29">
        <f t="shared" si="88"/>
        <v>1.7267182536446881</v>
      </c>
      <c r="L141" s="29">
        <f t="shared" si="88"/>
        <v>1.7267182536446881</v>
      </c>
      <c r="M141" s="29">
        <f t="shared" si="88"/>
        <v>1.7267182536446881</v>
      </c>
      <c r="N141" s="29">
        <f t="shared" si="88"/>
        <v>1.7267182536446881</v>
      </c>
      <c r="O141" s="29">
        <f t="shared" si="88"/>
        <v>1.7267182536446881</v>
      </c>
      <c r="P141" s="29">
        <f t="shared" si="88"/>
        <v>1.7267182536446881</v>
      </c>
      <c r="Q141" s="29">
        <f t="shared" si="88"/>
        <v>1.7267182536446881</v>
      </c>
      <c r="R141" s="29">
        <f t="shared" si="88"/>
        <v>1.7267182536446881</v>
      </c>
      <c r="S141" s="29">
        <f t="shared" si="88"/>
        <v>1.7267182536446881</v>
      </c>
      <c r="T141" s="29">
        <f t="shared" si="88"/>
        <v>1.7267182536446881</v>
      </c>
      <c r="U141" s="29">
        <f t="shared" si="88"/>
        <v>1.7267182536446881</v>
      </c>
      <c r="V141" s="29">
        <f t="shared" si="88"/>
        <v>1.7267182536446881</v>
      </c>
      <c r="W141" s="29">
        <f t="shared" si="88"/>
        <v>1.7267182536446881</v>
      </c>
      <c r="X141" s="29">
        <f t="shared" si="88"/>
        <v>1.7267182536446881</v>
      </c>
      <c r="Y141" s="29">
        <f t="shared" si="88"/>
        <v>1.7267182536446881</v>
      </c>
      <c r="Z141" s="29">
        <f t="shared" si="88"/>
        <v>1.7267182536446881</v>
      </c>
      <c r="AA141" s="29">
        <f t="shared" si="88"/>
        <v>1.7267182536446881</v>
      </c>
      <c r="AB141" s="29">
        <f t="shared" si="88"/>
        <v>1.7267182536446881</v>
      </c>
      <c r="AC141" s="29">
        <f t="shared" si="88"/>
        <v>1.7267182536446881</v>
      </c>
    </row>
    <row r="142" spans="4:29">
      <c r="H142" s="48" t="s">
        <v>259</v>
      </c>
      <c r="I142" s="29">
        <f ca="1">SUMIF('Fuel Costs'!$B$126:$B$145,'Tech Parameters'!$D$139,'Fuel Costs'!K$126:K$145)/10</f>
        <v>45.289390552933327</v>
      </c>
      <c r="J142" s="29">
        <f ca="1">SUMIF('Fuel Costs'!$B$126:$B$145,'Tech Parameters'!$D$139,'Fuel Costs'!L$126:L$145)/10</f>
        <v>46.932917213756028</v>
      </c>
      <c r="K142" s="29">
        <f ca="1">SUMIF('Fuel Costs'!$B$126:$B$145,'Tech Parameters'!$D$139,'Fuel Costs'!M$126:M$145)/10</f>
        <v>48.547748515777087</v>
      </c>
      <c r="L142" s="29">
        <f ca="1">SUMIF('Fuel Costs'!$B$126:$B$145,'Tech Parameters'!$D$139,'Fuel Costs'!N$126:N$145)/10</f>
        <v>50.131014923116346</v>
      </c>
      <c r="M142" s="29">
        <f ca="1">SUMIF('Fuel Costs'!$B$126:$B$145,'Tech Parameters'!$D$139,'Fuel Costs'!O$126:O$145)/10</f>
        <v>51.679559946305616</v>
      </c>
      <c r="N142" s="29">
        <f ca="1">SUMIF('Fuel Costs'!$B$126:$B$145,'Tech Parameters'!$D$139,'Fuel Costs'!P$126:P$145)/10</f>
        <v>53.189911446929912</v>
      </c>
      <c r="O142" s="29">
        <f ca="1">SUMIF('Fuel Costs'!$B$126:$B$145,'Tech Parameters'!$D$139,'Fuel Costs'!Q$126:Q$145)/10</f>
        <v>54.658250072732713</v>
      </c>
      <c r="P142" s="29">
        <f ca="1">SUMIF('Fuel Costs'!$B$126:$B$145,'Tech Parameters'!$D$139,'Fuel Costs'!R$126:R$145)/10</f>
        <v>56.080374536231901</v>
      </c>
      <c r="Q142" s="29">
        <f ca="1">SUMIF('Fuel Costs'!$B$126:$B$145,'Tech Parameters'!$D$139,'Fuel Costs'!S$126:S$145)/10</f>
        <v>57.45166342119709</v>
      </c>
      <c r="R142" s="29">
        <f ca="1">SUMIF('Fuel Costs'!$B$126:$B$145,'Tech Parameters'!$D$139,'Fuel Costs'!T$126:T$145)/10</f>
        <v>58.767033169774891</v>
      </c>
      <c r="S142" s="29">
        <f ca="1">SUMIF('Fuel Costs'!$B$126:$B$145,'Tech Parameters'!$D$139,'Fuel Costs'!U$126:U$145)/10</f>
        <v>60.020891868326565</v>
      </c>
      <c r="T142" s="29">
        <f ca="1">SUMIF('Fuel Costs'!$B$126:$B$145,'Tech Parameters'!$D$139,'Fuel Costs'!V$126:V$145)/10</f>
        <v>61.207088411849483</v>
      </c>
      <c r="U142" s="29">
        <f ca="1">SUMIF('Fuel Costs'!$B$126:$B$145,'Tech Parameters'!$D$139,'Fuel Costs'!W$126:W$145)/10</f>
        <v>62.318856584840809</v>
      </c>
      <c r="V142" s="29">
        <f ca="1">SUMIF('Fuel Costs'!$B$126:$B$145,'Tech Parameters'!$D$139,'Fuel Costs'!X$126:X$145)/10</f>
        <v>63.348753550247338</v>
      </c>
      <c r="W142" s="29">
        <f ca="1">SUMIF('Fuel Costs'!$B$126:$B$145,'Tech Parameters'!$D$139,'Fuel Costs'!Y$126:Y$145)/10</f>
        <v>64.288592187310613</v>
      </c>
      <c r="X142" s="29">
        <f ca="1">SUMIF('Fuel Costs'!$B$126:$B$145,'Tech Parameters'!$D$139,'Fuel Costs'!Z$126:Z$145)/10</f>
        <v>65.129366663196322</v>
      </c>
      <c r="Y142" s="29">
        <f ca="1">SUMIF('Fuel Costs'!$B$126:$B$145,'Tech Parameters'!$D$139,'Fuel Costs'!AA$126:AA$145)/10</f>
        <v>65.861170561786679</v>
      </c>
      <c r="Z142" s="29">
        <f ca="1">SUMIF('Fuel Costs'!$B$126:$B$145,'Tech Parameters'!$D$139,'Fuel Costs'!AB$126:AB$145)/10</f>
        <v>66.473106825352147</v>
      </c>
      <c r="AA142" s="29">
        <f ca="1">SUMIF('Fuel Costs'!$B$126:$B$145,'Tech Parameters'!$D$139,'Fuel Costs'!AC$126:AC$145)/10</f>
        <v>66.953188690390277</v>
      </c>
      <c r="AB142" s="29">
        <f ca="1">SUMIF('Fuel Costs'!$B$126:$B$145,'Tech Parameters'!$D$139,'Fuel Costs'!AD$126:AD$145)/10</f>
        <v>67.288230717048293</v>
      </c>
      <c r="AC142" s="29">
        <f ca="1">SUMIF('Fuel Costs'!$B$126:$B$145,'Tech Parameters'!$D$139,'Fuel Costs'!AE$126:AE$145)/10</f>
        <v>67.463728921488212</v>
      </c>
    </row>
    <row r="143" spans="4:29">
      <c r="H143" s="48" t="s">
        <v>684</v>
      </c>
      <c r="I143" s="33">
        <f ca="1">SUM(I139:I142)</f>
        <v>60.405925836657381</v>
      </c>
      <c r="J143" s="33">
        <f t="shared" ref="J143:L143" ca="1" si="89">SUM(J139:J142)</f>
        <v>61.980067247782394</v>
      </c>
      <c r="K143" s="33">
        <f t="shared" ca="1" si="89"/>
        <v>63.525513300105764</v>
      </c>
      <c r="L143" s="33">
        <f t="shared" ca="1" si="89"/>
        <v>65.039394457747335</v>
      </c>
      <c r="M143" s="33">
        <f t="shared" ref="M143" ca="1" si="90">SUM(M139:M142)</f>
        <v>66.559689772131122</v>
      </c>
      <c r="N143" s="33">
        <f t="shared" ref="N143:O143" ca="1" si="91">SUM(N139:N142)</f>
        <v>68.041791563949914</v>
      </c>
      <c r="O143" s="33">
        <f t="shared" ca="1" si="91"/>
        <v>69.48188048094724</v>
      </c>
      <c r="P143" s="33">
        <f t="shared" ref="P143:Q143" ca="1" si="92">SUM(P139:P142)</f>
        <v>70.875755235640938</v>
      </c>
      <c r="Q143" s="33">
        <f t="shared" ca="1" si="92"/>
        <v>72.218794411800644</v>
      </c>
      <c r="R143" s="33">
        <f t="shared" ref="R143" ca="1" si="93">SUM(R139:R142)</f>
        <v>73.505914451572949</v>
      </c>
      <c r="S143" s="33">
        <f t="shared" ref="S143" ca="1" si="94">SUM(S139:S142)</f>
        <v>74.73152344131914</v>
      </c>
      <c r="T143" s="33">
        <f t="shared" ref="T143" ca="1" si="95">SUM(T139:T142)</f>
        <v>75.889470276036576</v>
      </c>
      <c r="U143" s="33">
        <f t="shared" ref="U143" ca="1" si="96">SUM(U139:U142)</f>
        <v>76.972988740222405</v>
      </c>
      <c r="V143" s="33">
        <f t="shared" ref="V143" ca="1" si="97">SUM(V139:V142)</f>
        <v>77.974635996823451</v>
      </c>
      <c r="W143" s="33">
        <f t="shared" ref="W143" ca="1" si="98">SUM(W139:W142)</f>
        <v>78.886224925081237</v>
      </c>
      <c r="X143" s="33">
        <f t="shared" ref="X143:Y143" ca="1" si="99">SUM(X139:X142)</f>
        <v>79.698749692161456</v>
      </c>
      <c r="Y143" s="33">
        <f t="shared" ca="1" si="99"/>
        <v>80.402303881946324</v>
      </c>
      <c r="Z143" s="33">
        <f t="shared" ref="Z143" ca="1" si="100">SUM(Z139:Z142)</f>
        <v>80.985990436706302</v>
      </c>
      <c r="AA143" s="33">
        <f t="shared" ref="AA143" ca="1" si="101">SUM(AA139:AA142)</f>
        <v>81.437822592938943</v>
      </c>
      <c r="AB143" s="33">
        <f t="shared" ref="AB143" ca="1" si="102">SUM(AB139:AB142)</f>
        <v>81.744614910791483</v>
      </c>
      <c r="AC143" s="33">
        <f t="shared" ref="AC143" ca="1" si="103">SUM(AC139:AC142)</f>
        <v>81.891863406425912</v>
      </c>
    </row>
    <row r="144" spans="4:29">
      <c r="H144" s="48"/>
      <c r="I144" s="33"/>
      <c r="J144" s="33"/>
      <c r="K144" s="33"/>
      <c r="L144" s="33"/>
      <c r="M144" s="33"/>
      <c r="N144" s="33"/>
      <c r="O144" s="33"/>
      <c r="P144" s="33"/>
      <c r="Q144" s="33"/>
      <c r="R144" s="33"/>
      <c r="S144" s="33"/>
      <c r="T144" s="33"/>
      <c r="U144" s="33"/>
      <c r="V144" s="33"/>
      <c r="W144" s="33"/>
      <c r="X144" s="33"/>
      <c r="Y144" s="33"/>
      <c r="Z144" s="33"/>
      <c r="AA144" s="33"/>
      <c r="AB144" s="33"/>
      <c r="AC144" s="33"/>
    </row>
    <row r="145" spans="2:33">
      <c r="B145" s="44" t="s">
        <v>219</v>
      </c>
    </row>
    <row r="146" spans="2:33">
      <c r="C146" s="11" t="s">
        <v>217</v>
      </c>
      <c r="F146" s="11" t="s">
        <v>216</v>
      </c>
      <c r="H146" s="4">
        <v>2005</v>
      </c>
      <c r="I146" s="4">
        <v>2006</v>
      </c>
      <c r="J146" s="4">
        <v>2007</v>
      </c>
      <c r="K146" s="4">
        <v>2008</v>
      </c>
      <c r="L146" s="4">
        <v>2009</v>
      </c>
      <c r="M146" s="4">
        <v>2010</v>
      </c>
      <c r="N146" s="4">
        <v>2011</v>
      </c>
      <c r="O146" s="4">
        <v>2012</v>
      </c>
      <c r="P146" s="4">
        <v>2013</v>
      </c>
      <c r="Q146" s="4">
        <v>2014</v>
      </c>
      <c r="R146" s="4">
        <v>2015</v>
      </c>
      <c r="S146" s="4">
        <v>2016</v>
      </c>
      <c r="T146" s="4">
        <v>2017</v>
      </c>
      <c r="U146" s="4">
        <v>2018</v>
      </c>
      <c r="V146" s="4">
        <v>2019</v>
      </c>
      <c r="W146" s="4">
        <v>2020</v>
      </c>
      <c r="X146" s="4">
        <v>2021</v>
      </c>
      <c r="Y146" s="4">
        <v>2022</v>
      </c>
      <c r="Z146" s="4">
        <v>2023</v>
      </c>
      <c r="AA146" s="4">
        <v>2024</v>
      </c>
      <c r="AB146" s="4">
        <v>2025</v>
      </c>
      <c r="AC146" s="4">
        <v>2026</v>
      </c>
      <c r="AD146" s="4">
        <v>2027</v>
      </c>
      <c r="AE146" s="4">
        <v>2028</v>
      </c>
      <c r="AF146" s="4">
        <v>2029</v>
      </c>
      <c r="AG146" s="4">
        <v>2030</v>
      </c>
    </row>
    <row r="147" spans="2:33">
      <c r="B147" t="str">
        <f>B6</f>
        <v>Existing coal Large</v>
      </c>
      <c r="C147" s="11">
        <v>1.0000000000000001E-15</v>
      </c>
      <c r="D147" s="11"/>
      <c r="E147" s="11"/>
      <c r="F147" s="11"/>
      <c r="G147" s="11"/>
      <c r="H147" s="33">
        <f>'Fuel Costs'!F102+$D96+$C147</f>
        <v>49.58182256953264</v>
      </c>
      <c r="I147" s="33">
        <f>'Fuel Costs'!G102+$D96+$C147</f>
        <v>57.316277061549613</v>
      </c>
      <c r="J147" s="33">
        <f>'Fuel Costs'!H102+$D96+$C147</f>
        <v>65.050731553566578</v>
      </c>
      <c r="K147" s="33">
        <f>'Fuel Costs'!I102+$D96+$C147</f>
        <v>68.508102812294169</v>
      </c>
      <c r="L147" s="33">
        <f>'Fuel Costs'!J102+$D96+$C147</f>
        <v>68.508102812294169</v>
      </c>
      <c r="M147" s="33">
        <f>'Fuel Costs'!K102+$D96+$C147</f>
        <v>68.852838498224088</v>
      </c>
      <c r="N147" s="33">
        <f>'Fuel Costs'!L102+$D96+$C147</f>
        <v>69.197574184153979</v>
      </c>
      <c r="O147" s="33">
        <f>'Fuel Costs'!M102+$D96+$C147</f>
        <v>69.542309870083884</v>
      </c>
      <c r="P147" s="33">
        <f>'Fuel Costs'!N102+$D96+$C147</f>
        <v>69.887045556013774</v>
      </c>
      <c r="Q147" s="33">
        <f>'Fuel Costs'!O102+$D96+$C147</f>
        <v>70.231781241943679</v>
      </c>
      <c r="R147" s="33">
        <f>'Fuel Costs'!P102+$D96+$C147</f>
        <v>70.57651692787357</v>
      </c>
      <c r="S147" s="33">
        <f>'Fuel Costs'!Q102+$D96+$C147</f>
        <v>70.921252613803475</v>
      </c>
      <c r="T147" s="33">
        <f>'Fuel Costs'!R102+$D96+$C147</f>
        <v>71.265988299733365</v>
      </c>
      <c r="U147" s="33">
        <f>'Fuel Costs'!S102+$D96+$C147</f>
        <v>71.61072398566327</v>
      </c>
      <c r="V147" s="33">
        <f>'Fuel Costs'!T102+$D96+$C147</f>
        <v>71.955459671593175</v>
      </c>
      <c r="W147" s="33">
        <f>'Fuel Costs'!U102+$D96+$C147</f>
        <v>72.30019535752308</v>
      </c>
      <c r="X147" s="33">
        <f>'Fuel Costs'!V102+$D96+$C147</f>
        <v>72.644931043452971</v>
      </c>
      <c r="Y147" s="33">
        <f>'Fuel Costs'!W102+$D96+$C147</f>
        <v>72.989666729382861</v>
      </c>
      <c r="Z147" s="33">
        <f>'Fuel Costs'!X102+$D96+$C147</f>
        <v>73.33440241531278</v>
      </c>
      <c r="AA147" s="33">
        <f>'Fuel Costs'!Y102+$D96+$C147</f>
        <v>73.679138101242671</v>
      </c>
      <c r="AB147" s="33">
        <f>'Fuel Costs'!Z102+$D96+$C147</f>
        <v>74.023873787172562</v>
      </c>
      <c r="AC147" s="33">
        <f>'Fuel Costs'!AA102+$D96+$C147</f>
        <v>74.368609473102481</v>
      </c>
      <c r="AD147" s="33">
        <f>'Fuel Costs'!AB102+$D96+$C147</f>
        <v>74.713345159032372</v>
      </c>
      <c r="AE147" s="33">
        <f>'Fuel Costs'!AC102+$D96+$C147</f>
        <v>75.058080844962262</v>
      </c>
      <c r="AF147" s="33">
        <f>'Fuel Costs'!AD102+$D96+$C147</f>
        <v>75.402816530892181</v>
      </c>
      <c r="AG147" s="33">
        <f>'Fuel Costs'!AE102+$D96+$C147</f>
        <v>75.747552216822072</v>
      </c>
    </row>
    <row r="148" spans="2:33">
      <c r="B148" t="str">
        <f t="shared" ref="B148:B166" si="104">B7</f>
        <v>Existing coal Small</v>
      </c>
      <c r="C148" s="11">
        <v>2.0000000000000002E-15</v>
      </c>
      <c r="D148" s="11"/>
      <c r="E148" s="11"/>
      <c r="F148" s="11"/>
      <c r="G148" s="11"/>
      <c r="H148" s="33">
        <f>'Fuel Costs'!F103+$D97+$C148</f>
        <v>74.299046681559446</v>
      </c>
      <c r="I148" s="33">
        <f>'Fuel Costs'!G103+$D97+$C148</f>
        <v>83.866311830206612</v>
      </c>
      <c r="J148" s="33">
        <f>'Fuel Costs'!H103+$D97+$C148</f>
        <v>93.433576978853793</v>
      </c>
      <c r="K148" s="33">
        <f>'Fuel Costs'!I103+$D97+$C148</f>
        <v>103.41348291178589</v>
      </c>
      <c r="L148" s="33">
        <f>'Fuel Costs'!J103+$D97+$C148</f>
        <v>103.41348291178589</v>
      </c>
      <c r="M148" s="33">
        <f>'Fuel Costs'!K103+$D97+$C148</f>
        <v>103.94914562661192</v>
      </c>
      <c r="N148" s="33">
        <f>'Fuel Costs'!L103+$D97+$C148</f>
        <v>104.48480834143794</v>
      </c>
      <c r="O148" s="33">
        <f>'Fuel Costs'!M103+$D97+$C148</f>
        <v>105.02047105626397</v>
      </c>
      <c r="P148" s="33">
        <f>'Fuel Costs'!N103+$D97+$C148</f>
        <v>105.55613377108999</v>
      </c>
      <c r="Q148" s="33">
        <f>'Fuel Costs'!O103+$D97+$C148</f>
        <v>106.09179648591602</v>
      </c>
      <c r="R148" s="33">
        <f>'Fuel Costs'!P103+$D97+$C148</f>
        <v>106.62745920074204</v>
      </c>
      <c r="S148" s="33">
        <f>'Fuel Costs'!Q103+$D97+$C148</f>
        <v>107.16312191556807</v>
      </c>
      <c r="T148" s="33">
        <f>'Fuel Costs'!R103+$D97+$C148</f>
        <v>107.69878463039409</v>
      </c>
      <c r="U148" s="33">
        <f>'Fuel Costs'!S103+$D97+$C148</f>
        <v>108.23444734522012</v>
      </c>
      <c r="V148" s="33">
        <f>'Fuel Costs'!T103+$D97+$C148</f>
        <v>108.77011006004615</v>
      </c>
      <c r="W148" s="33">
        <f>'Fuel Costs'!U103+$D97+$C148</f>
        <v>109.30577277487217</v>
      </c>
      <c r="X148" s="33">
        <f>'Fuel Costs'!V103+$D97+$C148</f>
        <v>109.84143548969818</v>
      </c>
      <c r="Y148" s="33">
        <f>'Fuel Costs'!W103+$D97+$C148</f>
        <v>110.37709820452422</v>
      </c>
      <c r="Z148" s="33">
        <f>'Fuel Costs'!X103+$D97+$C148</f>
        <v>110.91276091935023</v>
      </c>
      <c r="AA148" s="33">
        <f>'Fuel Costs'!Y103+$D97+$C148</f>
        <v>111.44842363417627</v>
      </c>
      <c r="AB148" s="33">
        <f>'Fuel Costs'!Z103+$D97+$C148</f>
        <v>111.9840863490023</v>
      </c>
      <c r="AC148" s="33">
        <f>'Fuel Costs'!AA103+$D97+$C148</f>
        <v>112.51974906382833</v>
      </c>
      <c r="AD148" s="33">
        <f>'Fuel Costs'!AB103+$D97+$C148</f>
        <v>113.05541177865433</v>
      </c>
      <c r="AE148" s="33">
        <f>'Fuel Costs'!AC103+$D97+$C148</f>
        <v>113.59107449348035</v>
      </c>
      <c r="AF148" s="33">
        <f>'Fuel Costs'!AD103+$D97+$C148</f>
        <v>114.12673720830639</v>
      </c>
      <c r="AG148" s="33">
        <f>'Fuel Costs'!AE103+$D97+$C148</f>
        <v>114.66239992313241</v>
      </c>
    </row>
    <row r="149" spans="2:33">
      <c r="B149" t="str">
        <f t="shared" si="104"/>
        <v>OCGT liquid fuels</v>
      </c>
      <c r="C149" s="11">
        <v>3.0000000000000002E-15</v>
      </c>
      <c r="D149" s="11"/>
      <c r="E149" s="11"/>
      <c r="F149" s="11"/>
      <c r="G149" s="11"/>
      <c r="H149" s="33">
        <f>'Fuel Costs'!F104+$D98+$C149</f>
        <v>1474.4270738939385</v>
      </c>
      <c r="I149" s="33">
        <f>'Fuel Costs'!G104+$D98+$C149</f>
        <v>1673.8840463504503</v>
      </c>
      <c r="J149" s="33">
        <f>'Fuel Costs'!H104+$D98+$C149</f>
        <v>1673.4112979738329</v>
      </c>
      <c r="K149" s="33">
        <f>'Fuel Costs'!I104+$D98+$C149</f>
        <v>2345.4231593446098</v>
      </c>
      <c r="L149" s="33">
        <f>'Fuel Costs'!J104+$D98+$C149</f>
        <v>1609.6581815078928</v>
      </c>
      <c r="M149" s="33">
        <f>'Fuel Costs'!K104+$D98+$C149</f>
        <v>1690.814045504025</v>
      </c>
      <c r="N149" s="33">
        <f>'Fuel Costs'!L104+$D98+$C149</f>
        <v>1771.969909500157</v>
      </c>
      <c r="O149" s="33">
        <f>'Fuel Costs'!M104+$D98+$C149</f>
        <v>1853.125773496289</v>
      </c>
      <c r="P149" s="33">
        <f>'Fuel Costs'!N104+$D98+$C149</f>
        <v>1934.2816374924219</v>
      </c>
      <c r="Q149" s="33">
        <f>'Fuel Costs'!O104+$D98+$C149</f>
        <v>2015.4375014885538</v>
      </c>
      <c r="R149" s="33">
        <f>'Fuel Costs'!P104+$D98+$C149</f>
        <v>2096.5933654846858</v>
      </c>
      <c r="S149" s="33">
        <f>'Fuel Costs'!Q104+$D98+$C149</f>
        <v>2177.7492294808176</v>
      </c>
      <c r="T149" s="33">
        <f>'Fuel Costs'!R104+$D98+$C149</f>
        <v>2258.9050934769498</v>
      </c>
      <c r="U149" s="33">
        <f>'Fuel Costs'!S104+$D98+$C149</f>
        <v>2340.060957473082</v>
      </c>
      <c r="V149" s="33">
        <f>'Fuel Costs'!T104+$D98+$C149</f>
        <v>2421.2168214692142</v>
      </c>
      <c r="W149" s="33">
        <f>'Fuel Costs'!U104+$D98+$C149</f>
        <v>2502.3726854653464</v>
      </c>
      <c r="X149" s="33">
        <f>'Fuel Costs'!V104+$D98+$C149</f>
        <v>2583.5285494614782</v>
      </c>
      <c r="Y149" s="33">
        <f>'Fuel Costs'!W104+$D98+$C149</f>
        <v>2664.6844134576104</v>
      </c>
      <c r="Z149" s="33">
        <f>'Fuel Costs'!X104+$D98+$C149</f>
        <v>2745.8402774537426</v>
      </c>
      <c r="AA149" s="33">
        <f>'Fuel Costs'!Y104+$D98+$C149</f>
        <v>2826.9961414498753</v>
      </c>
      <c r="AB149" s="33">
        <f>'Fuel Costs'!Z104+$D98+$C149</f>
        <v>2908.152005446007</v>
      </c>
      <c r="AC149" s="33">
        <f>'Fuel Costs'!AA104+$D98+$C149</f>
        <v>2989.3078694421397</v>
      </c>
      <c r="AD149" s="33">
        <f>'Fuel Costs'!AB104+$D98+$C149</f>
        <v>3070.4637334382714</v>
      </c>
      <c r="AE149" s="33">
        <f>'Fuel Costs'!AC104+$D98+$C149</f>
        <v>3151.6195974344032</v>
      </c>
      <c r="AF149" s="33">
        <f>'Fuel Costs'!AD104+$D98+$C149</f>
        <v>3232.7754614305359</v>
      </c>
      <c r="AG149" s="33">
        <f>'Fuel Costs'!AE104+$D98+$C149</f>
        <v>3313.9313254266681</v>
      </c>
    </row>
    <row r="150" spans="2:33">
      <c r="B150" t="str">
        <f t="shared" si="104"/>
        <v>PWR nuclear</v>
      </c>
      <c r="C150" s="25">
        <v>4.0000000000000003E-15</v>
      </c>
      <c r="D150" s="25"/>
      <c r="E150" s="25"/>
      <c r="F150" s="25"/>
      <c r="G150" s="25"/>
      <c r="H150" s="33">
        <f>'Fuel Costs'!F105+$D99+$C150</f>
        <v>37.108369019567519</v>
      </c>
      <c r="I150" s="33">
        <f>'Fuel Costs'!G105+$D99+$C150</f>
        <v>42.611863739989879</v>
      </c>
      <c r="J150" s="33">
        <f>'Fuel Costs'!H105+$D99+$C150</f>
        <v>48.115358460412246</v>
      </c>
      <c r="K150" s="33">
        <f>'Fuel Costs'!I105+$D99+$C150</f>
        <v>53.618853180834613</v>
      </c>
      <c r="L150" s="33">
        <f>'Fuel Costs'!J105+$D99+$C150</f>
        <v>61.921745413376648</v>
      </c>
      <c r="M150" s="33">
        <f>'Fuel Costs'!K105+$D99+$C150</f>
        <v>62.210917136958358</v>
      </c>
      <c r="N150" s="33">
        <f>'Fuel Costs'!L105+$D99+$C150</f>
        <v>62.501534719157981</v>
      </c>
      <c r="O150" s="33">
        <f>'Fuel Costs'!M105+$D99+$C150</f>
        <v>62.793605389268599</v>
      </c>
      <c r="P150" s="33">
        <f>'Fuel Costs'!N105+$D99+$C150</f>
        <v>63.08713641272977</v>
      </c>
      <c r="Q150" s="33">
        <f>'Fuel Costs'!O105+$D99+$C150</f>
        <v>63.382135091308243</v>
      </c>
      <c r="R150" s="33">
        <f>'Fuel Costs'!P105+$D99+$C150</f>
        <v>63.678608763279605</v>
      </c>
      <c r="S150" s="33">
        <f>'Fuel Costs'!Q105+$D99+$C150</f>
        <v>63.976564803610835</v>
      </c>
      <c r="T150" s="33">
        <f>'Fuel Costs'!R105+$D99+$C150</f>
        <v>64.276010624143709</v>
      </c>
      <c r="U150" s="33">
        <f>'Fuel Costs'!S105+$D99+$C150</f>
        <v>64.576953673779258</v>
      </c>
      <c r="V150" s="33">
        <f>'Fuel Costs'!T105+$D99+$C150</f>
        <v>64.879401438662981</v>
      </c>
      <c r="W150" s="33">
        <f>'Fuel Costs'!U105+$D99+$C150</f>
        <v>65.183361442371123</v>
      </c>
      <c r="X150" s="33">
        <f>'Fuel Costs'!V105+$D99+$C150</f>
        <v>65.488841246097806</v>
      </c>
      <c r="Y150" s="33">
        <f>'Fuel Costs'!W105+$D99+$C150</f>
        <v>65.795848448843117</v>
      </c>
      <c r="Z150" s="33">
        <f>'Fuel Costs'!X105+$D99+$C150</f>
        <v>66.104390687602148</v>
      </c>
      <c r="AA150" s="33">
        <f>'Fuel Costs'!Y105+$D99+$C150</f>
        <v>66.414475637555</v>
      </c>
      <c r="AB150" s="33">
        <f>'Fuel Costs'!Z105+$D99+$C150</f>
        <v>66.726111012257604</v>
      </c>
      <c r="AC150" s="33">
        <f>'Fuel Costs'!AA105+$D99+$C150</f>
        <v>67.03930456383371</v>
      </c>
      <c r="AD150" s="33">
        <f>'Fuel Costs'!AB105+$D99+$C150</f>
        <v>67.3540640831677</v>
      </c>
      <c r="AE150" s="33">
        <f>'Fuel Costs'!AC105+$D99+$C150</f>
        <v>67.670397400098366</v>
      </c>
      <c r="AF150" s="33">
        <f>'Fuel Costs'!AD105+$D99+$C150</f>
        <v>67.988312383613689</v>
      </c>
      <c r="AG150" s="33">
        <f>'Fuel Costs'!AE105+$D99+$C150</f>
        <v>68.307816942046585</v>
      </c>
    </row>
    <row r="151" spans="2:33">
      <c r="B151" t="str">
        <f t="shared" si="104"/>
        <v>Hydro</v>
      </c>
      <c r="C151" s="11">
        <v>5.0000000000000008E-15</v>
      </c>
      <c r="D151" s="11"/>
      <c r="E151" s="11"/>
      <c r="F151" s="11"/>
      <c r="G151" s="11"/>
      <c r="H151" s="33">
        <f>'Fuel Costs'!F106+$D100+$C151</f>
        <v>5.0000000000000008E-15</v>
      </c>
      <c r="I151" s="33">
        <f>'Fuel Costs'!G106+$D100+$C151</f>
        <v>5.0000000000000008E-15</v>
      </c>
      <c r="J151" s="33">
        <f>'Fuel Costs'!H106+$D100+$C151</f>
        <v>5.0000000000000008E-15</v>
      </c>
      <c r="K151" s="33">
        <f>'Fuel Costs'!I106+$D100+$C151</f>
        <v>5.0000000000000008E-15</v>
      </c>
      <c r="L151" s="33">
        <f>'Fuel Costs'!J106+$D100+$C151</f>
        <v>5.0000000000000008E-15</v>
      </c>
      <c r="M151" s="33">
        <f>'Fuel Costs'!K106+$D100+$C151</f>
        <v>5.0000000000000008E-15</v>
      </c>
      <c r="N151" s="33">
        <f>'Fuel Costs'!L106+$D100+$C151</f>
        <v>5.0000000000000008E-15</v>
      </c>
      <c r="O151" s="33">
        <f>'Fuel Costs'!M106+$D100+$C151</f>
        <v>5.0000000000000008E-15</v>
      </c>
      <c r="P151" s="33">
        <f>'Fuel Costs'!N106+$D100+$C151</f>
        <v>5.0000000000000008E-15</v>
      </c>
      <c r="Q151" s="33">
        <f>'Fuel Costs'!O106+$D100+$C151</f>
        <v>5.0000000000000008E-15</v>
      </c>
      <c r="R151" s="33">
        <f>'Fuel Costs'!P106+$D100+$C151</f>
        <v>5.0000000000000008E-15</v>
      </c>
      <c r="S151" s="33">
        <f>'Fuel Costs'!Q106+$D100+$C151</f>
        <v>5.0000000000000008E-15</v>
      </c>
      <c r="T151" s="33">
        <f>'Fuel Costs'!R106+$D100+$C151</f>
        <v>5.0000000000000008E-15</v>
      </c>
      <c r="U151" s="33">
        <f>'Fuel Costs'!S106+$D100+$C151</f>
        <v>5.0000000000000008E-15</v>
      </c>
      <c r="V151" s="33">
        <f>'Fuel Costs'!T106+$D100+$C151</f>
        <v>5.0000000000000008E-15</v>
      </c>
      <c r="W151" s="33">
        <f>'Fuel Costs'!U106+$D100+$C151</f>
        <v>5.0000000000000008E-15</v>
      </c>
      <c r="X151" s="33">
        <f>'Fuel Costs'!V106+$D100+$C151</f>
        <v>5.0000000000000008E-15</v>
      </c>
      <c r="Y151" s="33">
        <f>'Fuel Costs'!W106+$D100+$C151</f>
        <v>5.0000000000000008E-15</v>
      </c>
      <c r="Z151" s="33">
        <f>'Fuel Costs'!X106+$D100+$C151</f>
        <v>5.0000000000000008E-15</v>
      </c>
      <c r="AA151" s="33">
        <f>'Fuel Costs'!Y106+$D100+$C151</f>
        <v>5.0000000000000008E-15</v>
      </c>
      <c r="AB151" s="33">
        <f>'Fuel Costs'!Z106+$D100+$C151</f>
        <v>5.0000000000000008E-15</v>
      </c>
      <c r="AC151" s="33">
        <f>'Fuel Costs'!AA106+$D100+$C151</f>
        <v>5.0000000000000008E-15</v>
      </c>
      <c r="AD151" s="33">
        <f>'Fuel Costs'!AB106+$D100+$C151</f>
        <v>5.0000000000000008E-15</v>
      </c>
      <c r="AE151" s="33">
        <f>'Fuel Costs'!AC106+$D100+$C151</f>
        <v>5.0000000000000008E-15</v>
      </c>
      <c r="AF151" s="33">
        <f>'Fuel Costs'!AD106+$D100+$C151</f>
        <v>5.0000000000000008E-15</v>
      </c>
      <c r="AG151" s="33">
        <f>'Fuel Costs'!AE106+$D100+$C151</f>
        <v>5.0000000000000008E-15</v>
      </c>
    </row>
    <row r="152" spans="2:33">
      <c r="B152" t="str">
        <f t="shared" si="104"/>
        <v>Landfill gas</v>
      </c>
      <c r="C152" s="25">
        <v>6.0000000000000005E-15</v>
      </c>
      <c r="D152" s="25"/>
      <c r="E152" s="25"/>
      <c r="F152" s="25"/>
      <c r="G152" s="25"/>
      <c r="H152" s="33">
        <f>'Fuel Costs'!F107+$D101+$C152</f>
        <v>8.3416340755788035E-2</v>
      </c>
      <c r="I152" s="33">
        <f>'Fuel Costs'!G107+$D101+$C152</f>
        <v>8.3416340755788035E-2</v>
      </c>
      <c r="J152" s="33">
        <f>'Fuel Costs'!H107+$D101+$C152</f>
        <v>8.3416340755788035E-2</v>
      </c>
      <c r="K152" s="33">
        <f>'Fuel Costs'!I107+$D101+$C152</f>
        <v>8.3416340755788035E-2</v>
      </c>
      <c r="L152" s="33">
        <f>'Fuel Costs'!J107+$D101+$C152</f>
        <v>8.3416340755788035E-2</v>
      </c>
      <c r="M152" s="33">
        <f>'Fuel Costs'!K107+$D101+$C152</f>
        <v>8.3416340755788035E-2</v>
      </c>
      <c r="N152" s="33">
        <f>'Fuel Costs'!L107+$D101+$C152</f>
        <v>8.3416340755788035E-2</v>
      </c>
      <c r="O152" s="33">
        <f>'Fuel Costs'!M107+$D101+$C152</f>
        <v>8.3416340755788035E-2</v>
      </c>
      <c r="P152" s="33">
        <f>'Fuel Costs'!N107+$D101+$C152</f>
        <v>8.3416340755788035E-2</v>
      </c>
      <c r="Q152" s="33">
        <f>'Fuel Costs'!O107+$D101+$C152</f>
        <v>8.3416340755788035E-2</v>
      </c>
      <c r="R152" s="33">
        <f>'Fuel Costs'!P107+$D101+$C152</f>
        <v>8.3416340755788035E-2</v>
      </c>
      <c r="S152" s="33">
        <f>'Fuel Costs'!Q107+$D101+$C152</f>
        <v>8.3416340755788035E-2</v>
      </c>
      <c r="T152" s="33">
        <f>'Fuel Costs'!R107+$D101+$C152</f>
        <v>8.3416340755788035E-2</v>
      </c>
      <c r="U152" s="33">
        <f>'Fuel Costs'!S107+$D101+$C152</f>
        <v>8.3416340755788035E-2</v>
      </c>
      <c r="V152" s="33">
        <f>'Fuel Costs'!T107+$D101+$C152</f>
        <v>8.3416340755788035E-2</v>
      </c>
      <c r="W152" s="33">
        <f>'Fuel Costs'!U107+$D101+$C152</f>
        <v>8.3416340755788035E-2</v>
      </c>
      <c r="X152" s="33">
        <f>'Fuel Costs'!V107+$D101+$C152</f>
        <v>8.3416340755788035E-2</v>
      </c>
      <c r="Y152" s="33">
        <f>'Fuel Costs'!W107+$D101+$C152</f>
        <v>8.3416340755788035E-2</v>
      </c>
      <c r="Z152" s="33">
        <f>'Fuel Costs'!X107+$D101+$C152</f>
        <v>8.3416340755788035E-2</v>
      </c>
      <c r="AA152" s="33">
        <f>'Fuel Costs'!Y107+$D101+$C152</f>
        <v>8.3416340755788035E-2</v>
      </c>
      <c r="AB152" s="33">
        <f>'Fuel Costs'!Z107+$D101+$C152</f>
        <v>8.3416340755788035E-2</v>
      </c>
      <c r="AC152" s="33">
        <f>'Fuel Costs'!AA107+$D101+$C152</f>
        <v>8.3416340755788035E-2</v>
      </c>
      <c r="AD152" s="33">
        <f>'Fuel Costs'!AB107+$D101+$C152</f>
        <v>8.3416340755788035E-2</v>
      </c>
      <c r="AE152" s="33">
        <f>'Fuel Costs'!AC107+$D101+$C152</f>
        <v>8.3416340755788035E-2</v>
      </c>
      <c r="AF152" s="33">
        <f>'Fuel Costs'!AD107+$D101+$C152</f>
        <v>8.3416340755788035E-2</v>
      </c>
      <c r="AG152" s="33">
        <f>'Fuel Costs'!AE107+$D101+$C152</f>
        <v>8.3416340755788035E-2</v>
      </c>
    </row>
    <row r="153" spans="2:33">
      <c r="B153" t="str">
        <f t="shared" si="104"/>
        <v>Biomass</v>
      </c>
      <c r="C153" s="11">
        <v>7.0000000000000001E-15</v>
      </c>
      <c r="D153" s="11"/>
      <c r="E153" s="11"/>
      <c r="F153" s="11"/>
      <c r="G153" s="11"/>
      <c r="H153" s="33">
        <f>'Fuel Costs'!F108+$D102+$C153</f>
        <v>55.972364647129758</v>
      </c>
      <c r="I153" s="33">
        <f>'Fuel Costs'!G108+$D102+$C153</f>
        <v>55.972364647129758</v>
      </c>
      <c r="J153" s="33">
        <f>'Fuel Costs'!H108+$D102+$C153</f>
        <v>55.972364647129758</v>
      </c>
      <c r="K153" s="33">
        <f>'Fuel Costs'!I108+$D102+$C153</f>
        <v>55.972364647129758</v>
      </c>
      <c r="L153" s="33">
        <f>'Fuel Costs'!J108+$D102+$C153</f>
        <v>55.972364647129758</v>
      </c>
      <c r="M153" s="33">
        <f>'Fuel Costs'!K108+$D102+$C153</f>
        <v>55.972364647129758</v>
      </c>
      <c r="N153" s="33">
        <f>'Fuel Costs'!L108+$D102+$C153</f>
        <v>55.972364647129758</v>
      </c>
      <c r="O153" s="33">
        <f>'Fuel Costs'!M108+$D102+$C153</f>
        <v>55.972364647129758</v>
      </c>
      <c r="P153" s="33">
        <f>'Fuel Costs'!N108+$D102+$C153</f>
        <v>55.972364647129758</v>
      </c>
      <c r="Q153" s="33">
        <f>'Fuel Costs'!O108+$D102+$C153</f>
        <v>55.972364647129758</v>
      </c>
      <c r="R153" s="33">
        <f>'Fuel Costs'!P108+$D102+$C153</f>
        <v>55.972364647129758</v>
      </c>
      <c r="S153" s="33">
        <f>'Fuel Costs'!Q108+$D102+$C153</f>
        <v>55.972364647129758</v>
      </c>
      <c r="T153" s="33">
        <f>'Fuel Costs'!R108+$D102+$C153</f>
        <v>55.972364647129758</v>
      </c>
      <c r="U153" s="33">
        <f>'Fuel Costs'!S108+$D102+$C153</f>
        <v>55.972364647129758</v>
      </c>
      <c r="V153" s="33">
        <f>'Fuel Costs'!T108+$D102+$C153</f>
        <v>55.972364647129758</v>
      </c>
      <c r="W153" s="33">
        <f>'Fuel Costs'!U108+$D102+$C153</f>
        <v>55.972364647129758</v>
      </c>
      <c r="X153" s="33">
        <f>'Fuel Costs'!V108+$D102+$C153</f>
        <v>55.972364647129758</v>
      </c>
      <c r="Y153" s="33">
        <f>'Fuel Costs'!W108+$D102+$C153</f>
        <v>55.972364647129758</v>
      </c>
      <c r="Z153" s="33">
        <f>'Fuel Costs'!X108+$D102+$C153</f>
        <v>55.972364647129758</v>
      </c>
      <c r="AA153" s="33">
        <f>'Fuel Costs'!Y108+$D102+$C153</f>
        <v>55.972364647129758</v>
      </c>
      <c r="AB153" s="33">
        <f>'Fuel Costs'!Z108+$D102+$C153</f>
        <v>55.972364647129758</v>
      </c>
      <c r="AC153" s="33">
        <f>'Fuel Costs'!AA108+$D102+$C153</f>
        <v>55.972364647129758</v>
      </c>
      <c r="AD153" s="33">
        <f>'Fuel Costs'!AB108+$D102+$C153</f>
        <v>55.972364647129758</v>
      </c>
      <c r="AE153" s="33">
        <f>'Fuel Costs'!AC108+$D102+$C153</f>
        <v>55.972364647129758</v>
      </c>
      <c r="AF153" s="33">
        <f>'Fuel Costs'!AD108+$D102+$C153</f>
        <v>55.972364647129758</v>
      </c>
      <c r="AG153" s="33">
        <f>'Fuel Costs'!AE108+$D102+$C153</f>
        <v>55.972364647129758</v>
      </c>
    </row>
    <row r="154" spans="2:33">
      <c r="B154" t="str">
        <f t="shared" si="104"/>
        <v>Supercritical coal</v>
      </c>
      <c r="C154" s="25">
        <v>8.0000000000000006E-15</v>
      </c>
      <c r="D154" s="25"/>
      <c r="E154" s="25"/>
      <c r="F154" s="25"/>
      <c r="G154" s="25"/>
      <c r="H154" s="33">
        <f>'Fuel Costs'!F109+$D103+$C154</f>
        <v>77.884907720034946</v>
      </c>
      <c r="I154" s="33">
        <f>'Fuel Costs'!G109+$D103+$C154</f>
        <v>85.163825406620006</v>
      </c>
      <c r="J154" s="33">
        <f>'Fuel Costs'!H109+$D103+$C154</f>
        <v>92.442743093205095</v>
      </c>
      <c r="K154" s="33">
        <f>'Fuel Costs'!I109+$D103+$C154</f>
        <v>100.03560402859441</v>
      </c>
      <c r="L154" s="33">
        <f>'Fuel Costs'!J109+$D103+$C154</f>
        <v>100.03560402859441</v>
      </c>
      <c r="M154" s="33">
        <f>'Fuel Costs'!K109+$D103+$C154</f>
        <v>100.44314419272821</v>
      </c>
      <c r="N154" s="33">
        <f>'Fuel Costs'!L109+$D103+$C154</f>
        <v>100.85068435686202</v>
      </c>
      <c r="O154" s="33">
        <f>'Fuel Costs'!M109+$D103+$C154</f>
        <v>101.25822452099584</v>
      </c>
      <c r="P154" s="33">
        <f>'Fuel Costs'!N109+$D103+$C154</f>
        <v>101.66576468512963</v>
      </c>
      <c r="Q154" s="33">
        <f>'Fuel Costs'!O109+$D103+$C154</f>
        <v>102.07330484926345</v>
      </c>
      <c r="R154" s="33">
        <f>'Fuel Costs'!P109+$D103+$C154</f>
        <v>102.48084501339724</v>
      </c>
      <c r="S154" s="33">
        <f>'Fuel Costs'!Q109+$D103+$C154</f>
        <v>102.88838517753106</v>
      </c>
      <c r="T154" s="33">
        <f>'Fuel Costs'!R109+$D103+$C154</f>
        <v>103.29592534166487</v>
      </c>
      <c r="U154" s="33">
        <f>'Fuel Costs'!S109+$D103+$C154</f>
        <v>103.70346550579868</v>
      </c>
      <c r="V154" s="33">
        <f>'Fuel Costs'!T109+$D103+$C154</f>
        <v>104.11100566993248</v>
      </c>
      <c r="W154" s="33">
        <f>'Fuel Costs'!U109+$D103+$C154</f>
        <v>104.51854583406629</v>
      </c>
      <c r="X154" s="33">
        <f>'Fuel Costs'!V109+$D103+$C154</f>
        <v>104.92608599820009</v>
      </c>
      <c r="Y154" s="33">
        <f>'Fuel Costs'!W109+$D103+$C154</f>
        <v>105.33362616233391</v>
      </c>
      <c r="Z154" s="33">
        <f>'Fuel Costs'!X109+$D103+$C154</f>
        <v>105.74116632646772</v>
      </c>
      <c r="AA154" s="33">
        <f>'Fuel Costs'!Y109+$D103+$C154</f>
        <v>106.14870649060153</v>
      </c>
      <c r="AB154" s="33">
        <f>'Fuel Costs'!Z109+$D103+$C154</f>
        <v>106.55624665473535</v>
      </c>
      <c r="AC154" s="33">
        <f>'Fuel Costs'!AA109+$D103+$C154</f>
        <v>106.96378681886915</v>
      </c>
      <c r="AD154" s="33">
        <f>'Fuel Costs'!AB109+$D103+$C154</f>
        <v>107.37132698300294</v>
      </c>
      <c r="AE154" s="33">
        <f>'Fuel Costs'!AC109+$D103+$C154</f>
        <v>107.77886714713675</v>
      </c>
      <c r="AF154" s="33">
        <f>'Fuel Costs'!AD109+$D103+$C154</f>
        <v>108.18640731127057</v>
      </c>
      <c r="AG154" s="33">
        <f>'Fuel Costs'!AE109+$D103+$C154</f>
        <v>108.59394747540438</v>
      </c>
    </row>
    <row r="155" spans="2:33">
      <c r="B155" t="str">
        <f t="shared" si="104"/>
        <v xml:space="preserve">Wind 30% </v>
      </c>
      <c r="C155" s="11">
        <v>9.0000000000000011E-15</v>
      </c>
      <c r="D155" s="11"/>
      <c r="E155" s="11"/>
      <c r="F155" s="11"/>
      <c r="G155" s="11"/>
      <c r="H155" s="33">
        <f>'Fuel Costs'!F110+$D104+$C155</f>
        <v>9.0000000000000011E-15</v>
      </c>
      <c r="I155" s="33">
        <f>'Fuel Costs'!G110+$D104+$C155</f>
        <v>9.0000000000000011E-15</v>
      </c>
      <c r="J155" s="33">
        <f>'Fuel Costs'!H110+$D104+$C155</f>
        <v>9.0000000000000011E-15</v>
      </c>
      <c r="K155" s="33">
        <f>'Fuel Costs'!I110+$D104+$C155</f>
        <v>9.0000000000000011E-15</v>
      </c>
      <c r="L155" s="33">
        <f>'Fuel Costs'!J110+$D104+$C155</f>
        <v>9.0000000000000011E-15</v>
      </c>
      <c r="M155" s="33">
        <f>'Fuel Costs'!K110+$D104+$C155</f>
        <v>9.0000000000000011E-15</v>
      </c>
      <c r="N155" s="33">
        <f>'Fuel Costs'!L110+$D104+$C155</f>
        <v>9.0000000000000011E-15</v>
      </c>
      <c r="O155" s="33">
        <f>'Fuel Costs'!M110+$D104+$C155</f>
        <v>9.0000000000000011E-15</v>
      </c>
      <c r="P155" s="33">
        <f>'Fuel Costs'!N110+$D104+$C155</f>
        <v>9.0000000000000011E-15</v>
      </c>
      <c r="Q155" s="33">
        <f>'Fuel Costs'!O110+$D104+$C155</f>
        <v>9.0000000000000011E-15</v>
      </c>
      <c r="R155" s="33">
        <f>'Fuel Costs'!P110+$D104+$C155</f>
        <v>9.0000000000000011E-15</v>
      </c>
      <c r="S155" s="33">
        <f>'Fuel Costs'!Q110+$D104+$C155</f>
        <v>9.0000000000000011E-15</v>
      </c>
      <c r="T155" s="33">
        <f>'Fuel Costs'!R110+$D104+$C155</f>
        <v>9.0000000000000011E-15</v>
      </c>
      <c r="U155" s="33">
        <f>'Fuel Costs'!S110+$D104+$C155</f>
        <v>9.0000000000000011E-15</v>
      </c>
      <c r="V155" s="33">
        <f>'Fuel Costs'!T110+$D104+$C155</f>
        <v>9.0000000000000011E-15</v>
      </c>
      <c r="W155" s="33">
        <f>'Fuel Costs'!U110+$D104+$C155</f>
        <v>9.0000000000000011E-15</v>
      </c>
      <c r="X155" s="33">
        <f>'Fuel Costs'!V110+$D104+$C155</f>
        <v>9.0000000000000011E-15</v>
      </c>
      <c r="Y155" s="33">
        <f>'Fuel Costs'!W110+$D104+$C155</f>
        <v>9.0000000000000011E-15</v>
      </c>
      <c r="Z155" s="33">
        <f>'Fuel Costs'!X110+$D104+$C155</f>
        <v>9.0000000000000011E-15</v>
      </c>
      <c r="AA155" s="33">
        <f>'Fuel Costs'!Y110+$D104+$C155</f>
        <v>9.0000000000000011E-15</v>
      </c>
      <c r="AB155" s="33">
        <f>'Fuel Costs'!Z110+$D104+$C155</f>
        <v>9.0000000000000011E-15</v>
      </c>
      <c r="AC155" s="33">
        <f>'Fuel Costs'!AA110+$D104+$C155</f>
        <v>9.0000000000000011E-15</v>
      </c>
      <c r="AD155" s="33">
        <f>'Fuel Costs'!AB110+$D104+$C155</f>
        <v>9.0000000000000011E-15</v>
      </c>
      <c r="AE155" s="33">
        <f>'Fuel Costs'!AC110+$D104+$C155</f>
        <v>9.0000000000000011E-15</v>
      </c>
      <c r="AF155" s="33">
        <f>'Fuel Costs'!AD110+$D104+$C155</f>
        <v>9.0000000000000011E-15</v>
      </c>
      <c r="AG155" s="33">
        <f>'Fuel Costs'!AE110+$D104+$C155</f>
        <v>9.0000000000000011E-15</v>
      </c>
    </row>
    <row r="156" spans="2:33">
      <c r="B156" t="str">
        <f t="shared" si="104"/>
        <v>Wind 25%</v>
      </c>
      <c r="C156" s="25">
        <v>1.0000000000000002E-14</v>
      </c>
      <c r="D156" s="25"/>
      <c r="E156" s="25"/>
      <c r="F156" s="25"/>
      <c r="G156" s="25"/>
      <c r="H156" s="33">
        <f>'Fuel Costs'!F111+$D105+$C156</f>
        <v>1.0000000000000002E-14</v>
      </c>
      <c r="I156" s="33">
        <f>'Fuel Costs'!G111+$D105+$C156</f>
        <v>1.0000000000000002E-14</v>
      </c>
      <c r="J156" s="33">
        <f>'Fuel Costs'!H111+$D105+$C156</f>
        <v>1.0000000000000002E-14</v>
      </c>
      <c r="K156" s="33">
        <f>'Fuel Costs'!I111+$D105+$C156</f>
        <v>1.0000000000000002E-14</v>
      </c>
      <c r="L156" s="33">
        <f>'Fuel Costs'!J111+$D105+$C156</f>
        <v>1.0000000000000002E-14</v>
      </c>
      <c r="M156" s="33">
        <f>'Fuel Costs'!K111+$D105+$C156</f>
        <v>1.0000000000000002E-14</v>
      </c>
      <c r="N156" s="33">
        <f>'Fuel Costs'!L111+$D105+$C156</f>
        <v>1.0000000000000002E-14</v>
      </c>
      <c r="O156" s="33">
        <f>'Fuel Costs'!M111+$D105+$C156</f>
        <v>1.0000000000000002E-14</v>
      </c>
      <c r="P156" s="33">
        <f>'Fuel Costs'!N111+$D105+$C156</f>
        <v>1.0000000000000002E-14</v>
      </c>
      <c r="Q156" s="33">
        <f>'Fuel Costs'!O111+$D105+$C156</f>
        <v>1.0000000000000002E-14</v>
      </c>
      <c r="R156" s="33">
        <f>'Fuel Costs'!P111+$D105+$C156</f>
        <v>1.0000000000000002E-14</v>
      </c>
      <c r="S156" s="33">
        <f>'Fuel Costs'!Q111+$D105+$C156</f>
        <v>1.0000000000000002E-14</v>
      </c>
      <c r="T156" s="33">
        <f>'Fuel Costs'!R111+$D105+$C156</f>
        <v>1.0000000000000002E-14</v>
      </c>
      <c r="U156" s="33">
        <f>'Fuel Costs'!S111+$D105+$C156</f>
        <v>1.0000000000000002E-14</v>
      </c>
      <c r="V156" s="33">
        <f>'Fuel Costs'!T111+$D105+$C156</f>
        <v>1.0000000000000002E-14</v>
      </c>
      <c r="W156" s="33">
        <f>'Fuel Costs'!U111+$D105+$C156</f>
        <v>1.0000000000000002E-14</v>
      </c>
      <c r="X156" s="33">
        <f>'Fuel Costs'!V111+$D105+$C156</f>
        <v>1.0000000000000002E-14</v>
      </c>
      <c r="Y156" s="33">
        <f>'Fuel Costs'!W111+$D105+$C156</f>
        <v>1.0000000000000002E-14</v>
      </c>
      <c r="Z156" s="33">
        <f>'Fuel Costs'!X111+$D105+$C156</f>
        <v>1.0000000000000002E-14</v>
      </c>
      <c r="AA156" s="33">
        <f>'Fuel Costs'!Y111+$D105+$C156</f>
        <v>1.0000000000000002E-14</v>
      </c>
      <c r="AB156" s="33">
        <f>'Fuel Costs'!Z111+$D105+$C156</f>
        <v>1.0000000000000002E-14</v>
      </c>
      <c r="AC156" s="33">
        <f>'Fuel Costs'!AA111+$D105+$C156</f>
        <v>1.0000000000000002E-14</v>
      </c>
      <c r="AD156" s="33">
        <f>'Fuel Costs'!AB111+$D105+$C156</f>
        <v>1.0000000000000002E-14</v>
      </c>
      <c r="AE156" s="33">
        <f>'Fuel Costs'!AC111+$D105+$C156</f>
        <v>1.0000000000000002E-14</v>
      </c>
      <c r="AF156" s="33">
        <f>'Fuel Costs'!AD111+$D105+$C156</f>
        <v>1.0000000000000002E-14</v>
      </c>
      <c r="AG156" s="33">
        <f>'Fuel Costs'!AE111+$D105+$C156</f>
        <v>1.0000000000000002E-14</v>
      </c>
    </row>
    <row r="157" spans="2:33">
      <c r="B157" t="str">
        <f t="shared" si="104"/>
        <v>solar thermal central reciever</v>
      </c>
      <c r="C157" s="11">
        <v>1.1E-14</v>
      </c>
      <c r="D157" s="11"/>
      <c r="E157" s="11"/>
      <c r="F157" s="11"/>
      <c r="G157" s="11"/>
      <c r="H157" s="33">
        <f>'Fuel Costs'!F112+$D106+$C157</f>
        <v>1.1E-14</v>
      </c>
      <c r="I157" s="33">
        <f>'Fuel Costs'!G112+$D106+$C157</f>
        <v>1.1E-14</v>
      </c>
      <c r="J157" s="33">
        <f>'Fuel Costs'!H112+$D106+$C157</f>
        <v>1.1E-14</v>
      </c>
      <c r="K157" s="33">
        <f>'Fuel Costs'!I112+$D106+$C157</f>
        <v>1.1E-14</v>
      </c>
      <c r="L157" s="33">
        <f>'Fuel Costs'!J112+$D106+$C157</f>
        <v>1.1E-14</v>
      </c>
      <c r="M157" s="33">
        <f>'Fuel Costs'!K112+$D106+$C157</f>
        <v>1.1E-14</v>
      </c>
      <c r="N157" s="33">
        <f>'Fuel Costs'!L112+$D106+$C157</f>
        <v>1.1E-14</v>
      </c>
      <c r="O157" s="33">
        <f>'Fuel Costs'!M112+$D106+$C157</f>
        <v>1.1E-14</v>
      </c>
      <c r="P157" s="33">
        <f>'Fuel Costs'!N112+$D106+$C157</f>
        <v>1.1E-14</v>
      </c>
      <c r="Q157" s="33">
        <f>'Fuel Costs'!O112+$D106+$C157</f>
        <v>1.1E-14</v>
      </c>
      <c r="R157" s="33">
        <f>'Fuel Costs'!P112+$D106+$C157</f>
        <v>1.1E-14</v>
      </c>
      <c r="S157" s="33">
        <f>'Fuel Costs'!Q112+$D106+$C157</f>
        <v>1.1E-14</v>
      </c>
      <c r="T157" s="33">
        <f>'Fuel Costs'!R112+$D106+$C157</f>
        <v>1.1E-14</v>
      </c>
      <c r="U157" s="33">
        <f>'Fuel Costs'!S112+$D106+$C157</f>
        <v>1.1E-14</v>
      </c>
      <c r="V157" s="33">
        <f>'Fuel Costs'!T112+$D106+$C157</f>
        <v>1.1E-14</v>
      </c>
      <c r="W157" s="33">
        <f>'Fuel Costs'!U112+$D106+$C157</f>
        <v>1.1E-14</v>
      </c>
      <c r="X157" s="33">
        <f>'Fuel Costs'!V112+$D106+$C157</f>
        <v>1.1E-14</v>
      </c>
      <c r="Y157" s="33">
        <f>'Fuel Costs'!W112+$D106+$C157</f>
        <v>1.1E-14</v>
      </c>
      <c r="Z157" s="33">
        <f>'Fuel Costs'!X112+$D106+$C157</f>
        <v>1.1E-14</v>
      </c>
      <c r="AA157" s="33">
        <f>'Fuel Costs'!Y112+$D106+$C157</f>
        <v>1.1E-14</v>
      </c>
      <c r="AB157" s="33">
        <f>'Fuel Costs'!Z112+$D106+$C157</f>
        <v>1.1E-14</v>
      </c>
      <c r="AC157" s="33">
        <f>'Fuel Costs'!AA112+$D106+$C157</f>
        <v>1.1E-14</v>
      </c>
      <c r="AD157" s="33">
        <f>'Fuel Costs'!AB112+$D106+$C157</f>
        <v>1.1E-14</v>
      </c>
      <c r="AE157" s="33">
        <f>'Fuel Costs'!AC112+$D106+$C157</f>
        <v>1.1E-14</v>
      </c>
      <c r="AF157" s="33">
        <f>'Fuel Costs'!AD112+$D106+$C157</f>
        <v>1.1E-14</v>
      </c>
      <c r="AG157" s="33">
        <f>'Fuel Costs'!AE112+$D106+$C157</f>
        <v>1.1E-14</v>
      </c>
    </row>
    <row r="158" spans="2:33">
      <c r="B158" t="str">
        <f t="shared" si="104"/>
        <v>solar thermal trough</v>
      </c>
      <c r="C158" s="25">
        <v>1.2000000000000001E-14</v>
      </c>
      <c r="D158" s="25"/>
      <c r="E158" s="25"/>
      <c r="F158" s="25"/>
      <c r="G158" s="25"/>
      <c r="H158" s="33">
        <f>'Fuel Costs'!F113+$D107+$C158</f>
        <v>1.2000000000000001E-14</v>
      </c>
      <c r="I158" s="33">
        <f>'Fuel Costs'!G113+$D107+$C158</f>
        <v>1.2000000000000001E-14</v>
      </c>
      <c r="J158" s="33">
        <f>'Fuel Costs'!H113+$D107+$C158</f>
        <v>1.2000000000000001E-14</v>
      </c>
      <c r="K158" s="33">
        <f>'Fuel Costs'!I113+$D107+$C158</f>
        <v>1.2000000000000001E-14</v>
      </c>
      <c r="L158" s="33">
        <f>'Fuel Costs'!J113+$D107+$C158</f>
        <v>1.2000000000000001E-14</v>
      </c>
      <c r="M158" s="33">
        <f>'Fuel Costs'!K113+$D107+$C158</f>
        <v>1.2000000000000001E-14</v>
      </c>
      <c r="N158" s="33">
        <f>'Fuel Costs'!L113+$D107+$C158</f>
        <v>1.2000000000000001E-14</v>
      </c>
      <c r="O158" s="33">
        <f>'Fuel Costs'!M113+$D107+$C158</f>
        <v>1.2000000000000001E-14</v>
      </c>
      <c r="P158" s="33">
        <f>'Fuel Costs'!N113+$D107+$C158</f>
        <v>1.2000000000000001E-14</v>
      </c>
      <c r="Q158" s="33">
        <f>'Fuel Costs'!O113+$D107+$C158</f>
        <v>1.2000000000000001E-14</v>
      </c>
      <c r="R158" s="33">
        <f>'Fuel Costs'!P113+$D107+$C158</f>
        <v>1.2000000000000001E-14</v>
      </c>
      <c r="S158" s="33">
        <f>'Fuel Costs'!Q113+$D107+$C158</f>
        <v>1.2000000000000001E-14</v>
      </c>
      <c r="T158" s="33">
        <f>'Fuel Costs'!R113+$D107+$C158</f>
        <v>1.2000000000000001E-14</v>
      </c>
      <c r="U158" s="33">
        <f>'Fuel Costs'!S113+$D107+$C158</f>
        <v>1.2000000000000001E-14</v>
      </c>
      <c r="V158" s="33">
        <f>'Fuel Costs'!T113+$D107+$C158</f>
        <v>1.2000000000000001E-14</v>
      </c>
      <c r="W158" s="33">
        <f>'Fuel Costs'!U113+$D107+$C158</f>
        <v>1.2000000000000001E-14</v>
      </c>
      <c r="X158" s="33">
        <f>'Fuel Costs'!V113+$D107+$C158</f>
        <v>1.2000000000000001E-14</v>
      </c>
      <c r="Y158" s="33">
        <f>'Fuel Costs'!W113+$D107+$C158</f>
        <v>1.2000000000000001E-14</v>
      </c>
      <c r="Z158" s="33">
        <f>'Fuel Costs'!X113+$D107+$C158</f>
        <v>1.2000000000000001E-14</v>
      </c>
      <c r="AA158" s="33">
        <f>'Fuel Costs'!Y113+$D107+$C158</f>
        <v>1.2000000000000001E-14</v>
      </c>
      <c r="AB158" s="33">
        <f>'Fuel Costs'!Z113+$D107+$C158</f>
        <v>1.2000000000000001E-14</v>
      </c>
      <c r="AC158" s="33">
        <f>'Fuel Costs'!AA113+$D107+$C158</f>
        <v>1.2000000000000001E-14</v>
      </c>
      <c r="AD158" s="33">
        <f>'Fuel Costs'!AB113+$D107+$C158</f>
        <v>1.2000000000000001E-14</v>
      </c>
      <c r="AE158" s="33">
        <f>'Fuel Costs'!AC113+$D107+$C158</f>
        <v>1.2000000000000001E-14</v>
      </c>
      <c r="AF158" s="33">
        <f>'Fuel Costs'!AD113+$D107+$C158</f>
        <v>1.2000000000000001E-14</v>
      </c>
      <c r="AG158" s="33">
        <f>'Fuel Costs'!AE113+$D107+$C158</f>
        <v>1.2000000000000001E-14</v>
      </c>
    </row>
    <row r="159" spans="2:33">
      <c r="B159" t="str">
        <f t="shared" si="104"/>
        <v>solar PV</v>
      </c>
      <c r="C159" s="11">
        <v>1.3000000000000001E-14</v>
      </c>
      <c r="D159" s="11"/>
      <c r="E159" s="11"/>
      <c r="F159" s="11"/>
      <c r="G159" s="11"/>
      <c r="H159" s="33">
        <f>'Fuel Costs'!F114+$D108+$C159</f>
        <v>1.3000000000000001E-14</v>
      </c>
      <c r="I159" s="33">
        <f>'Fuel Costs'!G114+$D108+$C159</f>
        <v>1.3000000000000001E-14</v>
      </c>
      <c r="J159" s="33">
        <f>'Fuel Costs'!H114+$D108+$C159</f>
        <v>1.3000000000000001E-14</v>
      </c>
      <c r="K159" s="33">
        <f>'Fuel Costs'!I114+$D108+$C159</f>
        <v>1.3000000000000001E-14</v>
      </c>
      <c r="L159" s="33">
        <f>'Fuel Costs'!J114+$D108+$C159</f>
        <v>1.3000000000000001E-14</v>
      </c>
      <c r="M159" s="33">
        <f>'Fuel Costs'!K114+$D108+$C159</f>
        <v>1.3000000000000001E-14</v>
      </c>
      <c r="N159" s="33">
        <f>'Fuel Costs'!L114+$D108+$C159</f>
        <v>1.3000000000000001E-14</v>
      </c>
      <c r="O159" s="33">
        <f>'Fuel Costs'!M114+$D108+$C159</f>
        <v>1.3000000000000001E-14</v>
      </c>
      <c r="P159" s="33">
        <f>'Fuel Costs'!N114+$D108+$C159</f>
        <v>1.3000000000000001E-14</v>
      </c>
      <c r="Q159" s="33">
        <f>'Fuel Costs'!O114+$D108+$C159</f>
        <v>1.3000000000000001E-14</v>
      </c>
      <c r="R159" s="33">
        <f>'Fuel Costs'!P114+$D108+$C159</f>
        <v>1.3000000000000001E-14</v>
      </c>
      <c r="S159" s="33">
        <f>'Fuel Costs'!Q114+$D108+$C159</f>
        <v>1.3000000000000001E-14</v>
      </c>
      <c r="T159" s="33">
        <f>'Fuel Costs'!R114+$D108+$C159</f>
        <v>1.3000000000000001E-14</v>
      </c>
      <c r="U159" s="33">
        <f>'Fuel Costs'!S114+$D108+$C159</f>
        <v>1.3000000000000001E-14</v>
      </c>
      <c r="V159" s="33">
        <f>'Fuel Costs'!T114+$D108+$C159</f>
        <v>1.3000000000000001E-14</v>
      </c>
      <c r="W159" s="33">
        <f>'Fuel Costs'!U114+$D108+$C159</f>
        <v>1.3000000000000001E-14</v>
      </c>
      <c r="X159" s="33">
        <f>'Fuel Costs'!V114+$D108+$C159</f>
        <v>1.3000000000000001E-14</v>
      </c>
      <c r="Y159" s="33">
        <f>'Fuel Costs'!W114+$D108+$C159</f>
        <v>1.3000000000000001E-14</v>
      </c>
      <c r="Z159" s="33">
        <f>'Fuel Costs'!X114+$D108+$C159</f>
        <v>1.3000000000000001E-14</v>
      </c>
      <c r="AA159" s="33">
        <f>'Fuel Costs'!Y114+$D108+$C159</f>
        <v>1.3000000000000001E-14</v>
      </c>
      <c r="AB159" s="33">
        <f>'Fuel Costs'!Z114+$D108+$C159</f>
        <v>1.3000000000000001E-14</v>
      </c>
      <c r="AC159" s="33">
        <f>'Fuel Costs'!AA114+$D108+$C159</f>
        <v>1.3000000000000001E-14</v>
      </c>
      <c r="AD159" s="33">
        <f>'Fuel Costs'!AB114+$D108+$C159</f>
        <v>1.3000000000000001E-14</v>
      </c>
      <c r="AE159" s="33">
        <f>'Fuel Costs'!AC114+$D108+$C159</f>
        <v>1.3000000000000001E-14</v>
      </c>
      <c r="AF159" s="33">
        <f>'Fuel Costs'!AD114+$D108+$C159</f>
        <v>1.3000000000000001E-14</v>
      </c>
      <c r="AG159" s="33">
        <f>'Fuel Costs'!AE114+$D108+$C159</f>
        <v>1.3000000000000001E-14</v>
      </c>
    </row>
    <row r="160" spans="2:33">
      <c r="B160" t="str">
        <f t="shared" si="104"/>
        <v>combined cycle gas</v>
      </c>
      <c r="C160" s="25">
        <v>1.4E-14</v>
      </c>
      <c r="D160" s="25"/>
      <c r="E160" s="25"/>
      <c r="F160" s="25"/>
      <c r="G160" s="25"/>
      <c r="H160" s="33">
        <f>'Fuel Costs'!F115+$D109+$C160</f>
        <v>258.20907154176211</v>
      </c>
      <c r="I160" s="33">
        <f>'Fuel Costs'!G115+$D109+$C160</f>
        <v>293.25516448798976</v>
      </c>
      <c r="J160" s="33">
        <f>'Fuel Costs'!H115+$D109+$C160</f>
        <v>310.77821096110358</v>
      </c>
      <c r="K160" s="33">
        <f>'Fuel Costs'!I115+$D109+$C160</f>
        <v>459.72410598257113</v>
      </c>
      <c r="L160" s="33">
        <f>'Fuel Costs'!J115+$D109+$C160</f>
        <v>323.92049581593892</v>
      </c>
      <c r="M160" s="33">
        <f>'Fuel Costs'!K115+$D109+$C160</f>
        <v>341.44354228905286</v>
      </c>
      <c r="N160" s="33">
        <f>'Fuel Costs'!L115+$D109+$C160</f>
        <v>358.96658876216657</v>
      </c>
      <c r="O160" s="33">
        <f>'Fuel Costs'!M115+$D109+$C160</f>
        <v>376.4896352352805</v>
      </c>
      <c r="P160" s="33">
        <f>'Fuel Costs'!N115+$D109+$C160</f>
        <v>394.01268170839433</v>
      </c>
      <c r="Q160" s="33">
        <f>'Fuel Costs'!O115+$D109+$C160</f>
        <v>411.53572818150815</v>
      </c>
      <c r="R160" s="33">
        <f>'Fuel Costs'!P115+$D109+$C160</f>
        <v>429.05877465462197</v>
      </c>
      <c r="S160" s="33">
        <f>'Fuel Costs'!Q115+$D109+$C160</f>
        <v>446.58182112773591</v>
      </c>
      <c r="T160" s="33">
        <f>'Fuel Costs'!R115+$D109+$C160</f>
        <v>464.10486760084962</v>
      </c>
      <c r="U160" s="33">
        <f>'Fuel Costs'!S115+$D109+$C160</f>
        <v>481.62791407396344</v>
      </c>
      <c r="V160" s="33">
        <f>'Fuel Costs'!T115+$D109+$C160</f>
        <v>499.15096054707726</v>
      </c>
      <c r="W160" s="33">
        <f>'Fuel Costs'!U115+$D109+$C160</f>
        <v>516.67400702019108</v>
      </c>
      <c r="X160" s="33">
        <f>'Fuel Costs'!V115+$D109+$C160</f>
        <v>534.19705349330502</v>
      </c>
      <c r="Y160" s="33">
        <f>'Fuel Costs'!W115+$D109+$C160</f>
        <v>551.72009996641884</v>
      </c>
      <c r="Z160" s="33">
        <f>'Fuel Costs'!X115+$D109+$C160</f>
        <v>569.24314643953267</v>
      </c>
      <c r="AA160" s="33">
        <f>'Fuel Costs'!Y115+$D109+$C160</f>
        <v>586.76619291264649</v>
      </c>
      <c r="AB160" s="33">
        <f>'Fuel Costs'!Z115+$D109+$C160</f>
        <v>604.2892393857602</v>
      </c>
      <c r="AC160" s="33">
        <f>'Fuel Costs'!AA115+$D109+$C160</f>
        <v>621.81228585887402</v>
      </c>
      <c r="AD160" s="33">
        <f>'Fuel Costs'!AB115+$D109+$C160</f>
        <v>639.33533233198796</v>
      </c>
      <c r="AE160" s="33">
        <f>'Fuel Costs'!AC115+$D109+$C160</f>
        <v>656.85837880510178</v>
      </c>
      <c r="AF160" s="33">
        <f>'Fuel Costs'!AD115+$D109+$C160</f>
        <v>674.38142527821572</v>
      </c>
      <c r="AG160" s="33">
        <f>'Fuel Costs'!AE115+$D109+$C160</f>
        <v>691.90447175132954</v>
      </c>
    </row>
    <row r="161" spans="2:33">
      <c r="B161" t="str">
        <f t="shared" si="104"/>
        <v>PBMR</v>
      </c>
      <c r="C161" s="11">
        <v>1.5000000000000002E-14</v>
      </c>
      <c r="D161" s="11"/>
      <c r="E161" s="11"/>
      <c r="F161" s="11"/>
      <c r="G161" s="11"/>
      <c r="H161" s="33">
        <f>'Fuel Costs'!F116+$D110+$C161</f>
        <v>36.874654963656582</v>
      </c>
      <c r="I161" s="33">
        <f>'Fuel Costs'!G116+$D110+$C161</f>
        <v>38.674510975175664</v>
      </c>
      <c r="J161" s="33">
        <f>'Fuel Costs'!H116+$D110+$C161</f>
        <v>40.47436698669474</v>
      </c>
      <c r="K161" s="33">
        <f>'Fuel Costs'!I116+$D110+$C161</f>
        <v>42.274222998213816</v>
      </c>
      <c r="L161" s="33">
        <f>'Fuel Costs'!J116+$D110+$C161</f>
        <v>44.989590461415268</v>
      </c>
      <c r="M161" s="33">
        <f>'Fuel Costs'!K116+$D110+$C161</f>
        <v>45.084160819249632</v>
      </c>
      <c r="N161" s="33">
        <f>'Fuel Costs'!L116+$D110+$C161</f>
        <v>45.179204028873173</v>
      </c>
      <c r="O161" s="33">
        <f>'Fuel Costs'!M116+$D110+$C161</f>
        <v>45.274722454544822</v>
      </c>
      <c r="P161" s="33">
        <f>'Fuel Costs'!N116+$D110+$C161</f>
        <v>45.370718472344834</v>
      </c>
      <c r="Q161" s="33">
        <f>'Fuel Costs'!O116+$D110+$C161</f>
        <v>45.467194470233849</v>
      </c>
      <c r="R161" s="33">
        <f>'Fuel Costs'!P116+$D110+$C161</f>
        <v>45.5641528481123</v>
      </c>
      <c r="S161" s="33">
        <f>'Fuel Costs'!Q116+$D110+$C161</f>
        <v>45.66159601788015</v>
      </c>
      <c r="T161" s="33">
        <f>'Fuel Costs'!R116+$D110+$C161</f>
        <v>45.759526403496835</v>
      </c>
      <c r="U161" s="33">
        <f>'Fuel Costs'!S116+$D110+$C161</f>
        <v>45.857946441041605</v>
      </c>
      <c r="V161" s="33">
        <f>'Fuel Costs'!T116+$D110+$C161</f>
        <v>45.956858578774103</v>
      </c>
      <c r="W161" s="33">
        <f>'Fuel Costs'!U116+$D110+$C161</f>
        <v>46.056265277195266</v>
      </c>
      <c r="X161" s="33">
        <f>'Fuel Costs'!V116+$D110+$C161</f>
        <v>46.156169009108524</v>
      </c>
      <c r="Y161" s="33">
        <f>'Fuel Costs'!W116+$D110+$C161</f>
        <v>46.256572259681356</v>
      </c>
      <c r="Z161" s="33">
        <f>'Fuel Costs'!X116+$D110+$C161</f>
        <v>46.357477526507047</v>
      </c>
      <c r="AA161" s="33">
        <f>'Fuel Costs'!Y116+$D110+$C161</f>
        <v>46.458887319666871</v>
      </c>
      <c r="AB161" s="33">
        <f>'Fuel Costs'!Z116+$D110+$C161</f>
        <v>46.56080416179249</v>
      </c>
      <c r="AC161" s="33">
        <f>'Fuel Costs'!AA116+$D110+$C161</f>
        <v>46.663230588128741</v>
      </c>
      <c r="AD161" s="33">
        <f>'Fuel Costs'!AB116+$D110+$C161</f>
        <v>46.766169146596667</v>
      </c>
      <c r="AE161" s="33">
        <f>'Fuel Costs'!AC116+$D110+$C161</f>
        <v>46.869622397856944</v>
      </c>
      <c r="AF161" s="33">
        <f>'Fuel Costs'!AD116+$D110+$C161</f>
        <v>46.973592915373516</v>
      </c>
      <c r="AG161" s="33">
        <f>'Fuel Costs'!AE116+$D110+$C161</f>
        <v>47.078083285477675</v>
      </c>
    </row>
    <row r="162" spans="2:33">
      <c r="B162" t="str">
        <f t="shared" si="104"/>
        <v>IGCC</v>
      </c>
      <c r="C162" s="25">
        <v>1.6000000000000001E-14</v>
      </c>
      <c r="D162" s="25"/>
      <c r="E162" s="25"/>
      <c r="F162" s="25"/>
      <c r="G162" s="25"/>
      <c r="H162" s="33">
        <f>'Fuel Costs'!F117+$D111+$C162</f>
        <v>71.201573252451553</v>
      </c>
      <c r="I162" s="33">
        <f>'Fuel Costs'!G117+$D111+$C162</f>
        <v>78.136324722333953</v>
      </c>
      <c r="J162" s="33">
        <f>'Fuel Costs'!H117+$D111+$C162</f>
        <v>85.071076192216367</v>
      </c>
      <c r="K162" s="33">
        <f>'Fuel Costs'!I117+$D111+$C162</f>
        <v>92.304926855117159</v>
      </c>
      <c r="L162" s="33">
        <f>'Fuel Costs'!J117+$D111+$C162</f>
        <v>92.304926855117159</v>
      </c>
      <c r="M162" s="33">
        <f>'Fuel Costs'!K117+$D111+$C162</f>
        <v>92.693197457142475</v>
      </c>
      <c r="N162" s="33">
        <f>'Fuel Costs'!L117+$D111+$C162</f>
        <v>93.081468059167776</v>
      </c>
      <c r="O162" s="33">
        <f>'Fuel Costs'!M117+$D111+$C162</f>
        <v>93.469738661193091</v>
      </c>
      <c r="P162" s="33">
        <f>'Fuel Costs'!N117+$D111+$C162</f>
        <v>93.858009263218392</v>
      </c>
      <c r="Q162" s="33">
        <f>'Fuel Costs'!O117+$D111+$C162</f>
        <v>94.246279865243693</v>
      </c>
      <c r="R162" s="33">
        <f>'Fuel Costs'!P117+$D111+$C162</f>
        <v>94.634550467269008</v>
      </c>
      <c r="S162" s="33">
        <f>'Fuel Costs'!Q117+$D111+$C162</f>
        <v>95.022821069294309</v>
      </c>
      <c r="T162" s="33">
        <f>'Fuel Costs'!R117+$D111+$C162</f>
        <v>95.411091671319625</v>
      </c>
      <c r="U162" s="33">
        <f>'Fuel Costs'!S117+$D111+$C162</f>
        <v>95.799362273344926</v>
      </c>
      <c r="V162" s="33">
        <f>'Fuel Costs'!T117+$D111+$C162</f>
        <v>96.187632875370241</v>
      </c>
      <c r="W162" s="33">
        <f>'Fuel Costs'!U117+$D111+$C162</f>
        <v>96.575903477395542</v>
      </c>
      <c r="X162" s="33">
        <f>'Fuel Costs'!V117+$D111+$C162</f>
        <v>96.964174079420843</v>
      </c>
      <c r="Y162" s="33">
        <f>'Fuel Costs'!W117+$D111+$C162</f>
        <v>97.352444681446158</v>
      </c>
      <c r="Z162" s="33">
        <f>'Fuel Costs'!X117+$D111+$C162</f>
        <v>97.740715283471459</v>
      </c>
      <c r="AA162" s="33">
        <f>'Fuel Costs'!Y117+$D111+$C162</f>
        <v>98.128985885496775</v>
      </c>
      <c r="AB162" s="33">
        <f>'Fuel Costs'!Z117+$D111+$C162</f>
        <v>98.51725648752209</v>
      </c>
      <c r="AC162" s="33">
        <f>'Fuel Costs'!AA117+$D111+$C162</f>
        <v>98.905527089547391</v>
      </c>
      <c r="AD162" s="33">
        <f>'Fuel Costs'!AB117+$D111+$C162</f>
        <v>99.293797691572692</v>
      </c>
      <c r="AE162" s="33">
        <f>'Fuel Costs'!AC117+$D111+$C162</f>
        <v>99.682068293597993</v>
      </c>
      <c r="AF162" s="33">
        <f>'Fuel Costs'!AD117+$D111+$C162</f>
        <v>100.07033889562331</v>
      </c>
      <c r="AG162" s="33">
        <f>'Fuel Costs'!AE117+$D111+$C162</f>
        <v>100.45860949764862</v>
      </c>
    </row>
    <row r="163" spans="2:33">
      <c r="B163" t="str">
        <f t="shared" si="104"/>
        <v>-</v>
      </c>
      <c r="C163" s="11">
        <v>1.7E-14</v>
      </c>
      <c r="D163" s="11"/>
      <c r="E163" s="11"/>
      <c r="F163" s="11"/>
      <c r="G163" s="11"/>
      <c r="H163" s="33">
        <f>'Fuel Costs'!F118+$D112+$C163</f>
        <v>1.7E-14</v>
      </c>
      <c r="I163" s="33">
        <f>'Fuel Costs'!G118+$D112+$C163</f>
        <v>1.7E-14</v>
      </c>
      <c r="J163" s="33">
        <f>'Fuel Costs'!H118+$D112+$C163</f>
        <v>1.7E-14</v>
      </c>
      <c r="K163" s="33">
        <f>'Fuel Costs'!I118+$D112+$C163</f>
        <v>1.7E-14</v>
      </c>
      <c r="L163" s="33">
        <f>'Fuel Costs'!J118+$D112+$C163</f>
        <v>1.7E-14</v>
      </c>
      <c r="M163" s="33">
        <f>'Fuel Costs'!K118+$D112+$C163</f>
        <v>1.7E-14</v>
      </c>
      <c r="N163" s="33">
        <f>'Fuel Costs'!L118+$D112+$C163</f>
        <v>1.7E-14</v>
      </c>
      <c r="O163" s="33">
        <f>'Fuel Costs'!M118+$D112+$C163</f>
        <v>1.7E-14</v>
      </c>
      <c r="P163" s="33">
        <f>'Fuel Costs'!N118+$D112+$C163</f>
        <v>1.7E-14</v>
      </c>
      <c r="Q163" s="33">
        <f>'Fuel Costs'!O118+$D112+$C163</f>
        <v>1.7E-14</v>
      </c>
      <c r="R163" s="33">
        <f>'Fuel Costs'!P118+$D112+$C163</f>
        <v>1.7E-14</v>
      </c>
      <c r="S163" s="33">
        <f>'Fuel Costs'!Q118+$D112+$C163</f>
        <v>1.7E-14</v>
      </c>
      <c r="T163" s="33">
        <f>'Fuel Costs'!R118+$D112+$C163</f>
        <v>1.7E-14</v>
      </c>
      <c r="U163" s="33">
        <f>'Fuel Costs'!S118+$D112+$C163</f>
        <v>1.7E-14</v>
      </c>
      <c r="V163" s="33">
        <f>'Fuel Costs'!T118+$D112+$C163</f>
        <v>1.7E-14</v>
      </c>
      <c r="W163" s="33">
        <f>'Fuel Costs'!U118+$D112+$C163</f>
        <v>1.7E-14</v>
      </c>
      <c r="X163" s="33">
        <f>'Fuel Costs'!V118+$D112+$C163</f>
        <v>1.7E-14</v>
      </c>
      <c r="Y163" s="33">
        <f>'Fuel Costs'!W118+$D112+$C163</f>
        <v>1.7E-14</v>
      </c>
      <c r="Z163" s="33">
        <f>'Fuel Costs'!X118+$D112+$C163</f>
        <v>1.7E-14</v>
      </c>
      <c r="AA163" s="33">
        <f>'Fuel Costs'!Y118+$D112+$C163</f>
        <v>1.7E-14</v>
      </c>
      <c r="AB163" s="33">
        <f>'Fuel Costs'!Z118+$D112+$C163</f>
        <v>1.7E-14</v>
      </c>
      <c r="AC163" s="33">
        <f>'Fuel Costs'!AA118+$D112+$C163</f>
        <v>1.7E-14</v>
      </c>
      <c r="AD163" s="33">
        <f>'Fuel Costs'!AB118+$D112+$C163</f>
        <v>1.7E-14</v>
      </c>
      <c r="AE163" s="33">
        <f>'Fuel Costs'!AC118+$D112+$C163</f>
        <v>1.7E-14</v>
      </c>
      <c r="AF163" s="33">
        <f>'Fuel Costs'!AD118+$D112+$C163</f>
        <v>1.7E-14</v>
      </c>
      <c r="AG163" s="33">
        <f>'Fuel Costs'!AE118+$D112+$C163</f>
        <v>1.7E-14</v>
      </c>
    </row>
    <row r="164" spans="2:33">
      <c r="B164" t="str">
        <f t="shared" si="104"/>
        <v>-</v>
      </c>
      <c r="C164" s="25">
        <v>1.8000000000000002E-14</v>
      </c>
      <c r="D164" s="25"/>
      <c r="E164" s="25"/>
      <c r="F164" s="25"/>
      <c r="G164" s="25"/>
      <c r="H164" s="33">
        <f>'Fuel Costs'!F119+$D113+$C164</f>
        <v>1.8000000000000002E-14</v>
      </c>
      <c r="I164" s="33">
        <f>'Fuel Costs'!G119+$D113+$C164</f>
        <v>1.8000000000000002E-14</v>
      </c>
      <c r="J164" s="33">
        <f>'Fuel Costs'!H119+$D113+$C164</f>
        <v>1.8000000000000002E-14</v>
      </c>
      <c r="K164" s="33">
        <f>'Fuel Costs'!I119+$D113+$C164</f>
        <v>1.8000000000000002E-14</v>
      </c>
      <c r="L164" s="33">
        <f>'Fuel Costs'!J119+$D113+$C164</f>
        <v>1.8000000000000002E-14</v>
      </c>
      <c r="M164" s="33">
        <f>'Fuel Costs'!K119+$D113+$C164</f>
        <v>1.8000000000000002E-14</v>
      </c>
      <c r="N164" s="33">
        <f>'Fuel Costs'!L119+$D113+$C164</f>
        <v>1.8000000000000002E-14</v>
      </c>
      <c r="O164" s="33">
        <f>'Fuel Costs'!M119+$D113+$C164</f>
        <v>1.8000000000000002E-14</v>
      </c>
      <c r="P164" s="33">
        <f>'Fuel Costs'!N119+$D113+$C164</f>
        <v>1.8000000000000002E-14</v>
      </c>
      <c r="Q164" s="33">
        <f>'Fuel Costs'!O119+$D113+$C164</f>
        <v>1.8000000000000002E-14</v>
      </c>
      <c r="R164" s="33">
        <f>'Fuel Costs'!P119+$D113+$C164</f>
        <v>1.8000000000000002E-14</v>
      </c>
      <c r="S164" s="33">
        <f>'Fuel Costs'!Q119+$D113+$C164</f>
        <v>1.8000000000000002E-14</v>
      </c>
      <c r="T164" s="33">
        <f>'Fuel Costs'!R119+$D113+$C164</f>
        <v>1.8000000000000002E-14</v>
      </c>
      <c r="U164" s="33">
        <f>'Fuel Costs'!S119+$D113+$C164</f>
        <v>1.8000000000000002E-14</v>
      </c>
      <c r="V164" s="33">
        <f>'Fuel Costs'!T119+$D113+$C164</f>
        <v>1.8000000000000002E-14</v>
      </c>
      <c r="W164" s="33">
        <f>'Fuel Costs'!U119+$D113+$C164</f>
        <v>1.8000000000000002E-14</v>
      </c>
      <c r="X164" s="33">
        <f>'Fuel Costs'!V119+$D113+$C164</f>
        <v>1.8000000000000002E-14</v>
      </c>
      <c r="Y164" s="33">
        <f>'Fuel Costs'!W119+$D113+$C164</f>
        <v>1.8000000000000002E-14</v>
      </c>
      <c r="Z164" s="33">
        <f>'Fuel Costs'!X119+$D113+$C164</f>
        <v>1.8000000000000002E-14</v>
      </c>
      <c r="AA164" s="33">
        <f>'Fuel Costs'!Y119+$D113+$C164</f>
        <v>1.8000000000000002E-14</v>
      </c>
      <c r="AB164" s="33">
        <f>'Fuel Costs'!Z119+$D113+$C164</f>
        <v>1.8000000000000002E-14</v>
      </c>
      <c r="AC164" s="33">
        <f>'Fuel Costs'!AA119+$D113+$C164</f>
        <v>1.8000000000000002E-14</v>
      </c>
      <c r="AD164" s="33">
        <f>'Fuel Costs'!AB119+$D113+$C164</f>
        <v>1.8000000000000002E-14</v>
      </c>
      <c r="AE164" s="33">
        <f>'Fuel Costs'!AC119+$D113+$C164</f>
        <v>1.8000000000000002E-14</v>
      </c>
      <c r="AF164" s="33">
        <f>'Fuel Costs'!AD119+$D113+$C164</f>
        <v>1.8000000000000002E-14</v>
      </c>
      <c r="AG164" s="33">
        <f>'Fuel Costs'!AE119+$D113+$C164</f>
        <v>1.8000000000000002E-14</v>
      </c>
    </row>
    <row r="165" spans="2:33">
      <c r="B165" t="str">
        <f t="shared" si="104"/>
        <v>-</v>
      </c>
      <c r="C165" s="11">
        <v>1.9000000000000001E-14</v>
      </c>
      <c r="D165" s="11"/>
      <c r="E165" s="11"/>
      <c r="F165" s="11"/>
      <c r="G165" s="11"/>
      <c r="H165" s="33">
        <f>'Fuel Costs'!F120+$D114+$C165</f>
        <v>1.9000000000000001E-14</v>
      </c>
      <c r="I165" s="33">
        <f>'Fuel Costs'!G120+$D114+$C165</f>
        <v>1.9000000000000001E-14</v>
      </c>
      <c r="J165" s="33">
        <f>'Fuel Costs'!H120+$D114+$C165</f>
        <v>1.9000000000000001E-14</v>
      </c>
      <c r="K165" s="33">
        <f>'Fuel Costs'!I120+$D114+$C165</f>
        <v>1.9000000000000001E-14</v>
      </c>
      <c r="L165" s="33">
        <f>'Fuel Costs'!J120+$D114+$C165</f>
        <v>1.9000000000000001E-14</v>
      </c>
      <c r="M165" s="33">
        <f>'Fuel Costs'!K120+$D114+$C165</f>
        <v>1.9000000000000001E-14</v>
      </c>
      <c r="N165" s="33">
        <f>'Fuel Costs'!L120+$D114+$C165</f>
        <v>1.9000000000000001E-14</v>
      </c>
      <c r="O165" s="33">
        <f>'Fuel Costs'!M120+$D114+$C165</f>
        <v>1.9000000000000001E-14</v>
      </c>
      <c r="P165" s="33">
        <f>'Fuel Costs'!N120+$D114+$C165</f>
        <v>1.9000000000000001E-14</v>
      </c>
      <c r="Q165" s="33">
        <f>'Fuel Costs'!O120+$D114+$C165</f>
        <v>1.9000000000000001E-14</v>
      </c>
      <c r="R165" s="33">
        <f>'Fuel Costs'!P120+$D114+$C165</f>
        <v>1.9000000000000001E-14</v>
      </c>
      <c r="S165" s="33">
        <f>'Fuel Costs'!Q120+$D114+$C165</f>
        <v>1.9000000000000001E-14</v>
      </c>
      <c r="T165" s="33">
        <f>'Fuel Costs'!R120+$D114+$C165</f>
        <v>1.9000000000000001E-14</v>
      </c>
      <c r="U165" s="33">
        <f>'Fuel Costs'!S120+$D114+$C165</f>
        <v>1.9000000000000001E-14</v>
      </c>
      <c r="V165" s="33">
        <f>'Fuel Costs'!T120+$D114+$C165</f>
        <v>1.9000000000000001E-14</v>
      </c>
      <c r="W165" s="33">
        <f>'Fuel Costs'!U120+$D114+$C165</f>
        <v>1.9000000000000001E-14</v>
      </c>
      <c r="X165" s="33">
        <f>'Fuel Costs'!V120+$D114+$C165</f>
        <v>1.9000000000000001E-14</v>
      </c>
      <c r="Y165" s="33">
        <f>'Fuel Costs'!W120+$D114+$C165</f>
        <v>1.9000000000000001E-14</v>
      </c>
      <c r="Z165" s="33">
        <f>'Fuel Costs'!X120+$D114+$C165</f>
        <v>1.9000000000000001E-14</v>
      </c>
      <c r="AA165" s="33">
        <f>'Fuel Costs'!Y120+$D114+$C165</f>
        <v>1.9000000000000001E-14</v>
      </c>
      <c r="AB165" s="33">
        <f>'Fuel Costs'!Z120+$D114+$C165</f>
        <v>1.9000000000000001E-14</v>
      </c>
      <c r="AC165" s="33">
        <f>'Fuel Costs'!AA120+$D114+$C165</f>
        <v>1.9000000000000001E-14</v>
      </c>
      <c r="AD165" s="33">
        <f>'Fuel Costs'!AB120+$D114+$C165</f>
        <v>1.9000000000000001E-14</v>
      </c>
      <c r="AE165" s="33">
        <f>'Fuel Costs'!AC120+$D114+$C165</f>
        <v>1.9000000000000001E-14</v>
      </c>
      <c r="AF165" s="33">
        <f>'Fuel Costs'!AD120+$D114+$C165</f>
        <v>1.9000000000000001E-14</v>
      </c>
      <c r="AG165" s="33">
        <f>'Fuel Costs'!AE120+$D114+$C165</f>
        <v>1.9000000000000001E-14</v>
      </c>
    </row>
    <row r="166" spans="2:33">
      <c r="B166" t="str">
        <f t="shared" si="104"/>
        <v>Pumped storage</v>
      </c>
      <c r="C166" s="25">
        <v>2.0000000000000003E-14</v>
      </c>
      <c r="D166" s="25"/>
      <c r="E166" s="25"/>
      <c r="F166" s="25"/>
      <c r="G166" s="25"/>
      <c r="H166" s="33">
        <f>'Fuel Costs'!F121+$D115+$C166</f>
        <v>2.0000000000000003E-14</v>
      </c>
      <c r="I166" s="33">
        <f>'Fuel Costs'!G121+$D115+$C166</f>
        <v>2.0000000000000003E-14</v>
      </c>
      <c r="J166" s="33">
        <f>'Fuel Costs'!H121+$D115+$C166</f>
        <v>2.0000000000000003E-14</v>
      </c>
      <c r="K166" s="33">
        <f>'Fuel Costs'!I121+$D115+$C166</f>
        <v>2.0000000000000003E-14</v>
      </c>
      <c r="L166" s="33">
        <f>'Fuel Costs'!J121+$D115+$C166</f>
        <v>2.0000000000000003E-14</v>
      </c>
      <c r="M166" s="33">
        <f>'Fuel Costs'!K121+$D115+$C166</f>
        <v>2.0000000000000003E-14</v>
      </c>
      <c r="N166" s="33">
        <f>'Fuel Costs'!L121+$D115+$C166</f>
        <v>2.0000000000000003E-14</v>
      </c>
      <c r="O166" s="33">
        <f>'Fuel Costs'!M121+$D115+$C166</f>
        <v>2.0000000000000003E-14</v>
      </c>
      <c r="P166" s="33">
        <f>'Fuel Costs'!N121+$D115+$C166</f>
        <v>2.0000000000000003E-14</v>
      </c>
      <c r="Q166" s="33">
        <f>'Fuel Costs'!O121+$D115+$C166</f>
        <v>2.0000000000000003E-14</v>
      </c>
      <c r="R166" s="33">
        <f>'Fuel Costs'!P121+$D115+$C166</f>
        <v>2.0000000000000003E-14</v>
      </c>
      <c r="S166" s="33">
        <f>'Fuel Costs'!Q121+$D115+$C166</f>
        <v>2.0000000000000003E-14</v>
      </c>
      <c r="T166" s="33">
        <f>'Fuel Costs'!R121+$D115+$C166</f>
        <v>2.0000000000000003E-14</v>
      </c>
      <c r="U166" s="33">
        <f>'Fuel Costs'!S121+$D115+$C166</f>
        <v>2.0000000000000003E-14</v>
      </c>
      <c r="V166" s="33">
        <f>'Fuel Costs'!T121+$D115+$C166</f>
        <v>2.0000000000000003E-14</v>
      </c>
      <c r="W166" s="33">
        <f>'Fuel Costs'!U121+$D115+$C166</f>
        <v>2.0000000000000003E-14</v>
      </c>
      <c r="X166" s="33">
        <f>'Fuel Costs'!V121+$D115+$C166</f>
        <v>2.0000000000000003E-14</v>
      </c>
      <c r="Y166" s="33">
        <f>'Fuel Costs'!W121+$D115+$C166</f>
        <v>2.0000000000000003E-14</v>
      </c>
      <c r="Z166" s="33">
        <f>'Fuel Costs'!X121+$D115+$C166</f>
        <v>2.0000000000000003E-14</v>
      </c>
      <c r="AA166" s="33">
        <f>'Fuel Costs'!Y121+$D115+$C166</f>
        <v>2.0000000000000003E-14</v>
      </c>
      <c r="AB166" s="33">
        <f>'Fuel Costs'!Z121+$D115+$C166</f>
        <v>2.0000000000000003E-14</v>
      </c>
      <c r="AC166" s="33">
        <f>'Fuel Costs'!AA121+$D115+$C166</f>
        <v>2.0000000000000003E-14</v>
      </c>
      <c r="AD166" s="33">
        <f>'Fuel Costs'!AB121+$D115+$C166</f>
        <v>2.0000000000000003E-14</v>
      </c>
      <c r="AE166" s="33">
        <f>'Fuel Costs'!AC121+$D115+$C166</f>
        <v>2.0000000000000003E-14</v>
      </c>
      <c r="AF166" s="33">
        <f>'Fuel Costs'!AD121+$D115+$C166</f>
        <v>2.0000000000000003E-14</v>
      </c>
      <c r="AG166" s="33">
        <f>'Fuel Costs'!AE121+$D115+$C166</f>
        <v>2.0000000000000003E-14</v>
      </c>
    </row>
    <row r="168" spans="2:33">
      <c r="B168" s="44" t="s">
        <v>224</v>
      </c>
    </row>
    <row r="170" spans="2:33">
      <c r="B170" t="str">
        <f>B6</f>
        <v>Existing coal Large</v>
      </c>
      <c r="H170" s="29">
        <f t="shared" ref="H170:J188" si="105">RANK(H147,H$147:H$165,1)+1</f>
        <v>14</v>
      </c>
      <c r="I170" s="29">
        <f t="shared" si="105"/>
        <v>15</v>
      </c>
      <c r="J170" s="29">
        <f t="shared" si="105"/>
        <v>15</v>
      </c>
      <c r="K170" s="29">
        <f t="shared" ref="K170:AG170" si="106">RANK(K147,K$147:K$165,1)+1</f>
        <v>15</v>
      </c>
      <c r="L170" s="29">
        <f t="shared" si="106"/>
        <v>15</v>
      </c>
      <c r="M170" s="29">
        <f t="shared" si="106"/>
        <v>15</v>
      </c>
      <c r="N170" s="29">
        <f t="shared" si="106"/>
        <v>15</v>
      </c>
      <c r="O170" s="29">
        <f t="shared" si="106"/>
        <v>15</v>
      </c>
      <c r="P170" s="29">
        <f t="shared" si="106"/>
        <v>15</v>
      </c>
      <c r="Q170" s="29">
        <f t="shared" si="106"/>
        <v>15</v>
      </c>
      <c r="R170" s="29">
        <f t="shared" si="106"/>
        <v>15</v>
      </c>
      <c r="S170" s="29">
        <f t="shared" si="106"/>
        <v>15</v>
      </c>
      <c r="T170" s="29">
        <f t="shared" si="106"/>
        <v>15</v>
      </c>
      <c r="U170" s="29">
        <f t="shared" si="106"/>
        <v>15</v>
      </c>
      <c r="V170" s="29">
        <f t="shared" si="106"/>
        <v>15</v>
      </c>
      <c r="W170" s="29">
        <f t="shared" si="106"/>
        <v>15</v>
      </c>
      <c r="X170" s="29">
        <f t="shared" si="106"/>
        <v>15</v>
      </c>
      <c r="Y170" s="29">
        <f t="shared" si="106"/>
        <v>15</v>
      </c>
      <c r="Z170" s="29">
        <f t="shared" si="106"/>
        <v>15</v>
      </c>
      <c r="AA170" s="29">
        <f t="shared" si="106"/>
        <v>15</v>
      </c>
      <c r="AB170" s="29">
        <f t="shared" si="106"/>
        <v>15</v>
      </c>
      <c r="AC170" s="29">
        <f t="shared" si="106"/>
        <v>15</v>
      </c>
      <c r="AD170" s="29">
        <f t="shared" si="106"/>
        <v>15</v>
      </c>
      <c r="AE170" s="29">
        <f t="shared" si="106"/>
        <v>15</v>
      </c>
      <c r="AF170" s="29">
        <f t="shared" si="106"/>
        <v>15</v>
      </c>
      <c r="AG170" s="29">
        <f t="shared" si="106"/>
        <v>15</v>
      </c>
    </row>
    <row r="171" spans="2:33">
      <c r="B171" t="str">
        <f t="shared" ref="B171:B189" si="107">B7</f>
        <v>Existing coal Small</v>
      </c>
      <c r="H171" s="29">
        <f t="shared" si="105"/>
        <v>17</v>
      </c>
      <c r="I171" s="29">
        <f t="shared" si="105"/>
        <v>17</v>
      </c>
      <c r="J171" s="29">
        <f t="shared" si="105"/>
        <v>18</v>
      </c>
      <c r="K171" s="29">
        <f t="shared" ref="K171:AG171" si="108">RANK(K148,K$147:K$165,1)+1</f>
        <v>18</v>
      </c>
      <c r="L171" s="29">
        <f t="shared" si="108"/>
        <v>18</v>
      </c>
      <c r="M171" s="29">
        <f t="shared" si="108"/>
        <v>18</v>
      </c>
      <c r="N171" s="29">
        <f t="shared" si="108"/>
        <v>18</v>
      </c>
      <c r="O171" s="29">
        <f t="shared" si="108"/>
        <v>18</v>
      </c>
      <c r="P171" s="29">
        <f t="shared" si="108"/>
        <v>18</v>
      </c>
      <c r="Q171" s="29">
        <f t="shared" si="108"/>
        <v>18</v>
      </c>
      <c r="R171" s="29">
        <f t="shared" si="108"/>
        <v>18</v>
      </c>
      <c r="S171" s="29">
        <f t="shared" si="108"/>
        <v>18</v>
      </c>
      <c r="T171" s="29">
        <f t="shared" si="108"/>
        <v>18</v>
      </c>
      <c r="U171" s="29">
        <f t="shared" si="108"/>
        <v>18</v>
      </c>
      <c r="V171" s="29">
        <f t="shared" si="108"/>
        <v>18</v>
      </c>
      <c r="W171" s="29">
        <f t="shared" si="108"/>
        <v>18</v>
      </c>
      <c r="X171" s="29">
        <f t="shared" si="108"/>
        <v>18</v>
      </c>
      <c r="Y171" s="29">
        <f t="shared" si="108"/>
        <v>18</v>
      </c>
      <c r="Z171" s="29">
        <f t="shared" si="108"/>
        <v>18</v>
      </c>
      <c r="AA171" s="29">
        <f t="shared" si="108"/>
        <v>18</v>
      </c>
      <c r="AB171" s="29">
        <f t="shared" si="108"/>
        <v>18</v>
      </c>
      <c r="AC171" s="29">
        <f t="shared" si="108"/>
        <v>18</v>
      </c>
      <c r="AD171" s="29">
        <f t="shared" si="108"/>
        <v>18</v>
      </c>
      <c r="AE171" s="29">
        <f t="shared" si="108"/>
        <v>18</v>
      </c>
      <c r="AF171" s="29">
        <f t="shared" si="108"/>
        <v>18</v>
      </c>
      <c r="AG171" s="29">
        <f t="shared" si="108"/>
        <v>18</v>
      </c>
    </row>
    <row r="172" spans="2:33">
      <c r="B172" t="str">
        <f t="shared" si="107"/>
        <v>OCGT liquid fuels</v>
      </c>
      <c r="H172" s="29">
        <f t="shared" si="105"/>
        <v>20</v>
      </c>
      <c r="I172" s="29">
        <f t="shared" si="105"/>
        <v>20</v>
      </c>
      <c r="J172" s="29">
        <f t="shared" si="105"/>
        <v>20</v>
      </c>
      <c r="K172" s="29">
        <f t="shared" ref="K172:AG172" si="109">RANK(K149,K$147:K$165,1)+1</f>
        <v>20</v>
      </c>
      <c r="L172" s="29">
        <f t="shared" si="109"/>
        <v>20</v>
      </c>
      <c r="M172" s="29">
        <f t="shared" si="109"/>
        <v>20</v>
      </c>
      <c r="N172" s="29">
        <f t="shared" si="109"/>
        <v>20</v>
      </c>
      <c r="O172" s="29">
        <f t="shared" si="109"/>
        <v>20</v>
      </c>
      <c r="P172" s="29">
        <f t="shared" si="109"/>
        <v>20</v>
      </c>
      <c r="Q172" s="29">
        <f t="shared" si="109"/>
        <v>20</v>
      </c>
      <c r="R172" s="29">
        <f t="shared" si="109"/>
        <v>20</v>
      </c>
      <c r="S172" s="29">
        <f t="shared" si="109"/>
        <v>20</v>
      </c>
      <c r="T172" s="29">
        <f t="shared" si="109"/>
        <v>20</v>
      </c>
      <c r="U172" s="29">
        <f t="shared" si="109"/>
        <v>20</v>
      </c>
      <c r="V172" s="29">
        <f t="shared" si="109"/>
        <v>20</v>
      </c>
      <c r="W172" s="29">
        <f t="shared" si="109"/>
        <v>20</v>
      </c>
      <c r="X172" s="29">
        <f t="shared" si="109"/>
        <v>20</v>
      </c>
      <c r="Y172" s="29">
        <f t="shared" si="109"/>
        <v>20</v>
      </c>
      <c r="Z172" s="29">
        <f t="shared" si="109"/>
        <v>20</v>
      </c>
      <c r="AA172" s="29">
        <f t="shared" si="109"/>
        <v>20</v>
      </c>
      <c r="AB172" s="29">
        <f t="shared" si="109"/>
        <v>20</v>
      </c>
      <c r="AC172" s="29">
        <f t="shared" si="109"/>
        <v>20</v>
      </c>
      <c r="AD172" s="29">
        <f t="shared" si="109"/>
        <v>20</v>
      </c>
      <c r="AE172" s="29">
        <f t="shared" si="109"/>
        <v>20</v>
      </c>
      <c r="AF172" s="29">
        <f t="shared" si="109"/>
        <v>20</v>
      </c>
      <c r="AG172" s="29">
        <f t="shared" si="109"/>
        <v>20</v>
      </c>
    </row>
    <row r="173" spans="2:33">
      <c r="B173" t="str">
        <f t="shared" si="107"/>
        <v>PWR nuclear</v>
      </c>
      <c r="H173" s="29">
        <f t="shared" si="105"/>
        <v>13</v>
      </c>
      <c r="I173" s="29">
        <f t="shared" si="105"/>
        <v>13</v>
      </c>
      <c r="J173" s="29">
        <f t="shared" si="105"/>
        <v>13</v>
      </c>
      <c r="K173" s="29">
        <f t="shared" ref="K173:AG173" si="110">RANK(K150,K$147:K$165,1)+1</f>
        <v>13</v>
      </c>
      <c r="L173" s="29">
        <f t="shared" si="110"/>
        <v>14</v>
      </c>
      <c r="M173" s="29">
        <f t="shared" si="110"/>
        <v>14</v>
      </c>
      <c r="N173" s="29">
        <f t="shared" si="110"/>
        <v>14</v>
      </c>
      <c r="O173" s="29">
        <f t="shared" si="110"/>
        <v>14</v>
      </c>
      <c r="P173" s="29">
        <f t="shared" si="110"/>
        <v>14</v>
      </c>
      <c r="Q173" s="29">
        <f t="shared" si="110"/>
        <v>14</v>
      </c>
      <c r="R173" s="29">
        <f t="shared" si="110"/>
        <v>14</v>
      </c>
      <c r="S173" s="29">
        <f t="shared" si="110"/>
        <v>14</v>
      </c>
      <c r="T173" s="29">
        <f t="shared" si="110"/>
        <v>14</v>
      </c>
      <c r="U173" s="29">
        <f t="shared" si="110"/>
        <v>14</v>
      </c>
      <c r="V173" s="29">
        <f t="shared" si="110"/>
        <v>14</v>
      </c>
      <c r="W173" s="29">
        <f t="shared" si="110"/>
        <v>14</v>
      </c>
      <c r="X173" s="29">
        <f t="shared" si="110"/>
        <v>14</v>
      </c>
      <c r="Y173" s="29">
        <f t="shared" si="110"/>
        <v>14</v>
      </c>
      <c r="Z173" s="29">
        <f t="shared" si="110"/>
        <v>14</v>
      </c>
      <c r="AA173" s="29">
        <f t="shared" si="110"/>
        <v>14</v>
      </c>
      <c r="AB173" s="29">
        <f t="shared" si="110"/>
        <v>14</v>
      </c>
      <c r="AC173" s="29">
        <f t="shared" si="110"/>
        <v>14</v>
      </c>
      <c r="AD173" s="29">
        <f t="shared" si="110"/>
        <v>14</v>
      </c>
      <c r="AE173" s="29">
        <f t="shared" si="110"/>
        <v>14</v>
      </c>
      <c r="AF173" s="29">
        <f t="shared" si="110"/>
        <v>14</v>
      </c>
      <c r="AG173" s="29">
        <f t="shared" si="110"/>
        <v>14</v>
      </c>
    </row>
    <row r="174" spans="2:33">
      <c r="B174" t="str">
        <f t="shared" si="107"/>
        <v>Hydro</v>
      </c>
      <c r="H174" s="29">
        <f t="shared" si="105"/>
        <v>2</v>
      </c>
      <c r="I174" s="29">
        <f t="shared" si="105"/>
        <v>2</v>
      </c>
      <c r="J174" s="29">
        <f t="shared" si="105"/>
        <v>2</v>
      </c>
      <c r="K174" s="29">
        <f t="shared" ref="K174:AG174" si="111">RANK(K151,K$147:K$165,1)+1</f>
        <v>2</v>
      </c>
      <c r="L174" s="29">
        <f t="shared" si="111"/>
        <v>2</v>
      </c>
      <c r="M174" s="29">
        <f t="shared" si="111"/>
        <v>2</v>
      </c>
      <c r="N174" s="29">
        <f t="shared" si="111"/>
        <v>2</v>
      </c>
      <c r="O174" s="29">
        <f t="shared" si="111"/>
        <v>2</v>
      </c>
      <c r="P174" s="29">
        <f t="shared" si="111"/>
        <v>2</v>
      </c>
      <c r="Q174" s="29">
        <f t="shared" si="111"/>
        <v>2</v>
      </c>
      <c r="R174" s="29">
        <f t="shared" si="111"/>
        <v>2</v>
      </c>
      <c r="S174" s="29">
        <f t="shared" si="111"/>
        <v>2</v>
      </c>
      <c r="T174" s="29">
        <f t="shared" si="111"/>
        <v>2</v>
      </c>
      <c r="U174" s="29">
        <f t="shared" si="111"/>
        <v>2</v>
      </c>
      <c r="V174" s="29">
        <f t="shared" si="111"/>
        <v>2</v>
      </c>
      <c r="W174" s="29">
        <f t="shared" si="111"/>
        <v>2</v>
      </c>
      <c r="X174" s="29">
        <f t="shared" si="111"/>
        <v>2</v>
      </c>
      <c r="Y174" s="29">
        <f t="shared" si="111"/>
        <v>2</v>
      </c>
      <c r="Z174" s="29">
        <f t="shared" si="111"/>
        <v>2</v>
      </c>
      <c r="AA174" s="29">
        <f t="shared" si="111"/>
        <v>2</v>
      </c>
      <c r="AB174" s="29">
        <f t="shared" si="111"/>
        <v>2</v>
      </c>
      <c r="AC174" s="29">
        <f t="shared" si="111"/>
        <v>2</v>
      </c>
      <c r="AD174" s="29">
        <f t="shared" si="111"/>
        <v>2</v>
      </c>
      <c r="AE174" s="29">
        <f t="shared" si="111"/>
        <v>2</v>
      </c>
      <c r="AF174" s="29">
        <f t="shared" si="111"/>
        <v>2</v>
      </c>
      <c r="AG174" s="29">
        <f t="shared" si="111"/>
        <v>2</v>
      </c>
    </row>
    <row r="175" spans="2:33">
      <c r="B175" t="str">
        <f t="shared" si="107"/>
        <v>Landfill gas</v>
      </c>
      <c r="H175" s="29">
        <f t="shared" si="105"/>
        <v>11</v>
      </c>
      <c r="I175" s="29">
        <f t="shared" si="105"/>
        <v>11</v>
      </c>
      <c r="J175" s="29">
        <f t="shared" si="105"/>
        <v>11</v>
      </c>
      <c r="K175" s="29">
        <f t="shared" ref="K175:AG175" si="112">RANK(K152,K$147:K$165,1)+1</f>
        <v>11</v>
      </c>
      <c r="L175" s="29">
        <f t="shared" si="112"/>
        <v>11</v>
      </c>
      <c r="M175" s="29">
        <f t="shared" si="112"/>
        <v>11</v>
      </c>
      <c r="N175" s="29">
        <f t="shared" si="112"/>
        <v>11</v>
      </c>
      <c r="O175" s="29">
        <f t="shared" si="112"/>
        <v>11</v>
      </c>
      <c r="P175" s="29">
        <f t="shared" si="112"/>
        <v>11</v>
      </c>
      <c r="Q175" s="29">
        <f t="shared" si="112"/>
        <v>11</v>
      </c>
      <c r="R175" s="29">
        <f t="shared" si="112"/>
        <v>11</v>
      </c>
      <c r="S175" s="29">
        <f t="shared" si="112"/>
        <v>11</v>
      </c>
      <c r="T175" s="29">
        <f t="shared" si="112"/>
        <v>11</v>
      </c>
      <c r="U175" s="29">
        <f t="shared" si="112"/>
        <v>11</v>
      </c>
      <c r="V175" s="29">
        <f t="shared" si="112"/>
        <v>11</v>
      </c>
      <c r="W175" s="29">
        <f t="shared" si="112"/>
        <v>11</v>
      </c>
      <c r="X175" s="29">
        <f t="shared" si="112"/>
        <v>11</v>
      </c>
      <c r="Y175" s="29">
        <f t="shared" si="112"/>
        <v>11</v>
      </c>
      <c r="Z175" s="29">
        <f t="shared" si="112"/>
        <v>11</v>
      </c>
      <c r="AA175" s="29">
        <f t="shared" si="112"/>
        <v>11</v>
      </c>
      <c r="AB175" s="29">
        <f t="shared" si="112"/>
        <v>11</v>
      </c>
      <c r="AC175" s="29">
        <f t="shared" si="112"/>
        <v>11</v>
      </c>
      <c r="AD175" s="29">
        <f t="shared" si="112"/>
        <v>11</v>
      </c>
      <c r="AE175" s="29">
        <f t="shared" si="112"/>
        <v>11</v>
      </c>
      <c r="AF175" s="29">
        <f t="shared" si="112"/>
        <v>11</v>
      </c>
      <c r="AG175" s="29">
        <f t="shared" si="112"/>
        <v>11</v>
      </c>
    </row>
    <row r="176" spans="2:33">
      <c r="B176" t="str">
        <f t="shared" si="107"/>
        <v>Biomass</v>
      </c>
      <c r="H176" s="29">
        <f t="shared" si="105"/>
        <v>15</v>
      </c>
      <c r="I176" s="29">
        <f t="shared" si="105"/>
        <v>14</v>
      </c>
      <c r="J176" s="29">
        <f t="shared" si="105"/>
        <v>14</v>
      </c>
      <c r="K176" s="29">
        <f t="shared" ref="K176:AG176" si="113">RANK(K153,K$147:K$165,1)+1</f>
        <v>14</v>
      </c>
      <c r="L176" s="29">
        <f t="shared" si="113"/>
        <v>13</v>
      </c>
      <c r="M176" s="29">
        <f t="shared" si="113"/>
        <v>13</v>
      </c>
      <c r="N176" s="29">
        <f t="shared" si="113"/>
        <v>13</v>
      </c>
      <c r="O176" s="29">
        <f t="shared" si="113"/>
        <v>13</v>
      </c>
      <c r="P176" s="29">
        <f t="shared" si="113"/>
        <v>13</v>
      </c>
      <c r="Q176" s="29">
        <f t="shared" si="113"/>
        <v>13</v>
      </c>
      <c r="R176" s="29">
        <f t="shared" si="113"/>
        <v>13</v>
      </c>
      <c r="S176" s="29">
        <f t="shared" si="113"/>
        <v>13</v>
      </c>
      <c r="T176" s="29">
        <f t="shared" si="113"/>
        <v>13</v>
      </c>
      <c r="U176" s="29">
        <f t="shared" si="113"/>
        <v>13</v>
      </c>
      <c r="V176" s="29">
        <f t="shared" si="113"/>
        <v>13</v>
      </c>
      <c r="W176" s="29">
        <f t="shared" si="113"/>
        <v>13</v>
      </c>
      <c r="X176" s="29">
        <f t="shared" si="113"/>
        <v>13</v>
      </c>
      <c r="Y176" s="29">
        <f t="shared" si="113"/>
        <v>13</v>
      </c>
      <c r="Z176" s="29">
        <f t="shared" si="113"/>
        <v>13</v>
      </c>
      <c r="AA176" s="29">
        <f t="shared" si="113"/>
        <v>13</v>
      </c>
      <c r="AB176" s="29">
        <f t="shared" si="113"/>
        <v>13</v>
      </c>
      <c r="AC176" s="29">
        <f t="shared" si="113"/>
        <v>13</v>
      </c>
      <c r="AD176" s="29">
        <f t="shared" si="113"/>
        <v>13</v>
      </c>
      <c r="AE176" s="29">
        <f t="shared" si="113"/>
        <v>13</v>
      </c>
      <c r="AF176" s="29">
        <f t="shared" si="113"/>
        <v>13</v>
      </c>
      <c r="AG176" s="29">
        <f t="shared" si="113"/>
        <v>13</v>
      </c>
    </row>
    <row r="177" spans="2:33">
      <c r="B177" t="str">
        <f t="shared" si="107"/>
        <v>Supercritical coal</v>
      </c>
      <c r="H177" s="29">
        <f t="shared" si="105"/>
        <v>18</v>
      </c>
      <c r="I177" s="29">
        <f t="shared" si="105"/>
        <v>18</v>
      </c>
      <c r="J177" s="29">
        <f t="shared" si="105"/>
        <v>17</v>
      </c>
      <c r="K177" s="29">
        <f t="shared" ref="K177:AG177" si="114">RANK(K154,K$147:K$165,1)+1</f>
        <v>17</v>
      </c>
      <c r="L177" s="29">
        <f t="shared" si="114"/>
        <v>17</v>
      </c>
      <c r="M177" s="29">
        <f t="shared" si="114"/>
        <v>17</v>
      </c>
      <c r="N177" s="29">
        <f t="shared" si="114"/>
        <v>17</v>
      </c>
      <c r="O177" s="29">
        <f t="shared" si="114"/>
        <v>17</v>
      </c>
      <c r="P177" s="29">
        <f t="shared" si="114"/>
        <v>17</v>
      </c>
      <c r="Q177" s="29">
        <f t="shared" si="114"/>
        <v>17</v>
      </c>
      <c r="R177" s="29">
        <f t="shared" si="114"/>
        <v>17</v>
      </c>
      <c r="S177" s="29">
        <f t="shared" si="114"/>
        <v>17</v>
      </c>
      <c r="T177" s="29">
        <f t="shared" si="114"/>
        <v>17</v>
      </c>
      <c r="U177" s="29">
        <f t="shared" si="114"/>
        <v>17</v>
      </c>
      <c r="V177" s="29">
        <f t="shared" si="114"/>
        <v>17</v>
      </c>
      <c r="W177" s="29">
        <f t="shared" si="114"/>
        <v>17</v>
      </c>
      <c r="X177" s="29">
        <f t="shared" si="114"/>
        <v>17</v>
      </c>
      <c r="Y177" s="29">
        <f t="shared" si="114"/>
        <v>17</v>
      </c>
      <c r="Z177" s="29">
        <f t="shared" si="114"/>
        <v>17</v>
      </c>
      <c r="AA177" s="29">
        <f t="shared" si="114"/>
        <v>17</v>
      </c>
      <c r="AB177" s="29">
        <f t="shared" si="114"/>
        <v>17</v>
      </c>
      <c r="AC177" s="29">
        <f t="shared" si="114"/>
        <v>17</v>
      </c>
      <c r="AD177" s="29">
        <f t="shared" si="114"/>
        <v>17</v>
      </c>
      <c r="AE177" s="29">
        <f t="shared" si="114"/>
        <v>17</v>
      </c>
      <c r="AF177" s="29">
        <f t="shared" si="114"/>
        <v>17</v>
      </c>
      <c r="AG177" s="29">
        <f t="shared" si="114"/>
        <v>17</v>
      </c>
    </row>
    <row r="178" spans="2:33">
      <c r="B178" t="str">
        <f t="shared" si="107"/>
        <v xml:space="preserve">Wind 30% </v>
      </c>
      <c r="H178" s="29">
        <f t="shared" si="105"/>
        <v>3</v>
      </c>
      <c r="I178" s="29">
        <f t="shared" si="105"/>
        <v>3</v>
      </c>
      <c r="J178" s="29">
        <f t="shared" si="105"/>
        <v>3</v>
      </c>
      <c r="K178" s="29">
        <f t="shared" ref="K178:AG178" si="115">RANK(K155,K$147:K$165,1)+1</f>
        <v>3</v>
      </c>
      <c r="L178" s="29">
        <f t="shared" si="115"/>
        <v>3</v>
      </c>
      <c r="M178" s="29">
        <f t="shared" si="115"/>
        <v>3</v>
      </c>
      <c r="N178" s="29">
        <f t="shared" si="115"/>
        <v>3</v>
      </c>
      <c r="O178" s="29">
        <f t="shared" si="115"/>
        <v>3</v>
      </c>
      <c r="P178" s="29">
        <f t="shared" si="115"/>
        <v>3</v>
      </c>
      <c r="Q178" s="29">
        <f t="shared" si="115"/>
        <v>3</v>
      </c>
      <c r="R178" s="29">
        <f t="shared" si="115"/>
        <v>3</v>
      </c>
      <c r="S178" s="29">
        <f t="shared" si="115"/>
        <v>3</v>
      </c>
      <c r="T178" s="29">
        <f t="shared" si="115"/>
        <v>3</v>
      </c>
      <c r="U178" s="29">
        <f t="shared" si="115"/>
        <v>3</v>
      </c>
      <c r="V178" s="29">
        <f t="shared" si="115"/>
        <v>3</v>
      </c>
      <c r="W178" s="29">
        <f t="shared" si="115"/>
        <v>3</v>
      </c>
      <c r="X178" s="29">
        <f t="shared" si="115"/>
        <v>3</v>
      </c>
      <c r="Y178" s="29">
        <f t="shared" si="115"/>
        <v>3</v>
      </c>
      <c r="Z178" s="29">
        <f t="shared" si="115"/>
        <v>3</v>
      </c>
      <c r="AA178" s="29">
        <f t="shared" si="115"/>
        <v>3</v>
      </c>
      <c r="AB178" s="29">
        <f t="shared" si="115"/>
        <v>3</v>
      </c>
      <c r="AC178" s="29">
        <f t="shared" si="115"/>
        <v>3</v>
      </c>
      <c r="AD178" s="29">
        <f t="shared" si="115"/>
        <v>3</v>
      </c>
      <c r="AE178" s="29">
        <f t="shared" si="115"/>
        <v>3</v>
      </c>
      <c r="AF178" s="29">
        <f t="shared" si="115"/>
        <v>3</v>
      </c>
      <c r="AG178" s="29">
        <f t="shared" si="115"/>
        <v>3</v>
      </c>
    </row>
    <row r="179" spans="2:33">
      <c r="B179" t="str">
        <f t="shared" si="107"/>
        <v>Wind 25%</v>
      </c>
      <c r="H179" s="29">
        <f t="shared" si="105"/>
        <v>4</v>
      </c>
      <c r="I179" s="29">
        <f t="shared" si="105"/>
        <v>4</v>
      </c>
      <c r="J179" s="29">
        <f t="shared" si="105"/>
        <v>4</v>
      </c>
      <c r="K179" s="29">
        <f t="shared" ref="K179:AG179" si="116">RANK(K156,K$147:K$165,1)+1</f>
        <v>4</v>
      </c>
      <c r="L179" s="29">
        <f t="shared" si="116"/>
        <v>4</v>
      </c>
      <c r="M179" s="29">
        <f t="shared" si="116"/>
        <v>4</v>
      </c>
      <c r="N179" s="29">
        <f t="shared" si="116"/>
        <v>4</v>
      </c>
      <c r="O179" s="29">
        <f t="shared" si="116"/>
        <v>4</v>
      </c>
      <c r="P179" s="29">
        <f t="shared" si="116"/>
        <v>4</v>
      </c>
      <c r="Q179" s="29">
        <f t="shared" si="116"/>
        <v>4</v>
      </c>
      <c r="R179" s="29">
        <f t="shared" si="116"/>
        <v>4</v>
      </c>
      <c r="S179" s="29">
        <f t="shared" si="116"/>
        <v>4</v>
      </c>
      <c r="T179" s="29">
        <f t="shared" si="116"/>
        <v>4</v>
      </c>
      <c r="U179" s="29">
        <f t="shared" si="116"/>
        <v>4</v>
      </c>
      <c r="V179" s="29">
        <f t="shared" si="116"/>
        <v>4</v>
      </c>
      <c r="W179" s="29">
        <f t="shared" si="116"/>
        <v>4</v>
      </c>
      <c r="X179" s="29">
        <f t="shared" si="116"/>
        <v>4</v>
      </c>
      <c r="Y179" s="29">
        <f t="shared" si="116"/>
        <v>4</v>
      </c>
      <c r="Z179" s="29">
        <f t="shared" si="116"/>
        <v>4</v>
      </c>
      <c r="AA179" s="29">
        <f t="shared" si="116"/>
        <v>4</v>
      </c>
      <c r="AB179" s="29">
        <f t="shared" si="116"/>
        <v>4</v>
      </c>
      <c r="AC179" s="29">
        <f t="shared" si="116"/>
        <v>4</v>
      </c>
      <c r="AD179" s="29">
        <f t="shared" si="116"/>
        <v>4</v>
      </c>
      <c r="AE179" s="29">
        <f t="shared" si="116"/>
        <v>4</v>
      </c>
      <c r="AF179" s="29">
        <f t="shared" si="116"/>
        <v>4</v>
      </c>
      <c r="AG179" s="29">
        <f t="shared" si="116"/>
        <v>4</v>
      </c>
    </row>
    <row r="180" spans="2:33">
      <c r="B180" t="str">
        <f t="shared" si="107"/>
        <v>solar thermal central reciever</v>
      </c>
      <c r="H180" s="29">
        <f t="shared" si="105"/>
        <v>5</v>
      </c>
      <c r="I180" s="29">
        <f t="shared" si="105"/>
        <v>5</v>
      </c>
      <c r="J180" s="29">
        <f t="shared" si="105"/>
        <v>5</v>
      </c>
      <c r="K180" s="29">
        <f t="shared" ref="K180:AG180" si="117">RANK(K157,K$147:K$165,1)+1</f>
        <v>5</v>
      </c>
      <c r="L180" s="29">
        <f t="shared" si="117"/>
        <v>5</v>
      </c>
      <c r="M180" s="29">
        <f t="shared" si="117"/>
        <v>5</v>
      </c>
      <c r="N180" s="29">
        <f t="shared" si="117"/>
        <v>5</v>
      </c>
      <c r="O180" s="29">
        <f t="shared" si="117"/>
        <v>5</v>
      </c>
      <c r="P180" s="29">
        <f t="shared" si="117"/>
        <v>5</v>
      </c>
      <c r="Q180" s="29">
        <f t="shared" si="117"/>
        <v>5</v>
      </c>
      <c r="R180" s="29">
        <f t="shared" si="117"/>
        <v>5</v>
      </c>
      <c r="S180" s="29">
        <f t="shared" si="117"/>
        <v>5</v>
      </c>
      <c r="T180" s="29">
        <f t="shared" si="117"/>
        <v>5</v>
      </c>
      <c r="U180" s="29">
        <f t="shared" si="117"/>
        <v>5</v>
      </c>
      <c r="V180" s="29">
        <f t="shared" si="117"/>
        <v>5</v>
      </c>
      <c r="W180" s="29">
        <f t="shared" si="117"/>
        <v>5</v>
      </c>
      <c r="X180" s="29">
        <f t="shared" si="117"/>
        <v>5</v>
      </c>
      <c r="Y180" s="29">
        <f t="shared" si="117"/>
        <v>5</v>
      </c>
      <c r="Z180" s="29">
        <f t="shared" si="117"/>
        <v>5</v>
      </c>
      <c r="AA180" s="29">
        <f t="shared" si="117"/>
        <v>5</v>
      </c>
      <c r="AB180" s="29">
        <f t="shared" si="117"/>
        <v>5</v>
      </c>
      <c r="AC180" s="29">
        <f t="shared" si="117"/>
        <v>5</v>
      </c>
      <c r="AD180" s="29">
        <f t="shared" si="117"/>
        <v>5</v>
      </c>
      <c r="AE180" s="29">
        <f t="shared" si="117"/>
        <v>5</v>
      </c>
      <c r="AF180" s="29">
        <f t="shared" si="117"/>
        <v>5</v>
      </c>
      <c r="AG180" s="29">
        <f t="shared" si="117"/>
        <v>5</v>
      </c>
    </row>
    <row r="181" spans="2:33">
      <c r="B181" t="str">
        <f t="shared" si="107"/>
        <v>solar thermal trough</v>
      </c>
      <c r="H181" s="29">
        <f t="shared" si="105"/>
        <v>6</v>
      </c>
      <c r="I181" s="29">
        <f t="shared" si="105"/>
        <v>6</v>
      </c>
      <c r="J181" s="29">
        <f t="shared" si="105"/>
        <v>6</v>
      </c>
      <c r="K181" s="29">
        <f t="shared" ref="K181:AG181" si="118">RANK(K158,K$147:K$165,1)+1</f>
        <v>6</v>
      </c>
      <c r="L181" s="29">
        <f t="shared" si="118"/>
        <v>6</v>
      </c>
      <c r="M181" s="29">
        <f t="shared" si="118"/>
        <v>6</v>
      </c>
      <c r="N181" s="29">
        <f t="shared" si="118"/>
        <v>6</v>
      </c>
      <c r="O181" s="29">
        <f t="shared" si="118"/>
        <v>6</v>
      </c>
      <c r="P181" s="29">
        <f t="shared" si="118"/>
        <v>6</v>
      </c>
      <c r="Q181" s="29">
        <f t="shared" si="118"/>
        <v>6</v>
      </c>
      <c r="R181" s="29">
        <f t="shared" si="118"/>
        <v>6</v>
      </c>
      <c r="S181" s="29">
        <f t="shared" si="118"/>
        <v>6</v>
      </c>
      <c r="T181" s="29">
        <f t="shared" si="118"/>
        <v>6</v>
      </c>
      <c r="U181" s="29">
        <f t="shared" si="118"/>
        <v>6</v>
      </c>
      <c r="V181" s="29">
        <f t="shared" si="118"/>
        <v>6</v>
      </c>
      <c r="W181" s="29">
        <f t="shared" si="118"/>
        <v>6</v>
      </c>
      <c r="X181" s="29">
        <f t="shared" si="118"/>
        <v>6</v>
      </c>
      <c r="Y181" s="29">
        <f t="shared" si="118"/>
        <v>6</v>
      </c>
      <c r="Z181" s="29">
        <f t="shared" si="118"/>
        <v>6</v>
      </c>
      <c r="AA181" s="29">
        <f t="shared" si="118"/>
        <v>6</v>
      </c>
      <c r="AB181" s="29">
        <f t="shared" si="118"/>
        <v>6</v>
      </c>
      <c r="AC181" s="29">
        <f t="shared" si="118"/>
        <v>6</v>
      </c>
      <c r="AD181" s="29">
        <f t="shared" si="118"/>
        <v>6</v>
      </c>
      <c r="AE181" s="29">
        <f t="shared" si="118"/>
        <v>6</v>
      </c>
      <c r="AF181" s="29">
        <f t="shared" si="118"/>
        <v>6</v>
      </c>
      <c r="AG181" s="29">
        <f t="shared" si="118"/>
        <v>6</v>
      </c>
    </row>
    <row r="182" spans="2:33">
      <c r="B182" t="str">
        <f t="shared" si="107"/>
        <v>solar PV</v>
      </c>
      <c r="H182" s="29">
        <f t="shared" si="105"/>
        <v>7</v>
      </c>
      <c r="I182" s="29">
        <f t="shared" si="105"/>
        <v>7</v>
      </c>
      <c r="J182" s="29">
        <f t="shared" si="105"/>
        <v>7</v>
      </c>
      <c r="K182" s="29">
        <f t="shared" ref="K182:AG182" si="119">RANK(K159,K$147:K$165,1)+1</f>
        <v>7</v>
      </c>
      <c r="L182" s="29">
        <f t="shared" si="119"/>
        <v>7</v>
      </c>
      <c r="M182" s="29">
        <f t="shared" si="119"/>
        <v>7</v>
      </c>
      <c r="N182" s="29">
        <f t="shared" si="119"/>
        <v>7</v>
      </c>
      <c r="O182" s="29">
        <f t="shared" si="119"/>
        <v>7</v>
      </c>
      <c r="P182" s="29">
        <f t="shared" si="119"/>
        <v>7</v>
      </c>
      <c r="Q182" s="29">
        <f t="shared" si="119"/>
        <v>7</v>
      </c>
      <c r="R182" s="29">
        <f t="shared" si="119"/>
        <v>7</v>
      </c>
      <c r="S182" s="29">
        <f t="shared" si="119"/>
        <v>7</v>
      </c>
      <c r="T182" s="29">
        <f t="shared" si="119"/>
        <v>7</v>
      </c>
      <c r="U182" s="29">
        <f t="shared" si="119"/>
        <v>7</v>
      </c>
      <c r="V182" s="29">
        <f t="shared" si="119"/>
        <v>7</v>
      </c>
      <c r="W182" s="29">
        <f t="shared" si="119"/>
        <v>7</v>
      </c>
      <c r="X182" s="29">
        <f t="shared" si="119"/>
        <v>7</v>
      </c>
      <c r="Y182" s="29">
        <f t="shared" si="119"/>
        <v>7</v>
      </c>
      <c r="Z182" s="29">
        <f t="shared" si="119"/>
        <v>7</v>
      </c>
      <c r="AA182" s="29">
        <f t="shared" si="119"/>
        <v>7</v>
      </c>
      <c r="AB182" s="29">
        <f t="shared" si="119"/>
        <v>7</v>
      </c>
      <c r="AC182" s="29">
        <f t="shared" si="119"/>
        <v>7</v>
      </c>
      <c r="AD182" s="29">
        <f t="shared" si="119"/>
        <v>7</v>
      </c>
      <c r="AE182" s="29">
        <f t="shared" si="119"/>
        <v>7</v>
      </c>
      <c r="AF182" s="29">
        <f t="shared" si="119"/>
        <v>7</v>
      </c>
      <c r="AG182" s="29">
        <f t="shared" si="119"/>
        <v>7</v>
      </c>
    </row>
    <row r="183" spans="2:33">
      <c r="B183" t="str">
        <f t="shared" si="107"/>
        <v>combined cycle gas</v>
      </c>
      <c r="H183" s="29">
        <f t="shared" si="105"/>
        <v>19</v>
      </c>
      <c r="I183" s="29">
        <f t="shared" si="105"/>
        <v>19</v>
      </c>
      <c r="J183" s="29">
        <f t="shared" si="105"/>
        <v>19</v>
      </c>
      <c r="K183" s="29">
        <f t="shared" ref="K183:AG183" si="120">RANK(K160,K$147:K$165,1)+1</f>
        <v>19</v>
      </c>
      <c r="L183" s="29">
        <f t="shared" si="120"/>
        <v>19</v>
      </c>
      <c r="M183" s="29">
        <f t="shared" si="120"/>
        <v>19</v>
      </c>
      <c r="N183" s="29">
        <f t="shared" si="120"/>
        <v>19</v>
      </c>
      <c r="O183" s="29">
        <f t="shared" si="120"/>
        <v>19</v>
      </c>
      <c r="P183" s="29">
        <f t="shared" si="120"/>
        <v>19</v>
      </c>
      <c r="Q183" s="29">
        <f t="shared" si="120"/>
        <v>19</v>
      </c>
      <c r="R183" s="29">
        <f t="shared" si="120"/>
        <v>19</v>
      </c>
      <c r="S183" s="29">
        <f t="shared" si="120"/>
        <v>19</v>
      </c>
      <c r="T183" s="29">
        <f t="shared" si="120"/>
        <v>19</v>
      </c>
      <c r="U183" s="29">
        <f t="shared" si="120"/>
        <v>19</v>
      </c>
      <c r="V183" s="29">
        <f t="shared" si="120"/>
        <v>19</v>
      </c>
      <c r="W183" s="29">
        <f t="shared" si="120"/>
        <v>19</v>
      </c>
      <c r="X183" s="29">
        <f t="shared" si="120"/>
        <v>19</v>
      </c>
      <c r="Y183" s="29">
        <f t="shared" si="120"/>
        <v>19</v>
      </c>
      <c r="Z183" s="29">
        <f t="shared" si="120"/>
        <v>19</v>
      </c>
      <c r="AA183" s="29">
        <f t="shared" si="120"/>
        <v>19</v>
      </c>
      <c r="AB183" s="29">
        <f t="shared" si="120"/>
        <v>19</v>
      </c>
      <c r="AC183" s="29">
        <f t="shared" si="120"/>
        <v>19</v>
      </c>
      <c r="AD183" s="29">
        <f t="shared" si="120"/>
        <v>19</v>
      </c>
      <c r="AE183" s="29">
        <f t="shared" si="120"/>
        <v>19</v>
      </c>
      <c r="AF183" s="29">
        <f t="shared" si="120"/>
        <v>19</v>
      </c>
      <c r="AG183" s="29">
        <f t="shared" si="120"/>
        <v>19</v>
      </c>
    </row>
    <row r="184" spans="2:33">
      <c r="B184" t="str">
        <f t="shared" si="107"/>
        <v>PBMR</v>
      </c>
      <c r="H184" s="29">
        <f t="shared" si="105"/>
        <v>12</v>
      </c>
      <c r="I184" s="29">
        <f t="shared" si="105"/>
        <v>12</v>
      </c>
      <c r="J184" s="29">
        <f t="shared" si="105"/>
        <v>12</v>
      </c>
      <c r="K184" s="29">
        <f t="shared" ref="K184:AG184" si="121">RANK(K161,K$147:K$165,1)+1</f>
        <v>12</v>
      </c>
      <c r="L184" s="29">
        <f t="shared" si="121"/>
        <v>12</v>
      </c>
      <c r="M184" s="29">
        <f t="shared" si="121"/>
        <v>12</v>
      </c>
      <c r="N184" s="29">
        <f t="shared" si="121"/>
        <v>12</v>
      </c>
      <c r="O184" s="29">
        <f t="shared" si="121"/>
        <v>12</v>
      </c>
      <c r="P184" s="29">
        <f t="shared" si="121"/>
        <v>12</v>
      </c>
      <c r="Q184" s="29">
        <f t="shared" si="121"/>
        <v>12</v>
      </c>
      <c r="R184" s="29">
        <f t="shared" si="121"/>
        <v>12</v>
      </c>
      <c r="S184" s="29">
        <f t="shared" si="121"/>
        <v>12</v>
      </c>
      <c r="T184" s="29">
        <f t="shared" si="121"/>
        <v>12</v>
      </c>
      <c r="U184" s="29">
        <f t="shared" si="121"/>
        <v>12</v>
      </c>
      <c r="V184" s="29">
        <f t="shared" si="121"/>
        <v>12</v>
      </c>
      <c r="W184" s="29">
        <f t="shared" si="121"/>
        <v>12</v>
      </c>
      <c r="X184" s="29">
        <f t="shared" si="121"/>
        <v>12</v>
      </c>
      <c r="Y184" s="29">
        <f t="shared" si="121"/>
        <v>12</v>
      </c>
      <c r="Z184" s="29">
        <f t="shared" si="121"/>
        <v>12</v>
      </c>
      <c r="AA184" s="29">
        <f t="shared" si="121"/>
        <v>12</v>
      </c>
      <c r="AB184" s="29">
        <f t="shared" si="121"/>
        <v>12</v>
      </c>
      <c r="AC184" s="29">
        <f t="shared" si="121"/>
        <v>12</v>
      </c>
      <c r="AD184" s="29">
        <f t="shared" si="121"/>
        <v>12</v>
      </c>
      <c r="AE184" s="29">
        <f t="shared" si="121"/>
        <v>12</v>
      </c>
      <c r="AF184" s="29">
        <f t="shared" si="121"/>
        <v>12</v>
      </c>
      <c r="AG184" s="29">
        <f t="shared" si="121"/>
        <v>12</v>
      </c>
    </row>
    <row r="185" spans="2:33">
      <c r="B185" t="str">
        <f t="shared" si="107"/>
        <v>IGCC</v>
      </c>
      <c r="H185" s="29">
        <f t="shared" si="105"/>
        <v>16</v>
      </c>
      <c r="I185" s="29">
        <f t="shared" si="105"/>
        <v>16</v>
      </c>
      <c r="J185" s="29">
        <f t="shared" si="105"/>
        <v>16</v>
      </c>
      <c r="K185" s="29">
        <f t="shared" ref="K185:AG185" si="122">RANK(K162,K$147:K$165,1)+1</f>
        <v>16</v>
      </c>
      <c r="L185" s="29">
        <f t="shared" si="122"/>
        <v>16</v>
      </c>
      <c r="M185" s="29">
        <f t="shared" si="122"/>
        <v>16</v>
      </c>
      <c r="N185" s="29">
        <f t="shared" si="122"/>
        <v>16</v>
      </c>
      <c r="O185" s="29">
        <f t="shared" si="122"/>
        <v>16</v>
      </c>
      <c r="P185" s="29">
        <f t="shared" si="122"/>
        <v>16</v>
      </c>
      <c r="Q185" s="29">
        <f t="shared" si="122"/>
        <v>16</v>
      </c>
      <c r="R185" s="29">
        <f t="shared" si="122"/>
        <v>16</v>
      </c>
      <c r="S185" s="29">
        <f t="shared" si="122"/>
        <v>16</v>
      </c>
      <c r="T185" s="29">
        <f t="shared" si="122"/>
        <v>16</v>
      </c>
      <c r="U185" s="29">
        <f t="shared" si="122"/>
        <v>16</v>
      </c>
      <c r="V185" s="29">
        <f t="shared" si="122"/>
        <v>16</v>
      </c>
      <c r="W185" s="29">
        <f t="shared" si="122"/>
        <v>16</v>
      </c>
      <c r="X185" s="29">
        <f t="shared" si="122"/>
        <v>16</v>
      </c>
      <c r="Y185" s="29">
        <f t="shared" si="122"/>
        <v>16</v>
      </c>
      <c r="Z185" s="29">
        <f t="shared" si="122"/>
        <v>16</v>
      </c>
      <c r="AA185" s="29">
        <f t="shared" si="122"/>
        <v>16</v>
      </c>
      <c r="AB185" s="29">
        <f t="shared" si="122"/>
        <v>16</v>
      </c>
      <c r="AC185" s="29">
        <f t="shared" si="122"/>
        <v>16</v>
      </c>
      <c r="AD185" s="29">
        <f t="shared" si="122"/>
        <v>16</v>
      </c>
      <c r="AE185" s="29">
        <f t="shared" si="122"/>
        <v>16</v>
      </c>
      <c r="AF185" s="29">
        <f t="shared" si="122"/>
        <v>16</v>
      </c>
      <c r="AG185" s="29">
        <f t="shared" si="122"/>
        <v>16</v>
      </c>
    </row>
    <row r="186" spans="2:33">
      <c r="B186" t="str">
        <f t="shared" si="107"/>
        <v>-</v>
      </c>
      <c r="H186" s="29">
        <f t="shared" si="105"/>
        <v>8</v>
      </c>
      <c r="I186" s="29">
        <f t="shared" si="105"/>
        <v>8</v>
      </c>
      <c r="J186" s="29">
        <f t="shared" si="105"/>
        <v>8</v>
      </c>
      <c r="K186" s="29">
        <f t="shared" ref="K186:AG186" si="123">RANK(K163,K$147:K$165,1)+1</f>
        <v>8</v>
      </c>
      <c r="L186" s="29">
        <f t="shared" si="123"/>
        <v>8</v>
      </c>
      <c r="M186" s="29">
        <f t="shared" si="123"/>
        <v>8</v>
      </c>
      <c r="N186" s="29">
        <f t="shared" si="123"/>
        <v>8</v>
      </c>
      <c r="O186" s="29">
        <f t="shared" si="123"/>
        <v>8</v>
      </c>
      <c r="P186" s="29">
        <f t="shared" si="123"/>
        <v>8</v>
      </c>
      <c r="Q186" s="29">
        <f t="shared" si="123"/>
        <v>8</v>
      </c>
      <c r="R186" s="29">
        <f t="shared" si="123"/>
        <v>8</v>
      </c>
      <c r="S186" s="29">
        <f t="shared" si="123"/>
        <v>8</v>
      </c>
      <c r="T186" s="29">
        <f t="shared" si="123"/>
        <v>8</v>
      </c>
      <c r="U186" s="29">
        <f t="shared" si="123"/>
        <v>8</v>
      </c>
      <c r="V186" s="29">
        <f t="shared" si="123"/>
        <v>8</v>
      </c>
      <c r="W186" s="29">
        <f t="shared" si="123"/>
        <v>8</v>
      </c>
      <c r="X186" s="29">
        <f t="shared" si="123"/>
        <v>8</v>
      </c>
      <c r="Y186" s="29">
        <f t="shared" si="123"/>
        <v>8</v>
      </c>
      <c r="Z186" s="29">
        <f t="shared" si="123"/>
        <v>8</v>
      </c>
      <c r="AA186" s="29">
        <f t="shared" si="123"/>
        <v>8</v>
      </c>
      <c r="AB186" s="29">
        <f t="shared" si="123"/>
        <v>8</v>
      </c>
      <c r="AC186" s="29">
        <f t="shared" si="123"/>
        <v>8</v>
      </c>
      <c r="AD186" s="29">
        <f t="shared" si="123"/>
        <v>8</v>
      </c>
      <c r="AE186" s="29">
        <f t="shared" si="123"/>
        <v>8</v>
      </c>
      <c r="AF186" s="29">
        <f t="shared" si="123"/>
        <v>8</v>
      </c>
      <c r="AG186" s="29">
        <f t="shared" si="123"/>
        <v>8</v>
      </c>
    </row>
    <row r="187" spans="2:33">
      <c r="B187" t="str">
        <f t="shared" si="107"/>
        <v>-</v>
      </c>
      <c r="H187" s="29">
        <f t="shared" si="105"/>
        <v>9</v>
      </c>
      <c r="I187" s="29">
        <f t="shared" si="105"/>
        <v>9</v>
      </c>
      <c r="J187" s="29">
        <f t="shared" si="105"/>
        <v>9</v>
      </c>
      <c r="K187" s="29">
        <f t="shared" ref="K187:AG187" si="124">RANK(K164,K$147:K$165,1)+1</f>
        <v>9</v>
      </c>
      <c r="L187" s="29">
        <f t="shared" si="124"/>
        <v>9</v>
      </c>
      <c r="M187" s="29">
        <f t="shared" si="124"/>
        <v>9</v>
      </c>
      <c r="N187" s="29">
        <f t="shared" si="124"/>
        <v>9</v>
      </c>
      <c r="O187" s="29">
        <f t="shared" si="124"/>
        <v>9</v>
      </c>
      <c r="P187" s="29">
        <f t="shared" si="124"/>
        <v>9</v>
      </c>
      <c r="Q187" s="29">
        <f t="shared" si="124"/>
        <v>9</v>
      </c>
      <c r="R187" s="29">
        <f t="shared" si="124"/>
        <v>9</v>
      </c>
      <c r="S187" s="29">
        <f t="shared" si="124"/>
        <v>9</v>
      </c>
      <c r="T187" s="29">
        <f t="shared" si="124"/>
        <v>9</v>
      </c>
      <c r="U187" s="29">
        <f t="shared" si="124"/>
        <v>9</v>
      </c>
      <c r="V187" s="29">
        <f t="shared" si="124"/>
        <v>9</v>
      </c>
      <c r="W187" s="29">
        <f t="shared" si="124"/>
        <v>9</v>
      </c>
      <c r="X187" s="29">
        <f t="shared" si="124"/>
        <v>9</v>
      </c>
      <c r="Y187" s="29">
        <f t="shared" si="124"/>
        <v>9</v>
      </c>
      <c r="Z187" s="29">
        <f t="shared" si="124"/>
        <v>9</v>
      </c>
      <c r="AA187" s="29">
        <f t="shared" si="124"/>
        <v>9</v>
      </c>
      <c r="AB187" s="29">
        <f t="shared" si="124"/>
        <v>9</v>
      </c>
      <c r="AC187" s="29">
        <f t="shared" si="124"/>
        <v>9</v>
      </c>
      <c r="AD187" s="29">
        <f t="shared" si="124"/>
        <v>9</v>
      </c>
      <c r="AE187" s="29">
        <f t="shared" si="124"/>
        <v>9</v>
      </c>
      <c r="AF187" s="29">
        <f t="shared" si="124"/>
        <v>9</v>
      </c>
      <c r="AG187" s="29">
        <f t="shared" si="124"/>
        <v>9</v>
      </c>
    </row>
    <row r="188" spans="2:33">
      <c r="B188" t="str">
        <f t="shared" si="107"/>
        <v>-</v>
      </c>
      <c r="H188" s="29">
        <f t="shared" si="105"/>
        <v>10</v>
      </c>
      <c r="I188" s="29">
        <f t="shared" si="105"/>
        <v>10</v>
      </c>
      <c r="J188" s="29">
        <f t="shared" si="105"/>
        <v>10</v>
      </c>
      <c r="K188" s="29">
        <f t="shared" ref="K188:AG188" si="125">RANK(K165,K$147:K$165,1)+1</f>
        <v>10</v>
      </c>
      <c r="L188" s="29">
        <f t="shared" si="125"/>
        <v>10</v>
      </c>
      <c r="M188" s="29">
        <f t="shared" si="125"/>
        <v>10</v>
      </c>
      <c r="N188" s="29">
        <f t="shared" si="125"/>
        <v>10</v>
      </c>
      <c r="O188" s="29">
        <f t="shared" si="125"/>
        <v>10</v>
      </c>
      <c r="P188" s="29">
        <f t="shared" si="125"/>
        <v>10</v>
      </c>
      <c r="Q188" s="29">
        <f t="shared" si="125"/>
        <v>10</v>
      </c>
      <c r="R188" s="29">
        <f t="shared" si="125"/>
        <v>10</v>
      </c>
      <c r="S188" s="29">
        <f t="shared" si="125"/>
        <v>10</v>
      </c>
      <c r="T188" s="29">
        <f t="shared" si="125"/>
        <v>10</v>
      </c>
      <c r="U188" s="29">
        <f t="shared" si="125"/>
        <v>10</v>
      </c>
      <c r="V188" s="29">
        <f t="shared" si="125"/>
        <v>10</v>
      </c>
      <c r="W188" s="29">
        <f t="shared" si="125"/>
        <v>10</v>
      </c>
      <c r="X188" s="29">
        <f t="shared" si="125"/>
        <v>10</v>
      </c>
      <c r="Y188" s="29">
        <f t="shared" si="125"/>
        <v>10</v>
      </c>
      <c r="Z188" s="29">
        <f t="shared" si="125"/>
        <v>10</v>
      </c>
      <c r="AA188" s="29">
        <f t="shared" si="125"/>
        <v>10</v>
      </c>
      <c r="AB188" s="29">
        <f t="shared" si="125"/>
        <v>10</v>
      </c>
      <c r="AC188" s="29">
        <f t="shared" si="125"/>
        <v>10</v>
      </c>
      <c r="AD188" s="29">
        <f t="shared" si="125"/>
        <v>10</v>
      </c>
      <c r="AE188" s="29">
        <f t="shared" si="125"/>
        <v>10</v>
      </c>
      <c r="AF188" s="29">
        <f t="shared" si="125"/>
        <v>10</v>
      </c>
      <c r="AG188" s="29">
        <f t="shared" si="125"/>
        <v>10</v>
      </c>
    </row>
    <row r="189" spans="2:33">
      <c r="B189" t="str">
        <f t="shared" si="107"/>
        <v>Pumped storage</v>
      </c>
      <c r="H189" s="29">
        <v>1</v>
      </c>
      <c r="I189" s="29">
        <v>1</v>
      </c>
      <c r="J189" s="29">
        <v>1</v>
      </c>
      <c r="K189" s="29">
        <v>1</v>
      </c>
      <c r="L189">
        <v>1</v>
      </c>
      <c r="M189">
        <v>1</v>
      </c>
      <c r="N189">
        <v>1</v>
      </c>
      <c r="O189">
        <v>1</v>
      </c>
      <c r="P189">
        <v>1</v>
      </c>
      <c r="Q189">
        <v>1</v>
      </c>
      <c r="R189">
        <v>1</v>
      </c>
      <c r="S189">
        <v>1</v>
      </c>
      <c r="T189">
        <v>1</v>
      </c>
      <c r="U189">
        <v>1</v>
      </c>
      <c r="V189">
        <v>1</v>
      </c>
      <c r="W189">
        <v>1</v>
      </c>
      <c r="X189">
        <v>1</v>
      </c>
      <c r="Y189">
        <v>1</v>
      </c>
      <c r="Z189">
        <v>1</v>
      </c>
      <c r="AA189">
        <v>1</v>
      </c>
      <c r="AB189">
        <v>1</v>
      </c>
      <c r="AC189">
        <v>1</v>
      </c>
      <c r="AD189">
        <v>1</v>
      </c>
      <c r="AE189">
        <v>1</v>
      </c>
      <c r="AF189">
        <v>1</v>
      </c>
      <c r="AG189">
        <v>1</v>
      </c>
    </row>
    <row r="193" spans="2:34">
      <c r="B193" s="44" t="s">
        <v>220</v>
      </c>
    </row>
    <row r="194" spans="2:34">
      <c r="C194" s="11" t="s">
        <v>221</v>
      </c>
      <c r="D194" s="11"/>
      <c r="E194" s="11"/>
      <c r="F194" s="11"/>
      <c r="G194" s="11"/>
    </row>
    <row r="195" spans="2:34">
      <c r="C195" s="11" t="s">
        <v>19</v>
      </c>
      <c r="D195" s="11" t="s">
        <v>78</v>
      </c>
      <c r="E195" s="11" t="s">
        <v>222</v>
      </c>
      <c r="F195" s="11" t="s">
        <v>6</v>
      </c>
      <c r="G195" s="11"/>
      <c r="K195" s="11"/>
    </row>
    <row r="196" spans="2:34">
      <c r="B196" t="str">
        <f t="shared" ref="B196:B215" si="126">B6</f>
        <v>Existing coal Large</v>
      </c>
      <c r="C196">
        <f t="shared" ref="C196:E215" si="127">D68*C$217</f>
        <v>1000000000</v>
      </c>
      <c r="D196">
        <f t="shared" si="127"/>
        <v>0</v>
      </c>
      <c r="E196">
        <f t="shared" si="127"/>
        <v>0</v>
      </c>
      <c r="F196">
        <f t="shared" ref="F196:F215" si="128">(G68+H68)*F$217</f>
        <v>0</v>
      </c>
      <c r="H196" s="33">
        <f t="shared" ref="H196:K215" si="129">H147+SUM($C196:$G196)+$C147*SUM($C196:$G196)</f>
        <v>1000000049.5818235</v>
      </c>
      <c r="I196" s="33">
        <f t="shared" si="129"/>
        <v>1000000057.316278</v>
      </c>
      <c r="J196" s="33">
        <f t="shared" si="129"/>
        <v>1000000065.0507325</v>
      </c>
      <c r="K196" s="33">
        <f t="shared" si="129"/>
        <v>1000000068.5081037</v>
      </c>
      <c r="L196" s="33">
        <f t="shared" ref="L196:AG208" si="130">L147+SUM($C196:$G196)+$C147*SUM($C196:$G196)</f>
        <v>1000000068.5081037</v>
      </c>
      <c r="M196" s="33">
        <f t="shared" si="130"/>
        <v>1000000068.8528395</v>
      </c>
      <c r="N196" s="33">
        <f t="shared" si="130"/>
        <v>1000000069.1975751</v>
      </c>
      <c r="O196" s="33">
        <f t="shared" si="130"/>
        <v>1000000069.5423108</v>
      </c>
      <c r="P196" s="33">
        <f t="shared" si="130"/>
        <v>1000000069.8870465</v>
      </c>
      <c r="Q196" s="33">
        <f t="shared" si="130"/>
        <v>1000000070.2317822</v>
      </c>
      <c r="R196" s="33">
        <f t="shared" si="130"/>
        <v>1000000070.5765179</v>
      </c>
      <c r="S196" s="33">
        <f t="shared" si="130"/>
        <v>1000000070.9212536</v>
      </c>
      <c r="T196" s="33">
        <f t="shared" si="130"/>
        <v>1000000071.2659893</v>
      </c>
      <c r="U196" s="33">
        <f t="shared" si="130"/>
        <v>1000000071.6107249</v>
      </c>
      <c r="V196" s="33">
        <f t="shared" si="130"/>
        <v>1000000071.9554607</v>
      </c>
      <c r="W196" s="33">
        <f t="shared" si="130"/>
        <v>1000000072.3001963</v>
      </c>
      <c r="X196" s="33">
        <f t="shared" si="130"/>
        <v>1000000072.644932</v>
      </c>
      <c r="Y196" s="33">
        <f t="shared" si="130"/>
        <v>1000000072.9896677</v>
      </c>
      <c r="Z196" s="33">
        <f t="shared" si="130"/>
        <v>1000000073.3344034</v>
      </c>
      <c r="AA196" s="33">
        <f t="shared" si="130"/>
        <v>1000000073.679139</v>
      </c>
      <c r="AB196" s="33">
        <f t="shared" si="130"/>
        <v>1000000074.0238748</v>
      </c>
      <c r="AC196" s="33">
        <f t="shared" si="130"/>
        <v>1000000074.3686104</v>
      </c>
      <c r="AD196" s="33">
        <f t="shared" si="130"/>
        <v>1000000074.7133461</v>
      </c>
      <c r="AE196" s="33">
        <f t="shared" si="130"/>
        <v>1000000075.0580817</v>
      </c>
      <c r="AF196" s="33">
        <f t="shared" si="130"/>
        <v>1000000075.4028175</v>
      </c>
      <c r="AG196" s="33">
        <f t="shared" si="130"/>
        <v>1000000075.7475532</v>
      </c>
      <c r="AH196" s="33"/>
    </row>
    <row r="197" spans="2:34">
      <c r="B197" t="str">
        <f t="shared" si="126"/>
        <v>Existing coal Small</v>
      </c>
      <c r="C197">
        <f t="shared" si="127"/>
        <v>1000000000</v>
      </c>
      <c r="D197">
        <f t="shared" si="127"/>
        <v>0</v>
      </c>
      <c r="E197">
        <f t="shared" si="127"/>
        <v>0</v>
      </c>
      <c r="F197">
        <f t="shared" si="128"/>
        <v>0</v>
      </c>
      <c r="H197" s="33">
        <f t="shared" si="129"/>
        <v>1000000074.2990487</v>
      </c>
      <c r="I197" s="33">
        <f t="shared" si="129"/>
        <v>1000000083.8663138</v>
      </c>
      <c r="J197" s="33">
        <f t="shared" si="129"/>
        <v>1000000093.433579</v>
      </c>
      <c r="K197" s="33">
        <f t="shared" si="129"/>
        <v>1000000103.4134849</v>
      </c>
      <c r="L197" s="33">
        <f t="shared" ref="L197:Z197" si="131">L148+SUM($C197:$G197)+$C148*SUM($C197:$G197)</f>
        <v>1000000103.4134849</v>
      </c>
      <c r="M197" s="33">
        <f t="shared" si="131"/>
        <v>1000000103.9491477</v>
      </c>
      <c r="N197" s="33">
        <f t="shared" si="131"/>
        <v>1000000104.4848104</v>
      </c>
      <c r="O197" s="33">
        <f t="shared" si="131"/>
        <v>1000000105.0204731</v>
      </c>
      <c r="P197" s="33">
        <f t="shared" si="131"/>
        <v>1000000105.5561358</v>
      </c>
      <c r="Q197" s="33">
        <f t="shared" si="131"/>
        <v>1000000106.0917985</v>
      </c>
      <c r="R197" s="33">
        <f t="shared" si="131"/>
        <v>1000000106.6274612</v>
      </c>
      <c r="S197" s="33">
        <f t="shared" si="131"/>
        <v>1000000107.163124</v>
      </c>
      <c r="T197" s="33">
        <f t="shared" si="131"/>
        <v>1000000107.6987866</v>
      </c>
      <c r="U197" s="33">
        <f t="shared" si="131"/>
        <v>1000000108.2344494</v>
      </c>
      <c r="V197" s="33">
        <f t="shared" si="131"/>
        <v>1000000108.770112</v>
      </c>
      <c r="W197" s="33">
        <f t="shared" si="131"/>
        <v>1000000109.3057748</v>
      </c>
      <c r="X197" s="33">
        <f t="shared" si="131"/>
        <v>1000000109.8414375</v>
      </c>
      <c r="Y197" s="33">
        <f t="shared" si="131"/>
        <v>1000000110.3771002</v>
      </c>
      <c r="Z197" s="33">
        <f t="shared" si="131"/>
        <v>1000000110.912763</v>
      </c>
      <c r="AA197" s="33">
        <f t="shared" si="130"/>
        <v>1000000111.4484257</v>
      </c>
      <c r="AB197" s="33">
        <f t="shared" si="130"/>
        <v>1000000111.9840884</v>
      </c>
      <c r="AC197" s="33">
        <f t="shared" si="130"/>
        <v>1000000112.5197511</v>
      </c>
      <c r="AD197" s="33">
        <f t="shared" si="130"/>
        <v>1000000113.0554138</v>
      </c>
      <c r="AE197" s="33">
        <f t="shared" si="130"/>
        <v>1000000113.5910765</v>
      </c>
      <c r="AF197" s="33">
        <f t="shared" si="130"/>
        <v>1000000114.1267393</v>
      </c>
      <c r="AG197" s="33">
        <f t="shared" si="130"/>
        <v>1000000114.6624019</v>
      </c>
      <c r="AH197" s="33"/>
    </row>
    <row r="198" spans="2:34">
      <c r="B198" t="str">
        <f t="shared" si="126"/>
        <v>OCGT liquid fuels</v>
      </c>
      <c r="C198">
        <f t="shared" si="127"/>
        <v>0</v>
      </c>
      <c r="D198">
        <f t="shared" si="127"/>
        <v>0</v>
      </c>
      <c r="E198">
        <f t="shared" si="127"/>
        <v>0</v>
      </c>
      <c r="F198">
        <f t="shared" si="128"/>
        <v>1</v>
      </c>
      <c r="H198" s="33">
        <f t="shared" si="129"/>
        <v>1475.4270738939385</v>
      </c>
      <c r="I198" s="33">
        <f t="shared" si="129"/>
        <v>1674.8840463504503</v>
      </c>
      <c r="J198" s="33">
        <f t="shared" si="129"/>
        <v>1674.4112979738329</v>
      </c>
      <c r="K198" s="33">
        <f t="shared" si="129"/>
        <v>2346.4231593446098</v>
      </c>
      <c r="L198" s="33">
        <f t="shared" si="130"/>
        <v>1610.6581815078928</v>
      </c>
      <c r="M198" s="33">
        <f t="shared" si="130"/>
        <v>1691.814045504025</v>
      </c>
      <c r="N198" s="33">
        <f t="shared" si="130"/>
        <v>1772.969909500157</v>
      </c>
      <c r="O198" s="33">
        <f t="shared" si="130"/>
        <v>1854.125773496289</v>
      </c>
      <c r="P198" s="33">
        <f t="shared" si="130"/>
        <v>1935.2816374924219</v>
      </c>
      <c r="Q198" s="33">
        <f t="shared" si="130"/>
        <v>2016.4375014885538</v>
      </c>
      <c r="R198" s="33">
        <f t="shared" si="130"/>
        <v>2097.5933654846858</v>
      </c>
      <c r="S198" s="33">
        <f t="shared" si="130"/>
        <v>2178.7492294808176</v>
      </c>
      <c r="T198" s="33">
        <f t="shared" si="130"/>
        <v>2259.9050934769498</v>
      </c>
      <c r="U198" s="33">
        <f t="shared" si="130"/>
        <v>2341.060957473082</v>
      </c>
      <c r="V198" s="33">
        <f t="shared" si="130"/>
        <v>2422.2168214692142</v>
      </c>
      <c r="W198" s="33">
        <f t="shared" si="130"/>
        <v>2503.3726854653464</v>
      </c>
      <c r="X198" s="33">
        <f t="shared" si="130"/>
        <v>2584.5285494614782</v>
      </c>
      <c r="Y198" s="33">
        <f t="shared" si="130"/>
        <v>2665.6844134576104</v>
      </c>
      <c r="Z198" s="33">
        <f t="shared" si="130"/>
        <v>2746.8402774537426</v>
      </c>
      <c r="AA198" s="33">
        <f t="shared" si="130"/>
        <v>2827.9961414498753</v>
      </c>
      <c r="AB198" s="33">
        <f t="shared" si="130"/>
        <v>2909.152005446007</v>
      </c>
      <c r="AC198" s="33">
        <f t="shared" si="130"/>
        <v>2990.3078694421397</v>
      </c>
      <c r="AD198" s="33">
        <f t="shared" si="130"/>
        <v>3071.4637334382714</v>
      </c>
      <c r="AE198" s="33">
        <f t="shared" si="130"/>
        <v>3152.6195974344032</v>
      </c>
      <c r="AF198" s="33">
        <f t="shared" si="130"/>
        <v>3233.7754614305359</v>
      </c>
      <c r="AG198" s="33">
        <f t="shared" si="130"/>
        <v>3314.9313254266681</v>
      </c>
      <c r="AH198" s="33"/>
    </row>
    <row r="199" spans="2:34">
      <c r="B199" t="str">
        <f t="shared" si="126"/>
        <v>PWR nuclear</v>
      </c>
      <c r="C199">
        <f t="shared" si="127"/>
        <v>0</v>
      </c>
      <c r="D199">
        <f t="shared" si="127"/>
        <v>0</v>
      </c>
      <c r="E199">
        <f t="shared" si="127"/>
        <v>100000</v>
      </c>
      <c r="F199">
        <f t="shared" si="128"/>
        <v>0</v>
      </c>
      <c r="H199" s="33">
        <f t="shared" si="129"/>
        <v>100037.10836901996</v>
      </c>
      <c r="I199" s="33">
        <f t="shared" si="129"/>
        <v>100042.61186374039</v>
      </c>
      <c r="J199" s="33">
        <f t="shared" si="129"/>
        <v>100048.11535846081</v>
      </c>
      <c r="K199" s="33">
        <f t="shared" si="129"/>
        <v>100053.61885318122</v>
      </c>
      <c r="L199" s="33">
        <f t="shared" si="130"/>
        <v>100061.92174541377</v>
      </c>
      <c r="M199" s="33">
        <f t="shared" si="130"/>
        <v>100062.21091713734</v>
      </c>
      <c r="N199" s="33">
        <f t="shared" si="130"/>
        <v>100062.50153471954</v>
      </c>
      <c r="O199" s="33">
        <f t="shared" si="130"/>
        <v>100062.79360538966</v>
      </c>
      <c r="P199" s="33">
        <f t="shared" si="130"/>
        <v>100063.08713641312</v>
      </c>
      <c r="Q199" s="33">
        <f t="shared" si="130"/>
        <v>100063.3821350917</v>
      </c>
      <c r="R199" s="33">
        <f t="shared" si="130"/>
        <v>100063.67860876367</v>
      </c>
      <c r="S199" s="33">
        <f t="shared" si="130"/>
        <v>100063.976564804</v>
      </c>
      <c r="T199" s="33">
        <f t="shared" si="130"/>
        <v>100064.27601062454</v>
      </c>
      <c r="U199" s="33">
        <f t="shared" si="130"/>
        <v>100064.57695367417</v>
      </c>
      <c r="V199" s="33">
        <f t="shared" si="130"/>
        <v>100064.87940143906</v>
      </c>
      <c r="W199" s="33">
        <f t="shared" si="130"/>
        <v>100065.18336144276</v>
      </c>
      <c r="X199" s="33">
        <f t="shared" si="130"/>
        <v>100065.48884124649</v>
      </c>
      <c r="Y199" s="33">
        <f t="shared" si="130"/>
        <v>100065.79584844924</v>
      </c>
      <c r="Z199" s="33">
        <f t="shared" si="130"/>
        <v>100066.10439068799</v>
      </c>
      <c r="AA199" s="33">
        <f t="shared" si="130"/>
        <v>100066.41447563795</v>
      </c>
      <c r="AB199" s="33">
        <f t="shared" si="130"/>
        <v>100066.72611101266</v>
      </c>
      <c r="AC199" s="33">
        <f t="shared" si="130"/>
        <v>100067.03930456423</v>
      </c>
      <c r="AD199" s="33">
        <f t="shared" si="130"/>
        <v>100067.35406408356</v>
      </c>
      <c r="AE199" s="33">
        <f t="shared" si="130"/>
        <v>100067.67039740049</v>
      </c>
      <c r="AF199" s="33">
        <f t="shared" si="130"/>
        <v>100067.98831238401</v>
      </c>
      <c r="AG199" s="33">
        <f t="shared" si="130"/>
        <v>100068.30781694244</v>
      </c>
      <c r="AH199" s="33"/>
    </row>
    <row r="200" spans="2:34">
      <c r="B200" t="str">
        <f t="shared" si="126"/>
        <v>Hydro</v>
      </c>
      <c r="C200">
        <f t="shared" si="127"/>
        <v>0</v>
      </c>
      <c r="D200">
        <f t="shared" si="127"/>
        <v>10000000</v>
      </c>
      <c r="E200">
        <f t="shared" si="127"/>
        <v>0</v>
      </c>
      <c r="F200">
        <f t="shared" si="128"/>
        <v>0</v>
      </c>
      <c r="H200" s="33">
        <f t="shared" si="129"/>
        <v>10000000.00000005</v>
      </c>
      <c r="I200" s="33">
        <f t="shared" si="129"/>
        <v>10000000.00000005</v>
      </c>
      <c r="J200" s="33">
        <f t="shared" si="129"/>
        <v>10000000.00000005</v>
      </c>
      <c r="K200" s="33">
        <f t="shared" si="129"/>
        <v>10000000.00000005</v>
      </c>
      <c r="L200" s="33">
        <f t="shared" si="130"/>
        <v>10000000.00000005</v>
      </c>
      <c r="M200" s="33">
        <f t="shared" si="130"/>
        <v>10000000.00000005</v>
      </c>
      <c r="N200" s="33">
        <f t="shared" si="130"/>
        <v>10000000.00000005</v>
      </c>
      <c r="O200" s="33">
        <f t="shared" si="130"/>
        <v>10000000.00000005</v>
      </c>
      <c r="P200" s="33">
        <f t="shared" si="130"/>
        <v>10000000.00000005</v>
      </c>
      <c r="Q200" s="33">
        <f t="shared" si="130"/>
        <v>10000000.00000005</v>
      </c>
      <c r="R200" s="33">
        <f t="shared" si="130"/>
        <v>10000000.00000005</v>
      </c>
      <c r="S200" s="33">
        <f t="shared" si="130"/>
        <v>10000000.00000005</v>
      </c>
      <c r="T200" s="33">
        <f t="shared" si="130"/>
        <v>10000000.00000005</v>
      </c>
      <c r="U200" s="33">
        <f t="shared" si="130"/>
        <v>10000000.00000005</v>
      </c>
      <c r="V200" s="33">
        <f t="shared" si="130"/>
        <v>10000000.00000005</v>
      </c>
      <c r="W200" s="33">
        <f t="shared" si="130"/>
        <v>10000000.00000005</v>
      </c>
      <c r="X200" s="33">
        <f t="shared" si="130"/>
        <v>10000000.00000005</v>
      </c>
      <c r="Y200" s="33">
        <f t="shared" si="130"/>
        <v>10000000.00000005</v>
      </c>
      <c r="Z200" s="33">
        <f t="shared" si="130"/>
        <v>10000000.00000005</v>
      </c>
      <c r="AA200" s="33">
        <f t="shared" si="130"/>
        <v>10000000.00000005</v>
      </c>
      <c r="AB200" s="33">
        <f t="shared" si="130"/>
        <v>10000000.00000005</v>
      </c>
      <c r="AC200" s="33">
        <f t="shared" si="130"/>
        <v>10000000.00000005</v>
      </c>
      <c r="AD200" s="33">
        <f t="shared" si="130"/>
        <v>10000000.00000005</v>
      </c>
      <c r="AE200" s="33">
        <f t="shared" si="130"/>
        <v>10000000.00000005</v>
      </c>
      <c r="AF200" s="33">
        <f t="shared" si="130"/>
        <v>10000000.00000005</v>
      </c>
      <c r="AG200" s="33">
        <f t="shared" si="130"/>
        <v>10000000.00000005</v>
      </c>
      <c r="AH200" s="33"/>
    </row>
    <row r="201" spans="2:34">
      <c r="B201" t="str">
        <f t="shared" si="126"/>
        <v>Landfill gas</v>
      </c>
      <c r="C201">
        <f t="shared" si="127"/>
        <v>0</v>
      </c>
      <c r="D201">
        <f t="shared" si="127"/>
        <v>10000000</v>
      </c>
      <c r="E201">
        <f t="shared" si="127"/>
        <v>0</v>
      </c>
      <c r="F201">
        <f t="shared" si="128"/>
        <v>0</v>
      </c>
      <c r="H201" s="33">
        <f t="shared" si="129"/>
        <v>10000000.0834164</v>
      </c>
      <c r="I201" s="33">
        <f t="shared" si="129"/>
        <v>10000000.0834164</v>
      </c>
      <c r="J201" s="33">
        <f t="shared" si="129"/>
        <v>10000000.0834164</v>
      </c>
      <c r="K201" s="33">
        <f t="shared" si="129"/>
        <v>10000000.0834164</v>
      </c>
      <c r="L201" s="33">
        <f t="shared" si="130"/>
        <v>10000000.0834164</v>
      </c>
      <c r="M201" s="33">
        <f t="shared" si="130"/>
        <v>10000000.0834164</v>
      </c>
      <c r="N201" s="33">
        <f t="shared" si="130"/>
        <v>10000000.0834164</v>
      </c>
      <c r="O201" s="33">
        <f t="shared" si="130"/>
        <v>10000000.0834164</v>
      </c>
      <c r="P201" s="33">
        <f t="shared" si="130"/>
        <v>10000000.0834164</v>
      </c>
      <c r="Q201" s="33">
        <f t="shared" si="130"/>
        <v>10000000.0834164</v>
      </c>
      <c r="R201" s="33">
        <f t="shared" si="130"/>
        <v>10000000.0834164</v>
      </c>
      <c r="S201" s="33">
        <f t="shared" si="130"/>
        <v>10000000.0834164</v>
      </c>
      <c r="T201" s="33">
        <f t="shared" si="130"/>
        <v>10000000.0834164</v>
      </c>
      <c r="U201" s="33">
        <f t="shared" si="130"/>
        <v>10000000.0834164</v>
      </c>
      <c r="V201" s="33">
        <f t="shared" si="130"/>
        <v>10000000.0834164</v>
      </c>
      <c r="W201" s="33">
        <f t="shared" si="130"/>
        <v>10000000.0834164</v>
      </c>
      <c r="X201" s="33">
        <f t="shared" si="130"/>
        <v>10000000.0834164</v>
      </c>
      <c r="Y201" s="33">
        <f t="shared" si="130"/>
        <v>10000000.0834164</v>
      </c>
      <c r="Z201" s="33">
        <f t="shared" si="130"/>
        <v>10000000.0834164</v>
      </c>
      <c r="AA201" s="33">
        <f t="shared" si="130"/>
        <v>10000000.0834164</v>
      </c>
      <c r="AB201" s="33">
        <f t="shared" si="130"/>
        <v>10000000.0834164</v>
      </c>
      <c r="AC201" s="33">
        <f t="shared" si="130"/>
        <v>10000000.0834164</v>
      </c>
      <c r="AD201" s="33">
        <f t="shared" si="130"/>
        <v>10000000.0834164</v>
      </c>
      <c r="AE201" s="33">
        <f t="shared" si="130"/>
        <v>10000000.0834164</v>
      </c>
      <c r="AF201" s="33">
        <f t="shared" si="130"/>
        <v>10000000.0834164</v>
      </c>
      <c r="AG201" s="33">
        <f t="shared" si="130"/>
        <v>10000000.0834164</v>
      </c>
      <c r="AH201" s="33"/>
    </row>
    <row r="202" spans="2:34">
      <c r="B202" t="str">
        <f t="shared" si="126"/>
        <v>Biomass</v>
      </c>
      <c r="C202">
        <f t="shared" si="127"/>
        <v>0</v>
      </c>
      <c r="D202">
        <f t="shared" si="127"/>
        <v>10000000</v>
      </c>
      <c r="E202">
        <f t="shared" si="127"/>
        <v>0</v>
      </c>
      <c r="F202">
        <f t="shared" si="128"/>
        <v>0</v>
      </c>
      <c r="H202" s="33">
        <f t="shared" si="129"/>
        <v>10000055.972364718</v>
      </c>
      <c r="I202" s="33">
        <f t="shared" si="129"/>
        <v>10000055.972364718</v>
      </c>
      <c r="J202" s="33">
        <f t="shared" si="129"/>
        <v>10000055.972364718</v>
      </c>
      <c r="K202" s="33">
        <f t="shared" si="129"/>
        <v>10000055.972364718</v>
      </c>
      <c r="L202" s="33">
        <f t="shared" si="130"/>
        <v>10000055.972364718</v>
      </c>
      <c r="M202" s="33">
        <f t="shared" si="130"/>
        <v>10000055.972364718</v>
      </c>
      <c r="N202" s="33">
        <f t="shared" si="130"/>
        <v>10000055.972364718</v>
      </c>
      <c r="O202" s="33">
        <f t="shared" si="130"/>
        <v>10000055.972364718</v>
      </c>
      <c r="P202" s="33">
        <f t="shared" si="130"/>
        <v>10000055.972364718</v>
      </c>
      <c r="Q202" s="33">
        <f t="shared" si="130"/>
        <v>10000055.972364718</v>
      </c>
      <c r="R202" s="33">
        <f t="shared" si="130"/>
        <v>10000055.972364718</v>
      </c>
      <c r="S202" s="33">
        <f t="shared" si="130"/>
        <v>10000055.972364718</v>
      </c>
      <c r="T202" s="33">
        <f t="shared" si="130"/>
        <v>10000055.972364718</v>
      </c>
      <c r="U202" s="33">
        <f t="shared" si="130"/>
        <v>10000055.972364718</v>
      </c>
      <c r="V202" s="33">
        <f t="shared" si="130"/>
        <v>10000055.972364718</v>
      </c>
      <c r="W202" s="33">
        <f t="shared" si="130"/>
        <v>10000055.972364718</v>
      </c>
      <c r="X202" s="33">
        <f t="shared" si="130"/>
        <v>10000055.972364718</v>
      </c>
      <c r="Y202" s="33">
        <f t="shared" si="130"/>
        <v>10000055.972364718</v>
      </c>
      <c r="Z202" s="33">
        <f t="shared" si="130"/>
        <v>10000055.972364718</v>
      </c>
      <c r="AA202" s="33">
        <f t="shared" si="130"/>
        <v>10000055.972364718</v>
      </c>
      <c r="AB202" s="33">
        <f t="shared" si="130"/>
        <v>10000055.972364718</v>
      </c>
      <c r="AC202" s="33">
        <f t="shared" si="130"/>
        <v>10000055.972364718</v>
      </c>
      <c r="AD202" s="33">
        <f t="shared" si="130"/>
        <v>10000055.972364718</v>
      </c>
      <c r="AE202" s="33">
        <f t="shared" si="130"/>
        <v>10000055.972364718</v>
      </c>
      <c r="AF202" s="33">
        <f t="shared" si="130"/>
        <v>10000055.972364718</v>
      </c>
      <c r="AG202" s="33">
        <f t="shared" si="130"/>
        <v>10000055.972364718</v>
      </c>
      <c r="AH202" s="33"/>
    </row>
    <row r="203" spans="2:34">
      <c r="B203" t="str">
        <f t="shared" si="126"/>
        <v>Supercritical coal</v>
      </c>
      <c r="C203">
        <f t="shared" si="127"/>
        <v>1000000000</v>
      </c>
      <c r="D203">
        <f t="shared" si="127"/>
        <v>0</v>
      </c>
      <c r="E203">
        <f t="shared" si="127"/>
        <v>0</v>
      </c>
      <c r="F203">
        <f t="shared" si="128"/>
        <v>0</v>
      </c>
      <c r="H203" s="33">
        <f t="shared" si="129"/>
        <v>1000000077.8849157</v>
      </c>
      <c r="I203" s="33">
        <f t="shared" si="129"/>
        <v>1000000085.1638334</v>
      </c>
      <c r="J203" s="33">
        <f t="shared" si="129"/>
        <v>1000000092.442751</v>
      </c>
      <c r="K203" s="33">
        <f t="shared" si="129"/>
        <v>1000000100.035612</v>
      </c>
      <c r="L203" s="33">
        <f t="shared" si="130"/>
        <v>1000000100.035612</v>
      </c>
      <c r="M203" s="33">
        <f t="shared" si="130"/>
        <v>1000000100.4431522</v>
      </c>
      <c r="N203" s="33">
        <f t="shared" si="130"/>
        <v>1000000100.8506924</v>
      </c>
      <c r="O203" s="33">
        <f t="shared" si="130"/>
        <v>1000000101.2582325</v>
      </c>
      <c r="P203" s="33">
        <f t="shared" si="130"/>
        <v>1000000101.6657727</v>
      </c>
      <c r="Q203" s="33">
        <f t="shared" si="130"/>
        <v>1000000102.0733129</v>
      </c>
      <c r="R203" s="33">
        <f t="shared" si="130"/>
        <v>1000000102.480853</v>
      </c>
      <c r="S203" s="33">
        <f t="shared" si="130"/>
        <v>1000000102.8883932</v>
      </c>
      <c r="T203" s="33">
        <f t="shared" si="130"/>
        <v>1000000103.2959334</v>
      </c>
      <c r="U203" s="33">
        <f t="shared" si="130"/>
        <v>1000000103.7034734</v>
      </c>
      <c r="V203" s="33">
        <f t="shared" si="130"/>
        <v>1000000104.1110137</v>
      </c>
      <c r="W203" s="33">
        <f t="shared" si="130"/>
        <v>1000000104.5185539</v>
      </c>
      <c r="X203" s="33">
        <f t="shared" si="130"/>
        <v>1000000104.9260939</v>
      </c>
      <c r="Y203" s="33">
        <f t="shared" si="130"/>
        <v>1000000105.3336341</v>
      </c>
      <c r="Z203" s="33">
        <f t="shared" si="130"/>
        <v>1000000105.7411743</v>
      </c>
      <c r="AA203" s="33">
        <f t="shared" si="130"/>
        <v>1000000106.1487144</v>
      </c>
      <c r="AB203" s="33">
        <f t="shared" si="130"/>
        <v>1000000106.5562546</v>
      </c>
      <c r="AC203" s="33">
        <f t="shared" si="130"/>
        <v>1000000106.9637948</v>
      </c>
      <c r="AD203" s="33">
        <f t="shared" si="130"/>
        <v>1000000107.3713349</v>
      </c>
      <c r="AE203" s="33">
        <f t="shared" si="130"/>
        <v>1000000107.7788751</v>
      </c>
      <c r="AF203" s="33">
        <f t="shared" si="130"/>
        <v>1000000108.1864153</v>
      </c>
      <c r="AG203" s="33">
        <f t="shared" si="130"/>
        <v>1000000108.5939555</v>
      </c>
      <c r="AH203" s="33"/>
    </row>
    <row r="204" spans="2:34">
      <c r="B204" t="str">
        <f t="shared" si="126"/>
        <v xml:space="preserve">Wind 30% </v>
      </c>
      <c r="C204">
        <f t="shared" si="127"/>
        <v>0</v>
      </c>
      <c r="D204">
        <f t="shared" si="127"/>
        <v>10000000</v>
      </c>
      <c r="E204">
        <f t="shared" si="127"/>
        <v>0</v>
      </c>
      <c r="F204">
        <f t="shared" si="128"/>
        <v>0</v>
      </c>
      <c r="H204" s="33">
        <f t="shared" si="129"/>
        <v>10000000.000000089</v>
      </c>
      <c r="I204" s="33">
        <f t="shared" si="129"/>
        <v>10000000.000000089</v>
      </c>
      <c r="J204" s="33">
        <f t="shared" si="129"/>
        <v>10000000.000000089</v>
      </c>
      <c r="K204" s="33">
        <f t="shared" si="129"/>
        <v>10000000.000000089</v>
      </c>
      <c r="L204" s="33">
        <f t="shared" si="130"/>
        <v>10000000.000000089</v>
      </c>
      <c r="M204" s="33">
        <f t="shared" si="130"/>
        <v>10000000.000000089</v>
      </c>
      <c r="N204" s="33">
        <f t="shared" si="130"/>
        <v>10000000.000000089</v>
      </c>
      <c r="O204" s="33">
        <f t="shared" si="130"/>
        <v>10000000.000000089</v>
      </c>
      <c r="P204" s="33">
        <f t="shared" si="130"/>
        <v>10000000.000000089</v>
      </c>
      <c r="Q204" s="33">
        <f t="shared" si="130"/>
        <v>10000000.000000089</v>
      </c>
      <c r="R204" s="33">
        <f t="shared" si="130"/>
        <v>10000000.000000089</v>
      </c>
      <c r="S204" s="33">
        <f t="shared" si="130"/>
        <v>10000000.000000089</v>
      </c>
      <c r="T204" s="33">
        <f t="shared" si="130"/>
        <v>10000000.000000089</v>
      </c>
      <c r="U204" s="33">
        <f t="shared" si="130"/>
        <v>10000000.000000089</v>
      </c>
      <c r="V204" s="33">
        <f t="shared" si="130"/>
        <v>10000000.000000089</v>
      </c>
      <c r="W204" s="33">
        <f t="shared" si="130"/>
        <v>10000000.000000089</v>
      </c>
      <c r="X204" s="33">
        <f t="shared" si="130"/>
        <v>10000000.000000089</v>
      </c>
      <c r="Y204" s="33">
        <f t="shared" si="130"/>
        <v>10000000.000000089</v>
      </c>
      <c r="Z204" s="33">
        <f t="shared" si="130"/>
        <v>10000000.000000089</v>
      </c>
      <c r="AA204" s="33">
        <f t="shared" si="130"/>
        <v>10000000.000000089</v>
      </c>
      <c r="AB204" s="33">
        <f t="shared" si="130"/>
        <v>10000000.000000089</v>
      </c>
      <c r="AC204" s="33">
        <f t="shared" si="130"/>
        <v>10000000.000000089</v>
      </c>
      <c r="AD204" s="33">
        <f t="shared" si="130"/>
        <v>10000000.000000089</v>
      </c>
      <c r="AE204" s="33">
        <f t="shared" si="130"/>
        <v>10000000.000000089</v>
      </c>
      <c r="AF204" s="33">
        <f t="shared" si="130"/>
        <v>10000000.000000089</v>
      </c>
      <c r="AG204" s="33">
        <f t="shared" si="130"/>
        <v>10000000.000000089</v>
      </c>
      <c r="AH204" s="33"/>
    </row>
    <row r="205" spans="2:34">
      <c r="B205" t="str">
        <f t="shared" si="126"/>
        <v>Wind 25%</v>
      </c>
      <c r="C205">
        <f t="shared" si="127"/>
        <v>0</v>
      </c>
      <c r="D205">
        <f t="shared" si="127"/>
        <v>10000000</v>
      </c>
      <c r="E205">
        <f t="shared" si="127"/>
        <v>0</v>
      </c>
      <c r="F205">
        <f t="shared" si="128"/>
        <v>0</v>
      </c>
      <c r="H205" s="33">
        <f t="shared" si="129"/>
        <v>10000000.000000101</v>
      </c>
      <c r="I205" s="33">
        <f t="shared" si="129"/>
        <v>10000000.000000101</v>
      </c>
      <c r="J205" s="33">
        <f t="shared" si="129"/>
        <v>10000000.000000101</v>
      </c>
      <c r="K205" s="33">
        <f t="shared" si="129"/>
        <v>10000000.000000101</v>
      </c>
      <c r="L205" s="33">
        <f t="shared" si="130"/>
        <v>10000000.000000101</v>
      </c>
      <c r="M205" s="33">
        <f t="shared" si="130"/>
        <v>10000000.000000101</v>
      </c>
      <c r="N205" s="33">
        <f t="shared" si="130"/>
        <v>10000000.000000101</v>
      </c>
      <c r="O205" s="33">
        <f t="shared" si="130"/>
        <v>10000000.000000101</v>
      </c>
      <c r="P205" s="33">
        <f t="shared" si="130"/>
        <v>10000000.000000101</v>
      </c>
      <c r="Q205" s="33">
        <f t="shared" si="130"/>
        <v>10000000.000000101</v>
      </c>
      <c r="R205" s="33">
        <f t="shared" si="130"/>
        <v>10000000.000000101</v>
      </c>
      <c r="S205" s="33">
        <f t="shared" si="130"/>
        <v>10000000.000000101</v>
      </c>
      <c r="T205" s="33">
        <f t="shared" si="130"/>
        <v>10000000.000000101</v>
      </c>
      <c r="U205" s="33">
        <f t="shared" si="130"/>
        <v>10000000.000000101</v>
      </c>
      <c r="V205" s="33">
        <f t="shared" si="130"/>
        <v>10000000.000000101</v>
      </c>
      <c r="W205" s="33">
        <f t="shared" si="130"/>
        <v>10000000.000000101</v>
      </c>
      <c r="X205" s="33">
        <f t="shared" si="130"/>
        <v>10000000.000000101</v>
      </c>
      <c r="Y205" s="33">
        <f t="shared" si="130"/>
        <v>10000000.000000101</v>
      </c>
      <c r="Z205" s="33">
        <f t="shared" si="130"/>
        <v>10000000.000000101</v>
      </c>
      <c r="AA205" s="33">
        <f t="shared" si="130"/>
        <v>10000000.000000101</v>
      </c>
      <c r="AB205" s="33">
        <f t="shared" si="130"/>
        <v>10000000.000000101</v>
      </c>
      <c r="AC205" s="33">
        <f t="shared" si="130"/>
        <v>10000000.000000101</v>
      </c>
      <c r="AD205" s="33">
        <f t="shared" si="130"/>
        <v>10000000.000000101</v>
      </c>
      <c r="AE205" s="33">
        <f t="shared" si="130"/>
        <v>10000000.000000101</v>
      </c>
      <c r="AF205" s="33">
        <f t="shared" si="130"/>
        <v>10000000.000000101</v>
      </c>
      <c r="AG205" s="33">
        <f t="shared" si="130"/>
        <v>10000000.000000101</v>
      </c>
      <c r="AH205" s="33"/>
    </row>
    <row r="206" spans="2:34">
      <c r="B206" t="str">
        <f t="shared" si="126"/>
        <v>solar thermal central reciever</v>
      </c>
      <c r="C206">
        <f t="shared" si="127"/>
        <v>0</v>
      </c>
      <c r="D206">
        <f t="shared" si="127"/>
        <v>10000000</v>
      </c>
      <c r="E206">
        <f t="shared" si="127"/>
        <v>0</v>
      </c>
      <c r="F206">
        <f t="shared" si="128"/>
        <v>0</v>
      </c>
      <c r="H206" s="33">
        <f t="shared" si="129"/>
        <v>10000000.00000011</v>
      </c>
      <c r="I206" s="33">
        <f t="shared" si="129"/>
        <v>10000000.00000011</v>
      </c>
      <c r="J206" s="33">
        <f t="shared" si="129"/>
        <v>10000000.00000011</v>
      </c>
      <c r="K206" s="33">
        <f t="shared" si="129"/>
        <v>10000000.00000011</v>
      </c>
      <c r="L206" s="33">
        <f t="shared" si="130"/>
        <v>10000000.00000011</v>
      </c>
      <c r="M206" s="33">
        <f t="shared" si="130"/>
        <v>10000000.00000011</v>
      </c>
      <c r="N206" s="33">
        <f t="shared" si="130"/>
        <v>10000000.00000011</v>
      </c>
      <c r="O206" s="33">
        <f t="shared" si="130"/>
        <v>10000000.00000011</v>
      </c>
      <c r="P206" s="33">
        <f t="shared" si="130"/>
        <v>10000000.00000011</v>
      </c>
      <c r="Q206" s="33">
        <f t="shared" si="130"/>
        <v>10000000.00000011</v>
      </c>
      <c r="R206" s="33">
        <f t="shared" si="130"/>
        <v>10000000.00000011</v>
      </c>
      <c r="S206" s="33">
        <f t="shared" si="130"/>
        <v>10000000.00000011</v>
      </c>
      <c r="T206" s="33">
        <f t="shared" si="130"/>
        <v>10000000.00000011</v>
      </c>
      <c r="U206" s="33">
        <f t="shared" si="130"/>
        <v>10000000.00000011</v>
      </c>
      <c r="V206" s="33">
        <f t="shared" si="130"/>
        <v>10000000.00000011</v>
      </c>
      <c r="W206" s="33">
        <f t="shared" si="130"/>
        <v>10000000.00000011</v>
      </c>
      <c r="X206" s="33">
        <f t="shared" si="130"/>
        <v>10000000.00000011</v>
      </c>
      <c r="Y206" s="33">
        <f t="shared" si="130"/>
        <v>10000000.00000011</v>
      </c>
      <c r="Z206" s="33">
        <f t="shared" si="130"/>
        <v>10000000.00000011</v>
      </c>
      <c r="AA206" s="33">
        <f t="shared" si="130"/>
        <v>10000000.00000011</v>
      </c>
      <c r="AB206" s="33">
        <f t="shared" si="130"/>
        <v>10000000.00000011</v>
      </c>
      <c r="AC206" s="33">
        <f t="shared" si="130"/>
        <v>10000000.00000011</v>
      </c>
      <c r="AD206" s="33">
        <f t="shared" si="130"/>
        <v>10000000.00000011</v>
      </c>
      <c r="AE206" s="33">
        <f t="shared" si="130"/>
        <v>10000000.00000011</v>
      </c>
      <c r="AF206" s="33">
        <f t="shared" si="130"/>
        <v>10000000.00000011</v>
      </c>
      <c r="AG206" s="33">
        <f t="shared" si="130"/>
        <v>10000000.00000011</v>
      </c>
      <c r="AH206" s="33"/>
    </row>
    <row r="207" spans="2:34">
      <c r="B207" t="str">
        <f t="shared" si="126"/>
        <v>solar thermal trough</v>
      </c>
      <c r="C207">
        <f t="shared" si="127"/>
        <v>0</v>
      </c>
      <c r="D207">
        <f t="shared" si="127"/>
        <v>10000000</v>
      </c>
      <c r="E207">
        <f t="shared" si="127"/>
        <v>0</v>
      </c>
      <c r="F207">
        <f t="shared" si="128"/>
        <v>0</v>
      </c>
      <c r="H207" s="33">
        <f t="shared" si="129"/>
        <v>10000000.000000119</v>
      </c>
      <c r="I207" s="33">
        <f t="shared" si="129"/>
        <v>10000000.000000119</v>
      </c>
      <c r="J207" s="33">
        <f t="shared" si="129"/>
        <v>10000000.000000119</v>
      </c>
      <c r="K207" s="33">
        <f t="shared" si="129"/>
        <v>10000000.000000119</v>
      </c>
      <c r="L207" s="33">
        <f t="shared" si="130"/>
        <v>10000000.000000119</v>
      </c>
      <c r="M207" s="33">
        <f t="shared" si="130"/>
        <v>10000000.000000119</v>
      </c>
      <c r="N207" s="33">
        <f t="shared" si="130"/>
        <v>10000000.000000119</v>
      </c>
      <c r="O207" s="33">
        <f t="shared" si="130"/>
        <v>10000000.000000119</v>
      </c>
      <c r="P207" s="33">
        <f t="shared" si="130"/>
        <v>10000000.000000119</v>
      </c>
      <c r="Q207" s="33">
        <f t="shared" si="130"/>
        <v>10000000.000000119</v>
      </c>
      <c r="R207" s="33">
        <f t="shared" si="130"/>
        <v>10000000.000000119</v>
      </c>
      <c r="S207" s="33">
        <f t="shared" si="130"/>
        <v>10000000.000000119</v>
      </c>
      <c r="T207" s="33">
        <f t="shared" si="130"/>
        <v>10000000.000000119</v>
      </c>
      <c r="U207" s="33">
        <f t="shared" si="130"/>
        <v>10000000.000000119</v>
      </c>
      <c r="V207" s="33">
        <f t="shared" si="130"/>
        <v>10000000.000000119</v>
      </c>
      <c r="W207" s="33">
        <f t="shared" si="130"/>
        <v>10000000.000000119</v>
      </c>
      <c r="X207" s="33">
        <f t="shared" si="130"/>
        <v>10000000.000000119</v>
      </c>
      <c r="Y207" s="33">
        <f t="shared" si="130"/>
        <v>10000000.000000119</v>
      </c>
      <c r="Z207" s="33">
        <f t="shared" si="130"/>
        <v>10000000.000000119</v>
      </c>
      <c r="AA207" s="33">
        <f t="shared" si="130"/>
        <v>10000000.000000119</v>
      </c>
      <c r="AB207" s="33">
        <f t="shared" si="130"/>
        <v>10000000.000000119</v>
      </c>
      <c r="AC207" s="33">
        <f t="shared" si="130"/>
        <v>10000000.000000119</v>
      </c>
      <c r="AD207" s="33">
        <f t="shared" si="130"/>
        <v>10000000.000000119</v>
      </c>
      <c r="AE207" s="33">
        <f t="shared" si="130"/>
        <v>10000000.000000119</v>
      </c>
      <c r="AF207" s="33">
        <f t="shared" si="130"/>
        <v>10000000.000000119</v>
      </c>
      <c r="AG207" s="33">
        <f t="shared" si="130"/>
        <v>10000000.000000119</v>
      </c>
      <c r="AH207" s="33"/>
    </row>
    <row r="208" spans="2:34">
      <c r="B208" t="str">
        <f t="shared" si="126"/>
        <v>solar PV</v>
      </c>
      <c r="C208">
        <f t="shared" si="127"/>
        <v>0</v>
      </c>
      <c r="D208">
        <f t="shared" si="127"/>
        <v>10000000</v>
      </c>
      <c r="E208">
        <f t="shared" si="127"/>
        <v>0</v>
      </c>
      <c r="F208">
        <f t="shared" si="128"/>
        <v>0</v>
      </c>
      <c r="H208" s="33">
        <f t="shared" si="129"/>
        <v>10000000.00000013</v>
      </c>
      <c r="I208" s="33">
        <f t="shared" si="129"/>
        <v>10000000.00000013</v>
      </c>
      <c r="J208" s="33">
        <f t="shared" si="129"/>
        <v>10000000.00000013</v>
      </c>
      <c r="K208" s="33">
        <f t="shared" si="129"/>
        <v>10000000.00000013</v>
      </c>
      <c r="L208" s="33">
        <f t="shared" si="130"/>
        <v>10000000.00000013</v>
      </c>
      <c r="M208" s="33">
        <f t="shared" si="130"/>
        <v>10000000.00000013</v>
      </c>
      <c r="N208" s="33">
        <f t="shared" si="130"/>
        <v>10000000.00000013</v>
      </c>
      <c r="O208" s="33">
        <f t="shared" si="130"/>
        <v>10000000.00000013</v>
      </c>
      <c r="P208" s="33">
        <f t="shared" si="130"/>
        <v>10000000.00000013</v>
      </c>
      <c r="Q208" s="33">
        <f t="shared" si="130"/>
        <v>10000000.00000013</v>
      </c>
      <c r="R208" s="33">
        <f t="shared" ref="L208:AG215" si="132">R159+SUM($C208:$G208)+$C159*SUM($C208:$G208)</f>
        <v>10000000.00000013</v>
      </c>
      <c r="S208" s="33">
        <f t="shared" si="132"/>
        <v>10000000.00000013</v>
      </c>
      <c r="T208" s="33">
        <f t="shared" si="132"/>
        <v>10000000.00000013</v>
      </c>
      <c r="U208" s="33">
        <f t="shared" si="132"/>
        <v>10000000.00000013</v>
      </c>
      <c r="V208" s="33">
        <f t="shared" si="132"/>
        <v>10000000.00000013</v>
      </c>
      <c r="W208" s="33">
        <f t="shared" si="132"/>
        <v>10000000.00000013</v>
      </c>
      <c r="X208" s="33">
        <f t="shared" si="132"/>
        <v>10000000.00000013</v>
      </c>
      <c r="Y208" s="33">
        <f t="shared" si="132"/>
        <v>10000000.00000013</v>
      </c>
      <c r="Z208" s="33">
        <f t="shared" si="132"/>
        <v>10000000.00000013</v>
      </c>
      <c r="AA208" s="33">
        <f t="shared" si="132"/>
        <v>10000000.00000013</v>
      </c>
      <c r="AB208" s="33">
        <f t="shared" si="132"/>
        <v>10000000.00000013</v>
      </c>
      <c r="AC208" s="33">
        <f t="shared" si="132"/>
        <v>10000000.00000013</v>
      </c>
      <c r="AD208" s="33">
        <f t="shared" si="132"/>
        <v>10000000.00000013</v>
      </c>
      <c r="AE208" s="33">
        <f t="shared" si="132"/>
        <v>10000000.00000013</v>
      </c>
      <c r="AF208" s="33">
        <f t="shared" si="132"/>
        <v>10000000.00000013</v>
      </c>
      <c r="AG208" s="33">
        <f t="shared" si="132"/>
        <v>10000000.00000013</v>
      </c>
      <c r="AH208" s="33"/>
    </row>
    <row r="209" spans="2:34">
      <c r="B209" t="str">
        <f t="shared" si="126"/>
        <v>combined cycle gas</v>
      </c>
      <c r="C209">
        <f t="shared" si="127"/>
        <v>0</v>
      </c>
      <c r="D209">
        <f t="shared" si="127"/>
        <v>0</v>
      </c>
      <c r="E209">
        <f t="shared" si="127"/>
        <v>0</v>
      </c>
      <c r="F209">
        <f t="shared" si="128"/>
        <v>1</v>
      </c>
      <c r="H209" s="33">
        <f t="shared" si="129"/>
        <v>259.20907154176211</v>
      </c>
      <c r="I209" s="33">
        <f t="shared" si="129"/>
        <v>294.25516448798976</v>
      </c>
      <c r="J209" s="33">
        <f t="shared" si="129"/>
        <v>311.77821096110358</v>
      </c>
      <c r="K209" s="33">
        <f t="shared" si="129"/>
        <v>460.72410598257113</v>
      </c>
      <c r="L209" s="33">
        <f t="shared" si="132"/>
        <v>324.92049581593892</v>
      </c>
      <c r="M209" s="33">
        <f t="shared" si="132"/>
        <v>342.44354228905286</v>
      </c>
      <c r="N209" s="33">
        <f t="shared" si="132"/>
        <v>359.96658876216657</v>
      </c>
      <c r="O209" s="33">
        <f t="shared" si="132"/>
        <v>377.4896352352805</v>
      </c>
      <c r="P209" s="33">
        <f t="shared" si="132"/>
        <v>395.01268170839433</v>
      </c>
      <c r="Q209" s="33">
        <f t="shared" si="132"/>
        <v>412.53572818150815</v>
      </c>
      <c r="R209" s="33">
        <f t="shared" si="132"/>
        <v>430.05877465462197</v>
      </c>
      <c r="S209" s="33">
        <f t="shared" si="132"/>
        <v>447.58182112773591</v>
      </c>
      <c r="T209" s="33">
        <f t="shared" si="132"/>
        <v>465.10486760084962</v>
      </c>
      <c r="U209" s="33">
        <f t="shared" si="132"/>
        <v>482.62791407396344</v>
      </c>
      <c r="V209" s="33">
        <f t="shared" si="132"/>
        <v>500.15096054707726</v>
      </c>
      <c r="W209" s="33">
        <f t="shared" si="132"/>
        <v>517.67400702019108</v>
      </c>
      <c r="X209" s="33">
        <f t="shared" si="132"/>
        <v>535.19705349330502</v>
      </c>
      <c r="Y209" s="33">
        <f t="shared" si="132"/>
        <v>552.72009996641884</v>
      </c>
      <c r="Z209" s="33">
        <f t="shared" si="132"/>
        <v>570.24314643953267</v>
      </c>
      <c r="AA209" s="33">
        <f t="shared" si="132"/>
        <v>587.76619291264649</v>
      </c>
      <c r="AB209" s="33">
        <f t="shared" si="132"/>
        <v>605.2892393857602</v>
      </c>
      <c r="AC209" s="33">
        <f t="shared" si="132"/>
        <v>622.81228585887402</v>
      </c>
      <c r="AD209" s="33">
        <f t="shared" si="132"/>
        <v>640.33533233198796</v>
      </c>
      <c r="AE209" s="33">
        <f t="shared" si="132"/>
        <v>657.85837880510178</v>
      </c>
      <c r="AF209" s="33">
        <f t="shared" si="132"/>
        <v>675.38142527821572</v>
      </c>
      <c r="AG209" s="33">
        <f t="shared" si="132"/>
        <v>692.90447175132954</v>
      </c>
      <c r="AH209" s="33"/>
    </row>
    <row r="210" spans="2:34">
      <c r="B210" t="str">
        <f t="shared" si="126"/>
        <v>PBMR</v>
      </c>
      <c r="C210">
        <f t="shared" si="127"/>
        <v>0</v>
      </c>
      <c r="D210">
        <f t="shared" si="127"/>
        <v>0</v>
      </c>
      <c r="E210">
        <f t="shared" si="127"/>
        <v>100000</v>
      </c>
      <c r="F210">
        <f t="shared" si="128"/>
        <v>0</v>
      </c>
      <c r="H210" s="33">
        <f t="shared" si="129"/>
        <v>100036.87465496516</v>
      </c>
      <c r="I210" s="33">
        <f t="shared" si="129"/>
        <v>100038.67451097668</v>
      </c>
      <c r="J210" s="33">
        <f t="shared" si="129"/>
        <v>100040.47436698819</v>
      </c>
      <c r="K210" s="33">
        <f t="shared" si="129"/>
        <v>100042.27422299971</v>
      </c>
      <c r="L210" s="33">
        <f t="shared" si="132"/>
        <v>100044.98959046291</v>
      </c>
      <c r="M210" s="33">
        <f t="shared" si="132"/>
        <v>100045.08416082076</v>
      </c>
      <c r="N210" s="33">
        <f t="shared" si="132"/>
        <v>100045.17920403037</v>
      </c>
      <c r="O210" s="33">
        <f t="shared" si="132"/>
        <v>100045.27472245604</v>
      </c>
      <c r="P210" s="33">
        <f t="shared" si="132"/>
        <v>100045.37071847385</v>
      </c>
      <c r="Q210" s="33">
        <f t="shared" si="132"/>
        <v>100045.46719447173</v>
      </c>
      <c r="R210" s="33">
        <f t="shared" si="132"/>
        <v>100045.56415284961</v>
      </c>
      <c r="S210" s="33">
        <f t="shared" si="132"/>
        <v>100045.66159601937</v>
      </c>
      <c r="T210" s="33">
        <f t="shared" si="132"/>
        <v>100045.75952640499</v>
      </c>
      <c r="U210" s="33">
        <f t="shared" si="132"/>
        <v>100045.85794644254</v>
      </c>
      <c r="V210" s="33">
        <f t="shared" si="132"/>
        <v>100045.95685858028</v>
      </c>
      <c r="W210" s="33">
        <f t="shared" si="132"/>
        <v>100046.05626527869</v>
      </c>
      <c r="X210" s="33">
        <f t="shared" si="132"/>
        <v>100046.1561690106</v>
      </c>
      <c r="Y210" s="33">
        <f t="shared" si="132"/>
        <v>100046.25657226118</v>
      </c>
      <c r="Z210" s="33">
        <f t="shared" si="132"/>
        <v>100046.357477528</v>
      </c>
      <c r="AA210" s="33">
        <f t="shared" si="132"/>
        <v>100046.45888732116</v>
      </c>
      <c r="AB210" s="33">
        <f t="shared" si="132"/>
        <v>100046.56080416329</v>
      </c>
      <c r="AC210" s="33">
        <f t="shared" si="132"/>
        <v>100046.66323058963</v>
      </c>
      <c r="AD210" s="33">
        <f t="shared" si="132"/>
        <v>100046.76616914809</v>
      </c>
      <c r="AE210" s="33">
        <f t="shared" si="132"/>
        <v>100046.86962239936</v>
      </c>
      <c r="AF210" s="33">
        <f t="shared" si="132"/>
        <v>100046.97359291687</v>
      </c>
      <c r="AG210" s="33">
        <f t="shared" si="132"/>
        <v>100047.07808328698</v>
      </c>
      <c r="AH210" s="33"/>
    </row>
    <row r="211" spans="2:34">
      <c r="B211" t="str">
        <f t="shared" si="126"/>
        <v>IGCC</v>
      </c>
      <c r="C211">
        <f t="shared" si="127"/>
        <v>1000000000</v>
      </c>
      <c r="D211">
        <f t="shared" si="127"/>
        <v>0</v>
      </c>
      <c r="E211">
        <f t="shared" si="127"/>
        <v>0</v>
      </c>
      <c r="F211">
        <f t="shared" si="128"/>
        <v>0</v>
      </c>
      <c r="H211" s="33">
        <f t="shared" si="129"/>
        <v>1000000071.2015892</v>
      </c>
      <c r="I211" s="33">
        <f t="shared" si="129"/>
        <v>1000000078.1363407</v>
      </c>
      <c r="J211" s="33">
        <f t="shared" si="129"/>
        <v>1000000085.0710921</v>
      </c>
      <c r="K211" s="33">
        <f t="shared" si="129"/>
        <v>1000000092.3049428</v>
      </c>
      <c r="L211" s="33">
        <f t="shared" si="132"/>
        <v>1000000092.3049428</v>
      </c>
      <c r="M211" s="33">
        <f t="shared" si="132"/>
        <v>1000000092.6932135</v>
      </c>
      <c r="N211" s="33">
        <f t="shared" si="132"/>
        <v>1000000093.0814841</v>
      </c>
      <c r="O211" s="33">
        <f t="shared" si="132"/>
        <v>1000000093.4697546</v>
      </c>
      <c r="P211" s="33">
        <f t="shared" si="132"/>
        <v>1000000093.8580252</v>
      </c>
      <c r="Q211" s="33">
        <f t="shared" si="132"/>
        <v>1000000094.2462958</v>
      </c>
      <c r="R211" s="33">
        <f t="shared" si="132"/>
        <v>1000000094.6345664</v>
      </c>
      <c r="S211" s="33">
        <f t="shared" si="132"/>
        <v>1000000095.022837</v>
      </c>
      <c r="T211" s="33">
        <f t="shared" si="132"/>
        <v>1000000095.4111077</v>
      </c>
      <c r="U211" s="33">
        <f t="shared" si="132"/>
        <v>1000000095.7993783</v>
      </c>
      <c r="V211" s="33">
        <f t="shared" si="132"/>
        <v>1000000096.1876489</v>
      </c>
      <c r="W211" s="33">
        <f t="shared" si="132"/>
        <v>1000000096.5759195</v>
      </c>
      <c r="X211" s="33">
        <f t="shared" si="132"/>
        <v>1000000096.96419</v>
      </c>
      <c r="Y211" s="33">
        <f t="shared" si="132"/>
        <v>1000000097.3524606</v>
      </c>
      <c r="Z211" s="33">
        <f t="shared" si="132"/>
        <v>1000000097.7407312</v>
      </c>
      <c r="AA211" s="33">
        <f t="shared" si="132"/>
        <v>1000000098.1290019</v>
      </c>
      <c r="AB211" s="33">
        <f t="shared" si="132"/>
        <v>1000000098.5172725</v>
      </c>
      <c r="AC211" s="33">
        <f t="shared" si="132"/>
        <v>1000000098.9055431</v>
      </c>
      <c r="AD211" s="33">
        <f t="shared" si="132"/>
        <v>1000000099.2938137</v>
      </c>
      <c r="AE211" s="33">
        <f t="shared" si="132"/>
        <v>1000000099.6820843</v>
      </c>
      <c r="AF211" s="33">
        <f t="shared" si="132"/>
        <v>1000000100.0703548</v>
      </c>
      <c r="AG211" s="33">
        <f t="shared" si="132"/>
        <v>1000000100.4586254</v>
      </c>
      <c r="AH211" s="33"/>
    </row>
    <row r="212" spans="2:34">
      <c r="B212" t="str">
        <f t="shared" si="126"/>
        <v>-</v>
      </c>
      <c r="C212">
        <f t="shared" si="127"/>
        <v>0</v>
      </c>
      <c r="D212">
        <f t="shared" si="127"/>
        <v>0</v>
      </c>
      <c r="E212">
        <f t="shared" si="127"/>
        <v>0</v>
      </c>
      <c r="F212">
        <f t="shared" si="128"/>
        <v>0</v>
      </c>
      <c r="H212" s="33">
        <f t="shared" si="129"/>
        <v>1.7E-14</v>
      </c>
      <c r="I212" s="33">
        <f t="shared" si="129"/>
        <v>1.7E-14</v>
      </c>
      <c r="J212" s="33">
        <f t="shared" si="129"/>
        <v>1.7E-14</v>
      </c>
      <c r="K212" s="33">
        <f t="shared" si="129"/>
        <v>1.7E-14</v>
      </c>
      <c r="L212" s="33">
        <f t="shared" si="132"/>
        <v>1.7E-14</v>
      </c>
      <c r="M212" s="33">
        <f t="shared" si="132"/>
        <v>1.7E-14</v>
      </c>
      <c r="N212" s="33">
        <f t="shared" si="132"/>
        <v>1.7E-14</v>
      </c>
      <c r="O212" s="33">
        <f t="shared" si="132"/>
        <v>1.7E-14</v>
      </c>
      <c r="P212" s="33">
        <f t="shared" si="132"/>
        <v>1.7E-14</v>
      </c>
      <c r="Q212" s="33">
        <f t="shared" si="132"/>
        <v>1.7E-14</v>
      </c>
      <c r="R212" s="33">
        <f t="shared" si="132"/>
        <v>1.7E-14</v>
      </c>
      <c r="S212" s="33">
        <f t="shared" si="132"/>
        <v>1.7E-14</v>
      </c>
      <c r="T212" s="33">
        <f t="shared" si="132"/>
        <v>1.7E-14</v>
      </c>
      <c r="U212" s="33">
        <f t="shared" si="132"/>
        <v>1.7E-14</v>
      </c>
      <c r="V212" s="33">
        <f t="shared" si="132"/>
        <v>1.7E-14</v>
      </c>
      <c r="W212" s="33">
        <f t="shared" si="132"/>
        <v>1.7E-14</v>
      </c>
      <c r="X212" s="33">
        <f t="shared" si="132"/>
        <v>1.7E-14</v>
      </c>
      <c r="Y212" s="33">
        <f t="shared" si="132"/>
        <v>1.7E-14</v>
      </c>
      <c r="Z212" s="33">
        <f t="shared" si="132"/>
        <v>1.7E-14</v>
      </c>
      <c r="AA212" s="33">
        <f t="shared" si="132"/>
        <v>1.7E-14</v>
      </c>
      <c r="AB212" s="33">
        <f t="shared" si="132"/>
        <v>1.7E-14</v>
      </c>
      <c r="AC212" s="33">
        <f t="shared" si="132"/>
        <v>1.7E-14</v>
      </c>
      <c r="AD212" s="33">
        <f t="shared" si="132"/>
        <v>1.7E-14</v>
      </c>
      <c r="AE212" s="33">
        <f t="shared" si="132"/>
        <v>1.7E-14</v>
      </c>
      <c r="AF212" s="33">
        <f t="shared" si="132"/>
        <v>1.7E-14</v>
      </c>
      <c r="AG212" s="33">
        <f t="shared" si="132"/>
        <v>1.7E-14</v>
      </c>
      <c r="AH212" s="33"/>
    </row>
    <row r="213" spans="2:34">
      <c r="B213" t="str">
        <f t="shared" si="126"/>
        <v>-</v>
      </c>
      <c r="C213">
        <f t="shared" si="127"/>
        <v>0</v>
      </c>
      <c r="D213">
        <f t="shared" si="127"/>
        <v>0</v>
      </c>
      <c r="E213">
        <f t="shared" si="127"/>
        <v>0</v>
      </c>
      <c r="F213">
        <f t="shared" si="128"/>
        <v>0</v>
      </c>
      <c r="H213" s="33">
        <f t="shared" si="129"/>
        <v>1.8000000000000002E-14</v>
      </c>
      <c r="I213" s="33">
        <f t="shared" si="129"/>
        <v>1.8000000000000002E-14</v>
      </c>
      <c r="J213" s="33">
        <f t="shared" si="129"/>
        <v>1.8000000000000002E-14</v>
      </c>
      <c r="K213" s="33">
        <f t="shared" si="129"/>
        <v>1.8000000000000002E-14</v>
      </c>
      <c r="L213" s="33">
        <f t="shared" si="132"/>
        <v>1.8000000000000002E-14</v>
      </c>
      <c r="M213" s="33">
        <f t="shared" si="132"/>
        <v>1.8000000000000002E-14</v>
      </c>
      <c r="N213" s="33">
        <f t="shared" si="132"/>
        <v>1.8000000000000002E-14</v>
      </c>
      <c r="O213" s="33">
        <f t="shared" si="132"/>
        <v>1.8000000000000002E-14</v>
      </c>
      <c r="P213" s="33">
        <f t="shared" si="132"/>
        <v>1.8000000000000002E-14</v>
      </c>
      <c r="Q213" s="33">
        <f t="shared" si="132"/>
        <v>1.8000000000000002E-14</v>
      </c>
      <c r="R213" s="33">
        <f t="shared" si="132"/>
        <v>1.8000000000000002E-14</v>
      </c>
      <c r="S213" s="33">
        <f t="shared" si="132"/>
        <v>1.8000000000000002E-14</v>
      </c>
      <c r="T213" s="33">
        <f t="shared" si="132"/>
        <v>1.8000000000000002E-14</v>
      </c>
      <c r="U213" s="33">
        <f t="shared" si="132"/>
        <v>1.8000000000000002E-14</v>
      </c>
      <c r="V213" s="33">
        <f t="shared" si="132"/>
        <v>1.8000000000000002E-14</v>
      </c>
      <c r="W213" s="33">
        <f t="shared" si="132"/>
        <v>1.8000000000000002E-14</v>
      </c>
      <c r="X213" s="33">
        <f t="shared" si="132"/>
        <v>1.8000000000000002E-14</v>
      </c>
      <c r="Y213" s="33">
        <f t="shared" si="132"/>
        <v>1.8000000000000002E-14</v>
      </c>
      <c r="Z213" s="33">
        <f t="shared" si="132"/>
        <v>1.8000000000000002E-14</v>
      </c>
      <c r="AA213" s="33">
        <f t="shared" si="132"/>
        <v>1.8000000000000002E-14</v>
      </c>
      <c r="AB213" s="33">
        <f t="shared" si="132"/>
        <v>1.8000000000000002E-14</v>
      </c>
      <c r="AC213" s="33">
        <f t="shared" si="132"/>
        <v>1.8000000000000002E-14</v>
      </c>
      <c r="AD213" s="33">
        <f t="shared" si="132"/>
        <v>1.8000000000000002E-14</v>
      </c>
      <c r="AE213" s="33">
        <f t="shared" si="132"/>
        <v>1.8000000000000002E-14</v>
      </c>
      <c r="AF213" s="33">
        <f t="shared" si="132"/>
        <v>1.8000000000000002E-14</v>
      </c>
      <c r="AG213" s="33">
        <f t="shared" si="132"/>
        <v>1.8000000000000002E-14</v>
      </c>
      <c r="AH213" s="33"/>
    </row>
    <row r="214" spans="2:34">
      <c r="B214" t="str">
        <f t="shared" si="126"/>
        <v>-</v>
      </c>
      <c r="C214">
        <f t="shared" si="127"/>
        <v>0</v>
      </c>
      <c r="D214">
        <f t="shared" si="127"/>
        <v>0</v>
      </c>
      <c r="E214">
        <f t="shared" si="127"/>
        <v>0</v>
      </c>
      <c r="F214">
        <f t="shared" si="128"/>
        <v>0</v>
      </c>
      <c r="H214" s="33">
        <f t="shared" si="129"/>
        <v>1.9000000000000001E-14</v>
      </c>
      <c r="I214" s="33">
        <f t="shared" si="129"/>
        <v>1.9000000000000001E-14</v>
      </c>
      <c r="J214" s="33">
        <f t="shared" si="129"/>
        <v>1.9000000000000001E-14</v>
      </c>
      <c r="K214" s="33">
        <f t="shared" si="129"/>
        <v>1.9000000000000001E-14</v>
      </c>
      <c r="L214" s="33">
        <f t="shared" si="132"/>
        <v>1.9000000000000001E-14</v>
      </c>
      <c r="M214" s="33">
        <f t="shared" si="132"/>
        <v>1.9000000000000001E-14</v>
      </c>
      <c r="N214" s="33">
        <f t="shared" si="132"/>
        <v>1.9000000000000001E-14</v>
      </c>
      <c r="O214" s="33">
        <f t="shared" si="132"/>
        <v>1.9000000000000001E-14</v>
      </c>
      <c r="P214" s="33">
        <f t="shared" si="132"/>
        <v>1.9000000000000001E-14</v>
      </c>
      <c r="Q214" s="33">
        <f t="shared" si="132"/>
        <v>1.9000000000000001E-14</v>
      </c>
      <c r="R214" s="33">
        <f t="shared" si="132"/>
        <v>1.9000000000000001E-14</v>
      </c>
      <c r="S214" s="33">
        <f t="shared" si="132"/>
        <v>1.9000000000000001E-14</v>
      </c>
      <c r="T214" s="33">
        <f t="shared" si="132"/>
        <v>1.9000000000000001E-14</v>
      </c>
      <c r="U214" s="33">
        <f t="shared" si="132"/>
        <v>1.9000000000000001E-14</v>
      </c>
      <c r="V214" s="33">
        <f t="shared" si="132"/>
        <v>1.9000000000000001E-14</v>
      </c>
      <c r="W214" s="33">
        <f t="shared" si="132"/>
        <v>1.9000000000000001E-14</v>
      </c>
      <c r="X214" s="33">
        <f t="shared" si="132"/>
        <v>1.9000000000000001E-14</v>
      </c>
      <c r="Y214" s="33">
        <f t="shared" si="132"/>
        <v>1.9000000000000001E-14</v>
      </c>
      <c r="Z214" s="33">
        <f t="shared" si="132"/>
        <v>1.9000000000000001E-14</v>
      </c>
      <c r="AA214" s="33">
        <f t="shared" si="132"/>
        <v>1.9000000000000001E-14</v>
      </c>
      <c r="AB214" s="33">
        <f t="shared" si="132"/>
        <v>1.9000000000000001E-14</v>
      </c>
      <c r="AC214" s="33">
        <f t="shared" si="132"/>
        <v>1.9000000000000001E-14</v>
      </c>
      <c r="AD214" s="33">
        <f t="shared" si="132"/>
        <v>1.9000000000000001E-14</v>
      </c>
      <c r="AE214" s="33">
        <f t="shared" si="132"/>
        <v>1.9000000000000001E-14</v>
      </c>
      <c r="AF214" s="33">
        <f t="shared" si="132"/>
        <v>1.9000000000000001E-14</v>
      </c>
      <c r="AG214" s="33">
        <f t="shared" si="132"/>
        <v>1.9000000000000001E-14</v>
      </c>
      <c r="AH214" s="33"/>
    </row>
    <row r="215" spans="2:34">
      <c r="B215" t="str">
        <f t="shared" si="126"/>
        <v>Pumped storage</v>
      </c>
      <c r="C215">
        <f t="shared" si="127"/>
        <v>0</v>
      </c>
      <c r="D215">
        <f t="shared" si="127"/>
        <v>0</v>
      </c>
      <c r="E215">
        <f t="shared" si="127"/>
        <v>0</v>
      </c>
      <c r="F215">
        <f t="shared" si="128"/>
        <v>0</v>
      </c>
      <c r="H215" s="33">
        <f t="shared" si="129"/>
        <v>2.0000000000000003E-14</v>
      </c>
      <c r="I215" s="33">
        <f t="shared" si="129"/>
        <v>2.0000000000000003E-14</v>
      </c>
      <c r="J215" s="33">
        <f t="shared" si="129"/>
        <v>2.0000000000000003E-14</v>
      </c>
      <c r="K215" s="33">
        <f t="shared" si="129"/>
        <v>2.0000000000000003E-14</v>
      </c>
      <c r="L215" s="33">
        <f t="shared" si="132"/>
        <v>2.0000000000000003E-14</v>
      </c>
      <c r="M215" s="33">
        <f t="shared" si="132"/>
        <v>2.0000000000000003E-14</v>
      </c>
      <c r="N215" s="33">
        <f t="shared" si="132"/>
        <v>2.0000000000000003E-14</v>
      </c>
      <c r="O215" s="33">
        <f t="shared" si="132"/>
        <v>2.0000000000000003E-14</v>
      </c>
      <c r="P215" s="33">
        <f t="shared" si="132"/>
        <v>2.0000000000000003E-14</v>
      </c>
      <c r="Q215" s="33">
        <f t="shared" si="132"/>
        <v>2.0000000000000003E-14</v>
      </c>
      <c r="R215" s="33">
        <f t="shared" si="132"/>
        <v>2.0000000000000003E-14</v>
      </c>
      <c r="S215" s="33">
        <f t="shared" si="132"/>
        <v>2.0000000000000003E-14</v>
      </c>
      <c r="T215" s="33">
        <f t="shared" si="132"/>
        <v>2.0000000000000003E-14</v>
      </c>
      <c r="U215" s="33">
        <f t="shared" si="132"/>
        <v>2.0000000000000003E-14</v>
      </c>
      <c r="V215" s="33">
        <f t="shared" si="132"/>
        <v>2.0000000000000003E-14</v>
      </c>
      <c r="W215" s="33">
        <f t="shared" si="132"/>
        <v>2.0000000000000003E-14</v>
      </c>
      <c r="X215" s="33">
        <f t="shared" si="132"/>
        <v>2.0000000000000003E-14</v>
      </c>
      <c r="Y215" s="33">
        <f t="shared" si="132"/>
        <v>2.0000000000000003E-14</v>
      </c>
      <c r="Z215" s="33">
        <f t="shared" si="132"/>
        <v>2.0000000000000003E-14</v>
      </c>
      <c r="AA215" s="33">
        <f t="shared" si="132"/>
        <v>2.0000000000000003E-14</v>
      </c>
      <c r="AB215" s="33">
        <f t="shared" si="132"/>
        <v>2.0000000000000003E-14</v>
      </c>
      <c r="AC215" s="33">
        <f t="shared" si="132"/>
        <v>2.0000000000000003E-14</v>
      </c>
      <c r="AD215" s="33">
        <f t="shared" si="132"/>
        <v>2.0000000000000003E-14</v>
      </c>
      <c r="AE215" s="33">
        <f t="shared" si="132"/>
        <v>2.0000000000000003E-14</v>
      </c>
      <c r="AF215" s="33">
        <f t="shared" si="132"/>
        <v>2.0000000000000003E-14</v>
      </c>
      <c r="AG215" s="33">
        <f t="shared" si="132"/>
        <v>2.0000000000000003E-14</v>
      </c>
      <c r="AH215" s="33"/>
    </row>
    <row r="217" spans="2:34">
      <c r="B217" s="11" t="s">
        <v>223</v>
      </c>
      <c r="C217">
        <f>1000000000</f>
        <v>1000000000</v>
      </c>
      <c r="D217" s="25">
        <v>10000000</v>
      </c>
      <c r="E217" s="25">
        <v>100000</v>
      </c>
      <c r="F217">
        <v>1</v>
      </c>
    </row>
    <row r="219" spans="2:34">
      <c r="B219" s="44" t="s">
        <v>225</v>
      </c>
    </row>
    <row r="220" spans="2:34">
      <c r="B220" t="str">
        <f>B6</f>
        <v>Existing coal Large</v>
      </c>
      <c r="H220" s="29">
        <f t="shared" ref="H220:J238" si="133">RANK(H196,H$196:H$214,1)+1</f>
        <v>17</v>
      </c>
      <c r="I220" s="29">
        <f t="shared" si="133"/>
        <v>17</v>
      </c>
      <c r="J220" s="29">
        <f t="shared" si="133"/>
        <v>17</v>
      </c>
      <c r="K220" s="29">
        <f t="shared" ref="K220:AG220" si="134">RANK(K196,K$196:K$214,1)+1</f>
        <v>17</v>
      </c>
      <c r="L220" s="29">
        <f t="shared" si="134"/>
        <v>17</v>
      </c>
      <c r="M220" s="29">
        <f t="shared" si="134"/>
        <v>17</v>
      </c>
      <c r="N220" s="29">
        <f t="shared" si="134"/>
        <v>17</v>
      </c>
      <c r="O220" s="29">
        <f t="shared" si="134"/>
        <v>17</v>
      </c>
      <c r="P220" s="29">
        <f t="shared" si="134"/>
        <v>17</v>
      </c>
      <c r="Q220" s="29">
        <f t="shared" si="134"/>
        <v>17</v>
      </c>
      <c r="R220" s="29">
        <f t="shared" si="134"/>
        <v>17</v>
      </c>
      <c r="S220" s="29">
        <f t="shared" si="134"/>
        <v>17</v>
      </c>
      <c r="T220" s="29">
        <f t="shared" si="134"/>
        <v>17</v>
      </c>
      <c r="U220" s="29">
        <f t="shared" si="134"/>
        <v>17</v>
      </c>
      <c r="V220" s="29">
        <f t="shared" si="134"/>
        <v>17</v>
      </c>
      <c r="W220" s="29">
        <f t="shared" si="134"/>
        <v>17</v>
      </c>
      <c r="X220" s="29">
        <f t="shared" si="134"/>
        <v>17</v>
      </c>
      <c r="Y220" s="29">
        <f t="shared" si="134"/>
        <v>17</v>
      </c>
      <c r="Z220" s="29">
        <f t="shared" si="134"/>
        <v>17</v>
      </c>
      <c r="AA220" s="29">
        <f t="shared" si="134"/>
        <v>17</v>
      </c>
      <c r="AB220" s="29">
        <f t="shared" si="134"/>
        <v>17</v>
      </c>
      <c r="AC220" s="29">
        <f t="shared" si="134"/>
        <v>17</v>
      </c>
      <c r="AD220" s="29">
        <f t="shared" si="134"/>
        <v>17</v>
      </c>
      <c r="AE220" s="29">
        <f t="shared" si="134"/>
        <v>17</v>
      </c>
      <c r="AF220" s="29">
        <f t="shared" si="134"/>
        <v>17</v>
      </c>
      <c r="AG220" s="29">
        <f t="shared" si="134"/>
        <v>17</v>
      </c>
      <c r="AH220" s="29"/>
    </row>
    <row r="221" spans="2:34">
      <c r="B221" t="str">
        <f t="shared" ref="B221:B239" si="135">B7</f>
        <v>Existing coal Small</v>
      </c>
      <c r="H221" s="29">
        <f t="shared" si="133"/>
        <v>19</v>
      </c>
      <c r="I221" s="29">
        <f t="shared" si="133"/>
        <v>19</v>
      </c>
      <c r="J221" s="29">
        <f t="shared" si="133"/>
        <v>20</v>
      </c>
      <c r="K221" s="29">
        <f t="shared" ref="K221:AG221" si="136">RANK(K197,K$196:K$214,1)+1</f>
        <v>20</v>
      </c>
      <c r="L221" s="29">
        <f t="shared" si="136"/>
        <v>20</v>
      </c>
      <c r="M221" s="29">
        <f t="shared" si="136"/>
        <v>20</v>
      </c>
      <c r="N221" s="29">
        <f t="shared" si="136"/>
        <v>20</v>
      </c>
      <c r="O221" s="29">
        <f t="shared" si="136"/>
        <v>20</v>
      </c>
      <c r="P221" s="29">
        <f t="shared" si="136"/>
        <v>20</v>
      </c>
      <c r="Q221" s="29">
        <f t="shared" si="136"/>
        <v>20</v>
      </c>
      <c r="R221" s="29">
        <f t="shared" si="136"/>
        <v>20</v>
      </c>
      <c r="S221" s="29">
        <f t="shared" si="136"/>
        <v>20</v>
      </c>
      <c r="T221" s="29">
        <f t="shared" si="136"/>
        <v>20</v>
      </c>
      <c r="U221" s="29">
        <f t="shared" si="136"/>
        <v>20</v>
      </c>
      <c r="V221" s="29">
        <f t="shared" si="136"/>
        <v>20</v>
      </c>
      <c r="W221" s="29">
        <f t="shared" si="136"/>
        <v>20</v>
      </c>
      <c r="X221" s="29">
        <f t="shared" si="136"/>
        <v>20</v>
      </c>
      <c r="Y221" s="29">
        <f t="shared" si="136"/>
        <v>20</v>
      </c>
      <c r="Z221" s="29">
        <f t="shared" si="136"/>
        <v>20</v>
      </c>
      <c r="AA221" s="29">
        <f t="shared" si="136"/>
        <v>20</v>
      </c>
      <c r="AB221" s="29">
        <f t="shared" si="136"/>
        <v>20</v>
      </c>
      <c r="AC221" s="29">
        <f t="shared" si="136"/>
        <v>20</v>
      </c>
      <c r="AD221" s="29">
        <f t="shared" si="136"/>
        <v>20</v>
      </c>
      <c r="AE221" s="29">
        <f t="shared" si="136"/>
        <v>20</v>
      </c>
      <c r="AF221" s="29">
        <f t="shared" si="136"/>
        <v>20</v>
      </c>
      <c r="AG221" s="29">
        <f t="shared" si="136"/>
        <v>20</v>
      </c>
      <c r="AH221" s="29"/>
    </row>
    <row r="222" spans="2:34">
      <c r="B222" t="str">
        <f t="shared" si="135"/>
        <v>OCGT liquid fuels</v>
      </c>
      <c r="H222" s="29">
        <f t="shared" si="133"/>
        <v>6</v>
      </c>
      <c r="I222" s="29">
        <f t="shared" si="133"/>
        <v>6</v>
      </c>
      <c r="J222" s="29">
        <f t="shared" si="133"/>
        <v>6</v>
      </c>
      <c r="K222" s="29">
        <f t="shared" ref="K222:AG222" si="137">RANK(K198,K$196:K$214,1)+1</f>
        <v>6</v>
      </c>
      <c r="L222" s="29">
        <f t="shared" si="137"/>
        <v>6</v>
      </c>
      <c r="M222" s="29">
        <f t="shared" si="137"/>
        <v>6</v>
      </c>
      <c r="N222" s="29">
        <f t="shared" si="137"/>
        <v>6</v>
      </c>
      <c r="O222" s="29">
        <f t="shared" si="137"/>
        <v>6</v>
      </c>
      <c r="P222" s="29">
        <f t="shared" si="137"/>
        <v>6</v>
      </c>
      <c r="Q222" s="29">
        <f t="shared" si="137"/>
        <v>6</v>
      </c>
      <c r="R222" s="29">
        <f t="shared" si="137"/>
        <v>6</v>
      </c>
      <c r="S222" s="29">
        <f t="shared" si="137"/>
        <v>6</v>
      </c>
      <c r="T222" s="29">
        <f t="shared" si="137"/>
        <v>6</v>
      </c>
      <c r="U222" s="29">
        <f t="shared" si="137"/>
        <v>6</v>
      </c>
      <c r="V222" s="29">
        <f t="shared" si="137"/>
        <v>6</v>
      </c>
      <c r="W222" s="29">
        <f t="shared" si="137"/>
        <v>6</v>
      </c>
      <c r="X222" s="29">
        <f t="shared" si="137"/>
        <v>6</v>
      </c>
      <c r="Y222" s="29">
        <f t="shared" si="137"/>
        <v>6</v>
      </c>
      <c r="Z222" s="29">
        <f t="shared" si="137"/>
        <v>6</v>
      </c>
      <c r="AA222" s="29">
        <f t="shared" si="137"/>
        <v>6</v>
      </c>
      <c r="AB222" s="29">
        <f t="shared" si="137"/>
        <v>6</v>
      </c>
      <c r="AC222" s="29">
        <f t="shared" si="137"/>
        <v>6</v>
      </c>
      <c r="AD222" s="29">
        <f t="shared" si="137"/>
        <v>6</v>
      </c>
      <c r="AE222" s="29">
        <f t="shared" si="137"/>
        <v>6</v>
      </c>
      <c r="AF222" s="29">
        <f t="shared" si="137"/>
        <v>6</v>
      </c>
      <c r="AG222" s="29">
        <f t="shared" si="137"/>
        <v>6</v>
      </c>
      <c r="AH222" s="29"/>
    </row>
    <row r="223" spans="2:34">
      <c r="B223" t="str">
        <f t="shared" si="135"/>
        <v>PWR nuclear</v>
      </c>
      <c r="H223" s="29">
        <f t="shared" si="133"/>
        <v>8</v>
      </c>
      <c r="I223" s="29">
        <f t="shared" si="133"/>
        <v>8</v>
      </c>
      <c r="J223" s="29">
        <f t="shared" si="133"/>
        <v>8</v>
      </c>
      <c r="K223" s="29">
        <f t="shared" ref="K223:AG223" si="138">RANK(K199,K$196:K$214,1)+1</f>
        <v>8</v>
      </c>
      <c r="L223" s="29">
        <f t="shared" si="138"/>
        <v>8</v>
      </c>
      <c r="M223" s="29">
        <f t="shared" si="138"/>
        <v>8</v>
      </c>
      <c r="N223" s="29">
        <f t="shared" si="138"/>
        <v>8</v>
      </c>
      <c r="O223" s="29">
        <f t="shared" si="138"/>
        <v>8</v>
      </c>
      <c r="P223" s="29">
        <f t="shared" si="138"/>
        <v>8</v>
      </c>
      <c r="Q223" s="29">
        <f t="shared" si="138"/>
        <v>8</v>
      </c>
      <c r="R223" s="29">
        <f t="shared" si="138"/>
        <v>8</v>
      </c>
      <c r="S223" s="29">
        <f t="shared" si="138"/>
        <v>8</v>
      </c>
      <c r="T223" s="29">
        <f t="shared" si="138"/>
        <v>8</v>
      </c>
      <c r="U223" s="29">
        <f t="shared" si="138"/>
        <v>8</v>
      </c>
      <c r="V223" s="29">
        <f t="shared" si="138"/>
        <v>8</v>
      </c>
      <c r="W223" s="29">
        <f t="shared" si="138"/>
        <v>8</v>
      </c>
      <c r="X223" s="29">
        <f t="shared" si="138"/>
        <v>8</v>
      </c>
      <c r="Y223" s="29">
        <f t="shared" si="138"/>
        <v>8</v>
      </c>
      <c r="Z223" s="29">
        <f t="shared" si="138"/>
        <v>8</v>
      </c>
      <c r="AA223" s="29">
        <f t="shared" si="138"/>
        <v>8</v>
      </c>
      <c r="AB223" s="29">
        <f t="shared" si="138"/>
        <v>8</v>
      </c>
      <c r="AC223" s="29">
        <f t="shared" si="138"/>
        <v>8</v>
      </c>
      <c r="AD223" s="29">
        <f t="shared" si="138"/>
        <v>8</v>
      </c>
      <c r="AE223" s="29">
        <f t="shared" si="138"/>
        <v>8</v>
      </c>
      <c r="AF223" s="29">
        <f t="shared" si="138"/>
        <v>8</v>
      </c>
      <c r="AG223" s="29">
        <f t="shared" si="138"/>
        <v>8</v>
      </c>
      <c r="AH223" s="29"/>
    </row>
    <row r="224" spans="2:34">
      <c r="B224" t="str">
        <f t="shared" si="135"/>
        <v>Hydro</v>
      </c>
      <c r="H224" s="29">
        <f t="shared" si="133"/>
        <v>9</v>
      </c>
      <c r="I224" s="29">
        <f t="shared" si="133"/>
        <v>9</v>
      </c>
      <c r="J224" s="29">
        <f t="shared" si="133"/>
        <v>9</v>
      </c>
      <c r="K224" s="29">
        <f t="shared" ref="K224:AG224" si="139">RANK(K200,K$196:K$214,1)+1</f>
        <v>9</v>
      </c>
      <c r="L224" s="29">
        <f t="shared" si="139"/>
        <v>9</v>
      </c>
      <c r="M224" s="29">
        <f t="shared" si="139"/>
        <v>9</v>
      </c>
      <c r="N224" s="29">
        <f t="shared" si="139"/>
        <v>9</v>
      </c>
      <c r="O224" s="29">
        <f t="shared" si="139"/>
        <v>9</v>
      </c>
      <c r="P224" s="29">
        <f t="shared" si="139"/>
        <v>9</v>
      </c>
      <c r="Q224" s="29">
        <f t="shared" si="139"/>
        <v>9</v>
      </c>
      <c r="R224" s="29">
        <f t="shared" si="139"/>
        <v>9</v>
      </c>
      <c r="S224" s="29">
        <f t="shared" si="139"/>
        <v>9</v>
      </c>
      <c r="T224" s="29">
        <f t="shared" si="139"/>
        <v>9</v>
      </c>
      <c r="U224" s="29">
        <f t="shared" si="139"/>
        <v>9</v>
      </c>
      <c r="V224" s="29">
        <f t="shared" si="139"/>
        <v>9</v>
      </c>
      <c r="W224" s="29">
        <f t="shared" si="139"/>
        <v>9</v>
      </c>
      <c r="X224" s="29">
        <f t="shared" si="139"/>
        <v>9</v>
      </c>
      <c r="Y224" s="29">
        <f t="shared" si="139"/>
        <v>9</v>
      </c>
      <c r="Z224" s="29">
        <f t="shared" si="139"/>
        <v>9</v>
      </c>
      <c r="AA224" s="29">
        <f t="shared" si="139"/>
        <v>9</v>
      </c>
      <c r="AB224" s="29">
        <f t="shared" si="139"/>
        <v>9</v>
      </c>
      <c r="AC224" s="29">
        <f t="shared" si="139"/>
        <v>9</v>
      </c>
      <c r="AD224" s="29">
        <f t="shared" si="139"/>
        <v>9</v>
      </c>
      <c r="AE224" s="29">
        <f t="shared" si="139"/>
        <v>9</v>
      </c>
      <c r="AF224" s="29">
        <f t="shared" si="139"/>
        <v>9</v>
      </c>
      <c r="AG224" s="29">
        <f t="shared" si="139"/>
        <v>9</v>
      </c>
      <c r="AH224" s="29"/>
    </row>
    <row r="225" spans="2:34">
      <c r="B225" t="str">
        <f t="shared" si="135"/>
        <v>Landfill gas</v>
      </c>
      <c r="H225" s="29">
        <f t="shared" si="133"/>
        <v>15</v>
      </c>
      <c r="I225" s="29">
        <f t="shared" si="133"/>
        <v>15</v>
      </c>
      <c r="J225" s="29">
        <f t="shared" si="133"/>
        <v>15</v>
      </c>
      <c r="K225" s="29">
        <f t="shared" ref="K225:AG225" si="140">RANK(K201,K$196:K$214,1)+1</f>
        <v>15</v>
      </c>
      <c r="L225" s="29">
        <f t="shared" si="140"/>
        <v>15</v>
      </c>
      <c r="M225" s="29">
        <f t="shared" si="140"/>
        <v>15</v>
      </c>
      <c r="N225" s="29">
        <f t="shared" si="140"/>
        <v>15</v>
      </c>
      <c r="O225" s="29">
        <f t="shared" si="140"/>
        <v>15</v>
      </c>
      <c r="P225" s="29">
        <f t="shared" si="140"/>
        <v>15</v>
      </c>
      <c r="Q225" s="29">
        <f t="shared" si="140"/>
        <v>15</v>
      </c>
      <c r="R225" s="29">
        <f t="shared" si="140"/>
        <v>15</v>
      </c>
      <c r="S225" s="29">
        <f t="shared" si="140"/>
        <v>15</v>
      </c>
      <c r="T225" s="29">
        <f t="shared" si="140"/>
        <v>15</v>
      </c>
      <c r="U225" s="29">
        <f t="shared" si="140"/>
        <v>15</v>
      </c>
      <c r="V225" s="29">
        <f t="shared" si="140"/>
        <v>15</v>
      </c>
      <c r="W225" s="29">
        <f t="shared" si="140"/>
        <v>15</v>
      </c>
      <c r="X225" s="29">
        <f t="shared" si="140"/>
        <v>15</v>
      </c>
      <c r="Y225" s="29">
        <f t="shared" si="140"/>
        <v>15</v>
      </c>
      <c r="Z225" s="29">
        <f t="shared" si="140"/>
        <v>15</v>
      </c>
      <c r="AA225" s="29">
        <f t="shared" si="140"/>
        <v>15</v>
      </c>
      <c r="AB225" s="29">
        <f t="shared" si="140"/>
        <v>15</v>
      </c>
      <c r="AC225" s="29">
        <f t="shared" si="140"/>
        <v>15</v>
      </c>
      <c r="AD225" s="29">
        <f t="shared" si="140"/>
        <v>15</v>
      </c>
      <c r="AE225" s="29">
        <f t="shared" si="140"/>
        <v>15</v>
      </c>
      <c r="AF225" s="29">
        <f t="shared" si="140"/>
        <v>15</v>
      </c>
      <c r="AG225" s="29">
        <f t="shared" si="140"/>
        <v>15</v>
      </c>
      <c r="AH225" s="29"/>
    </row>
    <row r="226" spans="2:34">
      <c r="B226" t="str">
        <f t="shared" si="135"/>
        <v>Biomass</v>
      </c>
      <c r="H226" s="29">
        <f t="shared" si="133"/>
        <v>16</v>
      </c>
      <c r="I226" s="29">
        <f t="shared" si="133"/>
        <v>16</v>
      </c>
      <c r="J226" s="29">
        <f t="shared" si="133"/>
        <v>16</v>
      </c>
      <c r="K226" s="29">
        <f t="shared" ref="K226:AG226" si="141">RANK(K202,K$196:K$214,1)+1</f>
        <v>16</v>
      </c>
      <c r="L226" s="29">
        <f t="shared" si="141"/>
        <v>16</v>
      </c>
      <c r="M226" s="29">
        <f t="shared" si="141"/>
        <v>16</v>
      </c>
      <c r="N226" s="29">
        <f t="shared" si="141"/>
        <v>16</v>
      </c>
      <c r="O226" s="29">
        <f t="shared" si="141"/>
        <v>16</v>
      </c>
      <c r="P226" s="29">
        <f t="shared" si="141"/>
        <v>16</v>
      </c>
      <c r="Q226" s="29">
        <f t="shared" si="141"/>
        <v>16</v>
      </c>
      <c r="R226" s="29">
        <f t="shared" si="141"/>
        <v>16</v>
      </c>
      <c r="S226" s="29">
        <f t="shared" si="141"/>
        <v>16</v>
      </c>
      <c r="T226" s="29">
        <f t="shared" si="141"/>
        <v>16</v>
      </c>
      <c r="U226" s="29">
        <f t="shared" si="141"/>
        <v>16</v>
      </c>
      <c r="V226" s="29">
        <f t="shared" si="141"/>
        <v>16</v>
      </c>
      <c r="W226" s="29">
        <f t="shared" si="141"/>
        <v>16</v>
      </c>
      <c r="X226" s="29">
        <f t="shared" si="141"/>
        <v>16</v>
      </c>
      <c r="Y226" s="29">
        <f t="shared" si="141"/>
        <v>16</v>
      </c>
      <c r="Z226" s="29">
        <f t="shared" si="141"/>
        <v>16</v>
      </c>
      <c r="AA226" s="29">
        <f t="shared" si="141"/>
        <v>16</v>
      </c>
      <c r="AB226" s="29">
        <f t="shared" si="141"/>
        <v>16</v>
      </c>
      <c r="AC226" s="29">
        <f t="shared" si="141"/>
        <v>16</v>
      </c>
      <c r="AD226" s="29">
        <f t="shared" si="141"/>
        <v>16</v>
      </c>
      <c r="AE226" s="29">
        <f t="shared" si="141"/>
        <v>16</v>
      </c>
      <c r="AF226" s="29">
        <f t="shared" si="141"/>
        <v>16</v>
      </c>
      <c r="AG226" s="29">
        <f t="shared" si="141"/>
        <v>16</v>
      </c>
      <c r="AH226" s="29"/>
    </row>
    <row r="227" spans="2:34">
      <c r="B227" t="str">
        <f t="shared" si="135"/>
        <v>Supercritical coal</v>
      </c>
      <c r="H227" s="29">
        <f t="shared" si="133"/>
        <v>20</v>
      </c>
      <c r="I227" s="29">
        <f t="shared" si="133"/>
        <v>20</v>
      </c>
      <c r="J227" s="29">
        <f t="shared" si="133"/>
        <v>19</v>
      </c>
      <c r="K227" s="29">
        <f t="shared" ref="K227:AG227" si="142">RANK(K203,K$196:K$214,1)+1</f>
        <v>19</v>
      </c>
      <c r="L227" s="29">
        <f t="shared" si="142"/>
        <v>19</v>
      </c>
      <c r="M227" s="29">
        <f t="shared" si="142"/>
        <v>19</v>
      </c>
      <c r="N227" s="29">
        <f t="shared" si="142"/>
        <v>19</v>
      </c>
      <c r="O227" s="29">
        <f t="shared" si="142"/>
        <v>19</v>
      </c>
      <c r="P227" s="29">
        <f t="shared" si="142"/>
        <v>19</v>
      </c>
      <c r="Q227" s="29">
        <f t="shared" si="142"/>
        <v>19</v>
      </c>
      <c r="R227" s="29">
        <f t="shared" si="142"/>
        <v>19</v>
      </c>
      <c r="S227" s="29">
        <f t="shared" si="142"/>
        <v>19</v>
      </c>
      <c r="T227" s="29">
        <f t="shared" si="142"/>
        <v>19</v>
      </c>
      <c r="U227" s="29">
        <f t="shared" si="142"/>
        <v>19</v>
      </c>
      <c r="V227" s="29">
        <f t="shared" si="142"/>
        <v>19</v>
      </c>
      <c r="W227" s="29">
        <f t="shared" si="142"/>
        <v>19</v>
      </c>
      <c r="X227" s="29">
        <f t="shared" si="142"/>
        <v>19</v>
      </c>
      <c r="Y227" s="29">
        <f t="shared" si="142"/>
        <v>19</v>
      </c>
      <c r="Z227" s="29">
        <f t="shared" si="142"/>
        <v>19</v>
      </c>
      <c r="AA227" s="29">
        <f t="shared" si="142"/>
        <v>19</v>
      </c>
      <c r="AB227" s="29">
        <f t="shared" si="142"/>
        <v>19</v>
      </c>
      <c r="AC227" s="29">
        <f t="shared" si="142"/>
        <v>19</v>
      </c>
      <c r="AD227" s="29">
        <f t="shared" si="142"/>
        <v>19</v>
      </c>
      <c r="AE227" s="29">
        <f t="shared" si="142"/>
        <v>19</v>
      </c>
      <c r="AF227" s="29">
        <f t="shared" si="142"/>
        <v>19</v>
      </c>
      <c r="AG227" s="29">
        <f t="shared" si="142"/>
        <v>19</v>
      </c>
      <c r="AH227" s="29"/>
    </row>
    <row r="228" spans="2:34">
      <c r="B228" t="str">
        <f t="shared" si="135"/>
        <v xml:space="preserve">Wind 30% </v>
      </c>
      <c r="H228" s="29">
        <f t="shared" si="133"/>
        <v>10</v>
      </c>
      <c r="I228" s="29">
        <f t="shared" si="133"/>
        <v>10</v>
      </c>
      <c r="J228" s="29">
        <f t="shared" si="133"/>
        <v>10</v>
      </c>
      <c r="K228" s="29">
        <f t="shared" ref="K228:AG228" si="143">RANK(K204,K$196:K$214,1)+1</f>
        <v>10</v>
      </c>
      <c r="L228" s="29">
        <f t="shared" si="143"/>
        <v>10</v>
      </c>
      <c r="M228" s="29">
        <f t="shared" si="143"/>
        <v>10</v>
      </c>
      <c r="N228" s="29">
        <f t="shared" si="143"/>
        <v>10</v>
      </c>
      <c r="O228" s="29">
        <f t="shared" si="143"/>
        <v>10</v>
      </c>
      <c r="P228" s="29">
        <f t="shared" si="143"/>
        <v>10</v>
      </c>
      <c r="Q228" s="29">
        <f t="shared" si="143"/>
        <v>10</v>
      </c>
      <c r="R228" s="29">
        <f t="shared" si="143"/>
        <v>10</v>
      </c>
      <c r="S228" s="29">
        <f t="shared" si="143"/>
        <v>10</v>
      </c>
      <c r="T228" s="29">
        <f t="shared" si="143"/>
        <v>10</v>
      </c>
      <c r="U228" s="29">
        <f t="shared" si="143"/>
        <v>10</v>
      </c>
      <c r="V228" s="29">
        <f t="shared" si="143"/>
        <v>10</v>
      </c>
      <c r="W228" s="29">
        <f t="shared" si="143"/>
        <v>10</v>
      </c>
      <c r="X228" s="29">
        <f t="shared" si="143"/>
        <v>10</v>
      </c>
      <c r="Y228" s="29">
        <f t="shared" si="143"/>
        <v>10</v>
      </c>
      <c r="Z228" s="29">
        <f t="shared" si="143"/>
        <v>10</v>
      </c>
      <c r="AA228" s="29">
        <f t="shared" si="143"/>
        <v>10</v>
      </c>
      <c r="AB228" s="29">
        <f t="shared" si="143"/>
        <v>10</v>
      </c>
      <c r="AC228" s="29">
        <f t="shared" si="143"/>
        <v>10</v>
      </c>
      <c r="AD228" s="29">
        <f t="shared" si="143"/>
        <v>10</v>
      </c>
      <c r="AE228" s="29">
        <f t="shared" si="143"/>
        <v>10</v>
      </c>
      <c r="AF228" s="29">
        <f t="shared" si="143"/>
        <v>10</v>
      </c>
      <c r="AG228" s="29">
        <f t="shared" si="143"/>
        <v>10</v>
      </c>
      <c r="AH228" s="29"/>
    </row>
    <row r="229" spans="2:34">
      <c r="B229" t="str">
        <f t="shared" si="135"/>
        <v>Wind 25%</v>
      </c>
      <c r="H229" s="29">
        <f t="shared" si="133"/>
        <v>11</v>
      </c>
      <c r="I229" s="29">
        <f t="shared" si="133"/>
        <v>11</v>
      </c>
      <c r="J229" s="29">
        <f t="shared" si="133"/>
        <v>11</v>
      </c>
      <c r="K229" s="29">
        <f t="shared" ref="K229:AG229" si="144">RANK(K205,K$196:K$214,1)+1</f>
        <v>11</v>
      </c>
      <c r="L229" s="29">
        <f t="shared" si="144"/>
        <v>11</v>
      </c>
      <c r="M229" s="29">
        <f t="shared" si="144"/>
        <v>11</v>
      </c>
      <c r="N229" s="29">
        <f t="shared" si="144"/>
        <v>11</v>
      </c>
      <c r="O229" s="29">
        <f t="shared" si="144"/>
        <v>11</v>
      </c>
      <c r="P229" s="29">
        <f t="shared" si="144"/>
        <v>11</v>
      </c>
      <c r="Q229" s="29">
        <f t="shared" si="144"/>
        <v>11</v>
      </c>
      <c r="R229" s="29">
        <f t="shared" si="144"/>
        <v>11</v>
      </c>
      <c r="S229" s="29">
        <f t="shared" si="144"/>
        <v>11</v>
      </c>
      <c r="T229" s="29">
        <f t="shared" si="144"/>
        <v>11</v>
      </c>
      <c r="U229" s="29">
        <f t="shared" si="144"/>
        <v>11</v>
      </c>
      <c r="V229" s="29">
        <f t="shared" si="144"/>
        <v>11</v>
      </c>
      <c r="W229" s="29">
        <f t="shared" si="144"/>
        <v>11</v>
      </c>
      <c r="X229" s="29">
        <f t="shared" si="144"/>
        <v>11</v>
      </c>
      <c r="Y229" s="29">
        <f t="shared" si="144"/>
        <v>11</v>
      </c>
      <c r="Z229" s="29">
        <f t="shared" si="144"/>
        <v>11</v>
      </c>
      <c r="AA229" s="29">
        <f t="shared" si="144"/>
        <v>11</v>
      </c>
      <c r="AB229" s="29">
        <f t="shared" si="144"/>
        <v>11</v>
      </c>
      <c r="AC229" s="29">
        <f t="shared" si="144"/>
        <v>11</v>
      </c>
      <c r="AD229" s="29">
        <f t="shared" si="144"/>
        <v>11</v>
      </c>
      <c r="AE229" s="29">
        <f t="shared" si="144"/>
        <v>11</v>
      </c>
      <c r="AF229" s="29">
        <f t="shared" si="144"/>
        <v>11</v>
      </c>
      <c r="AG229" s="29">
        <f t="shared" si="144"/>
        <v>11</v>
      </c>
      <c r="AH229" s="29"/>
    </row>
    <row r="230" spans="2:34">
      <c r="B230" t="str">
        <f t="shared" si="135"/>
        <v>solar thermal central reciever</v>
      </c>
      <c r="H230" s="29">
        <f t="shared" si="133"/>
        <v>12</v>
      </c>
      <c r="I230" s="29">
        <f t="shared" si="133"/>
        <v>12</v>
      </c>
      <c r="J230" s="29">
        <f t="shared" si="133"/>
        <v>12</v>
      </c>
      <c r="K230" s="29">
        <f t="shared" ref="K230:AG230" si="145">RANK(K206,K$196:K$214,1)+1</f>
        <v>12</v>
      </c>
      <c r="L230" s="29">
        <f t="shared" si="145"/>
        <v>12</v>
      </c>
      <c r="M230" s="29">
        <f t="shared" si="145"/>
        <v>12</v>
      </c>
      <c r="N230" s="29">
        <f t="shared" si="145"/>
        <v>12</v>
      </c>
      <c r="O230" s="29">
        <f t="shared" si="145"/>
        <v>12</v>
      </c>
      <c r="P230" s="29">
        <f t="shared" si="145"/>
        <v>12</v>
      </c>
      <c r="Q230" s="29">
        <f t="shared" si="145"/>
        <v>12</v>
      </c>
      <c r="R230" s="29">
        <f t="shared" si="145"/>
        <v>12</v>
      </c>
      <c r="S230" s="29">
        <f t="shared" si="145"/>
        <v>12</v>
      </c>
      <c r="T230" s="29">
        <f t="shared" si="145"/>
        <v>12</v>
      </c>
      <c r="U230" s="29">
        <f t="shared" si="145"/>
        <v>12</v>
      </c>
      <c r="V230" s="29">
        <f t="shared" si="145"/>
        <v>12</v>
      </c>
      <c r="W230" s="29">
        <f t="shared" si="145"/>
        <v>12</v>
      </c>
      <c r="X230" s="29">
        <f t="shared" si="145"/>
        <v>12</v>
      </c>
      <c r="Y230" s="29">
        <f t="shared" si="145"/>
        <v>12</v>
      </c>
      <c r="Z230" s="29">
        <f t="shared" si="145"/>
        <v>12</v>
      </c>
      <c r="AA230" s="29">
        <f t="shared" si="145"/>
        <v>12</v>
      </c>
      <c r="AB230" s="29">
        <f t="shared" si="145"/>
        <v>12</v>
      </c>
      <c r="AC230" s="29">
        <f t="shared" si="145"/>
        <v>12</v>
      </c>
      <c r="AD230" s="29">
        <f t="shared" si="145"/>
        <v>12</v>
      </c>
      <c r="AE230" s="29">
        <f t="shared" si="145"/>
        <v>12</v>
      </c>
      <c r="AF230" s="29">
        <f t="shared" si="145"/>
        <v>12</v>
      </c>
      <c r="AG230" s="29">
        <f t="shared" si="145"/>
        <v>12</v>
      </c>
      <c r="AH230" s="29"/>
    </row>
    <row r="231" spans="2:34">
      <c r="B231" t="str">
        <f t="shared" si="135"/>
        <v>solar thermal trough</v>
      </c>
      <c r="H231" s="29">
        <f t="shared" si="133"/>
        <v>13</v>
      </c>
      <c r="I231" s="29">
        <f t="shared" si="133"/>
        <v>13</v>
      </c>
      <c r="J231" s="29">
        <f t="shared" si="133"/>
        <v>13</v>
      </c>
      <c r="K231" s="29">
        <f t="shared" ref="K231:AG231" si="146">RANK(K207,K$196:K$214,1)+1</f>
        <v>13</v>
      </c>
      <c r="L231" s="29">
        <f t="shared" si="146"/>
        <v>13</v>
      </c>
      <c r="M231" s="29">
        <f t="shared" si="146"/>
        <v>13</v>
      </c>
      <c r="N231" s="29">
        <f t="shared" si="146"/>
        <v>13</v>
      </c>
      <c r="O231" s="29">
        <f t="shared" si="146"/>
        <v>13</v>
      </c>
      <c r="P231" s="29">
        <f t="shared" si="146"/>
        <v>13</v>
      </c>
      <c r="Q231" s="29">
        <f t="shared" si="146"/>
        <v>13</v>
      </c>
      <c r="R231" s="29">
        <f t="shared" si="146"/>
        <v>13</v>
      </c>
      <c r="S231" s="29">
        <f t="shared" si="146"/>
        <v>13</v>
      </c>
      <c r="T231" s="29">
        <f t="shared" si="146"/>
        <v>13</v>
      </c>
      <c r="U231" s="29">
        <f t="shared" si="146"/>
        <v>13</v>
      </c>
      <c r="V231" s="29">
        <f t="shared" si="146"/>
        <v>13</v>
      </c>
      <c r="W231" s="29">
        <f t="shared" si="146"/>
        <v>13</v>
      </c>
      <c r="X231" s="29">
        <f t="shared" si="146"/>
        <v>13</v>
      </c>
      <c r="Y231" s="29">
        <f t="shared" si="146"/>
        <v>13</v>
      </c>
      <c r="Z231" s="29">
        <f t="shared" si="146"/>
        <v>13</v>
      </c>
      <c r="AA231" s="29">
        <f t="shared" si="146"/>
        <v>13</v>
      </c>
      <c r="AB231" s="29">
        <f t="shared" si="146"/>
        <v>13</v>
      </c>
      <c r="AC231" s="29">
        <f t="shared" si="146"/>
        <v>13</v>
      </c>
      <c r="AD231" s="29">
        <f t="shared" si="146"/>
        <v>13</v>
      </c>
      <c r="AE231" s="29">
        <f t="shared" si="146"/>
        <v>13</v>
      </c>
      <c r="AF231" s="29">
        <f t="shared" si="146"/>
        <v>13</v>
      </c>
      <c r="AG231" s="29">
        <f t="shared" si="146"/>
        <v>13</v>
      </c>
      <c r="AH231" s="29"/>
    </row>
    <row r="232" spans="2:34">
      <c r="B232" t="str">
        <f t="shared" si="135"/>
        <v>solar PV</v>
      </c>
      <c r="H232" s="29">
        <f t="shared" si="133"/>
        <v>14</v>
      </c>
      <c r="I232" s="29">
        <f t="shared" si="133"/>
        <v>14</v>
      </c>
      <c r="J232" s="29">
        <f t="shared" si="133"/>
        <v>14</v>
      </c>
      <c r="K232" s="29">
        <f t="shared" ref="K232:AG232" si="147">RANK(K208,K$196:K$214,1)+1</f>
        <v>14</v>
      </c>
      <c r="L232" s="29">
        <f t="shared" si="147"/>
        <v>14</v>
      </c>
      <c r="M232" s="29">
        <f t="shared" si="147"/>
        <v>14</v>
      </c>
      <c r="N232" s="29">
        <f t="shared" si="147"/>
        <v>14</v>
      </c>
      <c r="O232" s="29">
        <f t="shared" si="147"/>
        <v>14</v>
      </c>
      <c r="P232" s="29">
        <f t="shared" si="147"/>
        <v>14</v>
      </c>
      <c r="Q232" s="29">
        <f t="shared" si="147"/>
        <v>14</v>
      </c>
      <c r="R232" s="29">
        <f t="shared" si="147"/>
        <v>14</v>
      </c>
      <c r="S232" s="29">
        <f t="shared" si="147"/>
        <v>14</v>
      </c>
      <c r="T232" s="29">
        <f t="shared" si="147"/>
        <v>14</v>
      </c>
      <c r="U232" s="29">
        <f t="shared" si="147"/>
        <v>14</v>
      </c>
      <c r="V232" s="29">
        <f t="shared" si="147"/>
        <v>14</v>
      </c>
      <c r="W232" s="29">
        <f t="shared" si="147"/>
        <v>14</v>
      </c>
      <c r="X232" s="29">
        <f t="shared" si="147"/>
        <v>14</v>
      </c>
      <c r="Y232" s="29">
        <f t="shared" si="147"/>
        <v>14</v>
      </c>
      <c r="Z232" s="29">
        <f t="shared" si="147"/>
        <v>14</v>
      </c>
      <c r="AA232" s="29">
        <f t="shared" si="147"/>
        <v>14</v>
      </c>
      <c r="AB232" s="29">
        <f t="shared" si="147"/>
        <v>14</v>
      </c>
      <c r="AC232" s="29">
        <f t="shared" si="147"/>
        <v>14</v>
      </c>
      <c r="AD232" s="29">
        <f t="shared" si="147"/>
        <v>14</v>
      </c>
      <c r="AE232" s="29">
        <f t="shared" si="147"/>
        <v>14</v>
      </c>
      <c r="AF232" s="29">
        <f t="shared" si="147"/>
        <v>14</v>
      </c>
      <c r="AG232" s="29">
        <f t="shared" si="147"/>
        <v>14</v>
      </c>
      <c r="AH232" s="29"/>
    </row>
    <row r="233" spans="2:34">
      <c r="B233" t="str">
        <f t="shared" si="135"/>
        <v>combined cycle gas</v>
      </c>
      <c r="H233" s="29">
        <f t="shared" si="133"/>
        <v>5</v>
      </c>
      <c r="I233" s="29">
        <f t="shared" si="133"/>
        <v>5</v>
      </c>
      <c r="J233" s="29">
        <f t="shared" si="133"/>
        <v>5</v>
      </c>
      <c r="K233" s="29">
        <f t="shared" ref="K233:AG233" si="148">RANK(K209,K$196:K$214,1)+1</f>
        <v>5</v>
      </c>
      <c r="L233" s="29">
        <f t="shared" si="148"/>
        <v>5</v>
      </c>
      <c r="M233" s="29">
        <f t="shared" si="148"/>
        <v>5</v>
      </c>
      <c r="N233" s="29">
        <f t="shared" si="148"/>
        <v>5</v>
      </c>
      <c r="O233" s="29">
        <f t="shared" si="148"/>
        <v>5</v>
      </c>
      <c r="P233" s="29">
        <f t="shared" si="148"/>
        <v>5</v>
      </c>
      <c r="Q233" s="29">
        <f t="shared" si="148"/>
        <v>5</v>
      </c>
      <c r="R233" s="29">
        <f t="shared" si="148"/>
        <v>5</v>
      </c>
      <c r="S233" s="29">
        <f t="shared" si="148"/>
        <v>5</v>
      </c>
      <c r="T233" s="29">
        <f t="shared" si="148"/>
        <v>5</v>
      </c>
      <c r="U233" s="29">
        <f t="shared" si="148"/>
        <v>5</v>
      </c>
      <c r="V233" s="29">
        <f t="shared" si="148"/>
        <v>5</v>
      </c>
      <c r="W233" s="29">
        <f t="shared" si="148"/>
        <v>5</v>
      </c>
      <c r="X233" s="29">
        <f t="shared" si="148"/>
        <v>5</v>
      </c>
      <c r="Y233" s="29">
        <f t="shared" si="148"/>
        <v>5</v>
      </c>
      <c r="Z233" s="29">
        <f t="shared" si="148"/>
        <v>5</v>
      </c>
      <c r="AA233" s="29">
        <f t="shared" si="148"/>
        <v>5</v>
      </c>
      <c r="AB233" s="29">
        <f t="shared" si="148"/>
        <v>5</v>
      </c>
      <c r="AC233" s="29">
        <f t="shared" si="148"/>
        <v>5</v>
      </c>
      <c r="AD233" s="29">
        <f t="shared" si="148"/>
        <v>5</v>
      </c>
      <c r="AE233" s="29">
        <f t="shared" si="148"/>
        <v>5</v>
      </c>
      <c r="AF233" s="29">
        <f t="shared" si="148"/>
        <v>5</v>
      </c>
      <c r="AG233" s="29">
        <f t="shared" si="148"/>
        <v>5</v>
      </c>
      <c r="AH233" s="29"/>
    </row>
    <row r="234" spans="2:34">
      <c r="B234" t="str">
        <f t="shared" si="135"/>
        <v>PBMR</v>
      </c>
      <c r="H234" s="29">
        <f t="shared" si="133"/>
        <v>7</v>
      </c>
      <c r="I234" s="29">
        <f t="shared" si="133"/>
        <v>7</v>
      </c>
      <c r="J234" s="29">
        <f t="shared" si="133"/>
        <v>7</v>
      </c>
      <c r="K234" s="29">
        <f t="shared" ref="K234:AG234" si="149">RANK(K210,K$196:K$214,1)+1</f>
        <v>7</v>
      </c>
      <c r="L234" s="29">
        <f t="shared" si="149"/>
        <v>7</v>
      </c>
      <c r="M234" s="29">
        <f t="shared" si="149"/>
        <v>7</v>
      </c>
      <c r="N234" s="29">
        <f t="shared" si="149"/>
        <v>7</v>
      </c>
      <c r="O234" s="29">
        <f t="shared" si="149"/>
        <v>7</v>
      </c>
      <c r="P234" s="29">
        <f t="shared" si="149"/>
        <v>7</v>
      </c>
      <c r="Q234" s="29">
        <f t="shared" si="149"/>
        <v>7</v>
      </c>
      <c r="R234" s="29">
        <f t="shared" si="149"/>
        <v>7</v>
      </c>
      <c r="S234" s="29">
        <f t="shared" si="149"/>
        <v>7</v>
      </c>
      <c r="T234" s="29">
        <f t="shared" si="149"/>
        <v>7</v>
      </c>
      <c r="U234" s="29">
        <f t="shared" si="149"/>
        <v>7</v>
      </c>
      <c r="V234" s="29">
        <f t="shared" si="149"/>
        <v>7</v>
      </c>
      <c r="W234" s="29">
        <f t="shared" si="149"/>
        <v>7</v>
      </c>
      <c r="X234" s="29">
        <f t="shared" si="149"/>
        <v>7</v>
      </c>
      <c r="Y234" s="29">
        <f t="shared" si="149"/>
        <v>7</v>
      </c>
      <c r="Z234" s="29">
        <f t="shared" si="149"/>
        <v>7</v>
      </c>
      <c r="AA234" s="29">
        <f t="shared" si="149"/>
        <v>7</v>
      </c>
      <c r="AB234" s="29">
        <f t="shared" si="149"/>
        <v>7</v>
      </c>
      <c r="AC234" s="29">
        <f t="shared" si="149"/>
        <v>7</v>
      </c>
      <c r="AD234" s="29">
        <f t="shared" si="149"/>
        <v>7</v>
      </c>
      <c r="AE234" s="29">
        <f t="shared" si="149"/>
        <v>7</v>
      </c>
      <c r="AF234" s="29">
        <f t="shared" si="149"/>
        <v>7</v>
      </c>
      <c r="AG234" s="29">
        <f t="shared" si="149"/>
        <v>7</v>
      </c>
      <c r="AH234" s="29"/>
    </row>
    <row r="235" spans="2:34">
      <c r="B235" t="str">
        <f t="shared" si="135"/>
        <v>IGCC</v>
      </c>
      <c r="H235" s="29">
        <f t="shared" si="133"/>
        <v>18</v>
      </c>
      <c r="I235" s="29">
        <f t="shared" si="133"/>
        <v>18</v>
      </c>
      <c r="J235" s="29">
        <f t="shared" si="133"/>
        <v>18</v>
      </c>
      <c r="K235" s="29">
        <f t="shared" ref="K235:AG235" si="150">RANK(K211,K$196:K$214,1)+1</f>
        <v>18</v>
      </c>
      <c r="L235" s="29">
        <f t="shared" si="150"/>
        <v>18</v>
      </c>
      <c r="M235" s="29">
        <f t="shared" si="150"/>
        <v>18</v>
      </c>
      <c r="N235" s="29">
        <f t="shared" si="150"/>
        <v>18</v>
      </c>
      <c r="O235" s="29">
        <f t="shared" si="150"/>
        <v>18</v>
      </c>
      <c r="P235" s="29">
        <f t="shared" si="150"/>
        <v>18</v>
      </c>
      <c r="Q235" s="29">
        <f t="shared" si="150"/>
        <v>18</v>
      </c>
      <c r="R235" s="29">
        <f t="shared" si="150"/>
        <v>18</v>
      </c>
      <c r="S235" s="29">
        <f t="shared" si="150"/>
        <v>18</v>
      </c>
      <c r="T235" s="29">
        <f t="shared" si="150"/>
        <v>18</v>
      </c>
      <c r="U235" s="29">
        <f t="shared" si="150"/>
        <v>18</v>
      </c>
      <c r="V235" s="29">
        <f t="shared" si="150"/>
        <v>18</v>
      </c>
      <c r="W235" s="29">
        <f t="shared" si="150"/>
        <v>18</v>
      </c>
      <c r="X235" s="29">
        <f t="shared" si="150"/>
        <v>18</v>
      </c>
      <c r="Y235" s="29">
        <f t="shared" si="150"/>
        <v>18</v>
      </c>
      <c r="Z235" s="29">
        <f t="shared" si="150"/>
        <v>18</v>
      </c>
      <c r="AA235" s="29">
        <f t="shared" si="150"/>
        <v>18</v>
      </c>
      <c r="AB235" s="29">
        <f t="shared" si="150"/>
        <v>18</v>
      </c>
      <c r="AC235" s="29">
        <f t="shared" si="150"/>
        <v>18</v>
      </c>
      <c r="AD235" s="29">
        <f t="shared" si="150"/>
        <v>18</v>
      </c>
      <c r="AE235" s="29">
        <f t="shared" si="150"/>
        <v>18</v>
      </c>
      <c r="AF235" s="29">
        <f t="shared" si="150"/>
        <v>18</v>
      </c>
      <c r="AG235" s="29">
        <f t="shared" si="150"/>
        <v>18</v>
      </c>
      <c r="AH235" s="29"/>
    </row>
    <row r="236" spans="2:34">
      <c r="B236" t="str">
        <f t="shared" si="135"/>
        <v>-</v>
      </c>
      <c r="H236" s="29">
        <f t="shared" si="133"/>
        <v>2</v>
      </c>
      <c r="I236" s="29">
        <f t="shared" si="133"/>
        <v>2</v>
      </c>
      <c r="J236" s="29">
        <f t="shared" si="133"/>
        <v>2</v>
      </c>
      <c r="K236" s="29">
        <f t="shared" ref="K236:AG236" si="151">RANK(K212,K$196:K$214,1)+1</f>
        <v>2</v>
      </c>
      <c r="L236" s="29">
        <f t="shared" si="151"/>
        <v>2</v>
      </c>
      <c r="M236" s="29">
        <f t="shared" si="151"/>
        <v>2</v>
      </c>
      <c r="N236" s="29">
        <f t="shared" si="151"/>
        <v>2</v>
      </c>
      <c r="O236" s="29">
        <f t="shared" si="151"/>
        <v>2</v>
      </c>
      <c r="P236" s="29">
        <f t="shared" si="151"/>
        <v>2</v>
      </c>
      <c r="Q236" s="29">
        <f t="shared" si="151"/>
        <v>2</v>
      </c>
      <c r="R236" s="29">
        <f t="shared" si="151"/>
        <v>2</v>
      </c>
      <c r="S236" s="29">
        <f t="shared" si="151"/>
        <v>2</v>
      </c>
      <c r="T236" s="29">
        <f t="shared" si="151"/>
        <v>2</v>
      </c>
      <c r="U236" s="29">
        <f t="shared" si="151"/>
        <v>2</v>
      </c>
      <c r="V236" s="29">
        <f t="shared" si="151"/>
        <v>2</v>
      </c>
      <c r="W236" s="29">
        <f t="shared" si="151"/>
        <v>2</v>
      </c>
      <c r="X236" s="29">
        <f t="shared" si="151"/>
        <v>2</v>
      </c>
      <c r="Y236" s="29">
        <f t="shared" si="151"/>
        <v>2</v>
      </c>
      <c r="Z236" s="29">
        <f t="shared" si="151"/>
        <v>2</v>
      </c>
      <c r="AA236" s="29">
        <f t="shared" si="151"/>
        <v>2</v>
      </c>
      <c r="AB236" s="29">
        <f t="shared" si="151"/>
        <v>2</v>
      </c>
      <c r="AC236" s="29">
        <f t="shared" si="151"/>
        <v>2</v>
      </c>
      <c r="AD236" s="29">
        <f t="shared" si="151"/>
        <v>2</v>
      </c>
      <c r="AE236" s="29">
        <f t="shared" si="151"/>
        <v>2</v>
      </c>
      <c r="AF236" s="29">
        <f t="shared" si="151"/>
        <v>2</v>
      </c>
      <c r="AG236" s="29">
        <f t="shared" si="151"/>
        <v>2</v>
      </c>
      <c r="AH236" s="29"/>
    </row>
    <row r="237" spans="2:34">
      <c r="B237" t="str">
        <f t="shared" si="135"/>
        <v>-</v>
      </c>
      <c r="H237" s="29">
        <f t="shared" si="133"/>
        <v>3</v>
      </c>
      <c r="I237" s="29">
        <f t="shared" si="133"/>
        <v>3</v>
      </c>
      <c r="J237" s="29">
        <f t="shared" si="133"/>
        <v>3</v>
      </c>
      <c r="K237" s="29">
        <f t="shared" ref="K237:AG237" si="152">RANK(K213,K$196:K$214,1)+1</f>
        <v>3</v>
      </c>
      <c r="L237" s="29">
        <f t="shared" si="152"/>
        <v>3</v>
      </c>
      <c r="M237" s="29">
        <f t="shared" si="152"/>
        <v>3</v>
      </c>
      <c r="N237" s="29">
        <f t="shared" si="152"/>
        <v>3</v>
      </c>
      <c r="O237" s="29">
        <f t="shared" si="152"/>
        <v>3</v>
      </c>
      <c r="P237" s="29">
        <f t="shared" si="152"/>
        <v>3</v>
      </c>
      <c r="Q237" s="29">
        <f t="shared" si="152"/>
        <v>3</v>
      </c>
      <c r="R237" s="29">
        <f t="shared" si="152"/>
        <v>3</v>
      </c>
      <c r="S237" s="29">
        <f t="shared" si="152"/>
        <v>3</v>
      </c>
      <c r="T237" s="29">
        <f t="shared" si="152"/>
        <v>3</v>
      </c>
      <c r="U237" s="29">
        <f t="shared" si="152"/>
        <v>3</v>
      </c>
      <c r="V237" s="29">
        <f t="shared" si="152"/>
        <v>3</v>
      </c>
      <c r="W237" s="29">
        <f t="shared" si="152"/>
        <v>3</v>
      </c>
      <c r="X237" s="29">
        <f t="shared" si="152"/>
        <v>3</v>
      </c>
      <c r="Y237" s="29">
        <f t="shared" si="152"/>
        <v>3</v>
      </c>
      <c r="Z237" s="29">
        <f t="shared" si="152"/>
        <v>3</v>
      </c>
      <c r="AA237" s="29">
        <f t="shared" si="152"/>
        <v>3</v>
      </c>
      <c r="AB237" s="29">
        <f t="shared" si="152"/>
        <v>3</v>
      </c>
      <c r="AC237" s="29">
        <f t="shared" si="152"/>
        <v>3</v>
      </c>
      <c r="AD237" s="29">
        <f t="shared" si="152"/>
        <v>3</v>
      </c>
      <c r="AE237" s="29">
        <f t="shared" si="152"/>
        <v>3</v>
      </c>
      <c r="AF237" s="29">
        <f t="shared" si="152"/>
        <v>3</v>
      </c>
      <c r="AG237" s="29">
        <f t="shared" si="152"/>
        <v>3</v>
      </c>
      <c r="AH237" s="29"/>
    </row>
    <row r="238" spans="2:34">
      <c r="B238" t="str">
        <f t="shared" si="135"/>
        <v>-</v>
      </c>
      <c r="H238" s="29">
        <f t="shared" si="133"/>
        <v>4</v>
      </c>
      <c r="I238" s="29">
        <f t="shared" si="133"/>
        <v>4</v>
      </c>
      <c r="J238" s="29">
        <f t="shared" si="133"/>
        <v>4</v>
      </c>
      <c r="K238" s="29">
        <f t="shared" ref="K238:AG238" si="153">RANK(K214,K$196:K$214,1)+1</f>
        <v>4</v>
      </c>
      <c r="L238" s="29">
        <f t="shared" si="153"/>
        <v>4</v>
      </c>
      <c r="M238" s="29">
        <f t="shared" si="153"/>
        <v>4</v>
      </c>
      <c r="N238" s="29">
        <f t="shared" si="153"/>
        <v>4</v>
      </c>
      <c r="O238" s="29">
        <f t="shared" si="153"/>
        <v>4</v>
      </c>
      <c r="P238" s="29">
        <f t="shared" si="153"/>
        <v>4</v>
      </c>
      <c r="Q238" s="29">
        <f t="shared" si="153"/>
        <v>4</v>
      </c>
      <c r="R238" s="29">
        <f t="shared" si="153"/>
        <v>4</v>
      </c>
      <c r="S238" s="29">
        <f t="shared" si="153"/>
        <v>4</v>
      </c>
      <c r="T238" s="29">
        <f t="shared" si="153"/>
        <v>4</v>
      </c>
      <c r="U238" s="29">
        <f t="shared" si="153"/>
        <v>4</v>
      </c>
      <c r="V238" s="29">
        <f t="shared" si="153"/>
        <v>4</v>
      </c>
      <c r="W238" s="29">
        <f t="shared" si="153"/>
        <v>4</v>
      </c>
      <c r="X238" s="29">
        <f t="shared" si="153"/>
        <v>4</v>
      </c>
      <c r="Y238" s="29">
        <f t="shared" si="153"/>
        <v>4</v>
      </c>
      <c r="Z238" s="29">
        <f t="shared" si="153"/>
        <v>4</v>
      </c>
      <c r="AA238" s="29">
        <f t="shared" si="153"/>
        <v>4</v>
      </c>
      <c r="AB238" s="29">
        <f t="shared" si="153"/>
        <v>4</v>
      </c>
      <c r="AC238" s="29">
        <f t="shared" si="153"/>
        <v>4</v>
      </c>
      <c r="AD238" s="29">
        <f t="shared" si="153"/>
        <v>4</v>
      </c>
      <c r="AE238" s="29">
        <f t="shared" si="153"/>
        <v>4</v>
      </c>
      <c r="AF238" s="29">
        <f t="shared" si="153"/>
        <v>4</v>
      </c>
      <c r="AG238" s="29">
        <f t="shared" si="153"/>
        <v>4</v>
      </c>
      <c r="AH238" s="29"/>
    </row>
    <row r="239" spans="2:34">
      <c r="B239" t="str">
        <f t="shared" si="135"/>
        <v>Pumped storage</v>
      </c>
      <c r="H239" s="29">
        <v>1</v>
      </c>
      <c r="I239" s="29">
        <v>1</v>
      </c>
      <c r="J239" s="29">
        <v>1</v>
      </c>
      <c r="K239" s="29">
        <v>1</v>
      </c>
      <c r="L239" s="29">
        <v>1</v>
      </c>
      <c r="M239" s="29">
        <v>1</v>
      </c>
      <c r="N239" s="29">
        <v>1</v>
      </c>
      <c r="O239" s="29">
        <v>1</v>
      </c>
      <c r="P239" s="29">
        <v>1</v>
      </c>
      <c r="Q239" s="29">
        <v>1</v>
      </c>
      <c r="R239" s="29">
        <v>1</v>
      </c>
      <c r="S239" s="29">
        <v>1</v>
      </c>
      <c r="T239" s="29">
        <v>1</v>
      </c>
      <c r="U239" s="29">
        <v>1</v>
      </c>
      <c r="V239" s="29">
        <v>1</v>
      </c>
      <c r="W239" s="29">
        <v>1</v>
      </c>
      <c r="X239" s="29">
        <v>1</v>
      </c>
      <c r="Y239" s="29">
        <v>1</v>
      </c>
      <c r="Z239" s="29">
        <v>1</v>
      </c>
      <c r="AA239" s="29">
        <v>1</v>
      </c>
      <c r="AB239" s="29">
        <v>1</v>
      </c>
      <c r="AC239" s="29">
        <v>1</v>
      </c>
      <c r="AD239" s="29">
        <v>1</v>
      </c>
      <c r="AE239" s="29">
        <v>1</v>
      </c>
      <c r="AF239" s="29">
        <v>1</v>
      </c>
      <c r="AG239" s="29">
        <v>1</v>
      </c>
      <c r="AH239" s="29"/>
    </row>
    <row r="241" spans="2:33">
      <c r="B241" s="4" t="s">
        <v>212</v>
      </c>
    </row>
    <row r="242" spans="2:33">
      <c r="B242" s="4" t="s">
        <v>699</v>
      </c>
    </row>
    <row r="243" spans="2:33">
      <c r="B243" s="4" t="s">
        <v>14</v>
      </c>
      <c r="C243" s="4" t="s">
        <v>42</v>
      </c>
      <c r="D243" s="4"/>
      <c r="E243" s="4"/>
      <c r="F243" s="4"/>
      <c r="G243" s="4"/>
      <c r="H243" s="4">
        <v>2005</v>
      </c>
      <c r="I243" s="4">
        <v>2006</v>
      </c>
      <c r="J243" s="4">
        <v>2007</v>
      </c>
      <c r="K243" s="4">
        <v>2008</v>
      </c>
      <c r="L243" s="4">
        <v>2009</v>
      </c>
      <c r="M243" s="4">
        <v>2010</v>
      </c>
      <c r="N243" s="4">
        <v>2011</v>
      </c>
      <c r="O243" s="4">
        <v>2012</v>
      </c>
      <c r="P243" s="4">
        <v>2013</v>
      </c>
      <c r="Q243" s="4">
        <v>2014</v>
      </c>
      <c r="R243" s="4">
        <v>2015</v>
      </c>
      <c r="S243" s="4">
        <v>2016</v>
      </c>
      <c r="T243" s="4">
        <v>2017</v>
      </c>
      <c r="U243" s="4">
        <v>2018</v>
      </c>
      <c r="V243" s="4">
        <v>2019</v>
      </c>
      <c r="W243" s="4">
        <v>2020</v>
      </c>
      <c r="X243" s="4">
        <v>2021</v>
      </c>
      <c r="Y243" s="4">
        <v>2022</v>
      </c>
      <c r="Z243" s="4">
        <v>2023</v>
      </c>
      <c r="AA243" s="4">
        <v>2024</v>
      </c>
      <c r="AB243" s="4">
        <v>2025</v>
      </c>
      <c r="AC243" s="4">
        <v>2026</v>
      </c>
      <c r="AD243" s="4">
        <v>2027</v>
      </c>
      <c r="AE243" s="4">
        <v>2028</v>
      </c>
      <c r="AF243" s="4">
        <v>2029</v>
      </c>
      <c r="AG243" s="4">
        <v>2030</v>
      </c>
    </row>
    <row r="244" spans="2:33">
      <c r="B244" t="str">
        <f t="shared" ref="B244:B269" si="154">B38</f>
        <v>Combined Cycle Gas Turbine</v>
      </c>
      <c r="H244" s="26">
        <v>0.58823529411764708</v>
      </c>
      <c r="I244" s="10">
        <f t="shared" ref="I244:AG244" si="155">H244</f>
        <v>0.58823529411764708</v>
      </c>
      <c r="J244" s="10">
        <f t="shared" si="155"/>
        <v>0.58823529411764708</v>
      </c>
      <c r="K244" s="10">
        <f t="shared" si="155"/>
        <v>0.58823529411764708</v>
      </c>
      <c r="L244" s="10">
        <f t="shared" si="155"/>
        <v>0.58823529411764708</v>
      </c>
      <c r="M244" s="10">
        <f t="shared" si="155"/>
        <v>0.58823529411764708</v>
      </c>
      <c r="N244" s="10">
        <f t="shared" si="155"/>
        <v>0.58823529411764708</v>
      </c>
      <c r="O244" s="10">
        <f t="shared" si="155"/>
        <v>0.58823529411764708</v>
      </c>
      <c r="P244" s="10">
        <f t="shared" si="155"/>
        <v>0.58823529411764708</v>
      </c>
      <c r="Q244" s="10">
        <f t="shared" si="155"/>
        <v>0.58823529411764708</v>
      </c>
      <c r="R244" s="10">
        <f t="shared" si="155"/>
        <v>0.58823529411764708</v>
      </c>
      <c r="S244" s="10">
        <f t="shared" si="155"/>
        <v>0.58823529411764708</v>
      </c>
      <c r="T244" s="10">
        <f t="shared" si="155"/>
        <v>0.58823529411764708</v>
      </c>
      <c r="U244" s="10">
        <f t="shared" si="155"/>
        <v>0.58823529411764708</v>
      </c>
      <c r="V244" s="10">
        <f t="shared" si="155"/>
        <v>0.58823529411764708</v>
      </c>
      <c r="W244" s="10">
        <f t="shared" si="155"/>
        <v>0.58823529411764708</v>
      </c>
      <c r="X244" s="10">
        <f t="shared" si="155"/>
        <v>0.58823529411764708</v>
      </c>
      <c r="Y244" s="10">
        <f t="shared" si="155"/>
        <v>0.58823529411764708</v>
      </c>
      <c r="Z244" s="10">
        <f t="shared" si="155"/>
        <v>0.58823529411764708</v>
      </c>
      <c r="AA244" s="10">
        <f t="shared" si="155"/>
        <v>0.58823529411764708</v>
      </c>
      <c r="AB244" s="10">
        <f t="shared" si="155"/>
        <v>0.58823529411764708</v>
      </c>
      <c r="AC244" s="10">
        <f t="shared" si="155"/>
        <v>0.58823529411764708</v>
      </c>
      <c r="AD244" s="10">
        <f t="shared" si="155"/>
        <v>0.58823529411764708</v>
      </c>
      <c r="AE244" s="10">
        <f t="shared" si="155"/>
        <v>0.58823529411764708</v>
      </c>
      <c r="AF244" s="10">
        <f t="shared" si="155"/>
        <v>0.58823529411764708</v>
      </c>
      <c r="AG244" s="10">
        <f t="shared" si="155"/>
        <v>0.58823529411764708</v>
      </c>
    </row>
    <row r="245" spans="2:33">
      <c r="B245" t="str">
        <f t="shared" si="154"/>
        <v>Open-Cycle Gas Turbine diesel</v>
      </c>
      <c r="H245" s="26">
        <v>3.3333333333333333E-2</v>
      </c>
      <c r="I245" s="10">
        <f t="shared" ref="I245:AG245" si="156">H245</f>
        <v>3.3333333333333333E-2</v>
      </c>
      <c r="J245" s="10">
        <f t="shared" si="156"/>
        <v>3.3333333333333333E-2</v>
      </c>
      <c r="K245" s="10">
        <f t="shared" si="156"/>
        <v>3.3333333333333333E-2</v>
      </c>
      <c r="L245" s="10">
        <f t="shared" si="156"/>
        <v>3.3333333333333333E-2</v>
      </c>
      <c r="M245" s="10">
        <f t="shared" si="156"/>
        <v>3.3333333333333333E-2</v>
      </c>
      <c r="N245" s="10">
        <f t="shared" si="156"/>
        <v>3.3333333333333333E-2</v>
      </c>
      <c r="O245" s="10">
        <f t="shared" si="156"/>
        <v>3.3333333333333333E-2</v>
      </c>
      <c r="P245" s="10">
        <f t="shared" si="156"/>
        <v>3.3333333333333333E-2</v>
      </c>
      <c r="Q245" s="10">
        <f t="shared" si="156"/>
        <v>3.3333333333333333E-2</v>
      </c>
      <c r="R245" s="10">
        <f t="shared" si="156"/>
        <v>3.3333333333333333E-2</v>
      </c>
      <c r="S245" s="10">
        <f t="shared" si="156"/>
        <v>3.3333333333333333E-2</v>
      </c>
      <c r="T245" s="10">
        <f t="shared" si="156"/>
        <v>3.3333333333333333E-2</v>
      </c>
      <c r="U245" s="10">
        <f t="shared" si="156"/>
        <v>3.3333333333333333E-2</v>
      </c>
      <c r="V245" s="10">
        <f t="shared" si="156"/>
        <v>3.3333333333333333E-2</v>
      </c>
      <c r="W245" s="10">
        <f t="shared" si="156"/>
        <v>3.3333333333333333E-2</v>
      </c>
      <c r="X245" s="10">
        <f t="shared" si="156"/>
        <v>3.3333333333333333E-2</v>
      </c>
      <c r="Y245" s="10">
        <f t="shared" si="156"/>
        <v>3.3333333333333333E-2</v>
      </c>
      <c r="Z245" s="10">
        <f t="shared" si="156"/>
        <v>3.3333333333333333E-2</v>
      </c>
      <c r="AA245" s="10">
        <f t="shared" si="156"/>
        <v>3.3333333333333333E-2</v>
      </c>
      <c r="AB245" s="10">
        <f t="shared" si="156"/>
        <v>3.3333333333333333E-2</v>
      </c>
      <c r="AC245" s="10">
        <f t="shared" si="156"/>
        <v>3.3333333333333333E-2</v>
      </c>
      <c r="AD245" s="10">
        <f t="shared" si="156"/>
        <v>3.3333333333333333E-2</v>
      </c>
      <c r="AE245" s="10">
        <f t="shared" si="156"/>
        <v>3.3333333333333333E-2</v>
      </c>
      <c r="AF245" s="10">
        <f t="shared" si="156"/>
        <v>3.3333333333333333E-2</v>
      </c>
      <c r="AG245" s="10">
        <f t="shared" si="156"/>
        <v>3.3333333333333333E-2</v>
      </c>
    </row>
    <row r="246" spans="2:33">
      <c r="B246" t="str">
        <f t="shared" si="154"/>
        <v>Open-Cycle Gas Turbine paraffin</v>
      </c>
      <c r="H246" s="26">
        <v>3.3333333333333333E-2</v>
      </c>
      <c r="I246" s="10">
        <f t="shared" ref="I246:AG246" si="157">H246</f>
        <v>3.3333333333333333E-2</v>
      </c>
      <c r="J246" s="10">
        <f t="shared" si="157"/>
        <v>3.3333333333333333E-2</v>
      </c>
      <c r="K246" s="10">
        <f t="shared" si="157"/>
        <v>3.3333333333333333E-2</v>
      </c>
      <c r="L246" s="10">
        <f t="shared" si="157"/>
        <v>3.3333333333333333E-2</v>
      </c>
      <c r="M246" s="10">
        <f t="shared" si="157"/>
        <v>3.3333333333333333E-2</v>
      </c>
      <c r="N246" s="10">
        <f t="shared" si="157"/>
        <v>3.3333333333333333E-2</v>
      </c>
      <c r="O246" s="10">
        <f t="shared" si="157"/>
        <v>3.3333333333333333E-2</v>
      </c>
      <c r="P246" s="10">
        <f t="shared" si="157"/>
        <v>3.3333333333333333E-2</v>
      </c>
      <c r="Q246" s="10">
        <f t="shared" si="157"/>
        <v>3.3333333333333333E-2</v>
      </c>
      <c r="R246" s="10">
        <f t="shared" si="157"/>
        <v>3.3333333333333333E-2</v>
      </c>
      <c r="S246" s="10">
        <f t="shared" si="157"/>
        <v>3.3333333333333333E-2</v>
      </c>
      <c r="T246" s="10">
        <f t="shared" si="157"/>
        <v>3.3333333333333333E-2</v>
      </c>
      <c r="U246" s="10">
        <f t="shared" si="157"/>
        <v>3.3333333333333333E-2</v>
      </c>
      <c r="V246" s="10">
        <f t="shared" si="157"/>
        <v>3.3333333333333333E-2</v>
      </c>
      <c r="W246" s="10">
        <f t="shared" si="157"/>
        <v>3.3333333333333333E-2</v>
      </c>
      <c r="X246" s="10">
        <f t="shared" si="157"/>
        <v>3.3333333333333333E-2</v>
      </c>
      <c r="Y246" s="10">
        <f t="shared" si="157"/>
        <v>3.3333333333333333E-2</v>
      </c>
      <c r="Z246" s="10">
        <f t="shared" si="157"/>
        <v>3.3333333333333333E-2</v>
      </c>
      <c r="AA246" s="10">
        <f t="shared" si="157"/>
        <v>3.3333333333333333E-2</v>
      </c>
      <c r="AB246" s="10">
        <f t="shared" si="157"/>
        <v>3.3333333333333333E-2</v>
      </c>
      <c r="AC246" s="10">
        <f t="shared" si="157"/>
        <v>3.3333333333333333E-2</v>
      </c>
      <c r="AD246" s="10">
        <f t="shared" si="157"/>
        <v>3.3333333333333333E-2</v>
      </c>
      <c r="AE246" s="10">
        <f t="shared" si="157"/>
        <v>3.3333333333333333E-2</v>
      </c>
      <c r="AF246" s="10">
        <f t="shared" si="157"/>
        <v>3.3333333333333333E-2</v>
      </c>
      <c r="AG246" s="10">
        <f t="shared" si="157"/>
        <v>3.3333333333333333E-2</v>
      </c>
    </row>
    <row r="247" spans="2:33">
      <c r="B247" t="str">
        <f t="shared" si="154"/>
        <v>Supercritical Coal</v>
      </c>
      <c r="H247" s="26">
        <f>25/88</f>
        <v>0.28409090909090912</v>
      </c>
      <c r="I247" s="10">
        <f t="shared" ref="I247:AG247" si="158">H247</f>
        <v>0.28409090909090912</v>
      </c>
      <c r="J247" s="10">
        <f t="shared" si="158"/>
        <v>0.28409090909090912</v>
      </c>
      <c r="K247" s="10">
        <f t="shared" si="158"/>
        <v>0.28409090909090912</v>
      </c>
      <c r="L247" s="10">
        <f t="shared" si="158"/>
        <v>0.28409090909090912</v>
      </c>
      <c r="M247" s="10">
        <f t="shared" si="158"/>
        <v>0.28409090909090912</v>
      </c>
      <c r="N247" s="10">
        <f t="shared" si="158"/>
        <v>0.28409090909090912</v>
      </c>
      <c r="O247" s="10">
        <f t="shared" si="158"/>
        <v>0.28409090909090912</v>
      </c>
      <c r="P247" s="10">
        <f t="shared" si="158"/>
        <v>0.28409090909090912</v>
      </c>
      <c r="Q247" s="10">
        <f t="shared" si="158"/>
        <v>0.28409090909090912</v>
      </c>
      <c r="R247" s="10">
        <f t="shared" si="158"/>
        <v>0.28409090909090912</v>
      </c>
      <c r="S247" s="10">
        <f t="shared" si="158"/>
        <v>0.28409090909090912</v>
      </c>
      <c r="T247" s="10">
        <f t="shared" si="158"/>
        <v>0.28409090909090912</v>
      </c>
      <c r="U247" s="10">
        <f t="shared" si="158"/>
        <v>0.28409090909090912</v>
      </c>
      <c r="V247" s="10">
        <f t="shared" si="158"/>
        <v>0.28409090909090912</v>
      </c>
      <c r="W247" s="10">
        <f t="shared" si="158"/>
        <v>0.28409090909090912</v>
      </c>
      <c r="X247" s="10">
        <f t="shared" si="158"/>
        <v>0.28409090909090912</v>
      </c>
      <c r="Y247" s="10">
        <f t="shared" si="158"/>
        <v>0.28409090909090912</v>
      </c>
      <c r="Z247" s="10">
        <f t="shared" si="158"/>
        <v>0.28409090909090912</v>
      </c>
      <c r="AA247" s="10">
        <f t="shared" si="158"/>
        <v>0.28409090909090912</v>
      </c>
      <c r="AB247" s="10">
        <f t="shared" si="158"/>
        <v>0.28409090909090912</v>
      </c>
      <c r="AC247" s="10">
        <f t="shared" si="158"/>
        <v>0.28409090909090912</v>
      </c>
      <c r="AD247" s="10">
        <f t="shared" si="158"/>
        <v>0.28409090909090912</v>
      </c>
      <c r="AE247" s="10">
        <f t="shared" si="158"/>
        <v>0.28409090909090912</v>
      </c>
      <c r="AF247" s="10">
        <f t="shared" si="158"/>
        <v>0.28409090909090912</v>
      </c>
      <c r="AG247" s="10">
        <f t="shared" si="158"/>
        <v>0.28409090909090912</v>
      </c>
    </row>
    <row r="248" spans="2:33">
      <c r="B248" t="str">
        <f t="shared" si="154"/>
        <v>Fluidised Bed Combustion Coal</v>
      </c>
      <c r="H248" s="26">
        <f>25/88</f>
        <v>0.28409090909090912</v>
      </c>
      <c r="I248" s="10">
        <f t="shared" ref="I248:AG248" si="159">H248</f>
        <v>0.28409090909090912</v>
      </c>
      <c r="J248" s="10">
        <f t="shared" si="159"/>
        <v>0.28409090909090912</v>
      </c>
      <c r="K248" s="10">
        <f t="shared" si="159"/>
        <v>0.28409090909090912</v>
      </c>
      <c r="L248" s="10">
        <f t="shared" si="159"/>
        <v>0.28409090909090912</v>
      </c>
      <c r="M248" s="10">
        <f t="shared" si="159"/>
        <v>0.28409090909090912</v>
      </c>
      <c r="N248" s="10">
        <f t="shared" si="159"/>
        <v>0.28409090909090912</v>
      </c>
      <c r="O248" s="10">
        <f t="shared" si="159"/>
        <v>0.28409090909090912</v>
      </c>
      <c r="P248" s="10">
        <f t="shared" si="159"/>
        <v>0.28409090909090912</v>
      </c>
      <c r="Q248" s="10">
        <f t="shared" si="159"/>
        <v>0.28409090909090912</v>
      </c>
      <c r="R248" s="10">
        <f t="shared" si="159"/>
        <v>0.28409090909090912</v>
      </c>
      <c r="S248" s="10">
        <f t="shared" si="159"/>
        <v>0.28409090909090912</v>
      </c>
      <c r="T248" s="10">
        <f t="shared" si="159"/>
        <v>0.28409090909090912</v>
      </c>
      <c r="U248" s="10">
        <f t="shared" si="159"/>
        <v>0.28409090909090912</v>
      </c>
      <c r="V248" s="10">
        <f t="shared" si="159"/>
        <v>0.28409090909090912</v>
      </c>
      <c r="W248" s="10">
        <f t="shared" si="159"/>
        <v>0.28409090909090912</v>
      </c>
      <c r="X248" s="10">
        <f t="shared" si="159"/>
        <v>0.28409090909090912</v>
      </c>
      <c r="Y248" s="10">
        <f t="shared" si="159"/>
        <v>0.28409090909090912</v>
      </c>
      <c r="Z248" s="10">
        <f t="shared" si="159"/>
        <v>0.28409090909090912</v>
      </c>
      <c r="AA248" s="10">
        <f t="shared" si="159"/>
        <v>0.28409090909090912</v>
      </c>
      <c r="AB248" s="10">
        <f t="shared" si="159"/>
        <v>0.28409090909090912</v>
      </c>
      <c r="AC248" s="10">
        <f t="shared" si="159"/>
        <v>0.28409090909090912</v>
      </c>
      <c r="AD248" s="10">
        <f t="shared" si="159"/>
        <v>0.28409090909090912</v>
      </c>
      <c r="AE248" s="10">
        <f t="shared" si="159"/>
        <v>0.28409090909090912</v>
      </c>
      <c r="AF248" s="10">
        <f t="shared" si="159"/>
        <v>0.28409090909090912</v>
      </c>
      <c r="AG248" s="10">
        <f t="shared" si="159"/>
        <v>0.28409090909090912</v>
      </c>
    </row>
    <row r="249" spans="2:33">
      <c r="B249" t="str">
        <f t="shared" si="154"/>
        <v>Integrated Gasification Combined Cycle Coal</v>
      </c>
      <c r="H249" s="26">
        <f>25/88</f>
        <v>0.28409090909090912</v>
      </c>
      <c r="I249" s="10">
        <f t="shared" ref="I249:AG249" si="160">H249</f>
        <v>0.28409090909090912</v>
      </c>
      <c r="J249" s="10">
        <f t="shared" si="160"/>
        <v>0.28409090909090912</v>
      </c>
      <c r="K249" s="10">
        <f t="shared" si="160"/>
        <v>0.28409090909090912</v>
      </c>
      <c r="L249" s="10">
        <f t="shared" si="160"/>
        <v>0.28409090909090912</v>
      </c>
      <c r="M249" s="10">
        <f t="shared" si="160"/>
        <v>0.28409090909090912</v>
      </c>
      <c r="N249" s="10">
        <f t="shared" si="160"/>
        <v>0.28409090909090912</v>
      </c>
      <c r="O249" s="10">
        <f t="shared" si="160"/>
        <v>0.28409090909090912</v>
      </c>
      <c r="P249" s="10">
        <f t="shared" si="160"/>
        <v>0.28409090909090912</v>
      </c>
      <c r="Q249" s="10">
        <f t="shared" si="160"/>
        <v>0.28409090909090912</v>
      </c>
      <c r="R249" s="10">
        <f t="shared" si="160"/>
        <v>0.28409090909090912</v>
      </c>
      <c r="S249" s="10">
        <f t="shared" si="160"/>
        <v>0.28409090909090912</v>
      </c>
      <c r="T249" s="10">
        <f t="shared" si="160"/>
        <v>0.28409090909090912</v>
      </c>
      <c r="U249" s="10">
        <f t="shared" si="160"/>
        <v>0.28409090909090912</v>
      </c>
      <c r="V249" s="10">
        <f t="shared" si="160"/>
        <v>0.28409090909090912</v>
      </c>
      <c r="W249" s="10">
        <f t="shared" si="160"/>
        <v>0.28409090909090912</v>
      </c>
      <c r="X249" s="10">
        <f t="shared" si="160"/>
        <v>0.28409090909090912</v>
      </c>
      <c r="Y249" s="10">
        <f t="shared" si="160"/>
        <v>0.28409090909090912</v>
      </c>
      <c r="Z249" s="10">
        <f t="shared" si="160"/>
        <v>0.28409090909090912</v>
      </c>
      <c r="AA249" s="10">
        <f t="shared" si="160"/>
        <v>0.28409090909090912</v>
      </c>
      <c r="AB249" s="10">
        <f t="shared" si="160"/>
        <v>0.28409090909090912</v>
      </c>
      <c r="AC249" s="10">
        <f t="shared" si="160"/>
        <v>0.28409090909090912</v>
      </c>
      <c r="AD249" s="10">
        <f t="shared" si="160"/>
        <v>0.28409090909090912</v>
      </c>
      <c r="AE249" s="10">
        <f t="shared" si="160"/>
        <v>0.28409090909090912</v>
      </c>
      <c r="AF249" s="10">
        <f t="shared" si="160"/>
        <v>0.28409090909090912</v>
      </c>
      <c r="AG249" s="10">
        <f t="shared" si="160"/>
        <v>0.28409090909090912</v>
      </c>
    </row>
    <row r="250" spans="2:33">
      <c r="B250" t="str">
        <f t="shared" si="154"/>
        <v>Nuclear Pressurised Water Reactor</v>
      </c>
      <c r="H250" s="26">
        <v>1</v>
      </c>
      <c r="I250" s="10">
        <f t="shared" ref="I250:AG250" si="161">H250</f>
        <v>1</v>
      </c>
      <c r="J250" s="10">
        <f t="shared" si="161"/>
        <v>1</v>
      </c>
      <c r="K250" s="10">
        <f t="shared" si="161"/>
        <v>1</v>
      </c>
      <c r="L250" s="10">
        <f t="shared" si="161"/>
        <v>1</v>
      </c>
      <c r="M250" s="10">
        <f t="shared" si="161"/>
        <v>1</v>
      </c>
      <c r="N250" s="10">
        <f t="shared" si="161"/>
        <v>1</v>
      </c>
      <c r="O250" s="10">
        <f t="shared" si="161"/>
        <v>1</v>
      </c>
      <c r="P250" s="10">
        <f t="shared" si="161"/>
        <v>1</v>
      </c>
      <c r="Q250" s="10">
        <f t="shared" si="161"/>
        <v>1</v>
      </c>
      <c r="R250" s="10">
        <f t="shared" si="161"/>
        <v>1</v>
      </c>
      <c r="S250" s="10">
        <f t="shared" si="161"/>
        <v>1</v>
      </c>
      <c r="T250" s="10">
        <f t="shared" si="161"/>
        <v>1</v>
      </c>
      <c r="U250" s="10">
        <f t="shared" si="161"/>
        <v>1</v>
      </c>
      <c r="V250" s="10">
        <f t="shared" si="161"/>
        <v>1</v>
      </c>
      <c r="W250" s="10">
        <f t="shared" si="161"/>
        <v>1</v>
      </c>
      <c r="X250" s="10">
        <f t="shared" si="161"/>
        <v>1</v>
      </c>
      <c r="Y250" s="10">
        <f t="shared" si="161"/>
        <v>1</v>
      </c>
      <c r="Z250" s="10">
        <f t="shared" si="161"/>
        <v>1</v>
      </c>
      <c r="AA250" s="10">
        <f t="shared" si="161"/>
        <v>1</v>
      </c>
      <c r="AB250" s="10">
        <f t="shared" si="161"/>
        <v>1</v>
      </c>
      <c r="AC250" s="10">
        <f t="shared" si="161"/>
        <v>1</v>
      </c>
      <c r="AD250" s="10">
        <f t="shared" si="161"/>
        <v>1</v>
      </c>
      <c r="AE250" s="10">
        <f t="shared" si="161"/>
        <v>1</v>
      </c>
      <c r="AF250" s="10">
        <f t="shared" si="161"/>
        <v>1</v>
      </c>
      <c r="AG250" s="10">
        <f t="shared" si="161"/>
        <v>1</v>
      </c>
    </row>
    <row r="251" spans="2:33">
      <c r="B251" t="str">
        <f t="shared" si="154"/>
        <v>Nuclear Pebble-Bed Modular Reactor</v>
      </c>
      <c r="H251" s="26">
        <v>1</v>
      </c>
      <c r="I251" s="10">
        <f t="shared" ref="I251:AG251" si="162">H251</f>
        <v>1</v>
      </c>
      <c r="J251" s="10">
        <f t="shared" si="162"/>
        <v>1</v>
      </c>
      <c r="K251" s="10">
        <f t="shared" si="162"/>
        <v>1</v>
      </c>
      <c r="L251" s="10">
        <f t="shared" si="162"/>
        <v>1</v>
      </c>
      <c r="M251" s="10">
        <f t="shared" si="162"/>
        <v>1</v>
      </c>
      <c r="N251" s="10">
        <f t="shared" si="162"/>
        <v>1</v>
      </c>
      <c r="O251" s="10">
        <f t="shared" si="162"/>
        <v>1</v>
      </c>
      <c r="P251" s="10">
        <f t="shared" si="162"/>
        <v>1</v>
      </c>
      <c r="Q251" s="10">
        <f t="shared" si="162"/>
        <v>1</v>
      </c>
      <c r="R251" s="10">
        <f t="shared" si="162"/>
        <v>1</v>
      </c>
      <c r="S251" s="10">
        <f t="shared" si="162"/>
        <v>1</v>
      </c>
      <c r="T251" s="10">
        <f t="shared" si="162"/>
        <v>1</v>
      </c>
      <c r="U251" s="10">
        <f t="shared" si="162"/>
        <v>1</v>
      </c>
      <c r="V251" s="10">
        <f t="shared" si="162"/>
        <v>1</v>
      </c>
      <c r="W251" s="10">
        <f t="shared" si="162"/>
        <v>1</v>
      </c>
      <c r="X251" s="10">
        <f t="shared" si="162"/>
        <v>1</v>
      </c>
      <c r="Y251" s="10">
        <f t="shared" si="162"/>
        <v>1</v>
      </c>
      <c r="Z251" s="10">
        <f t="shared" si="162"/>
        <v>1</v>
      </c>
      <c r="AA251" s="10">
        <f t="shared" si="162"/>
        <v>1</v>
      </c>
      <c r="AB251" s="10">
        <f t="shared" si="162"/>
        <v>1</v>
      </c>
      <c r="AC251" s="10">
        <f t="shared" si="162"/>
        <v>1</v>
      </c>
      <c r="AD251" s="10">
        <f t="shared" si="162"/>
        <v>1</v>
      </c>
      <c r="AE251" s="10">
        <f t="shared" si="162"/>
        <v>1</v>
      </c>
      <c r="AF251" s="10">
        <f t="shared" si="162"/>
        <v>1</v>
      </c>
      <c r="AG251" s="10">
        <f t="shared" si="162"/>
        <v>1</v>
      </c>
    </row>
    <row r="252" spans="2:33">
      <c r="B252" t="str">
        <f t="shared" si="154"/>
        <v>Wind</v>
      </c>
      <c r="H252" s="26">
        <v>1</v>
      </c>
      <c r="I252" s="10">
        <f t="shared" ref="I252:AG252" si="163">H252</f>
        <v>1</v>
      </c>
      <c r="J252" s="10">
        <f t="shared" si="163"/>
        <v>1</v>
      </c>
      <c r="K252" s="10">
        <f t="shared" si="163"/>
        <v>1</v>
      </c>
      <c r="L252" s="10">
        <f t="shared" si="163"/>
        <v>1</v>
      </c>
      <c r="M252" s="10">
        <f t="shared" si="163"/>
        <v>1</v>
      </c>
      <c r="N252" s="10">
        <f t="shared" si="163"/>
        <v>1</v>
      </c>
      <c r="O252" s="10">
        <f t="shared" si="163"/>
        <v>1</v>
      </c>
      <c r="P252" s="10">
        <f t="shared" si="163"/>
        <v>1</v>
      </c>
      <c r="Q252" s="10">
        <f t="shared" si="163"/>
        <v>1</v>
      </c>
      <c r="R252" s="10">
        <f t="shared" si="163"/>
        <v>1</v>
      </c>
      <c r="S252" s="10">
        <f t="shared" si="163"/>
        <v>1</v>
      </c>
      <c r="T252" s="10">
        <f t="shared" si="163"/>
        <v>1</v>
      </c>
      <c r="U252" s="10">
        <f t="shared" si="163"/>
        <v>1</v>
      </c>
      <c r="V252" s="10">
        <f t="shared" si="163"/>
        <v>1</v>
      </c>
      <c r="W252" s="10">
        <f t="shared" si="163"/>
        <v>1</v>
      </c>
      <c r="X252" s="10">
        <f t="shared" si="163"/>
        <v>1</v>
      </c>
      <c r="Y252" s="10">
        <f t="shared" si="163"/>
        <v>1</v>
      </c>
      <c r="Z252" s="10">
        <f t="shared" si="163"/>
        <v>1</v>
      </c>
      <c r="AA252" s="10">
        <f t="shared" si="163"/>
        <v>1</v>
      </c>
      <c r="AB252" s="10">
        <f t="shared" si="163"/>
        <v>1</v>
      </c>
      <c r="AC252" s="10">
        <f t="shared" si="163"/>
        <v>1</v>
      </c>
      <c r="AD252" s="10">
        <f t="shared" si="163"/>
        <v>1</v>
      </c>
      <c r="AE252" s="10">
        <f t="shared" si="163"/>
        <v>1</v>
      </c>
      <c r="AF252" s="10">
        <f t="shared" si="163"/>
        <v>1</v>
      </c>
      <c r="AG252" s="10">
        <f t="shared" si="163"/>
        <v>1</v>
      </c>
    </row>
    <row r="253" spans="2:33">
      <c r="B253" t="str">
        <f t="shared" si="154"/>
        <v>Solar Photovoltaic</v>
      </c>
      <c r="H253" s="26">
        <v>1</v>
      </c>
      <c r="I253" s="10">
        <f t="shared" ref="I253:AG253" si="164">H253</f>
        <v>1</v>
      </c>
      <c r="J253" s="10">
        <f t="shared" si="164"/>
        <v>1</v>
      </c>
      <c r="K253" s="10">
        <f t="shared" si="164"/>
        <v>1</v>
      </c>
      <c r="L253" s="10">
        <f t="shared" si="164"/>
        <v>1</v>
      </c>
      <c r="M253" s="10">
        <f t="shared" si="164"/>
        <v>1</v>
      </c>
      <c r="N253" s="10">
        <f t="shared" si="164"/>
        <v>1</v>
      </c>
      <c r="O253" s="10">
        <f t="shared" si="164"/>
        <v>1</v>
      </c>
      <c r="P253" s="10">
        <f t="shared" si="164"/>
        <v>1</v>
      </c>
      <c r="Q253" s="10">
        <f t="shared" si="164"/>
        <v>1</v>
      </c>
      <c r="R253" s="10">
        <f t="shared" si="164"/>
        <v>1</v>
      </c>
      <c r="S253" s="10">
        <f t="shared" si="164"/>
        <v>1</v>
      </c>
      <c r="T253" s="10">
        <f t="shared" si="164"/>
        <v>1</v>
      </c>
      <c r="U253" s="10">
        <f t="shared" si="164"/>
        <v>1</v>
      </c>
      <c r="V253" s="10">
        <f t="shared" si="164"/>
        <v>1</v>
      </c>
      <c r="W253" s="10">
        <f t="shared" si="164"/>
        <v>1</v>
      </c>
      <c r="X253" s="10">
        <f t="shared" si="164"/>
        <v>1</v>
      </c>
      <c r="Y253" s="10">
        <f t="shared" si="164"/>
        <v>1</v>
      </c>
      <c r="Z253" s="10">
        <f t="shared" si="164"/>
        <v>1</v>
      </c>
      <c r="AA253" s="10">
        <f t="shared" si="164"/>
        <v>1</v>
      </c>
      <c r="AB253" s="10">
        <f t="shared" si="164"/>
        <v>1</v>
      </c>
      <c r="AC253" s="10">
        <f t="shared" si="164"/>
        <v>1</v>
      </c>
      <c r="AD253" s="10">
        <f t="shared" si="164"/>
        <v>1</v>
      </c>
      <c r="AE253" s="10">
        <f t="shared" si="164"/>
        <v>1</v>
      </c>
      <c r="AF253" s="10">
        <f t="shared" si="164"/>
        <v>1</v>
      </c>
      <c r="AG253" s="10">
        <f t="shared" si="164"/>
        <v>1</v>
      </c>
    </row>
    <row r="254" spans="2:33">
      <c r="B254" t="str">
        <f t="shared" si="154"/>
        <v>Solar Parabolic Trough</v>
      </c>
      <c r="H254" s="26">
        <v>1</v>
      </c>
      <c r="I254" s="10">
        <f t="shared" ref="I254:AG254" si="165">H254</f>
        <v>1</v>
      </c>
      <c r="J254" s="10">
        <f t="shared" si="165"/>
        <v>1</v>
      </c>
      <c r="K254" s="10">
        <f t="shared" si="165"/>
        <v>1</v>
      </c>
      <c r="L254" s="10">
        <f t="shared" si="165"/>
        <v>1</v>
      </c>
      <c r="M254" s="10">
        <f t="shared" si="165"/>
        <v>1</v>
      </c>
      <c r="N254" s="10">
        <f t="shared" si="165"/>
        <v>1</v>
      </c>
      <c r="O254" s="10">
        <f t="shared" si="165"/>
        <v>1</v>
      </c>
      <c r="P254" s="10">
        <f t="shared" si="165"/>
        <v>1</v>
      </c>
      <c r="Q254" s="10">
        <f t="shared" si="165"/>
        <v>1</v>
      </c>
      <c r="R254" s="10">
        <f t="shared" si="165"/>
        <v>1</v>
      </c>
      <c r="S254" s="10">
        <f t="shared" si="165"/>
        <v>1</v>
      </c>
      <c r="T254" s="10">
        <f t="shared" si="165"/>
        <v>1</v>
      </c>
      <c r="U254" s="10">
        <f t="shared" si="165"/>
        <v>1</v>
      </c>
      <c r="V254" s="10">
        <f t="shared" si="165"/>
        <v>1</v>
      </c>
      <c r="W254" s="10">
        <f t="shared" si="165"/>
        <v>1</v>
      </c>
      <c r="X254" s="10">
        <f t="shared" si="165"/>
        <v>1</v>
      </c>
      <c r="Y254" s="10">
        <f t="shared" si="165"/>
        <v>1</v>
      </c>
      <c r="Z254" s="10">
        <f t="shared" si="165"/>
        <v>1</v>
      </c>
      <c r="AA254" s="10">
        <f t="shared" si="165"/>
        <v>1</v>
      </c>
      <c r="AB254" s="10">
        <f t="shared" si="165"/>
        <v>1</v>
      </c>
      <c r="AC254" s="10">
        <f t="shared" si="165"/>
        <v>1</v>
      </c>
      <c r="AD254" s="10">
        <f t="shared" si="165"/>
        <v>1</v>
      </c>
      <c r="AE254" s="10">
        <f t="shared" si="165"/>
        <v>1</v>
      </c>
      <c r="AF254" s="10">
        <f t="shared" si="165"/>
        <v>1</v>
      </c>
      <c r="AG254" s="10">
        <f t="shared" si="165"/>
        <v>1</v>
      </c>
    </row>
    <row r="255" spans="2:33">
      <c r="B255" t="str">
        <f t="shared" si="154"/>
        <v>Solar Central Receiver</v>
      </c>
      <c r="H255" s="26">
        <v>1</v>
      </c>
      <c r="I255" s="10">
        <f t="shared" ref="I255:AG255" si="166">H255</f>
        <v>1</v>
      </c>
      <c r="J255" s="10">
        <f t="shared" si="166"/>
        <v>1</v>
      </c>
      <c r="K255" s="10">
        <f t="shared" si="166"/>
        <v>1</v>
      </c>
      <c r="L255" s="10">
        <f t="shared" si="166"/>
        <v>1</v>
      </c>
      <c r="M255" s="10">
        <f t="shared" si="166"/>
        <v>1</v>
      </c>
      <c r="N255" s="10">
        <f t="shared" si="166"/>
        <v>1</v>
      </c>
      <c r="O255" s="10">
        <f t="shared" si="166"/>
        <v>1</v>
      </c>
      <c r="P255" s="10">
        <f t="shared" si="166"/>
        <v>1</v>
      </c>
      <c r="Q255" s="10">
        <f t="shared" si="166"/>
        <v>1</v>
      </c>
      <c r="R255" s="10">
        <f t="shared" si="166"/>
        <v>1</v>
      </c>
      <c r="S255" s="10">
        <f t="shared" si="166"/>
        <v>1</v>
      </c>
      <c r="T255" s="10">
        <f t="shared" si="166"/>
        <v>1</v>
      </c>
      <c r="U255" s="10">
        <f t="shared" si="166"/>
        <v>1</v>
      </c>
      <c r="V255" s="10">
        <f t="shared" si="166"/>
        <v>1</v>
      </c>
      <c r="W255" s="10">
        <f t="shared" si="166"/>
        <v>1</v>
      </c>
      <c r="X255" s="10">
        <f t="shared" si="166"/>
        <v>1</v>
      </c>
      <c r="Y255" s="10">
        <f t="shared" si="166"/>
        <v>1</v>
      </c>
      <c r="Z255" s="10">
        <f t="shared" si="166"/>
        <v>1</v>
      </c>
      <c r="AA255" s="10">
        <f t="shared" si="166"/>
        <v>1</v>
      </c>
      <c r="AB255" s="10">
        <f t="shared" si="166"/>
        <v>1</v>
      </c>
      <c r="AC255" s="10">
        <f t="shared" si="166"/>
        <v>1</v>
      </c>
      <c r="AD255" s="10">
        <f t="shared" si="166"/>
        <v>1</v>
      </c>
      <c r="AE255" s="10">
        <f t="shared" si="166"/>
        <v>1</v>
      </c>
      <c r="AF255" s="10">
        <f t="shared" si="166"/>
        <v>1</v>
      </c>
      <c r="AG255" s="10">
        <f t="shared" si="166"/>
        <v>1</v>
      </c>
    </row>
    <row r="256" spans="2:33">
      <c r="B256" t="str">
        <f t="shared" si="154"/>
        <v>Biomass</v>
      </c>
      <c r="H256" s="26">
        <v>1</v>
      </c>
      <c r="I256" s="10">
        <f t="shared" ref="I256:AG256" si="167">H256</f>
        <v>1</v>
      </c>
      <c r="J256" s="10">
        <f t="shared" si="167"/>
        <v>1</v>
      </c>
      <c r="K256" s="10">
        <f t="shared" si="167"/>
        <v>1</v>
      </c>
      <c r="L256" s="10">
        <f t="shared" si="167"/>
        <v>1</v>
      </c>
      <c r="M256" s="10">
        <f t="shared" si="167"/>
        <v>1</v>
      </c>
      <c r="N256" s="10">
        <f t="shared" si="167"/>
        <v>1</v>
      </c>
      <c r="O256" s="10">
        <f t="shared" si="167"/>
        <v>1</v>
      </c>
      <c r="P256" s="10">
        <f t="shared" si="167"/>
        <v>1</v>
      </c>
      <c r="Q256" s="10">
        <f t="shared" si="167"/>
        <v>1</v>
      </c>
      <c r="R256" s="10">
        <f t="shared" si="167"/>
        <v>1</v>
      </c>
      <c r="S256" s="10">
        <f t="shared" si="167"/>
        <v>1</v>
      </c>
      <c r="T256" s="10">
        <f t="shared" si="167"/>
        <v>1</v>
      </c>
      <c r="U256" s="10">
        <f t="shared" si="167"/>
        <v>1</v>
      </c>
      <c r="V256" s="10">
        <f t="shared" si="167"/>
        <v>1</v>
      </c>
      <c r="W256" s="10">
        <f t="shared" si="167"/>
        <v>1</v>
      </c>
      <c r="X256" s="10">
        <f t="shared" si="167"/>
        <v>1</v>
      </c>
      <c r="Y256" s="10">
        <f t="shared" si="167"/>
        <v>1</v>
      </c>
      <c r="Z256" s="10">
        <f t="shared" si="167"/>
        <v>1</v>
      </c>
      <c r="AA256" s="10">
        <f t="shared" si="167"/>
        <v>1</v>
      </c>
      <c r="AB256" s="10">
        <f t="shared" si="167"/>
        <v>1</v>
      </c>
      <c r="AC256" s="10">
        <f t="shared" si="167"/>
        <v>1</v>
      </c>
      <c r="AD256" s="10">
        <f t="shared" si="167"/>
        <v>1</v>
      </c>
      <c r="AE256" s="10">
        <f t="shared" si="167"/>
        <v>1</v>
      </c>
      <c r="AF256" s="10">
        <f t="shared" si="167"/>
        <v>1</v>
      </c>
      <c r="AG256" s="10">
        <f t="shared" si="167"/>
        <v>1</v>
      </c>
    </row>
    <row r="257" spans="2:68">
      <c r="B257" t="str">
        <f t="shared" si="154"/>
        <v>Wave</v>
      </c>
      <c r="H257" s="26">
        <v>1</v>
      </c>
      <c r="I257" s="10">
        <f t="shared" ref="I257:AG257" si="168">H257</f>
        <v>1</v>
      </c>
      <c r="J257" s="10">
        <f t="shared" si="168"/>
        <v>1</v>
      </c>
      <c r="K257" s="10">
        <f t="shared" si="168"/>
        <v>1</v>
      </c>
      <c r="L257" s="10">
        <f t="shared" si="168"/>
        <v>1</v>
      </c>
      <c r="M257" s="10">
        <f t="shared" si="168"/>
        <v>1</v>
      </c>
      <c r="N257" s="10">
        <f t="shared" si="168"/>
        <v>1</v>
      </c>
      <c r="O257" s="10">
        <f t="shared" si="168"/>
        <v>1</v>
      </c>
      <c r="P257" s="10">
        <f t="shared" si="168"/>
        <v>1</v>
      </c>
      <c r="Q257" s="10">
        <f t="shared" si="168"/>
        <v>1</v>
      </c>
      <c r="R257" s="10">
        <f t="shared" si="168"/>
        <v>1</v>
      </c>
      <c r="S257" s="10">
        <f t="shared" si="168"/>
        <v>1</v>
      </c>
      <c r="T257" s="10">
        <f t="shared" si="168"/>
        <v>1</v>
      </c>
      <c r="U257" s="10">
        <f t="shared" si="168"/>
        <v>1</v>
      </c>
      <c r="V257" s="10">
        <f t="shared" si="168"/>
        <v>1</v>
      </c>
      <c r="W257" s="10">
        <f t="shared" si="168"/>
        <v>1</v>
      </c>
      <c r="X257" s="10">
        <f t="shared" si="168"/>
        <v>1</v>
      </c>
      <c r="Y257" s="10">
        <f t="shared" si="168"/>
        <v>1</v>
      </c>
      <c r="Z257" s="10">
        <f t="shared" si="168"/>
        <v>1</v>
      </c>
      <c r="AA257" s="10">
        <f t="shared" si="168"/>
        <v>1</v>
      </c>
      <c r="AB257" s="10">
        <f t="shared" si="168"/>
        <v>1</v>
      </c>
      <c r="AC257" s="10">
        <f t="shared" si="168"/>
        <v>1</v>
      </c>
      <c r="AD257" s="10">
        <f t="shared" si="168"/>
        <v>1</v>
      </c>
      <c r="AE257" s="10">
        <f t="shared" si="168"/>
        <v>1</v>
      </c>
      <c r="AF257" s="10">
        <f t="shared" si="168"/>
        <v>1</v>
      </c>
      <c r="AG257" s="10">
        <f t="shared" si="168"/>
        <v>1</v>
      </c>
    </row>
    <row r="258" spans="2:68">
      <c r="B258" t="str">
        <f t="shared" si="154"/>
        <v>Existing coal large</v>
      </c>
      <c r="H258" s="26">
        <v>0.3</v>
      </c>
      <c r="I258" s="10">
        <f t="shared" ref="I258:AG258" si="169">H258</f>
        <v>0.3</v>
      </c>
      <c r="J258" s="10">
        <f t="shared" si="169"/>
        <v>0.3</v>
      </c>
      <c r="K258" s="10">
        <f t="shared" si="169"/>
        <v>0.3</v>
      </c>
      <c r="L258" s="10">
        <f t="shared" si="169"/>
        <v>0.3</v>
      </c>
      <c r="M258" s="10">
        <f t="shared" si="169"/>
        <v>0.3</v>
      </c>
      <c r="N258" s="10">
        <f t="shared" si="169"/>
        <v>0.3</v>
      </c>
      <c r="O258" s="10">
        <f t="shared" si="169"/>
        <v>0.3</v>
      </c>
      <c r="P258" s="10">
        <f t="shared" si="169"/>
        <v>0.3</v>
      </c>
      <c r="Q258" s="10">
        <f t="shared" si="169"/>
        <v>0.3</v>
      </c>
      <c r="R258" s="10">
        <f t="shared" si="169"/>
        <v>0.3</v>
      </c>
      <c r="S258" s="10">
        <f t="shared" si="169"/>
        <v>0.3</v>
      </c>
      <c r="T258" s="10">
        <f t="shared" si="169"/>
        <v>0.3</v>
      </c>
      <c r="U258" s="10">
        <f t="shared" si="169"/>
        <v>0.3</v>
      </c>
      <c r="V258" s="10">
        <f t="shared" si="169"/>
        <v>0.3</v>
      </c>
      <c r="W258" s="10">
        <f t="shared" si="169"/>
        <v>0.3</v>
      </c>
      <c r="X258" s="10">
        <f t="shared" si="169"/>
        <v>0.3</v>
      </c>
      <c r="Y258" s="10">
        <f t="shared" si="169"/>
        <v>0.3</v>
      </c>
      <c r="Z258" s="10">
        <f t="shared" si="169"/>
        <v>0.3</v>
      </c>
      <c r="AA258" s="10">
        <f t="shared" si="169"/>
        <v>0.3</v>
      </c>
      <c r="AB258" s="10">
        <f t="shared" si="169"/>
        <v>0.3</v>
      </c>
      <c r="AC258" s="10">
        <f t="shared" si="169"/>
        <v>0.3</v>
      </c>
      <c r="AD258" s="10">
        <f t="shared" si="169"/>
        <v>0.3</v>
      </c>
      <c r="AE258" s="10">
        <f t="shared" si="169"/>
        <v>0.3</v>
      </c>
      <c r="AF258" s="10">
        <f t="shared" si="169"/>
        <v>0.3</v>
      </c>
      <c r="AG258" s="10">
        <f t="shared" si="169"/>
        <v>0.3</v>
      </c>
    </row>
    <row r="259" spans="2:68">
      <c r="B259" t="str">
        <f t="shared" si="154"/>
        <v>Existing coal small</v>
      </c>
      <c r="H259" s="26">
        <v>0.3</v>
      </c>
      <c r="I259" s="10">
        <f t="shared" ref="I259:AG259" si="170">H259</f>
        <v>0.3</v>
      </c>
      <c r="J259" s="10">
        <f t="shared" si="170"/>
        <v>0.3</v>
      </c>
      <c r="K259" s="10">
        <f t="shared" si="170"/>
        <v>0.3</v>
      </c>
      <c r="L259" s="10">
        <f t="shared" si="170"/>
        <v>0.3</v>
      </c>
      <c r="M259" s="10">
        <f t="shared" si="170"/>
        <v>0.3</v>
      </c>
      <c r="N259" s="10">
        <f t="shared" si="170"/>
        <v>0.3</v>
      </c>
      <c r="O259" s="10">
        <f t="shared" si="170"/>
        <v>0.3</v>
      </c>
      <c r="P259" s="10">
        <f t="shared" si="170"/>
        <v>0.3</v>
      </c>
      <c r="Q259" s="10">
        <f t="shared" si="170"/>
        <v>0.3</v>
      </c>
      <c r="R259" s="10">
        <f t="shared" si="170"/>
        <v>0.3</v>
      </c>
      <c r="S259" s="10">
        <f t="shared" si="170"/>
        <v>0.3</v>
      </c>
      <c r="T259" s="10">
        <f t="shared" si="170"/>
        <v>0.3</v>
      </c>
      <c r="U259" s="10">
        <f t="shared" si="170"/>
        <v>0.3</v>
      </c>
      <c r="V259" s="10">
        <f t="shared" si="170"/>
        <v>0.3</v>
      </c>
      <c r="W259" s="10">
        <f t="shared" si="170"/>
        <v>0.3</v>
      </c>
      <c r="X259" s="10">
        <f t="shared" si="170"/>
        <v>0.3</v>
      </c>
      <c r="Y259" s="10">
        <f t="shared" si="170"/>
        <v>0.3</v>
      </c>
      <c r="Z259" s="10">
        <f t="shared" si="170"/>
        <v>0.3</v>
      </c>
      <c r="AA259" s="10">
        <f t="shared" si="170"/>
        <v>0.3</v>
      </c>
      <c r="AB259" s="10">
        <f t="shared" si="170"/>
        <v>0.3</v>
      </c>
      <c r="AC259" s="10">
        <f t="shared" si="170"/>
        <v>0.3</v>
      </c>
      <c r="AD259" s="10">
        <f t="shared" si="170"/>
        <v>0.3</v>
      </c>
      <c r="AE259" s="10">
        <f t="shared" si="170"/>
        <v>0.3</v>
      </c>
      <c r="AF259" s="10">
        <f t="shared" si="170"/>
        <v>0.3</v>
      </c>
      <c r="AG259" s="10">
        <f t="shared" si="170"/>
        <v>0.3</v>
      </c>
    </row>
    <row r="260" spans="2:68">
      <c r="B260" t="str">
        <f t="shared" si="154"/>
        <v>Hydro existing</v>
      </c>
      <c r="H260" s="26">
        <v>0.92411393781256801</v>
      </c>
      <c r="I260" s="10">
        <f t="shared" ref="I260:AG260" si="171">H260</f>
        <v>0.92411393781256801</v>
      </c>
      <c r="J260" s="10">
        <f t="shared" si="171"/>
        <v>0.92411393781256801</v>
      </c>
      <c r="K260" s="10">
        <f t="shared" si="171"/>
        <v>0.92411393781256801</v>
      </c>
      <c r="L260" s="10">
        <f t="shared" si="171"/>
        <v>0.92411393781256801</v>
      </c>
      <c r="M260" s="10">
        <f t="shared" si="171"/>
        <v>0.92411393781256801</v>
      </c>
      <c r="N260" s="10">
        <f t="shared" si="171"/>
        <v>0.92411393781256801</v>
      </c>
      <c r="O260" s="10">
        <f t="shared" si="171"/>
        <v>0.92411393781256801</v>
      </c>
      <c r="P260" s="10">
        <f t="shared" si="171"/>
        <v>0.92411393781256801</v>
      </c>
      <c r="Q260" s="10">
        <f t="shared" si="171"/>
        <v>0.92411393781256801</v>
      </c>
      <c r="R260" s="10">
        <f t="shared" si="171"/>
        <v>0.92411393781256801</v>
      </c>
      <c r="S260" s="10">
        <f t="shared" si="171"/>
        <v>0.92411393781256801</v>
      </c>
      <c r="T260" s="10">
        <f t="shared" si="171"/>
        <v>0.92411393781256801</v>
      </c>
      <c r="U260" s="10">
        <f t="shared" si="171"/>
        <v>0.92411393781256801</v>
      </c>
      <c r="V260" s="10">
        <f t="shared" si="171"/>
        <v>0.92411393781256801</v>
      </c>
      <c r="W260" s="10">
        <f t="shared" si="171"/>
        <v>0.92411393781256801</v>
      </c>
      <c r="X260" s="10">
        <f t="shared" si="171"/>
        <v>0.92411393781256801</v>
      </c>
      <c r="Y260" s="10">
        <f t="shared" si="171"/>
        <v>0.92411393781256801</v>
      </c>
      <c r="Z260" s="10">
        <f t="shared" si="171"/>
        <v>0.92411393781256801</v>
      </c>
      <c r="AA260" s="10">
        <f t="shared" si="171"/>
        <v>0.92411393781256801</v>
      </c>
      <c r="AB260" s="10">
        <f t="shared" si="171"/>
        <v>0.92411393781256801</v>
      </c>
      <c r="AC260" s="10">
        <f t="shared" si="171"/>
        <v>0.92411393781256801</v>
      </c>
      <c r="AD260" s="10">
        <f t="shared" si="171"/>
        <v>0.92411393781256801</v>
      </c>
      <c r="AE260" s="10">
        <f t="shared" si="171"/>
        <v>0.92411393781256801</v>
      </c>
      <c r="AF260" s="10">
        <f t="shared" si="171"/>
        <v>0.92411393781256801</v>
      </c>
      <c r="AG260" s="10">
        <f t="shared" si="171"/>
        <v>0.92411393781256801</v>
      </c>
    </row>
    <row r="261" spans="2:68">
      <c r="B261" t="str">
        <f t="shared" si="154"/>
        <v>Landfill gas</v>
      </c>
      <c r="H261" s="26">
        <v>1</v>
      </c>
      <c r="I261" s="10">
        <f t="shared" ref="I261:AG261" si="172">H261</f>
        <v>1</v>
      </c>
      <c r="J261" s="10">
        <f t="shared" si="172"/>
        <v>1</v>
      </c>
      <c r="K261" s="10">
        <f t="shared" si="172"/>
        <v>1</v>
      </c>
      <c r="L261" s="10">
        <f t="shared" si="172"/>
        <v>1</v>
      </c>
      <c r="M261" s="10">
        <f t="shared" si="172"/>
        <v>1</v>
      </c>
      <c r="N261" s="10">
        <f t="shared" si="172"/>
        <v>1</v>
      </c>
      <c r="O261" s="10">
        <f t="shared" si="172"/>
        <v>1</v>
      </c>
      <c r="P261" s="10">
        <f t="shared" si="172"/>
        <v>1</v>
      </c>
      <c r="Q261" s="10">
        <f t="shared" si="172"/>
        <v>1</v>
      </c>
      <c r="R261" s="10">
        <f t="shared" si="172"/>
        <v>1</v>
      </c>
      <c r="S261" s="10">
        <f t="shared" si="172"/>
        <v>1</v>
      </c>
      <c r="T261" s="10">
        <f t="shared" si="172"/>
        <v>1</v>
      </c>
      <c r="U261" s="10">
        <f t="shared" si="172"/>
        <v>1</v>
      </c>
      <c r="V261" s="10">
        <f t="shared" si="172"/>
        <v>1</v>
      </c>
      <c r="W261" s="10">
        <f t="shared" si="172"/>
        <v>1</v>
      </c>
      <c r="X261" s="10">
        <f t="shared" si="172"/>
        <v>1</v>
      </c>
      <c r="Y261" s="10">
        <f t="shared" si="172"/>
        <v>1</v>
      </c>
      <c r="Z261" s="10">
        <f t="shared" si="172"/>
        <v>1</v>
      </c>
      <c r="AA261" s="10">
        <f t="shared" si="172"/>
        <v>1</v>
      </c>
      <c r="AB261" s="10">
        <f t="shared" si="172"/>
        <v>1</v>
      </c>
      <c r="AC261" s="10">
        <f t="shared" si="172"/>
        <v>1</v>
      </c>
      <c r="AD261" s="10">
        <f t="shared" si="172"/>
        <v>1</v>
      </c>
      <c r="AE261" s="10">
        <f t="shared" si="172"/>
        <v>1</v>
      </c>
      <c r="AF261" s="10">
        <f t="shared" si="172"/>
        <v>1</v>
      </c>
      <c r="AG261" s="10">
        <f t="shared" si="172"/>
        <v>1</v>
      </c>
    </row>
    <row r="262" spans="2:68">
      <c r="B262" t="str">
        <f t="shared" si="154"/>
        <v>not used</v>
      </c>
      <c r="H262" s="26" t="s">
        <v>213</v>
      </c>
      <c r="I262" s="10" t="str">
        <f t="shared" ref="I262:AG262" si="173">H262</f>
        <v xml:space="preserve"> -</v>
      </c>
      <c r="J262" s="10" t="str">
        <f t="shared" si="173"/>
        <v xml:space="preserve"> -</v>
      </c>
      <c r="K262" s="10" t="str">
        <f t="shared" si="173"/>
        <v xml:space="preserve"> -</v>
      </c>
      <c r="L262" s="10" t="str">
        <f t="shared" si="173"/>
        <v xml:space="preserve"> -</v>
      </c>
      <c r="M262" s="10" t="str">
        <f t="shared" si="173"/>
        <v xml:space="preserve"> -</v>
      </c>
      <c r="N262" s="10" t="str">
        <f t="shared" si="173"/>
        <v xml:space="preserve"> -</v>
      </c>
      <c r="O262" s="10" t="str">
        <f t="shared" si="173"/>
        <v xml:space="preserve"> -</v>
      </c>
      <c r="P262" s="10" t="str">
        <f t="shared" si="173"/>
        <v xml:space="preserve"> -</v>
      </c>
      <c r="Q262" s="10" t="str">
        <f t="shared" si="173"/>
        <v xml:space="preserve"> -</v>
      </c>
      <c r="R262" s="10" t="str">
        <f t="shared" si="173"/>
        <v xml:space="preserve"> -</v>
      </c>
      <c r="S262" s="10" t="str">
        <f t="shared" si="173"/>
        <v xml:space="preserve"> -</v>
      </c>
      <c r="T262" s="10" t="str">
        <f t="shared" si="173"/>
        <v xml:space="preserve"> -</v>
      </c>
      <c r="U262" s="10" t="str">
        <f t="shared" si="173"/>
        <v xml:space="preserve"> -</v>
      </c>
      <c r="V262" s="10" t="str">
        <f t="shared" si="173"/>
        <v xml:space="preserve"> -</v>
      </c>
      <c r="W262" s="10" t="str">
        <f t="shared" si="173"/>
        <v xml:space="preserve"> -</v>
      </c>
      <c r="X262" s="10" t="str">
        <f t="shared" si="173"/>
        <v xml:space="preserve"> -</v>
      </c>
      <c r="Y262" s="10" t="str">
        <f t="shared" si="173"/>
        <v xml:space="preserve"> -</v>
      </c>
      <c r="Z262" s="10" t="str">
        <f t="shared" si="173"/>
        <v xml:space="preserve"> -</v>
      </c>
      <c r="AA262" s="10" t="str">
        <f t="shared" si="173"/>
        <v xml:space="preserve"> -</v>
      </c>
      <c r="AB262" s="10" t="str">
        <f t="shared" si="173"/>
        <v xml:space="preserve"> -</v>
      </c>
      <c r="AC262" s="10" t="str">
        <f t="shared" si="173"/>
        <v xml:space="preserve"> -</v>
      </c>
      <c r="AD262" s="10" t="str">
        <f t="shared" si="173"/>
        <v xml:space="preserve"> -</v>
      </c>
      <c r="AE262" s="10" t="str">
        <f t="shared" si="173"/>
        <v xml:space="preserve"> -</v>
      </c>
      <c r="AF262" s="10" t="str">
        <f t="shared" si="173"/>
        <v xml:space="preserve"> -</v>
      </c>
      <c r="AG262" s="10" t="str">
        <f t="shared" si="173"/>
        <v xml:space="preserve"> -</v>
      </c>
    </row>
    <row r="263" spans="2:68">
      <c r="B263" t="str">
        <f t="shared" si="154"/>
        <v>not used</v>
      </c>
      <c r="H263" s="26" t="s">
        <v>213</v>
      </c>
      <c r="I263" s="10" t="str">
        <f t="shared" ref="I263:AG263" si="174">H263</f>
        <v xml:space="preserve"> -</v>
      </c>
      <c r="J263" s="10" t="str">
        <f t="shared" si="174"/>
        <v xml:space="preserve"> -</v>
      </c>
      <c r="K263" s="10" t="str">
        <f t="shared" si="174"/>
        <v xml:space="preserve"> -</v>
      </c>
      <c r="L263" s="10" t="str">
        <f t="shared" si="174"/>
        <v xml:space="preserve"> -</v>
      </c>
      <c r="M263" s="10" t="str">
        <f t="shared" si="174"/>
        <v xml:space="preserve"> -</v>
      </c>
      <c r="N263" s="10" t="str">
        <f t="shared" si="174"/>
        <v xml:space="preserve"> -</v>
      </c>
      <c r="O263" s="10" t="str">
        <f t="shared" si="174"/>
        <v xml:space="preserve"> -</v>
      </c>
      <c r="P263" s="10" t="str">
        <f t="shared" si="174"/>
        <v xml:space="preserve"> -</v>
      </c>
      <c r="Q263" s="10" t="str">
        <f t="shared" si="174"/>
        <v xml:space="preserve"> -</v>
      </c>
      <c r="R263" s="10" t="str">
        <f t="shared" si="174"/>
        <v xml:space="preserve"> -</v>
      </c>
      <c r="S263" s="10" t="str">
        <f t="shared" si="174"/>
        <v xml:space="preserve"> -</v>
      </c>
      <c r="T263" s="10" t="str">
        <f t="shared" si="174"/>
        <v xml:space="preserve"> -</v>
      </c>
      <c r="U263" s="10" t="str">
        <f t="shared" si="174"/>
        <v xml:space="preserve"> -</v>
      </c>
      <c r="V263" s="10" t="str">
        <f t="shared" si="174"/>
        <v xml:space="preserve"> -</v>
      </c>
      <c r="W263" s="10" t="str">
        <f t="shared" si="174"/>
        <v xml:space="preserve"> -</v>
      </c>
      <c r="X263" s="10" t="str">
        <f t="shared" si="174"/>
        <v xml:space="preserve"> -</v>
      </c>
      <c r="Y263" s="10" t="str">
        <f t="shared" si="174"/>
        <v xml:space="preserve"> -</v>
      </c>
      <c r="Z263" s="10" t="str">
        <f t="shared" si="174"/>
        <v xml:space="preserve"> -</v>
      </c>
      <c r="AA263" s="10" t="str">
        <f t="shared" si="174"/>
        <v xml:space="preserve"> -</v>
      </c>
      <c r="AB263" s="10" t="str">
        <f t="shared" si="174"/>
        <v xml:space="preserve"> -</v>
      </c>
      <c r="AC263" s="10" t="str">
        <f t="shared" si="174"/>
        <v xml:space="preserve"> -</v>
      </c>
      <c r="AD263" s="10" t="str">
        <f t="shared" si="174"/>
        <v xml:space="preserve"> -</v>
      </c>
      <c r="AE263" s="10" t="str">
        <f t="shared" si="174"/>
        <v xml:space="preserve"> -</v>
      </c>
      <c r="AF263" s="10" t="str">
        <f t="shared" si="174"/>
        <v xml:space="preserve"> -</v>
      </c>
      <c r="AG263" s="10" t="str">
        <f t="shared" si="174"/>
        <v xml:space="preserve"> -</v>
      </c>
    </row>
    <row r="264" spans="2:68">
      <c r="B264" t="str">
        <f t="shared" si="154"/>
        <v>Pumped Storage</v>
      </c>
      <c r="H264" s="26">
        <v>1</v>
      </c>
      <c r="I264" s="10">
        <f t="shared" ref="I264:AG264" si="175">H264</f>
        <v>1</v>
      </c>
      <c r="J264" s="10">
        <f t="shared" si="175"/>
        <v>1</v>
      </c>
      <c r="K264" s="10">
        <f t="shared" si="175"/>
        <v>1</v>
      </c>
      <c r="L264" s="10">
        <f t="shared" si="175"/>
        <v>1</v>
      </c>
      <c r="M264" s="10">
        <f t="shared" si="175"/>
        <v>1</v>
      </c>
      <c r="N264" s="10">
        <f t="shared" si="175"/>
        <v>1</v>
      </c>
      <c r="O264" s="10">
        <f t="shared" si="175"/>
        <v>1</v>
      </c>
      <c r="P264" s="10">
        <f t="shared" si="175"/>
        <v>1</v>
      </c>
      <c r="Q264" s="10">
        <f t="shared" si="175"/>
        <v>1</v>
      </c>
      <c r="R264" s="10">
        <f t="shared" si="175"/>
        <v>1</v>
      </c>
      <c r="S264" s="10">
        <f t="shared" si="175"/>
        <v>1</v>
      </c>
      <c r="T264" s="10">
        <f t="shared" si="175"/>
        <v>1</v>
      </c>
      <c r="U264" s="10">
        <f t="shared" si="175"/>
        <v>1</v>
      </c>
      <c r="V264" s="10">
        <f t="shared" si="175"/>
        <v>1</v>
      </c>
      <c r="W264" s="10">
        <f t="shared" si="175"/>
        <v>1</v>
      </c>
      <c r="X264" s="10">
        <f t="shared" si="175"/>
        <v>1</v>
      </c>
      <c r="Y264" s="10">
        <f t="shared" si="175"/>
        <v>1</v>
      </c>
      <c r="Z264" s="10">
        <f t="shared" si="175"/>
        <v>1</v>
      </c>
      <c r="AA264" s="10">
        <f t="shared" si="175"/>
        <v>1</v>
      </c>
      <c r="AB264" s="10">
        <f t="shared" si="175"/>
        <v>1</v>
      </c>
      <c r="AC264" s="10">
        <f t="shared" si="175"/>
        <v>1</v>
      </c>
      <c r="AD264" s="10">
        <f t="shared" si="175"/>
        <v>1</v>
      </c>
      <c r="AE264" s="10">
        <f t="shared" si="175"/>
        <v>1</v>
      </c>
      <c r="AF264" s="10">
        <f t="shared" si="175"/>
        <v>1</v>
      </c>
      <c r="AG264" s="10">
        <f t="shared" si="175"/>
        <v>1</v>
      </c>
    </row>
    <row r="265" spans="2:68">
      <c r="B265" t="str">
        <f t="shared" si="154"/>
        <v>Supercritical Coal with CCS</v>
      </c>
      <c r="H265" s="26">
        <v>0.28000000000000003</v>
      </c>
      <c r="I265" s="10">
        <f t="shared" ref="I265:AG265" si="176">H265</f>
        <v>0.28000000000000003</v>
      </c>
      <c r="J265" s="10">
        <f t="shared" si="176"/>
        <v>0.28000000000000003</v>
      </c>
      <c r="K265" s="10">
        <f t="shared" si="176"/>
        <v>0.28000000000000003</v>
      </c>
      <c r="L265" s="10">
        <f t="shared" si="176"/>
        <v>0.28000000000000003</v>
      </c>
      <c r="M265" s="10">
        <f t="shared" si="176"/>
        <v>0.28000000000000003</v>
      </c>
      <c r="N265" s="10">
        <f t="shared" si="176"/>
        <v>0.28000000000000003</v>
      </c>
      <c r="O265" s="10">
        <f t="shared" si="176"/>
        <v>0.28000000000000003</v>
      </c>
      <c r="P265" s="10">
        <f t="shared" si="176"/>
        <v>0.28000000000000003</v>
      </c>
      <c r="Q265" s="10">
        <f t="shared" si="176"/>
        <v>0.28000000000000003</v>
      </c>
      <c r="R265" s="10">
        <f t="shared" si="176"/>
        <v>0.28000000000000003</v>
      </c>
      <c r="S265" s="10">
        <f t="shared" si="176"/>
        <v>0.28000000000000003</v>
      </c>
      <c r="T265" s="10">
        <f t="shared" si="176"/>
        <v>0.28000000000000003</v>
      </c>
      <c r="U265" s="10">
        <f t="shared" si="176"/>
        <v>0.28000000000000003</v>
      </c>
      <c r="V265" s="10">
        <f t="shared" si="176"/>
        <v>0.28000000000000003</v>
      </c>
      <c r="W265" s="10">
        <f t="shared" si="176"/>
        <v>0.28000000000000003</v>
      </c>
      <c r="X265" s="10">
        <f t="shared" si="176"/>
        <v>0.28000000000000003</v>
      </c>
      <c r="Y265" s="10">
        <f t="shared" si="176"/>
        <v>0.28000000000000003</v>
      </c>
      <c r="Z265" s="10">
        <f t="shared" si="176"/>
        <v>0.28000000000000003</v>
      </c>
      <c r="AA265" s="10">
        <f t="shared" si="176"/>
        <v>0.28000000000000003</v>
      </c>
      <c r="AB265" s="10">
        <f t="shared" si="176"/>
        <v>0.28000000000000003</v>
      </c>
      <c r="AC265" s="10">
        <f t="shared" si="176"/>
        <v>0.28000000000000003</v>
      </c>
      <c r="AD265" s="10">
        <f t="shared" si="176"/>
        <v>0.28000000000000003</v>
      </c>
      <c r="AE265" s="10">
        <f t="shared" si="176"/>
        <v>0.28000000000000003</v>
      </c>
      <c r="AF265" s="10">
        <f t="shared" si="176"/>
        <v>0.28000000000000003</v>
      </c>
      <c r="AG265" s="10">
        <f t="shared" si="176"/>
        <v>0.28000000000000003</v>
      </c>
    </row>
    <row r="266" spans="2:68">
      <c r="B266" t="str">
        <f t="shared" si="154"/>
        <v>Fluidised Bed Combustion Coal with CCS</v>
      </c>
      <c r="H266" s="26">
        <v>0.28000000000000003</v>
      </c>
      <c r="I266" s="10">
        <f t="shared" ref="I266:AG266" si="177">H266</f>
        <v>0.28000000000000003</v>
      </c>
      <c r="J266" s="10">
        <f t="shared" si="177"/>
        <v>0.28000000000000003</v>
      </c>
      <c r="K266" s="10">
        <f t="shared" si="177"/>
        <v>0.28000000000000003</v>
      </c>
      <c r="L266" s="10">
        <f t="shared" si="177"/>
        <v>0.28000000000000003</v>
      </c>
      <c r="M266" s="10">
        <f t="shared" si="177"/>
        <v>0.28000000000000003</v>
      </c>
      <c r="N266" s="10">
        <f t="shared" si="177"/>
        <v>0.28000000000000003</v>
      </c>
      <c r="O266" s="10">
        <f t="shared" si="177"/>
        <v>0.28000000000000003</v>
      </c>
      <c r="P266" s="10">
        <f t="shared" si="177"/>
        <v>0.28000000000000003</v>
      </c>
      <c r="Q266" s="10">
        <f t="shared" si="177"/>
        <v>0.28000000000000003</v>
      </c>
      <c r="R266" s="10">
        <f t="shared" si="177"/>
        <v>0.28000000000000003</v>
      </c>
      <c r="S266" s="10">
        <f t="shared" si="177"/>
        <v>0.28000000000000003</v>
      </c>
      <c r="T266" s="10">
        <f t="shared" si="177"/>
        <v>0.28000000000000003</v>
      </c>
      <c r="U266" s="10">
        <f t="shared" si="177"/>
        <v>0.28000000000000003</v>
      </c>
      <c r="V266" s="10">
        <f t="shared" si="177"/>
        <v>0.28000000000000003</v>
      </c>
      <c r="W266" s="10">
        <f t="shared" si="177"/>
        <v>0.28000000000000003</v>
      </c>
      <c r="X266" s="10">
        <f t="shared" si="177"/>
        <v>0.28000000000000003</v>
      </c>
      <c r="Y266" s="10">
        <f t="shared" si="177"/>
        <v>0.28000000000000003</v>
      </c>
      <c r="Z266" s="10">
        <f t="shared" si="177"/>
        <v>0.28000000000000003</v>
      </c>
      <c r="AA266" s="10">
        <f t="shared" si="177"/>
        <v>0.28000000000000003</v>
      </c>
      <c r="AB266" s="10">
        <f t="shared" si="177"/>
        <v>0.28000000000000003</v>
      </c>
      <c r="AC266" s="10">
        <f t="shared" si="177"/>
        <v>0.28000000000000003</v>
      </c>
      <c r="AD266" s="10">
        <f t="shared" si="177"/>
        <v>0.28000000000000003</v>
      </c>
      <c r="AE266" s="10">
        <f t="shared" si="177"/>
        <v>0.28000000000000003</v>
      </c>
      <c r="AF266" s="10">
        <f t="shared" si="177"/>
        <v>0.28000000000000003</v>
      </c>
      <c r="AG266" s="10">
        <f t="shared" si="177"/>
        <v>0.28000000000000003</v>
      </c>
    </row>
    <row r="267" spans="2:68">
      <c r="B267" t="str">
        <f t="shared" si="154"/>
        <v>Integrated Gasification Combined Cycle Coal with CCS</v>
      </c>
      <c r="H267" s="26">
        <v>0.28000000000000003</v>
      </c>
      <c r="I267" s="10">
        <f t="shared" ref="I267:AG267" si="178">H267</f>
        <v>0.28000000000000003</v>
      </c>
      <c r="J267" s="10">
        <f t="shared" si="178"/>
        <v>0.28000000000000003</v>
      </c>
      <c r="K267" s="10">
        <f t="shared" si="178"/>
        <v>0.28000000000000003</v>
      </c>
      <c r="L267" s="10">
        <f t="shared" si="178"/>
        <v>0.28000000000000003</v>
      </c>
      <c r="M267" s="10">
        <f t="shared" si="178"/>
        <v>0.28000000000000003</v>
      </c>
      <c r="N267" s="10">
        <f t="shared" si="178"/>
        <v>0.28000000000000003</v>
      </c>
      <c r="O267" s="10">
        <f t="shared" si="178"/>
        <v>0.28000000000000003</v>
      </c>
      <c r="P267" s="10">
        <f t="shared" si="178"/>
        <v>0.28000000000000003</v>
      </c>
      <c r="Q267" s="10">
        <f t="shared" si="178"/>
        <v>0.28000000000000003</v>
      </c>
      <c r="R267" s="10">
        <f t="shared" si="178"/>
        <v>0.28000000000000003</v>
      </c>
      <c r="S267" s="10">
        <f t="shared" si="178"/>
        <v>0.28000000000000003</v>
      </c>
      <c r="T267" s="10">
        <f t="shared" si="178"/>
        <v>0.28000000000000003</v>
      </c>
      <c r="U267" s="10">
        <f t="shared" si="178"/>
        <v>0.28000000000000003</v>
      </c>
      <c r="V267" s="10">
        <f t="shared" si="178"/>
        <v>0.28000000000000003</v>
      </c>
      <c r="W267" s="10">
        <f t="shared" si="178"/>
        <v>0.28000000000000003</v>
      </c>
      <c r="X267" s="10">
        <f t="shared" si="178"/>
        <v>0.28000000000000003</v>
      </c>
      <c r="Y267" s="10">
        <f t="shared" si="178"/>
        <v>0.28000000000000003</v>
      </c>
      <c r="Z267" s="10">
        <f t="shared" si="178"/>
        <v>0.28000000000000003</v>
      </c>
      <c r="AA267" s="10">
        <f t="shared" si="178"/>
        <v>0.28000000000000003</v>
      </c>
      <c r="AB267" s="10">
        <f t="shared" si="178"/>
        <v>0.28000000000000003</v>
      </c>
      <c r="AC267" s="10">
        <f t="shared" si="178"/>
        <v>0.28000000000000003</v>
      </c>
      <c r="AD267" s="10">
        <f t="shared" si="178"/>
        <v>0.28000000000000003</v>
      </c>
      <c r="AE267" s="10">
        <f t="shared" si="178"/>
        <v>0.28000000000000003</v>
      </c>
      <c r="AF267" s="10">
        <f t="shared" si="178"/>
        <v>0.28000000000000003</v>
      </c>
      <c r="AG267" s="10">
        <f t="shared" si="178"/>
        <v>0.28000000000000003</v>
      </c>
    </row>
    <row r="268" spans="2:68">
      <c r="B268" t="str">
        <f t="shared" si="154"/>
        <v>Micro hydro</v>
      </c>
      <c r="H268" s="26">
        <v>1</v>
      </c>
      <c r="I268" s="10">
        <f t="shared" ref="I268:AG268" si="179">H268</f>
        <v>1</v>
      </c>
      <c r="J268" s="10">
        <f t="shared" si="179"/>
        <v>1</v>
      </c>
      <c r="K268" s="10">
        <f t="shared" si="179"/>
        <v>1</v>
      </c>
      <c r="L268" s="10">
        <f t="shared" si="179"/>
        <v>1</v>
      </c>
      <c r="M268" s="10">
        <f t="shared" si="179"/>
        <v>1</v>
      </c>
      <c r="N268" s="10">
        <f t="shared" si="179"/>
        <v>1</v>
      </c>
      <c r="O268" s="10">
        <f t="shared" si="179"/>
        <v>1</v>
      </c>
      <c r="P268" s="10">
        <f t="shared" si="179"/>
        <v>1</v>
      </c>
      <c r="Q268" s="10">
        <f t="shared" si="179"/>
        <v>1</v>
      </c>
      <c r="R268" s="10">
        <f t="shared" si="179"/>
        <v>1</v>
      </c>
      <c r="S268" s="10">
        <f t="shared" si="179"/>
        <v>1</v>
      </c>
      <c r="T268" s="10">
        <f t="shared" si="179"/>
        <v>1</v>
      </c>
      <c r="U268" s="10">
        <f t="shared" si="179"/>
        <v>1</v>
      </c>
      <c r="V268" s="10">
        <f t="shared" si="179"/>
        <v>1</v>
      </c>
      <c r="W268" s="10">
        <f t="shared" si="179"/>
        <v>1</v>
      </c>
      <c r="X268" s="10">
        <f t="shared" si="179"/>
        <v>1</v>
      </c>
      <c r="Y268" s="10">
        <f t="shared" si="179"/>
        <v>1</v>
      </c>
      <c r="Z268" s="10">
        <f t="shared" si="179"/>
        <v>1</v>
      </c>
      <c r="AA268" s="10">
        <f t="shared" si="179"/>
        <v>1</v>
      </c>
      <c r="AB268" s="10">
        <f t="shared" si="179"/>
        <v>1</v>
      </c>
      <c r="AC268" s="10">
        <f t="shared" si="179"/>
        <v>1</v>
      </c>
      <c r="AD268" s="10">
        <f t="shared" si="179"/>
        <v>1</v>
      </c>
      <c r="AE268" s="10">
        <f t="shared" si="179"/>
        <v>1</v>
      </c>
      <c r="AF268" s="10">
        <f t="shared" si="179"/>
        <v>1</v>
      </c>
      <c r="AG268" s="10">
        <f t="shared" si="179"/>
        <v>1</v>
      </c>
    </row>
    <row r="269" spans="2:68">
      <c r="B269" t="str">
        <f t="shared" si="154"/>
        <v>not used</v>
      </c>
      <c r="H269" s="26" t="s">
        <v>213</v>
      </c>
      <c r="I269" s="10" t="str">
        <f t="shared" ref="I269:AG269" si="180">H269</f>
        <v xml:space="preserve"> -</v>
      </c>
      <c r="J269" s="10" t="str">
        <f t="shared" si="180"/>
        <v xml:space="preserve"> -</v>
      </c>
      <c r="K269" s="10" t="str">
        <f t="shared" si="180"/>
        <v xml:space="preserve"> -</v>
      </c>
      <c r="L269" s="10" t="str">
        <f t="shared" si="180"/>
        <v xml:space="preserve"> -</v>
      </c>
      <c r="M269" s="10" t="str">
        <f t="shared" si="180"/>
        <v xml:space="preserve"> -</v>
      </c>
      <c r="N269" s="10" t="str">
        <f t="shared" si="180"/>
        <v xml:space="preserve"> -</v>
      </c>
      <c r="O269" s="10" t="str">
        <f t="shared" si="180"/>
        <v xml:space="preserve"> -</v>
      </c>
      <c r="P269" s="10" t="str">
        <f t="shared" si="180"/>
        <v xml:space="preserve"> -</v>
      </c>
      <c r="Q269" s="10" t="str">
        <f t="shared" si="180"/>
        <v xml:space="preserve"> -</v>
      </c>
      <c r="R269" s="10" t="str">
        <f t="shared" si="180"/>
        <v xml:space="preserve"> -</v>
      </c>
      <c r="S269" s="10" t="str">
        <f t="shared" si="180"/>
        <v xml:space="preserve"> -</v>
      </c>
      <c r="T269" s="10" t="str">
        <f t="shared" si="180"/>
        <v xml:space="preserve"> -</v>
      </c>
      <c r="U269" s="10" t="str">
        <f t="shared" si="180"/>
        <v xml:space="preserve"> -</v>
      </c>
      <c r="V269" s="10" t="str">
        <f t="shared" si="180"/>
        <v xml:space="preserve"> -</v>
      </c>
      <c r="W269" s="10" t="str">
        <f t="shared" si="180"/>
        <v xml:space="preserve"> -</v>
      </c>
      <c r="X269" s="10" t="str">
        <f t="shared" si="180"/>
        <v xml:space="preserve"> -</v>
      </c>
      <c r="Y269" s="10" t="str">
        <f t="shared" si="180"/>
        <v xml:space="preserve"> -</v>
      </c>
      <c r="Z269" s="10" t="str">
        <f t="shared" si="180"/>
        <v xml:space="preserve"> -</v>
      </c>
      <c r="AA269" s="10" t="str">
        <f t="shared" si="180"/>
        <v xml:space="preserve"> -</v>
      </c>
      <c r="AB269" s="10" t="str">
        <f t="shared" si="180"/>
        <v xml:space="preserve"> -</v>
      </c>
      <c r="AC269" s="10" t="str">
        <f t="shared" si="180"/>
        <v xml:space="preserve"> -</v>
      </c>
      <c r="AD269" s="10" t="str">
        <f t="shared" si="180"/>
        <v xml:space="preserve"> -</v>
      </c>
      <c r="AE269" s="10" t="str">
        <f t="shared" si="180"/>
        <v xml:space="preserve"> -</v>
      </c>
      <c r="AF269" s="10" t="str">
        <f t="shared" si="180"/>
        <v xml:space="preserve"> -</v>
      </c>
      <c r="AG269" s="10" t="str">
        <f t="shared" si="180"/>
        <v xml:space="preserve"> -</v>
      </c>
    </row>
    <row r="270" spans="2:68">
      <c r="I270" s="26"/>
      <c r="J270" s="26"/>
      <c r="K270" s="26"/>
      <c r="L270" s="26"/>
      <c r="M270" s="26"/>
      <c r="N270" s="26"/>
      <c r="O270" s="26"/>
      <c r="P270" s="26"/>
      <c r="BE270" s="4"/>
      <c r="BP270" s="4"/>
    </row>
    <row r="271" spans="2:68">
      <c r="B271" s="4" t="s">
        <v>226</v>
      </c>
    </row>
    <row r="272" spans="2:68">
      <c r="B272" s="4" t="s">
        <v>14</v>
      </c>
      <c r="C272" s="4" t="s">
        <v>42</v>
      </c>
      <c r="D272" s="4"/>
      <c r="E272" s="4"/>
      <c r="F272" s="4"/>
      <c r="G272" s="4"/>
      <c r="H272" s="4">
        <v>2005</v>
      </c>
      <c r="I272" s="4">
        <v>2006</v>
      </c>
      <c r="J272" s="4">
        <v>2007</v>
      </c>
      <c r="K272" s="4">
        <v>2008</v>
      </c>
      <c r="L272" s="4">
        <v>2009</v>
      </c>
      <c r="M272" s="4">
        <v>2010</v>
      </c>
      <c r="N272" s="4">
        <v>2011</v>
      </c>
      <c r="O272" s="4">
        <v>2012</v>
      </c>
      <c r="P272" s="4">
        <v>2013</v>
      </c>
      <c r="Q272" s="4">
        <v>2014</v>
      </c>
      <c r="R272" s="4">
        <v>2015</v>
      </c>
      <c r="S272" s="4">
        <v>2016</v>
      </c>
      <c r="T272" s="4">
        <v>2017</v>
      </c>
      <c r="U272" s="4">
        <v>2018</v>
      </c>
      <c r="V272" s="4">
        <v>2019</v>
      </c>
      <c r="W272" s="4">
        <v>2020</v>
      </c>
      <c r="X272" s="4">
        <v>2021</v>
      </c>
      <c r="Y272" s="4">
        <v>2022</v>
      </c>
      <c r="Z272" s="4">
        <v>2023</v>
      </c>
      <c r="AA272" s="4">
        <v>2024</v>
      </c>
      <c r="AB272" s="4">
        <v>2025</v>
      </c>
      <c r="AC272" s="4">
        <v>2026</v>
      </c>
      <c r="AD272" s="4">
        <v>2027</v>
      </c>
      <c r="AE272" s="4">
        <v>2028</v>
      </c>
      <c r="AF272" s="4">
        <v>2029</v>
      </c>
      <c r="AG272" s="4">
        <v>2030</v>
      </c>
    </row>
    <row r="273" spans="2:33">
      <c r="B273" t="str">
        <f>B38</f>
        <v>Combined Cycle Gas Turbine</v>
      </c>
      <c r="H273" s="26">
        <v>1</v>
      </c>
      <c r="I273" s="10">
        <f t="shared" ref="I273:AG273" si="181">H273</f>
        <v>1</v>
      </c>
      <c r="J273" s="10">
        <f t="shared" si="181"/>
        <v>1</v>
      </c>
      <c r="K273" s="10">
        <f t="shared" si="181"/>
        <v>1</v>
      </c>
      <c r="L273" s="10">
        <f t="shared" si="181"/>
        <v>1</v>
      </c>
      <c r="M273" s="10">
        <f t="shared" si="181"/>
        <v>1</v>
      </c>
      <c r="N273" s="10">
        <f t="shared" si="181"/>
        <v>1</v>
      </c>
      <c r="O273" s="10">
        <f t="shared" si="181"/>
        <v>1</v>
      </c>
      <c r="P273" s="10">
        <f t="shared" si="181"/>
        <v>1</v>
      </c>
      <c r="Q273" s="10">
        <f t="shared" si="181"/>
        <v>1</v>
      </c>
      <c r="R273" s="10">
        <f t="shared" si="181"/>
        <v>1</v>
      </c>
      <c r="S273" s="10">
        <f t="shared" si="181"/>
        <v>1</v>
      </c>
      <c r="T273" s="10">
        <f t="shared" si="181"/>
        <v>1</v>
      </c>
      <c r="U273" s="10">
        <f t="shared" si="181"/>
        <v>1</v>
      </c>
      <c r="V273" s="10">
        <f t="shared" si="181"/>
        <v>1</v>
      </c>
      <c r="W273" s="10">
        <f t="shared" si="181"/>
        <v>1</v>
      </c>
      <c r="X273" s="10">
        <f t="shared" si="181"/>
        <v>1</v>
      </c>
      <c r="Y273" s="10">
        <f t="shared" si="181"/>
        <v>1</v>
      </c>
      <c r="Z273" s="10">
        <f t="shared" si="181"/>
        <v>1</v>
      </c>
      <c r="AA273" s="10">
        <f t="shared" si="181"/>
        <v>1</v>
      </c>
      <c r="AB273" s="10">
        <f t="shared" si="181"/>
        <v>1</v>
      </c>
      <c r="AC273" s="10">
        <f t="shared" si="181"/>
        <v>1</v>
      </c>
      <c r="AD273" s="10">
        <f t="shared" si="181"/>
        <v>1</v>
      </c>
      <c r="AE273" s="10">
        <f t="shared" si="181"/>
        <v>1</v>
      </c>
      <c r="AF273" s="10">
        <f t="shared" si="181"/>
        <v>1</v>
      </c>
      <c r="AG273" s="10">
        <f t="shared" si="181"/>
        <v>1</v>
      </c>
    </row>
    <row r="274" spans="2:33">
      <c r="B274" t="str">
        <f t="shared" ref="B274:B298" si="182">B39</f>
        <v>Open-Cycle Gas Turbine diesel</v>
      </c>
      <c r="H274" s="26">
        <v>0.08</v>
      </c>
      <c r="I274" s="10">
        <f t="shared" ref="I274:AG274" si="183">H274</f>
        <v>0.08</v>
      </c>
      <c r="J274" s="10">
        <f t="shared" si="183"/>
        <v>0.08</v>
      </c>
      <c r="K274" s="10">
        <f t="shared" si="183"/>
        <v>0.08</v>
      </c>
      <c r="L274" s="10">
        <f t="shared" si="183"/>
        <v>0.08</v>
      </c>
      <c r="M274" s="10">
        <f t="shared" si="183"/>
        <v>0.08</v>
      </c>
      <c r="N274" s="10">
        <f t="shared" si="183"/>
        <v>0.08</v>
      </c>
      <c r="O274" s="10">
        <f t="shared" si="183"/>
        <v>0.08</v>
      </c>
      <c r="P274" s="10">
        <f t="shared" si="183"/>
        <v>0.08</v>
      </c>
      <c r="Q274" s="10">
        <f t="shared" si="183"/>
        <v>0.08</v>
      </c>
      <c r="R274" s="10">
        <f t="shared" si="183"/>
        <v>0.08</v>
      </c>
      <c r="S274" s="10">
        <f t="shared" si="183"/>
        <v>0.08</v>
      </c>
      <c r="T274" s="10">
        <f t="shared" si="183"/>
        <v>0.08</v>
      </c>
      <c r="U274" s="10">
        <f t="shared" si="183"/>
        <v>0.08</v>
      </c>
      <c r="V274" s="10">
        <f t="shared" si="183"/>
        <v>0.08</v>
      </c>
      <c r="W274" s="10">
        <f t="shared" si="183"/>
        <v>0.08</v>
      </c>
      <c r="X274" s="10">
        <f t="shared" si="183"/>
        <v>0.08</v>
      </c>
      <c r="Y274" s="10">
        <f t="shared" si="183"/>
        <v>0.08</v>
      </c>
      <c r="Z274" s="10">
        <f t="shared" si="183"/>
        <v>0.08</v>
      </c>
      <c r="AA274" s="10">
        <f t="shared" si="183"/>
        <v>0.08</v>
      </c>
      <c r="AB274" s="10">
        <f t="shared" si="183"/>
        <v>0.08</v>
      </c>
      <c r="AC274" s="10">
        <f t="shared" si="183"/>
        <v>0.08</v>
      </c>
      <c r="AD274" s="10">
        <f t="shared" si="183"/>
        <v>0.08</v>
      </c>
      <c r="AE274" s="10">
        <f t="shared" si="183"/>
        <v>0.08</v>
      </c>
      <c r="AF274" s="10">
        <f t="shared" si="183"/>
        <v>0.08</v>
      </c>
      <c r="AG274" s="10">
        <f t="shared" si="183"/>
        <v>0.08</v>
      </c>
    </row>
    <row r="275" spans="2:33">
      <c r="B275" t="str">
        <f t="shared" si="182"/>
        <v>Open-Cycle Gas Turbine paraffin</v>
      </c>
      <c r="H275" s="26">
        <v>0.08</v>
      </c>
      <c r="I275" s="10">
        <f t="shared" ref="I275:AG275" si="184">H275</f>
        <v>0.08</v>
      </c>
      <c r="J275" s="10">
        <f t="shared" si="184"/>
        <v>0.08</v>
      </c>
      <c r="K275" s="10">
        <f t="shared" si="184"/>
        <v>0.08</v>
      </c>
      <c r="L275" s="10">
        <f t="shared" si="184"/>
        <v>0.08</v>
      </c>
      <c r="M275" s="10">
        <f t="shared" si="184"/>
        <v>0.08</v>
      </c>
      <c r="N275" s="10">
        <f t="shared" si="184"/>
        <v>0.08</v>
      </c>
      <c r="O275" s="10">
        <f t="shared" si="184"/>
        <v>0.08</v>
      </c>
      <c r="P275" s="10">
        <f t="shared" si="184"/>
        <v>0.08</v>
      </c>
      <c r="Q275" s="10">
        <f t="shared" si="184"/>
        <v>0.08</v>
      </c>
      <c r="R275" s="10">
        <f t="shared" si="184"/>
        <v>0.08</v>
      </c>
      <c r="S275" s="10">
        <f t="shared" si="184"/>
        <v>0.08</v>
      </c>
      <c r="T275" s="10">
        <f t="shared" si="184"/>
        <v>0.08</v>
      </c>
      <c r="U275" s="10">
        <f t="shared" si="184"/>
        <v>0.08</v>
      </c>
      <c r="V275" s="10">
        <f t="shared" si="184"/>
        <v>0.08</v>
      </c>
      <c r="W275" s="10">
        <f t="shared" si="184"/>
        <v>0.08</v>
      </c>
      <c r="X275" s="10">
        <f t="shared" si="184"/>
        <v>0.08</v>
      </c>
      <c r="Y275" s="10">
        <f t="shared" si="184"/>
        <v>0.08</v>
      </c>
      <c r="Z275" s="10">
        <f t="shared" si="184"/>
        <v>0.08</v>
      </c>
      <c r="AA275" s="10">
        <f t="shared" si="184"/>
        <v>0.08</v>
      </c>
      <c r="AB275" s="10">
        <f t="shared" si="184"/>
        <v>0.08</v>
      </c>
      <c r="AC275" s="10">
        <f t="shared" si="184"/>
        <v>0.08</v>
      </c>
      <c r="AD275" s="10">
        <f t="shared" si="184"/>
        <v>0.08</v>
      </c>
      <c r="AE275" s="10">
        <f t="shared" si="184"/>
        <v>0.08</v>
      </c>
      <c r="AF275" s="10">
        <f t="shared" si="184"/>
        <v>0.08</v>
      </c>
      <c r="AG275" s="10">
        <f t="shared" si="184"/>
        <v>0.08</v>
      </c>
    </row>
    <row r="276" spans="2:33">
      <c r="B276" t="str">
        <f t="shared" si="182"/>
        <v>Supercritical Coal</v>
      </c>
      <c r="H276" s="26">
        <v>1</v>
      </c>
      <c r="I276" s="10">
        <f t="shared" ref="I276:AG276" si="185">H276</f>
        <v>1</v>
      </c>
      <c r="J276" s="10">
        <f t="shared" si="185"/>
        <v>1</v>
      </c>
      <c r="K276" s="10">
        <f t="shared" si="185"/>
        <v>1</v>
      </c>
      <c r="L276" s="10">
        <f t="shared" si="185"/>
        <v>1</v>
      </c>
      <c r="M276" s="10">
        <f t="shared" si="185"/>
        <v>1</v>
      </c>
      <c r="N276" s="10">
        <f t="shared" si="185"/>
        <v>1</v>
      </c>
      <c r="O276" s="10">
        <f t="shared" si="185"/>
        <v>1</v>
      </c>
      <c r="P276" s="10">
        <f t="shared" si="185"/>
        <v>1</v>
      </c>
      <c r="Q276" s="10">
        <f t="shared" si="185"/>
        <v>1</v>
      </c>
      <c r="R276" s="10">
        <f t="shared" si="185"/>
        <v>1</v>
      </c>
      <c r="S276" s="10">
        <f t="shared" si="185"/>
        <v>1</v>
      </c>
      <c r="T276" s="10">
        <f t="shared" si="185"/>
        <v>1</v>
      </c>
      <c r="U276" s="10">
        <f t="shared" si="185"/>
        <v>1</v>
      </c>
      <c r="V276" s="10">
        <f t="shared" si="185"/>
        <v>1</v>
      </c>
      <c r="W276" s="10">
        <f t="shared" si="185"/>
        <v>1</v>
      </c>
      <c r="X276" s="10">
        <f t="shared" si="185"/>
        <v>1</v>
      </c>
      <c r="Y276" s="10">
        <f t="shared" si="185"/>
        <v>1</v>
      </c>
      <c r="Z276" s="10">
        <f t="shared" si="185"/>
        <v>1</v>
      </c>
      <c r="AA276" s="10">
        <f t="shared" si="185"/>
        <v>1</v>
      </c>
      <c r="AB276" s="10">
        <f t="shared" si="185"/>
        <v>1</v>
      </c>
      <c r="AC276" s="10">
        <f t="shared" si="185"/>
        <v>1</v>
      </c>
      <c r="AD276" s="10">
        <f t="shared" si="185"/>
        <v>1</v>
      </c>
      <c r="AE276" s="10">
        <f t="shared" si="185"/>
        <v>1</v>
      </c>
      <c r="AF276" s="10">
        <f t="shared" si="185"/>
        <v>1</v>
      </c>
      <c r="AG276" s="10">
        <f t="shared" si="185"/>
        <v>1</v>
      </c>
    </row>
    <row r="277" spans="2:33">
      <c r="B277" t="str">
        <f t="shared" si="182"/>
        <v>Fluidised Bed Combustion Coal</v>
      </c>
      <c r="H277" s="26">
        <v>1</v>
      </c>
      <c r="I277" s="10">
        <f t="shared" ref="I277:AG277" si="186">H277</f>
        <v>1</v>
      </c>
      <c r="J277" s="10">
        <f t="shared" si="186"/>
        <v>1</v>
      </c>
      <c r="K277" s="10">
        <f t="shared" si="186"/>
        <v>1</v>
      </c>
      <c r="L277" s="10">
        <f t="shared" si="186"/>
        <v>1</v>
      </c>
      <c r="M277" s="10">
        <f t="shared" si="186"/>
        <v>1</v>
      </c>
      <c r="N277" s="10">
        <f t="shared" si="186"/>
        <v>1</v>
      </c>
      <c r="O277" s="10">
        <f t="shared" si="186"/>
        <v>1</v>
      </c>
      <c r="P277" s="10">
        <f t="shared" si="186"/>
        <v>1</v>
      </c>
      <c r="Q277" s="10">
        <f t="shared" si="186"/>
        <v>1</v>
      </c>
      <c r="R277" s="10">
        <f t="shared" si="186"/>
        <v>1</v>
      </c>
      <c r="S277" s="10">
        <f t="shared" si="186"/>
        <v>1</v>
      </c>
      <c r="T277" s="10">
        <f t="shared" si="186"/>
        <v>1</v>
      </c>
      <c r="U277" s="10">
        <f t="shared" si="186"/>
        <v>1</v>
      </c>
      <c r="V277" s="10">
        <f t="shared" si="186"/>
        <v>1</v>
      </c>
      <c r="W277" s="10">
        <f t="shared" si="186"/>
        <v>1</v>
      </c>
      <c r="X277" s="10">
        <f t="shared" si="186"/>
        <v>1</v>
      </c>
      <c r="Y277" s="10">
        <f t="shared" si="186"/>
        <v>1</v>
      </c>
      <c r="Z277" s="10">
        <f t="shared" si="186"/>
        <v>1</v>
      </c>
      <c r="AA277" s="10">
        <f t="shared" si="186"/>
        <v>1</v>
      </c>
      <c r="AB277" s="10">
        <f t="shared" si="186"/>
        <v>1</v>
      </c>
      <c r="AC277" s="10">
        <f t="shared" si="186"/>
        <v>1</v>
      </c>
      <c r="AD277" s="10">
        <f t="shared" si="186"/>
        <v>1</v>
      </c>
      <c r="AE277" s="10">
        <f t="shared" si="186"/>
        <v>1</v>
      </c>
      <c r="AF277" s="10">
        <f t="shared" si="186"/>
        <v>1</v>
      </c>
      <c r="AG277" s="10">
        <f t="shared" si="186"/>
        <v>1</v>
      </c>
    </row>
    <row r="278" spans="2:33">
      <c r="B278" t="str">
        <f t="shared" si="182"/>
        <v>Integrated Gasification Combined Cycle Coal</v>
      </c>
      <c r="H278" s="26">
        <v>1</v>
      </c>
      <c r="I278" s="10">
        <f t="shared" ref="I278:AG278" si="187">H278</f>
        <v>1</v>
      </c>
      <c r="J278" s="10">
        <f t="shared" si="187"/>
        <v>1</v>
      </c>
      <c r="K278" s="10">
        <f t="shared" si="187"/>
        <v>1</v>
      </c>
      <c r="L278" s="10">
        <f t="shared" si="187"/>
        <v>1</v>
      </c>
      <c r="M278" s="10">
        <f t="shared" si="187"/>
        <v>1</v>
      </c>
      <c r="N278" s="10">
        <f t="shared" si="187"/>
        <v>1</v>
      </c>
      <c r="O278" s="10">
        <f t="shared" si="187"/>
        <v>1</v>
      </c>
      <c r="P278" s="10">
        <f t="shared" si="187"/>
        <v>1</v>
      </c>
      <c r="Q278" s="10">
        <f t="shared" si="187"/>
        <v>1</v>
      </c>
      <c r="R278" s="10">
        <f t="shared" si="187"/>
        <v>1</v>
      </c>
      <c r="S278" s="10">
        <f t="shared" si="187"/>
        <v>1</v>
      </c>
      <c r="T278" s="10">
        <f t="shared" si="187"/>
        <v>1</v>
      </c>
      <c r="U278" s="10">
        <f t="shared" si="187"/>
        <v>1</v>
      </c>
      <c r="V278" s="10">
        <f t="shared" si="187"/>
        <v>1</v>
      </c>
      <c r="W278" s="10">
        <f t="shared" si="187"/>
        <v>1</v>
      </c>
      <c r="X278" s="10">
        <f t="shared" si="187"/>
        <v>1</v>
      </c>
      <c r="Y278" s="10">
        <f t="shared" si="187"/>
        <v>1</v>
      </c>
      <c r="Z278" s="10">
        <f t="shared" si="187"/>
        <v>1</v>
      </c>
      <c r="AA278" s="10">
        <f t="shared" si="187"/>
        <v>1</v>
      </c>
      <c r="AB278" s="10">
        <f t="shared" si="187"/>
        <v>1</v>
      </c>
      <c r="AC278" s="10">
        <f t="shared" si="187"/>
        <v>1</v>
      </c>
      <c r="AD278" s="10">
        <f t="shared" si="187"/>
        <v>1</v>
      </c>
      <c r="AE278" s="10">
        <f t="shared" si="187"/>
        <v>1</v>
      </c>
      <c r="AF278" s="10">
        <f t="shared" si="187"/>
        <v>1</v>
      </c>
      <c r="AG278" s="10">
        <f t="shared" si="187"/>
        <v>1</v>
      </c>
    </row>
    <row r="279" spans="2:33">
      <c r="B279" t="str">
        <f t="shared" si="182"/>
        <v>Nuclear Pressurised Water Reactor</v>
      </c>
      <c r="H279" s="26">
        <v>1</v>
      </c>
      <c r="I279" s="10">
        <f t="shared" ref="I279:AG279" si="188">H279</f>
        <v>1</v>
      </c>
      <c r="J279" s="10">
        <f t="shared" si="188"/>
        <v>1</v>
      </c>
      <c r="K279" s="10">
        <f t="shared" si="188"/>
        <v>1</v>
      </c>
      <c r="L279" s="10">
        <f t="shared" si="188"/>
        <v>1</v>
      </c>
      <c r="M279" s="10">
        <f t="shared" si="188"/>
        <v>1</v>
      </c>
      <c r="N279" s="10">
        <f t="shared" si="188"/>
        <v>1</v>
      </c>
      <c r="O279" s="10">
        <f t="shared" si="188"/>
        <v>1</v>
      </c>
      <c r="P279" s="10">
        <f t="shared" si="188"/>
        <v>1</v>
      </c>
      <c r="Q279" s="10">
        <f t="shared" si="188"/>
        <v>1</v>
      </c>
      <c r="R279" s="10">
        <f t="shared" si="188"/>
        <v>1</v>
      </c>
      <c r="S279" s="10">
        <f t="shared" si="188"/>
        <v>1</v>
      </c>
      <c r="T279" s="10">
        <f t="shared" si="188"/>
        <v>1</v>
      </c>
      <c r="U279" s="10">
        <f t="shared" si="188"/>
        <v>1</v>
      </c>
      <c r="V279" s="10">
        <f t="shared" si="188"/>
        <v>1</v>
      </c>
      <c r="W279" s="10">
        <f t="shared" si="188"/>
        <v>1</v>
      </c>
      <c r="X279" s="10">
        <f t="shared" si="188"/>
        <v>1</v>
      </c>
      <c r="Y279" s="10">
        <f t="shared" si="188"/>
        <v>1</v>
      </c>
      <c r="Z279" s="10">
        <f t="shared" si="188"/>
        <v>1</v>
      </c>
      <c r="AA279" s="10">
        <f t="shared" si="188"/>
        <v>1</v>
      </c>
      <c r="AB279" s="10">
        <f t="shared" si="188"/>
        <v>1</v>
      </c>
      <c r="AC279" s="10">
        <f t="shared" si="188"/>
        <v>1</v>
      </c>
      <c r="AD279" s="10">
        <f t="shared" si="188"/>
        <v>1</v>
      </c>
      <c r="AE279" s="10">
        <f t="shared" si="188"/>
        <v>1</v>
      </c>
      <c r="AF279" s="10">
        <f t="shared" si="188"/>
        <v>1</v>
      </c>
      <c r="AG279" s="10">
        <f t="shared" si="188"/>
        <v>1</v>
      </c>
    </row>
    <row r="280" spans="2:33">
      <c r="B280" t="str">
        <f t="shared" si="182"/>
        <v>Nuclear Pebble-Bed Modular Reactor</v>
      </c>
      <c r="H280" s="26">
        <v>1</v>
      </c>
      <c r="I280" s="10">
        <f t="shared" ref="I280:AG280" si="189">H280</f>
        <v>1</v>
      </c>
      <c r="J280" s="10">
        <f t="shared" si="189"/>
        <v>1</v>
      </c>
      <c r="K280" s="10">
        <f t="shared" si="189"/>
        <v>1</v>
      </c>
      <c r="L280" s="10">
        <f t="shared" si="189"/>
        <v>1</v>
      </c>
      <c r="M280" s="10">
        <f t="shared" si="189"/>
        <v>1</v>
      </c>
      <c r="N280" s="10">
        <f t="shared" si="189"/>
        <v>1</v>
      </c>
      <c r="O280" s="10">
        <f t="shared" si="189"/>
        <v>1</v>
      </c>
      <c r="P280" s="10">
        <f t="shared" si="189"/>
        <v>1</v>
      </c>
      <c r="Q280" s="10">
        <f t="shared" si="189"/>
        <v>1</v>
      </c>
      <c r="R280" s="10">
        <f t="shared" si="189"/>
        <v>1</v>
      </c>
      <c r="S280" s="10">
        <f t="shared" si="189"/>
        <v>1</v>
      </c>
      <c r="T280" s="10">
        <f t="shared" si="189"/>
        <v>1</v>
      </c>
      <c r="U280" s="10">
        <f t="shared" si="189"/>
        <v>1</v>
      </c>
      <c r="V280" s="10">
        <f t="shared" si="189"/>
        <v>1</v>
      </c>
      <c r="W280" s="10">
        <f t="shared" si="189"/>
        <v>1</v>
      </c>
      <c r="X280" s="10">
        <f t="shared" si="189"/>
        <v>1</v>
      </c>
      <c r="Y280" s="10">
        <f t="shared" si="189"/>
        <v>1</v>
      </c>
      <c r="Z280" s="10">
        <f t="shared" si="189"/>
        <v>1</v>
      </c>
      <c r="AA280" s="10">
        <f t="shared" si="189"/>
        <v>1</v>
      </c>
      <c r="AB280" s="10">
        <f t="shared" si="189"/>
        <v>1</v>
      </c>
      <c r="AC280" s="10">
        <f t="shared" si="189"/>
        <v>1</v>
      </c>
      <c r="AD280" s="10">
        <f t="shared" si="189"/>
        <v>1</v>
      </c>
      <c r="AE280" s="10">
        <f t="shared" si="189"/>
        <v>1</v>
      </c>
      <c r="AF280" s="10">
        <f t="shared" si="189"/>
        <v>1</v>
      </c>
      <c r="AG280" s="10">
        <f t="shared" si="189"/>
        <v>1</v>
      </c>
    </row>
    <row r="281" spans="2:33">
      <c r="B281" t="str">
        <f t="shared" si="182"/>
        <v>Wind</v>
      </c>
      <c r="H281" s="26">
        <v>1</v>
      </c>
      <c r="I281" s="10">
        <f t="shared" ref="I281:AG281" si="190">H281</f>
        <v>1</v>
      </c>
      <c r="J281" s="10">
        <f t="shared" si="190"/>
        <v>1</v>
      </c>
      <c r="K281" s="10">
        <f t="shared" si="190"/>
        <v>1</v>
      </c>
      <c r="L281" s="10">
        <f t="shared" si="190"/>
        <v>1</v>
      </c>
      <c r="M281" s="10">
        <f t="shared" si="190"/>
        <v>1</v>
      </c>
      <c r="N281" s="10">
        <f t="shared" si="190"/>
        <v>1</v>
      </c>
      <c r="O281" s="10">
        <f t="shared" si="190"/>
        <v>1</v>
      </c>
      <c r="P281" s="10">
        <f t="shared" si="190"/>
        <v>1</v>
      </c>
      <c r="Q281" s="10">
        <f t="shared" si="190"/>
        <v>1</v>
      </c>
      <c r="R281" s="10">
        <f t="shared" si="190"/>
        <v>1</v>
      </c>
      <c r="S281" s="10">
        <f t="shared" si="190"/>
        <v>1</v>
      </c>
      <c r="T281" s="10">
        <f t="shared" si="190"/>
        <v>1</v>
      </c>
      <c r="U281" s="10">
        <f t="shared" si="190"/>
        <v>1</v>
      </c>
      <c r="V281" s="10">
        <f t="shared" si="190"/>
        <v>1</v>
      </c>
      <c r="W281" s="10">
        <f t="shared" si="190"/>
        <v>1</v>
      </c>
      <c r="X281" s="10">
        <f t="shared" si="190"/>
        <v>1</v>
      </c>
      <c r="Y281" s="10">
        <f t="shared" si="190"/>
        <v>1</v>
      </c>
      <c r="Z281" s="10">
        <f t="shared" si="190"/>
        <v>1</v>
      </c>
      <c r="AA281" s="10">
        <f t="shared" si="190"/>
        <v>1</v>
      </c>
      <c r="AB281" s="10">
        <f t="shared" si="190"/>
        <v>1</v>
      </c>
      <c r="AC281" s="10">
        <f t="shared" si="190"/>
        <v>1</v>
      </c>
      <c r="AD281" s="10">
        <f t="shared" si="190"/>
        <v>1</v>
      </c>
      <c r="AE281" s="10">
        <f t="shared" si="190"/>
        <v>1</v>
      </c>
      <c r="AF281" s="10">
        <f t="shared" si="190"/>
        <v>1</v>
      </c>
      <c r="AG281" s="10">
        <f t="shared" si="190"/>
        <v>1</v>
      </c>
    </row>
    <row r="282" spans="2:33">
      <c r="B282" t="str">
        <f t="shared" si="182"/>
        <v>Solar Photovoltaic</v>
      </c>
      <c r="H282" s="26">
        <v>1</v>
      </c>
      <c r="I282" s="10">
        <f t="shared" ref="I282:AG282" si="191">H282</f>
        <v>1</v>
      </c>
      <c r="J282" s="10">
        <f t="shared" si="191"/>
        <v>1</v>
      </c>
      <c r="K282" s="10">
        <f t="shared" si="191"/>
        <v>1</v>
      </c>
      <c r="L282" s="10">
        <f t="shared" si="191"/>
        <v>1</v>
      </c>
      <c r="M282" s="10">
        <f t="shared" si="191"/>
        <v>1</v>
      </c>
      <c r="N282" s="10">
        <f t="shared" si="191"/>
        <v>1</v>
      </c>
      <c r="O282" s="10">
        <f t="shared" si="191"/>
        <v>1</v>
      </c>
      <c r="P282" s="10">
        <f t="shared" si="191"/>
        <v>1</v>
      </c>
      <c r="Q282" s="10">
        <f t="shared" si="191"/>
        <v>1</v>
      </c>
      <c r="R282" s="10">
        <f t="shared" si="191"/>
        <v>1</v>
      </c>
      <c r="S282" s="10">
        <f t="shared" si="191"/>
        <v>1</v>
      </c>
      <c r="T282" s="10">
        <f t="shared" si="191"/>
        <v>1</v>
      </c>
      <c r="U282" s="10">
        <f t="shared" si="191"/>
        <v>1</v>
      </c>
      <c r="V282" s="10">
        <f t="shared" si="191"/>
        <v>1</v>
      </c>
      <c r="W282" s="10">
        <f t="shared" si="191"/>
        <v>1</v>
      </c>
      <c r="X282" s="10">
        <f t="shared" si="191"/>
        <v>1</v>
      </c>
      <c r="Y282" s="10">
        <f t="shared" si="191"/>
        <v>1</v>
      </c>
      <c r="Z282" s="10">
        <f t="shared" si="191"/>
        <v>1</v>
      </c>
      <c r="AA282" s="10">
        <f t="shared" si="191"/>
        <v>1</v>
      </c>
      <c r="AB282" s="10">
        <f t="shared" si="191"/>
        <v>1</v>
      </c>
      <c r="AC282" s="10">
        <f t="shared" si="191"/>
        <v>1</v>
      </c>
      <c r="AD282" s="10">
        <f t="shared" si="191"/>
        <v>1</v>
      </c>
      <c r="AE282" s="10">
        <f t="shared" si="191"/>
        <v>1</v>
      </c>
      <c r="AF282" s="10">
        <f t="shared" si="191"/>
        <v>1</v>
      </c>
      <c r="AG282" s="10">
        <f t="shared" si="191"/>
        <v>1</v>
      </c>
    </row>
    <row r="283" spans="2:33">
      <c r="B283" t="str">
        <f t="shared" si="182"/>
        <v>Solar Parabolic Trough</v>
      </c>
      <c r="H283" s="26">
        <v>1</v>
      </c>
      <c r="I283" s="10">
        <f t="shared" ref="I283:AG283" si="192">H283</f>
        <v>1</v>
      </c>
      <c r="J283" s="10">
        <f t="shared" si="192"/>
        <v>1</v>
      </c>
      <c r="K283" s="10">
        <f t="shared" si="192"/>
        <v>1</v>
      </c>
      <c r="L283" s="10">
        <f t="shared" si="192"/>
        <v>1</v>
      </c>
      <c r="M283" s="10">
        <f t="shared" si="192"/>
        <v>1</v>
      </c>
      <c r="N283" s="10">
        <f t="shared" si="192"/>
        <v>1</v>
      </c>
      <c r="O283" s="10">
        <f t="shared" si="192"/>
        <v>1</v>
      </c>
      <c r="P283" s="10">
        <f t="shared" si="192"/>
        <v>1</v>
      </c>
      <c r="Q283" s="10">
        <f t="shared" si="192"/>
        <v>1</v>
      </c>
      <c r="R283" s="10">
        <f t="shared" si="192"/>
        <v>1</v>
      </c>
      <c r="S283" s="10">
        <f t="shared" si="192"/>
        <v>1</v>
      </c>
      <c r="T283" s="10">
        <f t="shared" si="192"/>
        <v>1</v>
      </c>
      <c r="U283" s="10">
        <f t="shared" si="192"/>
        <v>1</v>
      </c>
      <c r="V283" s="10">
        <f t="shared" si="192"/>
        <v>1</v>
      </c>
      <c r="W283" s="10">
        <f t="shared" si="192"/>
        <v>1</v>
      </c>
      <c r="X283" s="10">
        <f t="shared" si="192"/>
        <v>1</v>
      </c>
      <c r="Y283" s="10">
        <f t="shared" si="192"/>
        <v>1</v>
      </c>
      <c r="Z283" s="10">
        <f t="shared" si="192"/>
        <v>1</v>
      </c>
      <c r="AA283" s="10">
        <f t="shared" si="192"/>
        <v>1</v>
      </c>
      <c r="AB283" s="10">
        <f t="shared" si="192"/>
        <v>1</v>
      </c>
      <c r="AC283" s="10">
        <f t="shared" si="192"/>
        <v>1</v>
      </c>
      <c r="AD283" s="10">
        <f t="shared" si="192"/>
        <v>1</v>
      </c>
      <c r="AE283" s="10">
        <f t="shared" si="192"/>
        <v>1</v>
      </c>
      <c r="AF283" s="10">
        <f t="shared" si="192"/>
        <v>1</v>
      </c>
      <c r="AG283" s="10">
        <f t="shared" si="192"/>
        <v>1</v>
      </c>
    </row>
    <row r="284" spans="2:33">
      <c r="B284" t="str">
        <f t="shared" si="182"/>
        <v>Solar Central Receiver</v>
      </c>
      <c r="H284" s="26">
        <v>1</v>
      </c>
      <c r="I284" s="10">
        <f t="shared" ref="I284:AG284" si="193">H284</f>
        <v>1</v>
      </c>
      <c r="J284" s="10">
        <f t="shared" si="193"/>
        <v>1</v>
      </c>
      <c r="K284" s="10">
        <f t="shared" si="193"/>
        <v>1</v>
      </c>
      <c r="L284" s="10">
        <f t="shared" si="193"/>
        <v>1</v>
      </c>
      <c r="M284" s="10">
        <f t="shared" si="193"/>
        <v>1</v>
      </c>
      <c r="N284" s="10">
        <f t="shared" si="193"/>
        <v>1</v>
      </c>
      <c r="O284" s="10">
        <f t="shared" si="193"/>
        <v>1</v>
      </c>
      <c r="P284" s="10">
        <f t="shared" si="193"/>
        <v>1</v>
      </c>
      <c r="Q284" s="10">
        <f t="shared" si="193"/>
        <v>1</v>
      </c>
      <c r="R284" s="10">
        <f t="shared" si="193"/>
        <v>1</v>
      </c>
      <c r="S284" s="10">
        <f t="shared" si="193"/>
        <v>1</v>
      </c>
      <c r="T284" s="10">
        <f t="shared" si="193"/>
        <v>1</v>
      </c>
      <c r="U284" s="10">
        <f t="shared" si="193"/>
        <v>1</v>
      </c>
      <c r="V284" s="10">
        <f t="shared" si="193"/>
        <v>1</v>
      </c>
      <c r="W284" s="10">
        <f t="shared" si="193"/>
        <v>1</v>
      </c>
      <c r="X284" s="10">
        <f t="shared" si="193"/>
        <v>1</v>
      </c>
      <c r="Y284" s="10">
        <f t="shared" si="193"/>
        <v>1</v>
      </c>
      <c r="Z284" s="10">
        <f t="shared" si="193"/>
        <v>1</v>
      </c>
      <c r="AA284" s="10">
        <f t="shared" si="193"/>
        <v>1</v>
      </c>
      <c r="AB284" s="10">
        <f t="shared" si="193"/>
        <v>1</v>
      </c>
      <c r="AC284" s="10">
        <f t="shared" si="193"/>
        <v>1</v>
      </c>
      <c r="AD284" s="10">
        <f t="shared" si="193"/>
        <v>1</v>
      </c>
      <c r="AE284" s="10">
        <f t="shared" si="193"/>
        <v>1</v>
      </c>
      <c r="AF284" s="10">
        <f t="shared" si="193"/>
        <v>1</v>
      </c>
      <c r="AG284" s="10">
        <f t="shared" si="193"/>
        <v>1</v>
      </c>
    </row>
    <row r="285" spans="2:33">
      <c r="B285" t="str">
        <f t="shared" si="182"/>
        <v>Biomass</v>
      </c>
      <c r="H285" s="26">
        <v>1</v>
      </c>
      <c r="I285" s="10">
        <f t="shared" ref="I285:AG285" si="194">H285</f>
        <v>1</v>
      </c>
      <c r="J285" s="10">
        <f t="shared" si="194"/>
        <v>1</v>
      </c>
      <c r="K285" s="10">
        <f t="shared" si="194"/>
        <v>1</v>
      </c>
      <c r="L285" s="10">
        <f t="shared" si="194"/>
        <v>1</v>
      </c>
      <c r="M285" s="10">
        <f t="shared" si="194"/>
        <v>1</v>
      </c>
      <c r="N285" s="10">
        <f t="shared" si="194"/>
        <v>1</v>
      </c>
      <c r="O285" s="10">
        <f t="shared" si="194"/>
        <v>1</v>
      </c>
      <c r="P285" s="10">
        <f t="shared" si="194"/>
        <v>1</v>
      </c>
      <c r="Q285" s="10">
        <f t="shared" si="194"/>
        <v>1</v>
      </c>
      <c r="R285" s="10">
        <f t="shared" si="194"/>
        <v>1</v>
      </c>
      <c r="S285" s="10">
        <f t="shared" si="194"/>
        <v>1</v>
      </c>
      <c r="T285" s="10">
        <f t="shared" si="194"/>
        <v>1</v>
      </c>
      <c r="U285" s="10">
        <f t="shared" si="194"/>
        <v>1</v>
      </c>
      <c r="V285" s="10">
        <f t="shared" si="194"/>
        <v>1</v>
      </c>
      <c r="W285" s="10">
        <f t="shared" si="194"/>
        <v>1</v>
      </c>
      <c r="X285" s="10">
        <f t="shared" si="194"/>
        <v>1</v>
      </c>
      <c r="Y285" s="10">
        <f t="shared" si="194"/>
        <v>1</v>
      </c>
      <c r="Z285" s="10">
        <f t="shared" si="194"/>
        <v>1</v>
      </c>
      <c r="AA285" s="10">
        <f t="shared" si="194"/>
        <v>1</v>
      </c>
      <c r="AB285" s="10">
        <f t="shared" si="194"/>
        <v>1</v>
      </c>
      <c r="AC285" s="10">
        <f t="shared" si="194"/>
        <v>1</v>
      </c>
      <c r="AD285" s="10">
        <f t="shared" si="194"/>
        <v>1</v>
      </c>
      <c r="AE285" s="10">
        <f t="shared" si="194"/>
        <v>1</v>
      </c>
      <c r="AF285" s="10">
        <f t="shared" si="194"/>
        <v>1</v>
      </c>
      <c r="AG285" s="10">
        <f t="shared" si="194"/>
        <v>1</v>
      </c>
    </row>
    <row r="286" spans="2:33">
      <c r="B286" t="str">
        <f t="shared" si="182"/>
        <v>Wave</v>
      </c>
      <c r="H286" s="26">
        <v>1</v>
      </c>
      <c r="I286" s="10">
        <f t="shared" ref="I286:AG286" si="195">H286</f>
        <v>1</v>
      </c>
      <c r="J286" s="10">
        <f t="shared" si="195"/>
        <v>1</v>
      </c>
      <c r="K286" s="10">
        <f t="shared" si="195"/>
        <v>1</v>
      </c>
      <c r="L286" s="10">
        <f t="shared" si="195"/>
        <v>1</v>
      </c>
      <c r="M286" s="10">
        <f t="shared" si="195"/>
        <v>1</v>
      </c>
      <c r="N286" s="10">
        <f t="shared" si="195"/>
        <v>1</v>
      </c>
      <c r="O286" s="10">
        <f t="shared" si="195"/>
        <v>1</v>
      </c>
      <c r="P286" s="10">
        <f t="shared" si="195"/>
        <v>1</v>
      </c>
      <c r="Q286" s="10">
        <f t="shared" si="195"/>
        <v>1</v>
      </c>
      <c r="R286" s="10">
        <f t="shared" si="195"/>
        <v>1</v>
      </c>
      <c r="S286" s="10">
        <f t="shared" si="195"/>
        <v>1</v>
      </c>
      <c r="T286" s="10">
        <f t="shared" si="195"/>
        <v>1</v>
      </c>
      <c r="U286" s="10">
        <f t="shared" si="195"/>
        <v>1</v>
      </c>
      <c r="V286" s="10">
        <f t="shared" si="195"/>
        <v>1</v>
      </c>
      <c r="W286" s="10">
        <f t="shared" si="195"/>
        <v>1</v>
      </c>
      <c r="X286" s="10">
        <f t="shared" si="195"/>
        <v>1</v>
      </c>
      <c r="Y286" s="10">
        <f t="shared" si="195"/>
        <v>1</v>
      </c>
      <c r="Z286" s="10">
        <f t="shared" si="195"/>
        <v>1</v>
      </c>
      <c r="AA286" s="10">
        <f t="shared" si="195"/>
        <v>1</v>
      </c>
      <c r="AB286" s="10">
        <f t="shared" si="195"/>
        <v>1</v>
      </c>
      <c r="AC286" s="10">
        <f t="shared" si="195"/>
        <v>1</v>
      </c>
      <c r="AD286" s="10">
        <f t="shared" si="195"/>
        <v>1</v>
      </c>
      <c r="AE286" s="10">
        <f t="shared" si="195"/>
        <v>1</v>
      </c>
      <c r="AF286" s="10">
        <f t="shared" si="195"/>
        <v>1</v>
      </c>
      <c r="AG286" s="10">
        <f t="shared" si="195"/>
        <v>1</v>
      </c>
    </row>
    <row r="287" spans="2:33">
      <c r="B287" t="str">
        <f t="shared" si="182"/>
        <v>Existing coal large</v>
      </c>
      <c r="H287" s="26">
        <v>1</v>
      </c>
      <c r="I287" s="10">
        <f t="shared" ref="I287:AG287" si="196">H287</f>
        <v>1</v>
      </c>
      <c r="J287" s="10">
        <f t="shared" si="196"/>
        <v>1</v>
      </c>
      <c r="K287" s="10">
        <f t="shared" si="196"/>
        <v>1</v>
      </c>
      <c r="L287" s="10">
        <f t="shared" si="196"/>
        <v>1</v>
      </c>
      <c r="M287" s="10">
        <f t="shared" si="196"/>
        <v>1</v>
      </c>
      <c r="N287" s="10">
        <f t="shared" si="196"/>
        <v>1</v>
      </c>
      <c r="O287" s="10">
        <f t="shared" si="196"/>
        <v>1</v>
      </c>
      <c r="P287" s="10">
        <f t="shared" si="196"/>
        <v>1</v>
      </c>
      <c r="Q287" s="10">
        <f t="shared" si="196"/>
        <v>1</v>
      </c>
      <c r="R287" s="10">
        <f t="shared" si="196"/>
        <v>1</v>
      </c>
      <c r="S287" s="10">
        <f t="shared" si="196"/>
        <v>1</v>
      </c>
      <c r="T287" s="10">
        <f t="shared" si="196"/>
        <v>1</v>
      </c>
      <c r="U287" s="10">
        <f t="shared" si="196"/>
        <v>1</v>
      </c>
      <c r="V287" s="10">
        <f t="shared" si="196"/>
        <v>1</v>
      </c>
      <c r="W287" s="10">
        <f t="shared" si="196"/>
        <v>1</v>
      </c>
      <c r="X287" s="10">
        <f t="shared" si="196"/>
        <v>1</v>
      </c>
      <c r="Y287" s="10">
        <f t="shared" si="196"/>
        <v>1</v>
      </c>
      <c r="Z287" s="10">
        <f t="shared" si="196"/>
        <v>1</v>
      </c>
      <c r="AA287" s="10">
        <f t="shared" si="196"/>
        <v>1</v>
      </c>
      <c r="AB287" s="10">
        <f t="shared" si="196"/>
        <v>1</v>
      </c>
      <c r="AC287" s="10">
        <f t="shared" si="196"/>
        <v>1</v>
      </c>
      <c r="AD287" s="10">
        <f t="shared" si="196"/>
        <v>1</v>
      </c>
      <c r="AE287" s="10">
        <f t="shared" si="196"/>
        <v>1</v>
      </c>
      <c r="AF287" s="10">
        <f t="shared" si="196"/>
        <v>1</v>
      </c>
      <c r="AG287" s="10">
        <f t="shared" si="196"/>
        <v>1</v>
      </c>
    </row>
    <row r="288" spans="2:33">
      <c r="B288" t="str">
        <f t="shared" si="182"/>
        <v>Existing coal small</v>
      </c>
      <c r="H288" s="26">
        <v>1</v>
      </c>
      <c r="I288" s="10">
        <f t="shared" ref="I288:AG288" si="197">H288</f>
        <v>1</v>
      </c>
      <c r="J288" s="10">
        <f t="shared" si="197"/>
        <v>1</v>
      </c>
      <c r="K288" s="10">
        <f t="shared" si="197"/>
        <v>1</v>
      </c>
      <c r="L288" s="10">
        <f t="shared" si="197"/>
        <v>1</v>
      </c>
      <c r="M288" s="10">
        <f t="shared" si="197"/>
        <v>1</v>
      </c>
      <c r="N288" s="10">
        <f t="shared" si="197"/>
        <v>1</v>
      </c>
      <c r="O288" s="10">
        <f t="shared" si="197"/>
        <v>1</v>
      </c>
      <c r="P288" s="10">
        <f t="shared" si="197"/>
        <v>1</v>
      </c>
      <c r="Q288" s="10">
        <f t="shared" si="197"/>
        <v>1</v>
      </c>
      <c r="R288" s="10">
        <f t="shared" si="197"/>
        <v>1</v>
      </c>
      <c r="S288" s="10">
        <f t="shared" si="197"/>
        <v>1</v>
      </c>
      <c r="T288" s="10">
        <f t="shared" si="197"/>
        <v>1</v>
      </c>
      <c r="U288" s="10">
        <f t="shared" si="197"/>
        <v>1</v>
      </c>
      <c r="V288" s="10">
        <f t="shared" si="197"/>
        <v>1</v>
      </c>
      <c r="W288" s="10">
        <f t="shared" si="197"/>
        <v>1</v>
      </c>
      <c r="X288" s="10">
        <f t="shared" si="197"/>
        <v>1</v>
      </c>
      <c r="Y288" s="10">
        <f t="shared" si="197"/>
        <v>1</v>
      </c>
      <c r="Z288" s="10">
        <f t="shared" si="197"/>
        <v>1</v>
      </c>
      <c r="AA288" s="10">
        <f t="shared" si="197"/>
        <v>1</v>
      </c>
      <c r="AB288" s="10">
        <f t="shared" si="197"/>
        <v>1</v>
      </c>
      <c r="AC288" s="10">
        <f t="shared" si="197"/>
        <v>1</v>
      </c>
      <c r="AD288" s="10">
        <f t="shared" si="197"/>
        <v>1</v>
      </c>
      <c r="AE288" s="10">
        <f t="shared" si="197"/>
        <v>1</v>
      </c>
      <c r="AF288" s="10">
        <f t="shared" si="197"/>
        <v>1</v>
      </c>
      <c r="AG288" s="10">
        <f t="shared" si="197"/>
        <v>1</v>
      </c>
    </row>
    <row r="289" spans="2:64">
      <c r="B289" t="str">
        <f t="shared" si="182"/>
        <v>Hydro existing</v>
      </c>
      <c r="H289" s="26">
        <v>1</v>
      </c>
      <c r="I289" s="10">
        <f t="shared" ref="I289:AG289" si="198">H289</f>
        <v>1</v>
      </c>
      <c r="J289" s="10">
        <f t="shared" si="198"/>
        <v>1</v>
      </c>
      <c r="K289" s="10">
        <f t="shared" si="198"/>
        <v>1</v>
      </c>
      <c r="L289" s="10">
        <f t="shared" si="198"/>
        <v>1</v>
      </c>
      <c r="M289" s="10">
        <f t="shared" si="198"/>
        <v>1</v>
      </c>
      <c r="N289" s="10">
        <f t="shared" si="198"/>
        <v>1</v>
      </c>
      <c r="O289" s="10">
        <f t="shared" si="198"/>
        <v>1</v>
      </c>
      <c r="P289" s="10">
        <f t="shared" si="198"/>
        <v>1</v>
      </c>
      <c r="Q289" s="10">
        <f t="shared" si="198"/>
        <v>1</v>
      </c>
      <c r="R289" s="10">
        <f t="shared" si="198"/>
        <v>1</v>
      </c>
      <c r="S289" s="10">
        <f t="shared" si="198"/>
        <v>1</v>
      </c>
      <c r="T289" s="10">
        <f t="shared" si="198"/>
        <v>1</v>
      </c>
      <c r="U289" s="10">
        <f t="shared" si="198"/>
        <v>1</v>
      </c>
      <c r="V289" s="10">
        <f t="shared" si="198"/>
        <v>1</v>
      </c>
      <c r="W289" s="10">
        <f t="shared" si="198"/>
        <v>1</v>
      </c>
      <c r="X289" s="10">
        <f t="shared" si="198"/>
        <v>1</v>
      </c>
      <c r="Y289" s="10">
        <f t="shared" si="198"/>
        <v>1</v>
      </c>
      <c r="Z289" s="10">
        <f t="shared" si="198"/>
        <v>1</v>
      </c>
      <c r="AA289" s="10">
        <f t="shared" si="198"/>
        <v>1</v>
      </c>
      <c r="AB289" s="10">
        <f t="shared" si="198"/>
        <v>1</v>
      </c>
      <c r="AC289" s="10">
        <f t="shared" si="198"/>
        <v>1</v>
      </c>
      <c r="AD289" s="10">
        <f t="shared" si="198"/>
        <v>1</v>
      </c>
      <c r="AE289" s="10">
        <f t="shared" si="198"/>
        <v>1</v>
      </c>
      <c r="AF289" s="10">
        <f t="shared" si="198"/>
        <v>1</v>
      </c>
      <c r="AG289" s="10">
        <f t="shared" si="198"/>
        <v>1</v>
      </c>
    </row>
    <row r="290" spans="2:64">
      <c r="B290" t="str">
        <f t="shared" si="182"/>
        <v>Landfill gas</v>
      </c>
      <c r="H290" s="26">
        <v>1</v>
      </c>
      <c r="I290" s="10">
        <f t="shared" ref="I290:AG290" si="199">H290</f>
        <v>1</v>
      </c>
      <c r="J290" s="10">
        <f t="shared" si="199"/>
        <v>1</v>
      </c>
      <c r="K290" s="10">
        <f t="shared" si="199"/>
        <v>1</v>
      </c>
      <c r="L290" s="10">
        <f t="shared" si="199"/>
        <v>1</v>
      </c>
      <c r="M290" s="10">
        <f t="shared" si="199"/>
        <v>1</v>
      </c>
      <c r="N290" s="10">
        <f t="shared" si="199"/>
        <v>1</v>
      </c>
      <c r="O290" s="10">
        <f t="shared" si="199"/>
        <v>1</v>
      </c>
      <c r="P290" s="10">
        <f t="shared" si="199"/>
        <v>1</v>
      </c>
      <c r="Q290" s="10">
        <f t="shared" si="199"/>
        <v>1</v>
      </c>
      <c r="R290" s="10">
        <f t="shared" si="199"/>
        <v>1</v>
      </c>
      <c r="S290" s="10">
        <f t="shared" si="199"/>
        <v>1</v>
      </c>
      <c r="T290" s="10">
        <f t="shared" si="199"/>
        <v>1</v>
      </c>
      <c r="U290" s="10">
        <f t="shared" si="199"/>
        <v>1</v>
      </c>
      <c r="V290" s="10">
        <f t="shared" si="199"/>
        <v>1</v>
      </c>
      <c r="W290" s="10">
        <f t="shared" si="199"/>
        <v>1</v>
      </c>
      <c r="X290" s="10">
        <f t="shared" si="199"/>
        <v>1</v>
      </c>
      <c r="Y290" s="10">
        <f t="shared" si="199"/>
        <v>1</v>
      </c>
      <c r="Z290" s="10">
        <f t="shared" si="199"/>
        <v>1</v>
      </c>
      <c r="AA290" s="10">
        <f t="shared" si="199"/>
        <v>1</v>
      </c>
      <c r="AB290" s="10">
        <f t="shared" si="199"/>
        <v>1</v>
      </c>
      <c r="AC290" s="10">
        <f t="shared" si="199"/>
        <v>1</v>
      </c>
      <c r="AD290" s="10">
        <f t="shared" si="199"/>
        <v>1</v>
      </c>
      <c r="AE290" s="10">
        <f t="shared" si="199"/>
        <v>1</v>
      </c>
      <c r="AF290" s="10">
        <f t="shared" si="199"/>
        <v>1</v>
      </c>
      <c r="AG290" s="10">
        <f t="shared" si="199"/>
        <v>1</v>
      </c>
    </row>
    <row r="291" spans="2:64">
      <c r="B291" t="str">
        <f t="shared" si="182"/>
        <v>not used</v>
      </c>
      <c r="H291" s="26" t="s">
        <v>213</v>
      </c>
      <c r="I291" s="10" t="str">
        <f t="shared" ref="I291:AG291" si="200">H291</f>
        <v xml:space="preserve"> -</v>
      </c>
      <c r="J291" s="10" t="str">
        <f t="shared" si="200"/>
        <v xml:space="preserve"> -</v>
      </c>
      <c r="K291" s="10" t="str">
        <f t="shared" si="200"/>
        <v xml:space="preserve"> -</v>
      </c>
      <c r="L291" s="10" t="str">
        <f t="shared" si="200"/>
        <v xml:space="preserve"> -</v>
      </c>
      <c r="M291" s="10" t="str">
        <f t="shared" si="200"/>
        <v xml:space="preserve"> -</v>
      </c>
      <c r="N291" s="10" t="str">
        <f t="shared" si="200"/>
        <v xml:space="preserve"> -</v>
      </c>
      <c r="O291" s="10" t="str">
        <f t="shared" si="200"/>
        <v xml:space="preserve"> -</v>
      </c>
      <c r="P291" s="10" t="str">
        <f t="shared" si="200"/>
        <v xml:space="preserve"> -</v>
      </c>
      <c r="Q291" s="10" t="str">
        <f t="shared" si="200"/>
        <v xml:space="preserve"> -</v>
      </c>
      <c r="R291" s="10" t="str">
        <f t="shared" si="200"/>
        <v xml:space="preserve"> -</v>
      </c>
      <c r="S291" s="10" t="str">
        <f t="shared" si="200"/>
        <v xml:space="preserve"> -</v>
      </c>
      <c r="T291" s="10" t="str">
        <f t="shared" si="200"/>
        <v xml:space="preserve"> -</v>
      </c>
      <c r="U291" s="10" t="str">
        <f t="shared" si="200"/>
        <v xml:space="preserve"> -</v>
      </c>
      <c r="V291" s="10" t="str">
        <f t="shared" si="200"/>
        <v xml:space="preserve"> -</v>
      </c>
      <c r="W291" s="10" t="str">
        <f t="shared" si="200"/>
        <v xml:space="preserve"> -</v>
      </c>
      <c r="X291" s="10" t="str">
        <f t="shared" si="200"/>
        <v xml:space="preserve"> -</v>
      </c>
      <c r="Y291" s="10" t="str">
        <f t="shared" si="200"/>
        <v xml:space="preserve"> -</v>
      </c>
      <c r="Z291" s="10" t="str">
        <f t="shared" si="200"/>
        <v xml:space="preserve"> -</v>
      </c>
      <c r="AA291" s="10" t="str">
        <f t="shared" si="200"/>
        <v xml:space="preserve"> -</v>
      </c>
      <c r="AB291" s="10" t="str">
        <f t="shared" si="200"/>
        <v xml:space="preserve"> -</v>
      </c>
      <c r="AC291" s="10" t="str">
        <f t="shared" si="200"/>
        <v xml:space="preserve"> -</v>
      </c>
      <c r="AD291" s="10" t="str">
        <f t="shared" si="200"/>
        <v xml:space="preserve"> -</v>
      </c>
      <c r="AE291" s="10" t="str">
        <f t="shared" si="200"/>
        <v xml:space="preserve"> -</v>
      </c>
      <c r="AF291" s="10" t="str">
        <f t="shared" si="200"/>
        <v xml:space="preserve"> -</v>
      </c>
      <c r="AG291" s="10" t="str">
        <f t="shared" si="200"/>
        <v xml:space="preserve"> -</v>
      </c>
    </row>
    <row r="292" spans="2:64">
      <c r="B292" t="str">
        <f t="shared" si="182"/>
        <v>not used</v>
      </c>
      <c r="H292" s="26" t="s">
        <v>213</v>
      </c>
      <c r="I292" s="10" t="str">
        <f t="shared" ref="I292:AG292" si="201">H292</f>
        <v xml:space="preserve"> -</v>
      </c>
      <c r="J292" s="10" t="str">
        <f t="shared" si="201"/>
        <v xml:space="preserve"> -</v>
      </c>
      <c r="K292" s="10" t="str">
        <f t="shared" si="201"/>
        <v xml:space="preserve"> -</v>
      </c>
      <c r="L292" s="10" t="str">
        <f t="shared" si="201"/>
        <v xml:space="preserve"> -</v>
      </c>
      <c r="M292" s="10" t="str">
        <f t="shared" si="201"/>
        <v xml:space="preserve"> -</v>
      </c>
      <c r="N292" s="10" t="str">
        <f t="shared" si="201"/>
        <v xml:space="preserve"> -</v>
      </c>
      <c r="O292" s="10" t="str">
        <f t="shared" si="201"/>
        <v xml:space="preserve"> -</v>
      </c>
      <c r="P292" s="10" t="str">
        <f t="shared" si="201"/>
        <v xml:space="preserve"> -</v>
      </c>
      <c r="Q292" s="10" t="str">
        <f t="shared" si="201"/>
        <v xml:space="preserve"> -</v>
      </c>
      <c r="R292" s="10" t="str">
        <f t="shared" si="201"/>
        <v xml:space="preserve"> -</v>
      </c>
      <c r="S292" s="10" t="str">
        <f t="shared" si="201"/>
        <v xml:space="preserve"> -</v>
      </c>
      <c r="T292" s="10" t="str">
        <f t="shared" si="201"/>
        <v xml:space="preserve"> -</v>
      </c>
      <c r="U292" s="10" t="str">
        <f t="shared" si="201"/>
        <v xml:space="preserve"> -</v>
      </c>
      <c r="V292" s="10" t="str">
        <f t="shared" si="201"/>
        <v xml:space="preserve"> -</v>
      </c>
      <c r="W292" s="10" t="str">
        <f t="shared" si="201"/>
        <v xml:space="preserve"> -</v>
      </c>
      <c r="X292" s="10" t="str">
        <f t="shared" si="201"/>
        <v xml:space="preserve"> -</v>
      </c>
      <c r="Y292" s="10" t="str">
        <f t="shared" si="201"/>
        <v xml:space="preserve"> -</v>
      </c>
      <c r="Z292" s="10" t="str">
        <f t="shared" si="201"/>
        <v xml:space="preserve"> -</v>
      </c>
      <c r="AA292" s="10" t="str">
        <f t="shared" si="201"/>
        <v xml:space="preserve"> -</v>
      </c>
      <c r="AB292" s="10" t="str">
        <f t="shared" si="201"/>
        <v xml:space="preserve"> -</v>
      </c>
      <c r="AC292" s="10" t="str">
        <f t="shared" si="201"/>
        <v xml:space="preserve"> -</v>
      </c>
      <c r="AD292" s="10" t="str">
        <f t="shared" si="201"/>
        <v xml:space="preserve"> -</v>
      </c>
      <c r="AE292" s="10" t="str">
        <f t="shared" si="201"/>
        <v xml:space="preserve"> -</v>
      </c>
      <c r="AF292" s="10" t="str">
        <f t="shared" si="201"/>
        <v xml:space="preserve"> -</v>
      </c>
      <c r="AG292" s="10" t="str">
        <f t="shared" si="201"/>
        <v xml:space="preserve"> -</v>
      </c>
    </row>
    <row r="293" spans="2:64">
      <c r="B293" t="str">
        <f t="shared" si="182"/>
        <v>Pumped Storage</v>
      </c>
      <c r="H293" s="26">
        <v>1</v>
      </c>
      <c r="I293" s="10">
        <f t="shared" ref="I293:AG293" si="202">H293</f>
        <v>1</v>
      </c>
      <c r="J293" s="10">
        <f t="shared" si="202"/>
        <v>1</v>
      </c>
      <c r="K293" s="10">
        <f t="shared" si="202"/>
        <v>1</v>
      </c>
      <c r="L293" s="10">
        <f t="shared" si="202"/>
        <v>1</v>
      </c>
      <c r="M293" s="10">
        <f t="shared" si="202"/>
        <v>1</v>
      </c>
      <c r="N293" s="10">
        <f t="shared" si="202"/>
        <v>1</v>
      </c>
      <c r="O293" s="10">
        <f t="shared" si="202"/>
        <v>1</v>
      </c>
      <c r="P293" s="10">
        <f t="shared" si="202"/>
        <v>1</v>
      </c>
      <c r="Q293" s="10">
        <f t="shared" si="202"/>
        <v>1</v>
      </c>
      <c r="R293" s="10">
        <f t="shared" si="202"/>
        <v>1</v>
      </c>
      <c r="S293" s="10">
        <f t="shared" si="202"/>
        <v>1</v>
      </c>
      <c r="T293" s="10">
        <f t="shared" si="202"/>
        <v>1</v>
      </c>
      <c r="U293" s="10">
        <f t="shared" si="202"/>
        <v>1</v>
      </c>
      <c r="V293" s="10">
        <f t="shared" si="202"/>
        <v>1</v>
      </c>
      <c r="W293" s="10">
        <f t="shared" si="202"/>
        <v>1</v>
      </c>
      <c r="X293" s="10">
        <f t="shared" si="202"/>
        <v>1</v>
      </c>
      <c r="Y293" s="10">
        <f t="shared" si="202"/>
        <v>1</v>
      </c>
      <c r="Z293" s="10">
        <f t="shared" si="202"/>
        <v>1</v>
      </c>
      <c r="AA293" s="10">
        <f t="shared" si="202"/>
        <v>1</v>
      </c>
      <c r="AB293" s="10">
        <f t="shared" si="202"/>
        <v>1</v>
      </c>
      <c r="AC293" s="10">
        <f t="shared" si="202"/>
        <v>1</v>
      </c>
      <c r="AD293" s="10">
        <f t="shared" si="202"/>
        <v>1</v>
      </c>
      <c r="AE293" s="10">
        <f t="shared" si="202"/>
        <v>1</v>
      </c>
      <c r="AF293" s="10">
        <f t="shared" si="202"/>
        <v>1</v>
      </c>
      <c r="AG293" s="10">
        <f t="shared" si="202"/>
        <v>1</v>
      </c>
    </row>
    <row r="294" spans="2:64">
      <c r="B294" t="str">
        <f t="shared" si="182"/>
        <v>Supercritical Coal with CCS</v>
      </c>
      <c r="H294" s="26">
        <v>1</v>
      </c>
      <c r="I294" s="10">
        <f t="shared" ref="I294:AG294" si="203">H294</f>
        <v>1</v>
      </c>
      <c r="J294" s="10">
        <f t="shared" si="203"/>
        <v>1</v>
      </c>
      <c r="K294" s="10">
        <f t="shared" si="203"/>
        <v>1</v>
      </c>
      <c r="L294" s="10">
        <f t="shared" si="203"/>
        <v>1</v>
      </c>
      <c r="M294" s="10">
        <f t="shared" si="203"/>
        <v>1</v>
      </c>
      <c r="N294" s="10">
        <f t="shared" si="203"/>
        <v>1</v>
      </c>
      <c r="O294" s="10">
        <f t="shared" si="203"/>
        <v>1</v>
      </c>
      <c r="P294" s="10">
        <f t="shared" si="203"/>
        <v>1</v>
      </c>
      <c r="Q294" s="10">
        <f t="shared" si="203"/>
        <v>1</v>
      </c>
      <c r="R294" s="10">
        <f t="shared" si="203"/>
        <v>1</v>
      </c>
      <c r="S294" s="10">
        <f t="shared" si="203"/>
        <v>1</v>
      </c>
      <c r="T294" s="10">
        <f t="shared" si="203"/>
        <v>1</v>
      </c>
      <c r="U294" s="10">
        <f t="shared" si="203"/>
        <v>1</v>
      </c>
      <c r="V294" s="10">
        <f t="shared" si="203"/>
        <v>1</v>
      </c>
      <c r="W294" s="10">
        <f t="shared" si="203"/>
        <v>1</v>
      </c>
      <c r="X294" s="10">
        <f t="shared" si="203"/>
        <v>1</v>
      </c>
      <c r="Y294" s="10">
        <f t="shared" si="203"/>
        <v>1</v>
      </c>
      <c r="Z294" s="10">
        <f t="shared" si="203"/>
        <v>1</v>
      </c>
      <c r="AA294" s="10">
        <f t="shared" si="203"/>
        <v>1</v>
      </c>
      <c r="AB294" s="10">
        <f t="shared" si="203"/>
        <v>1</v>
      </c>
      <c r="AC294" s="10">
        <f t="shared" si="203"/>
        <v>1</v>
      </c>
      <c r="AD294" s="10">
        <f t="shared" si="203"/>
        <v>1</v>
      </c>
      <c r="AE294" s="10">
        <f t="shared" si="203"/>
        <v>1</v>
      </c>
      <c r="AF294" s="10">
        <f t="shared" si="203"/>
        <v>1</v>
      </c>
      <c r="AG294" s="10">
        <f t="shared" si="203"/>
        <v>1</v>
      </c>
    </row>
    <row r="295" spans="2:64">
      <c r="B295" t="str">
        <f t="shared" si="182"/>
        <v>Fluidised Bed Combustion Coal with CCS</v>
      </c>
      <c r="H295" s="26">
        <v>1</v>
      </c>
      <c r="I295" s="10">
        <f t="shared" ref="I295:AG295" si="204">H295</f>
        <v>1</v>
      </c>
      <c r="J295" s="10">
        <f t="shared" si="204"/>
        <v>1</v>
      </c>
      <c r="K295" s="10">
        <f t="shared" si="204"/>
        <v>1</v>
      </c>
      <c r="L295" s="10">
        <f t="shared" si="204"/>
        <v>1</v>
      </c>
      <c r="M295" s="10">
        <f t="shared" si="204"/>
        <v>1</v>
      </c>
      <c r="N295" s="10">
        <f t="shared" si="204"/>
        <v>1</v>
      </c>
      <c r="O295" s="10">
        <f t="shared" si="204"/>
        <v>1</v>
      </c>
      <c r="P295" s="10">
        <f t="shared" si="204"/>
        <v>1</v>
      </c>
      <c r="Q295" s="10">
        <f t="shared" si="204"/>
        <v>1</v>
      </c>
      <c r="R295" s="10">
        <f t="shared" si="204"/>
        <v>1</v>
      </c>
      <c r="S295" s="10">
        <f t="shared" si="204"/>
        <v>1</v>
      </c>
      <c r="T295" s="10">
        <f t="shared" si="204"/>
        <v>1</v>
      </c>
      <c r="U295" s="10">
        <f t="shared" si="204"/>
        <v>1</v>
      </c>
      <c r="V295" s="10">
        <f t="shared" si="204"/>
        <v>1</v>
      </c>
      <c r="W295" s="10">
        <f t="shared" si="204"/>
        <v>1</v>
      </c>
      <c r="X295" s="10">
        <f t="shared" si="204"/>
        <v>1</v>
      </c>
      <c r="Y295" s="10">
        <f t="shared" si="204"/>
        <v>1</v>
      </c>
      <c r="Z295" s="10">
        <f t="shared" si="204"/>
        <v>1</v>
      </c>
      <c r="AA295" s="10">
        <f t="shared" si="204"/>
        <v>1</v>
      </c>
      <c r="AB295" s="10">
        <f t="shared" si="204"/>
        <v>1</v>
      </c>
      <c r="AC295" s="10">
        <f t="shared" si="204"/>
        <v>1</v>
      </c>
      <c r="AD295" s="10">
        <f t="shared" si="204"/>
        <v>1</v>
      </c>
      <c r="AE295" s="10">
        <f t="shared" si="204"/>
        <v>1</v>
      </c>
      <c r="AF295" s="10">
        <f t="shared" si="204"/>
        <v>1</v>
      </c>
      <c r="AG295" s="10">
        <f t="shared" si="204"/>
        <v>1</v>
      </c>
    </row>
    <row r="296" spans="2:64">
      <c r="B296" t="str">
        <f t="shared" si="182"/>
        <v>Integrated Gasification Combined Cycle Coal with CCS</v>
      </c>
      <c r="H296" s="26">
        <v>1</v>
      </c>
      <c r="I296" s="10">
        <f t="shared" ref="I296:AG296" si="205">H296</f>
        <v>1</v>
      </c>
      <c r="J296" s="10">
        <f t="shared" si="205"/>
        <v>1</v>
      </c>
      <c r="K296" s="10">
        <f t="shared" si="205"/>
        <v>1</v>
      </c>
      <c r="L296" s="10">
        <f t="shared" si="205"/>
        <v>1</v>
      </c>
      <c r="M296" s="10">
        <f t="shared" si="205"/>
        <v>1</v>
      </c>
      <c r="N296" s="10">
        <f t="shared" si="205"/>
        <v>1</v>
      </c>
      <c r="O296" s="10">
        <f t="shared" si="205"/>
        <v>1</v>
      </c>
      <c r="P296" s="10">
        <f t="shared" si="205"/>
        <v>1</v>
      </c>
      <c r="Q296" s="10">
        <f t="shared" si="205"/>
        <v>1</v>
      </c>
      <c r="R296" s="10">
        <f t="shared" si="205"/>
        <v>1</v>
      </c>
      <c r="S296" s="10">
        <f t="shared" si="205"/>
        <v>1</v>
      </c>
      <c r="T296" s="10">
        <f t="shared" si="205"/>
        <v>1</v>
      </c>
      <c r="U296" s="10">
        <f t="shared" si="205"/>
        <v>1</v>
      </c>
      <c r="V296" s="10">
        <f t="shared" si="205"/>
        <v>1</v>
      </c>
      <c r="W296" s="10">
        <f t="shared" si="205"/>
        <v>1</v>
      </c>
      <c r="X296" s="10">
        <f t="shared" si="205"/>
        <v>1</v>
      </c>
      <c r="Y296" s="10">
        <f t="shared" si="205"/>
        <v>1</v>
      </c>
      <c r="Z296" s="10">
        <f t="shared" si="205"/>
        <v>1</v>
      </c>
      <c r="AA296" s="10">
        <f t="shared" si="205"/>
        <v>1</v>
      </c>
      <c r="AB296" s="10">
        <f t="shared" si="205"/>
        <v>1</v>
      </c>
      <c r="AC296" s="10">
        <f t="shared" si="205"/>
        <v>1</v>
      </c>
      <c r="AD296" s="10">
        <f t="shared" si="205"/>
        <v>1</v>
      </c>
      <c r="AE296" s="10">
        <f t="shared" si="205"/>
        <v>1</v>
      </c>
      <c r="AF296" s="10">
        <f t="shared" si="205"/>
        <v>1</v>
      </c>
      <c r="AG296" s="10">
        <f t="shared" si="205"/>
        <v>1</v>
      </c>
    </row>
    <row r="297" spans="2:64">
      <c r="B297" t="str">
        <f t="shared" si="182"/>
        <v>Micro hydro</v>
      </c>
      <c r="H297" s="26">
        <v>1</v>
      </c>
      <c r="I297" s="10">
        <f t="shared" ref="I297:AG297" si="206">H297</f>
        <v>1</v>
      </c>
      <c r="J297" s="10">
        <f t="shared" si="206"/>
        <v>1</v>
      </c>
      <c r="K297" s="10">
        <f t="shared" si="206"/>
        <v>1</v>
      </c>
      <c r="L297" s="10">
        <f t="shared" si="206"/>
        <v>1</v>
      </c>
      <c r="M297" s="10">
        <f t="shared" si="206"/>
        <v>1</v>
      </c>
      <c r="N297" s="10">
        <f t="shared" si="206"/>
        <v>1</v>
      </c>
      <c r="O297" s="10">
        <f t="shared" si="206"/>
        <v>1</v>
      </c>
      <c r="P297" s="10">
        <f t="shared" si="206"/>
        <v>1</v>
      </c>
      <c r="Q297" s="10">
        <f t="shared" si="206"/>
        <v>1</v>
      </c>
      <c r="R297" s="10">
        <f t="shared" si="206"/>
        <v>1</v>
      </c>
      <c r="S297" s="10">
        <f t="shared" si="206"/>
        <v>1</v>
      </c>
      <c r="T297" s="10">
        <f t="shared" si="206"/>
        <v>1</v>
      </c>
      <c r="U297" s="10">
        <f t="shared" si="206"/>
        <v>1</v>
      </c>
      <c r="V297" s="10">
        <f t="shared" si="206"/>
        <v>1</v>
      </c>
      <c r="W297" s="10">
        <f t="shared" si="206"/>
        <v>1</v>
      </c>
      <c r="X297" s="10">
        <f t="shared" si="206"/>
        <v>1</v>
      </c>
      <c r="Y297" s="10">
        <f t="shared" si="206"/>
        <v>1</v>
      </c>
      <c r="Z297" s="10">
        <f t="shared" si="206"/>
        <v>1</v>
      </c>
      <c r="AA297" s="10">
        <f t="shared" si="206"/>
        <v>1</v>
      </c>
      <c r="AB297" s="10">
        <f t="shared" si="206"/>
        <v>1</v>
      </c>
      <c r="AC297" s="10">
        <f t="shared" si="206"/>
        <v>1</v>
      </c>
      <c r="AD297" s="10">
        <f t="shared" si="206"/>
        <v>1</v>
      </c>
      <c r="AE297" s="10">
        <f t="shared" si="206"/>
        <v>1</v>
      </c>
      <c r="AF297" s="10">
        <f t="shared" si="206"/>
        <v>1</v>
      </c>
      <c r="AG297" s="10">
        <f t="shared" si="206"/>
        <v>1</v>
      </c>
    </row>
    <row r="298" spans="2:64">
      <c r="B298" t="str">
        <f t="shared" si="182"/>
        <v>not used</v>
      </c>
      <c r="H298" s="26" t="s">
        <v>213</v>
      </c>
      <c r="I298" s="10" t="str">
        <f t="shared" ref="I298:AG298" si="207">H298</f>
        <v xml:space="preserve"> -</v>
      </c>
      <c r="J298" s="10" t="str">
        <f t="shared" si="207"/>
        <v xml:space="preserve"> -</v>
      </c>
      <c r="K298" s="10" t="str">
        <f t="shared" si="207"/>
        <v xml:space="preserve"> -</v>
      </c>
      <c r="L298" s="10" t="str">
        <f t="shared" si="207"/>
        <v xml:space="preserve"> -</v>
      </c>
      <c r="M298" s="10" t="str">
        <f t="shared" si="207"/>
        <v xml:space="preserve"> -</v>
      </c>
      <c r="N298" s="10" t="str">
        <f t="shared" si="207"/>
        <v xml:space="preserve"> -</v>
      </c>
      <c r="O298" s="10" t="str">
        <f t="shared" si="207"/>
        <v xml:space="preserve"> -</v>
      </c>
      <c r="P298" s="10" t="str">
        <f t="shared" si="207"/>
        <v xml:space="preserve"> -</v>
      </c>
      <c r="Q298" s="10" t="str">
        <f t="shared" si="207"/>
        <v xml:space="preserve"> -</v>
      </c>
      <c r="R298" s="10" t="str">
        <f t="shared" si="207"/>
        <v xml:space="preserve"> -</v>
      </c>
      <c r="S298" s="10" t="str">
        <f t="shared" si="207"/>
        <v xml:space="preserve"> -</v>
      </c>
      <c r="T298" s="10" t="str">
        <f t="shared" si="207"/>
        <v xml:space="preserve"> -</v>
      </c>
      <c r="U298" s="10" t="str">
        <f t="shared" si="207"/>
        <v xml:space="preserve"> -</v>
      </c>
      <c r="V298" s="10" t="str">
        <f t="shared" si="207"/>
        <v xml:space="preserve"> -</v>
      </c>
      <c r="W298" s="10" t="str">
        <f t="shared" si="207"/>
        <v xml:space="preserve"> -</v>
      </c>
      <c r="X298" s="10" t="str">
        <f t="shared" si="207"/>
        <v xml:space="preserve"> -</v>
      </c>
      <c r="Y298" s="10" t="str">
        <f t="shared" si="207"/>
        <v xml:space="preserve"> -</v>
      </c>
      <c r="Z298" s="10" t="str">
        <f t="shared" si="207"/>
        <v xml:space="preserve"> -</v>
      </c>
      <c r="AA298" s="10" t="str">
        <f t="shared" si="207"/>
        <v xml:space="preserve"> -</v>
      </c>
      <c r="AB298" s="10" t="str">
        <f t="shared" si="207"/>
        <v xml:space="preserve"> -</v>
      </c>
      <c r="AC298" s="10" t="str">
        <f t="shared" si="207"/>
        <v xml:space="preserve"> -</v>
      </c>
      <c r="AD298" s="10" t="str">
        <f t="shared" si="207"/>
        <v xml:space="preserve"> -</v>
      </c>
      <c r="AE298" s="10" t="str">
        <f t="shared" si="207"/>
        <v xml:space="preserve"> -</v>
      </c>
      <c r="AF298" s="10" t="str">
        <f t="shared" si="207"/>
        <v xml:space="preserve"> -</v>
      </c>
      <c r="AG298" s="10" t="str">
        <f t="shared" si="207"/>
        <v xml:space="preserve"> -</v>
      </c>
    </row>
    <row r="299" spans="2:64">
      <c r="E299" s="26"/>
      <c r="F299" s="26"/>
      <c r="G299" s="26"/>
      <c r="H299" s="26"/>
      <c r="I299" s="26"/>
      <c r="J299" s="26"/>
      <c r="K299" s="26"/>
      <c r="L299" s="26"/>
      <c r="BA299" s="4"/>
      <c r="BL299" s="4"/>
    </row>
    <row r="304" spans="2:64">
      <c r="E304" s="26"/>
      <c r="F304" s="26"/>
      <c r="G304" s="26"/>
      <c r="H304" s="26"/>
      <c r="I304" s="26"/>
      <c r="J304" s="26"/>
      <c r="K304" s="26"/>
      <c r="L304" s="26"/>
      <c r="BA304" s="4"/>
      <c r="BL304" s="4"/>
    </row>
    <row r="305" spans="2:73">
      <c r="E305" s="26"/>
      <c r="F305" s="26"/>
      <c r="G305" s="26"/>
      <c r="H305" s="26"/>
      <c r="I305" s="26"/>
      <c r="J305" s="26"/>
      <c r="K305" s="26"/>
      <c r="L305" s="26"/>
      <c r="BA305" s="4"/>
      <c r="BL305" s="4"/>
    </row>
    <row r="306" spans="2:73">
      <c r="B306" s="4" t="s">
        <v>184</v>
      </c>
      <c r="AO306" t="s">
        <v>169</v>
      </c>
      <c r="AP306">
        <f t="shared" ref="AP306:AY306" si="208">discount_rate</f>
        <v>0.1</v>
      </c>
      <c r="AQ306">
        <f t="shared" si="208"/>
        <v>0.1</v>
      </c>
      <c r="AR306">
        <f t="shared" si="208"/>
        <v>0.1</v>
      </c>
      <c r="AS306">
        <f t="shared" si="208"/>
        <v>0.1</v>
      </c>
      <c r="AT306">
        <f t="shared" si="208"/>
        <v>0.1</v>
      </c>
      <c r="AU306">
        <f t="shared" si="208"/>
        <v>0.1</v>
      </c>
      <c r="AV306">
        <f t="shared" si="208"/>
        <v>0.1</v>
      </c>
      <c r="AW306">
        <f t="shared" si="208"/>
        <v>0.1</v>
      </c>
      <c r="AX306">
        <f t="shared" si="208"/>
        <v>0.1</v>
      </c>
      <c r="AY306">
        <f t="shared" si="208"/>
        <v>0.1</v>
      </c>
      <c r="BA306" s="4" t="s">
        <v>186</v>
      </c>
      <c r="BL306" s="4" t="s">
        <v>187</v>
      </c>
    </row>
    <row r="307" spans="2:73" ht="15">
      <c r="D307" s="17" t="s">
        <v>185</v>
      </c>
      <c r="R307" s="17" t="s">
        <v>170</v>
      </c>
      <c r="AG307" s="17" t="s">
        <v>171</v>
      </c>
      <c r="AS307" s="17" t="s">
        <v>172</v>
      </c>
      <c r="BA307">
        <v>10</v>
      </c>
      <c r="BB307">
        <v>9</v>
      </c>
      <c r="BC307">
        <v>8</v>
      </c>
      <c r="BD307">
        <v>7</v>
      </c>
      <c r="BE307">
        <v>6</v>
      </c>
      <c r="BF307">
        <v>5</v>
      </c>
      <c r="BG307">
        <v>4</v>
      </c>
      <c r="BH307">
        <v>3</v>
      </c>
      <c r="BI307">
        <v>2</v>
      </c>
      <c r="BJ307">
        <v>1</v>
      </c>
      <c r="BL307">
        <v>10</v>
      </c>
      <c r="BM307">
        <v>9</v>
      </c>
      <c r="BN307">
        <v>8</v>
      </c>
      <c r="BO307">
        <v>7</v>
      </c>
      <c r="BP307">
        <v>6</v>
      </c>
      <c r="BQ307">
        <v>5</v>
      </c>
      <c r="BR307">
        <v>4</v>
      </c>
      <c r="BS307">
        <v>3</v>
      </c>
      <c r="BT307">
        <v>2</v>
      </c>
      <c r="BU307">
        <v>1</v>
      </c>
    </row>
    <row r="308" spans="2:73" ht="15">
      <c r="B308" s="17" t="s">
        <v>14</v>
      </c>
      <c r="D308" s="17">
        <v>-9</v>
      </c>
      <c r="E308" s="17">
        <v>-8</v>
      </c>
      <c r="F308" s="17">
        <v>-7</v>
      </c>
      <c r="G308" s="17">
        <v>-6</v>
      </c>
      <c r="H308" s="17">
        <v>-5</v>
      </c>
      <c r="I308" s="17">
        <v>-4</v>
      </c>
      <c r="J308" s="17">
        <v>-3</v>
      </c>
      <c r="K308" s="17">
        <v>-2</v>
      </c>
      <c r="L308" s="17">
        <v>-1</v>
      </c>
      <c r="M308" s="17">
        <v>0</v>
      </c>
      <c r="O308" s="17" t="s">
        <v>5</v>
      </c>
      <c r="Q308" s="17">
        <f t="shared" ref="Q308:Z308" si="209">D308</f>
        <v>-9</v>
      </c>
      <c r="R308" s="17">
        <f t="shared" si="209"/>
        <v>-8</v>
      </c>
      <c r="S308" s="17">
        <f t="shared" si="209"/>
        <v>-7</v>
      </c>
      <c r="T308" s="17">
        <f t="shared" si="209"/>
        <v>-6</v>
      </c>
      <c r="U308" s="17">
        <f t="shared" si="209"/>
        <v>-5</v>
      </c>
      <c r="V308" s="17">
        <f t="shared" si="209"/>
        <v>-4</v>
      </c>
      <c r="W308" s="17">
        <f t="shared" si="209"/>
        <v>-3</v>
      </c>
      <c r="X308" s="17">
        <f t="shared" si="209"/>
        <v>-2</v>
      </c>
      <c r="Y308" s="17">
        <f t="shared" si="209"/>
        <v>-1</v>
      </c>
      <c r="Z308" s="17">
        <f t="shared" si="209"/>
        <v>0</v>
      </c>
      <c r="AB308" t="s">
        <v>173</v>
      </c>
      <c r="AC308" t="s">
        <v>174</v>
      </c>
      <c r="AE308" s="17">
        <f>Q308</f>
        <v>-9</v>
      </c>
      <c r="AF308" s="17">
        <f t="shared" ref="AF308:AN308" si="210">R308</f>
        <v>-8</v>
      </c>
      <c r="AG308" s="17">
        <f t="shared" si="210"/>
        <v>-7</v>
      </c>
      <c r="AH308" s="17">
        <f t="shared" si="210"/>
        <v>-6</v>
      </c>
      <c r="AI308" s="17">
        <f t="shared" si="210"/>
        <v>-5</v>
      </c>
      <c r="AJ308" s="17">
        <f t="shared" si="210"/>
        <v>-4</v>
      </c>
      <c r="AK308" s="17">
        <f t="shared" si="210"/>
        <v>-3</v>
      </c>
      <c r="AL308" s="17">
        <f t="shared" si="210"/>
        <v>-2</v>
      </c>
      <c r="AM308" s="17">
        <f t="shared" si="210"/>
        <v>-1</v>
      </c>
      <c r="AN308" s="17">
        <f t="shared" si="210"/>
        <v>0</v>
      </c>
      <c r="AP308" s="17">
        <f t="shared" ref="AP308:AY308" si="211">AE308</f>
        <v>-9</v>
      </c>
      <c r="AQ308" s="17">
        <f t="shared" si="211"/>
        <v>-8</v>
      </c>
      <c r="AR308" s="17">
        <f t="shared" si="211"/>
        <v>-7</v>
      </c>
      <c r="AS308" s="17">
        <f t="shared" si="211"/>
        <v>-6</v>
      </c>
      <c r="AT308" s="17">
        <f t="shared" si="211"/>
        <v>-5</v>
      </c>
      <c r="AU308" s="17">
        <f t="shared" si="211"/>
        <v>-4</v>
      </c>
      <c r="AV308" s="17">
        <f t="shared" si="211"/>
        <v>-3</v>
      </c>
      <c r="AW308" s="17">
        <f t="shared" si="211"/>
        <v>-2</v>
      </c>
      <c r="AX308" s="17">
        <f t="shared" si="211"/>
        <v>-1</v>
      </c>
      <c r="AY308" s="17">
        <f t="shared" si="211"/>
        <v>0</v>
      </c>
      <c r="BA308" s="4">
        <v>0</v>
      </c>
      <c r="BB308" s="4">
        <v>-1</v>
      </c>
      <c r="BC308" s="4">
        <v>-2</v>
      </c>
      <c r="BD308" s="4">
        <v>-3</v>
      </c>
      <c r="BE308" s="4">
        <v>-4</v>
      </c>
      <c r="BF308" s="4">
        <v>-5</v>
      </c>
      <c r="BG308" s="4">
        <v>-6</v>
      </c>
      <c r="BH308" s="4">
        <v>-7</v>
      </c>
      <c r="BI308" s="4">
        <v>-8</v>
      </c>
      <c r="BJ308" s="4">
        <v>-9</v>
      </c>
      <c r="BL308" s="4">
        <v>0</v>
      </c>
      <c r="BM308" s="4">
        <v>-1</v>
      </c>
      <c r="BN308" s="4">
        <v>-2</v>
      </c>
      <c r="BO308" s="4">
        <v>-3</v>
      </c>
      <c r="BP308" s="4">
        <v>-4</v>
      </c>
      <c r="BQ308" s="4">
        <v>-5</v>
      </c>
      <c r="BR308" s="4">
        <v>-6</v>
      </c>
      <c r="BS308" s="4">
        <v>-7</v>
      </c>
      <c r="BT308" s="4">
        <v>-8</v>
      </c>
      <c r="BU308" s="4">
        <v>-9</v>
      </c>
    </row>
    <row r="309" spans="2:73">
      <c r="B309" t="str">
        <f t="shared" ref="B309:B333" si="212">B38</f>
        <v>Combined Cycle Gas Turbine</v>
      </c>
      <c r="C309" t="s">
        <v>175</v>
      </c>
      <c r="D309" s="26">
        <v>0</v>
      </c>
      <c r="E309" s="26">
        <v>0</v>
      </c>
      <c r="F309" s="26">
        <v>0</v>
      </c>
      <c r="G309" s="26">
        <v>0</v>
      </c>
      <c r="H309" s="26">
        <v>0</v>
      </c>
      <c r="I309" s="26">
        <v>0.05</v>
      </c>
      <c r="J309" s="26">
        <v>0.05</v>
      </c>
      <c r="K309" s="26">
        <v>0.09</v>
      </c>
      <c r="L309" s="26">
        <v>0.40500000000000003</v>
      </c>
      <c r="M309" s="26">
        <v>0.40500000000000003</v>
      </c>
      <c r="O309" s="10">
        <f t="shared" ref="O309:O333" si="213">SUM(D309:M309)</f>
        <v>1</v>
      </c>
      <c r="Q309" s="26">
        <f t="shared" ref="Q309:Q333" si="214">D309/(1+discount_rate)^D$308</f>
        <v>0</v>
      </c>
      <c r="R309" s="26">
        <f t="shared" ref="R309:R333" si="215">E309/(1+discount_rate)^E$308</f>
        <v>0</v>
      </c>
      <c r="S309" s="26">
        <f t="shared" ref="S309:S333" si="216">F309/(1+discount_rate)^F$308</f>
        <v>0</v>
      </c>
      <c r="T309" s="26">
        <f t="shared" ref="T309:T333" si="217">G309/(1+discount_rate)^G$308</f>
        <v>0</v>
      </c>
      <c r="U309" s="26">
        <f t="shared" ref="U309:U333" si="218">H309/(1+discount_rate)^H$308</f>
        <v>0</v>
      </c>
      <c r="V309" s="26">
        <f t="shared" ref="V309:V333" si="219">I309/(1+discount_rate)^I$308</f>
        <v>7.320500000000002E-2</v>
      </c>
      <c r="W309" s="26">
        <f t="shared" ref="W309:W333" si="220">J309/(1+discount_rate)^J$308</f>
        <v>6.6550000000000026E-2</v>
      </c>
      <c r="X309" s="26">
        <f t="shared" ref="X309:X333" si="221">K309/(1+discount_rate)^K$308</f>
        <v>0.10890000000000001</v>
      </c>
      <c r="Y309" s="26">
        <f t="shared" ref="Y309:Y333" si="222">L309/(1+discount_rate)^L$308</f>
        <v>0.44550000000000006</v>
      </c>
      <c r="Z309" s="26">
        <f t="shared" ref="Z309:Z333" si="223">M309/(1+discount_rate)^M$308</f>
        <v>0.40500000000000003</v>
      </c>
      <c r="AB309" s="10">
        <f t="shared" ref="AB309:AB333" si="224">SUM(Q309:Z309)</f>
        <v>1.0991550000000001</v>
      </c>
      <c r="AC309" s="26">
        <f>1/AB309</f>
        <v>0.90978979306831143</v>
      </c>
      <c r="AE309" s="26">
        <f>$AC309*D309</f>
        <v>0</v>
      </c>
      <c r="AF309" s="26">
        <f t="shared" ref="AF309:AN309" si="225">$AC309*E309</f>
        <v>0</v>
      </c>
      <c r="AG309" s="26">
        <f t="shared" si="225"/>
        <v>0</v>
      </c>
      <c r="AH309" s="26">
        <f t="shared" si="225"/>
        <v>0</v>
      </c>
      <c r="AI309" s="26">
        <f t="shared" si="225"/>
        <v>0</v>
      </c>
      <c r="AJ309" s="26">
        <f t="shared" si="225"/>
        <v>4.5489489653415573E-2</v>
      </c>
      <c r="AK309" s="26">
        <f t="shared" si="225"/>
        <v>4.5489489653415573E-2</v>
      </c>
      <c r="AL309" s="26">
        <f t="shared" si="225"/>
        <v>8.1881081376148024E-2</v>
      </c>
      <c r="AM309" s="26">
        <f t="shared" si="225"/>
        <v>0.36846486619266616</v>
      </c>
      <c r="AN309" s="26">
        <f t="shared" si="225"/>
        <v>0.36846486619266616</v>
      </c>
      <c r="AP309" s="10">
        <f>AE309</f>
        <v>0</v>
      </c>
      <c r="AQ309" s="10">
        <f t="array" ref="AQ309">AF309+SUM($AP309:AP309*$AP$306:AP$306)</f>
        <v>0</v>
      </c>
      <c r="AR309" s="10">
        <f t="array" ref="AR309">AG309+SUM($AP309:AQ309*$AP$306:AQ$306)</f>
        <v>0</v>
      </c>
      <c r="AS309" s="10">
        <f t="array" ref="AS309">AH309+SUM($AP309:AR309*$AP$306:AR$306)</f>
        <v>0</v>
      </c>
      <c r="AT309" s="10">
        <f t="array" ref="AT309">AI309+SUM($AP309:AS309*$AP$306:AS$306)</f>
        <v>0</v>
      </c>
      <c r="AU309" s="10">
        <f t="array" ref="AU309">AJ309+SUM($AP309:AT309*$AP$306:AT$306)</f>
        <v>4.5489489653415573E-2</v>
      </c>
      <c r="AV309" s="10">
        <f t="array" ref="AV309">AK309+SUM($AP309:AU309*$AP$306:AU$306)</f>
        <v>5.0038438618757133E-2</v>
      </c>
      <c r="AW309" s="10">
        <f t="array" ref="AW309">AL309+SUM($AP309:AV309*$AP$306:AV$306)</f>
        <v>9.1433874203365295E-2</v>
      </c>
      <c r="AX309" s="10">
        <f t="array" ref="AX309">AM309+SUM($AP309:AW309*$AP$306:AW$306)</f>
        <v>0.38716104644021998</v>
      </c>
      <c r="AY309" s="10">
        <f t="array" ref="AY309">AN309+SUM($AP309:AX309*$AP$306:AX$306)</f>
        <v>0.42587715108424196</v>
      </c>
      <c r="BA309" s="10">
        <f t="shared" ref="BA309:BA333" si="226">INDEX($AE309:$AN309,1,BA$307)</f>
        <v>0.36846486619266616</v>
      </c>
      <c r="BB309" s="10">
        <f t="shared" ref="BB309:BJ324" si="227">INDEX($AE309:$AN309,1,BB$307)</f>
        <v>0.36846486619266616</v>
      </c>
      <c r="BC309" s="10">
        <f t="shared" si="227"/>
        <v>8.1881081376148024E-2</v>
      </c>
      <c r="BD309" s="10">
        <f t="shared" si="227"/>
        <v>4.5489489653415573E-2</v>
      </c>
      <c r="BE309" s="10">
        <f t="shared" si="227"/>
        <v>4.5489489653415573E-2</v>
      </c>
      <c r="BF309" s="10">
        <f t="shared" si="227"/>
        <v>0</v>
      </c>
      <c r="BG309" s="10">
        <f t="shared" si="227"/>
        <v>0</v>
      </c>
      <c r="BH309" s="10">
        <f t="shared" si="227"/>
        <v>0</v>
      </c>
      <c r="BI309" s="10">
        <f t="shared" si="227"/>
        <v>0</v>
      </c>
      <c r="BJ309" s="10">
        <f t="shared" si="227"/>
        <v>0</v>
      </c>
      <c r="BL309" s="10">
        <f t="shared" ref="BL309:BL333" si="228">INDEX($AP309:$AY309,1,BL$307)</f>
        <v>0.42587715108424196</v>
      </c>
      <c r="BM309" s="10">
        <f t="shared" ref="BM309:BU324" si="229">INDEX($AP309:$AY309,1,BM$307)</f>
        <v>0.38716104644021998</v>
      </c>
      <c r="BN309" s="10">
        <f t="shared" si="229"/>
        <v>9.1433874203365295E-2</v>
      </c>
      <c r="BO309" s="10">
        <f t="shared" si="229"/>
        <v>5.0038438618757133E-2</v>
      </c>
      <c r="BP309" s="10">
        <f t="shared" si="229"/>
        <v>4.5489489653415573E-2</v>
      </c>
      <c r="BQ309" s="10">
        <f t="shared" si="229"/>
        <v>0</v>
      </c>
      <c r="BR309" s="10">
        <f t="shared" si="229"/>
        <v>0</v>
      </c>
      <c r="BS309" s="10">
        <f t="shared" si="229"/>
        <v>0</v>
      </c>
      <c r="BT309" s="10">
        <f t="shared" si="229"/>
        <v>0</v>
      </c>
      <c r="BU309" s="10">
        <f t="shared" si="229"/>
        <v>0</v>
      </c>
    </row>
    <row r="310" spans="2:73">
      <c r="B310" t="str">
        <f t="shared" si="212"/>
        <v>Open-Cycle Gas Turbine diesel</v>
      </c>
      <c r="C310" t="s">
        <v>175</v>
      </c>
      <c r="D310" s="26">
        <v>0</v>
      </c>
      <c r="E310" s="26">
        <v>0</v>
      </c>
      <c r="F310" s="26">
        <v>0</v>
      </c>
      <c r="G310" s="26">
        <v>0</v>
      </c>
      <c r="H310" s="26">
        <v>0</v>
      </c>
      <c r="I310" s="26">
        <v>0</v>
      </c>
      <c r="J310" s="26">
        <v>0</v>
      </c>
      <c r="K310" s="26">
        <v>0.05</v>
      </c>
      <c r="L310" s="26">
        <v>0.2</v>
      </c>
      <c r="M310" s="26">
        <v>0.75</v>
      </c>
      <c r="O310" s="10">
        <f t="shared" si="213"/>
        <v>1</v>
      </c>
      <c r="Q310" s="26">
        <f t="shared" si="214"/>
        <v>0</v>
      </c>
      <c r="R310" s="26">
        <f t="shared" si="215"/>
        <v>0</v>
      </c>
      <c r="S310" s="26">
        <f t="shared" si="216"/>
        <v>0</v>
      </c>
      <c r="T310" s="26">
        <f t="shared" si="217"/>
        <v>0</v>
      </c>
      <c r="U310" s="26">
        <f t="shared" si="218"/>
        <v>0</v>
      </c>
      <c r="V310" s="26">
        <f t="shared" si="219"/>
        <v>0</v>
      </c>
      <c r="W310" s="26">
        <f t="shared" si="220"/>
        <v>0</v>
      </c>
      <c r="X310" s="26">
        <f t="shared" si="221"/>
        <v>6.0500000000000012E-2</v>
      </c>
      <c r="Y310" s="26">
        <f t="shared" si="222"/>
        <v>0.22000000000000003</v>
      </c>
      <c r="Z310" s="26">
        <f t="shared" si="223"/>
        <v>0.75</v>
      </c>
      <c r="AB310" s="10">
        <f t="shared" si="224"/>
        <v>1.0305</v>
      </c>
      <c r="AC310" s="26">
        <f t="shared" ref="AC310:AC333" si="230">1/AB310</f>
        <v>0.97040271712760795</v>
      </c>
      <c r="AE310" s="26">
        <f t="shared" ref="AE310:AE333" si="231">$AC310*D310</f>
        <v>0</v>
      </c>
      <c r="AF310" s="26">
        <f t="shared" ref="AF310:AF333" si="232">$AC310*E310</f>
        <v>0</v>
      </c>
      <c r="AG310" s="26">
        <f t="shared" ref="AG310:AG333" si="233">$AC310*F310</f>
        <v>0</v>
      </c>
      <c r="AH310" s="26">
        <f t="shared" ref="AH310:AH333" si="234">$AC310*G310</f>
        <v>0</v>
      </c>
      <c r="AI310" s="26">
        <f t="shared" ref="AI310:AI333" si="235">$AC310*H310</f>
        <v>0</v>
      </c>
      <c r="AJ310" s="26">
        <f t="shared" ref="AJ310:AJ333" si="236">$AC310*I310</f>
        <v>0</v>
      </c>
      <c r="AK310" s="26">
        <f t="shared" ref="AK310:AK333" si="237">$AC310*J310</f>
        <v>0</v>
      </c>
      <c r="AL310" s="26">
        <f t="shared" ref="AL310:AL333" si="238">$AC310*K310</f>
        <v>4.8520135856380403E-2</v>
      </c>
      <c r="AM310" s="26">
        <f t="shared" ref="AM310:AM333" si="239">$AC310*L310</f>
        <v>0.19408054342552161</v>
      </c>
      <c r="AN310" s="26">
        <f t="shared" ref="AN310:AN333" si="240">$AC310*M310</f>
        <v>0.72780203784570596</v>
      </c>
      <c r="AP310" s="10">
        <f t="shared" ref="AP310:AP333" si="241">AE310</f>
        <v>0</v>
      </c>
      <c r="AQ310" s="10">
        <f t="array" ref="AQ310">AF310+SUM($AP310:AP310*$AP$306:AP$306)</f>
        <v>0</v>
      </c>
      <c r="AR310" s="10">
        <f t="array" ref="AR310">AG310+SUM($AP310:AQ310*$AP$306:AQ$306)</f>
        <v>0</v>
      </c>
      <c r="AS310" s="10">
        <f t="array" ref="AS310">AH310+SUM($AP310:AR310*$AP$306:AR$306)</f>
        <v>0</v>
      </c>
      <c r="AT310" s="10">
        <f t="array" ref="AT310">AI310+SUM($AP310:AS310*$AP$306:AS$306)</f>
        <v>0</v>
      </c>
      <c r="AU310" s="10">
        <f t="array" ref="AU310">AJ310+SUM($AP310:AT310*$AP$306:AT$306)</f>
        <v>0</v>
      </c>
      <c r="AV310" s="10">
        <f t="array" ref="AV310">AK310+SUM($AP310:AU310*$AP$306:AU$306)</f>
        <v>0</v>
      </c>
      <c r="AW310" s="10">
        <f t="array" ref="AW310">AL310+SUM($AP310:AV310*$AP$306:AV$306)</f>
        <v>4.8520135856380403E-2</v>
      </c>
      <c r="AX310" s="10">
        <f t="array" ref="AX310">AM310+SUM($AP310:AW310*$AP$306:AW$306)</f>
        <v>0.19893255701115964</v>
      </c>
      <c r="AY310" s="10">
        <f t="array" ref="AY310">AN310+SUM($AP310:AX310*$AP$306:AX$306)</f>
        <v>0.75254730713245999</v>
      </c>
      <c r="BA310" s="10">
        <f t="shared" si="226"/>
        <v>0.72780203784570596</v>
      </c>
      <c r="BB310" s="10">
        <f t="shared" si="227"/>
        <v>0.19408054342552161</v>
      </c>
      <c r="BC310" s="10">
        <f t="shared" si="227"/>
        <v>4.8520135856380403E-2</v>
      </c>
      <c r="BD310" s="10">
        <f t="shared" si="227"/>
        <v>0</v>
      </c>
      <c r="BE310" s="10">
        <f t="shared" si="227"/>
        <v>0</v>
      </c>
      <c r="BF310" s="10">
        <f t="shared" si="227"/>
        <v>0</v>
      </c>
      <c r="BG310" s="10">
        <f t="shared" si="227"/>
        <v>0</v>
      </c>
      <c r="BH310" s="10">
        <f t="shared" si="227"/>
        <v>0</v>
      </c>
      <c r="BI310" s="10">
        <f t="shared" si="227"/>
        <v>0</v>
      </c>
      <c r="BJ310" s="10">
        <f t="shared" si="227"/>
        <v>0</v>
      </c>
      <c r="BL310" s="10">
        <f t="shared" si="228"/>
        <v>0.75254730713245999</v>
      </c>
      <c r="BM310" s="10">
        <f t="shared" si="229"/>
        <v>0.19893255701115964</v>
      </c>
      <c r="BN310" s="10">
        <f t="shared" si="229"/>
        <v>4.8520135856380403E-2</v>
      </c>
      <c r="BO310" s="10">
        <f t="shared" si="229"/>
        <v>0</v>
      </c>
      <c r="BP310" s="10">
        <f t="shared" si="229"/>
        <v>0</v>
      </c>
      <c r="BQ310" s="10">
        <f t="shared" si="229"/>
        <v>0</v>
      </c>
      <c r="BR310" s="10">
        <f t="shared" si="229"/>
        <v>0</v>
      </c>
      <c r="BS310" s="10">
        <f t="shared" si="229"/>
        <v>0</v>
      </c>
      <c r="BT310" s="10">
        <f t="shared" si="229"/>
        <v>0</v>
      </c>
      <c r="BU310" s="10">
        <f t="shared" si="229"/>
        <v>0</v>
      </c>
    </row>
    <row r="311" spans="2:73">
      <c r="B311" t="str">
        <f t="shared" si="212"/>
        <v>Open-Cycle Gas Turbine paraffin</v>
      </c>
      <c r="C311" t="s">
        <v>175</v>
      </c>
      <c r="D311" s="26">
        <v>0</v>
      </c>
      <c r="E311" s="26">
        <v>0</v>
      </c>
      <c r="F311" s="26">
        <v>0</v>
      </c>
      <c r="G311" s="26">
        <v>0</v>
      </c>
      <c r="H311" s="26">
        <v>0</v>
      </c>
      <c r="I311" s="26">
        <v>0</v>
      </c>
      <c r="J311" s="26">
        <v>0</v>
      </c>
      <c r="K311" s="26">
        <v>0.05</v>
      </c>
      <c r="L311" s="26">
        <v>0.2</v>
      </c>
      <c r="M311" s="26">
        <v>0.75</v>
      </c>
      <c r="O311" s="10">
        <f t="shared" si="213"/>
        <v>1</v>
      </c>
      <c r="Q311" s="26">
        <f t="shared" si="214"/>
        <v>0</v>
      </c>
      <c r="R311" s="26">
        <f t="shared" si="215"/>
        <v>0</v>
      </c>
      <c r="S311" s="26">
        <f t="shared" si="216"/>
        <v>0</v>
      </c>
      <c r="T311" s="26">
        <f t="shared" si="217"/>
        <v>0</v>
      </c>
      <c r="U311" s="26">
        <f t="shared" si="218"/>
        <v>0</v>
      </c>
      <c r="V311" s="26">
        <f t="shared" si="219"/>
        <v>0</v>
      </c>
      <c r="W311" s="26">
        <f t="shared" si="220"/>
        <v>0</v>
      </c>
      <c r="X311" s="26">
        <f t="shared" si="221"/>
        <v>6.0500000000000012E-2</v>
      </c>
      <c r="Y311" s="26">
        <f t="shared" si="222"/>
        <v>0.22000000000000003</v>
      </c>
      <c r="Z311" s="26">
        <f t="shared" si="223"/>
        <v>0.75</v>
      </c>
      <c r="AB311" s="10">
        <f t="shared" si="224"/>
        <v>1.0305</v>
      </c>
      <c r="AC311" s="26">
        <f t="shared" si="230"/>
        <v>0.97040271712760795</v>
      </c>
      <c r="AE311" s="26">
        <f t="shared" si="231"/>
        <v>0</v>
      </c>
      <c r="AF311" s="26">
        <f t="shared" si="232"/>
        <v>0</v>
      </c>
      <c r="AG311" s="26">
        <f t="shared" si="233"/>
        <v>0</v>
      </c>
      <c r="AH311" s="26">
        <f t="shared" si="234"/>
        <v>0</v>
      </c>
      <c r="AI311" s="26">
        <f t="shared" si="235"/>
        <v>0</v>
      </c>
      <c r="AJ311" s="26">
        <f t="shared" si="236"/>
        <v>0</v>
      </c>
      <c r="AK311" s="26">
        <f t="shared" si="237"/>
        <v>0</v>
      </c>
      <c r="AL311" s="26">
        <f t="shared" si="238"/>
        <v>4.8520135856380403E-2</v>
      </c>
      <c r="AM311" s="26">
        <f t="shared" si="239"/>
        <v>0.19408054342552161</v>
      </c>
      <c r="AN311" s="26">
        <f t="shared" si="240"/>
        <v>0.72780203784570596</v>
      </c>
      <c r="AP311" s="10">
        <f t="shared" si="241"/>
        <v>0</v>
      </c>
      <c r="AQ311" s="10">
        <f t="array" ref="AQ311">AF311+SUM($AP311:AP311*$AP$306:AP$306)</f>
        <v>0</v>
      </c>
      <c r="AR311" s="10">
        <f t="array" ref="AR311">AG311+SUM($AP311:AQ311*$AP$306:AQ$306)</f>
        <v>0</v>
      </c>
      <c r="AS311" s="10">
        <f t="array" ref="AS311">AH311+SUM($AP311:AR311*$AP$306:AR$306)</f>
        <v>0</v>
      </c>
      <c r="AT311" s="10">
        <f t="array" ref="AT311">AI311+SUM($AP311:AS311*$AP$306:AS$306)</f>
        <v>0</v>
      </c>
      <c r="AU311" s="10">
        <f t="array" ref="AU311">AJ311+SUM($AP311:AT311*$AP$306:AT$306)</f>
        <v>0</v>
      </c>
      <c r="AV311" s="10">
        <f t="array" ref="AV311">AK311+SUM($AP311:AU311*$AP$306:AU$306)</f>
        <v>0</v>
      </c>
      <c r="AW311" s="10">
        <f t="array" ref="AW311">AL311+SUM($AP311:AV311*$AP$306:AV$306)</f>
        <v>4.8520135856380403E-2</v>
      </c>
      <c r="AX311" s="10">
        <f t="array" ref="AX311">AM311+SUM($AP311:AW311*$AP$306:AW$306)</f>
        <v>0.19893255701115964</v>
      </c>
      <c r="AY311" s="10">
        <f t="array" ref="AY311">AN311+SUM($AP311:AX311*$AP$306:AX$306)</f>
        <v>0.75254730713245999</v>
      </c>
      <c r="BA311" s="10">
        <f t="shared" si="226"/>
        <v>0.72780203784570596</v>
      </c>
      <c r="BB311" s="10">
        <f t="shared" si="227"/>
        <v>0.19408054342552161</v>
      </c>
      <c r="BC311" s="10">
        <f t="shared" si="227"/>
        <v>4.8520135856380403E-2</v>
      </c>
      <c r="BD311" s="10">
        <f t="shared" si="227"/>
        <v>0</v>
      </c>
      <c r="BE311" s="10">
        <f t="shared" si="227"/>
        <v>0</v>
      </c>
      <c r="BF311" s="10">
        <f t="shared" si="227"/>
        <v>0</v>
      </c>
      <c r="BG311" s="10">
        <f t="shared" si="227"/>
        <v>0</v>
      </c>
      <c r="BH311" s="10">
        <f t="shared" si="227"/>
        <v>0</v>
      </c>
      <c r="BI311" s="10">
        <f t="shared" si="227"/>
        <v>0</v>
      </c>
      <c r="BJ311" s="10">
        <f t="shared" si="227"/>
        <v>0</v>
      </c>
      <c r="BL311" s="10">
        <f t="shared" si="228"/>
        <v>0.75254730713245999</v>
      </c>
      <c r="BM311" s="10">
        <f t="shared" si="229"/>
        <v>0.19893255701115964</v>
      </c>
      <c r="BN311" s="10">
        <f t="shared" si="229"/>
        <v>4.8520135856380403E-2</v>
      </c>
      <c r="BO311" s="10">
        <f t="shared" si="229"/>
        <v>0</v>
      </c>
      <c r="BP311" s="10">
        <f t="shared" si="229"/>
        <v>0</v>
      </c>
      <c r="BQ311" s="10">
        <f t="shared" si="229"/>
        <v>0</v>
      </c>
      <c r="BR311" s="10">
        <f t="shared" si="229"/>
        <v>0</v>
      </c>
      <c r="BS311" s="10">
        <f t="shared" si="229"/>
        <v>0</v>
      </c>
      <c r="BT311" s="10">
        <f t="shared" si="229"/>
        <v>0</v>
      </c>
      <c r="BU311" s="10">
        <f t="shared" si="229"/>
        <v>0</v>
      </c>
    </row>
    <row r="312" spans="2:73">
      <c r="B312" t="str">
        <f t="shared" si="212"/>
        <v>Supercritical Coal</v>
      </c>
      <c r="C312" t="s">
        <v>176</v>
      </c>
      <c r="D312" s="26">
        <v>0</v>
      </c>
      <c r="E312" s="26">
        <v>0</v>
      </c>
      <c r="F312" s="26">
        <v>0</v>
      </c>
      <c r="G312" s="26">
        <v>0</v>
      </c>
      <c r="H312" s="26">
        <v>0.05</v>
      </c>
      <c r="I312" s="26">
        <v>0.05</v>
      </c>
      <c r="J312" s="26">
        <v>1.8000000000000002E-2</v>
      </c>
      <c r="K312" s="26">
        <v>0.35100000000000003</v>
      </c>
      <c r="L312" s="26">
        <v>0.47700000000000004</v>
      </c>
      <c r="M312" s="26">
        <v>5.3999999999999992E-2</v>
      </c>
      <c r="O312" s="10">
        <f t="shared" si="213"/>
        <v>1</v>
      </c>
      <c r="Q312" s="26">
        <f t="shared" si="214"/>
        <v>0</v>
      </c>
      <c r="R312" s="26">
        <f t="shared" si="215"/>
        <v>0</v>
      </c>
      <c r="S312" s="26">
        <f t="shared" si="216"/>
        <v>0</v>
      </c>
      <c r="T312" s="26">
        <f t="shared" si="217"/>
        <v>0</v>
      </c>
      <c r="U312" s="26">
        <f t="shared" si="218"/>
        <v>8.0525500000000041E-2</v>
      </c>
      <c r="V312" s="26">
        <f t="shared" si="219"/>
        <v>7.320500000000002E-2</v>
      </c>
      <c r="W312" s="26">
        <f t="shared" si="220"/>
        <v>2.3958000000000011E-2</v>
      </c>
      <c r="X312" s="26">
        <f t="shared" si="221"/>
        <v>0.42471000000000009</v>
      </c>
      <c r="Y312" s="26">
        <f t="shared" si="222"/>
        <v>0.52470000000000006</v>
      </c>
      <c r="Z312" s="26">
        <f t="shared" si="223"/>
        <v>5.3999999999999992E-2</v>
      </c>
      <c r="AB312" s="10">
        <f t="shared" si="224"/>
        <v>1.1810985000000003</v>
      </c>
      <c r="AC312" s="26">
        <f t="shared" si="230"/>
        <v>0.84666943527571981</v>
      </c>
      <c r="AE312" s="26">
        <f t="shared" si="231"/>
        <v>0</v>
      </c>
      <c r="AF312" s="26">
        <f t="shared" si="232"/>
        <v>0</v>
      </c>
      <c r="AG312" s="26">
        <f t="shared" si="233"/>
        <v>0</v>
      </c>
      <c r="AH312" s="26">
        <f t="shared" si="234"/>
        <v>0</v>
      </c>
      <c r="AI312" s="26">
        <f t="shared" si="235"/>
        <v>4.233347176378599E-2</v>
      </c>
      <c r="AJ312" s="26">
        <f t="shared" si="236"/>
        <v>4.233347176378599E-2</v>
      </c>
      <c r="AK312" s="26">
        <f t="shared" si="237"/>
        <v>1.5240049834962958E-2</v>
      </c>
      <c r="AL312" s="26">
        <f t="shared" si="238"/>
        <v>0.29718097178177766</v>
      </c>
      <c r="AM312" s="26">
        <f t="shared" si="239"/>
        <v>0.40386132062651836</v>
      </c>
      <c r="AN312" s="26">
        <f t="shared" si="240"/>
        <v>4.5720149504888861E-2</v>
      </c>
      <c r="AP312" s="10">
        <f t="shared" si="241"/>
        <v>0</v>
      </c>
      <c r="AQ312" s="10">
        <f t="array" ref="AQ312">AF312+SUM($AP312:AP312*$AP$306:AP$306)</f>
        <v>0</v>
      </c>
      <c r="AR312" s="10">
        <f t="array" ref="AR312">AG312+SUM($AP312:AQ312*$AP$306:AQ$306)</f>
        <v>0</v>
      </c>
      <c r="AS312" s="10">
        <f t="array" ref="AS312">AH312+SUM($AP312:AR312*$AP$306:AR$306)</f>
        <v>0</v>
      </c>
      <c r="AT312" s="10">
        <f t="array" ref="AT312">AI312+SUM($AP312:AS312*$AP$306:AS$306)</f>
        <v>4.233347176378599E-2</v>
      </c>
      <c r="AU312" s="10">
        <f t="array" ref="AU312">AJ312+SUM($AP312:AT312*$AP$306:AT$306)</f>
        <v>4.6566818940164588E-2</v>
      </c>
      <c r="AV312" s="10">
        <f t="array" ref="AV312">AK312+SUM($AP312:AU312*$AP$306:AU$306)</f>
        <v>2.4130078905358017E-2</v>
      </c>
      <c r="AW312" s="10">
        <f t="array" ref="AW312">AL312+SUM($AP312:AV312*$AP$306:AV$306)</f>
        <v>0.30848400874270854</v>
      </c>
      <c r="AX312" s="10">
        <f t="array" ref="AX312">AM312+SUM($AP312:AW312*$AP$306:AW$306)</f>
        <v>0.44601275846172006</v>
      </c>
      <c r="AY312" s="10">
        <f t="array" ref="AY312">AN312+SUM($AP312:AX312*$AP$306:AX$306)</f>
        <v>0.13247286318626258</v>
      </c>
      <c r="BA312" s="10">
        <f t="shared" si="226"/>
        <v>4.5720149504888861E-2</v>
      </c>
      <c r="BB312" s="10">
        <f t="shared" si="227"/>
        <v>0.40386132062651836</v>
      </c>
      <c r="BC312" s="10">
        <f t="shared" si="227"/>
        <v>0.29718097178177766</v>
      </c>
      <c r="BD312" s="10">
        <f t="shared" si="227"/>
        <v>1.5240049834962958E-2</v>
      </c>
      <c r="BE312" s="10">
        <f t="shared" si="227"/>
        <v>4.233347176378599E-2</v>
      </c>
      <c r="BF312" s="10">
        <f t="shared" si="227"/>
        <v>4.233347176378599E-2</v>
      </c>
      <c r="BG312" s="10">
        <f t="shared" si="227"/>
        <v>0</v>
      </c>
      <c r="BH312" s="10">
        <f t="shared" si="227"/>
        <v>0</v>
      </c>
      <c r="BI312" s="10">
        <f t="shared" si="227"/>
        <v>0</v>
      </c>
      <c r="BJ312" s="10">
        <f t="shared" si="227"/>
        <v>0</v>
      </c>
      <c r="BL312" s="10">
        <f t="shared" si="228"/>
        <v>0.13247286318626258</v>
      </c>
      <c r="BM312" s="10">
        <f t="shared" si="229"/>
        <v>0.44601275846172006</v>
      </c>
      <c r="BN312" s="10">
        <f t="shared" si="229"/>
        <v>0.30848400874270854</v>
      </c>
      <c r="BO312" s="10">
        <f t="shared" si="229"/>
        <v>2.4130078905358017E-2</v>
      </c>
      <c r="BP312" s="10">
        <f t="shared" si="229"/>
        <v>4.6566818940164588E-2</v>
      </c>
      <c r="BQ312" s="10">
        <f t="shared" si="229"/>
        <v>4.233347176378599E-2</v>
      </c>
      <c r="BR312" s="10">
        <f t="shared" si="229"/>
        <v>0</v>
      </c>
      <c r="BS312" s="10">
        <f t="shared" si="229"/>
        <v>0</v>
      </c>
      <c r="BT312" s="10">
        <f t="shared" si="229"/>
        <v>0</v>
      </c>
      <c r="BU312" s="10">
        <f t="shared" si="229"/>
        <v>0</v>
      </c>
    </row>
    <row r="313" spans="2:73">
      <c r="B313" t="str">
        <f t="shared" si="212"/>
        <v>Fluidised Bed Combustion Coal</v>
      </c>
      <c r="C313" t="s">
        <v>176</v>
      </c>
      <c r="D313" s="26">
        <v>0</v>
      </c>
      <c r="E313" s="26">
        <v>0</v>
      </c>
      <c r="F313" s="26">
        <v>0</v>
      </c>
      <c r="G313" s="26">
        <v>0</v>
      </c>
      <c r="H313" s="26">
        <v>0.05</v>
      </c>
      <c r="I313" s="26">
        <v>0.05</v>
      </c>
      <c r="J313" s="26">
        <v>1.8000000000000002E-2</v>
      </c>
      <c r="K313" s="26">
        <v>0.35100000000000003</v>
      </c>
      <c r="L313" s="26">
        <v>0.47700000000000004</v>
      </c>
      <c r="M313" s="26">
        <v>5.3999999999999992E-2</v>
      </c>
      <c r="O313" s="10">
        <f t="shared" si="213"/>
        <v>1</v>
      </c>
      <c r="Q313" s="26">
        <f t="shared" si="214"/>
        <v>0</v>
      </c>
      <c r="R313" s="26">
        <f t="shared" si="215"/>
        <v>0</v>
      </c>
      <c r="S313" s="26">
        <f t="shared" si="216"/>
        <v>0</v>
      </c>
      <c r="T313" s="26">
        <f t="shared" si="217"/>
        <v>0</v>
      </c>
      <c r="U313" s="26">
        <f t="shared" si="218"/>
        <v>8.0525500000000041E-2</v>
      </c>
      <c r="V313" s="26">
        <f t="shared" si="219"/>
        <v>7.320500000000002E-2</v>
      </c>
      <c r="W313" s="26">
        <f t="shared" si="220"/>
        <v>2.3958000000000011E-2</v>
      </c>
      <c r="X313" s="26">
        <f t="shared" si="221"/>
        <v>0.42471000000000009</v>
      </c>
      <c r="Y313" s="26">
        <f t="shared" si="222"/>
        <v>0.52470000000000006</v>
      </c>
      <c r="Z313" s="26">
        <f t="shared" si="223"/>
        <v>5.3999999999999992E-2</v>
      </c>
      <c r="AB313" s="10">
        <f t="shared" si="224"/>
        <v>1.1810985000000003</v>
      </c>
      <c r="AC313" s="26">
        <f t="shared" si="230"/>
        <v>0.84666943527571981</v>
      </c>
      <c r="AE313" s="26">
        <f t="shared" si="231"/>
        <v>0</v>
      </c>
      <c r="AF313" s="26">
        <f t="shared" si="232"/>
        <v>0</v>
      </c>
      <c r="AG313" s="26">
        <f t="shared" si="233"/>
        <v>0</v>
      </c>
      <c r="AH313" s="26">
        <f t="shared" si="234"/>
        <v>0</v>
      </c>
      <c r="AI313" s="26">
        <f t="shared" si="235"/>
        <v>4.233347176378599E-2</v>
      </c>
      <c r="AJ313" s="26">
        <f t="shared" si="236"/>
        <v>4.233347176378599E-2</v>
      </c>
      <c r="AK313" s="26">
        <f t="shared" si="237"/>
        <v>1.5240049834962958E-2</v>
      </c>
      <c r="AL313" s="26">
        <f t="shared" si="238"/>
        <v>0.29718097178177766</v>
      </c>
      <c r="AM313" s="26">
        <f t="shared" si="239"/>
        <v>0.40386132062651836</v>
      </c>
      <c r="AN313" s="26">
        <f t="shared" si="240"/>
        <v>4.5720149504888861E-2</v>
      </c>
      <c r="AP313" s="10">
        <f t="shared" si="241"/>
        <v>0</v>
      </c>
      <c r="AQ313" s="10">
        <f t="array" ref="AQ313">AF313+SUM($AP313:AP313*$AP$306:AP$306)</f>
        <v>0</v>
      </c>
      <c r="AR313" s="10">
        <f t="array" ref="AR313">AG313+SUM($AP313:AQ313*$AP$306:AQ$306)</f>
        <v>0</v>
      </c>
      <c r="AS313" s="10">
        <f t="array" ref="AS313">AH313+SUM($AP313:AR313*$AP$306:AR$306)</f>
        <v>0</v>
      </c>
      <c r="AT313" s="10">
        <f t="array" ref="AT313">AI313+SUM($AP313:AS313*$AP$306:AS$306)</f>
        <v>4.233347176378599E-2</v>
      </c>
      <c r="AU313" s="10">
        <f t="array" ref="AU313">AJ313+SUM($AP313:AT313*$AP$306:AT$306)</f>
        <v>4.6566818940164588E-2</v>
      </c>
      <c r="AV313" s="10">
        <f t="array" ref="AV313">AK313+SUM($AP313:AU313*$AP$306:AU$306)</f>
        <v>2.4130078905358017E-2</v>
      </c>
      <c r="AW313" s="10">
        <f t="array" ref="AW313">AL313+SUM($AP313:AV313*$AP$306:AV$306)</f>
        <v>0.30848400874270854</v>
      </c>
      <c r="AX313" s="10">
        <f t="array" ref="AX313">AM313+SUM($AP313:AW313*$AP$306:AW$306)</f>
        <v>0.44601275846172006</v>
      </c>
      <c r="AY313" s="10">
        <f t="array" ref="AY313">AN313+SUM($AP313:AX313*$AP$306:AX$306)</f>
        <v>0.13247286318626258</v>
      </c>
      <c r="BA313" s="10">
        <f t="shared" si="226"/>
        <v>4.5720149504888861E-2</v>
      </c>
      <c r="BB313" s="10">
        <f t="shared" si="227"/>
        <v>0.40386132062651836</v>
      </c>
      <c r="BC313" s="10">
        <f t="shared" si="227"/>
        <v>0.29718097178177766</v>
      </c>
      <c r="BD313" s="10">
        <f t="shared" si="227"/>
        <v>1.5240049834962958E-2</v>
      </c>
      <c r="BE313" s="10">
        <f t="shared" si="227"/>
        <v>4.233347176378599E-2</v>
      </c>
      <c r="BF313" s="10">
        <f t="shared" si="227"/>
        <v>4.233347176378599E-2</v>
      </c>
      <c r="BG313" s="10">
        <f t="shared" si="227"/>
        <v>0</v>
      </c>
      <c r="BH313" s="10">
        <f t="shared" si="227"/>
        <v>0</v>
      </c>
      <c r="BI313" s="10">
        <f t="shared" si="227"/>
        <v>0</v>
      </c>
      <c r="BJ313" s="10">
        <f t="shared" si="227"/>
        <v>0</v>
      </c>
      <c r="BL313" s="10">
        <f t="shared" si="228"/>
        <v>0.13247286318626258</v>
      </c>
      <c r="BM313" s="10">
        <f t="shared" si="229"/>
        <v>0.44601275846172006</v>
      </c>
      <c r="BN313" s="10">
        <f t="shared" si="229"/>
        <v>0.30848400874270854</v>
      </c>
      <c r="BO313" s="10">
        <f t="shared" si="229"/>
        <v>2.4130078905358017E-2</v>
      </c>
      <c r="BP313" s="10">
        <f t="shared" si="229"/>
        <v>4.6566818940164588E-2</v>
      </c>
      <c r="BQ313" s="10">
        <f t="shared" si="229"/>
        <v>4.233347176378599E-2</v>
      </c>
      <c r="BR313" s="10">
        <f t="shared" si="229"/>
        <v>0</v>
      </c>
      <c r="BS313" s="10">
        <f t="shared" si="229"/>
        <v>0</v>
      </c>
      <c r="BT313" s="10">
        <f t="shared" si="229"/>
        <v>0</v>
      </c>
      <c r="BU313" s="10">
        <f t="shared" si="229"/>
        <v>0</v>
      </c>
    </row>
    <row r="314" spans="2:73">
      <c r="B314" t="str">
        <f t="shared" si="212"/>
        <v>Integrated Gasification Combined Cycle Coal</v>
      </c>
      <c r="C314" t="s">
        <v>177</v>
      </c>
      <c r="D314" s="26">
        <v>0</v>
      </c>
      <c r="E314" s="26">
        <v>0</v>
      </c>
      <c r="F314" s="26">
        <v>0</v>
      </c>
      <c r="G314" s="26">
        <v>0.05</v>
      </c>
      <c r="H314" s="26">
        <v>0.05</v>
      </c>
      <c r="I314" s="26">
        <v>4.4999999999999998E-2</v>
      </c>
      <c r="J314" s="26">
        <v>9.9000000000000005E-2</v>
      </c>
      <c r="K314" s="26">
        <v>0.18899999999999997</v>
      </c>
      <c r="L314" s="26">
        <v>0.252</v>
      </c>
      <c r="M314" s="26">
        <v>0.31499999999999995</v>
      </c>
      <c r="O314" s="10">
        <f t="shared" si="213"/>
        <v>1</v>
      </c>
      <c r="Q314" s="26">
        <f t="shared" si="214"/>
        <v>0</v>
      </c>
      <c r="R314" s="26">
        <f t="shared" si="215"/>
        <v>0</v>
      </c>
      <c r="S314" s="26">
        <f t="shared" si="216"/>
        <v>0</v>
      </c>
      <c r="T314" s="26">
        <f t="shared" si="217"/>
        <v>8.8578050000000033E-2</v>
      </c>
      <c r="U314" s="26">
        <f t="shared" si="218"/>
        <v>8.0525500000000041E-2</v>
      </c>
      <c r="V314" s="26">
        <f t="shared" si="219"/>
        <v>6.5884500000000012E-2</v>
      </c>
      <c r="W314" s="26">
        <f t="shared" si="220"/>
        <v>0.13176900000000005</v>
      </c>
      <c r="X314" s="26">
        <f t="shared" si="221"/>
        <v>0.22869</v>
      </c>
      <c r="Y314" s="26">
        <f t="shared" si="222"/>
        <v>0.2772</v>
      </c>
      <c r="Z314" s="26">
        <f t="shared" si="223"/>
        <v>0.31499999999999995</v>
      </c>
      <c r="AB314" s="10">
        <f t="shared" si="224"/>
        <v>1.1876470500000003</v>
      </c>
      <c r="AC314" s="26">
        <f t="shared" si="230"/>
        <v>0.84200099684497998</v>
      </c>
      <c r="AE314" s="26">
        <f t="shared" si="231"/>
        <v>0</v>
      </c>
      <c r="AF314" s="26">
        <f t="shared" si="232"/>
        <v>0</v>
      </c>
      <c r="AG314" s="26">
        <f t="shared" si="233"/>
        <v>0</v>
      </c>
      <c r="AH314" s="26">
        <f t="shared" si="234"/>
        <v>4.2100049842249E-2</v>
      </c>
      <c r="AI314" s="26">
        <f t="shared" si="235"/>
        <v>4.2100049842249E-2</v>
      </c>
      <c r="AJ314" s="26">
        <f t="shared" si="236"/>
        <v>3.7890044858024101E-2</v>
      </c>
      <c r="AK314" s="26">
        <f t="shared" si="237"/>
        <v>8.3358098687653023E-2</v>
      </c>
      <c r="AL314" s="26">
        <f t="shared" si="238"/>
        <v>0.1591381884037012</v>
      </c>
      <c r="AM314" s="26">
        <f t="shared" si="239"/>
        <v>0.21218425120493495</v>
      </c>
      <c r="AN314" s="26">
        <f t="shared" si="240"/>
        <v>0.26523031400616864</v>
      </c>
      <c r="AP314" s="10">
        <f t="shared" si="241"/>
        <v>0</v>
      </c>
      <c r="AQ314" s="10">
        <f t="array" ref="AQ314">AF314+SUM($AP314:AP314*$AP$306:AP$306)</f>
        <v>0</v>
      </c>
      <c r="AR314" s="10">
        <f t="array" ref="AR314">AG314+SUM($AP314:AQ314*$AP$306:AQ$306)</f>
        <v>0</v>
      </c>
      <c r="AS314" s="10">
        <f t="array" ref="AS314">AH314+SUM($AP314:AR314*$AP$306:AR$306)</f>
        <v>4.2100049842249E-2</v>
      </c>
      <c r="AT314" s="10">
        <f t="array" ref="AT314">AI314+SUM($AP314:AS314*$AP$306:AS$306)</f>
        <v>4.63100548264739E-2</v>
      </c>
      <c r="AU314" s="10">
        <f t="array" ref="AU314">AJ314+SUM($AP314:AT314*$AP$306:AT$306)</f>
        <v>4.6731055324896395E-2</v>
      </c>
      <c r="AV314" s="10">
        <f t="array" ref="AV314">AK314+SUM($AP314:AU314*$AP$306:AU$306)</f>
        <v>9.6872214687014957E-2</v>
      </c>
      <c r="AW314" s="10">
        <f t="array" ref="AW314">AL314+SUM($AP314:AV314*$AP$306:AV$306)</f>
        <v>0.18233952587176464</v>
      </c>
      <c r="AX314" s="10">
        <f t="array" ref="AX314">AM314+SUM($AP314:AW314*$AP$306:AW$306)</f>
        <v>0.25361954126017483</v>
      </c>
      <c r="AY314" s="10">
        <f t="array" ref="AY314">AN314+SUM($AP314:AX314*$AP$306:AX$306)</f>
        <v>0.33202755818742602</v>
      </c>
      <c r="BA314" s="10">
        <f t="shared" si="226"/>
        <v>0.26523031400616864</v>
      </c>
      <c r="BB314" s="10">
        <f t="shared" si="227"/>
        <v>0.21218425120493495</v>
      </c>
      <c r="BC314" s="10">
        <f t="shared" si="227"/>
        <v>0.1591381884037012</v>
      </c>
      <c r="BD314" s="10">
        <f t="shared" si="227"/>
        <v>8.3358098687653023E-2</v>
      </c>
      <c r="BE314" s="10">
        <f t="shared" si="227"/>
        <v>3.7890044858024101E-2</v>
      </c>
      <c r="BF314" s="10">
        <f t="shared" si="227"/>
        <v>4.2100049842249E-2</v>
      </c>
      <c r="BG314" s="10">
        <f t="shared" si="227"/>
        <v>4.2100049842249E-2</v>
      </c>
      <c r="BH314" s="10">
        <f t="shared" si="227"/>
        <v>0</v>
      </c>
      <c r="BI314" s="10">
        <f t="shared" si="227"/>
        <v>0</v>
      </c>
      <c r="BJ314" s="10">
        <f t="shared" si="227"/>
        <v>0</v>
      </c>
      <c r="BL314" s="10">
        <f t="shared" si="228"/>
        <v>0.33202755818742602</v>
      </c>
      <c r="BM314" s="10">
        <f t="shared" si="229"/>
        <v>0.25361954126017483</v>
      </c>
      <c r="BN314" s="10">
        <f t="shared" si="229"/>
        <v>0.18233952587176464</v>
      </c>
      <c r="BO314" s="10">
        <f t="shared" si="229"/>
        <v>9.6872214687014957E-2</v>
      </c>
      <c r="BP314" s="10">
        <f t="shared" si="229"/>
        <v>4.6731055324896395E-2</v>
      </c>
      <c r="BQ314" s="10">
        <f t="shared" si="229"/>
        <v>4.63100548264739E-2</v>
      </c>
      <c r="BR314" s="10">
        <f t="shared" si="229"/>
        <v>4.2100049842249E-2</v>
      </c>
      <c r="BS314" s="10">
        <f t="shared" si="229"/>
        <v>0</v>
      </c>
      <c r="BT314" s="10">
        <f t="shared" si="229"/>
        <v>0</v>
      </c>
      <c r="BU314" s="10">
        <f t="shared" si="229"/>
        <v>0</v>
      </c>
    </row>
    <row r="315" spans="2:73">
      <c r="B315" t="str">
        <f t="shared" si="212"/>
        <v>Nuclear Pressurised Water Reactor</v>
      </c>
      <c r="C315" t="s">
        <v>178</v>
      </c>
      <c r="D315" s="26">
        <v>0.05</v>
      </c>
      <c r="E315" s="26">
        <v>0.05</v>
      </c>
      <c r="F315" s="26">
        <v>0.05</v>
      </c>
      <c r="G315" s="26">
        <v>0.05</v>
      </c>
      <c r="H315" s="26">
        <v>0.08</v>
      </c>
      <c r="I315" s="26">
        <v>0.04</v>
      </c>
      <c r="J315" s="26">
        <v>6.4000000000000001E-2</v>
      </c>
      <c r="K315" s="26">
        <v>0.2</v>
      </c>
      <c r="L315" s="26">
        <v>0.2</v>
      </c>
      <c r="M315" s="26">
        <v>0.21600000000000003</v>
      </c>
      <c r="O315" s="10">
        <f t="shared" si="213"/>
        <v>1</v>
      </c>
      <c r="Q315" s="26">
        <f t="shared" si="214"/>
        <v>0.11789738455000008</v>
      </c>
      <c r="R315" s="26">
        <f t="shared" si="215"/>
        <v>0.10717944050000007</v>
      </c>
      <c r="S315" s="26">
        <f t="shared" si="216"/>
        <v>9.7435855000000057E-2</v>
      </c>
      <c r="T315" s="26">
        <f t="shared" si="217"/>
        <v>8.8578050000000033E-2</v>
      </c>
      <c r="U315" s="26">
        <f t="shared" si="218"/>
        <v>0.12884080000000006</v>
      </c>
      <c r="V315" s="26">
        <f t="shared" si="219"/>
        <v>5.8564000000000019E-2</v>
      </c>
      <c r="W315" s="26">
        <f t="shared" si="220"/>
        <v>8.5184000000000024E-2</v>
      </c>
      <c r="X315" s="26">
        <f t="shared" si="221"/>
        <v>0.24200000000000005</v>
      </c>
      <c r="Y315" s="26">
        <f t="shared" si="222"/>
        <v>0.22000000000000003</v>
      </c>
      <c r="Z315" s="26">
        <f t="shared" si="223"/>
        <v>0.21600000000000003</v>
      </c>
      <c r="AB315" s="10">
        <f t="shared" si="224"/>
        <v>1.3616795300500004</v>
      </c>
      <c r="AC315" s="26">
        <f t="shared" si="230"/>
        <v>0.73438718724315433</v>
      </c>
      <c r="AE315" s="26">
        <f t="shared" si="231"/>
        <v>3.6719359362157721E-2</v>
      </c>
      <c r="AF315" s="26">
        <f t="shared" si="232"/>
        <v>3.6719359362157721E-2</v>
      </c>
      <c r="AG315" s="26">
        <f t="shared" si="233"/>
        <v>3.6719359362157721E-2</v>
      </c>
      <c r="AH315" s="26">
        <f t="shared" si="234"/>
        <v>3.6719359362157721E-2</v>
      </c>
      <c r="AI315" s="26">
        <f t="shared" si="235"/>
        <v>5.875097497945235E-2</v>
      </c>
      <c r="AJ315" s="26">
        <f t="shared" si="236"/>
        <v>2.9375487489726175E-2</v>
      </c>
      <c r="AK315" s="26">
        <f t="shared" si="237"/>
        <v>4.7000779983561877E-2</v>
      </c>
      <c r="AL315" s="26">
        <f t="shared" si="238"/>
        <v>0.14687743744863088</v>
      </c>
      <c r="AM315" s="26">
        <f t="shared" si="239"/>
        <v>0.14687743744863088</v>
      </c>
      <c r="AN315" s="26">
        <f t="shared" si="240"/>
        <v>0.15862763244452135</v>
      </c>
      <c r="AP315" s="10">
        <f t="shared" si="241"/>
        <v>3.6719359362157721E-2</v>
      </c>
      <c r="AQ315" s="10">
        <f t="array" ref="AQ315">AF315+SUM($AP315:AP315*$AP$306:AP$306)</f>
        <v>4.0391295298373493E-2</v>
      </c>
      <c r="AR315" s="10">
        <f t="array" ref="AR315">AG315+SUM($AP315:AQ315*$AP$306:AQ$306)</f>
        <v>4.4430424828210843E-2</v>
      </c>
      <c r="AS315" s="10">
        <f t="array" ref="AS315">AH315+SUM($AP315:AR315*$AP$306:AR$306)</f>
        <v>4.8873467311031926E-2</v>
      </c>
      <c r="AT315" s="10">
        <f t="array" ref="AT315">AI315+SUM($AP315:AS315*$AP$306:AS$306)</f>
        <v>7.5792429659429755E-2</v>
      </c>
      <c r="AU315" s="10">
        <f t="array" ref="AU315">AJ315+SUM($AP315:AT315*$AP$306:AT$306)</f>
        <v>5.3996185135646552E-2</v>
      </c>
      <c r="AV315" s="10">
        <f t="array" ref="AV315">AK315+SUM($AP315:AU315*$AP$306:AU$306)</f>
        <v>7.7021096143046905E-2</v>
      </c>
      <c r="AW315" s="10">
        <f t="array" ref="AW315">AL315+SUM($AP315:AV315*$AP$306:AV$306)</f>
        <v>0.18459986322242061</v>
      </c>
      <c r="AX315" s="10">
        <f t="array" ref="AX315">AM315+SUM($AP315:AW315*$AP$306:AW$306)</f>
        <v>0.20305984954466266</v>
      </c>
      <c r="AY315" s="10">
        <f t="array" ref="AY315">AN315+SUM($AP315:AX315*$AP$306:AX$306)</f>
        <v>0.23511602949501942</v>
      </c>
      <c r="BA315" s="10">
        <f t="shared" si="226"/>
        <v>0.15862763244452135</v>
      </c>
      <c r="BB315" s="10">
        <f t="shared" si="227"/>
        <v>0.14687743744863088</v>
      </c>
      <c r="BC315" s="10">
        <f t="shared" si="227"/>
        <v>0.14687743744863088</v>
      </c>
      <c r="BD315" s="10">
        <f t="shared" si="227"/>
        <v>4.7000779983561877E-2</v>
      </c>
      <c r="BE315" s="10">
        <f t="shared" si="227"/>
        <v>2.9375487489726175E-2</v>
      </c>
      <c r="BF315" s="10">
        <f t="shared" si="227"/>
        <v>5.875097497945235E-2</v>
      </c>
      <c r="BG315" s="10">
        <f t="shared" si="227"/>
        <v>3.6719359362157721E-2</v>
      </c>
      <c r="BH315" s="10">
        <f t="shared" si="227"/>
        <v>3.6719359362157721E-2</v>
      </c>
      <c r="BI315" s="10">
        <f t="shared" si="227"/>
        <v>3.6719359362157721E-2</v>
      </c>
      <c r="BJ315" s="10">
        <f t="shared" si="227"/>
        <v>3.6719359362157721E-2</v>
      </c>
      <c r="BL315" s="10">
        <f t="shared" si="228"/>
        <v>0.23511602949501942</v>
      </c>
      <c r="BM315" s="10">
        <f t="shared" si="229"/>
        <v>0.20305984954466266</v>
      </c>
      <c r="BN315" s="10">
        <f t="shared" si="229"/>
        <v>0.18459986322242061</v>
      </c>
      <c r="BO315" s="10">
        <f t="shared" si="229"/>
        <v>7.7021096143046905E-2</v>
      </c>
      <c r="BP315" s="10">
        <f t="shared" si="229"/>
        <v>5.3996185135646552E-2</v>
      </c>
      <c r="BQ315" s="10">
        <f t="shared" si="229"/>
        <v>7.5792429659429755E-2</v>
      </c>
      <c r="BR315" s="10">
        <f t="shared" si="229"/>
        <v>4.8873467311031926E-2</v>
      </c>
      <c r="BS315" s="10">
        <f t="shared" si="229"/>
        <v>4.4430424828210843E-2</v>
      </c>
      <c r="BT315" s="10">
        <f t="shared" si="229"/>
        <v>4.0391295298373493E-2</v>
      </c>
      <c r="BU315" s="10">
        <f t="shared" si="229"/>
        <v>3.6719359362157721E-2</v>
      </c>
    </row>
    <row r="316" spans="2:73">
      <c r="B316" t="str">
        <f t="shared" si="212"/>
        <v>Nuclear Pebble-Bed Modular Reactor</v>
      </c>
      <c r="C316" t="s">
        <v>179</v>
      </c>
      <c r="D316" s="26">
        <v>0</v>
      </c>
      <c r="E316" s="26">
        <v>0</v>
      </c>
      <c r="F316" s="26">
        <v>0.05</v>
      </c>
      <c r="G316" s="26">
        <v>0.05</v>
      </c>
      <c r="H316" s="26">
        <v>0.05</v>
      </c>
      <c r="I316" s="26">
        <v>0.05</v>
      </c>
      <c r="J316" s="26">
        <v>0.1</v>
      </c>
      <c r="K316" s="26">
        <v>0.25</v>
      </c>
      <c r="L316" s="26">
        <v>0.25</v>
      </c>
      <c r="M316" s="26">
        <v>0.2</v>
      </c>
      <c r="O316" s="10">
        <f t="shared" si="213"/>
        <v>1</v>
      </c>
      <c r="Q316" s="26">
        <f t="shared" si="214"/>
        <v>0</v>
      </c>
      <c r="R316" s="26">
        <f t="shared" si="215"/>
        <v>0</v>
      </c>
      <c r="S316" s="26">
        <f t="shared" si="216"/>
        <v>9.7435855000000057E-2</v>
      </c>
      <c r="T316" s="26">
        <f t="shared" si="217"/>
        <v>8.8578050000000033E-2</v>
      </c>
      <c r="U316" s="26">
        <f t="shared" si="218"/>
        <v>8.0525500000000041E-2</v>
      </c>
      <c r="V316" s="26">
        <f t="shared" si="219"/>
        <v>7.320500000000002E-2</v>
      </c>
      <c r="W316" s="26">
        <f t="shared" si="220"/>
        <v>0.13310000000000005</v>
      </c>
      <c r="X316" s="26">
        <f t="shared" si="221"/>
        <v>0.30250000000000005</v>
      </c>
      <c r="Y316" s="26">
        <f t="shared" si="222"/>
        <v>0.27500000000000002</v>
      </c>
      <c r="Z316" s="26">
        <f t="shared" si="223"/>
        <v>0.2</v>
      </c>
      <c r="AB316" s="10">
        <f t="shared" si="224"/>
        <v>1.2503444050000001</v>
      </c>
      <c r="AC316" s="26">
        <f t="shared" si="230"/>
        <v>0.79977964151405145</v>
      </c>
      <c r="AE316" s="26">
        <f t="shared" si="231"/>
        <v>0</v>
      </c>
      <c r="AF316" s="26">
        <f t="shared" si="232"/>
        <v>0</v>
      </c>
      <c r="AG316" s="26">
        <f t="shared" si="233"/>
        <v>3.9988982075702575E-2</v>
      </c>
      <c r="AH316" s="26">
        <f t="shared" si="234"/>
        <v>3.9988982075702575E-2</v>
      </c>
      <c r="AI316" s="26">
        <f t="shared" si="235"/>
        <v>3.9988982075702575E-2</v>
      </c>
      <c r="AJ316" s="26">
        <f t="shared" si="236"/>
        <v>3.9988982075702575E-2</v>
      </c>
      <c r="AK316" s="26">
        <f t="shared" si="237"/>
        <v>7.9977964151405151E-2</v>
      </c>
      <c r="AL316" s="26">
        <f t="shared" si="238"/>
        <v>0.19994491037851286</v>
      </c>
      <c r="AM316" s="26">
        <f t="shared" si="239"/>
        <v>0.19994491037851286</v>
      </c>
      <c r="AN316" s="26">
        <f t="shared" si="240"/>
        <v>0.1599559283028103</v>
      </c>
      <c r="AP316" s="10">
        <f t="shared" si="241"/>
        <v>0</v>
      </c>
      <c r="AQ316" s="10">
        <f t="array" ref="AQ316">AF316+SUM($AP316:AP316*$AP$306:AP$306)</f>
        <v>0</v>
      </c>
      <c r="AR316" s="10">
        <f t="array" ref="AR316">AG316+SUM($AP316:AQ316*$AP$306:AQ$306)</f>
        <v>3.9988982075702575E-2</v>
      </c>
      <c r="AS316" s="10">
        <f t="array" ref="AS316">AH316+SUM($AP316:AR316*$AP$306:AR$306)</f>
        <v>4.3987880283272836E-2</v>
      </c>
      <c r="AT316" s="10">
        <f t="array" ref="AT316">AI316+SUM($AP316:AS316*$AP$306:AS$306)</f>
        <v>4.8386668311600115E-2</v>
      </c>
      <c r="AU316" s="10">
        <f t="array" ref="AU316">AJ316+SUM($AP316:AT316*$AP$306:AT$306)</f>
        <v>5.3225335142760129E-2</v>
      </c>
      <c r="AV316" s="10">
        <f t="array" ref="AV316">AK316+SUM($AP316:AU316*$AP$306:AU$306)</f>
        <v>9.8536850732738712E-2</v>
      </c>
      <c r="AW316" s="10">
        <f t="array" ref="AW316">AL316+SUM($AP316:AV316*$AP$306:AV$306)</f>
        <v>0.22835748203312031</v>
      </c>
      <c r="AX316" s="10">
        <f t="array" ref="AX316">AM316+SUM($AP316:AW316*$AP$306:AW$306)</f>
        <v>0.25119323023643236</v>
      </c>
      <c r="AY316" s="10">
        <f t="array" ref="AY316">AN316+SUM($AP316:AX316*$AP$306:AX$306)</f>
        <v>0.23632357118437303</v>
      </c>
      <c r="BA316" s="10">
        <f t="shared" si="226"/>
        <v>0.1599559283028103</v>
      </c>
      <c r="BB316" s="10">
        <f t="shared" si="227"/>
        <v>0.19994491037851286</v>
      </c>
      <c r="BC316" s="10">
        <f t="shared" si="227"/>
        <v>0.19994491037851286</v>
      </c>
      <c r="BD316" s="10">
        <f t="shared" si="227"/>
        <v>7.9977964151405151E-2</v>
      </c>
      <c r="BE316" s="10">
        <f t="shared" si="227"/>
        <v>3.9988982075702575E-2</v>
      </c>
      <c r="BF316" s="10">
        <f t="shared" si="227"/>
        <v>3.9988982075702575E-2</v>
      </c>
      <c r="BG316" s="10">
        <f t="shared" si="227"/>
        <v>3.9988982075702575E-2</v>
      </c>
      <c r="BH316" s="10">
        <f t="shared" si="227"/>
        <v>3.9988982075702575E-2</v>
      </c>
      <c r="BI316" s="10">
        <f t="shared" si="227"/>
        <v>0</v>
      </c>
      <c r="BJ316" s="10">
        <f t="shared" si="227"/>
        <v>0</v>
      </c>
      <c r="BL316" s="10">
        <f t="shared" si="228"/>
        <v>0.23632357118437303</v>
      </c>
      <c r="BM316" s="10">
        <f t="shared" si="229"/>
        <v>0.25119323023643236</v>
      </c>
      <c r="BN316" s="10">
        <f t="shared" si="229"/>
        <v>0.22835748203312031</v>
      </c>
      <c r="BO316" s="10">
        <f t="shared" si="229"/>
        <v>9.8536850732738712E-2</v>
      </c>
      <c r="BP316" s="10">
        <f t="shared" si="229"/>
        <v>5.3225335142760129E-2</v>
      </c>
      <c r="BQ316" s="10">
        <f t="shared" si="229"/>
        <v>4.8386668311600115E-2</v>
      </c>
      <c r="BR316" s="10">
        <f t="shared" si="229"/>
        <v>4.3987880283272836E-2</v>
      </c>
      <c r="BS316" s="10">
        <f t="shared" si="229"/>
        <v>3.9988982075702575E-2</v>
      </c>
      <c r="BT316" s="10">
        <f t="shared" si="229"/>
        <v>0</v>
      </c>
      <c r="BU316" s="10">
        <f t="shared" si="229"/>
        <v>0</v>
      </c>
    </row>
    <row r="317" spans="2:73">
      <c r="B317" t="str">
        <f t="shared" si="212"/>
        <v>Wind</v>
      </c>
      <c r="C317" s="21" t="s">
        <v>180</v>
      </c>
      <c r="D317" s="61">
        <v>0</v>
      </c>
      <c r="E317" s="61">
        <v>0</v>
      </c>
      <c r="F317" s="61">
        <v>0</v>
      </c>
      <c r="G317" s="61">
        <v>0</v>
      </c>
      <c r="H317" s="61">
        <v>0</v>
      </c>
      <c r="I317" s="61">
        <v>0</v>
      </c>
      <c r="J317" s="61">
        <v>0</v>
      </c>
      <c r="K317" s="61">
        <v>0.05</v>
      </c>
      <c r="L317" s="61">
        <v>0.2</v>
      </c>
      <c r="M317" s="61">
        <v>0.75</v>
      </c>
      <c r="N317" s="21"/>
      <c r="O317" s="62">
        <f t="shared" si="213"/>
        <v>1</v>
      </c>
      <c r="P317" s="21"/>
      <c r="Q317" s="26">
        <f t="shared" si="214"/>
        <v>0</v>
      </c>
      <c r="R317" s="26">
        <f t="shared" si="215"/>
        <v>0</v>
      </c>
      <c r="S317" s="26">
        <f t="shared" si="216"/>
        <v>0</v>
      </c>
      <c r="T317" s="26">
        <f t="shared" si="217"/>
        <v>0</v>
      </c>
      <c r="U317" s="26">
        <f t="shared" si="218"/>
        <v>0</v>
      </c>
      <c r="V317" s="26">
        <f t="shared" si="219"/>
        <v>0</v>
      </c>
      <c r="W317" s="26">
        <f t="shared" si="220"/>
        <v>0</v>
      </c>
      <c r="X317" s="26">
        <f t="shared" si="221"/>
        <v>6.0500000000000012E-2</v>
      </c>
      <c r="Y317" s="26">
        <f t="shared" si="222"/>
        <v>0.22000000000000003</v>
      </c>
      <c r="Z317" s="26">
        <f t="shared" si="223"/>
        <v>0.75</v>
      </c>
      <c r="AA317" s="21"/>
      <c r="AB317" s="62">
        <f t="shared" si="224"/>
        <v>1.0305</v>
      </c>
      <c r="AC317" s="61">
        <f t="shared" si="230"/>
        <v>0.97040271712760795</v>
      </c>
      <c r="AD317" s="21"/>
      <c r="AE317" s="26">
        <f t="shared" si="231"/>
        <v>0</v>
      </c>
      <c r="AF317" s="26">
        <f t="shared" si="232"/>
        <v>0</v>
      </c>
      <c r="AG317" s="26">
        <f t="shared" si="233"/>
        <v>0</v>
      </c>
      <c r="AH317" s="26">
        <f t="shared" si="234"/>
        <v>0</v>
      </c>
      <c r="AI317" s="26">
        <f t="shared" si="235"/>
        <v>0</v>
      </c>
      <c r="AJ317" s="26">
        <f t="shared" si="236"/>
        <v>0</v>
      </c>
      <c r="AK317" s="26">
        <f t="shared" si="237"/>
        <v>0</v>
      </c>
      <c r="AL317" s="26">
        <f t="shared" si="238"/>
        <v>4.8520135856380403E-2</v>
      </c>
      <c r="AM317" s="26">
        <f t="shared" si="239"/>
        <v>0.19408054342552161</v>
      </c>
      <c r="AN317" s="26">
        <f t="shared" si="240"/>
        <v>0.72780203784570596</v>
      </c>
      <c r="AO317" s="21"/>
      <c r="AP317" s="10">
        <f t="shared" si="241"/>
        <v>0</v>
      </c>
      <c r="AQ317" s="10">
        <f t="array" ref="AQ317">AF317+SUM($AP317:AP317*$AP$306:AP$306)</f>
        <v>0</v>
      </c>
      <c r="AR317" s="10">
        <f t="array" ref="AR317">AG317+SUM($AP317:AQ317*$AP$306:AQ$306)</f>
        <v>0</v>
      </c>
      <c r="AS317" s="10">
        <f t="array" ref="AS317">AH317+SUM($AP317:AR317*$AP$306:AR$306)</f>
        <v>0</v>
      </c>
      <c r="AT317" s="10">
        <f t="array" ref="AT317">AI317+SUM($AP317:AS317*$AP$306:AS$306)</f>
        <v>0</v>
      </c>
      <c r="AU317" s="10">
        <f t="array" ref="AU317">AJ317+SUM($AP317:AT317*$AP$306:AT$306)</f>
        <v>0</v>
      </c>
      <c r="AV317" s="10">
        <f t="array" ref="AV317">AK317+SUM($AP317:AU317*$AP$306:AU$306)</f>
        <v>0</v>
      </c>
      <c r="AW317" s="10">
        <f t="array" ref="AW317">AL317+SUM($AP317:AV317*$AP$306:AV$306)</f>
        <v>4.8520135856380403E-2</v>
      </c>
      <c r="AX317" s="10">
        <f t="array" ref="AX317">AM317+SUM($AP317:AW317*$AP$306:AW$306)</f>
        <v>0.19893255701115964</v>
      </c>
      <c r="AY317" s="10">
        <f t="array" ref="AY317">AN317+SUM($AP317:AX317*$AP$306:AX$306)</f>
        <v>0.75254730713245999</v>
      </c>
      <c r="BA317" s="10">
        <f t="shared" si="226"/>
        <v>0.72780203784570596</v>
      </c>
      <c r="BB317" s="10">
        <f t="shared" si="227"/>
        <v>0.19408054342552161</v>
      </c>
      <c r="BC317" s="10">
        <f t="shared" si="227"/>
        <v>4.8520135856380403E-2</v>
      </c>
      <c r="BD317" s="10">
        <f t="shared" si="227"/>
        <v>0</v>
      </c>
      <c r="BE317" s="10">
        <f t="shared" si="227"/>
        <v>0</v>
      </c>
      <c r="BF317" s="10">
        <f t="shared" si="227"/>
        <v>0</v>
      </c>
      <c r="BG317" s="10">
        <f t="shared" si="227"/>
        <v>0</v>
      </c>
      <c r="BH317" s="10">
        <f t="shared" si="227"/>
        <v>0</v>
      </c>
      <c r="BI317" s="10">
        <f t="shared" si="227"/>
        <v>0</v>
      </c>
      <c r="BJ317" s="10">
        <f t="shared" si="227"/>
        <v>0</v>
      </c>
      <c r="BL317" s="10">
        <f t="shared" si="228"/>
        <v>0.75254730713245999</v>
      </c>
      <c r="BM317" s="10">
        <f t="shared" si="229"/>
        <v>0.19893255701115964</v>
      </c>
      <c r="BN317" s="10">
        <f t="shared" si="229"/>
        <v>4.8520135856380403E-2</v>
      </c>
      <c r="BO317" s="10">
        <f t="shared" si="229"/>
        <v>0</v>
      </c>
      <c r="BP317" s="10">
        <f t="shared" si="229"/>
        <v>0</v>
      </c>
      <c r="BQ317" s="10">
        <f t="shared" si="229"/>
        <v>0</v>
      </c>
      <c r="BR317" s="10">
        <f t="shared" si="229"/>
        <v>0</v>
      </c>
      <c r="BS317" s="10">
        <f t="shared" si="229"/>
        <v>0</v>
      </c>
      <c r="BT317" s="10">
        <f t="shared" si="229"/>
        <v>0</v>
      </c>
      <c r="BU317" s="10">
        <f t="shared" si="229"/>
        <v>0</v>
      </c>
    </row>
    <row r="318" spans="2:73">
      <c r="B318" t="str">
        <f t="shared" si="212"/>
        <v>Solar Photovoltaic</v>
      </c>
      <c r="D318" s="26">
        <v>0</v>
      </c>
      <c r="E318" s="26">
        <v>0</v>
      </c>
      <c r="F318" s="26">
        <v>0</v>
      </c>
      <c r="G318" s="26">
        <v>0</v>
      </c>
      <c r="H318" s="26">
        <v>0</v>
      </c>
      <c r="I318" s="26">
        <v>0</v>
      </c>
      <c r="J318" s="26">
        <v>0</v>
      </c>
      <c r="K318" s="26">
        <v>0</v>
      </c>
      <c r="L318" s="26">
        <v>0</v>
      </c>
      <c r="M318" s="26">
        <v>1</v>
      </c>
      <c r="O318" s="10">
        <f t="shared" si="213"/>
        <v>1</v>
      </c>
      <c r="Q318" s="26">
        <f t="shared" si="214"/>
        <v>0</v>
      </c>
      <c r="R318" s="26">
        <f t="shared" si="215"/>
        <v>0</v>
      </c>
      <c r="S318" s="26">
        <f t="shared" si="216"/>
        <v>0</v>
      </c>
      <c r="T318" s="26">
        <f t="shared" si="217"/>
        <v>0</v>
      </c>
      <c r="U318" s="26">
        <f t="shared" si="218"/>
        <v>0</v>
      </c>
      <c r="V318" s="26">
        <f t="shared" si="219"/>
        <v>0</v>
      </c>
      <c r="W318" s="26">
        <f t="shared" si="220"/>
        <v>0</v>
      </c>
      <c r="X318" s="26">
        <f t="shared" si="221"/>
        <v>0</v>
      </c>
      <c r="Y318" s="26">
        <f t="shared" si="222"/>
        <v>0</v>
      </c>
      <c r="Z318" s="26">
        <f t="shared" si="223"/>
        <v>1</v>
      </c>
      <c r="AB318" s="10">
        <f t="shared" si="224"/>
        <v>1</v>
      </c>
      <c r="AC318" s="26">
        <f t="shared" si="230"/>
        <v>1</v>
      </c>
      <c r="AE318" s="26">
        <f t="shared" si="231"/>
        <v>0</v>
      </c>
      <c r="AF318" s="26">
        <f t="shared" si="232"/>
        <v>0</v>
      </c>
      <c r="AG318" s="26">
        <f t="shared" si="233"/>
        <v>0</v>
      </c>
      <c r="AH318" s="26">
        <f t="shared" si="234"/>
        <v>0</v>
      </c>
      <c r="AI318" s="26">
        <f t="shared" si="235"/>
        <v>0</v>
      </c>
      <c r="AJ318" s="26">
        <f t="shared" si="236"/>
        <v>0</v>
      </c>
      <c r="AK318" s="26">
        <f t="shared" si="237"/>
        <v>0</v>
      </c>
      <c r="AL318" s="26">
        <f t="shared" si="238"/>
        <v>0</v>
      </c>
      <c r="AM318" s="26">
        <f t="shared" si="239"/>
        <v>0</v>
      </c>
      <c r="AN318" s="26">
        <f t="shared" si="240"/>
        <v>1</v>
      </c>
      <c r="AP318" s="10">
        <f t="shared" si="241"/>
        <v>0</v>
      </c>
      <c r="AQ318" s="10">
        <f t="array" ref="AQ318">AF318+SUM($AP318:AP318*$AP$306:AP$306)</f>
        <v>0</v>
      </c>
      <c r="AR318" s="10">
        <f t="array" ref="AR318">AG318+SUM($AP318:AQ318*$AP$306:AQ$306)</f>
        <v>0</v>
      </c>
      <c r="AS318" s="10">
        <f t="array" ref="AS318">AH318+SUM($AP318:AR318*$AP$306:AR$306)</f>
        <v>0</v>
      </c>
      <c r="AT318" s="10">
        <f t="array" ref="AT318">AI318+SUM($AP318:AS318*$AP$306:AS$306)</f>
        <v>0</v>
      </c>
      <c r="AU318" s="10">
        <f t="array" ref="AU318">AJ318+SUM($AP318:AT318*$AP$306:AT$306)</f>
        <v>0</v>
      </c>
      <c r="AV318" s="10">
        <f t="array" ref="AV318">AK318+SUM($AP318:AU318*$AP$306:AU$306)</f>
        <v>0</v>
      </c>
      <c r="AW318" s="10">
        <f t="array" ref="AW318">AL318+SUM($AP318:AV318*$AP$306:AV$306)</f>
        <v>0</v>
      </c>
      <c r="AX318" s="10">
        <f t="array" ref="AX318">AM318+SUM($AP318:AW318*$AP$306:AW$306)</f>
        <v>0</v>
      </c>
      <c r="AY318" s="10">
        <f t="array" ref="AY318">AN318+SUM($AP318:AX318*$AP$306:AX$306)</f>
        <v>1</v>
      </c>
      <c r="BA318" s="10">
        <f t="shared" si="226"/>
        <v>1</v>
      </c>
      <c r="BB318" s="10">
        <f t="shared" si="227"/>
        <v>0</v>
      </c>
      <c r="BC318" s="10">
        <f t="shared" si="227"/>
        <v>0</v>
      </c>
      <c r="BD318" s="10">
        <f t="shared" si="227"/>
        <v>0</v>
      </c>
      <c r="BE318" s="10">
        <f t="shared" si="227"/>
        <v>0</v>
      </c>
      <c r="BF318" s="10">
        <f t="shared" si="227"/>
        <v>0</v>
      </c>
      <c r="BG318" s="10">
        <f t="shared" si="227"/>
        <v>0</v>
      </c>
      <c r="BH318" s="10">
        <f t="shared" si="227"/>
        <v>0</v>
      </c>
      <c r="BI318" s="10">
        <f t="shared" si="227"/>
        <v>0</v>
      </c>
      <c r="BJ318" s="10">
        <f t="shared" si="227"/>
        <v>0</v>
      </c>
      <c r="BL318" s="10">
        <f t="shared" si="228"/>
        <v>1</v>
      </c>
      <c r="BM318" s="10">
        <f t="shared" si="229"/>
        <v>0</v>
      </c>
      <c r="BN318" s="10">
        <f t="shared" si="229"/>
        <v>0</v>
      </c>
      <c r="BO318" s="10">
        <f t="shared" si="229"/>
        <v>0</v>
      </c>
      <c r="BP318" s="10">
        <f t="shared" si="229"/>
        <v>0</v>
      </c>
      <c r="BQ318" s="10">
        <f t="shared" si="229"/>
        <v>0</v>
      </c>
      <c r="BR318" s="10">
        <f t="shared" si="229"/>
        <v>0</v>
      </c>
      <c r="BS318" s="10">
        <f t="shared" si="229"/>
        <v>0</v>
      </c>
      <c r="BT318" s="10">
        <f t="shared" si="229"/>
        <v>0</v>
      </c>
      <c r="BU318" s="10">
        <f t="shared" si="229"/>
        <v>0</v>
      </c>
    </row>
    <row r="319" spans="2:73">
      <c r="B319" t="str">
        <f t="shared" si="212"/>
        <v>Solar Parabolic Trough</v>
      </c>
      <c r="C319" t="s">
        <v>181</v>
      </c>
      <c r="D319" s="26">
        <v>0</v>
      </c>
      <c r="E319" s="26">
        <v>0</v>
      </c>
      <c r="F319" s="26">
        <v>0</v>
      </c>
      <c r="G319" s="26">
        <v>0</v>
      </c>
      <c r="H319" s="26">
        <v>0</v>
      </c>
      <c r="I319" s="26">
        <v>0.05</v>
      </c>
      <c r="J319" s="26">
        <v>0.05</v>
      </c>
      <c r="K319" s="26">
        <v>0.1</v>
      </c>
      <c r="L319" s="26">
        <v>0.2</v>
      </c>
      <c r="M319" s="26">
        <v>0.6</v>
      </c>
      <c r="O319" s="10">
        <f t="shared" si="213"/>
        <v>1</v>
      </c>
      <c r="Q319" s="26">
        <f t="shared" si="214"/>
        <v>0</v>
      </c>
      <c r="R319" s="26">
        <f t="shared" si="215"/>
        <v>0</v>
      </c>
      <c r="S319" s="26">
        <f t="shared" si="216"/>
        <v>0</v>
      </c>
      <c r="T319" s="26">
        <f t="shared" si="217"/>
        <v>0</v>
      </c>
      <c r="U319" s="26">
        <f t="shared" si="218"/>
        <v>0</v>
      </c>
      <c r="V319" s="26">
        <f t="shared" si="219"/>
        <v>7.320500000000002E-2</v>
      </c>
      <c r="W319" s="26">
        <f t="shared" si="220"/>
        <v>6.6550000000000026E-2</v>
      </c>
      <c r="X319" s="26">
        <f t="shared" si="221"/>
        <v>0.12100000000000002</v>
      </c>
      <c r="Y319" s="26">
        <f t="shared" si="222"/>
        <v>0.22000000000000003</v>
      </c>
      <c r="Z319" s="26">
        <f t="shared" si="223"/>
        <v>0.6</v>
      </c>
      <c r="AB319" s="10">
        <f t="shared" si="224"/>
        <v>1.0807550000000001</v>
      </c>
      <c r="AC319" s="26">
        <f t="shared" si="230"/>
        <v>0.9252790873047082</v>
      </c>
      <c r="AE319" s="26">
        <f t="shared" si="231"/>
        <v>0</v>
      </c>
      <c r="AF319" s="26">
        <f t="shared" si="232"/>
        <v>0</v>
      </c>
      <c r="AG319" s="26">
        <f t="shared" si="233"/>
        <v>0</v>
      </c>
      <c r="AH319" s="26">
        <f t="shared" si="234"/>
        <v>0</v>
      </c>
      <c r="AI319" s="26">
        <f t="shared" si="235"/>
        <v>0</v>
      </c>
      <c r="AJ319" s="26">
        <f t="shared" si="236"/>
        <v>4.6263954365235414E-2</v>
      </c>
      <c r="AK319" s="26">
        <f t="shared" si="237"/>
        <v>4.6263954365235414E-2</v>
      </c>
      <c r="AL319" s="26">
        <f t="shared" si="238"/>
        <v>9.2527908730470829E-2</v>
      </c>
      <c r="AM319" s="26">
        <f t="shared" si="239"/>
        <v>0.18505581746094166</v>
      </c>
      <c r="AN319" s="26">
        <f t="shared" si="240"/>
        <v>0.55516745238282494</v>
      </c>
      <c r="AP319" s="10">
        <f t="shared" si="241"/>
        <v>0</v>
      </c>
      <c r="AQ319" s="10">
        <f t="array" ref="AQ319">AF319+SUM($AP319:AP319*$AP$306:AP$306)</f>
        <v>0</v>
      </c>
      <c r="AR319" s="10">
        <f t="array" ref="AR319">AG319+SUM($AP319:AQ319*$AP$306:AQ$306)</f>
        <v>0</v>
      </c>
      <c r="AS319" s="10">
        <f t="array" ref="AS319">AH319+SUM($AP319:AR319*$AP$306:AR$306)</f>
        <v>0</v>
      </c>
      <c r="AT319" s="10">
        <f t="array" ref="AT319">AI319+SUM($AP319:AS319*$AP$306:AS$306)</f>
        <v>0</v>
      </c>
      <c r="AU319" s="10">
        <f t="array" ref="AU319">AJ319+SUM($AP319:AT319*$AP$306:AT$306)</f>
        <v>4.6263954365235414E-2</v>
      </c>
      <c r="AV319" s="10">
        <f t="array" ref="AV319">AK319+SUM($AP319:AU319*$AP$306:AU$306)</f>
        <v>5.0890349801758952E-2</v>
      </c>
      <c r="AW319" s="10">
        <f t="array" ref="AW319">AL319+SUM($AP319:AV319*$AP$306:AV$306)</f>
        <v>0.10224333914717026</v>
      </c>
      <c r="AX319" s="10">
        <f t="array" ref="AX319">AM319+SUM($AP319:AW319*$AP$306:AW$306)</f>
        <v>0.20499558179235811</v>
      </c>
      <c r="AY319" s="10">
        <f t="array" ref="AY319">AN319+SUM($AP319:AX319*$AP$306:AX$306)</f>
        <v>0.59560677489347724</v>
      </c>
      <c r="BA319" s="10">
        <f t="shared" si="226"/>
        <v>0.55516745238282494</v>
      </c>
      <c r="BB319" s="10">
        <f t="shared" si="227"/>
        <v>0.18505581746094166</v>
      </c>
      <c r="BC319" s="10">
        <f t="shared" si="227"/>
        <v>9.2527908730470829E-2</v>
      </c>
      <c r="BD319" s="10">
        <f t="shared" si="227"/>
        <v>4.6263954365235414E-2</v>
      </c>
      <c r="BE319" s="10">
        <f t="shared" si="227"/>
        <v>4.6263954365235414E-2</v>
      </c>
      <c r="BF319" s="10">
        <f t="shared" si="227"/>
        <v>0</v>
      </c>
      <c r="BG319" s="10">
        <f t="shared" si="227"/>
        <v>0</v>
      </c>
      <c r="BH319" s="10">
        <f t="shared" si="227"/>
        <v>0</v>
      </c>
      <c r="BI319" s="10">
        <f t="shared" si="227"/>
        <v>0</v>
      </c>
      <c r="BJ319" s="10">
        <f t="shared" si="227"/>
        <v>0</v>
      </c>
      <c r="BL319" s="10">
        <f t="shared" si="228"/>
        <v>0.59560677489347724</v>
      </c>
      <c r="BM319" s="10">
        <f t="shared" si="229"/>
        <v>0.20499558179235811</v>
      </c>
      <c r="BN319" s="10">
        <f t="shared" si="229"/>
        <v>0.10224333914717026</v>
      </c>
      <c r="BO319" s="10">
        <f t="shared" si="229"/>
        <v>5.0890349801758952E-2</v>
      </c>
      <c r="BP319" s="10">
        <f t="shared" si="229"/>
        <v>4.6263954365235414E-2</v>
      </c>
      <c r="BQ319" s="10">
        <f t="shared" si="229"/>
        <v>0</v>
      </c>
      <c r="BR319" s="10">
        <f t="shared" si="229"/>
        <v>0</v>
      </c>
      <c r="BS319" s="10">
        <f t="shared" si="229"/>
        <v>0</v>
      </c>
      <c r="BT319" s="10">
        <f t="shared" si="229"/>
        <v>0</v>
      </c>
      <c r="BU319" s="10">
        <f t="shared" si="229"/>
        <v>0</v>
      </c>
    </row>
    <row r="320" spans="2:73">
      <c r="B320" t="str">
        <f t="shared" si="212"/>
        <v>Solar Central Receiver</v>
      </c>
      <c r="C320" t="s">
        <v>181</v>
      </c>
      <c r="D320" s="26">
        <v>0</v>
      </c>
      <c r="E320" s="26">
        <v>0</v>
      </c>
      <c r="F320" s="26">
        <v>0</v>
      </c>
      <c r="G320" s="26">
        <v>0</v>
      </c>
      <c r="H320" s="26">
        <v>0</v>
      </c>
      <c r="I320" s="26">
        <v>0.05</v>
      </c>
      <c r="J320" s="26">
        <v>0.05</v>
      </c>
      <c r="K320" s="26">
        <v>0.1</v>
      </c>
      <c r="L320" s="26">
        <v>0.2</v>
      </c>
      <c r="M320" s="26">
        <v>0.6</v>
      </c>
      <c r="O320" s="10">
        <f t="shared" si="213"/>
        <v>1</v>
      </c>
      <c r="Q320" s="26">
        <f t="shared" si="214"/>
        <v>0</v>
      </c>
      <c r="R320" s="26">
        <f t="shared" si="215"/>
        <v>0</v>
      </c>
      <c r="S320" s="26">
        <f t="shared" si="216"/>
        <v>0</v>
      </c>
      <c r="T320" s="26">
        <f t="shared" si="217"/>
        <v>0</v>
      </c>
      <c r="U320" s="26">
        <f t="shared" si="218"/>
        <v>0</v>
      </c>
      <c r="V320" s="26">
        <f t="shared" si="219"/>
        <v>7.320500000000002E-2</v>
      </c>
      <c r="W320" s="26">
        <f t="shared" si="220"/>
        <v>6.6550000000000026E-2</v>
      </c>
      <c r="X320" s="26">
        <f t="shared" si="221"/>
        <v>0.12100000000000002</v>
      </c>
      <c r="Y320" s="26">
        <f t="shared" si="222"/>
        <v>0.22000000000000003</v>
      </c>
      <c r="Z320" s="26">
        <f t="shared" si="223"/>
        <v>0.6</v>
      </c>
      <c r="AB320" s="10">
        <f t="shared" si="224"/>
        <v>1.0807550000000001</v>
      </c>
      <c r="AC320" s="26">
        <f t="shared" si="230"/>
        <v>0.9252790873047082</v>
      </c>
      <c r="AE320" s="26">
        <f t="shared" si="231"/>
        <v>0</v>
      </c>
      <c r="AF320" s="26">
        <f t="shared" si="232"/>
        <v>0</v>
      </c>
      <c r="AG320" s="26">
        <f t="shared" si="233"/>
        <v>0</v>
      </c>
      <c r="AH320" s="26">
        <f t="shared" si="234"/>
        <v>0</v>
      </c>
      <c r="AI320" s="26">
        <f t="shared" si="235"/>
        <v>0</v>
      </c>
      <c r="AJ320" s="26">
        <f t="shared" si="236"/>
        <v>4.6263954365235414E-2</v>
      </c>
      <c r="AK320" s="26">
        <f t="shared" si="237"/>
        <v>4.6263954365235414E-2</v>
      </c>
      <c r="AL320" s="26">
        <f t="shared" si="238"/>
        <v>9.2527908730470829E-2</v>
      </c>
      <c r="AM320" s="26">
        <f t="shared" si="239"/>
        <v>0.18505581746094166</v>
      </c>
      <c r="AN320" s="26">
        <f t="shared" si="240"/>
        <v>0.55516745238282494</v>
      </c>
      <c r="AP320" s="10">
        <f t="shared" si="241"/>
        <v>0</v>
      </c>
      <c r="AQ320" s="10">
        <f t="array" ref="AQ320">AF320+SUM($AP320:AP320*$AP$306:AP$306)</f>
        <v>0</v>
      </c>
      <c r="AR320" s="10">
        <f t="array" ref="AR320">AG320+SUM($AP320:AQ320*$AP$306:AQ$306)</f>
        <v>0</v>
      </c>
      <c r="AS320" s="10">
        <f t="array" ref="AS320">AH320+SUM($AP320:AR320*$AP$306:AR$306)</f>
        <v>0</v>
      </c>
      <c r="AT320" s="10">
        <f t="array" ref="AT320">AI320+SUM($AP320:AS320*$AP$306:AS$306)</f>
        <v>0</v>
      </c>
      <c r="AU320" s="10">
        <f t="array" ref="AU320">AJ320+SUM($AP320:AT320*$AP$306:AT$306)</f>
        <v>4.6263954365235414E-2</v>
      </c>
      <c r="AV320" s="10">
        <f t="array" ref="AV320">AK320+SUM($AP320:AU320*$AP$306:AU$306)</f>
        <v>5.0890349801758952E-2</v>
      </c>
      <c r="AW320" s="10">
        <f t="array" ref="AW320">AL320+SUM($AP320:AV320*$AP$306:AV$306)</f>
        <v>0.10224333914717026</v>
      </c>
      <c r="AX320" s="10">
        <f t="array" ref="AX320">AM320+SUM($AP320:AW320*$AP$306:AW$306)</f>
        <v>0.20499558179235811</v>
      </c>
      <c r="AY320" s="10">
        <f t="array" ref="AY320">AN320+SUM($AP320:AX320*$AP$306:AX$306)</f>
        <v>0.59560677489347724</v>
      </c>
      <c r="BA320" s="10">
        <f t="shared" si="226"/>
        <v>0.55516745238282494</v>
      </c>
      <c r="BB320" s="10">
        <f t="shared" si="227"/>
        <v>0.18505581746094166</v>
      </c>
      <c r="BC320" s="10">
        <f t="shared" si="227"/>
        <v>9.2527908730470829E-2</v>
      </c>
      <c r="BD320" s="10">
        <f t="shared" si="227"/>
        <v>4.6263954365235414E-2</v>
      </c>
      <c r="BE320" s="10">
        <f t="shared" si="227"/>
        <v>4.6263954365235414E-2</v>
      </c>
      <c r="BF320" s="10">
        <f t="shared" si="227"/>
        <v>0</v>
      </c>
      <c r="BG320" s="10">
        <f t="shared" si="227"/>
        <v>0</v>
      </c>
      <c r="BH320" s="10">
        <f t="shared" si="227"/>
        <v>0</v>
      </c>
      <c r="BI320" s="10">
        <f t="shared" si="227"/>
        <v>0</v>
      </c>
      <c r="BJ320" s="10">
        <f t="shared" si="227"/>
        <v>0</v>
      </c>
      <c r="BL320" s="10">
        <f t="shared" si="228"/>
        <v>0.59560677489347724</v>
      </c>
      <c r="BM320" s="10">
        <f t="shared" si="229"/>
        <v>0.20499558179235811</v>
      </c>
      <c r="BN320" s="10">
        <f t="shared" si="229"/>
        <v>0.10224333914717026</v>
      </c>
      <c r="BO320" s="10">
        <f t="shared" si="229"/>
        <v>5.0890349801758952E-2</v>
      </c>
      <c r="BP320" s="10">
        <f t="shared" si="229"/>
        <v>4.6263954365235414E-2</v>
      </c>
      <c r="BQ320" s="10">
        <f t="shared" si="229"/>
        <v>0</v>
      </c>
      <c r="BR320" s="10">
        <f t="shared" si="229"/>
        <v>0</v>
      </c>
      <c r="BS320" s="10">
        <f t="shared" si="229"/>
        <v>0</v>
      </c>
      <c r="BT320" s="10">
        <f t="shared" si="229"/>
        <v>0</v>
      </c>
      <c r="BU320" s="10">
        <f t="shared" si="229"/>
        <v>0</v>
      </c>
    </row>
    <row r="321" spans="2:73">
      <c r="B321" t="str">
        <f t="shared" si="212"/>
        <v>Biomass</v>
      </c>
      <c r="D321" s="26">
        <v>0</v>
      </c>
      <c r="E321" s="26">
        <v>0</v>
      </c>
      <c r="F321" s="26">
        <v>0</v>
      </c>
      <c r="G321" s="26">
        <v>0</v>
      </c>
      <c r="H321" s="26">
        <v>0</v>
      </c>
      <c r="I321" s="26">
        <v>0</v>
      </c>
      <c r="J321" s="26">
        <v>0</v>
      </c>
      <c r="K321" s="26">
        <v>0</v>
      </c>
      <c r="L321" s="26">
        <v>0</v>
      </c>
      <c r="M321" s="26">
        <v>1</v>
      </c>
      <c r="O321" s="10">
        <f t="shared" si="213"/>
        <v>1</v>
      </c>
      <c r="Q321" s="26">
        <f t="shared" si="214"/>
        <v>0</v>
      </c>
      <c r="R321" s="26">
        <f t="shared" si="215"/>
        <v>0</v>
      </c>
      <c r="S321" s="26">
        <f t="shared" si="216"/>
        <v>0</v>
      </c>
      <c r="T321" s="26">
        <f t="shared" si="217"/>
        <v>0</v>
      </c>
      <c r="U321" s="26">
        <f t="shared" si="218"/>
        <v>0</v>
      </c>
      <c r="V321" s="26">
        <f t="shared" si="219"/>
        <v>0</v>
      </c>
      <c r="W321" s="26">
        <f t="shared" si="220"/>
        <v>0</v>
      </c>
      <c r="X321" s="26">
        <f t="shared" si="221"/>
        <v>0</v>
      </c>
      <c r="Y321" s="26">
        <f t="shared" si="222"/>
        <v>0</v>
      </c>
      <c r="Z321" s="26">
        <f t="shared" si="223"/>
        <v>1</v>
      </c>
      <c r="AB321" s="10">
        <f t="shared" si="224"/>
        <v>1</v>
      </c>
      <c r="AC321" s="26">
        <f t="shared" si="230"/>
        <v>1</v>
      </c>
      <c r="AE321" s="26">
        <f t="shared" si="231"/>
        <v>0</v>
      </c>
      <c r="AF321" s="26">
        <f t="shared" si="232"/>
        <v>0</v>
      </c>
      <c r="AG321" s="26">
        <f t="shared" si="233"/>
        <v>0</v>
      </c>
      <c r="AH321" s="26">
        <f t="shared" si="234"/>
        <v>0</v>
      </c>
      <c r="AI321" s="26">
        <f t="shared" si="235"/>
        <v>0</v>
      </c>
      <c r="AJ321" s="26">
        <f t="shared" si="236"/>
        <v>0</v>
      </c>
      <c r="AK321" s="26">
        <f t="shared" si="237"/>
        <v>0</v>
      </c>
      <c r="AL321" s="26">
        <f t="shared" si="238"/>
        <v>0</v>
      </c>
      <c r="AM321" s="26">
        <f t="shared" si="239"/>
        <v>0</v>
      </c>
      <c r="AN321" s="26">
        <f t="shared" si="240"/>
        <v>1</v>
      </c>
      <c r="AP321" s="10">
        <f t="shared" si="241"/>
        <v>0</v>
      </c>
      <c r="AQ321" s="10">
        <f t="array" ref="AQ321">AF321+SUM($AP321:AP321*$AP$306:AP$306)</f>
        <v>0</v>
      </c>
      <c r="AR321" s="10">
        <f t="array" ref="AR321">AG321+SUM($AP321:AQ321*$AP$306:AQ$306)</f>
        <v>0</v>
      </c>
      <c r="AS321" s="10">
        <f t="array" ref="AS321">AH321+SUM($AP321:AR321*$AP$306:AR$306)</f>
        <v>0</v>
      </c>
      <c r="AT321" s="10">
        <f t="array" ref="AT321">AI321+SUM($AP321:AS321*$AP$306:AS$306)</f>
        <v>0</v>
      </c>
      <c r="AU321" s="10">
        <f t="array" ref="AU321">AJ321+SUM($AP321:AT321*$AP$306:AT$306)</f>
        <v>0</v>
      </c>
      <c r="AV321" s="10">
        <f t="array" ref="AV321">AK321+SUM($AP321:AU321*$AP$306:AU$306)</f>
        <v>0</v>
      </c>
      <c r="AW321" s="10">
        <f t="array" ref="AW321">AL321+SUM($AP321:AV321*$AP$306:AV$306)</f>
        <v>0</v>
      </c>
      <c r="AX321" s="10">
        <f t="array" ref="AX321">AM321+SUM($AP321:AW321*$AP$306:AW$306)</f>
        <v>0</v>
      </c>
      <c r="AY321" s="10">
        <f t="array" ref="AY321">AN321+SUM($AP321:AX321*$AP$306:AX$306)</f>
        <v>1</v>
      </c>
      <c r="BA321" s="10">
        <f t="shared" si="226"/>
        <v>1</v>
      </c>
      <c r="BB321" s="10">
        <f t="shared" si="227"/>
        <v>0</v>
      </c>
      <c r="BC321" s="10">
        <f t="shared" si="227"/>
        <v>0</v>
      </c>
      <c r="BD321" s="10">
        <f t="shared" si="227"/>
        <v>0</v>
      </c>
      <c r="BE321" s="10">
        <f t="shared" si="227"/>
        <v>0</v>
      </c>
      <c r="BF321" s="10">
        <f t="shared" si="227"/>
        <v>0</v>
      </c>
      <c r="BG321" s="10">
        <f t="shared" si="227"/>
        <v>0</v>
      </c>
      <c r="BH321" s="10">
        <f t="shared" si="227"/>
        <v>0</v>
      </c>
      <c r="BI321" s="10">
        <f t="shared" si="227"/>
        <v>0</v>
      </c>
      <c r="BJ321" s="10">
        <f t="shared" si="227"/>
        <v>0</v>
      </c>
      <c r="BL321" s="10">
        <f t="shared" si="228"/>
        <v>1</v>
      </c>
      <c r="BM321" s="10">
        <f t="shared" si="229"/>
        <v>0</v>
      </c>
      <c r="BN321" s="10">
        <f t="shared" si="229"/>
        <v>0</v>
      </c>
      <c r="BO321" s="10">
        <f t="shared" si="229"/>
        <v>0</v>
      </c>
      <c r="BP321" s="10">
        <f t="shared" si="229"/>
        <v>0</v>
      </c>
      <c r="BQ321" s="10">
        <f t="shared" si="229"/>
        <v>0</v>
      </c>
      <c r="BR321" s="10">
        <f t="shared" si="229"/>
        <v>0</v>
      </c>
      <c r="BS321" s="10">
        <f t="shared" si="229"/>
        <v>0</v>
      </c>
      <c r="BT321" s="10">
        <f t="shared" si="229"/>
        <v>0</v>
      </c>
      <c r="BU321" s="10">
        <f t="shared" si="229"/>
        <v>0</v>
      </c>
    </row>
    <row r="322" spans="2:73">
      <c r="B322" t="str">
        <f t="shared" si="212"/>
        <v>Wave</v>
      </c>
      <c r="C322" t="s">
        <v>180</v>
      </c>
      <c r="D322" s="26">
        <v>0</v>
      </c>
      <c r="E322" s="26">
        <v>0</v>
      </c>
      <c r="F322" s="26">
        <v>0</v>
      </c>
      <c r="G322" s="26">
        <v>0</v>
      </c>
      <c r="H322" s="26">
        <v>0</v>
      </c>
      <c r="I322" s="26">
        <v>0</v>
      </c>
      <c r="J322" s="26">
        <v>0</v>
      </c>
      <c r="K322" s="26">
        <v>0.05</v>
      </c>
      <c r="L322" s="26">
        <v>0.2</v>
      </c>
      <c r="M322" s="26">
        <v>0.75</v>
      </c>
      <c r="O322" s="10">
        <f t="shared" si="213"/>
        <v>1</v>
      </c>
      <c r="Q322" s="26">
        <f t="shared" si="214"/>
        <v>0</v>
      </c>
      <c r="R322" s="26">
        <f t="shared" si="215"/>
        <v>0</v>
      </c>
      <c r="S322" s="26">
        <f t="shared" si="216"/>
        <v>0</v>
      </c>
      <c r="T322" s="26">
        <f t="shared" si="217"/>
        <v>0</v>
      </c>
      <c r="U322" s="26">
        <f t="shared" si="218"/>
        <v>0</v>
      </c>
      <c r="V322" s="26">
        <f t="shared" si="219"/>
        <v>0</v>
      </c>
      <c r="W322" s="26">
        <f t="shared" si="220"/>
        <v>0</v>
      </c>
      <c r="X322" s="26">
        <f t="shared" si="221"/>
        <v>6.0500000000000012E-2</v>
      </c>
      <c r="Y322" s="26">
        <f t="shared" si="222"/>
        <v>0.22000000000000003</v>
      </c>
      <c r="Z322" s="26">
        <f t="shared" si="223"/>
        <v>0.75</v>
      </c>
      <c r="AB322" s="10">
        <f t="shared" si="224"/>
        <v>1.0305</v>
      </c>
      <c r="AC322" s="26">
        <f t="shared" si="230"/>
        <v>0.97040271712760795</v>
      </c>
      <c r="AE322" s="26">
        <f t="shared" si="231"/>
        <v>0</v>
      </c>
      <c r="AF322" s="26">
        <f t="shared" si="232"/>
        <v>0</v>
      </c>
      <c r="AG322" s="26">
        <f t="shared" si="233"/>
        <v>0</v>
      </c>
      <c r="AH322" s="26">
        <f t="shared" si="234"/>
        <v>0</v>
      </c>
      <c r="AI322" s="26">
        <f t="shared" si="235"/>
        <v>0</v>
      </c>
      <c r="AJ322" s="26">
        <f t="shared" si="236"/>
        <v>0</v>
      </c>
      <c r="AK322" s="26">
        <f t="shared" si="237"/>
        <v>0</v>
      </c>
      <c r="AL322" s="26">
        <f t="shared" si="238"/>
        <v>4.8520135856380403E-2</v>
      </c>
      <c r="AM322" s="26">
        <f t="shared" si="239"/>
        <v>0.19408054342552161</v>
      </c>
      <c r="AN322" s="26">
        <f t="shared" si="240"/>
        <v>0.72780203784570596</v>
      </c>
      <c r="AP322" s="10">
        <f t="shared" si="241"/>
        <v>0</v>
      </c>
      <c r="AQ322" s="10">
        <f t="array" ref="AQ322">AF322+SUM($AP322:AP322*$AP$306:AP$306)</f>
        <v>0</v>
      </c>
      <c r="AR322" s="10">
        <f t="array" ref="AR322">AG322+SUM($AP322:AQ322*$AP$306:AQ$306)</f>
        <v>0</v>
      </c>
      <c r="AS322" s="10">
        <f t="array" ref="AS322">AH322+SUM($AP322:AR322*$AP$306:AR$306)</f>
        <v>0</v>
      </c>
      <c r="AT322" s="10">
        <f t="array" ref="AT322">AI322+SUM($AP322:AS322*$AP$306:AS$306)</f>
        <v>0</v>
      </c>
      <c r="AU322" s="10">
        <f t="array" ref="AU322">AJ322+SUM($AP322:AT322*$AP$306:AT$306)</f>
        <v>0</v>
      </c>
      <c r="AV322" s="10">
        <f t="array" ref="AV322">AK322+SUM($AP322:AU322*$AP$306:AU$306)</f>
        <v>0</v>
      </c>
      <c r="AW322" s="10">
        <f t="array" ref="AW322">AL322+SUM($AP322:AV322*$AP$306:AV$306)</f>
        <v>4.8520135856380403E-2</v>
      </c>
      <c r="AX322" s="10">
        <f t="array" ref="AX322">AM322+SUM($AP322:AW322*$AP$306:AW$306)</f>
        <v>0.19893255701115964</v>
      </c>
      <c r="AY322" s="10">
        <f t="array" ref="AY322">AN322+SUM($AP322:AX322*$AP$306:AX$306)</f>
        <v>0.75254730713245999</v>
      </c>
      <c r="BA322" s="10">
        <f t="shared" si="226"/>
        <v>0.72780203784570596</v>
      </c>
      <c r="BB322" s="10">
        <f t="shared" si="227"/>
        <v>0.19408054342552161</v>
      </c>
      <c r="BC322" s="10">
        <f t="shared" si="227"/>
        <v>4.8520135856380403E-2</v>
      </c>
      <c r="BD322" s="10">
        <f t="shared" si="227"/>
        <v>0</v>
      </c>
      <c r="BE322" s="10">
        <f t="shared" si="227"/>
        <v>0</v>
      </c>
      <c r="BF322" s="10">
        <f t="shared" si="227"/>
        <v>0</v>
      </c>
      <c r="BG322" s="10">
        <f t="shared" si="227"/>
        <v>0</v>
      </c>
      <c r="BH322" s="10">
        <f t="shared" si="227"/>
        <v>0</v>
      </c>
      <c r="BI322" s="10">
        <f t="shared" si="227"/>
        <v>0</v>
      </c>
      <c r="BJ322" s="10">
        <f t="shared" si="227"/>
        <v>0</v>
      </c>
      <c r="BL322" s="10">
        <f t="shared" si="228"/>
        <v>0.75254730713245999</v>
      </c>
      <c r="BM322" s="10">
        <f t="shared" si="229"/>
        <v>0.19893255701115964</v>
      </c>
      <c r="BN322" s="10">
        <f t="shared" si="229"/>
        <v>4.8520135856380403E-2</v>
      </c>
      <c r="BO322" s="10">
        <f t="shared" si="229"/>
        <v>0</v>
      </c>
      <c r="BP322" s="10">
        <f t="shared" si="229"/>
        <v>0</v>
      </c>
      <c r="BQ322" s="10">
        <f t="shared" si="229"/>
        <v>0</v>
      </c>
      <c r="BR322" s="10">
        <f t="shared" si="229"/>
        <v>0</v>
      </c>
      <c r="BS322" s="10">
        <f t="shared" si="229"/>
        <v>0</v>
      </c>
      <c r="BT322" s="10">
        <f t="shared" si="229"/>
        <v>0</v>
      </c>
      <c r="BU322" s="10">
        <f t="shared" si="229"/>
        <v>0</v>
      </c>
    </row>
    <row r="323" spans="2:73">
      <c r="B323" t="str">
        <f t="shared" si="212"/>
        <v>Existing coal large</v>
      </c>
      <c r="D323" s="26">
        <v>0</v>
      </c>
      <c r="E323" s="26">
        <v>0</v>
      </c>
      <c r="F323" s="26">
        <v>0</v>
      </c>
      <c r="G323" s="26">
        <v>0</v>
      </c>
      <c r="H323" s="26">
        <v>0</v>
      </c>
      <c r="I323" s="26">
        <v>0</v>
      </c>
      <c r="J323" s="26">
        <v>0</v>
      </c>
      <c r="K323" s="26">
        <v>0</v>
      </c>
      <c r="L323" s="26">
        <v>0</v>
      </c>
      <c r="M323" s="26">
        <v>1</v>
      </c>
      <c r="O323" s="10">
        <f t="shared" si="213"/>
        <v>1</v>
      </c>
      <c r="Q323" s="26">
        <f t="shared" si="214"/>
        <v>0</v>
      </c>
      <c r="R323" s="26">
        <f t="shared" si="215"/>
        <v>0</v>
      </c>
      <c r="S323" s="26">
        <f t="shared" si="216"/>
        <v>0</v>
      </c>
      <c r="T323" s="26">
        <f t="shared" si="217"/>
        <v>0</v>
      </c>
      <c r="U323" s="26">
        <f t="shared" si="218"/>
        <v>0</v>
      </c>
      <c r="V323" s="26">
        <f t="shared" si="219"/>
        <v>0</v>
      </c>
      <c r="W323" s="26">
        <f t="shared" si="220"/>
        <v>0</v>
      </c>
      <c r="X323" s="26">
        <f t="shared" si="221"/>
        <v>0</v>
      </c>
      <c r="Y323" s="26">
        <f t="shared" si="222"/>
        <v>0</v>
      </c>
      <c r="Z323" s="26">
        <f t="shared" si="223"/>
        <v>1</v>
      </c>
      <c r="AB323" s="10">
        <f t="shared" si="224"/>
        <v>1</v>
      </c>
      <c r="AC323" s="26">
        <f t="shared" si="230"/>
        <v>1</v>
      </c>
      <c r="AE323" s="26">
        <f t="shared" si="231"/>
        <v>0</v>
      </c>
      <c r="AF323" s="26">
        <f t="shared" si="232"/>
        <v>0</v>
      </c>
      <c r="AG323" s="26">
        <f t="shared" si="233"/>
        <v>0</v>
      </c>
      <c r="AH323" s="26">
        <f t="shared" si="234"/>
        <v>0</v>
      </c>
      <c r="AI323" s="26">
        <f t="shared" si="235"/>
        <v>0</v>
      </c>
      <c r="AJ323" s="26">
        <f t="shared" si="236"/>
        <v>0</v>
      </c>
      <c r="AK323" s="26">
        <f t="shared" si="237"/>
        <v>0</v>
      </c>
      <c r="AL323" s="26">
        <f t="shared" si="238"/>
        <v>0</v>
      </c>
      <c r="AM323" s="26">
        <f t="shared" si="239"/>
        <v>0</v>
      </c>
      <c r="AN323" s="26">
        <f t="shared" si="240"/>
        <v>1</v>
      </c>
      <c r="AP323" s="10">
        <f t="shared" si="241"/>
        <v>0</v>
      </c>
      <c r="AQ323" s="10">
        <f t="array" ref="AQ323">AF323+SUM($AP323:AP323*$AP$306:AP$306)</f>
        <v>0</v>
      </c>
      <c r="AR323" s="10">
        <f t="array" ref="AR323">AG323+SUM($AP323:AQ323*$AP$306:AQ$306)</f>
        <v>0</v>
      </c>
      <c r="AS323" s="10">
        <f t="array" ref="AS323">AH323+SUM($AP323:AR323*$AP$306:AR$306)</f>
        <v>0</v>
      </c>
      <c r="AT323" s="10">
        <f t="array" ref="AT323">AI323+SUM($AP323:AS323*$AP$306:AS$306)</f>
        <v>0</v>
      </c>
      <c r="AU323" s="10">
        <f t="array" ref="AU323">AJ323+SUM($AP323:AT323*$AP$306:AT$306)</f>
        <v>0</v>
      </c>
      <c r="AV323" s="10">
        <f t="array" ref="AV323">AK323+SUM($AP323:AU323*$AP$306:AU$306)</f>
        <v>0</v>
      </c>
      <c r="AW323" s="10">
        <f t="array" ref="AW323">AL323+SUM($AP323:AV323*$AP$306:AV$306)</f>
        <v>0</v>
      </c>
      <c r="AX323" s="10">
        <f t="array" ref="AX323">AM323+SUM($AP323:AW323*$AP$306:AW$306)</f>
        <v>0</v>
      </c>
      <c r="AY323" s="10">
        <f t="array" ref="AY323">AN323+SUM($AP323:AX323*$AP$306:AX$306)</f>
        <v>1</v>
      </c>
      <c r="BA323" s="10">
        <f t="shared" si="226"/>
        <v>1</v>
      </c>
      <c r="BB323" s="10">
        <f t="shared" si="227"/>
        <v>0</v>
      </c>
      <c r="BC323" s="10">
        <f t="shared" si="227"/>
        <v>0</v>
      </c>
      <c r="BD323" s="10">
        <f t="shared" si="227"/>
        <v>0</v>
      </c>
      <c r="BE323" s="10">
        <f t="shared" si="227"/>
        <v>0</v>
      </c>
      <c r="BF323" s="10">
        <f t="shared" si="227"/>
        <v>0</v>
      </c>
      <c r="BG323" s="10">
        <f t="shared" si="227"/>
        <v>0</v>
      </c>
      <c r="BH323" s="10">
        <f t="shared" si="227"/>
        <v>0</v>
      </c>
      <c r="BI323" s="10">
        <f t="shared" si="227"/>
        <v>0</v>
      </c>
      <c r="BJ323" s="10">
        <f t="shared" si="227"/>
        <v>0</v>
      </c>
      <c r="BL323" s="10">
        <f t="shared" si="228"/>
        <v>1</v>
      </c>
      <c r="BM323" s="10">
        <f t="shared" si="229"/>
        <v>0</v>
      </c>
      <c r="BN323" s="10">
        <f t="shared" si="229"/>
        <v>0</v>
      </c>
      <c r="BO323" s="10">
        <f t="shared" si="229"/>
        <v>0</v>
      </c>
      <c r="BP323" s="10">
        <f t="shared" si="229"/>
        <v>0</v>
      </c>
      <c r="BQ323" s="10">
        <f t="shared" si="229"/>
        <v>0</v>
      </c>
      <c r="BR323" s="10">
        <f t="shared" si="229"/>
        <v>0</v>
      </c>
      <c r="BS323" s="10">
        <f t="shared" si="229"/>
        <v>0</v>
      </c>
      <c r="BT323" s="10">
        <f t="shared" si="229"/>
        <v>0</v>
      </c>
      <c r="BU323" s="10">
        <f t="shared" si="229"/>
        <v>0</v>
      </c>
    </row>
    <row r="324" spans="2:73">
      <c r="B324" t="str">
        <f t="shared" si="212"/>
        <v>Existing coal small</v>
      </c>
      <c r="D324" s="26">
        <v>0</v>
      </c>
      <c r="E324" s="26">
        <v>0</v>
      </c>
      <c r="F324" s="26">
        <v>0</v>
      </c>
      <c r="G324" s="26">
        <v>0</v>
      </c>
      <c r="H324" s="26">
        <v>0</v>
      </c>
      <c r="I324" s="26">
        <v>0</v>
      </c>
      <c r="J324" s="26">
        <v>0</v>
      </c>
      <c r="K324" s="26">
        <v>0</v>
      </c>
      <c r="L324" s="26">
        <v>0</v>
      </c>
      <c r="M324" s="26">
        <v>1</v>
      </c>
      <c r="O324" s="10">
        <f t="shared" si="213"/>
        <v>1</v>
      </c>
      <c r="Q324" s="26">
        <f t="shared" si="214"/>
        <v>0</v>
      </c>
      <c r="R324" s="26">
        <f t="shared" si="215"/>
        <v>0</v>
      </c>
      <c r="S324" s="26">
        <f t="shared" si="216"/>
        <v>0</v>
      </c>
      <c r="T324" s="26">
        <f t="shared" si="217"/>
        <v>0</v>
      </c>
      <c r="U324" s="26">
        <f t="shared" si="218"/>
        <v>0</v>
      </c>
      <c r="V324" s="26">
        <f t="shared" si="219"/>
        <v>0</v>
      </c>
      <c r="W324" s="26">
        <f t="shared" si="220"/>
        <v>0</v>
      </c>
      <c r="X324" s="26">
        <f t="shared" si="221"/>
        <v>0</v>
      </c>
      <c r="Y324" s="26">
        <f t="shared" si="222"/>
        <v>0</v>
      </c>
      <c r="Z324" s="26">
        <f t="shared" si="223"/>
        <v>1</v>
      </c>
      <c r="AB324" s="10">
        <f t="shared" si="224"/>
        <v>1</v>
      </c>
      <c r="AC324" s="26">
        <f t="shared" si="230"/>
        <v>1</v>
      </c>
      <c r="AE324" s="26">
        <f t="shared" si="231"/>
        <v>0</v>
      </c>
      <c r="AF324" s="26">
        <f t="shared" si="232"/>
        <v>0</v>
      </c>
      <c r="AG324" s="26">
        <f t="shared" si="233"/>
        <v>0</v>
      </c>
      <c r="AH324" s="26">
        <f t="shared" si="234"/>
        <v>0</v>
      </c>
      <c r="AI324" s="26">
        <f t="shared" si="235"/>
        <v>0</v>
      </c>
      <c r="AJ324" s="26">
        <f t="shared" si="236"/>
        <v>0</v>
      </c>
      <c r="AK324" s="26">
        <f t="shared" si="237"/>
        <v>0</v>
      </c>
      <c r="AL324" s="26">
        <f t="shared" si="238"/>
        <v>0</v>
      </c>
      <c r="AM324" s="26">
        <f t="shared" si="239"/>
        <v>0</v>
      </c>
      <c r="AN324" s="26">
        <f t="shared" si="240"/>
        <v>1</v>
      </c>
      <c r="AP324" s="10">
        <f t="shared" si="241"/>
        <v>0</v>
      </c>
      <c r="AQ324" s="10">
        <f t="array" ref="AQ324">AF324+SUM($AP324:AP324*$AP$306:AP$306)</f>
        <v>0</v>
      </c>
      <c r="AR324" s="10">
        <f t="array" ref="AR324">AG324+SUM($AP324:AQ324*$AP$306:AQ$306)</f>
        <v>0</v>
      </c>
      <c r="AS324" s="10">
        <f t="array" ref="AS324">AH324+SUM($AP324:AR324*$AP$306:AR$306)</f>
        <v>0</v>
      </c>
      <c r="AT324" s="10">
        <f t="array" ref="AT324">AI324+SUM($AP324:AS324*$AP$306:AS$306)</f>
        <v>0</v>
      </c>
      <c r="AU324" s="10">
        <f t="array" ref="AU324">AJ324+SUM($AP324:AT324*$AP$306:AT$306)</f>
        <v>0</v>
      </c>
      <c r="AV324" s="10">
        <f t="array" ref="AV324">AK324+SUM($AP324:AU324*$AP$306:AU$306)</f>
        <v>0</v>
      </c>
      <c r="AW324" s="10">
        <f t="array" ref="AW324">AL324+SUM($AP324:AV324*$AP$306:AV$306)</f>
        <v>0</v>
      </c>
      <c r="AX324" s="10">
        <f t="array" ref="AX324">AM324+SUM($AP324:AW324*$AP$306:AW$306)</f>
        <v>0</v>
      </c>
      <c r="AY324" s="10">
        <f t="array" ref="AY324">AN324+SUM($AP324:AX324*$AP$306:AX$306)</f>
        <v>1</v>
      </c>
      <c r="BA324" s="10">
        <f t="shared" si="226"/>
        <v>1</v>
      </c>
      <c r="BB324" s="10">
        <f t="shared" si="227"/>
        <v>0</v>
      </c>
      <c r="BC324" s="10">
        <f t="shared" si="227"/>
        <v>0</v>
      </c>
      <c r="BD324" s="10">
        <f t="shared" si="227"/>
        <v>0</v>
      </c>
      <c r="BE324" s="10">
        <f t="shared" si="227"/>
        <v>0</v>
      </c>
      <c r="BF324" s="10">
        <f t="shared" si="227"/>
        <v>0</v>
      </c>
      <c r="BG324" s="10">
        <f t="shared" si="227"/>
        <v>0</v>
      </c>
      <c r="BH324" s="10">
        <f t="shared" si="227"/>
        <v>0</v>
      </c>
      <c r="BI324" s="10">
        <f t="shared" si="227"/>
        <v>0</v>
      </c>
      <c r="BJ324" s="10">
        <f t="shared" si="227"/>
        <v>0</v>
      </c>
      <c r="BL324" s="10">
        <f t="shared" si="228"/>
        <v>1</v>
      </c>
      <c r="BM324" s="10">
        <f t="shared" ref="BM324:BM333" si="242">INDEX($AP324:$AY324,1,BM$307)</f>
        <v>0</v>
      </c>
      <c r="BN324" s="10">
        <f t="shared" si="229"/>
        <v>0</v>
      </c>
      <c r="BO324" s="10">
        <f t="shared" si="229"/>
        <v>0</v>
      </c>
      <c r="BP324" s="10">
        <f t="shared" si="229"/>
        <v>0</v>
      </c>
      <c r="BQ324" s="10">
        <f t="shared" si="229"/>
        <v>0</v>
      </c>
      <c r="BR324" s="10">
        <f t="shared" si="229"/>
        <v>0</v>
      </c>
      <c r="BS324" s="10">
        <f t="shared" si="229"/>
        <v>0</v>
      </c>
      <c r="BT324" s="10">
        <f t="shared" si="229"/>
        <v>0</v>
      </c>
      <c r="BU324" s="10">
        <f t="shared" si="229"/>
        <v>0</v>
      </c>
    </row>
    <row r="325" spans="2:73">
      <c r="B325" t="str">
        <f t="shared" si="212"/>
        <v>Hydro existing</v>
      </c>
      <c r="D325" s="26">
        <v>0</v>
      </c>
      <c r="E325" s="26">
        <v>0</v>
      </c>
      <c r="F325" s="26">
        <v>0</v>
      </c>
      <c r="G325" s="26">
        <v>0</v>
      </c>
      <c r="H325" s="26">
        <v>0</v>
      </c>
      <c r="I325" s="26">
        <v>0</v>
      </c>
      <c r="J325" s="26">
        <v>0</v>
      </c>
      <c r="K325" s="26">
        <v>0</v>
      </c>
      <c r="L325" s="26">
        <v>0</v>
      </c>
      <c r="M325" s="26">
        <v>1</v>
      </c>
      <c r="O325" s="10">
        <f t="shared" si="213"/>
        <v>1</v>
      </c>
      <c r="Q325" s="26">
        <f t="shared" si="214"/>
        <v>0</v>
      </c>
      <c r="R325" s="26">
        <f t="shared" si="215"/>
        <v>0</v>
      </c>
      <c r="S325" s="26">
        <f t="shared" si="216"/>
        <v>0</v>
      </c>
      <c r="T325" s="26">
        <f t="shared" si="217"/>
        <v>0</v>
      </c>
      <c r="U325" s="26">
        <f t="shared" si="218"/>
        <v>0</v>
      </c>
      <c r="V325" s="26">
        <f t="shared" si="219"/>
        <v>0</v>
      </c>
      <c r="W325" s="26">
        <f t="shared" si="220"/>
        <v>0</v>
      </c>
      <c r="X325" s="26">
        <f t="shared" si="221"/>
        <v>0</v>
      </c>
      <c r="Y325" s="26">
        <f t="shared" si="222"/>
        <v>0</v>
      </c>
      <c r="Z325" s="26">
        <f t="shared" si="223"/>
        <v>1</v>
      </c>
      <c r="AB325" s="10">
        <f t="shared" si="224"/>
        <v>1</v>
      </c>
      <c r="AC325" s="26">
        <f t="shared" si="230"/>
        <v>1</v>
      </c>
      <c r="AE325" s="26">
        <f t="shared" si="231"/>
        <v>0</v>
      </c>
      <c r="AF325" s="26">
        <f t="shared" si="232"/>
        <v>0</v>
      </c>
      <c r="AG325" s="26">
        <f t="shared" si="233"/>
        <v>0</v>
      </c>
      <c r="AH325" s="26">
        <f t="shared" si="234"/>
        <v>0</v>
      </c>
      <c r="AI325" s="26">
        <f t="shared" si="235"/>
        <v>0</v>
      </c>
      <c r="AJ325" s="26">
        <f t="shared" si="236"/>
        <v>0</v>
      </c>
      <c r="AK325" s="26">
        <f t="shared" si="237"/>
        <v>0</v>
      </c>
      <c r="AL325" s="26">
        <f t="shared" si="238"/>
        <v>0</v>
      </c>
      <c r="AM325" s="26">
        <f t="shared" si="239"/>
        <v>0</v>
      </c>
      <c r="AN325" s="26">
        <f t="shared" si="240"/>
        <v>1</v>
      </c>
      <c r="AP325" s="10">
        <f t="shared" si="241"/>
        <v>0</v>
      </c>
      <c r="AQ325" s="10">
        <f t="array" ref="AQ325">AF325+SUM($AP325:AP325*$AP$306:AP$306)</f>
        <v>0</v>
      </c>
      <c r="AR325" s="10">
        <f t="array" ref="AR325">AG325+SUM($AP325:AQ325*$AP$306:AQ$306)</f>
        <v>0</v>
      </c>
      <c r="AS325" s="10">
        <f t="array" ref="AS325">AH325+SUM($AP325:AR325*$AP$306:AR$306)</f>
        <v>0</v>
      </c>
      <c r="AT325" s="10">
        <f t="array" ref="AT325">AI325+SUM($AP325:AS325*$AP$306:AS$306)</f>
        <v>0</v>
      </c>
      <c r="AU325" s="10">
        <f t="array" ref="AU325">AJ325+SUM($AP325:AT325*$AP$306:AT$306)</f>
        <v>0</v>
      </c>
      <c r="AV325" s="10">
        <f t="array" ref="AV325">AK325+SUM($AP325:AU325*$AP$306:AU$306)</f>
        <v>0</v>
      </c>
      <c r="AW325" s="10">
        <f t="array" ref="AW325">AL325+SUM($AP325:AV325*$AP$306:AV$306)</f>
        <v>0</v>
      </c>
      <c r="AX325" s="10">
        <f t="array" ref="AX325">AM325+SUM($AP325:AW325*$AP$306:AW$306)</f>
        <v>0</v>
      </c>
      <c r="AY325" s="10">
        <f t="array" ref="AY325">AN325+SUM($AP325:AX325*$AP$306:AX$306)</f>
        <v>1</v>
      </c>
      <c r="BA325" s="10">
        <f t="shared" si="226"/>
        <v>1</v>
      </c>
      <c r="BB325" s="10">
        <f t="shared" ref="BB325:BJ333" si="243">INDEX($AE325:$AN325,1,BB$307)</f>
        <v>0</v>
      </c>
      <c r="BC325" s="10">
        <f t="shared" si="243"/>
        <v>0</v>
      </c>
      <c r="BD325" s="10">
        <f t="shared" si="243"/>
        <v>0</v>
      </c>
      <c r="BE325" s="10">
        <f t="shared" si="243"/>
        <v>0</v>
      </c>
      <c r="BF325" s="10">
        <f t="shared" si="243"/>
        <v>0</v>
      </c>
      <c r="BG325" s="10">
        <f t="shared" si="243"/>
        <v>0</v>
      </c>
      <c r="BH325" s="10">
        <f t="shared" si="243"/>
        <v>0</v>
      </c>
      <c r="BI325" s="10">
        <f t="shared" si="243"/>
        <v>0</v>
      </c>
      <c r="BJ325" s="10">
        <f t="shared" si="243"/>
        <v>0</v>
      </c>
      <c r="BL325" s="10">
        <f t="shared" si="228"/>
        <v>1</v>
      </c>
      <c r="BM325" s="10">
        <f t="shared" si="242"/>
        <v>0</v>
      </c>
      <c r="BN325" s="10">
        <f t="shared" ref="BN325:BU333" si="244">INDEX($AP325:$AY325,1,BN$307)</f>
        <v>0</v>
      </c>
      <c r="BO325" s="10">
        <f t="shared" si="244"/>
        <v>0</v>
      </c>
      <c r="BP325" s="10">
        <f t="shared" si="244"/>
        <v>0</v>
      </c>
      <c r="BQ325" s="10">
        <f t="shared" si="244"/>
        <v>0</v>
      </c>
      <c r="BR325" s="10">
        <f t="shared" si="244"/>
        <v>0</v>
      </c>
      <c r="BS325" s="10">
        <f t="shared" si="244"/>
        <v>0</v>
      </c>
      <c r="BT325" s="10">
        <f t="shared" si="244"/>
        <v>0</v>
      </c>
      <c r="BU325" s="10">
        <f t="shared" si="244"/>
        <v>0</v>
      </c>
    </row>
    <row r="326" spans="2:73">
      <c r="B326" t="str">
        <f t="shared" si="212"/>
        <v>Landfill gas</v>
      </c>
      <c r="D326" s="26">
        <v>0</v>
      </c>
      <c r="E326" s="26">
        <v>0</v>
      </c>
      <c r="F326" s="26">
        <v>0</v>
      </c>
      <c r="G326" s="26">
        <v>0</v>
      </c>
      <c r="H326" s="26">
        <v>0</v>
      </c>
      <c r="I326" s="26">
        <v>0</v>
      </c>
      <c r="J326" s="26">
        <v>0</v>
      </c>
      <c r="K326" s="26">
        <v>0</v>
      </c>
      <c r="L326" s="26">
        <v>0</v>
      </c>
      <c r="M326" s="26">
        <v>1</v>
      </c>
      <c r="O326" s="10">
        <f t="shared" si="213"/>
        <v>1</v>
      </c>
      <c r="Q326" s="26">
        <f t="shared" si="214"/>
        <v>0</v>
      </c>
      <c r="R326" s="26">
        <f t="shared" si="215"/>
        <v>0</v>
      </c>
      <c r="S326" s="26">
        <f t="shared" si="216"/>
        <v>0</v>
      </c>
      <c r="T326" s="26">
        <f t="shared" si="217"/>
        <v>0</v>
      </c>
      <c r="U326" s="26">
        <f t="shared" si="218"/>
        <v>0</v>
      </c>
      <c r="V326" s="26">
        <f t="shared" si="219"/>
        <v>0</v>
      </c>
      <c r="W326" s="26">
        <f t="shared" si="220"/>
        <v>0</v>
      </c>
      <c r="X326" s="26">
        <f t="shared" si="221"/>
        <v>0</v>
      </c>
      <c r="Y326" s="26">
        <f t="shared" si="222"/>
        <v>0</v>
      </c>
      <c r="Z326" s="26">
        <f t="shared" si="223"/>
        <v>1</v>
      </c>
      <c r="AB326" s="10">
        <f t="shared" si="224"/>
        <v>1</v>
      </c>
      <c r="AC326" s="26">
        <f t="shared" si="230"/>
        <v>1</v>
      </c>
      <c r="AE326" s="26">
        <f t="shared" si="231"/>
        <v>0</v>
      </c>
      <c r="AF326" s="26">
        <f t="shared" si="232"/>
        <v>0</v>
      </c>
      <c r="AG326" s="26">
        <f t="shared" si="233"/>
        <v>0</v>
      </c>
      <c r="AH326" s="26">
        <f t="shared" si="234"/>
        <v>0</v>
      </c>
      <c r="AI326" s="26">
        <f t="shared" si="235"/>
        <v>0</v>
      </c>
      <c r="AJ326" s="26">
        <f t="shared" si="236"/>
        <v>0</v>
      </c>
      <c r="AK326" s="26">
        <f t="shared" si="237"/>
        <v>0</v>
      </c>
      <c r="AL326" s="26">
        <f t="shared" si="238"/>
        <v>0</v>
      </c>
      <c r="AM326" s="26">
        <f t="shared" si="239"/>
        <v>0</v>
      </c>
      <c r="AN326" s="26">
        <f t="shared" si="240"/>
        <v>1</v>
      </c>
      <c r="AP326" s="10">
        <f t="shared" si="241"/>
        <v>0</v>
      </c>
      <c r="AQ326" s="10">
        <f t="array" ref="AQ326">AF326+SUM($AP326:AP326*$AP$306:AP$306)</f>
        <v>0</v>
      </c>
      <c r="AR326" s="10">
        <f t="array" ref="AR326">AG326+SUM($AP326:AQ326*$AP$306:AQ$306)</f>
        <v>0</v>
      </c>
      <c r="AS326" s="10">
        <f t="array" ref="AS326">AH326+SUM($AP326:AR326*$AP$306:AR$306)</f>
        <v>0</v>
      </c>
      <c r="AT326" s="10">
        <f t="array" ref="AT326">AI326+SUM($AP326:AS326*$AP$306:AS$306)</f>
        <v>0</v>
      </c>
      <c r="AU326" s="10">
        <f t="array" ref="AU326">AJ326+SUM($AP326:AT326*$AP$306:AT$306)</f>
        <v>0</v>
      </c>
      <c r="AV326" s="10">
        <f t="array" ref="AV326">AK326+SUM($AP326:AU326*$AP$306:AU$306)</f>
        <v>0</v>
      </c>
      <c r="AW326" s="10">
        <f t="array" ref="AW326">AL326+SUM($AP326:AV326*$AP$306:AV$306)</f>
        <v>0</v>
      </c>
      <c r="AX326" s="10">
        <f t="array" ref="AX326">AM326+SUM($AP326:AW326*$AP$306:AW$306)</f>
        <v>0</v>
      </c>
      <c r="AY326" s="10">
        <f t="array" ref="AY326">AN326+SUM($AP326:AX326*$AP$306:AX$306)</f>
        <v>1</v>
      </c>
      <c r="BA326" s="10">
        <f t="shared" si="226"/>
        <v>1</v>
      </c>
      <c r="BB326" s="10">
        <f t="shared" si="243"/>
        <v>0</v>
      </c>
      <c r="BC326" s="10">
        <f t="shared" si="243"/>
        <v>0</v>
      </c>
      <c r="BD326" s="10">
        <f t="shared" si="243"/>
        <v>0</v>
      </c>
      <c r="BE326" s="10">
        <f t="shared" si="243"/>
        <v>0</v>
      </c>
      <c r="BF326" s="10">
        <f t="shared" si="243"/>
        <v>0</v>
      </c>
      <c r="BG326" s="10">
        <f t="shared" si="243"/>
        <v>0</v>
      </c>
      <c r="BH326" s="10">
        <f t="shared" si="243"/>
        <v>0</v>
      </c>
      <c r="BI326" s="10">
        <f t="shared" si="243"/>
        <v>0</v>
      </c>
      <c r="BJ326" s="10">
        <f t="shared" si="243"/>
        <v>0</v>
      </c>
      <c r="BL326" s="10">
        <f t="shared" si="228"/>
        <v>1</v>
      </c>
      <c r="BM326" s="10">
        <f t="shared" si="242"/>
        <v>0</v>
      </c>
      <c r="BN326" s="10">
        <f t="shared" si="244"/>
        <v>0</v>
      </c>
      <c r="BO326" s="10">
        <f t="shared" si="244"/>
        <v>0</v>
      </c>
      <c r="BP326" s="10">
        <f t="shared" si="244"/>
        <v>0</v>
      </c>
      <c r="BQ326" s="10">
        <f t="shared" si="244"/>
        <v>0</v>
      </c>
      <c r="BR326" s="10">
        <f t="shared" si="244"/>
        <v>0</v>
      </c>
      <c r="BS326" s="10">
        <f t="shared" si="244"/>
        <v>0</v>
      </c>
      <c r="BT326" s="10">
        <f t="shared" si="244"/>
        <v>0</v>
      </c>
      <c r="BU326" s="10">
        <f t="shared" si="244"/>
        <v>0</v>
      </c>
    </row>
    <row r="327" spans="2:73">
      <c r="B327" t="str">
        <f t="shared" si="212"/>
        <v>not used</v>
      </c>
      <c r="D327" s="26">
        <v>0</v>
      </c>
      <c r="E327" s="26">
        <v>0</v>
      </c>
      <c r="F327" s="26">
        <v>0</v>
      </c>
      <c r="G327" s="26">
        <v>0</v>
      </c>
      <c r="H327" s="26">
        <v>0</v>
      </c>
      <c r="I327" s="26">
        <v>0</v>
      </c>
      <c r="J327" s="26">
        <v>0</v>
      </c>
      <c r="K327" s="26">
        <v>0</v>
      </c>
      <c r="L327" s="26">
        <v>0</v>
      </c>
      <c r="M327" s="26">
        <v>1</v>
      </c>
      <c r="O327" s="10">
        <f t="shared" si="213"/>
        <v>1</v>
      </c>
      <c r="Q327" s="26">
        <f t="shared" si="214"/>
        <v>0</v>
      </c>
      <c r="R327" s="26">
        <f t="shared" si="215"/>
        <v>0</v>
      </c>
      <c r="S327" s="26">
        <f t="shared" si="216"/>
        <v>0</v>
      </c>
      <c r="T327" s="26">
        <f t="shared" si="217"/>
        <v>0</v>
      </c>
      <c r="U327" s="26">
        <f t="shared" si="218"/>
        <v>0</v>
      </c>
      <c r="V327" s="26">
        <f t="shared" si="219"/>
        <v>0</v>
      </c>
      <c r="W327" s="26">
        <f t="shared" si="220"/>
        <v>0</v>
      </c>
      <c r="X327" s="26">
        <f t="shared" si="221"/>
        <v>0</v>
      </c>
      <c r="Y327" s="26">
        <f t="shared" si="222"/>
        <v>0</v>
      </c>
      <c r="Z327" s="26">
        <f t="shared" si="223"/>
        <v>1</v>
      </c>
      <c r="AB327" s="10">
        <f t="shared" si="224"/>
        <v>1</v>
      </c>
      <c r="AC327" s="26">
        <f t="shared" si="230"/>
        <v>1</v>
      </c>
      <c r="AE327" s="26">
        <f t="shared" si="231"/>
        <v>0</v>
      </c>
      <c r="AF327" s="26">
        <f t="shared" si="232"/>
        <v>0</v>
      </c>
      <c r="AG327" s="26">
        <f t="shared" si="233"/>
        <v>0</v>
      </c>
      <c r="AH327" s="26">
        <f t="shared" si="234"/>
        <v>0</v>
      </c>
      <c r="AI327" s="26">
        <f t="shared" si="235"/>
        <v>0</v>
      </c>
      <c r="AJ327" s="26">
        <f t="shared" si="236"/>
        <v>0</v>
      </c>
      <c r="AK327" s="26">
        <f t="shared" si="237"/>
        <v>0</v>
      </c>
      <c r="AL327" s="26">
        <f t="shared" si="238"/>
        <v>0</v>
      </c>
      <c r="AM327" s="26">
        <f t="shared" si="239"/>
        <v>0</v>
      </c>
      <c r="AN327" s="26">
        <f t="shared" si="240"/>
        <v>1</v>
      </c>
      <c r="AP327" s="10">
        <f t="shared" si="241"/>
        <v>0</v>
      </c>
      <c r="AQ327" s="10">
        <f t="array" ref="AQ327">AF327+SUM($AP327:AP327*$AP$306:AP$306)</f>
        <v>0</v>
      </c>
      <c r="AR327" s="10">
        <f t="array" ref="AR327">AG327+SUM($AP327:AQ327*$AP$306:AQ$306)</f>
        <v>0</v>
      </c>
      <c r="AS327" s="10">
        <f t="array" ref="AS327">AH327+SUM($AP327:AR327*$AP$306:AR$306)</f>
        <v>0</v>
      </c>
      <c r="AT327" s="10">
        <f t="array" ref="AT327">AI327+SUM($AP327:AS327*$AP$306:AS$306)</f>
        <v>0</v>
      </c>
      <c r="AU327" s="10">
        <f t="array" ref="AU327">AJ327+SUM($AP327:AT327*$AP$306:AT$306)</f>
        <v>0</v>
      </c>
      <c r="AV327" s="10">
        <f t="array" ref="AV327">AK327+SUM($AP327:AU327*$AP$306:AU$306)</f>
        <v>0</v>
      </c>
      <c r="AW327" s="10">
        <f t="array" ref="AW327">AL327+SUM($AP327:AV327*$AP$306:AV$306)</f>
        <v>0</v>
      </c>
      <c r="AX327" s="10">
        <f t="array" ref="AX327">AM327+SUM($AP327:AW327*$AP$306:AW$306)</f>
        <v>0</v>
      </c>
      <c r="AY327" s="10">
        <f t="array" ref="AY327">AN327+SUM($AP327:AX327*$AP$306:AX$306)</f>
        <v>1</v>
      </c>
      <c r="BA327" s="10">
        <f t="shared" si="226"/>
        <v>1</v>
      </c>
      <c r="BB327" s="10">
        <f t="shared" si="243"/>
        <v>0</v>
      </c>
      <c r="BC327" s="10">
        <f t="shared" si="243"/>
        <v>0</v>
      </c>
      <c r="BD327" s="10">
        <f t="shared" si="243"/>
        <v>0</v>
      </c>
      <c r="BE327" s="10">
        <f t="shared" si="243"/>
        <v>0</v>
      </c>
      <c r="BF327" s="10">
        <f t="shared" si="243"/>
        <v>0</v>
      </c>
      <c r="BG327" s="10">
        <f t="shared" si="243"/>
        <v>0</v>
      </c>
      <c r="BH327" s="10">
        <f t="shared" si="243"/>
        <v>0</v>
      </c>
      <c r="BI327" s="10">
        <f t="shared" si="243"/>
        <v>0</v>
      </c>
      <c r="BJ327" s="10">
        <f t="shared" si="243"/>
        <v>0</v>
      </c>
      <c r="BL327" s="10">
        <f t="shared" si="228"/>
        <v>1</v>
      </c>
      <c r="BM327" s="10">
        <f t="shared" si="242"/>
        <v>0</v>
      </c>
      <c r="BN327" s="10">
        <f t="shared" si="244"/>
        <v>0</v>
      </c>
      <c r="BO327" s="10">
        <f t="shared" si="244"/>
        <v>0</v>
      </c>
      <c r="BP327" s="10">
        <f t="shared" si="244"/>
        <v>0</v>
      </c>
      <c r="BQ327" s="10">
        <f t="shared" si="244"/>
        <v>0</v>
      </c>
      <c r="BR327" s="10">
        <f t="shared" si="244"/>
        <v>0</v>
      </c>
      <c r="BS327" s="10">
        <f t="shared" si="244"/>
        <v>0</v>
      </c>
      <c r="BT327" s="10">
        <f t="shared" si="244"/>
        <v>0</v>
      </c>
      <c r="BU327" s="10">
        <f t="shared" si="244"/>
        <v>0</v>
      </c>
    </row>
    <row r="328" spans="2:73">
      <c r="B328" t="str">
        <f t="shared" si="212"/>
        <v>not used</v>
      </c>
      <c r="D328" s="26">
        <v>0</v>
      </c>
      <c r="E328" s="26">
        <v>0</v>
      </c>
      <c r="F328" s="26">
        <v>0</v>
      </c>
      <c r="G328" s="26">
        <v>0</v>
      </c>
      <c r="H328" s="26">
        <v>0</v>
      </c>
      <c r="I328" s="26">
        <v>0</v>
      </c>
      <c r="J328" s="26">
        <v>0</v>
      </c>
      <c r="K328" s="26">
        <v>0</v>
      </c>
      <c r="L328" s="26">
        <v>0</v>
      </c>
      <c r="M328" s="26">
        <v>1</v>
      </c>
      <c r="O328" s="10">
        <f t="shared" si="213"/>
        <v>1</v>
      </c>
      <c r="Q328" s="26">
        <f t="shared" si="214"/>
        <v>0</v>
      </c>
      <c r="R328" s="26">
        <f t="shared" si="215"/>
        <v>0</v>
      </c>
      <c r="S328" s="26">
        <f t="shared" si="216"/>
        <v>0</v>
      </c>
      <c r="T328" s="26">
        <f t="shared" si="217"/>
        <v>0</v>
      </c>
      <c r="U328" s="26">
        <f t="shared" si="218"/>
        <v>0</v>
      </c>
      <c r="V328" s="26">
        <f t="shared" si="219"/>
        <v>0</v>
      </c>
      <c r="W328" s="26">
        <f t="shared" si="220"/>
        <v>0</v>
      </c>
      <c r="X328" s="26">
        <f t="shared" si="221"/>
        <v>0</v>
      </c>
      <c r="Y328" s="26">
        <f t="shared" si="222"/>
        <v>0</v>
      </c>
      <c r="Z328" s="26">
        <f t="shared" si="223"/>
        <v>1</v>
      </c>
      <c r="AB328" s="10">
        <f t="shared" si="224"/>
        <v>1</v>
      </c>
      <c r="AC328" s="26">
        <f t="shared" si="230"/>
        <v>1</v>
      </c>
      <c r="AE328" s="26">
        <f t="shared" si="231"/>
        <v>0</v>
      </c>
      <c r="AF328" s="26">
        <f t="shared" si="232"/>
        <v>0</v>
      </c>
      <c r="AG328" s="26">
        <f t="shared" si="233"/>
        <v>0</v>
      </c>
      <c r="AH328" s="26">
        <f t="shared" si="234"/>
        <v>0</v>
      </c>
      <c r="AI328" s="26">
        <f t="shared" si="235"/>
        <v>0</v>
      </c>
      <c r="AJ328" s="26">
        <f t="shared" si="236"/>
        <v>0</v>
      </c>
      <c r="AK328" s="26">
        <f t="shared" si="237"/>
        <v>0</v>
      </c>
      <c r="AL328" s="26">
        <f t="shared" si="238"/>
        <v>0</v>
      </c>
      <c r="AM328" s="26">
        <f t="shared" si="239"/>
        <v>0</v>
      </c>
      <c r="AN328" s="26">
        <f t="shared" si="240"/>
        <v>1</v>
      </c>
      <c r="AP328" s="10">
        <f t="shared" si="241"/>
        <v>0</v>
      </c>
      <c r="AQ328" s="10">
        <f t="array" ref="AQ328">AF328+SUM($AP328:AP328*$AP$306:AP$306)</f>
        <v>0</v>
      </c>
      <c r="AR328" s="10">
        <f t="array" ref="AR328">AG328+SUM($AP328:AQ328*$AP$306:AQ$306)</f>
        <v>0</v>
      </c>
      <c r="AS328" s="10">
        <f t="array" ref="AS328">AH328+SUM($AP328:AR328*$AP$306:AR$306)</f>
        <v>0</v>
      </c>
      <c r="AT328" s="10">
        <f t="array" ref="AT328">AI328+SUM($AP328:AS328*$AP$306:AS$306)</f>
        <v>0</v>
      </c>
      <c r="AU328" s="10">
        <f t="array" ref="AU328">AJ328+SUM($AP328:AT328*$AP$306:AT$306)</f>
        <v>0</v>
      </c>
      <c r="AV328" s="10">
        <f t="array" ref="AV328">AK328+SUM($AP328:AU328*$AP$306:AU$306)</f>
        <v>0</v>
      </c>
      <c r="AW328" s="10">
        <f t="array" ref="AW328">AL328+SUM($AP328:AV328*$AP$306:AV$306)</f>
        <v>0</v>
      </c>
      <c r="AX328" s="10">
        <f t="array" ref="AX328">AM328+SUM($AP328:AW328*$AP$306:AW$306)</f>
        <v>0</v>
      </c>
      <c r="AY328" s="10">
        <f t="array" ref="AY328">AN328+SUM($AP328:AX328*$AP$306:AX$306)</f>
        <v>1</v>
      </c>
      <c r="BA328" s="10">
        <f t="shared" si="226"/>
        <v>1</v>
      </c>
      <c r="BB328" s="10">
        <f t="shared" si="243"/>
        <v>0</v>
      </c>
      <c r="BC328" s="10">
        <f t="shared" si="243"/>
        <v>0</v>
      </c>
      <c r="BD328" s="10">
        <f t="shared" si="243"/>
        <v>0</v>
      </c>
      <c r="BE328" s="10">
        <f t="shared" si="243"/>
        <v>0</v>
      </c>
      <c r="BF328" s="10">
        <f t="shared" si="243"/>
        <v>0</v>
      </c>
      <c r="BG328" s="10">
        <f t="shared" si="243"/>
        <v>0</v>
      </c>
      <c r="BH328" s="10">
        <f t="shared" si="243"/>
        <v>0</v>
      </c>
      <c r="BI328" s="10">
        <f t="shared" si="243"/>
        <v>0</v>
      </c>
      <c r="BJ328" s="10">
        <f t="shared" si="243"/>
        <v>0</v>
      </c>
      <c r="BL328" s="10">
        <f t="shared" si="228"/>
        <v>1</v>
      </c>
      <c r="BM328" s="10">
        <f t="shared" si="242"/>
        <v>0</v>
      </c>
      <c r="BN328" s="10">
        <f t="shared" si="244"/>
        <v>0</v>
      </c>
      <c r="BO328" s="10">
        <f t="shared" si="244"/>
        <v>0</v>
      </c>
      <c r="BP328" s="10">
        <f t="shared" si="244"/>
        <v>0</v>
      </c>
      <c r="BQ328" s="10">
        <f t="shared" si="244"/>
        <v>0</v>
      </c>
      <c r="BR328" s="10">
        <f t="shared" si="244"/>
        <v>0</v>
      </c>
      <c r="BS328" s="10">
        <f t="shared" si="244"/>
        <v>0</v>
      </c>
      <c r="BT328" s="10">
        <f t="shared" si="244"/>
        <v>0</v>
      </c>
      <c r="BU328" s="10">
        <f t="shared" si="244"/>
        <v>0</v>
      </c>
    </row>
    <row r="329" spans="2:73">
      <c r="B329" t="str">
        <f t="shared" si="212"/>
        <v>Pumped Storage</v>
      </c>
      <c r="C329" t="s">
        <v>182</v>
      </c>
      <c r="D329" s="26">
        <v>0</v>
      </c>
      <c r="E329" s="26">
        <v>9.3333333333333338E-2</v>
      </c>
      <c r="F329" s="26">
        <v>9.3333333333333338E-2</v>
      </c>
      <c r="G329" s="26">
        <v>9.3333333333333338E-2</v>
      </c>
      <c r="H329" s="26">
        <v>0.12</v>
      </c>
      <c r="I329" s="26">
        <v>0.12</v>
      </c>
      <c r="J329" s="26">
        <v>0.12</v>
      </c>
      <c r="K329" s="26">
        <v>0.12</v>
      </c>
      <c r="L329" s="26">
        <v>0.12</v>
      </c>
      <c r="M329" s="26">
        <v>0.12</v>
      </c>
      <c r="O329" s="10">
        <f t="shared" si="213"/>
        <v>1</v>
      </c>
      <c r="Q329" s="26">
        <f t="shared" si="214"/>
        <v>0</v>
      </c>
      <c r="R329" s="26">
        <f t="shared" si="215"/>
        <v>0.20006828893333345</v>
      </c>
      <c r="S329" s="26">
        <f t="shared" si="216"/>
        <v>0.18188026266666679</v>
      </c>
      <c r="T329" s="26">
        <f t="shared" si="217"/>
        <v>0.1653456933333334</v>
      </c>
      <c r="U329" s="26">
        <f t="shared" si="218"/>
        <v>0.19326120000000008</v>
      </c>
      <c r="V329" s="26">
        <f t="shared" si="219"/>
        <v>0.17569200000000004</v>
      </c>
      <c r="W329" s="26">
        <f t="shared" si="220"/>
        <v>0.15972000000000003</v>
      </c>
      <c r="X329" s="26">
        <f t="shared" si="221"/>
        <v>0.14520000000000002</v>
      </c>
      <c r="Y329" s="26">
        <f t="shared" si="222"/>
        <v>0.13200000000000001</v>
      </c>
      <c r="Z329" s="26">
        <f t="shared" si="223"/>
        <v>0.12</v>
      </c>
      <c r="AB329" s="10">
        <f t="shared" si="224"/>
        <v>1.4731674449333338</v>
      </c>
      <c r="AC329" s="26">
        <f t="shared" si="230"/>
        <v>0.67880946150371491</v>
      </c>
      <c r="AE329" s="26">
        <f t="shared" si="231"/>
        <v>0</v>
      </c>
      <c r="AF329" s="26">
        <f t="shared" si="232"/>
        <v>6.3355549740346725E-2</v>
      </c>
      <c r="AG329" s="26">
        <f t="shared" si="233"/>
        <v>6.3355549740346725E-2</v>
      </c>
      <c r="AH329" s="26">
        <f t="shared" si="234"/>
        <v>6.3355549740346725E-2</v>
      </c>
      <c r="AI329" s="26">
        <f t="shared" si="235"/>
        <v>8.1457135380445786E-2</v>
      </c>
      <c r="AJ329" s="26">
        <f t="shared" si="236"/>
        <v>8.1457135380445786E-2</v>
      </c>
      <c r="AK329" s="26">
        <f t="shared" si="237"/>
        <v>8.1457135380445786E-2</v>
      </c>
      <c r="AL329" s="26">
        <f t="shared" si="238"/>
        <v>8.1457135380445786E-2</v>
      </c>
      <c r="AM329" s="26">
        <f t="shared" si="239"/>
        <v>8.1457135380445786E-2</v>
      </c>
      <c r="AN329" s="26">
        <f t="shared" si="240"/>
        <v>8.1457135380445786E-2</v>
      </c>
      <c r="AP329" s="10">
        <f t="shared" si="241"/>
        <v>0</v>
      </c>
      <c r="AQ329" s="10">
        <f t="array" ref="AQ329">AF329+SUM($AP329:AP329*$AP$306:AP$306)</f>
        <v>6.3355549740346725E-2</v>
      </c>
      <c r="AR329" s="10">
        <f t="array" ref="AR329">AG329+SUM($AP329:AQ329*$AP$306:AQ$306)</f>
        <v>6.9691104714381391E-2</v>
      </c>
      <c r="AS329" s="10">
        <f t="array" ref="AS329">AH329+SUM($AP329:AR329*$AP$306:AR$306)</f>
        <v>7.666021518581953E-2</v>
      </c>
      <c r="AT329" s="10">
        <f t="array" ref="AT329">AI329+SUM($AP329:AS329*$AP$306:AS$306)</f>
        <v>0.10242782234450055</v>
      </c>
      <c r="AU329" s="10">
        <f t="array" ref="AU329">AJ329+SUM($AP329:AT329*$AP$306:AT$306)</f>
        <v>0.1126706045789506</v>
      </c>
      <c r="AV329" s="10">
        <f t="array" ref="AV329">AK329+SUM($AP329:AU329*$AP$306:AU$306)</f>
        <v>0.12393766503684567</v>
      </c>
      <c r="AW329" s="10">
        <f t="array" ref="AW329">AL329+SUM($AP329:AV329*$AP$306:AV$306)</f>
        <v>0.13633143154053023</v>
      </c>
      <c r="AX329" s="10">
        <f t="array" ref="AX329">AM329+SUM($AP329:AW329*$AP$306:AW$306)</f>
        <v>0.14996457469458324</v>
      </c>
      <c r="AY329" s="10">
        <f t="array" ref="AY329">AN329+SUM($AP329:AX329*$AP$306:AX$306)</f>
        <v>0.16496103216404157</v>
      </c>
      <c r="BA329" s="10">
        <f t="shared" si="226"/>
        <v>8.1457135380445786E-2</v>
      </c>
      <c r="BB329" s="10">
        <f t="shared" si="243"/>
        <v>8.1457135380445786E-2</v>
      </c>
      <c r="BC329" s="10">
        <f t="shared" si="243"/>
        <v>8.1457135380445786E-2</v>
      </c>
      <c r="BD329" s="10">
        <f t="shared" si="243"/>
        <v>8.1457135380445786E-2</v>
      </c>
      <c r="BE329" s="10">
        <f t="shared" si="243"/>
        <v>8.1457135380445786E-2</v>
      </c>
      <c r="BF329" s="10">
        <f t="shared" si="243"/>
        <v>8.1457135380445786E-2</v>
      </c>
      <c r="BG329" s="10">
        <f t="shared" si="243"/>
        <v>6.3355549740346725E-2</v>
      </c>
      <c r="BH329" s="10">
        <f t="shared" si="243"/>
        <v>6.3355549740346725E-2</v>
      </c>
      <c r="BI329" s="10">
        <f t="shared" si="243"/>
        <v>6.3355549740346725E-2</v>
      </c>
      <c r="BJ329" s="10">
        <f t="shared" si="243"/>
        <v>0</v>
      </c>
      <c r="BL329" s="10">
        <f t="shared" si="228"/>
        <v>0.16496103216404157</v>
      </c>
      <c r="BM329" s="10">
        <f t="shared" si="242"/>
        <v>0.14996457469458324</v>
      </c>
      <c r="BN329" s="10">
        <f t="shared" si="244"/>
        <v>0.13633143154053023</v>
      </c>
      <c r="BO329" s="10">
        <f t="shared" si="244"/>
        <v>0.12393766503684567</v>
      </c>
      <c r="BP329" s="10">
        <f t="shared" si="244"/>
        <v>0.1126706045789506</v>
      </c>
      <c r="BQ329" s="10">
        <f t="shared" si="244"/>
        <v>0.10242782234450055</v>
      </c>
      <c r="BR329" s="10">
        <f t="shared" si="244"/>
        <v>7.666021518581953E-2</v>
      </c>
      <c r="BS329" s="10">
        <f t="shared" si="244"/>
        <v>6.9691104714381391E-2</v>
      </c>
      <c r="BT329" s="10">
        <f t="shared" si="244"/>
        <v>6.3355549740346725E-2</v>
      </c>
      <c r="BU329" s="10">
        <f t="shared" si="244"/>
        <v>0</v>
      </c>
    </row>
    <row r="330" spans="2:73">
      <c r="B330" t="str">
        <f t="shared" si="212"/>
        <v>Supercritical Coal with CCS</v>
      </c>
      <c r="D330" s="26">
        <v>0</v>
      </c>
      <c r="E330" s="26">
        <v>0</v>
      </c>
      <c r="F330" s="26">
        <v>0</v>
      </c>
      <c r="G330" s="26">
        <v>0</v>
      </c>
      <c r="H330" s="26">
        <v>0.05</v>
      </c>
      <c r="I330" s="26">
        <v>0.05</v>
      </c>
      <c r="J330" s="26">
        <v>1.8000000000000002E-2</v>
      </c>
      <c r="K330" s="26">
        <v>0.35100000000000003</v>
      </c>
      <c r="L330" s="26">
        <v>0.47700000000000004</v>
      </c>
      <c r="M330" s="26">
        <v>5.3999999999999992E-2</v>
      </c>
      <c r="O330" s="10">
        <f t="shared" si="213"/>
        <v>1</v>
      </c>
      <c r="Q330" s="26">
        <f t="shared" si="214"/>
        <v>0</v>
      </c>
      <c r="R330" s="26">
        <f t="shared" si="215"/>
        <v>0</v>
      </c>
      <c r="S330" s="26">
        <f t="shared" si="216"/>
        <v>0</v>
      </c>
      <c r="T330" s="26">
        <f t="shared" si="217"/>
        <v>0</v>
      </c>
      <c r="U330" s="26">
        <f t="shared" si="218"/>
        <v>8.0525500000000041E-2</v>
      </c>
      <c r="V330" s="26">
        <f t="shared" si="219"/>
        <v>7.320500000000002E-2</v>
      </c>
      <c r="W330" s="26">
        <f t="shared" si="220"/>
        <v>2.3958000000000011E-2</v>
      </c>
      <c r="X330" s="26">
        <f t="shared" si="221"/>
        <v>0.42471000000000009</v>
      </c>
      <c r="Y330" s="26">
        <f t="shared" si="222"/>
        <v>0.52470000000000006</v>
      </c>
      <c r="Z330" s="26">
        <f t="shared" si="223"/>
        <v>5.3999999999999992E-2</v>
      </c>
      <c r="AB330" s="10">
        <f t="shared" si="224"/>
        <v>1.1810985000000003</v>
      </c>
      <c r="AC330" s="26">
        <f t="shared" si="230"/>
        <v>0.84666943527571981</v>
      </c>
      <c r="AE330" s="26">
        <f t="shared" si="231"/>
        <v>0</v>
      </c>
      <c r="AF330" s="26">
        <f t="shared" si="232"/>
        <v>0</v>
      </c>
      <c r="AG330" s="26">
        <f t="shared" si="233"/>
        <v>0</v>
      </c>
      <c r="AH330" s="26">
        <f t="shared" si="234"/>
        <v>0</v>
      </c>
      <c r="AI330" s="26">
        <f t="shared" si="235"/>
        <v>4.233347176378599E-2</v>
      </c>
      <c r="AJ330" s="26">
        <f t="shared" si="236"/>
        <v>4.233347176378599E-2</v>
      </c>
      <c r="AK330" s="26">
        <f t="shared" si="237"/>
        <v>1.5240049834962958E-2</v>
      </c>
      <c r="AL330" s="26">
        <f t="shared" si="238"/>
        <v>0.29718097178177766</v>
      </c>
      <c r="AM330" s="26">
        <f t="shared" si="239"/>
        <v>0.40386132062651836</v>
      </c>
      <c r="AN330" s="26">
        <f t="shared" si="240"/>
        <v>4.5720149504888861E-2</v>
      </c>
      <c r="AP330" s="10">
        <f t="shared" si="241"/>
        <v>0</v>
      </c>
      <c r="AQ330" s="10">
        <f t="array" ref="AQ330">AF330+SUM($AP330:AP330*$AP$306:AP$306)</f>
        <v>0</v>
      </c>
      <c r="AR330" s="10">
        <f t="array" ref="AR330">AG330+SUM($AP330:AQ330*$AP$306:AQ$306)</f>
        <v>0</v>
      </c>
      <c r="AS330" s="10">
        <f t="array" ref="AS330">AH330+SUM($AP330:AR330*$AP$306:AR$306)</f>
        <v>0</v>
      </c>
      <c r="AT330" s="10">
        <f t="array" ref="AT330">AI330+SUM($AP330:AS330*$AP$306:AS$306)</f>
        <v>4.233347176378599E-2</v>
      </c>
      <c r="AU330" s="10">
        <f t="array" ref="AU330">AJ330+SUM($AP330:AT330*$AP$306:AT$306)</f>
        <v>4.6566818940164588E-2</v>
      </c>
      <c r="AV330" s="10">
        <f t="array" ref="AV330">AK330+SUM($AP330:AU330*$AP$306:AU$306)</f>
        <v>2.4130078905358017E-2</v>
      </c>
      <c r="AW330" s="10">
        <f t="array" ref="AW330">AL330+SUM($AP330:AV330*$AP$306:AV$306)</f>
        <v>0.30848400874270854</v>
      </c>
      <c r="AX330" s="10">
        <f t="array" ref="AX330">AM330+SUM($AP330:AW330*$AP$306:AW$306)</f>
        <v>0.44601275846172006</v>
      </c>
      <c r="AY330" s="10">
        <f t="array" ref="AY330">AN330+SUM($AP330:AX330*$AP$306:AX$306)</f>
        <v>0.13247286318626258</v>
      </c>
      <c r="BA330" s="10">
        <f t="shared" si="226"/>
        <v>4.5720149504888861E-2</v>
      </c>
      <c r="BB330" s="10">
        <f t="shared" si="243"/>
        <v>0.40386132062651836</v>
      </c>
      <c r="BC330" s="10">
        <f t="shared" si="243"/>
        <v>0.29718097178177766</v>
      </c>
      <c r="BD330" s="10">
        <f t="shared" si="243"/>
        <v>1.5240049834962958E-2</v>
      </c>
      <c r="BE330" s="10">
        <f t="shared" si="243"/>
        <v>4.233347176378599E-2</v>
      </c>
      <c r="BF330" s="10">
        <f t="shared" si="243"/>
        <v>4.233347176378599E-2</v>
      </c>
      <c r="BG330" s="10">
        <f t="shared" si="243"/>
        <v>0</v>
      </c>
      <c r="BH330" s="10">
        <f t="shared" si="243"/>
        <v>0</v>
      </c>
      <c r="BI330" s="10">
        <f t="shared" si="243"/>
        <v>0</v>
      </c>
      <c r="BJ330" s="10">
        <f t="shared" si="243"/>
        <v>0</v>
      </c>
      <c r="BL330" s="10">
        <f t="shared" si="228"/>
        <v>0.13247286318626258</v>
      </c>
      <c r="BM330" s="10">
        <f t="shared" si="242"/>
        <v>0.44601275846172006</v>
      </c>
      <c r="BN330" s="10">
        <f t="shared" si="244"/>
        <v>0.30848400874270854</v>
      </c>
      <c r="BO330" s="10">
        <f t="shared" si="244"/>
        <v>2.4130078905358017E-2</v>
      </c>
      <c r="BP330" s="10">
        <f t="shared" si="244"/>
        <v>4.6566818940164588E-2</v>
      </c>
      <c r="BQ330" s="10">
        <f t="shared" si="244"/>
        <v>4.233347176378599E-2</v>
      </c>
      <c r="BR330" s="10">
        <f t="shared" si="244"/>
        <v>0</v>
      </c>
      <c r="BS330" s="10">
        <f t="shared" si="244"/>
        <v>0</v>
      </c>
      <c r="BT330" s="10">
        <f t="shared" si="244"/>
        <v>0</v>
      </c>
      <c r="BU330" s="10">
        <f t="shared" si="244"/>
        <v>0</v>
      </c>
    </row>
    <row r="331" spans="2:73">
      <c r="B331" t="str">
        <f t="shared" si="212"/>
        <v>Fluidised Bed Combustion Coal with CCS</v>
      </c>
      <c r="D331" s="26">
        <v>0</v>
      </c>
      <c r="E331" s="26">
        <v>0</v>
      </c>
      <c r="F331" s="26">
        <v>0</v>
      </c>
      <c r="G331" s="26">
        <v>0</v>
      </c>
      <c r="H331" s="26">
        <v>0.05</v>
      </c>
      <c r="I331" s="26">
        <v>0.05</v>
      </c>
      <c r="J331" s="26">
        <v>1.8000000000000002E-2</v>
      </c>
      <c r="K331" s="26">
        <v>0.35100000000000003</v>
      </c>
      <c r="L331" s="26">
        <v>0.47700000000000004</v>
      </c>
      <c r="M331" s="26">
        <v>5.3999999999999992E-2</v>
      </c>
      <c r="O331" s="10">
        <f t="shared" si="213"/>
        <v>1</v>
      </c>
      <c r="Q331" s="26">
        <f t="shared" si="214"/>
        <v>0</v>
      </c>
      <c r="R331" s="26">
        <f t="shared" si="215"/>
        <v>0</v>
      </c>
      <c r="S331" s="26">
        <f t="shared" si="216"/>
        <v>0</v>
      </c>
      <c r="T331" s="26">
        <f t="shared" si="217"/>
        <v>0</v>
      </c>
      <c r="U331" s="26">
        <f t="shared" si="218"/>
        <v>8.0525500000000041E-2</v>
      </c>
      <c r="V331" s="26">
        <f t="shared" si="219"/>
        <v>7.320500000000002E-2</v>
      </c>
      <c r="W331" s="26">
        <f t="shared" si="220"/>
        <v>2.3958000000000011E-2</v>
      </c>
      <c r="X331" s="26">
        <f t="shared" si="221"/>
        <v>0.42471000000000009</v>
      </c>
      <c r="Y331" s="26">
        <f t="shared" si="222"/>
        <v>0.52470000000000006</v>
      </c>
      <c r="Z331" s="26">
        <f t="shared" si="223"/>
        <v>5.3999999999999992E-2</v>
      </c>
      <c r="AB331" s="10">
        <f t="shared" si="224"/>
        <v>1.1810985000000003</v>
      </c>
      <c r="AC331" s="26">
        <f t="shared" si="230"/>
        <v>0.84666943527571981</v>
      </c>
      <c r="AE331" s="26">
        <f t="shared" si="231"/>
        <v>0</v>
      </c>
      <c r="AF331" s="26">
        <f t="shared" si="232"/>
        <v>0</v>
      </c>
      <c r="AG331" s="26">
        <f t="shared" si="233"/>
        <v>0</v>
      </c>
      <c r="AH331" s="26">
        <f t="shared" si="234"/>
        <v>0</v>
      </c>
      <c r="AI331" s="26">
        <f t="shared" si="235"/>
        <v>4.233347176378599E-2</v>
      </c>
      <c r="AJ331" s="26">
        <f t="shared" si="236"/>
        <v>4.233347176378599E-2</v>
      </c>
      <c r="AK331" s="26">
        <f t="shared" si="237"/>
        <v>1.5240049834962958E-2</v>
      </c>
      <c r="AL331" s="26">
        <f t="shared" si="238"/>
        <v>0.29718097178177766</v>
      </c>
      <c r="AM331" s="26">
        <f t="shared" si="239"/>
        <v>0.40386132062651836</v>
      </c>
      <c r="AN331" s="26">
        <f t="shared" si="240"/>
        <v>4.5720149504888861E-2</v>
      </c>
      <c r="AP331" s="10">
        <f t="shared" si="241"/>
        <v>0</v>
      </c>
      <c r="AQ331" s="10">
        <f t="array" ref="AQ331">AF331+SUM($AP331:AP331*$AP$306:AP$306)</f>
        <v>0</v>
      </c>
      <c r="AR331" s="10">
        <f t="array" ref="AR331">AG331+SUM($AP331:AQ331*$AP$306:AQ$306)</f>
        <v>0</v>
      </c>
      <c r="AS331" s="10">
        <f t="array" ref="AS331">AH331+SUM($AP331:AR331*$AP$306:AR$306)</f>
        <v>0</v>
      </c>
      <c r="AT331" s="10">
        <f t="array" ref="AT331">AI331+SUM($AP331:AS331*$AP$306:AS$306)</f>
        <v>4.233347176378599E-2</v>
      </c>
      <c r="AU331" s="10">
        <f t="array" ref="AU331">AJ331+SUM($AP331:AT331*$AP$306:AT$306)</f>
        <v>4.6566818940164588E-2</v>
      </c>
      <c r="AV331" s="10">
        <f t="array" ref="AV331">AK331+SUM($AP331:AU331*$AP$306:AU$306)</f>
        <v>2.4130078905358017E-2</v>
      </c>
      <c r="AW331" s="10">
        <f t="array" ref="AW331">AL331+SUM($AP331:AV331*$AP$306:AV$306)</f>
        <v>0.30848400874270854</v>
      </c>
      <c r="AX331" s="10">
        <f t="array" ref="AX331">AM331+SUM($AP331:AW331*$AP$306:AW$306)</f>
        <v>0.44601275846172006</v>
      </c>
      <c r="AY331" s="10">
        <f t="array" ref="AY331">AN331+SUM($AP331:AX331*$AP$306:AX$306)</f>
        <v>0.13247286318626258</v>
      </c>
      <c r="BA331" s="10">
        <f t="shared" si="226"/>
        <v>4.5720149504888861E-2</v>
      </c>
      <c r="BB331" s="10">
        <f t="shared" si="243"/>
        <v>0.40386132062651836</v>
      </c>
      <c r="BC331" s="10">
        <f t="shared" si="243"/>
        <v>0.29718097178177766</v>
      </c>
      <c r="BD331" s="10">
        <f t="shared" si="243"/>
        <v>1.5240049834962958E-2</v>
      </c>
      <c r="BE331" s="10">
        <f t="shared" si="243"/>
        <v>4.233347176378599E-2</v>
      </c>
      <c r="BF331" s="10">
        <f t="shared" si="243"/>
        <v>4.233347176378599E-2</v>
      </c>
      <c r="BG331" s="10">
        <f t="shared" si="243"/>
        <v>0</v>
      </c>
      <c r="BH331" s="10">
        <f t="shared" si="243"/>
        <v>0</v>
      </c>
      <c r="BI331" s="10">
        <f t="shared" si="243"/>
        <v>0</v>
      </c>
      <c r="BJ331" s="10">
        <f t="shared" si="243"/>
        <v>0</v>
      </c>
      <c r="BL331" s="10">
        <f t="shared" si="228"/>
        <v>0.13247286318626258</v>
      </c>
      <c r="BM331" s="10">
        <f t="shared" si="242"/>
        <v>0.44601275846172006</v>
      </c>
      <c r="BN331" s="10">
        <f t="shared" si="244"/>
        <v>0.30848400874270854</v>
      </c>
      <c r="BO331" s="10">
        <f t="shared" si="244"/>
        <v>2.4130078905358017E-2</v>
      </c>
      <c r="BP331" s="10">
        <f t="shared" si="244"/>
        <v>4.6566818940164588E-2</v>
      </c>
      <c r="BQ331" s="10">
        <f t="shared" si="244"/>
        <v>4.233347176378599E-2</v>
      </c>
      <c r="BR331" s="10">
        <f t="shared" si="244"/>
        <v>0</v>
      </c>
      <c r="BS331" s="10">
        <f t="shared" si="244"/>
        <v>0</v>
      </c>
      <c r="BT331" s="10">
        <f t="shared" si="244"/>
        <v>0</v>
      </c>
      <c r="BU331" s="10">
        <f t="shared" si="244"/>
        <v>0</v>
      </c>
    </row>
    <row r="332" spans="2:73">
      <c r="B332" t="str">
        <f t="shared" si="212"/>
        <v>Integrated Gasification Combined Cycle Coal with CCS</v>
      </c>
      <c r="D332" s="26">
        <v>0</v>
      </c>
      <c r="E332" s="26">
        <v>0</v>
      </c>
      <c r="F332" s="26">
        <v>0</v>
      </c>
      <c r="G332" s="26">
        <v>0.05</v>
      </c>
      <c r="H332" s="26">
        <v>0.05</v>
      </c>
      <c r="I332" s="26">
        <v>4.4999999999999998E-2</v>
      </c>
      <c r="J332" s="26">
        <v>9.9000000000000005E-2</v>
      </c>
      <c r="K332" s="26">
        <v>0.18899999999999997</v>
      </c>
      <c r="L332" s="26">
        <v>0.252</v>
      </c>
      <c r="M332" s="26">
        <v>0.31499999999999995</v>
      </c>
      <c r="O332" s="10">
        <f t="shared" si="213"/>
        <v>1</v>
      </c>
      <c r="Q332" s="26">
        <f t="shared" si="214"/>
        <v>0</v>
      </c>
      <c r="R332" s="26">
        <f t="shared" si="215"/>
        <v>0</v>
      </c>
      <c r="S332" s="26">
        <f t="shared" si="216"/>
        <v>0</v>
      </c>
      <c r="T332" s="26">
        <f t="shared" si="217"/>
        <v>8.8578050000000033E-2</v>
      </c>
      <c r="U332" s="26">
        <f t="shared" si="218"/>
        <v>8.0525500000000041E-2</v>
      </c>
      <c r="V332" s="26">
        <f t="shared" si="219"/>
        <v>6.5884500000000012E-2</v>
      </c>
      <c r="W332" s="26">
        <f t="shared" si="220"/>
        <v>0.13176900000000005</v>
      </c>
      <c r="X332" s="26">
        <f t="shared" si="221"/>
        <v>0.22869</v>
      </c>
      <c r="Y332" s="26">
        <f t="shared" si="222"/>
        <v>0.2772</v>
      </c>
      <c r="Z332" s="26">
        <f t="shared" si="223"/>
        <v>0.31499999999999995</v>
      </c>
      <c r="AB332" s="10">
        <f t="shared" si="224"/>
        <v>1.1876470500000003</v>
      </c>
      <c r="AC332" s="26">
        <f t="shared" si="230"/>
        <v>0.84200099684497998</v>
      </c>
      <c r="AE332" s="26">
        <f t="shared" si="231"/>
        <v>0</v>
      </c>
      <c r="AF332" s="26">
        <f t="shared" si="232"/>
        <v>0</v>
      </c>
      <c r="AG332" s="26">
        <f t="shared" si="233"/>
        <v>0</v>
      </c>
      <c r="AH332" s="26">
        <f t="shared" si="234"/>
        <v>4.2100049842249E-2</v>
      </c>
      <c r="AI332" s="26">
        <f t="shared" si="235"/>
        <v>4.2100049842249E-2</v>
      </c>
      <c r="AJ332" s="26">
        <f t="shared" si="236"/>
        <v>3.7890044858024101E-2</v>
      </c>
      <c r="AK332" s="26">
        <f t="shared" si="237"/>
        <v>8.3358098687653023E-2</v>
      </c>
      <c r="AL332" s="26">
        <f t="shared" si="238"/>
        <v>0.1591381884037012</v>
      </c>
      <c r="AM332" s="26">
        <f t="shared" si="239"/>
        <v>0.21218425120493495</v>
      </c>
      <c r="AN332" s="26">
        <f t="shared" si="240"/>
        <v>0.26523031400616864</v>
      </c>
      <c r="AP332" s="10">
        <f t="shared" si="241"/>
        <v>0</v>
      </c>
      <c r="AQ332" s="10">
        <f t="array" ref="AQ332">AF332+SUM($AP332:AP332*$AP$306:AP$306)</f>
        <v>0</v>
      </c>
      <c r="AR332" s="10">
        <f t="array" ref="AR332">AG332+SUM($AP332:AQ332*$AP$306:AQ$306)</f>
        <v>0</v>
      </c>
      <c r="AS332" s="10">
        <f t="array" ref="AS332">AH332+SUM($AP332:AR332*$AP$306:AR$306)</f>
        <v>4.2100049842249E-2</v>
      </c>
      <c r="AT332" s="10">
        <f t="array" ref="AT332">AI332+SUM($AP332:AS332*$AP$306:AS$306)</f>
        <v>4.63100548264739E-2</v>
      </c>
      <c r="AU332" s="10">
        <f t="array" ref="AU332">AJ332+SUM($AP332:AT332*$AP$306:AT$306)</f>
        <v>4.6731055324896395E-2</v>
      </c>
      <c r="AV332" s="10">
        <f t="array" ref="AV332">AK332+SUM($AP332:AU332*$AP$306:AU$306)</f>
        <v>9.6872214687014957E-2</v>
      </c>
      <c r="AW332" s="10">
        <f t="array" ref="AW332">AL332+SUM($AP332:AV332*$AP$306:AV$306)</f>
        <v>0.18233952587176464</v>
      </c>
      <c r="AX332" s="10">
        <f t="array" ref="AX332">AM332+SUM($AP332:AW332*$AP$306:AW$306)</f>
        <v>0.25361954126017483</v>
      </c>
      <c r="AY332" s="10">
        <f t="array" ref="AY332">AN332+SUM($AP332:AX332*$AP$306:AX$306)</f>
        <v>0.33202755818742602</v>
      </c>
      <c r="BA332" s="10">
        <f t="shared" si="226"/>
        <v>0.26523031400616864</v>
      </c>
      <c r="BB332" s="10">
        <f t="shared" si="243"/>
        <v>0.21218425120493495</v>
      </c>
      <c r="BC332" s="10">
        <f t="shared" si="243"/>
        <v>0.1591381884037012</v>
      </c>
      <c r="BD332" s="10">
        <f t="shared" si="243"/>
        <v>8.3358098687653023E-2</v>
      </c>
      <c r="BE332" s="10">
        <f t="shared" si="243"/>
        <v>3.7890044858024101E-2</v>
      </c>
      <c r="BF332" s="10">
        <f t="shared" si="243"/>
        <v>4.2100049842249E-2</v>
      </c>
      <c r="BG332" s="10">
        <f t="shared" si="243"/>
        <v>4.2100049842249E-2</v>
      </c>
      <c r="BH332" s="10">
        <f t="shared" si="243"/>
        <v>0</v>
      </c>
      <c r="BI332" s="10">
        <f t="shared" si="243"/>
        <v>0</v>
      </c>
      <c r="BJ332" s="10">
        <f t="shared" si="243"/>
        <v>0</v>
      </c>
      <c r="BL332" s="10">
        <f t="shared" si="228"/>
        <v>0.33202755818742602</v>
      </c>
      <c r="BM332" s="10">
        <f t="shared" si="242"/>
        <v>0.25361954126017483</v>
      </c>
      <c r="BN332" s="10">
        <f t="shared" si="244"/>
        <v>0.18233952587176464</v>
      </c>
      <c r="BO332" s="10">
        <f t="shared" si="244"/>
        <v>9.6872214687014957E-2</v>
      </c>
      <c r="BP332" s="10">
        <f t="shared" si="244"/>
        <v>4.6731055324896395E-2</v>
      </c>
      <c r="BQ332" s="10">
        <f t="shared" si="244"/>
        <v>4.63100548264739E-2</v>
      </c>
      <c r="BR332" s="10">
        <f t="shared" si="244"/>
        <v>4.2100049842249E-2</v>
      </c>
      <c r="BS332" s="10">
        <f t="shared" si="244"/>
        <v>0</v>
      </c>
      <c r="BT332" s="10">
        <f t="shared" si="244"/>
        <v>0</v>
      </c>
      <c r="BU332" s="10">
        <f t="shared" si="244"/>
        <v>0</v>
      </c>
    </row>
    <row r="333" spans="2:73">
      <c r="B333" t="str">
        <f t="shared" si="212"/>
        <v>Micro hydro</v>
      </c>
      <c r="D333" s="26">
        <v>0</v>
      </c>
      <c r="E333" s="26">
        <v>0</v>
      </c>
      <c r="F333" s="26">
        <v>0</v>
      </c>
      <c r="G333" s="26">
        <v>0</v>
      </c>
      <c r="H333" s="26">
        <v>0</v>
      </c>
      <c r="I333" s="26">
        <v>0</v>
      </c>
      <c r="J333" s="26">
        <v>0</v>
      </c>
      <c r="K333" s="26">
        <v>0</v>
      </c>
      <c r="L333" s="26">
        <v>0</v>
      </c>
      <c r="M333" s="26">
        <v>1</v>
      </c>
      <c r="O333" s="10">
        <f t="shared" si="213"/>
        <v>1</v>
      </c>
      <c r="Q333" s="26">
        <f t="shared" si="214"/>
        <v>0</v>
      </c>
      <c r="R333" s="26">
        <f t="shared" si="215"/>
        <v>0</v>
      </c>
      <c r="S333" s="26">
        <f t="shared" si="216"/>
        <v>0</v>
      </c>
      <c r="T333" s="26">
        <f t="shared" si="217"/>
        <v>0</v>
      </c>
      <c r="U333" s="26">
        <f t="shared" si="218"/>
        <v>0</v>
      </c>
      <c r="V333" s="26">
        <f t="shared" si="219"/>
        <v>0</v>
      </c>
      <c r="W333" s="26">
        <f t="shared" si="220"/>
        <v>0</v>
      </c>
      <c r="X333" s="26">
        <f t="shared" si="221"/>
        <v>0</v>
      </c>
      <c r="Y333" s="26">
        <f t="shared" si="222"/>
        <v>0</v>
      </c>
      <c r="Z333" s="26">
        <f t="shared" si="223"/>
        <v>1</v>
      </c>
      <c r="AB333" s="10">
        <f t="shared" si="224"/>
        <v>1</v>
      </c>
      <c r="AC333" s="26">
        <f t="shared" si="230"/>
        <v>1</v>
      </c>
      <c r="AE333" s="26">
        <f t="shared" si="231"/>
        <v>0</v>
      </c>
      <c r="AF333" s="26">
        <f t="shared" si="232"/>
        <v>0</v>
      </c>
      <c r="AG333" s="26">
        <f t="shared" si="233"/>
        <v>0</v>
      </c>
      <c r="AH333" s="26">
        <f t="shared" si="234"/>
        <v>0</v>
      </c>
      <c r="AI333" s="26">
        <f t="shared" si="235"/>
        <v>0</v>
      </c>
      <c r="AJ333" s="26">
        <f t="shared" si="236"/>
        <v>0</v>
      </c>
      <c r="AK333" s="26">
        <f t="shared" si="237"/>
        <v>0</v>
      </c>
      <c r="AL333" s="26">
        <f t="shared" si="238"/>
        <v>0</v>
      </c>
      <c r="AM333" s="26">
        <f t="shared" si="239"/>
        <v>0</v>
      </c>
      <c r="AN333" s="26">
        <f t="shared" si="240"/>
        <v>1</v>
      </c>
      <c r="AP333" s="10">
        <f t="shared" si="241"/>
        <v>0</v>
      </c>
      <c r="AQ333" s="10">
        <f t="array" ref="AQ333">AF333+SUM($AP333:AP333*$AP$306:AP$306)</f>
        <v>0</v>
      </c>
      <c r="AR333" s="10">
        <f t="array" ref="AR333">AG333+SUM($AP333:AQ333*$AP$306:AQ$306)</f>
        <v>0</v>
      </c>
      <c r="AS333" s="10">
        <f t="array" ref="AS333">AH333+SUM($AP333:AR333*$AP$306:AR$306)</f>
        <v>0</v>
      </c>
      <c r="AT333" s="10">
        <f t="array" ref="AT333">AI333+SUM($AP333:AS333*$AP$306:AS$306)</f>
        <v>0</v>
      </c>
      <c r="AU333" s="10">
        <f t="array" ref="AU333">AJ333+SUM($AP333:AT333*$AP$306:AT$306)</f>
        <v>0</v>
      </c>
      <c r="AV333" s="10">
        <f t="array" ref="AV333">AK333+SUM($AP333:AU333*$AP$306:AU$306)</f>
        <v>0</v>
      </c>
      <c r="AW333" s="10">
        <f t="array" ref="AW333">AL333+SUM($AP333:AV333*$AP$306:AV$306)</f>
        <v>0</v>
      </c>
      <c r="AX333" s="10">
        <f t="array" ref="AX333">AM333+SUM($AP333:AW333*$AP$306:AW$306)</f>
        <v>0</v>
      </c>
      <c r="AY333" s="10">
        <f t="array" ref="AY333">AN333+SUM($AP333:AX333*$AP$306:AX$306)</f>
        <v>1</v>
      </c>
      <c r="BA333" s="10">
        <f t="shared" si="226"/>
        <v>1</v>
      </c>
      <c r="BB333" s="10">
        <f t="shared" si="243"/>
        <v>0</v>
      </c>
      <c r="BC333" s="10">
        <f t="shared" si="243"/>
        <v>0</v>
      </c>
      <c r="BD333" s="10">
        <f t="shared" si="243"/>
        <v>0</v>
      </c>
      <c r="BE333" s="10">
        <f t="shared" si="243"/>
        <v>0</v>
      </c>
      <c r="BF333" s="10">
        <f t="shared" si="243"/>
        <v>0</v>
      </c>
      <c r="BG333" s="10">
        <f t="shared" si="243"/>
        <v>0</v>
      </c>
      <c r="BH333" s="10">
        <f t="shared" si="243"/>
        <v>0</v>
      </c>
      <c r="BI333" s="10">
        <f t="shared" si="243"/>
        <v>0</v>
      </c>
      <c r="BJ333" s="10">
        <f t="shared" si="243"/>
        <v>0</v>
      </c>
      <c r="BL333" s="10">
        <f t="shared" si="228"/>
        <v>1</v>
      </c>
      <c r="BM333" s="10">
        <f t="shared" si="242"/>
        <v>0</v>
      </c>
      <c r="BN333" s="10">
        <f t="shared" si="244"/>
        <v>0</v>
      </c>
      <c r="BO333" s="10">
        <f t="shared" si="244"/>
        <v>0</v>
      </c>
      <c r="BP333" s="10">
        <f t="shared" si="244"/>
        <v>0</v>
      </c>
      <c r="BQ333" s="10">
        <f t="shared" si="244"/>
        <v>0</v>
      </c>
      <c r="BR333" s="10">
        <f t="shared" si="244"/>
        <v>0</v>
      </c>
      <c r="BS333" s="10">
        <f t="shared" si="244"/>
        <v>0</v>
      </c>
      <c r="BT333" s="10">
        <f t="shared" si="244"/>
        <v>0</v>
      </c>
      <c r="BU333" s="10">
        <f t="shared" si="244"/>
        <v>0</v>
      </c>
    </row>
    <row r="334" spans="2:73">
      <c r="B334" t="str">
        <f>B63</f>
        <v>not used</v>
      </c>
    </row>
    <row r="336" spans="2:73" ht="15">
      <c r="B336" s="17" t="s">
        <v>183</v>
      </c>
    </row>
    <row r="339" spans="2:73">
      <c r="B339" s="4" t="s">
        <v>188</v>
      </c>
    </row>
    <row r="340" spans="2:73">
      <c r="B340" t="str">
        <f t="shared" ref="B340:C359" si="245">B6</f>
        <v>Existing coal Large</v>
      </c>
      <c r="C340" t="str">
        <f t="shared" si="245"/>
        <v>Existing coal large</v>
      </c>
      <c r="D340" s="26">
        <f t="shared" ref="D340:M349" si="246">SUMIF($B$309:$B$334,$C340,D$309:D$334)</f>
        <v>0</v>
      </c>
      <c r="E340" s="26">
        <f t="shared" si="246"/>
        <v>0</v>
      </c>
      <c r="F340" s="26">
        <f t="shared" si="246"/>
        <v>0</v>
      </c>
      <c r="G340" s="26">
        <f t="shared" si="246"/>
        <v>0</v>
      </c>
      <c r="H340" s="26">
        <f t="shared" si="246"/>
        <v>0</v>
      </c>
      <c r="I340" s="26">
        <f t="shared" si="246"/>
        <v>0</v>
      </c>
      <c r="J340" s="26">
        <f t="shared" si="246"/>
        <v>0</v>
      </c>
      <c r="K340" s="26">
        <f t="shared" si="246"/>
        <v>0</v>
      </c>
      <c r="L340" s="26">
        <f t="shared" si="246"/>
        <v>0</v>
      </c>
      <c r="M340" s="26">
        <f t="shared" si="246"/>
        <v>1</v>
      </c>
      <c r="Q340" s="26">
        <f t="shared" ref="Q340:Z349" si="247">SUMIF($B$309:$B$334,$C340,Q$309:Q$334)</f>
        <v>0</v>
      </c>
      <c r="R340" s="26">
        <f t="shared" si="247"/>
        <v>0</v>
      </c>
      <c r="S340" s="26">
        <f t="shared" si="247"/>
        <v>0</v>
      </c>
      <c r="T340" s="26">
        <f t="shared" si="247"/>
        <v>0</v>
      </c>
      <c r="U340" s="26">
        <f t="shared" si="247"/>
        <v>0</v>
      </c>
      <c r="V340" s="26">
        <f t="shared" si="247"/>
        <v>0</v>
      </c>
      <c r="W340" s="26">
        <f t="shared" si="247"/>
        <v>0</v>
      </c>
      <c r="X340" s="26">
        <f t="shared" si="247"/>
        <v>0</v>
      </c>
      <c r="Y340" s="26">
        <f t="shared" si="247"/>
        <v>0</v>
      </c>
      <c r="Z340" s="26">
        <f t="shared" si="247"/>
        <v>1</v>
      </c>
      <c r="AE340" s="26">
        <f t="shared" ref="AE340:AN349" si="248">SUMIF($B$309:$B$334,$C340,AE$309:AE$334)</f>
        <v>0</v>
      </c>
      <c r="AF340" s="26">
        <f t="shared" si="248"/>
        <v>0</v>
      </c>
      <c r="AG340" s="26">
        <f t="shared" si="248"/>
        <v>0</v>
      </c>
      <c r="AH340" s="26">
        <f t="shared" si="248"/>
        <v>0</v>
      </c>
      <c r="AI340" s="26">
        <f t="shared" si="248"/>
        <v>0</v>
      </c>
      <c r="AJ340" s="26">
        <f t="shared" si="248"/>
        <v>0</v>
      </c>
      <c r="AK340" s="26">
        <f t="shared" si="248"/>
        <v>0</v>
      </c>
      <c r="AL340" s="26">
        <f t="shared" si="248"/>
        <v>0</v>
      </c>
      <c r="AM340" s="26">
        <f t="shared" si="248"/>
        <v>0</v>
      </c>
      <c r="AN340" s="26">
        <f t="shared" si="248"/>
        <v>1</v>
      </c>
      <c r="AP340" s="26">
        <f t="shared" ref="AP340:AY349" si="249">SUMIF($B$309:$B$334,$C340,AP$309:AP$334)</f>
        <v>0</v>
      </c>
      <c r="AQ340" s="26">
        <f t="shared" si="249"/>
        <v>0</v>
      </c>
      <c r="AR340" s="26">
        <f t="shared" si="249"/>
        <v>0</v>
      </c>
      <c r="AS340" s="26">
        <f t="shared" si="249"/>
        <v>0</v>
      </c>
      <c r="AT340" s="26">
        <f t="shared" si="249"/>
        <v>0</v>
      </c>
      <c r="AU340" s="26">
        <f t="shared" si="249"/>
        <v>0</v>
      </c>
      <c r="AV340" s="26">
        <f t="shared" si="249"/>
        <v>0</v>
      </c>
      <c r="AW340" s="26">
        <f t="shared" si="249"/>
        <v>0</v>
      </c>
      <c r="AX340" s="26">
        <f t="shared" si="249"/>
        <v>0</v>
      </c>
      <c r="AY340" s="26">
        <f t="shared" si="249"/>
        <v>1</v>
      </c>
      <c r="BA340" s="26">
        <f t="shared" ref="BA340:BJ349" si="250">SUMIF($B$309:$B$334,$C340,BA$309:BA$334)</f>
        <v>1</v>
      </c>
      <c r="BB340" s="26">
        <f t="shared" si="250"/>
        <v>0</v>
      </c>
      <c r="BC340" s="26">
        <f t="shared" si="250"/>
        <v>0</v>
      </c>
      <c r="BD340" s="26">
        <f t="shared" si="250"/>
        <v>0</v>
      </c>
      <c r="BE340" s="26">
        <f t="shared" si="250"/>
        <v>0</v>
      </c>
      <c r="BF340" s="26">
        <f t="shared" si="250"/>
        <v>0</v>
      </c>
      <c r="BG340" s="26">
        <f t="shared" si="250"/>
        <v>0</v>
      </c>
      <c r="BH340" s="26">
        <f t="shared" si="250"/>
        <v>0</v>
      </c>
      <c r="BI340" s="26">
        <f t="shared" si="250"/>
        <v>0</v>
      </c>
      <c r="BJ340" s="26">
        <f t="shared" si="250"/>
        <v>0</v>
      </c>
      <c r="BL340" s="26">
        <f t="shared" ref="BL340:BU349" si="251">SUMIF($B$309:$B$334,$C340,BL$309:BL$334)</f>
        <v>1</v>
      </c>
      <c r="BM340" s="26">
        <f t="shared" si="251"/>
        <v>0</v>
      </c>
      <c r="BN340" s="26">
        <f t="shared" si="251"/>
        <v>0</v>
      </c>
      <c r="BO340" s="26">
        <f t="shared" si="251"/>
        <v>0</v>
      </c>
      <c r="BP340" s="26">
        <f t="shared" si="251"/>
        <v>0</v>
      </c>
      <c r="BQ340" s="26">
        <f t="shared" si="251"/>
        <v>0</v>
      </c>
      <c r="BR340" s="26">
        <f t="shared" si="251"/>
        <v>0</v>
      </c>
      <c r="BS340" s="26">
        <f t="shared" si="251"/>
        <v>0</v>
      </c>
      <c r="BT340" s="26">
        <f t="shared" si="251"/>
        <v>0</v>
      </c>
      <c r="BU340" s="26">
        <f t="shared" si="251"/>
        <v>0</v>
      </c>
    </row>
    <row r="341" spans="2:73">
      <c r="B341" t="str">
        <f t="shared" si="245"/>
        <v>Existing coal Small</v>
      </c>
      <c r="C341" t="str">
        <f t="shared" si="245"/>
        <v>Existing coal small</v>
      </c>
      <c r="D341" s="26">
        <f t="shared" si="246"/>
        <v>0</v>
      </c>
      <c r="E341" s="26">
        <f t="shared" si="246"/>
        <v>0</v>
      </c>
      <c r="F341" s="26">
        <f t="shared" si="246"/>
        <v>0</v>
      </c>
      <c r="G341" s="26">
        <f t="shared" si="246"/>
        <v>0</v>
      </c>
      <c r="H341" s="26">
        <f t="shared" si="246"/>
        <v>0</v>
      </c>
      <c r="I341" s="26">
        <f t="shared" si="246"/>
        <v>0</v>
      </c>
      <c r="J341" s="26">
        <f t="shared" si="246"/>
        <v>0</v>
      </c>
      <c r="K341" s="26">
        <f t="shared" si="246"/>
        <v>0</v>
      </c>
      <c r="L341" s="26">
        <f t="shared" si="246"/>
        <v>0</v>
      </c>
      <c r="M341" s="26">
        <f t="shared" si="246"/>
        <v>1</v>
      </c>
      <c r="Q341" s="26">
        <f t="shared" si="247"/>
        <v>0</v>
      </c>
      <c r="R341" s="26">
        <f t="shared" si="247"/>
        <v>0</v>
      </c>
      <c r="S341" s="26">
        <f t="shared" si="247"/>
        <v>0</v>
      </c>
      <c r="T341" s="26">
        <f t="shared" si="247"/>
        <v>0</v>
      </c>
      <c r="U341" s="26">
        <f t="shared" si="247"/>
        <v>0</v>
      </c>
      <c r="V341" s="26">
        <f t="shared" si="247"/>
        <v>0</v>
      </c>
      <c r="W341" s="26">
        <f t="shared" si="247"/>
        <v>0</v>
      </c>
      <c r="X341" s="26">
        <f t="shared" si="247"/>
        <v>0</v>
      </c>
      <c r="Y341" s="26">
        <f t="shared" si="247"/>
        <v>0</v>
      </c>
      <c r="Z341" s="26">
        <f t="shared" si="247"/>
        <v>1</v>
      </c>
      <c r="AE341" s="26">
        <f t="shared" si="248"/>
        <v>0</v>
      </c>
      <c r="AF341" s="26">
        <f t="shared" si="248"/>
        <v>0</v>
      </c>
      <c r="AG341" s="26">
        <f t="shared" si="248"/>
        <v>0</v>
      </c>
      <c r="AH341" s="26">
        <f t="shared" si="248"/>
        <v>0</v>
      </c>
      <c r="AI341" s="26">
        <f t="shared" si="248"/>
        <v>0</v>
      </c>
      <c r="AJ341" s="26">
        <f t="shared" si="248"/>
        <v>0</v>
      </c>
      <c r="AK341" s="26">
        <f t="shared" si="248"/>
        <v>0</v>
      </c>
      <c r="AL341" s="26">
        <f t="shared" si="248"/>
        <v>0</v>
      </c>
      <c r="AM341" s="26">
        <f t="shared" si="248"/>
        <v>0</v>
      </c>
      <c r="AN341" s="26">
        <f t="shared" si="248"/>
        <v>1</v>
      </c>
      <c r="AP341" s="26">
        <f t="shared" si="249"/>
        <v>0</v>
      </c>
      <c r="AQ341" s="26">
        <f t="shared" si="249"/>
        <v>0</v>
      </c>
      <c r="AR341" s="26">
        <f t="shared" si="249"/>
        <v>0</v>
      </c>
      <c r="AS341" s="26">
        <f t="shared" si="249"/>
        <v>0</v>
      </c>
      <c r="AT341" s="26">
        <f t="shared" si="249"/>
        <v>0</v>
      </c>
      <c r="AU341" s="26">
        <f t="shared" si="249"/>
        <v>0</v>
      </c>
      <c r="AV341" s="26">
        <f t="shared" si="249"/>
        <v>0</v>
      </c>
      <c r="AW341" s="26">
        <f t="shared" si="249"/>
        <v>0</v>
      </c>
      <c r="AX341" s="26">
        <f t="shared" si="249"/>
        <v>0</v>
      </c>
      <c r="AY341" s="26">
        <f t="shared" si="249"/>
        <v>1</v>
      </c>
      <c r="BA341" s="26">
        <f t="shared" si="250"/>
        <v>1</v>
      </c>
      <c r="BB341" s="26">
        <f t="shared" si="250"/>
        <v>0</v>
      </c>
      <c r="BC341" s="26">
        <f t="shared" si="250"/>
        <v>0</v>
      </c>
      <c r="BD341" s="26">
        <f t="shared" si="250"/>
        <v>0</v>
      </c>
      <c r="BE341" s="26">
        <f t="shared" si="250"/>
        <v>0</v>
      </c>
      <c r="BF341" s="26">
        <f t="shared" si="250"/>
        <v>0</v>
      </c>
      <c r="BG341" s="26">
        <f t="shared" si="250"/>
        <v>0</v>
      </c>
      <c r="BH341" s="26">
        <f t="shared" si="250"/>
        <v>0</v>
      </c>
      <c r="BI341" s="26">
        <f t="shared" si="250"/>
        <v>0</v>
      </c>
      <c r="BJ341" s="26">
        <f t="shared" si="250"/>
        <v>0</v>
      </c>
      <c r="BL341" s="26">
        <f t="shared" si="251"/>
        <v>1</v>
      </c>
      <c r="BM341" s="26">
        <f t="shared" si="251"/>
        <v>0</v>
      </c>
      <c r="BN341" s="26">
        <f t="shared" si="251"/>
        <v>0</v>
      </c>
      <c r="BO341" s="26">
        <f t="shared" si="251"/>
        <v>0</v>
      </c>
      <c r="BP341" s="26">
        <f t="shared" si="251"/>
        <v>0</v>
      </c>
      <c r="BQ341" s="26">
        <f t="shared" si="251"/>
        <v>0</v>
      </c>
      <c r="BR341" s="26">
        <f t="shared" si="251"/>
        <v>0</v>
      </c>
      <c r="BS341" s="26">
        <f t="shared" si="251"/>
        <v>0</v>
      </c>
      <c r="BT341" s="26">
        <f t="shared" si="251"/>
        <v>0</v>
      </c>
      <c r="BU341" s="26">
        <f t="shared" si="251"/>
        <v>0</v>
      </c>
    </row>
    <row r="342" spans="2:73">
      <c r="B342" t="str">
        <f t="shared" si="245"/>
        <v>OCGT liquid fuels</v>
      </c>
      <c r="C342" t="str">
        <f t="shared" si="245"/>
        <v>Open-Cycle Gas Turbine diesel</v>
      </c>
      <c r="D342" s="26">
        <f t="shared" si="246"/>
        <v>0</v>
      </c>
      <c r="E342" s="26">
        <f t="shared" si="246"/>
        <v>0</v>
      </c>
      <c r="F342" s="26">
        <f t="shared" si="246"/>
        <v>0</v>
      </c>
      <c r="G342" s="26">
        <f t="shared" si="246"/>
        <v>0</v>
      </c>
      <c r="H342" s="26">
        <f t="shared" si="246"/>
        <v>0</v>
      </c>
      <c r="I342" s="26">
        <f t="shared" si="246"/>
        <v>0</v>
      </c>
      <c r="J342" s="26">
        <f t="shared" si="246"/>
        <v>0</v>
      </c>
      <c r="K342" s="26">
        <f t="shared" si="246"/>
        <v>0.05</v>
      </c>
      <c r="L342" s="26">
        <f t="shared" si="246"/>
        <v>0.2</v>
      </c>
      <c r="M342" s="26">
        <f t="shared" si="246"/>
        <v>0.75</v>
      </c>
      <c r="Q342" s="26">
        <f t="shared" si="247"/>
        <v>0</v>
      </c>
      <c r="R342" s="26">
        <f t="shared" si="247"/>
        <v>0</v>
      </c>
      <c r="S342" s="26">
        <f t="shared" si="247"/>
        <v>0</v>
      </c>
      <c r="T342" s="26">
        <f t="shared" si="247"/>
        <v>0</v>
      </c>
      <c r="U342" s="26">
        <f t="shared" si="247"/>
        <v>0</v>
      </c>
      <c r="V342" s="26">
        <f t="shared" si="247"/>
        <v>0</v>
      </c>
      <c r="W342" s="26">
        <f t="shared" si="247"/>
        <v>0</v>
      </c>
      <c r="X342" s="26">
        <f t="shared" si="247"/>
        <v>6.0500000000000012E-2</v>
      </c>
      <c r="Y342" s="26">
        <f t="shared" si="247"/>
        <v>0.22000000000000003</v>
      </c>
      <c r="Z342" s="26">
        <f t="shared" si="247"/>
        <v>0.75</v>
      </c>
      <c r="AE342" s="26">
        <f t="shared" si="248"/>
        <v>0</v>
      </c>
      <c r="AF342" s="26">
        <f t="shared" si="248"/>
        <v>0</v>
      </c>
      <c r="AG342" s="26">
        <f t="shared" si="248"/>
        <v>0</v>
      </c>
      <c r="AH342" s="26">
        <f t="shared" si="248"/>
        <v>0</v>
      </c>
      <c r="AI342" s="26">
        <f t="shared" si="248"/>
        <v>0</v>
      </c>
      <c r="AJ342" s="26">
        <f t="shared" si="248"/>
        <v>0</v>
      </c>
      <c r="AK342" s="26">
        <f t="shared" si="248"/>
        <v>0</v>
      </c>
      <c r="AL342" s="26">
        <f t="shared" si="248"/>
        <v>4.8520135856380403E-2</v>
      </c>
      <c r="AM342" s="26">
        <f t="shared" si="248"/>
        <v>0.19408054342552161</v>
      </c>
      <c r="AN342" s="26">
        <f t="shared" si="248"/>
        <v>0.72780203784570596</v>
      </c>
      <c r="AP342" s="26">
        <f t="shared" si="249"/>
        <v>0</v>
      </c>
      <c r="AQ342" s="26">
        <f t="shared" si="249"/>
        <v>0</v>
      </c>
      <c r="AR342" s="26">
        <f t="shared" si="249"/>
        <v>0</v>
      </c>
      <c r="AS342" s="26">
        <f t="shared" si="249"/>
        <v>0</v>
      </c>
      <c r="AT342" s="26">
        <f t="shared" si="249"/>
        <v>0</v>
      </c>
      <c r="AU342" s="26">
        <f t="shared" si="249"/>
        <v>0</v>
      </c>
      <c r="AV342" s="26">
        <f t="shared" si="249"/>
        <v>0</v>
      </c>
      <c r="AW342" s="26">
        <f t="shared" si="249"/>
        <v>4.8520135856380403E-2</v>
      </c>
      <c r="AX342" s="26">
        <f t="shared" si="249"/>
        <v>0.19893255701115964</v>
      </c>
      <c r="AY342" s="26">
        <f t="shared" si="249"/>
        <v>0.75254730713245999</v>
      </c>
      <c r="BA342" s="26">
        <f t="shared" si="250"/>
        <v>0.72780203784570596</v>
      </c>
      <c r="BB342" s="26">
        <f t="shared" si="250"/>
        <v>0.19408054342552161</v>
      </c>
      <c r="BC342" s="26">
        <f t="shared" si="250"/>
        <v>4.8520135856380403E-2</v>
      </c>
      <c r="BD342" s="26">
        <f t="shared" si="250"/>
        <v>0</v>
      </c>
      <c r="BE342" s="26">
        <f t="shared" si="250"/>
        <v>0</v>
      </c>
      <c r="BF342" s="26">
        <f t="shared" si="250"/>
        <v>0</v>
      </c>
      <c r="BG342" s="26">
        <f t="shared" si="250"/>
        <v>0</v>
      </c>
      <c r="BH342" s="26">
        <f t="shared" si="250"/>
        <v>0</v>
      </c>
      <c r="BI342" s="26">
        <f t="shared" si="250"/>
        <v>0</v>
      </c>
      <c r="BJ342" s="26">
        <f t="shared" si="250"/>
        <v>0</v>
      </c>
      <c r="BL342" s="26">
        <f t="shared" si="251"/>
        <v>0.75254730713245999</v>
      </c>
      <c r="BM342" s="26">
        <f t="shared" si="251"/>
        <v>0.19893255701115964</v>
      </c>
      <c r="BN342" s="26">
        <f t="shared" si="251"/>
        <v>4.8520135856380403E-2</v>
      </c>
      <c r="BO342" s="26">
        <f t="shared" si="251"/>
        <v>0</v>
      </c>
      <c r="BP342" s="26">
        <f t="shared" si="251"/>
        <v>0</v>
      </c>
      <c r="BQ342" s="26">
        <f t="shared" si="251"/>
        <v>0</v>
      </c>
      <c r="BR342" s="26">
        <f t="shared" si="251"/>
        <v>0</v>
      </c>
      <c r="BS342" s="26">
        <f t="shared" si="251"/>
        <v>0</v>
      </c>
      <c r="BT342" s="26">
        <f t="shared" si="251"/>
        <v>0</v>
      </c>
      <c r="BU342" s="26">
        <f t="shared" si="251"/>
        <v>0</v>
      </c>
    </row>
    <row r="343" spans="2:73">
      <c r="B343" t="str">
        <f t="shared" si="245"/>
        <v>PWR nuclear</v>
      </c>
      <c r="C343" t="str">
        <f t="shared" si="245"/>
        <v>Nuclear Pressurised Water Reactor</v>
      </c>
      <c r="D343" s="26">
        <f t="shared" si="246"/>
        <v>0.05</v>
      </c>
      <c r="E343" s="26">
        <f t="shared" si="246"/>
        <v>0.05</v>
      </c>
      <c r="F343" s="26">
        <f t="shared" si="246"/>
        <v>0.05</v>
      </c>
      <c r="G343" s="26">
        <f t="shared" si="246"/>
        <v>0.05</v>
      </c>
      <c r="H343" s="26">
        <f t="shared" si="246"/>
        <v>0.08</v>
      </c>
      <c r="I343" s="26">
        <f t="shared" si="246"/>
        <v>0.04</v>
      </c>
      <c r="J343" s="26">
        <f t="shared" si="246"/>
        <v>6.4000000000000001E-2</v>
      </c>
      <c r="K343" s="26">
        <f t="shared" si="246"/>
        <v>0.2</v>
      </c>
      <c r="L343" s="26">
        <f t="shared" si="246"/>
        <v>0.2</v>
      </c>
      <c r="M343" s="26">
        <f t="shared" si="246"/>
        <v>0.21600000000000003</v>
      </c>
      <c r="Q343" s="26">
        <f t="shared" si="247"/>
        <v>0.11789738455000008</v>
      </c>
      <c r="R343" s="26">
        <f t="shared" si="247"/>
        <v>0.10717944050000007</v>
      </c>
      <c r="S343" s="26">
        <f t="shared" si="247"/>
        <v>9.7435855000000057E-2</v>
      </c>
      <c r="T343" s="26">
        <f t="shared" si="247"/>
        <v>8.8578050000000033E-2</v>
      </c>
      <c r="U343" s="26">
        <f t="shared" si="247"/>
        <v>0.12884080000000006</v>
      </c>
      <c r="V343" s="26">
        <f t="shared" si="247"/>
        <v>5.8564000000000019E-2</v>
      </c>
      <c r="W343" s="26">
        <f t="shared" si="247"/>
        <v>8.5184000000000024E-2</v>
      </c>
      <c r="X343" s="26">
        <f t="shared" si="247"/>
        <v>0.24200000000000005</v>
      </c>
      <c r="Y343" s="26">
        <f t="shared" si="247"/>
        <v>0.22000000000000003</v>
      </c>
      <c r="Z343" s="26">
        <f t="shared" si="247"/>
        <v>0.21600000000000003</v>
      </c>
      <c r="AE343" s="26">
        <f t="shared" si="248"/>
        <v>3.6719359362157721E-2</v>
      </c>
      <c r="AF343" s="26">
        <f t="shared" si="248"/>
        <v>3.6719359362157721E-2</v>
      </c>
      <c r="AG343" s="26">
        <f t="shared" si="248"/>
        <v>3.6719359362157721E-2</v>
      </c>
      <c r="AH343" s="26">
        <f t="shared" si="248"/>
        <v>3.6719359362157721E-2</v>
      </c>
      <c r="AI343" s="26">
        <f t="shared" si="248"/>
        <v>5.875097497945235E-2</v>
      </c>
      <c r="AJ343" s="26">
        <f t="shared" si="248"/>
        <v>2.9375487489726175E-2</v>
      </c>
      <c r="AK343" s="26">
        <f t="shared" si="248"/>
        <v>4.7000779983561877E-2</v>
      </c>
      <c r="AL343" s="26">
        <f t="shared" si="248"/>
        <v>0.14687743744863088</v>
      </c>
      <c r="AM343" s="26">
        <f t="shared" si="248"/>
        <v>0.14687743744863088</v>
      </c>
      <c r="AN343" s="26">
        <f t="shared" si="248"/>
        <v>0.15862763244452135</v>
      </c>
      <c r="AP343" s="26">
        <f t="shared" si="249"/>
        <v>3.6719359362157721E-2</v>
      </c>
      <c r="AQ343" s="26">
        <f t="shared" si="249"/>
        <v>4.0391295298373493E-2</v>
      </c>
      <c r="AR343" s="26">
        <f t="shared" si="249"/>
        <v>4.4430424828210843E-2</v>
      </c>
      <c r="AS343" s="26">
        <f t="shared" si="249"/>
        <v>4.8873467311031926E-2</v>
      </c>
      <c r="AT343" s="26">
        <f t="shared" si="249"/>
        <v>7.5792429659429755E-2</v>
      </c>
      <c r="AU343" s="26">
        <f t="shared" si="249"/>
        <v>5.3996185135646552E-2</v>
      </c>
      <c r="AV343" s="26">
        <f t="shared" si="249"/>
        <v>7.7021096143046905E-2</v>
      </c>
      <c r="AW343" s="26">
        <f t="shared" si="249"/>
        <v>0.18459986322242061</v>
      </c>
      <c r="AX343" s="26">
        <f t="shared" si="249"/>
        <v>0.20305984954466266</v>
      </c>
      <c r="AY343" s="26">
        <f t="shared" si="249"/>
        <v>0.23511602949501942</v>
      </c>
      <c r="BA343" s="26">
        <f t="shared" si="250"/>
        <v>0.15862763244452135</v>
      </c>
      <c r="BB343" s="26">
        <f t="shared" si="250"/>
        <v>0.14687743744863088</v>
      </c>
      <c r="BC343" s="26">
        <f t="shared" si="250"/>
        <v>0.14687743744863088</v>
      </c>
      <c r="BD343" s="26">
        <f t="shared" si="250"/>
        <v>4.7000779983561877E-2</v>
      </c>
      <c r="BE343" s="26">
        <f t="shared" si="250"/>
        <v>2.9375487489726175E-2</v>
      </c>
      <c r="BF343" s="26">
        <f t="shared" si="250"/>
        <v>5.875097497945235E-2</v>
      </c>
      <c r="BG343" s="26">
        <f t="shared" si="250"/>
        <v>3.6719359362157721E-2</v>
      </c>
      <c r="BH343" s="26">
        <f t="shared" si="250"/>
        <v>3.6719359362157721E-2</v>
      </c>
      <c r="BI343" s="26">
        <f t="shared" si="250"/>
        <v>3.6719359362157721E-2</v>
      </c>
      <c r="BJ343" s="26">
        <f t="shared" si="250"/>
        <v>3.6719359362157721E-2</v>
      </c>
      <c r="BL343" s="26">
        <f t="shared" si="251"/>
        <v>0.23511602949501942</v>
      </c>
      <c r="BM343" s="26">
        <f t="shared" si="251"/>
        <v>0.20305984954466266</v>
      </c>
      <c r="BN343" s="26">
        <f t="shared" si="251"/>
        <v>0.18459986322242061</v>
      </c>
      <c r="BO343" s="26">
        <f t="shared" si="251"/>
        <v>7.7021096143046905E-2</v>
      </c>
      <c r="BP343" s="26">
        <f t="shared" si="251"/>
        <v>5.3996185135646552E-2</v>
      </c>
      <c r="BQ343" s="26">
        <f t="shared" si="251"/>
        <v>7.5792429659429755E-2</v>
      </c>
      <c r="BR343" s="26">
        <f t="shared" si="251"/>
        <v>4.8873467311031926E-2</v>
      </c>
      <c r="BS343" s="26">
        <f t="shared" si="251"/>
        <v>4.4430424828210843E-2</v>
      </c>
      <c r="BT343" s="26">
        <f t="shared" si="251"/>
        <v>4.0391295298373493E-2</v>
      </c>
      <c r="BU343" s="26">
        <f t="shared" si="251"/>
        <v>3.6719359362157721E-2</v>
      </c>
    </row>
    <row r="344" spans="2:73">
      <c r="B344" t="str">
        <f t="shared" si="245"/>
        <v>Hydro</v>
      </c>
      <c r="C344" t="str">
        <f t="shared" si="245"/>
        <v>Hydro existing</v>
      </c>
      <c r="D344" s="26">
        <f t="shared" si="246"/>
        <v>0</v>
      </c>
      <c r="E344" s="26">
        <f t="shared" si="246"/>
        <v>0</v>
      </c>
      <c r="F344" s="26">
        <f t="shared" si="246"/>
        <v>0</v>
      </c>
      <c r="G344" s="26">
        <f t="shared" si="246"/>
        <v>0</v>
      </c>
      <c r="H344" s="26">
        <f t="shared" si="246"/>
        <v>0</v>
      </c>
      <c r="I344" s="26">
        <f t="shared" si="246"/>
        <v>0</v>
      </c>
      <c r="J344" s="26">
        <f t="shared" si="246"/>
        <v>0</v>
      </c>
      <c r="K344" s="26">
        <f t="shared" si="246"/>
        <v>0</v>
      </c>
      <c r="L344" s="26">
        <f t="shared" si="246"/>
        <v>0</v>
      </c>
      <c r="M344" s="26">
        <f t="shared" si="246"/>
        <v>1</v>
      </c>
      <c r="Q344" s="26">
        <f t="shared" si="247"/>
        <v>0</v>
      </c>
      <c r="R344" s="26">
        <f t="shared" si="247"/>
        <v>0</v>
      </c>
      <c r="S344" s="26">
        <f t="shared" si="247"/>
        <v>0</v>
      </c>
      <c r="T344" s="26">
        <f t="shared" si="247"/>
        <v>0</v>
      </c>
      <c r="U344" s="26">
        <f t="shared" si="247"/>
        <v>0</v>
      </c>
      <c r="V344" s="26">
        <f t="shared" si="247"/>
        <v>0</v>
      </c>
      <c r="W344" s="26">
        <f t="shared" si="247"/>
        <v>0</v>
      </c>
      <c r="X344" s="26">
        <f t="shared" si="247"/>
        <v>0</v>
      </c>
      <c r="Y344" s="26">
        <f t="shared" si="247"/>
        <v>0</v>
      </c>
      <c r="Z344" s="26">
        <f t="shared" si="247"/>
        <v>1</v>
      </c>
      <c r="AE344" s="26">
        <f t="shared" si="248"/>
        <v>0</v>
      </c>
      <c r="AF344" s="26">
        <f t="shared" si="248"/>
        <v>0</v>
      </c>
      <c r="AG344" s="26">
        <f t="shared" si="248"/>
        <v>0</v>
      </c>
      <c r="AH344" s="26">
        <f t="shared" si="248"/>
        <v>0</v>
      </c>
      <c r="AI344" s="26">
        <f t="shared" si="248"/>
        <v>0</v>
      </c>
      <c r="AJ344" s="26">
        <f t="shared" si="248"/>
        <v>0</v>
      </c>
      <c r="AK344" s="26">
        <f t="shared" si="248"/>
        <v>0</v>
      </c>
      <c r="AL344" s="26">
        <f t="shared" si="248"/>
        <v>0</v>
      </c>
      <c r="AM344" s="26">
        <f t="shared" si="248"/>
        <v>0</v>
      </c>
      <c r="AN344" s="26">
        <f t="shared" si="248"/>
        <v>1</v>
      </c>
      <c r="AP344" s="26">
        <f t="shared" si="249"/>
        <v>0</v>
      </c>
      <c r="AQ344" s="26">
        <f t="shared" si="249"/>
        <v>0</v>
      </c>
      <c r="AR344" s="26">
        <f t="shared" si="249"/>
        <v>0</v>
      </c>
      <c r="AS344" s="26">
        <f t="shared" si="249"/>
        <v>0</v>
      </c>
      <c r="AT344" s="26">
        <f t="shared" si="249"/>
        <v>0</v>
      </c>
      <c r="AU344" s="26">
        <f t="shared" si="249"/>
        <v>0</v>
      </c>
      <c r="AV344" s="26">
        <f t="shared" si="249"/>
        <v>0</v>
      </c>
      <c r="AW344" s="26">
        <f t="shared" si="249"/>
        <v>0</v>
      </c>
      <c r="AX344" s="26">
        <f t="shared" si="249"/>
        <v>0</v>
      </c>
      <c r="AY344" s="26">
        <f t="shared" si="249"/>
        <v>1</v>
      </c>
      <c r="BA344" s="26">
        <f t="shared" si="250"/>
        <v>1</v>
      </c>
      <c r="BB344" s="26">
        <f t="shared" si="250"/>
        <v>0</v>
      </c>
      <c r="BC344" s="26">
        <f t="shared" si="250"/>
        <v>0</v>
      </c>
      <c r="BD344" s="26">
        <f t="shared" si="250"/>
        <v>0</v>
      </c>
      <c r="BE344" s="26">
        <f t="shared" si="250"/>
        <v>0</v>
      </c>
      <c r="BF344" s="26">
        <f t="shared" si="250"/>
        <v>0</v>
      </c>
      <c r="BG344" s="26">
        <f t="shared" si="250"/>
        <v>0</v>
      </c>
      <c r="BH344" s="26">
        <f t="shared" si="250"/>
        <v>0</v>
      </c>
      <c r="BI344" s="26">
        <f t="shared" si="250"/>
        <v>0</v>
      </c>
      <c r="BJ344" s="26">
        <f t="shared" si="250"/>
        <v>0</v>
      </c>
      <c r="BL344" s="26">
        <f t="shared" si="251"/>
        <v>1</v>
      </c>
      <c r="BM344" s="26">
        <f t="shared" si="251"/>
        <v>0</v>
      </c>
      <c r="BN344" s="26">
        <f t="shared" si="251"/>
        <v>0</v>
      </c>
      <c r="BO344" s="26">
        <f t="shared" si="251"/>
        <v>0</v>
      </c>
      <c r="BP344" s="26">
        <f t="shared" si="251"/>
        <v>0</v>
      </c>
      <c r="BQ344" s="26">
        <f t="shared" si="251"/>
        <v>0</v>
      </c>
      <c r="BR344" s="26">
        <f t="shared" si="251"/>
        <v>0</v>
      </c>
      <c r="BS344" s="26">
        <f t="shared" si="251"/>
        <v>0</v>
      </c>
      <c r="BT344" s="26">
        <f t="shared" si="251"/>
        <v>0</v>
      </c>
      <c r="BU344" s="26">
        <f t="shared" si="251"/>
        <v>0</v>
      </c>
    </row>
    <row r="345" spans="2:73">
      <c r="B345" t="str">
        <f t="shared" si="245"/>
        <v>Landfill gas</v>
      </c>
      <c r="C345" t="str">
        <f t="shared" si="245"/>
        <v>Landfill gas</v>
      </c>
      <c r="D345" s="26">
        <f t="shared" si="246"/>
        <v>0</v>
      </c>
      <c r="E345" s="26">
        <f t="shared" si="246"/>
        <v>0</v>
      </c>
      <c r="F345" s="26">
        <f t="shared" si="246"/>
        <v>0</v>
      </c>
      <c r="G345" s="26">
        <f t="shared" si="246"/>
        <v>0</v>
      </c>
      <c r="H345" s="26">
        <f t="shared" si="246"/>
        <v>0</v>
      </c>
      <c r="I345" s="26">
        <f t="shared" si="246"/>
        <v>0</v>
      </c>
      <c r="J345" s="26">
        <f t="shared" si="246"/>
        <v>0</v>
      </c>
      <c r="K345" s="26">
        <f t="shared" si="246"/>
        <v>0</v>
      </c>
      <c r="L345" s="26">
        <f t="shared" si="246"/>
        <v>0</v>
      </c>
      <c r="M345" s="26">
        <f t="shared" si="246"/>
        <v>1</v>
      </c>
      <c r="Q345" s="26">
        <f t="shared" si="247"/>
        <v>0</v>
      </c>
      <c r="R345" s="26">
        <f t="shared" si="247"/>
        <v>0</v>
      </c>
      <c r="S345" s="26">
        <f t="shared" si="247"/>
        <v>0</v>
      </c>
      <c r="T345" s="26">
        <f t="shared" si="247"/>
        <v>0</v>
      </c>
      <c r="U345" s="26">
        <f t="shared" si="247"/>
        <v>0</v>
      </c>
      <c r="V345" s="26">
        <f t="shared" si="247"/>
        <v>0</v>
      </c>
      <c r="W345" s="26">
        <f t="shared" si="247"/>
        <v>0</v>
      </c>
      <c r="X345" s="26">
        <f t="shared" si="247"/>
        <v>0</v>
      </c>
      <c r="Y345" s="26">
        <f t="shared" si="247"/>
        <v>0</v>
      </c>
      <c r="Z345" s="26">
        <f t="shared" si="247"/>
        <v>1</v>
      </c>
      <c r="AE345" s="26">
        <f t="shared" si="248"/>
        <v>0</v>
      </c>
      <c r="AF345" s="26">
        <f t="shared" si="248"/>
        <v>0</v>
      </c>
      <c r="AG345" s="26">
        <f t="shared" si="248"/>
        <v>0</v>
      </c>
      <c r="AH345" s="26">
        <f t="shared" si="248"/>
        <v>0</v>
      </c>
      <c r="AI345" s="26">
        <f t="shared" si="248"/>
        <v>0</v>
      </c>
      <c r="AJ345" s="26">
        <f t="shared" si="248"/>
        <v>0</v>
      </c>
      <c r="AK345" s="26">
        <f t="shared" si="248"/>
        <v>0</v>
      </c>
      <c r="AL345" s="26">
        <f t="shared" si="248"/>
        <v>0</v>
      </c>
      <c r="AM345" s="26">
        <f t="shared" si="248"/>
        <v>0</v>
      </c>
      <c r="AN345" s="26">
        <f t="shared" si="248"/>
        <v>1</v>
      </c>
      <c r="AP345" s="26">
        <f t="shared" si="249"/>
        <v>0</v>
      </c>
      <c r="AQ345" s="26">
        <f t="shared" si="249"/>
        <v>0</v>
      </c>
      <c r="AR345" s="26">
        <f t="shared" si="249"/>
        <v>0</v>
      </c>
      <c r="AS345" s="26">
        <f t="shared" si="249"/>
        <v>0</v>
      </c>
      <c r="AT345" s="26">
        <f t="shared" si="249"/>
        <v>0</v>
      </c>
      <c r="AU345" s="26">
        <f t="shared" si="249"/>
        <v>0</v>
      </c>
      <c r="AV345" s="26">
        <f t="shared" si="249"/>
        <v>0</v>
      </c>
      <c r="AW345" s="26">
        <f t="shared" si="249"/>
        <v>0</v>
      </c>
      <c r="AX345" s="26">
        <f t="shared" si="249"/>
        <v>0</v>
      </c>
      <c r="AY345" s="26">
        <f t="shared" si="249"/>
        <v>1</v>
      </c>
      <c r="BA345" s="26">
        <f t="shared" si="250"/>
        <v>1</v>
      </c>
      <c r="BB345" s="26">
        <f t="shared" si="250"/>
        <v>0</v>
      </c>
      <c r="BC345" s="26">
        <f t="shared" si="250"/>
        <v>0</v>
      </c>
      <c r="BD345" s="26">
        <f t="shared" si="250"/>
        <v>0</v>
      </c>
      <c r="BE345" s="26">
        <f t="shared" si="250"/>
        <v>0</v>
      </c>
      <c r="BF345" s="26">
        <f t="shared" si="250"/>
        <v>0</v>
      </c>
      <c r="BG345" s="26">
        <f t="shared" si="250"/>
        <v>0</v>
      </c>
      <c r="BH345" s="26">
        <f t="shared" si="250"/>
        <v>0</v>
      </c>
      <c r="BI345" s="26">
        <f t="shared" si="250"/>
        <v>0</v>
      </c>
      <c r="BJ345" s="26">
        <f t="shared" si="250"/>
        <v>0</v>
      </c>
      <c r="BL345" s="26">
        <f t="shared" si="251"/>
        <v>1</v>
      </c>
      <c r="BM345" s="26">
        <f t="shared" si="251"/>
        <v>0</v>
      </c>
      <c r="BN345" s="26">
        <f t="shared" si="251"/>
        <v>0</v>
      </c>
      <c r="BO345" s="26">
        <f t="shared" si="251"/>
        <v>0</v>
      </c>
      <c r="BP345" s="26">
        <f t="shared" si="251"/>
        <v>0</v>
      </c>
      <c r="BQ345" s="26">
        <f t="shared" si="251"/>
        <v>0</v>
      </c>
      <c r="BR345" s="26">
        <f t="shared" si="251"/>
        <v>0</v>
      </c>
      <c r="BS345" s="26">
        <f t="shared" si="251"/>
        <v>0</v>
      </c>
      <c r="BT345" s="26">
        <f t="shared" si="251"/>
        <v>0</v>
      </c>
      <c r="BU345" s="26">
        <f t="shared" si="251"/>
        <v>0</v>
      </c>
    </row>
    <row r="346" spans="2:73">
      <c r="B346" t="str">
        <f t="shared" si="245"/>
        <v>Biomass</v>
      </c>
      <c r="C346" t="str">
        <f t="shared" si="245"/>
        <v>Biomass</v>
      </c>
      <c r="D346" s="26">
        <f t="shared" si="246"/>
        <v>0</v>
      </c>
      <c r="E346" s="26">
        <f t="shared" si="246"/>
        <v>0</v>
      </c>
      <c r="F346" s="26">
        <f t="shared" si="246"/>
        <v>0</v>
      </c>
      <c r="G346" s="26">
        <f t="shared" si="246"/>
        <v>0</v>
      </c>
      <c r="H346" s="26">
        <f t="shared" si="246"/>
        <v>0</v>
      </c>
      <c r="I346" s="26">
        <f t="shared" si="246"/>
        <v>0</v>
      </c>
      <c r="J346" s="26">
        <f t="shared" si="246"/>
        <v>0</v>
      </c>
      <c r="K346" s="26">
        <f t="shared" si="246"/>
        <v>0</v>
      </c>
      <c r="L346" s="26">
        <f t="shared" si="246"/>
        <v>0</v>
      </c>
      <c r="M346" s="26">
        <f t="shared" si="246"/>
        <v>1</v>
      </c>
      <c r="Q346" s="26">
        <f t="shared" si="247"/>
        <v>0</v>
      </c>
      <c r="R346" s="26">
        <f t="shared" si="247"/>
        <v>0</v>
      </c>
      <c r="S346" s="26">
        <f t="shared" si="247"/>
        <v>0</v>
      </c>
      <c r="T346" s="26">
        <f t="shared" si="247"/>
        <v>0</v>
      </c>
      <c r="U346" s="26">
        <f t="shared" si="247"/>
        <v>0</v>
      </c>
      <c r="V346" s="26">
        <f t="shared" si="247"/>
        <v>0</v>
      </c>
      <c r="W346" s="26">
        <f t="shared" si="247"/>
        <v>0</v>
      </c>
      <c r="X346" s="26">
        <f t="shared" si="247"/>
        <v>0</v>
      </c>
      <c r="Y346" s="26">
        <f t="shared" si="247"/>
        <v>0</v>
      </c>
      <c r="Z346" s="26">
        <f t="shared" si="247"/>
        <v>1</v>
      </c>
      <c r="AE346" s="26">
        <f t="shared" si="248"/>
        <v>0</v>
      </c>
      <c r="AF346" s="26">
        <f t="shared" si="248"/>
        <v>0</v>
      </c>
      <c r="AG346" s="26">
        <f t="shared" si="248"/>
        <v>0</v>
      </c>
      <c r="AH346" s="26">
        <f t="shared" si="248"/>
        <v>0</v>
      </c>
      <c r="AI346" s="26">
        <f t="shared" si="248"/>
        <v>0</v>
      </c>
      <c r="AJ346" s="26">
        <f t="shared" si="248"/>
        <v>0</v>
      </c>
      <c r="AK346" s="26">
        <f t="shared" si="248"/>
        <v>0</v>
      </c>
      <c r="AL346" s="26">
        <f t="shared" si="248"/>
        <v>0</v>
      </c>
      <c r="AM346" s="26">
        <f t="shared" si="248"/>
        <v>0</v>
      </c>
      <c r="AN346" s="26">
        <f t="shared" si="248"/>
        <v>1</v>
      </c>
      <c r="AP346" s="26">
        <f t="shared" si="249"/>
        <v>0</v>
      </c>
      <c r="AQ346" s="26">
        <f t="shared" si="249"/>
        <v>0</v>
      </c>
      <c r="AR346" s="26">
        <f t="shared" si="249"/>
        <v>0</v>
      </c>
      <c r="AS346" s="26">
        <f t="shared" si="249"/>
        <v>0</v>
      </c>
      <c r="AT346" s="26">
        <f t="shared" si="249"/>
        <v>0</v>
      </c>
      <c r="AU346" s="26">
        <f t="shared" si="249"/>
        <v>0</v>
      </c>
      <c r="AV346" s="26">
        <f t="shared" si="249"/>
        <v>0</v>
      </c>
      <c r="AW346" s="26">
        <f t="shared" si="249"/>
        <v>0</v>
      </c>
      <c r="AX346" s="26">
        <f t="shared" si="249"/>
        <v>0</v>
      </c>
      <c r="AY346" s="26">
        <f t="shared" si="249"/>
        <v>1</v>
      </c>
      <c r="BA346" s="26">
        <f t="shared" si="250"/>
        <v>1</v>
      </c>
      <c r="BB346" s="26">
        <f t="shared" si="250"/>
        <v>0</v>
      </c>
      <c r="BC346" s="26">
        <f t="shared" si="250"/>
        <v>0</v>
      </c>
      <c r="BD346" s="26">
        <f t="shared" si="250"/>
        <v>0</v>
      </c>
      <c r="BE346" s="26">
        <f t="shared" si="250"/>
        <v>0</v>
      </c>
      <c r="BF346" s="26">
        <f t="shared" si="250"/>
        <v>0</v>
      </c>
      <c r="BG346" s="26">
        <f t="shared" si="250"/>
        <v>0</v>
      </c>
      <c r="BH346" s="26">
        <f t="shared" si="250"/>
        <v>0</v>
      </c>
      <c r="BI346" s="26">
        <f t="shared" si="250"/>
        <v>0</v>
      </c>
      <c r="BJ346" s="26">
        <f t="shared" si="250"/>
        <v>0</v>
      </c>
      <c r="BL346" s="26">
        <f t="shared" si="251"/>
        <v>1</v>
      </c>
      <c r="BM346" s="26">
        <f t="shared" si="251"/>
        <v>0</v>
      </c>
      <c r="BN346" s="26">
        <f t="shared" si="251"/>
        <v>0</v>
      </c>
      <c r="BO346" s="26">
        <f t="shared" si="251"/>
        <v>0</v>
      </c>
      <c r="BP346" s="26">
        <f t="shared" si="251"/>
        <v>0</v>
      </c>
      <c r="BQ346" s="26">
        <f t="shared" si="251"/>
        <v>0</v>
      </c>
      <c r="BR346" s="26">
        <f t="shared" si="251"/>
        <v>0</v>
      </c>
      <c r="BS346" s="26">
        <f t="shared" si="251"/>
        <v>0</v>
      </c>
      <c r="BT346" s="26">
        <f t="shared" si="251"/>
        <v>0</v>
      </c>
      <c r="BU346" s="26">
        <f t="shared" si="251"/>
        <v>0</v>
      </c>
    </row>
    <row r="347" spans="2:73">
      <c r="B347" t="str">
        <f t="shared" si="245"/>
        <v>Supercritical coal</v>
      </c>
      <c r="C347" t="str">
        <f t="shared" si="245"/>
        <v>Supercritical Coal</v>
      </c>
      <c r="D347" s="26">
        <f t="shared" si="246"/>
        <v>0</v>
      </c>
      <c r="E347" s="26">
        <f t="shared" si="246"/>
        <v>0</v>
      </c>
      <c r="F347" s="26">
        <f t="shared" si="246"/>
        <v>0</v>
      </c>
      <c r="G347" s="26">
        <f t="shared" si="246"/>
        <v>0</v>
      </c>
      <c r="H347" s="26">
        <f t="shared" si="246"/>
        <v>0.05</v>
      </c>
      <c r="I347" s="26">
        <f t="shared" si="246"/>
        <v>0.05</v>
      </c>
      <c r="J347" s="26">
        <f t="shared" si="246"/>
        <v>1.8000000000000002E-2</v>
      </c>
      <c r="K347" s="26">
        <f t="shared" si="246"/>
        <v>0.35100000000000003</v>
      </c>
      <c r="L347" s="26">
        <f t="shared" si="246"/>
        <v>0.47700000000000004</v>
      </c>
      <c r="M347" s="26">
        <f t="shared" si="246"/>
        <v>5.3999999999999992E-2</v>
      </c>
      <c r="Q347" s="26">
        <f t="shared" si="247"/>
        <v>0</v>
      </c>
      <c r="R347" s="26">
        <f t="shared" si="247"/>
        <v>0</v>
      </c>
      <c r="S347" s="26">
        <f t="shared" si="247"/>
        <v>0</v>
      </c>
      <c r="T347" s="26">
        <f t="shared" si="247"/>
        <v>0</v>
      </c>
      <c r="U347" s="26">
        <f t="shared" si="247"/>
        <v>8.0525500000000041E-2</v>
      </c>
      <c r="V347" s="26">
        <f t="shared" si="247"/>
        <v>7.320500000000002E-2</v>
      </c>
      <c r="W347" s="26">
        <f t="shared" si="247"/>
        <v>2.3958000000000011E-2</v>
      </c>
      <c r="X347" s="26">
        <f t="shared" si="247"/>
        <v>0.42471000000000009</v>
      </c>
      <c r="Y347" s="26">
        <f t="shared" si="247"/>
        <v>0.52470000000000006</v>
      </c>
      <c r="Z347" s="26">
        <f t="shared" si="247"/>
        <v>5.3999999999999992E-2</v>
      </c>
      <c r="AE347" s="26">
        <f t="shared" si="248"/>
        <v>0</v>
      </c>
      <c r="AF347" s="26">
        <f t="shared" si="248"/>
        <v>0</v>
      </c>
      <c r="AG347" s="26">
        <f t="shared" si="248"/>
        <v>0</v>
      </c>
      <c r="AH347" s="26">
        <f t="shared" si="248"/>
        <v>0</v>
      </c>
      <c r="AI347" s="26">
        <f t="shared" si="248"/>
        <v>4.233347176378599E-2</v>
      </c>
      <c r="AJ347" s="26">
        <f t="shared" si="248"/>
        <v>4.233347176378599E-2</v>
      </c>
      <c r="AK347" s="26">
        <f t="shared" si="248"/>
        <v>1.5240049834962958E-2</v>
      </c>
      <c r="AL347" s="26">
        <f t="shared" si="248"/>
        <v>0.29718097178177766</v>
      </c>
      <c r="AM347" s="26">
        <f t="shared" si="248"/>
        <v>0.40386132062651836</v>
      </c>
      <c r="AN347" s="26">
        <f t="shared" si="248"/>
        <v>4.5720149504888861E-2</v>
      </c>
      <c r="AP347" s="26">
        <f t="shared" si="249"/>
        <v>0</v>
      </c>
      <c r="AQ347" s="26">
        <f t="shared" si="249"/>
        <v>0</v>
      </c>
      <c r="AR347" s="26">
        <f t="shared" si="249"/>
        <v>0</v>
      </c>
      <c r="AS347" s="26">
        <f t="shared" si="249"/>
        <v>0</v>
      </c>
      <c r="AT347" s="26">
        <f t="shared" si="249"/>
        <v>4.233347176378599E-2</v>
      </c>
      <c r="AU347" s="26">
        <f t="shared" si="249"/>
        <v>4.6566818940164588E-2</v>
      </c>
      <c r="AV347" s="26">
        <f t="shared" si="249"/>
        <v>2.4130078905358017E-2</v>
      </c>
      <c r="AW347" s="26">
        <f t="shared" si="249"/>
        <v>0.30848400874270854</v>
      </c>
      <c r="AX347" s="26">
        <f t="shared" si="249"/>
        <v>0.44601275846172006</v>
      </c>
      <c r="AY347" s="26">
        <f t="shared" si="249"/>
        <v>0.13247286318626258</v>
      </c>
      <c r="BA347" s="26">
        <f t="shared" si="250"/>
        <v>4.5720149504888861E-2</v>
      </c>
      <c r="BB347" s="26">
        <f t="shared" si="250"/>
        <v>0.40386132062651836</v>
      </c>
      <c r="BC347" s="26">
        <f t="shared" si="250"/>
        <v>0.29718097178177766</v>
      </c>
      <c r="BD347" s="26">
        <f t="shared" si="250"/>
        <v>1.5240049834962958E-2</v>
      </c>
      <c r="BE347" s="26">
        <f t="shared" si="250"/>
        <v>4.233347176378599E-2</v>
      </c>
      <c r="BF347" s="26">
        <f t="shared" si="250"/>
        <v>4.233347176378599E-2</v>
      </c>
      <c r="BG347" s="26">
        <f t="shared" si="250"/>
        <v>0</v>
      </c>
      <c r="BH347" s="26">
        <f t="shared" si="250"/>
        <v>0</v>
      </c>
      <c r="BI347" s="26">
        <f t="shared" si="250"/>
        <v>0</v>
      </c>
      <c r="BJ347" s="26">
        <f t="shared" si="250"/>
        <v>0</v>
      </c>
      <c r="BL347" s="26">
        <f t="shared" si="251"/>
        <v>0.13247286318626258</v>
      </c>
      <c r="BM347" s="26">
        <f t="shared" si="251"/>
        <v>0.44601275846172006</v>
      </c>
      <c r="BN347" s="26">
        <f t="shared" si="251"/>
        <v>0.30848400874270854</v>
      </c>
      <c r="BO347" s="26">
        <f t="shared" si="251"/>
        <v>2.4130078905358017E-2</v>
      </c>
      <c r="BP347" s="26">
        <f t="shared" si="251"/>
        <v>4.6566818940164588E-2</v>
      </c>
      <c r="BQ347" s="26">
        <f t="shared" si="251"/>
        <v>4.233347176378599E-2</v>
      </c>
      <c r="BR347" s="26">
        <f t="shared" si="251"/>
        <v>0</v>
      </c>
      <c r="BS347" s="26">
        <f t="shared" si="251"/>
        <v>0</v>
      </c>
      <c r="BT347" s="26">
        <f t="shared" si="251"/>
        <v>0</v>
      </c>
      <c r="BU347" s="26">
        <f t="shared" si="251"/>
        <v>0</v>
      </c>
    </row>
    <row r="348" spans="2:73">
      <c r="B348" t="str">
        <f t="shared" si="245"/>
        <v xml:space="preserve">Wind 30% </v>
      </c>
      <c r="C348" t="str">
        <f t="shared" si="245"/>
        <v>Wind</v>
      </c>
      <c r="D348" s="26">
        <f t="shared" si="246"/>
        <v>0</v>
      </c>
      <c r="E348" s="26">
        <f t="shared" si="246"/>
        <v>0</v>
      </c>
      <c r="F348" s="26">
        <f t="shared" si="246"/>
        <v>0</v>
      </c>
      <c r="G348" s="26">
        <f t="shared" si="246"/>
        <v>0</v>
      </c>
      <c r="H348" s="26">
        <f t="shared" si="246"/>
        <v>0</v>
      </c>
      <c r="I348" s="26">
        <f t="shared" si="246"/>
        <v>0</v>
      </c>
      <c r="J348" s="26">
        <f t="shared" si="246"/>
        <v>0</v>
      </c>
      <c r="K348" s="26">
        <f t="shared" si="246"/>
        <v>0.05</v>
      </c>
      <c r="L348" s="26">
        <f t="shared" si="246"/>
        <v>0.2</v>
      </c>
      <c r="M348" s="26">
        <f t="shared" si="246"/>
        <v>0.75</v>
      </c>
      <c r="Q348" s="26">
        <f t="shared" si="247"/>
        <v>0</v>
      </c>
      <c r="R348" s="26">
        <f t="shared" si="247"/>
        <v>0</v>
      </c>
      <c r="S348" s="26">
        <f t="shared" si="247"/>
        <v>0</v>
      </c>
      <c r="T348" s="26">
        <f t="shared" si="247"/>
        <v>0</v>
      </c>
      <c r="U348" s="26">
        <f t="shared" si="247"/>
        <v>0</v>
      </c>
      <c r="V348" s="26">
        <f t="shared" si="247"/>
        <v>0</v>
      </c>
      <c r="W348" s="26">
        <f t="shared" si="247"/>
        <v>0</v>
      </c>
      <c r="X348" s="26">
        <f t="shared" si="247"/>
        <v>6.0500000000000012E-2</v>
      </c>
      <c r="Y348" s="26">
        <f t="shared" si="247"/>
        <v>0.22000000000000003</v>
      </c>
      <c r="Z348" s="26">
        <f t="shared" si="247"/>
        <v>0.75</v>
      </c>
      <c r="AE348" s="26">
        <f t="shared" si="248"/>
        <v>0</v>
      </c>
      <c r="AF348" s="26">
        <f t="shared" si="248"/>
        <v>0</v>
      </c>
      <c r="AG348" s="26">
        <f t="shared" si="248"/>
        <v>0</v>
      </c>
      <c r="AH348" s="26">
        <f t="shared" si="248"/>
        <v>0</v>
      </c>
      <c r="AI348" s="26">
        <f t="shared" si="248"/>
        <v>0</v>
      </c>
      <c r="AJ348" s="26">
        <f t="shared" si="248"/>
        <v>0</v>
      </c>
      <c r="AK348" s="26">
        <f t="shared" si="248"/>
        <v>0</v>
      </c>
      <c r="AL348" s="26">
        <f t="shared" si="248"/>
        <v>4.8520135856380403E-2</v>
      </c>
      <c r="AM348" s="26">
        <f t="shared" si="248"/>
        <v>0.19408054342552161</v>
      </c>
      <c r="AN348" s="26">
        <f t="shared" si="248"/>
        <v>0.72780203784570596</v>
      </c>
      <c r="AP348" s="26">
        <f t="shared" si="249"/>
        <v>0</v>
      </c>
      <c r="AQ348" s="26">
        <f t="shared" si="249"/>
        <v>0</v>
      </c>
      <c r="AR348" s="26">
        <f t="shared" si="249"/>
        <v>0</v>
      </c>
      <c r="AS348" s="26">
        <f t="shared" si="249"/>
        <v>0</v>
      </c>
      <c r="AT348" s="26">
        <f t="shared" si="249"/>
        <v>0</v>
      </c>
      <c r="AU348" s="26">
        <f t="shared" si="249"/>
        <v>0</v>
      </c>
      <c r="AV348" s="26">
        <f t="shared" si="249"/>
        <v>0</v>
      </c>
      <c r="AW348" s="26">
        <f t="shared" si="249"/>
        <v>4.8520135856380403E-2</v>
      </c>
      <c r="AX348" s="26">
        <f t="shared" si="249"/>
        <v>0.19893255701115964</v>
      </c>
      <c r="AY348" s="26">
        <f t="shared" si="249"/>
        <v>0.75254730713245999</v>
      </c>
      <c r="BA348" s="26">
        <f t="shared" si="250"/>
        <v>0.72780203784570596</v>
      </c>
      <c r="BB348" s="26">
        <f t="shared" si="250"/>
        <v>0.19408054342552161</v>
      </c>
      <c r="BC348" s="26">
        <f t="shared" si="250"/>
        <v>4.8520135856380403E-2</v>
      </c>
      <c r="BD348" s="26">
        <f t="shared" si="250"/>
        <v>0</v>
      </c>
      <c r="BE348" s="26">
        <f t="shared" si="250"/>
        <v>0</v>
      </c>
      <c r="BF348" s="26">
        <f t="shared" si="250"/>
        <v>0</v>
      </c>
      <c r="BG348" s="26">
        <f t="shared" si="250"/>
        <v>0</v>
      </c>
      <c r="BH348" s="26">
        <f t="shared" si="250"/>
        <v>0</v>
      </c>
      <c r="BI348" s="26">
        <f t="shared" si="250"/>
        <v>0</v>
      </c>
      <c r="BJ348" s="26">
        <f t="shared" si="250"/>
        <v>0</v>
      </c>
      <c r="BL348" s="26">
        <f t="shared" si="251"/>
        <v>0.75254730713245999</v>
      </c>
      <c r="BM348" s="26">
        <f t="shared" si="251"/>
        <v>0.19893255701115964</v>
      </c>
      <c r="BN348" s="26">
        <f t="shared" si="251"/>
        <v>4.8520135856380403E-2</v>
      </c>
      <c r="BO348" s="26">
        <f t="shared" si="251"/>
        <v>0</v>
      </c>
      <c r="BP348" s="26">
        <f t="shared" si="251"/>
        <v>0</v>
      </c>
      <c r="BQ348" s="26">
        <f t="shared" si="251"/>
        <v>0</v>
      </c>
      <c r="BR348" s="26">
        <f t="shared" si="251"/>
        <v>0</v>
      </c>
      <c r="BS348" s="26">
        <f t="shared" si="251"/>
        <v>0</v>
      </c>
      <c r="BT348" s="26">
        <f t="shared" si="251"/>
        <v>0</v>
      </c>
      <c r="BU348" s="26">
        <f t="shared" si="251"/>
        <v>0</v>
      </c>
    </row>
    <row r="349" spans="2:73">
      <c r="B349" t="str">
        <f t="shared" si="245"/>
        <v>Wind 25%</v>
      </c>
      <c r="C349" t="str">
        <f t="shared" si="245"/>
        <v>Wind</v>
      </c>
      <c r="D349" s="26">
        <f t="shared" si="246"/>
        <v>0</v>
      </c>
      <c r="E349" s="26">
        <f t="shared" si="246"/>
        <v>0</v>
      </c>
      <c r="F349" s="26">
        <f t="shared" si="246"/>
        <v>0</v>
      </c>
      <c r="G349" s="26">
        <f t="shared" si="246"/>
        <v>0</v>
      </c>
      <c r="H349" s="26">
        <f t="shared" si="246"/>
        <v>0</v>
      </c>
      <c r="I349" s="26">
        <f t="shared" si="246"/>
        <v>0</v>
      </c>
      <c r="J349" s="26">
        <f t="shared" si="246"/>
        <v>0</v>
      </c>
      <c r="K349" s="26">
        <f t="shared" si="246"/>
        <v>0.05</v>
      </c>
      <c r="L349" s="26">
        <f t="shared" si="246"/>
        <v>0.2</v>
      </c>
      <c r="M349" s="26">
        <f t="shared" si="246"/>
        <v>0.75</v>
      </c>
      <c r="Q349" s="26">
        <f t="shared" si="247"/>
        <v>0</v>
      </c>
      <c r="R349" s="26">
        <f t="shared" si="247"/>
        <v>0</v>
      </c>
      <c r="S349" s="26">
        <f t="shared" si="247"/>
        <v>0</v>
      </c>
      <c r="T349" s="26">
        <f t="shared" si="247"/>
        <v>0</v>
      </c>
      <c r="U349" s="26">
        <f t="shared" si="247"/>
        <v>0</v>
      </c>
      <c r="V349" s="26">
        <f t="shared" si="247"/>
        <v>0</v>
      </c>
      <c r="W349" s="26">
        <f t="shared" si="247"/>
        <v>0</v>
      </c>
      <c r="X349" s="26">
        <f t="shared" si="247"/>
        <v>6.0500000000000012E-2</v>
      </c>
      <c r="Y349" s="26">
        <f t="shared" si="247"/>
        <v>0.22000000000000003</v>
      </c>
      <c r="Z349" s="26">
        <f t="shared" si="247"/>
        <v>0.75</v>
      </c>
      <c r="AE349" s="26">
        <f t="shared" si="248"/>
        <v>0</v>
      </c>
      <c r="AF349" s="26">
        <f t="shared" si="248"/>
        <v>0</v>
      </c>
      <c r="AG349" s="26">
        <f t="shared" si="248"/>
        <v>0</v>
      </c>
      <c r="AH349" s="26">
        <f t="shared" si="248"/>
        <v>0</v>
      </c>
      <c r="AI349" s="26">
        <f t="shared" si="248"/>
        <v>0</v>
      </c>
      <c r="AJ349" s="26">
        <f t="shared" si="248"/>
        <v>0</v>
      </c>
      <c r="AK349" s="26">
        <f t="shared" si="248"/>
        <v>0</v>
      </c>
      <c r="AL349" s="26">
        <f t="shared" si="248"/>
        <v>4.8520135856380403E-2</v>
      </c>
      <c r="AM349" s="26">
        <f t="shared" si="248"/>
        <v>0.19408054342552161</v>
      </c>
      <c r="AN349" s="26">
        <f t="shared" si="248"/>
        <v>0.72780203784570596</v>
      </c>
      <c r="AP349" s="26">
        <f t="shared" si="249"/>
        <v>0</v>
      </c>
      <c r="AQ349" s="26">
        <f t="shared" si="249"/>
        <v>0</v>
      </c>
      <c r="AR349" s="26">
        <f t="shared" si="249"/>
        <v>0</v>
      </c>
      <c r="AS349" s="26">
        <f t="shared" si="249"/>
        <v>0</v>
      </c>
      <c r="AT349" s="26">
        <f t="shared" si="249"/>
        <v>0</v>
      </c>
      <c r="AU349" s="26">
        <f t="shared" si="249"/>
        <v>0</v>
      </c>
      <c r="AV349" s="26">
        <f t="shared" si="249"/>
        <v>0</v>
      </c>
      <c r="AW349" s="26">
        <f t="shared" si="249"/>
        <v>4.8520135856380403E-2</v>
      </c>
      <c r="AX349" s="26">
        <f t="shared" si="249"/>
        <v>0.19893255701115964</v>
      </c>
      <c r="AY349" s="26">
        <f t="shared" si="249"/>
        <v>0.75254730713245999</v>
      </c>
      <c r="BA349" s="26">
        <f t="shared" si="250"/>
        <v>0.72780203784570596</v>
      </c>
      <c r="BB349" s="26">
        <f t="shared" si="250"/>
        <v>0.19408054342552161</v>
      </c>
      <c r="BC349" s="26">
        <f t="shared" si="250"/>
        <v>4.8520135856380403E-2</v>
      </c>
      <c r="BD349" s="26">
        <f t="shared" si="250"/>
        <v>0</v>
      </c>
      <c r="BE349" s="26">
        <f t="shared" si="250"/>
        <v>0</v>
      </c>
      <c r="BF349" s="26">
        <f t="shared" si="250"/>
        <v>0</v>
      </c>
      <c r="BG349" s="26">
        <f t="shared" si="250"/>
        <v>0</v>
      </c>
      <c r="BH349" s="26">
        <f t="shared" si="250"/>
        <v>0</v>
      </c>
      <c r="BI349" s="26">
        <f t="shared" si="250"/>
        <v>0</v>
      </c>
      <c r="BJ349" s="26">
        <f t="shared" si="250"/>
        <v>0</v>
      </c>
      <c r="BL349" s="26">
        <f t="shared" si="251"/>
        <v>0.75254730713245999</v>
      </c>
      <c r="BM349" s="26">
        <f t="shared" si="251"/>
        <v>0.19893255701115964</v>
      </c>
      <c r="BN349" s="26">
        <f t="shared" si="251"/>
        <v>4.8520135856380403E-2</v>
      </c>
      <c r="BO349" s="26">
        <f t="shared" si="251"/>
        <v>0</v>
      </c>
      <c r="BP349" s="26">
        <f t="shared" si="251"/>
        <v>0</v>
      </c>
      <c r="BQ349" s="26">
        <f t="shared" si="251"/>
        <v>0</v>
      </c>
      <c r="BR349" s="26">
        <f t="shared" si="251"/>
        <v>0</v>
      </c>
      <c r="BS349" s="26">
        <f t="shared" si="251"/>
        <v>0</v>
      </c>
      <c r="BT349" s="26">
        <f t="shared" si="251"/>
        <v>0</v>
      </c>
      <c r="BU349" s="26">
        <f t="shared" si="251"/>
        <v>0</v>
      </c>
    </row>
    <row r="350" spans="2:73">
      <c r="B350" t="str">
        <f t="shared" si="245"/>
        <v>solar thermal central reciever</v>
      </c>
      <c r="C350" t="str">
        <f t="shared" si="245"/>
        <v>Solar Central Receiver</v>
      </c>
      <c r="D350" s="26">
        <f t="shared" ref="D350:M359" si="252">SUMIF($B$309:$B$334,$C350,D$309:D$334)</f>
        <v>0</v>
      </c>
      <c r="E350" s="26">
        <f t="shared" si="252"/>
        <v>0</v>
      </c>
      <c r="F350" s="26">
        <f t="shared" si="252"/>
        <v>0</v>
      </c>
      <c r="G350" s="26">
        <f t="shared" si="252"/>
        <v>0</v>
      </c>
      <c r="H350" s="26">
        <f t="shared" si="252"/>
        <v>0</v>
      </c>
      <c r="I350" s="26">
        <f t="shared" si="252"/>
        <v>0.05</v>
      </c>
      <c r="J350" s="26">
        <f t="shared" si="252"/>
        <v>0.05</v>
      </c>
      <c r="K350" s="26">
        <f t="shared" si="252"/>
        <v>0.1</v>
      </c>
      <c r="L350" s="26">
        <f t="shared" si="252"/>
        <v>0.2</v>
      </c>
      <c r="M350" s="26">
        <f t="shared" si="252"/>
        <v>0.6</v>
      </c>
      <c r="Q350" s="26">
        <f t="shared" ref="Q350:Z359" si="253">SUMIF($B$309:$B$334,$C350,Q$309:Q$334)</f>
        <v>0</v>
      </c>
      <c r="R350" s="26">
        <f t="shared" si="253"/>
        <v>0</v>
      </c>
      <c r="S350" s="26">
        <f t="shared" si="253"/>
        <v>0</v>
      </c>
      <c r="T350" s="26">
        <f t="shared" si="253"/>
        <v>0</v>
      </c>
      <c r="U350" s="26">
        <f t="shared" si="253"/>
        <v>0</v>
      </c>
      <c r="V350" s="26">
        <f t="shared" si="253"/>
        <v>7.320500000000002E-2</v>
      </c>
      <c r="W350" s="26">
        <f t="shared" si="253"/>
        <v>6.6550000000000026E-2</v>
      </c>
      <c r="X350" s="26">
        <f t="shared" si="253"/>
        <v>0.12100000000000002</v>
      </c>
      <c r="Y350" s="26">
        <f t="shared" si="253"/>
        <v>0.22000000000000003</v>
      </c>
      <c r="Z350" s="26">
        <f t="shared" si="253"/>
        <v>0.6</v>
      </c>
      <c r="AE350" s="26">
        <f t="shared" ref="AE350:AN359" si="254">SUMIF($B$309:$B$334,$C350,AE$309:AE$334)</f>
        <v>0</v>
      </c>
      <c r="AF350" s="26">
        <f t="shared" si="254"/>
        <v>0</v>
      </c>
      <c r="AG350" s="26">
        <f t="shared" si="254"/>
        <v>0</v>
      </c>
      <c r="AH350" s="26">
        <f t="shared" si="254"/>
        <v>0</v>
      </c>
      <c r="AI350" s="26">
        <f t="shared" si="254"/>
        <v>0</v>
      </c>
      <c r="AJ350" s="26">
        <f t="shared" si="254"/>
        <v>4.6263954365235414E-2</v>
      </c>
      <c r="AK350" s="26">
        <f t="shared" si="254"/>
        <v>4.6263954365235414E-2</v>
      </c>
      <c r="AL350" s="26">
        <f t="shared" si="254"/>
        <v>9.2527908730470829E-2</v>
      </c>
      <c r="AM350" s="26">
        <f t="shared" si="254"/>
        <v>0.18505581746094166</v>
      </c>
      <c r="AN350" s="26">
        <f t="shared" si="254"/>
        <v>0.55516745238282494</v>
      </c>
      <c r="AP350" s="26">
        <f t="shared" ref="AP350:AY359" si="255">SUMIF($B$309:$B$334,$C350,AP$309:AP$334)</f>
        <v>0</v>
      </c>
      <c r="AQ350" s="26">
        <f t="shared" si="255"/>
        <v>0</v>
      </c>
      <c r="AR350" s="26">
        <f t="shared" si="255"/>
        <v>0</v>
      </c>
      <c r="AS350" s="26">
        <f t="shared" si="255"/>
        <v>0</v>
      </c>
      <c r="AT350" s="26">
        <f t="shared" si="255"/>
        <v>0</v>
      </c>
      <c r="AU350" s="26">
        <f t="shared" si="255"/>
        <v>4.6263954365235414E-2</v>
      </c>
      <c r="AV350" s="26">
        <f t="shared" si="255"/>
        <v>5.0890349801758952E-2</v>
      </c>
      <c r="AW350" s="26">
        <f t="shared" si="255"/>
        <v>0.10224333914717026</v>
      </c>
      <c r="AX350" s="26">
        <f t="shared" si="255"/>
        <v>0.20499558179235811</v>
      </c>
      <c r="AY350" s="26">
        <f t="shared" si="255"/>
        <v>0.59560677489347724</v>
      </c>
      <c r="BA350" s="26">
        <f t="shared" ref="BA350:BJ359" si="256">SUMIF($B$309:$B$334,$C350,BA$309:BA$334)</f>
        <v>0.55516745238282494</v>
      </c>
      <c r="BB350" s="26">
        <f t="shared" si="256"/>
        <v>0.18505581746094166</v>
      </c>
      <c r="BC350" s="26">
        <f t="shared" si="256"/>
        <v>9.2527908730470829E-2</v>
      </c>
      <c r="BD350" s="26">
        <f t="shared" si="256"/>
        <v>4.6263954365235414E-2</v>
      </c>
      <c r="BE350" s="26">
        <f t="shared" si="256"/>
        <v>4.6263954365235414E-2</v>
      </c>
      <c r="BF350" s="26">
        <f t="shared" si="256"/>
        <v>0</v>
      </c>
      <c r="BG350" s="26">
        <f t="shared" si="256"/>
        <v>0</v>
      </c>
      <c r="BH350" s="26">
        <f t="shared" si="256"/>
        <v>0</v>
      </c>
      <c r="BI350" s="26">
        <f t="shared" si="256"/>
        <v>0</v>
      </c>
      <c r="BJ350" s="26">
        <f t="shared" si="256"/>
        <v>0</v>
      </c>
      <c r="BL350" s="26">
        <f t="shared" ref="BL350:BU359" si="257">SUMIF($B$309:$B$334,$C350,BL$309:BL$334)</f>
        <v>0.59560677489347724</v>
      </c>
      <c r="BM350" s="26">
        <f t="shared" si="257"/>
        <v>0.20499558179235811</v>
      </c>
      <c r="BN350" s="26">
        <f t="shared" si="257"/>
        <v>0.10224333914717026</v>
      </c>
      <c r="BO350" s="26">
        <f t="shared" si="257"/>
        <v>5.0890349801758952E-2</v>
      </c>
      <c r="BP350" s="26">
        <f t="shared" si="257"/>
        <v>4.6263954365235414E-2</v>
      </c>
      <c r="BQ350" s="26">
        <f t="shared" si="257"/>
        <v>0</v>
      </c>
      <c r="BR350" s="26">
        <f t="shared" si="257"/>
        <v>0</v>
      </c>
      <c r="BS350" s="26">
        <f t="shared" si="257"/>
        <v>0</v>
      </c>
      <c r="BT350" s="26">
        <f t="shared" si="257"/>
        <v>0</v>
      </c>
      <c r="BU350" s="26">
        <f t="shared" si="257"/>
        <v>0</v>
      </c>
    </row>
    <row r="351" spans="2:73">
      <c r="B351" t="str">
        <f t="shared" si="245"/>
        <v>solar thermal trough</v>
      </c>
      <c r="C351" t="str">
        <f t="shared" si="245"/>
        <v>Solar Parabolic Trough</v>
      </c>
      <c r="D351" s="26">
        <f t="shared" si="252"/>
        <v>0</v>
      </c>
      <c r="E351" s="26">
        <f t="shared" si="252"/>
        <v>0</v>
      </c>
      <c r="F351" s="26">
        <f t="shared" si="252"/>
        <v>0</v>
      </c>
      <c r="G351" s="26">
        <f t="shared" si="252"/>
        <v>0</v>
      </c>
      <c r="H351" s="26">
        <f t="shared" si="252"/>
        <v>0</v>
      </c>
      <c r="I351" s="26">
        <f t="shared" si="252"/>
        <v>0.05</v>
      </c>
      <c r="J351" s="26">
        <f t="shared" si="252"/>
        <v>0.05</v>
      </c>
      <c r="K351" s="26">
        <f t="shared" si="252"/>
        <v>0.1</v>
      </c>
      <c r="L351" s="26">
        <f t="shared" si="252"/>
        <v>0.2</v>
      </c>
      <c r="M351" s="26">
        <f t="shared" si="252"/>
        <v>0.6</v>
      </c>
      <c r="Q351" s="26">
        <f t="shared" si="253"/>
        <v>0</v>
      </c>
      <c r="R351" s="26">
        <f t="shared" si="253"/>
        <v>0</v>
      </c>
      <c r="S351" s="26">
        <f t="shared" si="253"/>
        <v>0</v>
      </c>
      <c r="T351" s="26">
        <f t="shared" si="253"/>
        <v>0</v>
      </c>
      <c r="U351" s="26">
        <f t="shared" si="253"/>
        <v>0</v>
      </c>
      <c r="V351" s="26">
        <f t="shared" si="253"/>
        <v>7.320500000000002E-2</v>
      </c>
      <c r="W351" s="26">
        <f t="shared" si="253"/>
        <v>6.6550000000000026E-2</v>
      </c>
      <c r="X351" s="26">
        <f t="shared" si="253"/>
        <v>0.12100000000000002</v>
      </c>
      <c r="Y351" s="26">
        <f t="shared" si="253"/>
        <v>0.22000000000000003</v>
      </c>
      <c r="Z351" s="26">
        <f t="shared" si="253"/>
        <v>0.6</v>
      </c>
      <c r="AE351" s="26">
        <f t="shared" si="254"/>
        <v>0</v>
      </c>
      <c r="AF351" s="26">
        <f t="shared" si="254"/>
        <v>0</v>
      </c>
      <c r="AG351" s="26">
        <f t="shared" si="254"/>
        <v>0</v>
      </c>
      <c r="AH351" s="26">
        <f t="shared" si="254"/>
        <v>0</v>
      </c>
      <c r="AI351" s="26">
        <f t="shared" si="254"/>
        <v>0</v>
      </c>
      <c r="AJ351" s="26">
        <f t="shared" si="254"/>
        <v>4.6263954365235414E-2</v>
      </c>
      <c r="AK351" s="26">
        <f t="shared" si="254"/>
        <v>4.6263954365235414E-2</v>
      </c>
      <c r="AL351" s="26">
        <f t="shared" si="254"/>
        <v>9.2527908730470829E-2</v>
      </c>
      <c r="AM351" s="26">
        <f t="shared" si="254"/>
        <v>0.18505581746094166</v>
      </c>
      <c r="AN351" s="26">
        <f t="shared" si="254"/>
        <v>0.55516745238282494</v>
      </c>
      <c r="AP351" s="26">
        <f t="shared" si="255"/>
        <v>0</v>
      </c>
      <c r="AQ351" s="26">
        <f t="shared" si="255"/>
        <v>0</v>
      </c>
      <c r="AR351" s="26">
        <f t="shared" si="255"/>
        <v>0</v>
      </c>
      <c r="AS351" s="26">
        <f t="shared" si="255"/>
        <v>0</v>
      </c>
      <c r="AT351" s="26">
        <f t="shared" si="255"/>
        <v>0</v>
      </c>
      <c r="AU351" s="26">
        <f t="shared" si="255"/>
        <v>4.6263954365235414E-2</v>
      </c>
      <c r="AV351" s="26">
        <f t="shared" si="255"/>
        <v>5.0890349801758952E-2</v>
      </c>
      <c r="AW351" s="26">
        <f t="shared" si="255"/>
        <v>0.10224333914717026</v>
      </c>
      <c r="AX351" s="26">
        <f t="shared" si="255"/>
        <v>0.20499558179235811</v>
      </c>
      <c r="AY351" s="26">
        <f t="shared" si="255"/>
        <v>0.59560677489347724</v>
      </c>
      <c r="BA351" s="26">
        <f t="shared" si="256"/>
        <v>0.55516745238282494</v>
      </c>
      <c r="BB351" s="26">
        <f t="shared" si="256"/>
        <v>0.18505581746094166</v>
      </c>
      <c r="BC351" s="26">
        <f t="shared" si="256"/>
        <v>9.2527908730470829E-2</v>
      </c>
      <c r="BD351" s="26">
        <f t="shared" si="256"/>
        <v>4.6263954365235414E-2</v>
      </c>
      <c r="BE351" s="26">
        <f t="shared" si="256"/>
        <v>4.6263954365235414E-2</v>
      </c>
      <c r="BF351" s="26">
        <f t="shared" si="256"/>
        <v>0</v>
      </c>
      <c r="BG351" s="26">
        <f t="shared" si="256"/>
        <v>0</v>
      </c>
      <c r="BH351" s="26">
        <f t="shared" si="256"/>
        <v>0</v>
      </c>
      <c r="BI351" s="26">
        <f t="shared" si="256"/>
        <v>0</v>
      </c>
      <c r="BJ351" s="26">
        <f t="shared" si="256"/>
        <v>0</v>
      </c>
      <c r="BL351" s="26">
        <f t="shared" si="257"/>
        <v>0.59560677489347724</v>
      </c>
      <c r="BM351" s="26">
        <f t="shared" si="257"/>
        <v>0.20499558179235811</v>
      </c>
      <c r="BN351" s="26">
        <f t="shared" si="257"/>
        <v>0.10224333914717026</v>
      </c>
      <c r="BO351" s="26">
        <f t="shared" si="257"/>
        <v>5.0890349801758952E-2</v>
      </c>
      <c r="BP351" s="26">
        <f t="shared" si="257"/>
        <v>4.6263954365235414E-2</v>
      </c>
      <c r="BQ351" s="26">
        <f t="shared" si="257"/>
        <v>0</v>
      </c>
      <c r="BR351" s="26">
        <f t="shared" si="257"/>
        <v>0</v>
      </c>
      <c r="BS351" s="26">
        <f t="shared" si="257"/>
        <v>0</v>
      </c>
      <c r="BT351" s="26">
        <f t="shared" si="257"/>
        <v>0</v>
      </c>
      <c r="BU351" s="26">
        <f t="shared" si="257"/>
        <v>0</v>
      </c>
    </row>
    <row r="352" spans="2:73">
      <c r="B352" t="str">
        <f t="shared" si="245"/>
        <v>solar PV</v>
      </c>
      <c r="C352" t="str">
        <f t="shared" si="245"/>
        <v>Solar Photovoltaic</v>
      </c>
      <c r="D352" s="26">
        <f t="shared" si="252"/>
        <v>0</v>
      </c>
      <c r="E352" s="26">
        <f t="shared" si="252"/>
        <v>0</v>
      </c>
      <c r="F352" s="26">
        <f t="shared" si="252"/>
        <v>0</v>
      </c>
      <c r="G352" s="26">
        <f t="shared" si="252"/>
        <v>0</v>
      </c>
      <c r="H352" s="26">
        <f t="shared" si="252"/>
        <v>0</v>
      </c>
      <c r="I352" s="26">
        <f t="shared" si="252"/>
        <v>0</v>
      </c>
      <c r="J352" s="26">
        <f t="shared" si="252"/>
        <v>0</v>
      </c>
      <c r="K352" s="26">
        <f t="shared" si="252"/>
        <v>0</v>
      </c>
      <c r="L352" s="26">
        <f t="shared" si="252"/>
        <v>0</v>
      </c>
      <c r="M352" s="26">
        <f t="shared" si="252"/>
        <v>1</v>
      </c>
      <c r="Q352" s="26">
        <f t="shared" si="253"/>
        <v>0</v>
      </c>
      <c r="R352" s="26">
        <f t="shared" si="253"/>
        <v>0</v>
      </c>
      <c r="S352" s="26">
        <f t="shared" si="253"/>
        <v>0</v>
      </c>
      <c r="T352" s="26">
        <f t="shared" si="253"/>
        <v>0</v>
      </c>
      <c r="U352" s="26">
        <f t="shared" si="253"/>
        <v>0</v>
      </c>
      <c r="V352" s="26">
        <f t="shared" si="253"/>
        <v>0</v>
      </c>
      <c r="W352" s="26">
        <f t="shared" si="253"/>
        <v>0</v>
      </c>
      <c r="X352" s="26">
        <f t="shared" si="253"/>
        <v>0</v>
      </c>
      <c r="Y352" s="26">
        <f t="shared" si="253"/>
        <v>0</v>
      </c>
      <c r="Z352" s="26">
        <f t="shared" si="253"/>
        <v>1</v>
      </c>
      <c r="AE352" s="26">
        <f t="shared" si="254"/>
        <v>0</v>
      </c>
      <c r="AF352" s="26">
        <f t="shared" si="254"/>
        <v>0</v>
      </c>
      <c r="AG352" s="26">
        <f t="shared" si="254"/>
        <v>0</v>
      </c>
      <c r="AH352" s="26">
        <f t="shared" si="254"/>
        <v>0</v>
      </c>
      <c r="AI352" s="26">
        <f t="shared" si="254"/>
        <v>0</v>
      </c>
      <c r="AJ352" s="26">
        <f t="shared" si="254"/>
        <v>0</v>
      </c>
      <c r="AK352" s="26">
        <f t="shared" si="254"/>
        <v>0</v>
      </c>
      <c r="AL352" s="26">
        <f t="shared" si="254"/>
        <v>0</v>
      </c>
      <c r="AM352" s="26">
        <f t="shared" si="254"/>
        <v>0</v>
      </c>
      <c r="AN352" s="26">
        <f t="shared" si="254"/>
        <v>1</v>
      </c>
      <c r="AP352" s="26">
        <f t="shared" si="255"/>
        <v>0</v>
      </c>
      <c r="AQ352" s="26">
        <f t="shared" si="255"/>
        <v>0</v>
      </c>
      <c r="AR352" s="26">
        <f t="shared" si="255"/>
        <v>0</v>
      </c>
      <c r="AS352" s="26">
        <f t="shared" si="255"/>
        <v>0</v>
      </c>
      <c r="AT352" s="26">
        <f t="shared" si="255"/>
        <v>0</v>
      </c>
      <c r="AU352" s="26">
        <f t="shared" si="255"/>
        <v>0</v>
      </c>
      <c r="AV352" s="26">
        <f t="shared" si="255"/>
        <v>0</v>
      </c>
      <c r="AW352" s="26">
        <f t="shared" si="255"/>
        <v>0</v>
      </c>
      <c r="AX352" s="26">
        <f t="shared" si="255"/>
        <v>0</v>
      </c>
      <c r="AY352" s="26">
        <f t="shared" si="255"/>
        <v>1</v>
      </c>
      <c r="BA352" s="26">
        <f t="shared" si="256"/>
        <v>1</v>
      </c>
      <c r="BB352" s="26">
        <f t="shared" si="256"/>
        <v>0</v>
      </c>
      <c r="BC352" s="26">
        <f t="shared" si="256"/>
        <v>0</v>
      </c>
      <c r="BD352" s="26">
        <f t="shared" si="256"/>
        <v>0</v>
      </c>
      <c r="BE352" s="26">
        <f t="shared" si="256"/>
        <v>0</v>
      </c>
      <c r="BF352" s="26">
        <f t="shared" si="256"/>
        <v>0</v>
      </c>
      <c r="BG352" s="26">
        <f t="shared" si="256"/>
        <v>0</v>
      </c>
      <c r="BH352" s="26">
        <f t="shared" si="256"/>
        <v>0</v>
      </c>
      <c r="BI352" s="26">
        <f t="shared" si="256"/>
        <v>0</v>
      </c>
      <c r="BJ352" s="26">
        <f t="shared" si="256"/>
        <v>0</v>
      </c>
      <c r="BL352" s="26">
        <f t="shared" si="257"/>
        <v>1</v>
      </c>
      <c r="BM352" s="26">
        <f t="shared" si="257"/>
        <v>0</v>
      </c>
      <c r="BN352" s="26">
        <f t="shared" si="257"/>
        <v>0</v>
      </c>
      <c r="BO352" s="26">
        <f t="shared" si="257"/>
        <v>0</v>
      </c>
      <c r="BP352" s="26">
        <f t="shared" si="257"/>
        <v>0</v>
      </c>
      <c r="BQ352" s="26">
        <f t="shared" si="257"/>
        <v>0</v>
      </c>
      <c r="BR352" s="26">
        <f t="shared" si="257"/>
        <v>0</v>
      </c>
      <c r="BS352" s="26">
        <f t="shared" si="257"/>
        <v>0</v>
      </c>
      <c r="BT352" s="26">
        <f t="shared" si="257"/>
        <v>0</v>
      </c>
      <c r="BU352" s="26">
        <f t="shared" si="257"/>
        <v>0</v>
      </c>
    </row>
    <row r="353" spans="2:73">
      <c r="B353" t="str">
        <f t="shared" si="245"/>
        <v>combined cycle gas</v>
      </c>
      <c r="C353" t="str">
        <f t="shared" si="245"/>
        <v>Combined Cycle Gas Turbine</v>
      </c>
      <c r="D353" s="26">
        <f t="shared" si="252"/>
        <v>0</v>
      </c>
      <c r="E353" s="26">
        <f t="shared" si="252"/>
        <v>0</v>
      </c>
      <c r="F353" s="26">
        <f t="shared" si="252"/>
        <v>0</v>
      </c>
      <c r="G353" s="26">
        <f t="shared" si="252"/>
        <v>0</v>
      </c>
      <c r="H353" s="26">
        <f t="shared" si="252"/>
        <v>0</v>
      </c>
      <c r="I353" s="26">
        <f t="shared" si="252"/>
        <v>0.05</v>
      </c>
      <c r="J353" s="26">
        <f t="shared" si="252"/>
        <v>0.05</v>
      </c>
      <c r="K353" s="26">
        <f t="shared" si="252"/>
        <v>0.09</v>
      </c>
      <c r="L353" s="26">
        <f t="shared" si="252"/>
        <v>0.40500000000000003</v>
      </c>
      <c r="M353" s="26">
        <f t="shared" si="252"/>
        <v>0.40500000000000003</v>
      </c>
      <c r="Q353" s="26">
        <f t="shared" si="253"/>
        <v>0</v>
      </c>
      <c r="R353" s="26">
        <f t="shared" si="253"/>
        <v>0</v>
      </c>
      <c r="S353" s="26">
        <f t="shared" si="253"/>
        <v>0</v>
      </c>
      <c r="T353" s="26">
        <f t="shared" si="253"/>
        <v>0</v>
      </c>
      <c r="U353" s="26">
        <f t="shared" si="253"/>
        <v>0</v>
      </c>
      <c r="V353" s="26">
        <f t="shared" si="253"/>
        <v>7.320500000000002E-2</v>
      </c>
      <c r="W353" s="26">
        <f t="shared" si="253"/>
        <v>6.6550000000000026E-2</v>
      </c>
      <c r="X353" s="26">
        <f t="shared" si="253"/>
        <v>0.10890000000000001</v>
      </c>
      <c r="Y353" s="26">
        <f t="shared" si="253"/>
        <v>0.44550000000000006</v>
      </c>
      <c r="Z353" s="26">
        <f t="shared" si="253"/>
        <v>0.40500000000000003</v>
      </c>
      <c r="AE353" s="26">
        <f t="shared" si="254"/>
        <v>0</v>
      </c>
      <c r="AF353" s="26">
        <f t="shared" si="254"/>
        <v>0</v>
      </c>
      <c r="AG353" s="26">
        <f t="shared" si="254"/>
        <v>0</v>
      </c>
      <c r="AH353" s="26">
        <f t="shared" si="254"/>
        <v>0</v>
      </c>
      <c r="AI353" s="26">
        <f t="shared" si="254"/>
        <v>0</v>
      </c>
      <c r="AJ353" s="26">
        <f t="shared" si="254"/>
        <v>4.5489489653415573E-2</v>
      </c>
      <c r="AK353" s="26">
        <f t="shared" si="254"/>
        <v>4.5489489653415573E-2</v>
      </c>
      <c r="AL353" s="26">
        <f t="shared" si="254"/>
        <v>8.1881081376148024E-2</v>
      </c>
      <c r="AM353" s="26">
        <f t="shared" si="254"/>
        <v>0.36846486619266616</v>
      </c>
      <c r="AN353" s="26">
        <f t="shared" si="254"/>
        <v>0.36846486619266616</v>
      </c>
      <c r="AP353" s="26">
        <f t="shared" si="255"/>
        <v>0</v>
      </c>
      <c r="AQ353" s="26">
        <f t="shared" si="255"/>
        <v>0</v>
      </c>
      <c r="AR353" s="26">
        <f t="shared" si="255"/>
        <v>0</v>
      </c>
      <c r="AS353" s="26">
        <f t="shared" si="255"/>
        <v>0</v>
      </c>
      <c r="AT353" s="26">
        <f t="shared" si="255"/>
        <v>0</v>
      </c>
      <c r="AU353" s="26">
        <f t="shared" si="255"/>
        <v>4.5489489653415573E-2</v>
      </c>
      <c r="AV353" s="26">
        <f t="shared" si="255"/>
        <v>5.0038438618757133E-2</v>
      </c>
      <c r="AW353" s="26">
        <f t="shared" si="255"/>
        <v>9.1433874203365295E-2</v>
      </c>
      <c r="AX353" s="26">
        <f t="shared" si="255"/>
        <v>0.38716104644021998</v>
      </c>
      <c r="AY353" s="26">
        <f t="shared" si="255"/>
        <v>0.42587715108424196</v>
      </c>
      <c r="BA353" s="26">
        <f t="shared" si="256"/>
        <v>0.36846486619266616</v>
      </c>
      <c r="BB353" s="26">
        <f t="shared" si="256"/>
        <v>0.36846486619266616</v>
      </c>
      <c r="BC353" s="26">
        <f t="shared" si="256"/>
        <v>8.1881081376148024E-2</v>
      </c>
      <c r="BD353" s="26">
        <f t="shared" si="256"/>
        <v>4.5489489653415573E-2</v>
      </c>
      <c r="BE353" s="26">
        <f t="shared" si="256"/>
        <v>4.5489489653415573E-2</v>
      </c>
      <c r="BF353" s="26">
        <f t="shared" si="256"/>
        <v>0</v>
      </c>
      <c r="BG353" s="26">
        <f t="shared" si="256"/>
        <v>0</v>
      </c>
      <c r="BH353" s="26">
        <f t="shared" si="256"/>
        <v>0</v>
      </c>
      <c r="BI353" s="26">
        <f t="shared" si="256"/>
        <v>0</v>
      </c>
      <c r="BJ353" s="26">
        <f t="shared" si="256"/>
        <v>0</v>
      </c>
      <c r="BL353" s="26">
        <f t="shared" si="257"/>
        <v>0.42587715108424196</v>
      </c>
      <c r="BM353" s="26">
        <f t="shared" si="257"/>
        <v>0.38716104644021998</v>
      </c>
      <c r="BN353" s="26">
        <f t="shared" si="257"/>
        <v>9.1433874203365295E-2</v>
      </c>
      <c r="BO353" s="26">
        <f t="shared" si="257"/>
        <v>5.0038438618757133E-2</v>
      </c>
      <c r="BP353" s="26">
        <f t="shared" si="257"/>
        <v>4.5489489653415573E-2</v>
      </c>
      <c r="BQ353" s="26">
        <f t="shared" si="257"/>
        <v>0</v>
      </c>
      <c r="BR353" s="26">
        <f t="shared" si="257"/>
        <v>0</v>
      </c>
      <c r="BS353" s="26">
        <f t="shared" si="257"/>
        <v>0</v>
      </c>
      <c r="BT353" s="26">
        <f t="shared" si="257"/>
        <v>0</v>
      </c>
      <c r="BU353" s="26">
        <f t="shared" si="257"/>
        <v>0</v>
      </c>
    </row>
    <row r="354" spans="2:73">
      <c r="B354" t="str">
        <f t="shared" si="245"/>
        <v>PBMR</v>
      </c>
      <c r="C354" t="str">
        <f t="shared" si="245"/>
        <v>Nuclear Pebble-Bed Modular Reactor</v>
      </c>
      <c r="D354" s="26">
        <f t="shared" si="252"/>
        <v>0</v>
      </c>
      <c r="E354" s="26">
        <f t="shared" si="252"/>
        <v>0</v>
      </c>
      <c r="F354" s="26">
        <f t="shared" si="252"/>
        <v>0.05</v>
      </c>
      <c r="G354" s="26">
        <f t="shared" si="252"/>
        <v>0.05</v>
      </c>
      <c r="H354" s="26">
        <f t="shared" si="252"/>
        <v>0.05</v>
      </c>
      <c r="I354" s="26">
        <f t="shared" si="252"/>
        <v>0.05</v>
      </c>
      <c r="J354" s="26">
        <f t="shared" si="252"/>
        <v>0.1</v>
      </c>
      <c r="K354" s="26">
        <f t="shared" si="252"/>
        <v>0.25</v>
      </c>
      <c r="L354" s="26">
        <f t="shared" si="252"/>
        <v>0.25</v>
      </c>
      <c r="M354" s="26">
        <f t="shared" si="252"/>
        <v>0.2</v>
      </c>
      <c r="Q354" s="26">
        <f t="shared" si="253"/>
        <v>0</v>
      </c>
      <c r="R354" s="26">
        <f t="shared" si="253"/>
        <v>0</v>
      </c>
      <c r="S354" s="26">
        <f t="shared" si="253"/>
        <v>9.7435855000000057E-2</v>
      </c>
      <c r="T354" s="26">
        <f t="shared" si="253"/>
        <v>8.8578050000000033E-2</v>
      </c>
      <c r="U354" s="26">
        <f t="shared" si="253"/>
        <v>8.0525500000000041E-2</v>
      </c>
      <c r="V354" s="26">
        <f t="shared" si="253"/>
        <v>7.320500000000002E-2</v>
      </c>
      <c r="W354" s="26">
        <f t="shared" si="253"/>
        <v>0.13310000000000005</v>
      </c>
      <c r="X354" s="26">
        <f t="shared" si="253"/>
        <v>0.30250000000000005</v>
      </c>
      <c r="Y354" s="26">
        <f t="shared" si="253"/>
        <v>0.27500000000000002</v>
      </c>
      <c r="Z354" s="26">
        <f t="shared" si="253"/>
        <v>0.2</v>
      </c>
      <c r="AE354" s="26">
        <f t="shared" si="254"/>
        <v>0</v>
      </c>
      <c r="AF354" s="26">
        <f t="shared" si="254"/>
        <v>0</v>
      </c>
      <c r="AG354" s="26">
        <f t="shared" si="254"/>
        <v>3.9988982075702575E-2</v>
      </c>
      <c r="AH354" s="26">
        <f t="shared" si="254"/>
        <v>3.9988982075702575E-2</v>
      </c>
      <c r="AI354" s="26">
        <f t="shared" si="254"/>
        <v>3.9988982075702575E-2</v>
      </c>
      <c r="AJ354" s="26">
        <f t="shared" si="254"/>
        <v>3.9988982075702575E-2</v>
      </c>
      <c r="AK354" s="26">
        <f t="shared" si="254"/>
        <v>7.9977964151405151E-2</v>
      </c>
      <c r="AL354" s="26">
        <f t="shared" si="254"/>
        <v>0.19994491037851286</v>
      </c>
      <c r="AM354" s="26">
        <f t="shared" si="254"/>
        <v>0.19994491037851286</v>
      </c>
      <c r="AN354" s="26">
        <f t="shared" si="254"/>
        <v>0.1599559283028103</v>
      </c>
      <c r="AP354" s="26">
        <f t="shared" si="255"/>
        <v>0</v>
      </c>
      <c r="AQ354" s="26">
        <f t="shared" si="255"/>
        <v>0</v>
      </c>
      <c r="AR354" s="26">
        <f t="shared" si="255"/>
        <v>3.9988982075702575E-2</v>
      </c>
      <c r="AS354" s="26">
        <f t="shared" si="255"/>
        <v>4.3987880283272836E-2</v>
      </c>
      <c r="AT354" s="26">
        <f t="shared" si="255"/>
        <v>4.8386668311600115E-2</v>
      </c>
      <c r="AU354" s="26">
        <f t="shared" si="255"/>
        <v>5.3225335142760129E-2</v>
      </c>
      <c r="AV354" s="26">
        <f t="shared" si="255"/>
        <v>9.8536850732738712E-2</v>
      </c>
      <c r="AW354" s="26">
        <f t="shared" si="255"/>
        <v>0.22835748203312031</v>
      </c>
      <c r="AX354" s="26">
        <f t="shared" si="255"/>
        <v>0.25119323023643236</v>
      </c>
      <c r="AY354" s="26">
        <f t="shared" si="255"/>
        <v>0.23632357118437303</v>
      </c>
      <c r="BA354" s="26">
        <f t="shared" si="256"/>
        <v>0.1599559283028103</v>
      </c>
      <c r="BB354" s="26">
        <f t="shared" si="256"/>
        <v>0.19994491037851286</v>
      </c>
      <c r="BC354" s="26">
        <f t="shared" si="256"/>
        <v>0.19994491037851286</v>
      </c>
      <c r="BD354" s="26">
        <f t="shared" si="256"/>
        <v>7.9977964151405151E-2</v>
      </c>
      <c r="BE354" s="26">
        <f t="shared" si="256"/>
        <v>3.9988982075702575E-2</v>
      </c>
      <c r="BF354" s="26">
        <f t="shared" si="256"/>
        <v>3.9988982075702575E-2</v>
      </c>
      <c r="BG354" s="26">
        <f t="shared" si="256"/>
        <v>3.9988982075702575E-2</v>
      </c>
      <c r="BH354" s="26">
        <f t="shared" si="256"/>
        <v>3.9988982075702575E-2</v>
      </c>
      <c r="BI354" s="26">
        <f t="shared" si="256"/>
        <v>0</v>
      </c>
      <c r="BJ354" s="26">
        <f t="shared" si="256"/>
        <v>0</v>
      </c>
      <c r="BL354" s="26">
        <f t="shared" si="257"/>
        <v>0.23632357118437303</v>
      </c>
      <c r="BM354" s="26">
        <f t="shared" si="257"/>
        <v>0.25119323023643236</v>
      </c>
      <c r="BN354" s="26">
        <f t="shared" si="257"/>
        <v>0.22835748203312031</v>
      </c>
      <c r="BO354" s="26">
        <f t="shared" si="257"/>
        <v>9.8536850732738712E-2</v>
      </c>
      <c r="BP354" s="26">
        <f t="shared" si="257"/>
        <v>5.3225335142760129E-2</v>
      </c>
      <c r="BQ354" s="26">
        <f t="shared" si="257"/>
        <v>4.8386668311600115E-2</v>
      </c>
      <c r="BR354" s="26">
        <f t="shared" si="257"/>
        <v>4.3987880283272836E-2</v>
      </c>
      <c r="BS354" s="26">
        <f t="shared" si="257"/>
        <v>3.9988982075702575E-2</v>
      </c>
      <c r="BT354" s="26">
        <f t="shared" si="257"/>
        <v>0</v>
      </c>
      <c r="BU354" s="26">
        <f t="shared" si="257"/>
        <v>0</v>
      </c>
    </row>
    <row r="355" spans="2:73">
      <c r="B355" t="str">
        <f t="shared" si="245"/>
        <v>IGCC</v>
      </c>
      <c r="C355" t="str">
        <f t="shared" si="245"/>
        <v>Integrated Gasification Combined Cycle Coal</v>
      </c>
      <c r="D355" s="26">
        <f t="shared" si="252"/>
        <v>0</v>
      </c>
      <c r="E355" s="26">
        <f t="shared" si="252"/>
        <v>0</v>
      </c>
      <c r="F355" s="26">
        <f t="shared" si="252"/>
        <v>0</v>
      </c>
      <c r="G355" s="26">
        <f t="shared" si="252"/>
        <v>0.05</v>
      </c>
      <c r="H355" s="26">
        <f t="shared" si="252"/>
        <v>0.05</v>
      </c>
      <c r="I355" s="26">
        <f t="shared" si="252"/>
        <v>4.4999999999999998E-2</v>
      </c>
      <c r="J355" s="26">
        <f t="shared" si="252"/>
        <v>9.9000000000000005E-2</v>
      </c>
      <c r="K355" s="26">
        <f t="shared" si="252"/>
        <v>0.18899999999999997</v>
      </c>
      <c r="L355" s="26">
        <f t="shared" si="252"/>
        <v>0.252</v>
      </c>
      <c r="M355" s="26">
        <f t="shared" si="252"/>
        <v>0.31499999999999995</v>
      </c>
      <c r="Q355" s="26">
        <f t="shared" si="253"/>
        <v>0</v>
      </c>
      <c r="R355" s="26">
        <f t="shared" si="253"/>
        <v>0</v>
      </c>
      <c r="S355" s="26">
        <f t="shared" si="253"/>
        <v>0</v>
      </c>
      <c r="T355" s="26">
        <f t="shared" si="253"/>
        <v>8.8578050000000033E-2</v>
      </c>
      <c r="U355" s="26">
        <f t="shared" si="253"/>
        <v>8.0525500000000041E-2</v>
      </c>
      <c r="V355" s="26">
        <f t="shared" si="253"/>
        <v>6.5884500000000012E-2</v>
      </c>
      <c r="W355" s="26">
        <f t="shared" si="253"/>
        <v>0.13176900000000005</v>
      </c>
      <c r="X355" s="26">
        <f t="shared" si="253"/>
        <v>0.22869</v>
      </c>
      <c r="Y355" s="26">
        <f t="shared" si="253"/>
        <v>0.2772</v>
      </c>
      <c r="Z355" s="26">
        <f t="shared" si="253"/>
        <v>0.31499999999999995</v>
      </c>
      <c r="AE355" s="26">
        <f t="shared" si="254"/>
        <v>0</v>
      </c>
      <c r="AF355" s="26">
        <f t="shared" si="254"/>
        <v>0</v>
      </c>
      <c r="AG355" s="26">
        <f t="shared" si="254"/>
        <v>0</v>
      </c>
      <c r="AH355" s="26">
        <f t="shared" si="254"/>
        <v>4.2100049842249E-2</v>
      </c>
      <c r="AI355" s="26">
        <f t="shared" si="254"/>
        <v>4.2100049842249E-2</v>
      </c>
      <c r="AJ355" s="26">
        <f t="shared" si="254"/>
        <v>3.7890044858024101E-2</v>
      </c>
      <c r="AK355" s="26">
        <f t="shared" si="254"/>
        <v>8.3358098687653023E-2</v>
      </c>
      <c r="AL355" s="26">
        <f t="shared" si="254"/>
        <v>0.1591381884037012</v>
      </c>
      <c r="AM355" s="26">
        <f t="shared" si="254"/>
        <v>0.21218425120493495</v>
      </c>
      <c r="AN355" s="26">
        <f t="shared" si="254"/>
        <v>0.26523031400616864</v>
      </c>
      <c r="AP355" s="26">
        <f t="shared" si="255"/>
        <v>0</v>
      </c>
      <c r="AQ355" s="26">
        <f t="shared" si="255"/>
        <v>0</v>
      </c>
      <c r="AR355" s="26">
        <f t="shared" si="255"/>
        <v>0</v>
      </c>
      <c r="AS355" s="26">
        <f t="shared" si="255"/>
        <v>4.2100049842249E-2</v>
      </c>
      <c r="AT355" s="26">
        <f t="shared" si="255"/>
        <v>4.63100548264739E-2</v>
      </c>
      <c r="AU355" s="26">
        <f t="shared" si="255"/>
        <v>4.6731055324896395E-2</v>
      </c>
      <c r="AV355" s="26">
        <f t="shared" si="255"/>
        <v>9.6872214687014957E-2</v>
      </c>
      <c r="AW355" s="26">
        <f t="shared" si="255"/>
        <v>0.18233952587176464</v>
      </c>
      <c r="AX355" s="26">
        <f t="shared" si="255"/>
        <v>0.25361954126017483</v>
      </c>
      <c r="AY355" s="26">
        <f t="shared" si="255"/>
        <v>0.33202755818742602</v>
      </c>
      <c r="BA355" s="26">
        <f t="shared" si="256"/>
        <v>0.26523031400616864</v>
      </c>
      <c r="BB355" s="26">
        <f t="shared" si="256"/>
        <v>0.21218425120493495</v>
      </c>
      <c r="BC355" s="26">
        <f t="shared" si="256"/>
        <v>0.1591381884037012</v>
      </c>
      <c r="BD355" s="26">
        <f t="shared" si="256"/>
        <v>8.3358098687653023E-2</v>
      </c>
      <c r="BE355" s="26">
        <f t="shared" si="256"/>
        <v>3.7890044858024101E-2</v>
      </c>
      <c r="BF355" s="26">
        <f t="shared" si="256"/>
        <v>4.2100049842249E-2</v>
      </c>
      <c r="BG355" s="26">
        <f t="shared" si="256"/>
        <v>4.2100049842249E-2</v>
      </c>
      <c r="BH355" s="26">
        <f t="shared" si="256"/>
        <v>0</v>
      </c>
      <c r="BI355" s="26">
        <f t="shared" si="256"/>
        <v>0</v>
      </c>
      <c r="BJ355" s="26">
        <f t="shared" si="256"/>
        <v>0</v>
      </c>
      <c r="BL355" s="26">
        <f t="shared" si="257"/>
        <v>0.33202755818742602</v>
      </c>
      <c r="BM355" s="26">
        <f t="shared" si="257"/>
        <v>0.25361954126017483</v>
      </c>
      <c r="BN355" s="26">
        <f t="shared" si="257"/>
        <v>0.18233952587176464</v>
      </c>
      <c r="BO355" s="26">
        <f t="shared" si="257"/>
        <v>9.6872214687014957E-2</v>
      </c>
      <c r="BP355" s="26">
        <f t="shared" si="257"/>
        <v>4.6731055324896395E-2</v>
      </c>
      <c r="BQ355" s="26">
        <f t="shared" si="257"/>
        <v>4.63100548264739E-2</v>
      </c>
      <c r="BR355" s="26">
        <f t="shared" si="257"/>
        <v>4.2100049842249E-2</v>
      </c>
      <c r="BS355" s="26">
        <f t="shared" si="257"/>
        <v>0</v>
      </c>
      <c r="BT355" s="26">
        <f t="shared" si="257"/>
        <v>0</v>
      </c>
      <c r="BU355" s="26">
        <f t="shared" si="257"/>
        <v>0</v>
      </c>
    </row>
    <row r="356" spans="2:73">
      <c r="B356" t="str">
        <f t="shared" si="245"/>
        <v>-</v>
      </c>
      <c r="C356" t="str">
        <f t="shared" si="245"/>
        <v>not used</v>
      </c>
      <c r="D356" s="26">
        <f t="shared" si="252"/>
        <v>0</v>
      </c>
      <c r="E356" s="26">
        <f t="shared" si="252"/>
        <v>0</v>
      </c>
      <c r="F356" s="26">
        <f t="shared" si="252"/>
        <v>0</v>
      </c>
      <c r="G356" s="26">
        <f t="shared" si="252"/>
        <v>0</v>
      </c>
      <c r="H356" s="26">
        <f t="shared" si="252"/>
        <v>0</v>
      </c>
      <c r="I356" s="26">
        <f t="shared" si="252"/>
        <v>0</v>
      </c>
      <c r="J356" s="26">
        <f t="shared" si="252"/>
        <v>0</v>
      </c>
      <c r="K356" s="26">
        <f t="shared" si="252"/>
        <v>0</v>
      </c>
      <c r="L356" s="26">
        <f t="shared" si="252"/>
        <v>0</v>
      </c>
      <c r="M356" s="26">
        <f t="shared" si="252"/>
        <v>2</v>
      </c>
      <c r="Q356" s="26">
        <f t="shared" si="253"/>
        <v>0</v>
      </c>
      <c r="R356" s="26">
        <f t="shared" si="253"/>
        <v>0</v>
      </c>
      <c r="S356" s="26">
        <f t="shared" si="253"/>
        <v>0</v>
      </c>
      <c r="T356" s="26">
        <f t="shared" si="253"/>
        <v>0</v>
      </c>
      <c r="U356" s="26">
        <f t="shared" si="253"/>
        <v>0</v>
      </c>
      <c r="V356" s="26">
        <f t="shared" si="253"/>
        <v>0</v>
      </c>
      <c r="W356" s="26">
        <f t="shared" si="253"/>
        <v>0</v>
      </c>
      <c r="X356" s="26">
        <f t="shared" si="253"/>
        <v>0</v>
      </c>
      <c r="Y356" s="26">
        <f t="shared" si="253"/>
        <v>0</v>
      </c>
      <c r="Z356" s="26">
        <f t="shared" si="253"/>
        <v>2</v>
      </c>
      <c r="AE356" s="26">
        <f t="shared" si="254"/>
        <v>0</v>
      </c>
      <c r="AF356" s="26">
        <f t="shared" si="254"/>
        <v>0</v>
      </c>
      <c r="AG356" s="26">
        <f t="shared" si="254"/>
        <v>0</v>
      </c>
      <c r="AH356" s="26">
        <f t="shared" si="254"/>
        <v>0</v>
      </c>
      <c r="AI356" s="26">
        <f t="shared" si="254"/>
        <v>0</v>
      </c>
      <c r="AJ356" s="26">
        <f t="shared" si="254"/>
        <v>0</v>
      </c>
      <c r="AK356" s="26">
        <f t="shared" si="254"/>
        <v>0</v>
      </c>
      <c r="AL356" s="26">
        <f t="shared" si="254"/>
        <v>0</v>
      </c>
      <c r="AM356" s="26">
        <f t="shared" si="254"/>
        <v>0</v>
      </c>
      <c r="AN356" s="26">
        <f t="shared" si="254"/>
        <v>2</v>
      </c>
      <c r="AP356" s="26">
        <f t="shared" si="255"/>
        <v>0</v>
      </c>
      <c r="AQ356" s="26">
        <f t="shared" si="255"/>
        <v>0</v>
      </c>
      <c r="AR356" s="26">
        <f t="shared" si="255"/>
        <v>0</v>
      </c>
      <c r="AS356" s="26">
        <f t="shared" si="255"/>
        <v>0</v>
      </c>
      <c r="AT356" s="26">
        <f t="shared" si="255"/>
        <v>0</v>
      </c>
      <c r="AU356" s="26">
        <f t="shared" si="255"/>
        <v>0</v>
      </c>
      <c r="AV356" s="26">
        <f t="shared" si="255"/>
        <v>0</v>
      </c>
      <c r="AW356" s="26">
        <f t="shared" si="255"/>
        <v>0</v>
      </c>
      <c r="AX356" s="26">
        <f t="shared" si="255"/>
        <v>0</v>
      </c>
      <c r="AY356" s="26">
        <f t="shared" si="255"/>
        <v>2</v>
      </c>
      <c r="BA356" s="26">
        <f t="shared" si="256"/>
        <v>2</v>
      </c>
      <c r="BB356" s="26">
        <f t="shared" si="256"/>
        <v>0</v>
      </c>
      <c r="BC356" s="26">
        <f t="shared" si="256"/>
        <v>0</v>
      </c>
      <c r="BD356" s="26">
        <f t="shared" si="256"/>
        <v>0</v>
      </c>
      <c r="BE356" s="26">
        <f t="shared" si="256"/>
        <v>0</v>
      </c>
      <c r="BF356" s="26">
        <f t="shared" si="256"/>
        <v>0</v>
      </c>
      <c r="BG356" s="26">
        <f t="shared" si="256"/>
        <v>0</v>
      </c>
      <c r="BH356" s="26">
        <f t="shared" si="256"/>
        <v>0</v>
      </c>
      <c r="BI356" s="26">
        <f t="shared" si="256"/>
        <v>0</v>
      </c>
      <c r="BJ356" s="26">
        <f t="shared" si="256"/>
        <v>0</v>
      </c>
      <c r="BL356" s="26">
        <f t="shared" si="257"/>
        <v>2</v>
      </c>
      <c r="BM356" s="26">
        <f t="shared" si="257"/>
        <v>0</v>
      </c>
      <c r="BN356" s="26">
        <f t="shared" si="257"/>
        <v>0</v>
      </c>
      <c r="BO356" s="26">
        <f t="shared" si="257"/>
        <v>0</v>
      </c>
      <c r="BP356" s="26">
        <f t="shared" si="257"/>
        <v>0</v>
      </c>
      <c r="BQ356" s="26">
        <f t="shared" si="257"/>
        <v>0</v>
      </c>
      <c r="BR356" s="26">
        <f t="shared" si="257"/>
        <v>0</v>
      </c>
      <c r="BS356" s="26">
        <f t="shared" si="257"/>
        <v>0</v>
      </c>
      <c r="BT356" s="26">
        <f t="shared" si="257"/>
        <v>0</v>
      </c>
      <c r="BU356" s="26">
        <f t="shared" si="257"/>
        <v>0</v>
      </c>
    </row>
    <row r="357" spans="2:73">
      <c r="B357" t="str">
        <f t="shared" si="245"/>
        <v>-</v>
      </c>
      <c r="C357" t="str">
        <f t="shared" si="245"/>
        <v>not used</v>
      </c>
      <c r="D357" s="26">
        <f t="shared" si="252"/>
        <v>0</v>
      </c>
      <c r="E357" s="26">
        <f t="shared" si="252"/>
        <v>0</v>
      </c>
      <c r="F357" s="26">
        <f t="shared" si="252"/>
        <v>0</v>
      </c>
      <c r="G357" s="26">
        <f t="shared" si="252"/>
        <v>0</v>
      </c>
      <c r="H357" s="26">
        <f t="shared" si="252"/>
        <v>0</v>
      </c>
      <c r="I357" s="26">
        <f t="shared" si="252"/>
        <v>0</v>
      </c>
      <c r="J357" s="26">
        <f t="shared" si="252"/>
        <v>0</v>
      </c>
      <c r="K357" s="26">
        <f t="shared" si="252"/>
        <v>0</v>
      </c>
      <c r="L357" s="26">
        <f t="shared" si="252"/>
        <v>0</v>
      </c>
      <c r="M357" s="26">
        <f t="shared" si="252"/>
        <v>2</v>
      </c>
      <c r="Q357" s="26">
        <f t="shared" si="253"/>
        <v>0</v>
      </c>
      <c r="R357" s="26">
        <f t="shared" si="253"/>
        <v>0</v>
      </c>
      <c r="S357" s="26">
        <f t="shared" si="253"/>
        <v>0</v>
      </c>
      <c r="T357" s="26">
        <f t="shared" si="253"/>
        <v>0</v>
      </c>
      <c r="U357" s="26">
        <f t="shared" si="253"/>
        <v>0</v>
      </c>
      <c r="V357" s="26">
        <f t="shared" si="253"/>
        <v>0</v>
      </c>
      <c r="W357" s="26">
        <f t="shared" si="253"/>
        <v>0</v>
      </c>
      <c r="X357" s="26">
        <f t="shared" si="253"/>
        <v>0</v>
      </c>
      <c r="Y357" s="26">
        <f t="shared" si="253"/>
        <v>0</v>
      </c>
      <c r="Z357" s="26">
        <f t="shared" si="253"/>
        <v>2</v>
      </c>
      <c r="AE357" s="26">
        <f t="shared" si="254"/>
        <v>0</v>
      </c>
      <c r="AF357" s="26">
        <f t="shared" si="254"/>
        <v>0</v>
      </c>
      <c r="AG357" s="26">
        <f t="shared" si="254"/>
        <v>0</v>
      </c>
      <c r="AH357" s="26">
        <f t="shared" si="254"/>
        <v>0</v>
      </c>
      <c r="AI357" s="26">
        <f t="shared" si="254"/>
        <v>0</v>
      </c>
      <c r="AJ357" s="26">
        <f t="shared" si="254"/>
        <v>0</v>
      </c>
      <c r="AK357" s="26">
        <f t="shared" si="254"/>
        <v>0</v>
      </c>
      <c r="AL357" s="26">
        <f t="shared" si="254"/>
        <v>0</v>
      </c>
      <c r="AM357" s="26">
        <f t="shared" si="254"/>
        <v>0</v>
      </c>
      <c r="AN357" s="26">
        <f t="shared" si="254"/>
        <v>2</v>
      </c>
      <c r="AP357" s="26">
        <f t="shared" si="255"/>
        <v>0</v>
      </c>
      <c r="AQ357" s="26">
        <f t="shared" si="255"/>
        <v>0</v>
      </c>
      <c r="AR357" s="26">
        <f t="shared" si="255"/>
        <v>0</v>
      </c>
      <c r="AS357" s="26">
        <f t="shared" si="255"/>
        <v>0</v>
      </c>
      <c r="AT357" s="26">
        <f t="shared" si="255"/>
        <v>0</v>
      </c>
      <c r="AU357" s="26">
        <f t="shared" si="255"/>
        <v>0</v>
      </c>
      <c r="AV357" s="26">
        <f t="shared" si="255"/>
        <v>0</v>
      </c>
      <c r="AW357" s="26">
        <f t="shared" si="255"/>
        <v>0</v>
      </c>
      <c r="AX357" s="26">
        <f t="shared" si="255"/>
        <v>0</v>
      </c>
      <c r="AY357" s="26">
        <f t="shared" si="255"/>
        <v>2</v>
      </c>
      <c r="BA357" s="26">
        <f t="shared" si="256"/>
        <v>2</v>
      </c>
      <c r="BB357" s="26">
        <f t="shared" si="256"/>
        <v>0</v>
      </c>
      <c r="BC357" s="26">
        <f t="shared" si="256"/>
        <v>0</v>
      </c>
      <c r="BD357" s="26">
        <f t="shared" si="256"/>
        <v>0</v>
      </c>
      <c r="BE357" s="26">
        <f t="shared" si="256"/>
        <v>0</v>
      </c>
      <c r="BF357" s="26">
        <f t="shared" si="256"/>
        <v>0</v>
      </c>
      <c r="BG357" s="26">
        <f t="shared" si="256"/>
        <v>0</v>
      </c>
      <c r="BH357" s="26">
        <f t="shared" si="256"/>
        <v>0</v>
      </c>
      <c r="BI357" s="26">
        <f t="shared" si="256"/>
        <v>0</v>
      </c>
      <c r="BJ357" s="26">
        <f t="shared" si="256"/>
        <v>0</v>
      </c>
      <c r="BL357" s="26">
        <f t="shared" si="257"/>
        <v>2</v>
      </c>
      <c r="BM357" s="26">
        <f t="shared" si="257"/>
        <v>0</v>
      </c>
      <c r="BN357" s="26">
        <f t="shared" si="257"/>
        <v>0</v>
      </c>
      <c r="BO357" s="26">
        <f t="shared" si="257"/>
        <v>0</v>
      </c>
      <c r="BP357" s="26">
        <f t="shared" si="257"/>
        <v>0</v>
      </c>
      <c r="BQ357" s="26">
        <f t="shared" si="257"/>
        <v>0</v>
      </c>
      <c r="BR357" s="26">
        <f t="shared" si="257"/>
        <v>0</v>
      </c>
      <c r="BS357" s="26">
        <f t="shared" si="257"/>
        <v>0</v>
      </c>
      <c r="BT357" s="26">
        <f t="shared" si="257"/>
        <v>0</v>
      </c>
      <c r="BU357" s="26">
        <f t="shared" si="257"/>
        <v>0</v>
      </c>
    </row>
    <row r="358" spans="2:73">
      <c r="B358" t="str">
        <f t="shared" si="245"/>
        <v>-</v>
      </c>
      <c r="C358" t="str">
        <f t="shared" si="245"/>
        <v>not used</v>
      </c>
      <c r="D358" s="26">
        <f t="shared" si="252"/>
        <v>0</v>
      </c>
      <c r="E358" s="26">
        <f t="shared" si="252"/>
        <v>0</v>
      </c>
      <c r="F358" s="26">
        <f t="shared" si="252"/>
        <v>0</v>
      </c>
      <c r="G358" s="26">
        <f t="shared" si="252"/>
        <v>0</v>
      </c>
      <c r="H358" s="26">
        <f t="shared" si="252"/>
        <v>0</v>
      </c>
      <c r="I358" s="26">
        <f t="shared" si="252"/>
        <v>0</v>
      </c>
      <c r="J358" s="26">
        <f t="shared" si="252"/>
        <v>0</v>
      </c>
      <c r="K358" s="26">
        <f t="shared" si="252"/>
        <v>0</v>
      </c>
      <c r="L358" s="26">
        <f t="shared" si="252"/>
        <v>0</v>
      </c>
      <c r="M358" s="26">
        <f t="shared" si="252"/>
        <v>2</v>
      </c>
      <c r="Q358" s="26">
        <f t="shared" si="253"/>
        <v>0</v>
      </c>
      <c r="R358" s="26">
        <f t="shared" si="253"/>
        <v>0</v>
      </c>
      <c r="S358" s="26">
        <f t="shared" si="253"/>
        <v>0</v>
      </c>
      <c r="T358" s="26">
        <f t="shared" si="253"/>
        <v>0</v>
      </c>
      <c r="U358" s="26">
        <f t="shared" si="253"/>
        <v>0</v>
      </c>
      <c r="V358" s="26">
        <f t="shared" si="253"/>
        <v>0</v>
      </c>
      <c r="W358" s="26">
        <f t="shared" si="253"/>
        <v>0</v>
      </c>
      <c r="X358" s="26">
        <f t="shared" si="253"/>
        <v>0</v>
      </c>
      <c r="Y358" s="26">
        <f t="shared" si="253"/>
        <v>0</v>
      </c>
      <c r="Z358" s="26">
        <f t="shared" si="253"/>
        <v>2</v>
      </c>
      <c r="AE358" s="26">
        <f t="shared" si="254"/>
        <v>0</v>
      </c>
      <c r="AF358" s="26">
        <f t="shared" si="254"/>
        <v>0</v>
      </c>
      <c r="AG358" s="26">
        <f t="shared" si="254"/>
        <v>0</v>
      </c>
      <c r="AH358" s="26">
        <f t="shared" si="254"/>
        <v>0</v>
      </c>
      <c r="AI358" s="26">
        <f t="shared" si="254"/>
        <v>0</v>
      </c>
      <c r="AJ358" s="26">
        <f t="shared" si="254"/>
        <v>0</v>
      </c>
      <c r="AK358" s="26">
        <f t="shared" si="254"/>
        <v>0</v>
      </c>
      <c r="AL358" s="26">
        <f t="shared" si="254"/>
        <v>0</v>
      </c>
      <c r="AM358" s="26">
        <f t="shared" si="254"/>
        <v>0</v>
      </c>
      <c r="AN358" s="26">
        <f t="shared" si="254"/>
        <v>2</v>
      </c>
      <c r="AP358" s="26">
        <f t="shared" si="255"/>
        <v>0</v>
      </c>
      <c r="AQ358" s="26">
        <f t="shared" si="255"/>
        <v>0</v>
      </c>
      <c r="AR358" s="26">
        <f t="shared" si="255"/>
        <v>0</v>
      </c>
      <c r="AS358" s="26">
        <f t="shared" si="255"/>
        <v>0</v>
      </c>
      <c r="AT358" s="26">
        <f t="shared" si="255"/>
        <v>0</v>
      </c>
      <c r="AU358" s="26">
        <f t="shared" si="255"/>
        <v>0</v>
      </c>
      <c r="AV358" s="26">
        <f t="shared" si="255"/>
        <v>0</v>
      </c>
      <c r="AW358" s="26">
        <f t="shared" si="255"/>
        <v>0</v>
      </c>
      <c r="AX358" s="26">
        <f t="shared" si="255"/>
        <v>0</v>
      </c>
      <c r="AY358" s="26">
        <f t="shared" si="255"/>
        <v>2</v>
      </c>
      <c r="BA358" s="26">
        <f t="shared" si="256"/>
        <v>2</v>
      </c>
      <c r="BB358" s="26">
        <f t="shared" si="256"/>
        <v>0</v>
      </c>
      <c r="BC358" s="26">
        <f t="shared" si="256"/>
        <v>0</v>
      </c>
      <c r="BD358" s="26">
        <f t="shared" si="256"/>
        <v>0</v>
      </c>
      <c r="BE358" s="26">
        <f t="shared" si="256"/>
        <v>0</v>
      </c>
      <c r="BF358" s="26">
        <f t="shared" si="256"/>
        <v>0</v>
      </c>
      <c r="BG358" s="26">
        <f t="shared" si="256"/>
        <v>0</v>
      </c>
      <c r="BH358" s="26">
        <f t="shared" si="256"/>
        <v>0</v>
      </c>
      <c r="BI358" s="26">
        <f t="shared" si="256"/>
        <v>0</v>
      </c>
      <c r="BJ358" s="26">
        <f t="shared" si="256"/>
        <v>0</v>
      </c>
      <c r="BL358" s="26">
        <f t="shared" si="257"/>
        <v>2</v>
      </c>
      <c r="BM358" s="26">
        <f t="shared" si="257"/>
        <v>0</v>
      </c>
      <c r="BN358" s="26">
        <f t="shared" si="257"/>
        <v>0</v>
      </c>
      <c r="BO358" s="26">
        <f t="shared" si="257"/>
        <v>0</v>
      </c>
      <c r="BP358" s="26">
        <f t="shared" si="257"/>
        <v>0</v>
      </c>
      <c r="BQ358" s="26">
        <f t="shared" si="257"/>
        <v>0</v>
      </c>
      <c r="BR358" s="26">
        <f t="shared" si="257"/>
        <v>0</v>
      </c>
      <c r="BS358" s="26">
        <f t="shared" si="257"/>
        <v>0</v>
      </c>
      <c r="BT358" s="26">
        <f t="shared" si="257"/>
        <v>0</v>
      </c>
      <c r="BU358" s="26">
        <f t="shared" si="257"/>
        <v>0</v>
      </c>
    </row>
    <row r="359" spans="2:73">
      <c r="B359" t="str">
        <f t="shared" si="245"/>
        <v>Pumped storage</v>
      </c>
      <c r="C359" t="str">
        <f t="shared" si="245"/>
        <v>Pumped Storage</v>
      </c>
      <c r="D359" s="26">
        <f t="shared" si="252"/>
        <v>0</v>
      </c>
      <c r="E359" s="26">
        <f t="shared" si="252"/>
        <v>9.3333333333333338E-2</v>
      </c>
      <c r="F359" s="26">
        <f t="shared" si="252"/>
        <v>9.3333333333333338E-2</v>
      </c>
      <c r="G359" s="26">
        <f t="shared" si="252"/>
        <v>9.3333333333333338E-2</v>
      </c>
      <c r="H359" s="26">
        <f t="shared" si="252"/>
        <v>0.12</v>
      </c>
      <c r="I359" s="26">
        <f t="shared" si="252"/>
        <v>0.12</v>
      </c>
      <c r="J359" s="26">
        <f t="shared" si="252"/>
        <v>0.12</v>
      </c>
      <c r="K359" s="26">
        <f t="shared" si="252"/>
        <v>0.12</v>
      </c>
      <c r="L359" s="26">
        <f t="shared" si="252"/>
        <v>0.12</v>
      </c>
      <c r="M359" s="26">
        <f t="shared" si="252"/>
        <v>0.12</v>
      </c>
      <c r="Q359" s="26">
        <f t="shared" si="253"/>
        <v>0</v>
      </c>
      <c r="R359" s="26">
        <f t="shared" si="253"/>
        <v>0.20006828893333345</v>
      </c>
      <c r="S359" s="26">
        <f t="shared" si="253"/>
        <v>0.18188026266666679</v>
      </c>
      <c r="T359" s="26">
        <f t="shared" si="253"/>
        <v>0.1653456933333334</v>
      </c>
      <c r="U359" s="26">
        <f t="shared" si="253"/>
        <v>0.19326120000000008</v>
      </c>
      <c r="V359" s="26">
        <f t="shared" si="253"/>
        <v>0.17569200000000004</v>
      </c>
      <c r="W359" s="26">
        <f t="shared" si="253"/>
        <v>0.15972000000000003</v>
      </c>
      <c r="X359" s="26">
        <f t="shared" si="253"/>
        <v>0.14520000000000002</v>
      </c>
      <c r="Y359" s="26">
        <f t="shared" si="253"/>
        <v>0.13200000000000001</v>
      </c>
      <c r="Z359" s="26">
        <f t="shared" si="253"/>
        <v>0.12</v>
      </c>
      <c r="AE359" s="26">
        <f t="shared" si="254"/>
        <v>0</v>
      </c>
      <c r="AF359" s="26">
        <f t="shared" si="254"/>
        <v>6.3355549740346725E-2</v>
      </c>
      <c r="AG359" s="26">
        <f t="shared" si="254"/>
        <v>6.3355549740346725E-2</v>
      </c>
      <c r="AH359" s="26">
        <f t="shared" si="254"/>
        <v>6.3355549740346725E-2</v>
      </c>
      <c r="AI359" s="26">
        <f t="shared" si="254"/>
        <v>8.1457135380445786E-2</v>
      </c>
      <c r="AJ359" s="26">
        <f t="shared" si="254"/>
        <v>8.1457135380445786E-2</v>
      </c>
      <c r="AK359" s="26">
        <f t="shared" si="254"/>
        <v>8.1457135380445786E-2</v>
      </c>
      <c r="AL359" s="26">
        <f t="shared" si="254"/>
        <v>8.1457135380445786E-2</v>
      </c>
      <c r="AM359" s="26">
        <f t="shared" si="254"/>
        <v>8.1457135380445786E-2</v>
      </c>
      <c r="AN359" s="26">
        <f t="shared" si="254"/>
        <v>8.1457135380445786E-2</v>
      </c>
      <c r="AP359" s="26">
        <f t="shared" si="255"/>
        <v>0</v>
      </c>
      <c r="AQ359" s="26">
        <f t="shared" si="255"/>
        <v>6.3355549740346725E-2</v>
      </c>
      <c r="AR359" s="26">
        <f t="shared" si="255"/>
        <v>6.9691104714381391E-2</v>
      </c>
      <c r="AS359" s="26">
        <f t="shared" si="255"/>
        <v>7.666021518581953E-2</v>
      </c>
      <c r="AT359" s="26">
        <f t="shared" si="255"/>
        <v>0.10242782234450055</v>
      </c>
      <c r="AU359" s="26">
        <f t="shared" si="255"/>
        <v>0.1126706045789506</v>
      </c>
      <c r="AV359" s="26">
        <f t="shared" si="255"/>
        <v>0.12393766503684567</v>
      </c>
      <c r="AW359" s="26">
        <f t="shared" si="255"/>
        <v>0.13633143154053023</v>
      </c>
      <c r="AX359" s="26">
        <f t="shared" si="255"/>
        <v>0.14996457469458324</v>
      </c>
      <c r="AY359" s="26">
        <f t="shared" si="255"/>
        <v>0.16496103216404157</v>
      </c>
      <c r="BA359" s="26">
        <f t="shared" si="256"/>
        <v>8.1457135380445786E-2</v>
      </c>
      <c r="BB359" s="26">
        <f t="shared" si="256"/>
        <v>8.1457135380445786E-2</v>
      </c>
      <c r="BC359" s="26">
        <f t="shared" si="256"/>
        <v>8.1457135380445786E-2</v>
      </c>
      <c r="BD359" s="26">
        <f t="shared" si="256"/>
        <v>8.1457135380445786E-2</v>
      </c>
      <c r="BE359" s="26">
        <f t="shared" si="256"/>
        <v>8.1457135380445786E-2</v>
      </c>
      <c r="BF359" s="26">
        <f t="shared" si="256"/>
        <v>8.1457135380445786E-2</v>
      </c>
      <c r="BG359" s="26">
        <f t="shared" si="256"/>
        <v>6.3355549740346725E-2</v>
      </c>
      <c r="BH359" s="26">
        <f t="shared" si="256"/>
        <v>6.3355549740346725E-2</v>
      </c>
      <c r="BI359" s="26">
        <f t="shared" si="256"/>
        <v>6.3355549740346725E-2</v>
      </c>
      <c r="BJ359" s="26">
        <f t="shared" si="256"/>
        <v>0</v>
      </c>
      <c r="BL359" s="26">
        <f t="shared" si="257"/>
        <v>0.16496103216404157</v>
      </c>
      <c r="BM359" s="26">
        <f t="shared" si="257"/>
        <v>0.14996457469458324</v>
      </c>
      <c r="BN359" s="26">
        <f t="shared" si="257"/>
        <v>0.13633143154053023</v>
      </c>
      <c r="BO359" s="26">
        <f t="shared" si="257"/>
        <v>0.12393766503684567</v>
      </c>
      <c r="BP359" s="26">
        <f t="shared" si="257"/>
        <v>0.1126706045789506</v>
      </c>
      <c r="BQ359" s="26">
        <f t="shared" si="257"/>
        <v>0.10242782234450055</v>
      </c>
      <c r="BR359" s="26">
        <f t="shared" si="257"/>
        <v>7.666021518581953E-2</v>
      </c>
      <c r="BS359" s="26">
        <f t="shared" si="257"/>
        <v>6.9691104714381391E-2</v>
      </c>
      <c r="BT359" s="26">
        <f t="shared" si="257"/>
        <v>6.3355549740346725E-2</v>
      </c>
      <c r="BU359" s="26">
        <f t="shared" si="257"/>
        <v>0</v>
      </c>
    </row>
  </sheetData>
  <dataValidations count="3">
    <dataValidation type="list" allowBlank="1" showInputMessage="1" showErrorMessage="1" sqref="C38:C63">
      <formula1>fuel_types</formula1>
    </dataValidation>
    <dataValidation type="list" allowBlank="1" showInputMessage="1" showErrorMessage="1" sqref="C6:C25">
      <formula1>technology_type</formula1>
    </dataValidation>
    <dataValidation type="list" allowBlank="1" showInputMessage="1" showErrorMessage="1" sqref="H27">
      <formula1>$B$32:$B$33</formula1>
    </dataValidation>
  </dataValidations>
  <pageMargins left="0.7" right="0.7" top="0.75" bottom="0.75" header="0.3" footer="0.3"/>
  <pageSetup paperSize="9" orientation="portrait" r:id="rId1"/>
  <drawing r:id="rId2"/>
  <legacyDrawing r:id="rId3"/>
</worksheet>
</file>

<file path=xl/worksheets/sheet4.xml><?xml version="1.0" encoding="utf-8"?>
<worksheet xmlns="http://schemas.openxmlformats.org/spreadsheetml/2006/main" xmlns:r="http://schemas.openxmlformats.org/officeDocument/2006/relationships">
  <sheetPr codeName="Sheet19">
    <tabColor theme="6" tint="0.39997558519241921"/>
  </sheetPr>
  <dimension ref="A3:CM190"/>
  <sheetViews>
    <sheetView topLeftCell="A145" workbookViewId="0">
      <selection activeCell="D184" sqref="D184:J184"/>
    </sheetView>
  </sheetViews>
  <sheetFormatPr defaultRowHeight="12.75"/>
  <cols>
    <col min="1" max="1" width="21.28515625" customWidth="1"/>
    <col min="2" max="2" width="16" customWidth="1"/>
    <col min="3" max="4" width="18.28515625" customWidth="1"/>
    <col min="6" max="6" width="10" bestFit="1" customWidth="1"/>
    <col min="7" max="7" width="11" customWidth="1"/>
    <col min="46" max="46" width="16.140625" customWidth="1"/>
  </cols>
  <sheetData>
    <row r="3" spans="1:16">
      <c r="A3" s="4" t="s">
        <v>676</v>
      </c>
    </row>
    <row r="4" spans="1:16">
      <c r="A4" s="4" t="s">
        <v>677</v>
      </c>
    </row>
    <row r="6" spans="1:16">
      <c r="A6" s="4" t="s">
        <v>678</v>
      </c>
    </row>
    <row r="7" spans="1:16" ht="15">
      <c r="A7">
        <v>1</v>
      </c>
      <c r="B7" t="s">
        <v>555</v>
      </c>
      <c r="E7" s="17" t="s">
        <v>543</v>
      </c>
    </row>
    <row r="8" spans="1:16">
      <c r="A8">
        <v>2</v>
      </c>
      <c r="B8" t="s">
        <v>559</v>
      </c>
      <c r="E8" t="s">
        <v>544</v>
      </c>
      <c r="L8" t="s">
        <v>545</v>
      </c>
    </row>
    <row r="9" spans="1:16">
      <c r="A9">
        <v>3</v>
      </c>
      <c r="B9" t="s">
        <v>551</v>
      </c>
      <c r="E9" t="s">
        <v>546</v>
      </c>
      <c r="L9" t="s">
        <v>547</v>
      </c>
    </row>
    <row r="10" spans="1:16">
      <c r="E10" s="40">
        <v>19</v>
      </c>
      <c r="F10" t="s">
        <v>548</v>
      </c>
      <c r="L10" s="40">
        <v>43.38</v>
      </c>
      <c r="M10" t="s">
        <v>549</v>
      </c>
    </row>
    <row r="11" spans="1:16">
      <c r="B11" t="s">
        <v>640</v>
      </c>
      <c r="E11" t="s">
        <v>552</v>
      </c>
      <c r="H11">
        <f>E10</f>
        <v>19</v>
      </c>
      <c r="I11" t="s">
        <v>553</v>
      </c>
      <c r="L11" t="s">
        <v>554</v>
      </c>
    </row>
    <row r="12" spans="1:16">
      <c r="A12" t="s">
        <v>550</v>
      </c>
      <c r="B12" s="230" t="s">
        <v>555</v>
      </c>
      <c r="C12" s="230"/>
      <c r="D12" s="230"/>
      <c r="E12" t="s">
        <v>556</v>
      </c>
      <c r="G12" s="318">
        <v>110</v>
      </c>
      <c r="H12" t="s">
        <v>557</v>
      </c>
      <c r="L12" s="40">
        <v>1185</v>
      </c>
      <c r="M12" t="s">
        <v>558</v>
      </c>
    </row>
    <row r="13" spans="1:16">
      <c r="E13" t="s">
        <v>560</v>
      </c>
      <c r="G13">
        <f>G12/E10</f>
        <v>5.7894736842105265</v>
      </c>
      <c r="H13" t="s">
        <v>561</v>
      </c>
      <c r="L13" t="s">
        <v>562</v>
      </c>
      <c r="O13">
        <f>1/L12*L10</f>
        <v>3.6607594936708863E-2</v>
      </c>
      <c r="P13" t="s">
        <v>553</v>
      </c>
    </row>
    <row r="14" spans="1:16">
      <c r="L14" t="s">
        <v>563</v>
      </c>
      <c r="N14" s="318">
        <v>400</v>
      </c>
      <c r="O14" t="s">
        <v>564</v>
      </c>
    </row>
    <row r="15" spans="1:16">
      <c r="L15" t="s">
        <v>565</v>
      </c>
      <c r="N15">
        <f>N14/O13/100</f>
        <v>109.26694329183954</v>
      </c>
      <c r="O15" t="s">
        <v>566</v>
      </c>
    </row>
    <row r="19" spans="1:91">
      <c r="A19" t="s">
        <v>567</v>
      </c>
    </row>
    <row r="21" spans="1:91">
      <c r="B21" t="s">
        <v>568</v>
      </c>
    </row>
    <row r="23" spans="1:91" ht="15">
      <c r="C23" t="s">
        <v>569</v>
      </c>
      <c r="F23" s="17">
        <v>2005</v>
      </c>
      <c r="G23" s="17">
        <v>2006</v>
      </c>
      <c r="H23" s="17">
        <v>2007</v>
      </c>
      <c r="I23" s="17">
        <v>2008</v>
      </c>
      <c r="J23" s="17">
        <v>2009</v>
      </c>
      <c r="K23" s="17">
        <v>2010</v>
      </c>
      <c r="L23" s="17">
        <v>2011</v>
      </c>
      <c r="M23" s="17">
        <v>2012</v>
      </c>
      <c r="N23" s="17">
        <v>2013</v>
      </c>
      <c r="O23" s="17">
        <v>2014</v>
      </c>
      <c r="P23" s="17">
        <v>2015</v>
      </c>
      <c r="Q23" s="17">
        <v>2016</v>
      </c>
      <c r="R23" s="17">
        <v>2017</v>
      </c>
      <c r="S23" s="17">
        <v>2018</v>
      </c>
      <c r="T23" s="17">
        <v>2019</v>
      </c>
      <c r="U23" s="17">
        <v>2020</v>
      </c>
      <c r="V23" s="17">
        <v>2021</v>
      </c>
      <c r="W23" s="17">
        <v>2022</v>
      </c>
      <c r="X23" s="17">
        <v>2023</v>
      </c>
      <c r="Y23" s="17">
        <v>2024</v>
      </c>
      <c r="Z23" s="17">
        <v>2025</v>
      </c>
      <c r="AA23" s="17">
        <v>2026</v>
      </c>
      <c r="AB23" s="17">
        <v>2027</v>
      </c>
      <c r="AC23" s="17">
        <v>2028</v>
      </c>
      <c r="AD23" s="17">
        <v>2029</v>
      </c>
      <c r="AE23" s="17">
        <v>2030</v>
      </c>
      <c r="AF23" s="17">
        <v>2031</v>
      </c>
      <c r="AG23" s="17">
        <v>2032</v>
      </c>
      <c r="AH23" s="17">
        <v>2033</v>
      </c>
      <c r="AI23" s="17">
        <v>2034</v>
      </c>
      <c r="AJ23" s="17">
        <v>2035</v>
      </c>
      <c r="AK23" s="17">
        <v>2036</v>
      </c>
      <c r="AL23" s="17">
        <v>2037</v>
      </c>
      <c r="AM23" s="17">
        <v>2038</v>
      </c>
      <c r="AN23" s="17">
        <v>2039</v>
      </c>
      <c r="AO23" s="17">
        <v>2040</v>
      </c>
      <c r="AP23" s="17">
        <v>2041</v>
      </c>
      <c r="AQ23" s="17">
        <v>2042</v>
      </c>
      <c r="AR23" s="17">
        <v>2043</v>
      </c>
      <c r="AS23" s="17">
        <v>2044</v>
      </c>
      <c r="AT23" s="17">
        <v>2045</v>
      </c>
      <c r="AU23" s="17">
        <v>2046</v>
      </c>
      <c r="AV23" s="17">
        <v>2047</v>
      </c>
      <c r="AW23" s="17">
        <v>2048</v>
      </c>
      <c r="AX23" s="17">
        <v>2049</v>
      </c>
      <c r="AY23" s="17">
        <v>2050</v>
      </c>
      <c r="AZ23" s="17">
        <v>2051</v>
      </c>
      <c r="BA23" s="17">
        <v>2052</v>
      </c>
      <c r="BB23" s="17">
        <v>2053</v>
      </c>
      <c r="BC23" s="17">
        <v>2054</v>
      </c>
      <c r="BD23" s="17">
        <v>2055</v>
      </c>
      <c r="BE23" s="17">
        <v>2056</v>
      </c>
      <c r="BF23" s="17">
        <v>2057</v>
      </c>
      <c r="BG23" s="17">
        <v>2058</v>
      </c>
      <c r="BH23" s="17">
        <v>2059</v>
      </c>
      <c r="BI23" s="17">
        <v>2060</v>
      </c>
      <c r="BJ23" s="17">
        <v>2061</v>
      </c>
      <c r="BK23" s="17">
        <v>2062</v>
      </c>
      <c r="BL23" s="17">
        <v>2063</v>
      </c>
      <c r="BM23" s="17">
        <v>2064</v>
      </c>
      <c r="BN23" s="17">
        <v>2065</v>
      </c>
      <c r="BO23" s="17">
        <v>2066</v>
      </c>
      <c r="BP23" s="17">
        <v>2067</v>
      </c>
      <c r="BQ23" s="17">
        <v>2068</v>
      </c>
      <c r="BR23" s="17">
        <v>2069</v>
      </c>
      <c r="BS23" s="17">
        <v>2070</v>
      </c>
      <c r="BT23" s="17">
        <v>2071</v>
      </c>
      <c r="BU23" s="17">
        <v>2072</v>
      </c>
      <c r="BV23" s="17">
        <v>2073</v>
      </c>
      <c r="BW23" s="17">
        <v>2074</v>
      </c>
      <c r="BX23" s="17">
        <v>2075</v>
      </c>
      <c r="BY23" s="17">
        <v>2076</v>
      </c>
      <c r="BZ23" s="17">
        <v>2077</v>
      </c>
      <c r="CA23" s="17">
        <v>2078</v>
      </c>
      <c r="CB23" s="17">
        <v>2079</v>
      </c>
      <c r="CC23" s="17">
        <v>2080</v>
      </c>
      <c r="CD23" s="17">
        <v>2081</v>
      </c>
      <c r="CE23" s="17">
        <v>2082</v>
      </c>
      <c r="CF23" s="17">
        <v>2083</v>
      </c>
      <c r="CG23" s="17">
        <v>2084</v>
      </c>
      <c r="CH23" s="17">
        <v>2085</v>
      </c>
      <c r="CI23" s="17">
        <v>2086</v>
      </c>
      <c r="CJ23" s="17">
        <v>2087</v>
      </c>
      <c r="CK23" s="17">
        <v>2088</v>
      </c>
      <c r="CL23" s="17">
        <v>2089</v>
      </c>
      <c r="CM23" s="17">
        <v>2090</v>
      </c>
    </row>
    <row r="24" spans="1:91">
      <c r="C24" t="s">
        <v>570</v>
      </c>
      <c r="E24" s="41" t="s">
        <v>84</v>
      </c>
      <c r="F24" s="252">
        <v>4.0147432024169181</v>
      </c>
      <c r="G24" s="253">
        <v>4.7647432024169181</v>
      </c>
      <c r="H24" s="253">
        <v>5.5147432024169181</v>
      </c>
      <c r="I24" s="254">
        <v>5.85</v>
      </c>
      <c r="J24" s="13">
        <v>5.85</v>
      </c>
      <c r="K24" s="13">
        <v>5.8834285714285715</v>
      </c>
      <c r="L24" s="13">
        <v>5.9168571428571424</v>
      </c>
      <c r="M24" s="13">
        <v>5.9502857142857142</v>
      </c>
      <c r="N24" s="13">
        <v>5.9837142857142851</v>
      </c>
      <c r="O24" s="13">
        <v>6.0171428571428569</v>
      </c>
      <c r="P24" s="13">
        <v>6.0505714285714278</v>
      </c>
      <c r="Q24" s="13">
        <v>6.0839999999999996</v>
      </c>
      <c r="R24" s="13">
        <v>6.1174285714285705</v>
      </c>
      <c r="S24" s="13">
        <v>6.1508571428571424</v>
      </c>
      <c r="T24" s="13">
        <v>6.1842857142857142</v>
      </c>
      <c r="U24" s="13">
        <v>6.2177142857142851</v>
      </c>
      <c r="V24" s="13">
        <v>6.2511428571428569</v>
      </c>
      <c r="W24" s="13">
        <v>6.2845714285714278</v>
      </c>
      <c r="X24" s="13">
        <v>6.3179999999999996</v>
      </c>
      <c r="Y24" s="13">
        <v>6.3514285714285705</v>
      </c>
      <c r="Z24" s="13">
        <v>6.3848571428571423</v>
      </c>
      <c r="AA24" s="13">
        <v>6.4182857142857141</v>
      </c>
      <c r="AB24" s="13">
        <v>6.4517142857142851</v>
      </c>
      <c r="AC24" s="13">
        <v>6.4851428571428569</v>
      </c>
      <c r="AD24" s="13">
        <v>6.5185714285714287</v>
      </c>
      <c r="AE24" s="13">
        <v>6.5519999999999996</v>
      </c>
      <c r="AF24" s="13">
        <v>6.5519999999999996</v>
      </c>
      <c r="AG24" s="13">
        <v>6.5519999999999996</v>
      </c>
      <c r="AH24" s="13">
        <v>6.5519999999999996</v>
      </c>
      <c r="AI24" s="13">
        <v>6.5519999999999996</v>
      </c>
      <c r="AJ24" s="13">
        <v>6.5519999999999996</v>
      </c>
      <c r="AK24" s="13">
        <v>6.5519999999999996</v>
      </c>
      <c r="AL24" s="13">
        <v>6.5519999999999996</v>
      </c>
      <c r="AM24" s="13">
        <v>6.5519999999999996</v>
      </c>
      <c r="AN24" s="13">
        <v>6.5519999999999996</v>
      </c>
      <c r="AO24" s="13">
        <v>6.5519999999999996</v>
      </c>
      <c r="AP24" s="13">
        <v>6.5519999999999996</v>
      </c>
      <c r="AQ24" s="13">
        <v>6.5519999999999996</v>
      </c>
      <c r="AR24" s="13">
        <v>6.5519999999999996</v>
      </c>
      <c r="AS24" s="13">
        <v>6.5519999999999996</v>
      </c>
      <c r="AT24" s="13">
        <v>6.5519999999999996</v>
      </c>
      <c r="AU24" s="13">
        <v>6.5519999999999996</v>
      </c>
      <c r="AV24" s="13">
        <v>6.5519999999999996</v>
      </c>
      <c r="AW24" s="13">
        <v>6.5519999999999996</v>
      </c>
      <c r="AX24" s="13">
        <v>6.5519999999999996</v>
      </c>
      <c r="AY24" s="13">
        <v>6.5519999999999996</v>
      </c>
      <c r="AZ24" s="13">
        <v>6.5519999999999996</v>
      </c>
      <c r="BA24" s="13">
        <v>6.5519999999999996</v>
      </c>
      <c r="BB24" s="13">
        <v>6.5519999999999996</v>
      </c>
      <c r="BC24" s="13">
        <v>6.5519999999999996</v>
      </c>
      <c r="BD24" s="13">
        <v>6.5519999999999996</v>
      </c>
      <c r="BE24" s="13">
        <v>6.5519999999999996</v>
      </c>
      <c r="BF24" s="13">
        <v>6.5519999999999996</v>
      </c>
      <c r="BG24" s="13">
        <v>6.5519999999999996</v>
      </c>
      <c r="BH24" s="13">
        <v>6.5519999999999996</v>
      </c>
      <c r="BI24" s="13">
        <v>6.5519999999999996</v>
      </c>
      <c r="BJ24" s="13">
        <v>6.5519999999999996</v>
      </c>
      <c r="BK24" s="13">
        <v>6.5519999999999996</v>
      </c>
      <c r="BL24" s="13">
        <v>6.5519999999999996</v>
      </c>
      <c r="BM24" s="13">
        <v>6.5519999999999996</v>
      </c>
      <c r="BN24" s="13">
        <v>6.5519999999999996</v>
      </c>
      <c r="BO24" s="13">
        <v>6.5519999999999996</v>
      </c>
      <c r="BP24" s="13">
        <v>6.5519999999999996</v>
      </c>
      <c r="BQ24" s="13">
        <v>6.5519999999999996</v>
      </c>
      <c r="BR24" s="13">
        <v>6.5519999999999996</v>
      </c>
      <c r="BS24" s="13">
        <v>6.5519999999999996</v>
      </c>
      <c r="BT24" s="13">
        <v>6.5519999999999996</v>
      </c>
      <c r="BU24" s="13">
        <v>6.5519999999999996</v>
      </c>
      <c r="BV24" s="13">
        <v>6.5519999999999996</v>
      </c>
      <c r="BW24" s="13">
        <v>6.5519999999999996</v>
      </c>
      <c r="BX24" s="13">
        <v>6.5519999999999996</v>
      </c>
      <c r="BY24" s="13">
        <v>6.5519999999999996</v>
      </c>
      <c r="BZ24" s="13">
        <v>6.5519999999999996</v>
      </c>
      <c r="CA24" s="13">
        <v>6.5519999999999996</v>
      </c>
      <c r="CB24" s="13">
        <v>6.5519999999999996</v>
      </c>
      <c r="CC24" s="13">
        <v>6.5519999999999996</v>
      </c>
      <c r="CD24" s="13">
        <v>6.5519999999999996</v>
      </c>
      <c r="CE24" s="13">
        <v>6.5519999999999996</v>
      </c>
      <c r="CF24" s="13">
        <v>6.5519999999999996</v>
      </c>
      <c r="CG24" s="13">
        <v>6.5519999999999996</v>
      </c>
      <c r="CH24" s="13">
        <v>6.5519999999999996</v>
      </c>
      <c r="CI24" s="13">
        <v>6.5519999999999996</v>
      </c>
      <c r="CJ24" s="13">
        <v>6.5519999999999996</v>
      </c>
      <c r="CK24" s="13">
        <v>6.5519999999999996</v>
      </c>
      <c r="CL24" s="13">
        <v>6.5519999999999996</v>
      </c>
      <c r="CM24" s="13">
        <v>6.5519999999999996</v>
      </c>
    </row>
    <row r="25" spans="1:91">
      <c r="C25" t="s">
        <v>571</v>
      </c>
      <c r="E25" s="41" t="s">
        <v>85</v>
      </c>
      <c r="F25" s="255">
        <v>5.066223564954683</v>
      </c>
      <c r="G25" s="256">
        <v>5.816223564954683</v>
      </c>
      <c r="H25" s="256">
        <v>6.566223564954683</v>
      </c>
      <c r="I25" s="257">
        <v>7.3485714285714296</v>
      </c>
      <c r="J25" s="13">
        <v>7.3485714285714296</v>
      </c>
      <c r="K25" s="13">
        <v>7.390563265306124</v>
      </c>
      <c r="L25" s="13">
        <v>7.4325551020408174</v>
      </c>
      <c r="M25" s="13">
        <v>7.4745469387755117</v>
      </c>
      <c r="N25" s="13">
        <v>7.5165387755102051</v>
      </c>
      <c r="O25" s="13">
        <v>7.5585306122448994</v>
      </c>
      <c r="P25" s="13">
        <v>7.6005224489795928</v>
      </c>
      <c r="Q25" s="13">
        <v>7.6425142857142871</v>
      </c>
      <c r="R25" s="13">
        <v>7.6845061224489806</v>
      </c>
      <c r="S25" s="13">
        <v>7.7264979591836749</v>
      </c>
      <c r="T25" s="13">
        <v>7.7684897959183683</v>
      </c>
      <c r="U25" s="13">
        <v>7.8104816326530626</v>
      </c>
      <c r="V25" s="13">
        <v>7.852473469387756</v>
      </c>
      <c r="W25" s="13">
        <v>7.8944653061224503</v>
      </c>
      <c r="X25" s="13">
        <v>7.9364571428571438</v>
      </c>
      <c r="Y25" s="13">
        <v>7.9784489795918381</v>
      </c>
      <c r="Z25" s="13">
        <v>8.0204408163265324</v>
      </c>
      <c r="AA25" s="13">
        <v>8.0624326530612258</v>
      </c>
      <c r="AB25" s="13">
        <v>8.1044244897959192</v>
      </c>
      <c r="AC25" s="13">
        <v>8.1464163265306127</v>
      </c>
      <c r="AD25" s="13">
        <v>8.1884081632653078</v>
      </c>
      <c r="AE25" s="13">
        <v>8.2304000000000013</v>
      </c>
      <c r="AF25" s="13">
        <v>8.2304000000000013</v>
      </c>
      <c r="AG25" s="13">
        <v>8.2304000000000013</v>
      </c>
      <c r="AH25" s="13">
        <v>8.2304000000000013</v>
      </c>
      <c r="AI25" s="13">
        <v>8.2304000000000013</v>
      </c>
      <c r="AJ25" s="13">
        <v>8.2304000000000013</v>
      </c>
      <c r="AK25" s="13">
        <v>8.2304000000000013</v>
      </c>
      <c r="AL25" s="13">
        <v>8.2304000000000013</v>
      </c>
      <c r="AM25" s="13">
        <v>8.2304000000000013</v>
      </c>
      <c r="AN25" s="13">
        <v>8.2304000000000013</v>
      </c>
      <c r="AO25" s="13">
        <v>8.2304000000000013</v>
      </c>
      <c r="AP25" s="13">
        <v>8.2304000000000013</v>
      </c>
      <c r="AQ25" s="13">
        <v>8.2304000000000013</v>
      </c>
      <c r="AR25" s="13">
        <v>8.2304000000000013</v>
      </c>
      <c r="AS25" s="13">
        <v>8.2304000000000013</v>
      </c>
      <c r="AT25" s="13">
        <v>8.2304000000000013</v>
      </c>
      <c r="AU25" s="13">
        <v>8.2304000000000013</v>
      </c>
      <c r="AV25" s="13">
        <v>8.2304000000000013</v>
      </c>
      <c r="AW25" s="13">
        <v>8.2304000000000013</v>
      </c>
      <c r="AX25" s="13">
        <v>8.2304000000000013</v>
      </c>
      <c r="AY25" s="13">
        <v>8.2304000000000013</v>
      </c>
      <c r="AZ25" s="13">
        <v>8.2304000000000013</v>
      </c>
      <c r="BA25" s="13">
        <v>8.2304000000000013</v>
      </c>
      <c r="BB25" s="13">
        <v>8.2304000000000013</v>
      </c>
      <c r="BC25" s="13">
        <v>8.2304000000000013</v>
      </c>
      <c r="BD25" s="13">
        <v>8.2304000000000013</v>
      </c>
      <c r="BE25" s="13">
        <v>8.2304000000000013</v>
      </c>
      <c r="BF25" s="13">
        <v>8.2304000000000013</v>
      </c>
      <c r="BG25" s="13">
        <v>8.2304000000000013</v>
      </c>
      <c r="BH25" s="13">
        <v>8.2304000000000013</v>
      </c>
      <c r="BI25" s="13">
        <v>8.2304000000000013</v>
      </c>
      <c r="BJ25" s="13">
        <v>8.2304000000000013</v>
      </c>
      <c r="BK25" s="13">
        <v>8.2304000000000013</v>
      </c>
      <c r="BL25" s="13">
        <v>8.2304000000000013</v>
      </c>
      <c r="BM25" s="13">
        <v>8.2304000000000013</v>
      </c>
      <c r="BN25" s="13">
        <v>8.2304000000000013</v>
      </c>
      <c r="BO25" s="13">
        <v>8.2304000000000013</v>
      </c>
      <c r="BP25" s="13">
        <v>8.2304000000000013</v>
      </c>
      <c r="BQ25" s="13">
        <v>8.2304000000000013</v>
      </c>
      <c r="BR25" s="13">
        <v>8.2304000000000013</v>
      </c>
      <c r="BS25" s="13">
        <v>8.2304000000000013</v>
      </c>
      <c r="BT25" s="13">
        <v>8.2304000000000013</v>
      </c>
      <c r="BU25" s="13">
        <v>8.2304000000000013</v>
      </c>
      <c r="BV25" s="13">
        <v>8.2304000000000013</v>
      </c>
      <c r="BW25" s="13">
        <v>8.2304000000000013</v>
      </c>
      <c r="BX25" s="13">
        <v>8.2304000000000013</v>
      </c>
      <c r="BY25" s="13">
        <v>8.2304000000000013</v>
      </c>
      <c r="BZ25" s="13">
        <v>8.2304000000000013</v>
      </c>
      <c r="CA25" s="13">
        <v>8.2304000000000013</v>
      </c>
      <c r="CB25" s="13">
        <v>8.2304000000000013</v>
      </c>
      <c r="CC25" s="13">
        <v>8.2304000000000013</v>
      </c>
      <c r="CD25" s="13">
        <v>8.2304000000000013</v>
      </c>
      <c r="CE25" s="13">
        <v>8.2304000000000013</v>
      </c>
      <c r="CF25" s="13">
        <v>8.2304000000000013</v>
      </c>
      <c r="CG25" s="13">
        <v>8.2304000000000013</v>
      </c>
      <c r="CH25" s="13">
        <v>8.2304000000000013</v>
      </c>
      <c r="CI25" s="13">
        <v>8.2304000000000013</v>
      </c>
      <c r="CJ25" s="13">
        <v>8.2304000000000013</v>
      </c>
      <c r="CK25" s="13">
        <v>8.2304000000000013</v>
      </c>
      <c r="CL25" s="13">
        <v>8.2304000000000013</v>
      </c>
      <c r="CM25" s="13">
        <v>8.2304000000000013</v>
      </c>
    </row>
    <row r="26" spans="1:91">
      <c r="C26" t="s">
        <v>572</v>
      </c>
      <c r="E26" s="41" t="s">
        <v>86</v>
      </c>
      <c r="F26" s="255">
        <v>31.739745403111744</v>
      </c>
      <c r="G26" s="256">
        <v>36.35643564356436</v>
      </c>
      <c r="H26" s="256">
        <v>38.664780763790667</v>
      </c>
      <c r="I26" s="257">
        <v>58.285714285714292</v>
      </c>
      <c r="J26" s="13">
        <v>40.396039603960396</v>
      </c>
      <c r="K26" s="13">
        <v>42.70438472418671</v>
      </c>
      <c r="L26" s="13">
        <v>45.012729844413016</v>
      </c>
      <c r="M26" s="13">
        <v>47.321074964639323</v>
      </c>
      <c r="N26" s="13">
        <v>49.629420084865636</v>
      </c>
      <c r="O26" s="13">
        <v>51.937765205091942</v>
      </c>
      <c r="P26" s="13">
        <v>54.246110325318249</v>
      </c>
      <c r="Q26" s="13">
        <v>56.554455445544562</v>
      </c>
      <c r="R26" s="13">
        <v>58.862800565770868</v>
      </c>
      <c r="S26" s="13">
        <v>61.171145685997175</v>
      </c>
      <c r="T26" s="13">
        <v>63.479490806223488</v>
      </c>
      <c r="U26" s="13">
        <v>65.787835926449787</v>
      </c>
      <c r="V26" s="13">
        <v>68.096181046676108</v>
      </c>
      <c r="W26" s="13">
        <v>70.404526166902414</v>
      </c>
      <c r="X26" s="13">
        <v>72.712871287128721</v>
      </c>
      <c r="Y26" s="13">
        <v>75.021216407355027</v>
      </c>
      <c r="Z26" s="13">
        <v>77.329561527581333</v>
      </c>
      <c r="AA26" s="13">
        <v>79.63790664780764</v>
      </c>
      <c r="AB26" s="13">
        <v>81.94625176803396</v>
      </c>
      <c r="AC26" s="13">
        <v>84.254596888260266</v>
      </c>
      <c r="AD26" s="13">
        <v>86.562942008486573</v>
      </c>
      <c r="AE26" s="13">
        <v>88.871287128712879</v>
      </c>
      <c r="AF26" s="13">
        <v>88.871287128712879</v>
      </c>
      <c r="AG26" s="13">
        <v>88.871287128712879</v>
      </c>
      <c r="AH26" s="13">
        <v>88.871287128712879</v>
      </c>
      <c r="AI26" s="13">
        <v>88.871287128712879</v>
      </c>
      <c r="AJ26" s="13">
        <v>88.871287128712879</v>
      </c>
      <c r="AK26" s="13">
        <v>88.871287128712879</v>
      </c>
      <c r="AL26" s="13">
        <v>88.871287128712879</v>
      </c>
      <c r="AM26" s="13">
        <v>88.871287128712879</v>
      </c>
      <c r="AN26" s="13">
        <v>88.871287128712879</v>
      </c>
      <c r="AO26" s="13">
        <v>88.871287128712879</v>
      </c>
      <c r="AP26" s="13">
        <v>88.871287128712879</v>
      </c>
      <c r="AQ26" s="13">
        <v>88.871287128712879</v>
      </c>
      <c r="AR26" s="13">
        <v>88.871287128712879</v>
      </c>
      <c r="AS26" s="13">
        <v>88.871287128712879</v>
      </c>
      <c r="AT26" s="13">
        <v>88.871287128712879</v>
      </c>
      <c r="AU26" s="13">
        <v>88.871287128712879</v>
      </c>
      <c r="AV26" s="13">
        <v>88.871287128712879</v>
      </c>
      <c r="AW26" s="13">
        <v>88.871287128712879</v>
      </c>
      <c r="AX26" s="13">
        <v>88.871287128712879</v>
      </c>
      <c r="AY26" s="13">
        <v>88.871287128712879</v>
      </c>
      <c r="AZ26" s="13">
        <v>88.871287128712879</v>
      </c>
      <c r="BA26" s="13">
        <v>88.871287128712879</v>
      </c>
      <c r="BB26" s="13">
        <v>88.871287128712879</v>
      </c>
      <c r="BC26" s="13">
        <v>88.871287128712879</v>
      </c>
      <c r="BD26" s="13">
        <v>88.871287128712879</v>
      </c>
      <c r="BE26" s="13">
        <v>88.871287128712879</v>
      </c>
      <c r="BF26" s="13">
        <v>88.871287128712879</v>
      </c>
      <c r="BG26" s="13">
        <v>88.871287128712879</v>
      </c>
      <c r="BH26" s="13">
        <v>88.871287128712879</v>
      </c>
      <c r="BI26" s="13">
        <v>88.871287128712879</v>
      </c>
      <c r="BJ26" s="13">
        <v>88.871287128712879</v>
      </c>
      <c r="BK26" s="13">
        <v>88.871287128712879</v>
      </c>
      <c r="BL26" s="13">
        <v>88.871287128712879</v>
      </c>
      <c r="BM26" s="13">
        <v>88.871287128712879</v>
      </c>
      <c r="BN26" s="13">
        <v>88.871287128712879</v>
      </c>
      <c r="BO26" s="13">
        <v>88.871287128712879</v>
      </c>
      <c r="BP26" s="13">
        <v>88.871287128712879</v>
      </c>
      <c r="BQ26" s="13">
        <v>88.871287128712879</v>
      </c>
      <c r="BR26" s="13">
        <v>88.871287128712879</v>
      </c>
      <c r="BS26" s="13">
        <v>88.871287128712879</v>
      </c>
      <c r="BT26" s="13">
        <v>88.871287128712879</v>
      </c>
      <c r="BU26" s="13">
        <v>88.871287128712879</v>
      </c>
      <c r="BV26" s="13">
        <v>88.871287128712879</v>
      </c>
      <c r="BW26" s="13">
        <v>88.871287128712879</v>
      </c>
      <c r="BX26" s="13">
        <v>88.871287128712879</v>
      </c>
      <c r="BY26" s="13">
        <v>88.871287128712879</v>
      </c>
      <c r="BZ26" s="13">
        <v>88.871287128712879</v>
      </c>
      <c r="CA26" s="13">
        <v>88.871287128712879</v>
      </c>
      <c r="CB26" s="13">
        <v>88.871287128712879</v>
      </c>
      <c r="CC26" s="13">
        <v>88.871287128712879</v>
      </c>
      <c r="CD26" s="13">
        <v>88.871287128712879</v>
      </c>
      <c r="CE26" s="13">
        <v>88.871287128712879</v>
      </c>
      <c r="CF26" s="13">
        <v>88.871287128712879</v>
      </c>
      <c r="CG26" s="13">
        <v>88.871287128712879</v>
      </c>
      <c r="CH26" s="13">
        <v>88.871287128712879</v>
      </c>
      <c r="CI26" s="13">
        <v>88.871287128712879</v>
      </c>
      <c r="CJ26" s="13">
        <v>88.871287128712879</v>
      </c>
      <c r="CK26" s="13">
        <v>88.871287128712879</v>
      </c>
      <c r="CL26" s="13">
        <v>88.871287128712879</v>
      </c>
      <c r="CM26" s="13">
        <v>88.871287128712879</v>
      </c>
    </row>
    <row r="27" spans="1:91">
      <c r="C27" t="s">
        <v>573</v>
      </c>
      <c r="E27" s="41" t="s">
        <v>20</v>
      </c>
      <c r="F27" s="255">
        <v>126.6830354585971</v>
      </c>
      <c r="G27" s="256">
        <v>144.17367989562516</v>
      </c>
      <c r="H27" s="256">
        <v>144.13222396825518</v>
      </c>
      <c r="I27" s="257">
        <v>203.06182858392933</v>
      </c>
      <c r="J27" s="13">
        <v>138.5416292744481</v>
      </c>
      <c r="K27" s="13">
        <v>145.65829380441656</v>
      </c>
      <c r="L27" s="13">
        <v>152.77495833438502</v>
      </c>
      <c r="M27" s="13">
        <v>159.89162286435348</v>
      </c>
      <c r="N27" s="13">
        <v>167.00828739432197</v>
      </c>
      <c r="O27" s="13">
        <v>174.12495192429043</v>
      </c>
      <c r="P27" s="13">
        <v>181.24161645425889</v>
      </c>
      <c r="Q27" s="13">
        <v>188.35828098422735</v>
      </c>
      <c r="R27" s="13">
        <v>195.47494551419581</v>
      </c>
      <c r="S27" s="13">
        <v>202.59161004416427</v>
      </c>
      <c r="T27" s="13">
        <v>209.70827457413273</v>
      </c>
      <c r="U27" s="13">
        <v>216.82493910410119</v>
      </c>
      <c r="V27" s="13">
        <v>223.94160363406965</v>
      </c>
      <c r="W27" s="13">
        <v>231.05826816403811</v>
      </c>
      <c r="X27" s="13">
        <v>238.17493269400657</v>
      </c>
      <c r="Y27" s="13">
        <v>245.29159722397506</v>
      </c>
      <c r="Z27" s="13">
        <v>252.40826175394352</v>
      </c>
      <c r="AA27" s="13">
        <v>259.52492628391201</v>
      </c>
      <c r="AB27" s="13">
        <v>266.64159081388044</v>
      </c>
      <c r="AC27" s="13">
        <v>273.75825534384887</v>
      </c>
      <c r="AD27" s="13">
        <v>280.87491987381736</v>
      </c>
      <c r="AE27" s="13">
        <v>287.99158440378585</v>
      </c>
      <c r="AF27" s="13">
        <v>287.99158440378585</v>
      </c>
      <c r="AG27" s="13">
        <v>287.99158440378585</v>
      </c>
      <c r="AH27" s="13">
        <v>287.99158440378585</v>
      </c>
      <c r="AI27" s="13">
        <v>287.99158440378585</v>
      </c>
      <c r="AJ27" s="13">
        <v>287.99158440378585</v>
      </c>
      <c r="AK27" s="13">
        <v>287.99158440378585</v>
      </c>
      <c r="AL27" s="13">
        <v>287.99158440378585</v>
      </c>
      <c r="AM27" s="13">
        <v>287.99158440378585</v>
      </c>
      <c r="AN27" s="13">
        <v>287.99158440378585</v>
      </c>
      <c r="AO27" s="13">
        <v>287.99158440378585</v>
      </c>
      <c r="AP27" s="13">
        <v>287.99158440378585</v>
      </c>
      <c r="AQ27" s="13">
        <v>287.99158440378585</v>
      </c>
      <c r="AR27" s="13">
        <v>287.99158440378585</v>
      </c>
      <c r="AS27" s="13">
        <v>287.99158440378585</v>
      </c>
      <c r="AT27" s="13">
        <v>287.99158440378585</v>
      </c>
      <c r="AU27" s="13">
        <v>287.99158440378585</v>
      </c>
      <c r="AV27" s="13">
        <v>287.99158440378585</v>
      </c>
      <c r="AW27" s="13">
        <v>287.99158440378585</v>
      </c>
      <c r="AX27" s="13">
        <v>287.99158440378585</v>
      </c>
      <c r="AY27" s="13">
        <v>287.99158440378585</v>
      </c>
      <c r="AZ27" s="13">
        <v>287.99158440378585</v>
      </c>
      <c r="BA27" s="13">
        <v>287.99158440378585</v>
      </c>
      <c r="BB27" s="13">
        <v>287.99158440378585</v>
      </c>
      <c r="BC27" s="13">
        <v>287.99158440378585</v>
      </c>
      <c r="BD27" s="13">
        <v>287.99158440378585</v>
      </c>
      <c r="BE27" s="13">
        <v>287.99158440378585</v>
      </c>
      <c r="BF27" s="13">
        <v>287.99158440378585</v>
      </c>
      <c r="BG27" s="13">
        <v>287.99158440378585</v>
      </c>
      <c r="BH27" s="13">
        <v>287.99158440378585</v>
      </c>
      <c r="BI27" s="13">
        <v>287.99158440378585</v>
      </c>
      <c r="BJ27" s="13">
        <v>287.99158440378585</v>
      </c>
      <c r="BK27" s="13">
        <v>287.99158440378585</v>
      </c>
      <c r="BL27" s="13">
        <v>287.99158440378585</v>
      </c>
      <c r="BM27" s="13">
        <v>287.99158440378585</v>
      </c>
      <c r="BN27" s="13">
        <v>287.99158440378585</v>
      </c>
      <c r="BO27" s="13">
        <v>287.99158440378585</v>
      </c>
      <c r="BP27" s="13">
        <v>287.99158440378585</v>
      </c>
      <c r="BQ27" s="13">
        <v>287.99158440378585</v>
      </c>
      <c r="BR27" s="13">
        <v>287.99158440378585</v>
      </c>
      <c r="BS27" s="13">
        <v>287.99158440378585</v>
      </c>
      <c r="BT27" s="13">
        <v>287.99158440378585</v>
      </c>
      <c r="BU27" s="13">
        <v>287.99158440378585</v>
      </c>
      <c r="BV27" s="13">
        <v>287.99158440378585</v>
      </c>
      <c r="BW27" s="13">
        <v>287.99158440378585</v>
      </c>
      <c r="BX27" s="13">
        <v>287.99158440378585</v>
      </c>
      <c r="BY27" s="13">
        <v>287.99158440378585</v>
      </c>
      <c r="BZ27" s="13">
        <v>287.99158440378585</v>
      </c>
      <c r="CA27" s="13">
        <v>287.99158440378585</v>
      </c>
      <c r="CB27" s="13">
        <v>287.99158440378585</v>
      </c>
      <c r="CC27" s="13">
        <v>287.99158440378585</v>
      </c>
      <c r="CD27" s="13">
        <v>287.99158440378585</v>
      </c>
      <c r="CE27" s="13">
        <v>287.99158440378585</v>
      </c>
      <c r="CF27" s="13">
        <v>287.99158440378585</v>
      </c>
      <c r="CG27" s="13">
        <v>287.99158440378585</v>
      </c>
      <c r="CH27" s="13">
        <v>287.99158440378585</v>
      </c>
      <c r="CI27" s="13">
        <v>287.99158440378585</v>
      </c>
      <c r="CJ27" s="13">
        <v>287.99158440378585</v>
      </c>
      <c r="CK27" s="13">
        <v>287.99158440378585</v>
      </c>
      <c r="CL27" s="13">
        <v>287.99158440378585</v>
      </c>
      <c r="CM27" s="13">
        <v>287.99158440378585</v>
      </c>
    </row>
    <row r="28" spans="1:91">
      <c r="C28" t="s">
        <v>574</v>
      </c>
      <c r="E28" s="41" t="s">
        <v>87</v>
      </c>
      <c r="F28" s="255">
        <v>126.6830354585971</v>
      </c>
      <c r="G28" s="256">
        <v>144.17367989562516</v>
      </c>
      <c r="H28" s="256">
        <v>144.13222396825518</v>
      </c>
      <c r="I28" s="257">
        <v>203.06182858392933</v>
      </c>
      <c r="J28" s="13">
        <v>138.5416292744481</v>
      </c>
      <c r="K28" s="13">
        <v>145.65829380441656</v>
      </c>
      <c r="L28" s="13">
        <v>152.77495833438502</v>
      </c>
      <c r="M28" s="13">
        <v>159.89162286435348</v>
      </c>
      <c r="N28" s="13">
        <v>167.00828739432197</v>
      </c>
      <c r="O28" s="13">
        <v>174.12495192429043</v>
      </c>
      <c r="P28" s="13">
        <v>181.24161645425889</v>
      </c>
      <c r="Q28" s="13">
        <v>188.35828098422735</v>
      </c>
      <c r="R28" s="13">
        <v>195.47494551419581</v>
      </c>
      <c r="S28" s="13">
        <v>202.59161004416427</v>
      </c>
      <c r="T28" s="13">
        <v>209.70827457413273</v>
      </c>
      <c r="U28" s="13">
        <v>216.82493910410119</v>
      </c>
      <c r="V28" s="13">
        <v>223.94160363406965</v>
      </c>
      <c r="W28" s="13">
        <v>231.05826816403811</v>
      </c>
      <c r="X28" s="13">
        <v>238.17493269400657</v>
      </c>
      <c r="Y28" s="13">
        <v>245.29159722397506</v>
      </c>
      <c r="Z28" s="13">
        <v>252.40826175394352</v>
      </c>
      <c r="AA28" s="13">
        <v>259.52492628391201</v>
      </c>
      <c r="AB28" s="13">
        <v>266.64159081388044</v>
      </c>
      <c r="AC28" s="13">
        <v>273.75825534384887</v>
      </c>
      <c r="AD28" s="13">
        <v>280.87491987381736</v>
      </c>
      <c r="AE28" s="13">
        <v>287.99158440378585</v>
      </c>
      <c r="AF28" s="13">
        <v>287.99158440378585</v>
      </c>
      <c r="AG28" s="13">
        <v>287.99158440378585</v>
      </c>
      <c r="AH28" s="13">
        <v>287.99158440378585</v>
      </c>
      <c r="AI28" s="13">
        <v>287.99158440378585</v>
      </c>
      <c r="AJ28" s="13">
        <v>287.99158440378585</v>
      </c>
      <c r="AK28" s="13">
        <v>287.99158440378585</v>
      </c>
      <c r="AL28" s="13">
        <v>287.99158440378585</v>
      </c>
      <c r="AM28" s="13">
        <v>287.99158440378585</v>
      </c>
      <c r="AN28" s="13">
        <v>287.99158440378585</v>
      </c>
      <c r="AO28" s="13">
        <v>287.99158440378585</v>
      </c>
      <c r="AP28" s="13">
        <v>287.99158440378585</v>
      </c>
      <c r="AQ28" s="13">
        <v>287.99158440378585</v>
      </c>
      <c r="AR28" s="13">
        <v>287.99158440378585</v>
      </c>
      <c r="AS28" s="13">
        <v>287.99158440378585</v>
      </c>
      <c r="AT28" s="13">
        <v>287.99158440378585</v>
      </c>
      <c r="AU28" s="13">
        <v>287.99158440378585</v>
      </c>
      <c r="AV28" s="13">
        <v>287.99158440378585</v>
      </c>
      <c r="AW28" s="13">
        <v>287.99158440378585</v>
      </c>
      <c r="AX28" s="13">
        <v>287.99158440378585</v>
      </c>
      <c r="AY28" s="13">
        <v>287.99158440378585</v>
      </c>
      <c r="AZ28" s="13">
        <v>287.99158440378585</v>
      </c>
      <c r="BA28" s="13">
        <v>287.99158440378585</v>
      </c>
      <c r="BB28" s="13">
        <v>287.99158440378585</v>
      </c>
      <c r="BC28" s="13">
        <v>287.99158440378585</v>
      </c>
      <c r="BD28" s="13">
        <v>287.99158440378585</v>
      </c>
      <c r="BE28" s="13">
        <v>287.99158440378585</v>
      </c>
      <c r="BF28" s="13">
        <v>287.99158440378585</v>
      </c>
      <c r="BG28" s="13">
        <v>287.99158440378585</v>
      </c>
      <c r="BH28" s="13">
        <v>287.99158440378585</v>
      </c>
      <c r="BI28" s="13">
        <v>287.99158440378585</v>
      </c>
      <c r="BJ28" s="13">
        <v>287.99158440378585</v>
      </c>
      <c r="BK28" s="13">
        <v>287.99158440378585</v>
      </c>
      <c r="BL28" s="13">
        <v>287.99158440378585</v>
      </c>
      <c r="BM28" s="13">
        <v>287.99158440378585</v>
      </c>
      <c r="BN28" s="13">
        <v>287.99158440378585</v>
      </c>
      <c r="BO28" s="13">
        <v>287.99158440378585</v>
      </c>
      <c r="BP28" s="13">
        <v>287.99158440378585</v>
      </c>
      <c r="BQ28" s="13">
        <v>287.99158440378585</v>
      </c>
      <c r="BR28" s="13">
        <v>287.99158440378585</v>
      </c>
      <c r="BS28" s="13">
        <v>287.99158440378585</v>
      </c>
      <c r="BT28" s="13">
        <v>287.99158440378585</v>
      </c>
      <c r="BU28" s="13">
        <v>287.99158440378585</v>
      </c>
      <c r="BV28" s="13">
        <v>287.99158440378585</v>
      </c>
      <c r="BW28" s="13">
        <v>287.99158440378585</v>
      </c>
      <c r="BX28" s="13">
        <v>287.99158440378585</v>
      </c>
      <c r="BY28" s="13">
        <v>287.99158440378585</v>
      </c>
      <c r="BZ28" s="13">
        <v>287.99158440378585</v>
      </c>
      <c r="CA28" s="13">
        <v>287.99158440378585</v>
      </c>
      <c r="CB28" s="13">
        <v>287.99158440378585</v>
      </c>
      <c r="CC28" s="13">
        <v>287.99158440378585</v>
      </c>
      <c r="CD28" s="13">
        <v>287.99158440378585</v>
      </c>
      <c r="CE28" s="13">
        <v>287.99158440378585</v>
      </c>
      <c r="CF28" s="13">
        <v>287.99158440378585</v>
      </c>
      <c r="CG28" s="13">
        <v>287.99158440378585</v>
      </c>
      <c r="CH28" s="13">
        <v>287.99158440378585</v>
      </c>
      <c r="CI28" s="13">
        <v>287.99158440378585</v>
      </c>
      <c r="CJ28" s="13">
        <v>287.99158440378585</v>
      </c>
      <c r="CK28" s="13">
        <v>287.99158440378585</v>
      </c>
      <c r="CL28" s="13">
        <v>287.99158440378585</v>
      </c>
      <c r="CM28" s="13">
        <v>287.99158440378585</v>
      </c>
    </row>
    <row r="29" spans="1:91">
      <c r="C29" t="s">
        <v>575</v>
      </c>
      <c r="E29" s="41" t="s">
        <v>88</v>
      </c>
      <c r="F29" s="255">
        <v>3</v>
      </c>
      <c r="G29" s="256">
        <v>3.5</v>
      </c>
      <c r="H29" s="256">
        <v>4</v>
      </c>
      <c r="I29" s="257">
        <v>4.5</v>
      </c>
      <c r="J29" s="13">
        <v>5.254329081277362</v>
      </c>
      <c r="K29" s="13">
        <v>5.2806007266837485</v>
      </c>
      <c r="L29" s="13">
        <v>5.3070037303171667</v>
      </c>
      <c r="M29" s="13">
        <v>5.3335387489687518</v>
      </c>
      <c r="N29" s="13">
        <v>5.3602064427135954</v>
      </c>
      <c r="O29" s="13">
        <v>5.387007474927163</v>
      </c>
      <c r="P29" s="13">
        <v>5.4139425123017979</v>
      </c>
      <c r="Q29" s="13">
        <v>5.4410122248633064</v>
      </c>
      <c r="R29" s="13">
        <v>5.4682172859876221</v>
      </c>
      <c r="S29" s="13">
        <v>5.4955583724175598</v>
      </c>
      <c r="T29" s="13">
        <v>5.5230361642796471</v>
      </c>
      <c r="U29" s="13">
        <v>5.5506513451010449</v>
      </c>
      <c r="V29" s="13">
        <v>5.5784046018265494</v>
      </c>
      <c r="W29" s="13">
        <v>5.6062966248356814</v>
      </c>
      <c r="X29" s="13">
        <v>5.6343281079598588</v>
      </c>
      <c r="Y29" s="13">
        <v>5.6624997484996573</v>
      </c>
      <c r="Z29" s="13">
        <v>5.690812247242155</v>
      </c>
      <c r="AA29" s="13">
        <v>5.7192663084783648</v>
      </c>
      <c r="AB29" s="13">
        <v>5.747862640020756</v>
      </c>
      <c r="AC29" s="13">
        <v>5.776601953220859</v>
      </c>
      <c r="AD29" s="13">
        <v>5.8054849629869629</v>
      </c>
      <c r="AE29" s="13">
        <v>5.8345123878018974</v>
      </c>
      <c r="AF29" s="13">
        <v>5.8345123878018974</v>
      </c>
      <c r="AG29" s="13">
        <v>5.8345123878018974</v>
      </c>
      <c r="AH29" s="13">
        <v>5.8345123878018974</v>
      </c>
      <c r="AI29" s="13">
        <v>5.8345123878018974</v>
      </c>
      <c r="AJ29" s="13">
        <v>5.8345123878018974</v>
      </c>
      <c r="AK29" s="13">
        <v>5.8345123878018974</v>
      </c>
      <c r="AL29" s="13">
        <v>5.8345123878018974</v>
      </c>
      <c r="AM29" s="13">
        <v>5.8345123878018974</v>
      </c>
      <c r="AN29" s="13">
        <v>5.8345123878018974</v>
      </c>
      <c r="AO29" s="13">
        <v>5.8345123878018974</v>
      </c>
      <c r="AP29" s="13">
        <v>5.8345123878018974</v>
      </c>
      <c r="AQ29" s="13">
        <v>5.8345123878018974</v>
      </c>
      <c r="AR29" s="13">
        <v>5.8345123878018974</v>
      </c>
      <c r="AS29" s="13">
        <v>5.8345123878018974</v>
      </c>
      <c r="AT29" s="13">
        <v>5.8345123878018974</v>
      </c>
      <c r="AU29" s="13">
        <v>5.8345123878018974</v>
      </c>
      <c r="AV29" s="13">
        <v>5.8345123878018974</v>
      </c>
      <c r="AW29" s="13">
        <v>5.8345123878018974</v>
      </c>
      <c r="AX29" s="13">
        <v>5.8345123878018974</v>
      </c>
      <c r="AY29" s="13">
        <v>5.8345123878018974</v>
      </c>
      <c r="AZ29" s="13">
        <v>5.8345123878018974</v>
      </c>
      <c r="BA29" s="13">
        <v>5.8345123878018974</v>
      </c>
      <c r="BB29" s="13">
        <v>5.8345123878018974</v>
      </c>
      <c r="BC29" s="13">
        <v>5.8345123878018974</v>
      </c>
      <c r="BD29" s="13">
        <v>5.8345123878018974</v>
      </c>
      <c r="BE29" s="13">
        <v>5.8345123878018974</v>
      </c>
      <c r="BF29" s="13">
        <v>5.8345123878018974</v>
      </c>
      <c r="BG29" s="13">
        <v>5.8345123878018974</v>
      </c>
      <c r="BH29" s="13">
        <v>5.8345123878018974</v>
      </c>
      <c r="BI29" s="13">
        <v>5.8345123878018974</v>
      </c>
      <c r="BJ29" s="13">
        <v>5.8345123878018974</v>
      </c>
      <c r="BK29" s="13">
        <v>5.8345123878018974</v>
      </c>
      <c r="BL29" s="13">
        <v>5.8345123878018974</v>
      </c>
      <c r="BM29" s="13">
        <v>5.8345123878018974</v>
      </c>
      <c r="BN29" s="13">
        <v>5.8345123878018974</v>
      </c>
      <c r="BO29" s="13">
        <v>5.8345123878018974</v>
      </c>
      <c r="BP29" s="13">
        <v>5.8345123878018974</v>
      </c>
      <c r="BQ29" s="13">
        <v>5.8345123878018974</v>
      </c>
      <c r="BR29" s="13">
        <v>5.8345123878018974</v>
      </c>
      <c r="BS29" s="13">
        <v>5.8345123878018974</v>
      </c>
      <c r="BT29" s="13">
        <v>5.8345123878018974</v>
      </c>
      <c r="BU29" s="13">
        <v>5.8345123878018974</v>
      </c>
      <c r="BV29" s="13">
        <v>5.8345123878018974</v>
      </c>
      <c r="BW29" s="13">
        <v>5.8345123878018974</v>
      </c>
      <c r="BX29" s="13">
        <v>5.8345123878018974</v>
      </c>
      <c r="BY29" s="13">
        <v>5.8345123878018974</v>
      </c>
      <c r="BZ29" s="13">
        <v>5.8345123878018974</v>
      </c>
      <c r="CA29" s="13">
        <v>5.8345123878018974</v>
      </c>
      <c r="CB29" s="13">
        <v>5.8345123878018974</v>
      </c>
      <c r="CC29" s="13">
        <v>5.8345123878018974</v>
      </c>
      <c r="CD29" s="13">
        <v>5.8345123878018974</v>
      </c>
      <c r="CE29" s="13">
        <v>5.8345123878018974</v>
      </c>
      <c r="CF29" s="13">
        <v>5.8345123878018974</v>
      </c>
      <c r="CG29" s="13">
        <v>5.8345123878018974</v>
      </c>
      <c r="CH29" s="13">
        <v>5.8345123878018974</v>
      </c>
      <c r="CI29" s="13">
        <v>5.8345123878018974</v>
      </c>
      <c r="CJ29" s="13">
        <v>5.8345123878018974</v>
      </c>
      <c r="CK29" s="13">
        <v>5.8345123878018974</v>
      </c>
      <c r="CL29" s="13">
        <v>5.8345123878018974</v>
      </c>
      <c r="CM29" s="13">
        <v>5.8345123878018974</v>
      </c>
    </row>
    <row r="30" spans="1:91">
      <c r="C30" t="s">
        <v>575</v>
      </c>
      <c r="E30" s="41" t="s">
        <v>89</v>
      </c>
      <c r="F30" s="258">
        <v>3</v>
      </c>
      <c r="G30" s="259">
        <v>3.5</v>
      </c>
      <c r="H30" s="259">
        <v>4</v>
      </c>
      <c r="I30" s="260">
        <v>4.5</v>
      </c>
      <c r="J30" s="13">
        <v>5.254329081277362</v>
      </c>
      <c r="K30" s="13">
        <v>5.2806007266837485</v>
      </c>
      <c r="L30" s="13">
        <v>5.3070037303171667</v>
      </c>
      <c r="M30" s="13">
        <v>5.3335387489687518</v>
      </c>
      <c r="N30" s="13">
        <v>5.3602064427135954</v>
      </c>
      <c r="O30" s="13">
        <v>5.387007474927163</v>
      </c>
      <c r="P30" s="13">
        <v>5.4139425123017979</v>
      </c>
      <c r="Q30" s="13">
        <v>5.4410122248633064</v>
      </c>
      <c r="R30" s="13">
        <v>5.4682172859876221</v>
      </c>
      <c r="S30" s="13">
        <v>5.4955583724175598</v>
      </c>
      <c r="T30" s="13">
        <v>5.5230361642796471</v>
      </c>
      <c r="U30" s="13">
        <v>5.5506513451010449</v>
      </c>
      <c r="V30" s="13">
        <v>5.5784046018265494</v>
      </c>
      <c r="W30" s="13">
        <v>5.6062966248356814</v>
      </c>
      <c r="X30" s="13">
        <v>5.6343281079598588</v>
      </c>
      <c r="Y30" s="13">
        <v>5.6624997484996573</v>
      </c>
      <c r="Z30" s="13">
        <v>5.690812247242155</v>
      </c>
      <c r="AA30" s="13">
        <v>5.7192663084783648</v>
      </c>
      <c r="AB30" s="13">
        <v>5.747862640020756</v>
      </c>
      <c r="AC30" s="13">
        <v>5.776601953220859</v>
      </c>
      <c r="AD30" s="13">
        <v>5.8054849629869629</v>
      </c>
      <c r="AE30" s="13">
        <v>5.8345123878018974</v>
      </c>
      <c r="AF30" s="13">
        <v>5.8345123878018974</v>
      </c>
      <c r="AG30" s="13">
        <v>5.8345123878018974</v>
      </c>
      <c r="AH30" s="13">
        <v>5.8345123878018974</v>
      </c>
      <c r="AI30" s="13">
        <v>5.8345123878018974</v>
      </c>
      <c r="AJ30" s="13">
        <v>5.8345123878018974</v>
      </c>
      <c r="AK30" s="13">
        <v>5.8345123878018974</v>
      </c>
      <c r="AL30" s="13">
        <v>5.8345123878018974</v>
      </c>
      <c r="AM30" s="13">
        <v>5.8345123878018974</v>
      </c>
      <c r="AN30" s="13">
        <v>5.8345123878018974</v>
      </c>
      <c r="AO30" s="13">
        <v>5.8345123878018974</v>
      </c>
      <c r="AP30" s="13">
        <v>5.8345123878018974</v>
      </c>
      <c r="AQ30" s="13">
        <v>5.8345123878018974</v>
      </c>
      <c r="AR30" s="13">
        <v>5.8345123878018974</v>
      </c>
      <c r="AS30" s="13">
        <v>5.8345123878018974</v>
      </c>
      <c r="AT30" s="13">
        <v>5.8345123878018974</v>
      </c>
      <c r="AU30" s="13">
        <v>5.8345123878018974</v>
      </c>
      <c r="AV30" s="13">
        <v>5.8345123878018974</v>
      </c>
      <c r="AW30" s="13">
        <v>5.8345123878018974</v>
      </c>
      <c r="AX30" s="13">
        <v>5.8345123878018974</v>
      </c>
      <c r="AY30" s="13">
        <v>5.8345123878018974</v>
      </c>
      <c r="AZ30" s="13">
        <v>5.8345123878018974</v>
      </c>
      <c r="BA30" s="13">
        <v>5.8345123878018974</v>
      </c>
      <c r="BB30" s="13">
        <v>5.8345123878018974</v>
      </c>
      <c r="BC30" s="13">
        <v>5.8345123878018974</v>
      </c>
      <c r="BD30" s="13">
        <v>5.8345123878018974</v>
      </c>
      <c r="BE30" s="13">
        <v>5.8345123878018974</v>
      </c>
      <c r="BF30" s="13">
        <v>5.8345123878018974</v>
      </c>
      <c r="BG30" s="13">
        <v>5.8345123878018974</v>
      </c>
      <c r="BH30" s="13">
        <v>5.8345123878018974</v>
      </c>
      <c r="BI30" s="13">
        <v>5.8345123878018974</v>
      </c>
      <c r="BJ30" s="13">
        <v>5.8345123878018974</v>
      </c>
      <c r="BK30" s="13">
        <v>5.8345123878018974</v>
      </c>
      <c r="BL30" s="13">
        <v>5.8345123878018974</v>
      </c>
      <c r="BM30" s="13">
        <v>5.8345123878018974</v>
      </c>
      <c r="BN30" s="13">
        <v>5.8345123878018974</v>
      </c>
      <c r="BO30" s="13">
        <v>5.8345123878018974</v>
      </c>
      <c r="BP30" s="13">
        <v>5.8345123878018974</v>
      </c>
      <c r="BQ30" s="13">
        <v>5.8345123878018974</v>
      </c>
      <c r="BR30" s="13">
        <v>5.8345123878018974</v>
      </c>
      <c r="BS30" s="13">
        <v>5.8345123878018974</v>
      </c>
      <c r="BT30" s="13">
        <v>5.8345123878018974</v>
      </c>
      <c r="BU30" s="13">
        <v>5.8345123878018974</v>
      </c>
      <c r="BV30" s="13">
        <v>5.8345123878018974</v>
      </c>
      <c r="BW30" s="13">
        <v>5.8345123878018974</v>
      </c>
      <c r="BX30" s="13">
        <v>5.8345123878018974</v>
      </c>
      <c r="BY30" s="13">
        <v>5.8345123878018974</v>
      </c>
      <c r="BZ30" s="13">
        <v>5.8345123878018974</v>
      </c>
      <c r="CA30" s="13">
        <v>5.8345123878018974</v>
      </c>
      <c r="CB30" s="13">
        <v>5.8345123878018974</v>
      </c>
      <c r="CC30" s="13">
        <v>5.8345123878018974</v>
      </c>
      <c r="CD30" s="13">
        <v>5.8345123878018974</v>
      </c>
      <c r="CE30" s="13">
        <v>5.8345123878018974</v>
      </c>
      <c r="CF30" s="13">
        <v>5.8345123878018974</v>
      </c>
      <c r="CG30" s="13">
        <v>5.8345123878018974</v>
      </c>
      <c r="CH30" s="13">
        <v>5.8345123878018974</v>
      </c>
      <c r="CI30" s="13">
        <v>5.8345123878018974</v>
      </c>
      <c r="CJ30" s="13">
        <v>5.8345123878018974</v>
      </c>
      <c r="CK30" s="13">
        <v>5.8345123878018974</v>
      </c>
      <c r="CL30" s="13">
        <v>5.8345123878018974</v>
      </c>
      <c r="CM30" s="13">
        <v>5.8345123878018974</v>
      </c>
    </row>
    <row r="32" spans="1:91">
      <c r="F32" t="s">
        <v>576</v>
      </c>
      <c r="J32" t="s">
        <v>577</v>
      </c>
      <c r="O32" t="s">
        <v>578</v>
      </c>
    </row>
    <row r="33" spans="2:91">
      <c r="B33" t="s">
        <v>579</v>
      </c>
      <c r="F33">
        <v>2005</v>
      </c>
      <c r="G33">
        <v>2006</v>
      </c>
      <c r="H33">
        <v>2007</v>
      </c>
      <c r="I33">
        <v>2008</v>
      </c>
      <c r="J33" t="s">
        <v>580</v>
      </c>
      <c r="K33" t="s">
        <v>581</v>
      </c>
      <c r="L33" t="s">
        <v>582</v>
      </c>
      <c r="M33" t="s">
        <v>583</v>
      </c>
      <c r="N33" t="s">
        <v>584</v>
      </c>
      <c r="O33">
        <v>2010</v>
      </c>
      <c r="P33">
        <v>2015</v>
      </c>
      <c r="Q33">
        <v>2020</v>
      </c>
      <c r="R33">
        <v>2025</v>
      </c>
      <c r="S33">
        <v>2030</v>
      </c>
      <c r="T33">
        <v>2050</v>
      </c>
      <c r="U33">
        <v>2090</v>
      </c>
    </row>
    <row r="34" spans="2:91">
      <c r="E34" s="41" t="s">
        <v>84</v>
      </c>
      <c r="F34" s="261">
        <v>4.0147432024169181</v>
      </c>
      <c r="G34" s="262">
        <v>4.7647432024169181</v>
      </c>
      <c r="H34" s="262">
        <v>5.5147432024169181</v>
      </c>
      <c r="I34" s="263">
        <v>5.85</v>
      </c>
      <c r="J34" s="297">
        <v>0</v>
      </c>
      <c r="K34" s="297">
        <v>0</v>
      </c>
      <c r="L34" s="297">
        <v>0</v>
      </c>
      <c r="M34" s="297">
        <v>0</v>
      </c>
      <c r="N34" s="297">
        <v>0</v>
      </c>
      <c r="O34" s="13">
        <f>K43</f>
        <v>5.85</v>
      </c>
      <c r="P34" s="13">
        <f>P43</f>
        <v>5.85</v>
      </c>
      <c r="Q34" s="13">
        <f>U43</f>
        <v>5.85</v>
      </c>
      <c r="R34" s="13">
        <f>Z43</f>
        <v>5.85</v>
      </c>
      <c r="S34" s="13">
        <f>AE43</f>
        <v>5.85</v>
      </c>
      <c r="T34" s="13">
        <f>AY43</f>
        <v>5.85</v>
      </c>
      <c r="U34" s="13">
        <f>CM43</f>
        <v>5.85</v>
      </c>
    </row>
    <row r="35" spans="2:91">
      <c r="E35" s="41" t="s">
        <v>85</v>
      </c>
      <c r="F35" s="199">
        <v>5.066223564954683</v>
      </c>
      <c r="G35" s="200">
        <v>5.816223564954683</v>
      </c>
      <c r="H35" s="200">
        <v>6.566223564954683</v>
      </c>
      <c r="I35" s="201">
        <v>7.3485714285714296</v>
      </c>
      <c r="J35" s="297">
        <v>0</v>
      </c>
      <c r="K35" s="297">
        <v>0</v>
      </c>
      <c r="L35" s="297">
        <v>0</v>
      </c>
      <c r="M35" s="297">
        <v>0</v>
      </c>
      <c r="N35" s="297">
        <v>0</v>
      </c>
      <c r="O35" s="13">
        <f t="shared" ref="O35:O40" si="0">K44</f>
        <v>7.3485714285714296</v>
      </c>
      <c r="P35" s="13">
        <f t="shared" ref="P35:P40" si="1">P44</f>
        <v>7.3485714285714296</v>
      </c>
      <c r="Q35" s="13">
        <f t="shared" ref="Q35:Q40" si="2">U44</f>
        <v>7.3485714285714296</v>
      </c>
      <c r="R35" s="13">
        <f t="shared" ref="R35:R40" si="3">Z44</f>
        <v>7.3485714285714296</v>
      </c>
      <c r="S35" s="13">
        <f t="shared" ref="S35:S40" si="4">AE44</f>
        <v>7.3485714285714296</v>
      </c>
      <c r="T35" s="13">
        <f t="shared" ref="T35:T40" si="5">AY44</f>
        <v>7.3485714285714296</v>
      </c>
      <c r="U35" s="13">
        <f t="shared" ref="U35:U40" si="6">CM44</f>
        <v>7.3485714285714296</v>
      </c>
    </row>
    <row r="36" spans="2:91">
      <c r="E36" s="41" t="s">
        <v>86</v>
      </c>
      <c r="F36" s="199">
        <v>31.739745403111744</v>
      </c>
      <c r="G36" s="200">
        <v>36.35643564356436</v>
      </c>
      <c r="H36" s="200">
        <v>38.664780763790667</v>
      </c>
      <c r="I36" s="201">
        <v>58.285714285714292</v>
      </c>
      <c r="J36" s="297">
        <v>0</v>
      </c>
      <c r="K36" s="297">
        <v>0</v>
      </c>
      <c r="L36" s="297">
        <v>0</v>
      </c>
      <c r="M36" s="297">
        <v>0</v>
      </c>
      <c r="N36" s="297">
        <v>0</v>
      </c>
      <c r="O36" s="13">
        <f t="shared" si="0"/>
        <v>58.285714285714292</v>
      </c>
      <c r="P36" s="13">
        <f t="shared" si="1"/>
        <v>58.285714285714292</v>
      </c>
      <c r="Q36" s="13">
        <f t="shared" si="2"/>
        <v>58.285714285714292</v>
      </c>
      <c r="R36" s="13">
        <f t="shared" si="3"/>
        <v>58.285714285714292</v>
      </c>
      <c r="S36" s="13">
        <f t="shared" si="4"/>
        <v>58.285714285714292</v>
      </c>
      <c r="T36" s="13">
        <f t="shared" si="5"/>
        <v>58.285714285714292</v>
      </c>
      <c r="U36" s="13">
        <f t="shared" si="6"/>
        <v>58.285714285714292</v>
      </c>
    </row>
    <row r="37" spans="2:91">
      <c r="E37" s="41" t="s">
        <v>20</v>
      </c>
      <c r="F37" s="199">
        <v>126.6830354585971</v>
      </c>
      <c r="G37" s="200">
        <v>144.17367989562516</v>
      </c>
      <c r="H37" s="200">
        <v>144.13222396825518</v>
      </c>
      <c r="I37" s="201">
        <v>203.06182858392933</v>
      </c>
      <c r="J37" s="297">
        <v>0</v>
      </c>
      <c r="K37" s="297">
        <v>0</v>
      </c>
      <c r="L37" s="297">
        <v>0</v>
      </c>
      <c r="M37" s="297">
        <v>0</v>
      </c>
      <c r="N37" s="297">
        <v>0</v>
      </c>
      <c r="O37" s="13">
        <f t="shared" si="0"/>
        <v>203.06182858392933</v>
      </c>
      <c r="P37" s="13">
        <f t="shared" si="1"/>
        <v>203.06182858392933</v>
      </c>
      <c r="Q37" s="13">
        <f t="shared" si="2"/>
        <v>203.06182858392933</v>
      </c>
      <c r="R37" s="13">
        <f t="shared" si="3"/>
        <v>203.06182858392933</v>
      </c>
      <c r="S37" s="13">
        <f t="shared" si="4"/>
        <v>203.06182858392933</v>
      </c>
      <c r="T37" s="13">
        <f t="shared" si="5"/>
        <v>203.06182858392933</v>
      </c>
      <c r="U37" s="13">
        <f t="shared" si="6"/>
        <v>203.06182858392933</v>
      </c>
    </row>
    <row r="38" spans="2:91">
      <c r="E38" s="41" t="s">
        <v>87</v>
      </c>
      <c r="F38" s="199">
        <v>126.6830354585971</v>
      </c>
      <c r="G38" s="200">
        <v>144.17367989562516</v>
      </c>
      <c r="H38" s="200">
        <v>144.13222396825518</v>
      </c>
      <c r="I38" s="201">
        <v>203.06182858392933</v>
      </c>
      <c r="J38" s="297">
        <v>0</v>
      </c>
      <c r="K38" s="297">
        <v>0</v>
      </c>
      <c r="L38" s="297">
        <v>0</v>
      </c>
      <c r="M38" s="297">
        <v>0</v>
      </c>
      <c r="N38" s="297">
        <v>0</v>
      </c>
      <c r="O38" s="13">
        <f t="shared" si="0"/>
        <v>203.06182858392933</v>
      </c>
      <c r="P38" s="13">
        <f t="shared" si="1"/>
        <v>203.06182858392933</v>
      </c>
      <c r="Q38" s="13">
        <f t="shared" si="2"/>
        <v>203.06182858392933</v>
      </c>
      <c r="R38" s="13">
        <f t="shared" si="3"/>
        <v>203.06182858392933</v>
      </c>
      <c r="S38" s="13">
        <f t="shared" si="4"/>
        <v>203.06182858392933</v>
      </c>
      <c r="T38" s="13">
        <f t="shared" si="5"/>
        <v>203.06182858392933</v>
      </c>
      <c r="U38" s="13">
        <f t="shared" si="6"/>
        <v>203.06182858392933</v>
      </c>
    </row>
    <row r="39" spans="2:91">
      <c r="E39" s="41" t="s">
        <v>88</v>
      </c>
      <c r="F39" s="199">
        <v>3</v>
      </c>
      <c r="G39" s="200">
        <v>3.5</v>
      </c>
      <c r="H39" s="200">
        <v>4</v>
      </c>
      <c r="I39" s="201">
        <v>4.5</v>
      </c>
      <c r="J39" s="297">
        <v>0</v>
      </c>
      <c r="K39" s="297">
        <v>0</v>
      </c>
      <c r="L39" s="297">
        <v>0</v>
      </c>
      <c r="M39" s="297">
        <v>0</v>
      </c>
      <c r="N39" s="297">
        <v>0</v>
      </c>
      <c r="O39" s="13">
        <f t="shared" si="0"/>
        <v>4.5</v>
      </c>
      <c r="P39" s="13">
        <f t="shared" si="1"/>
        <v>4.5</v>
      </c>
      <c r="Q39" s="13">
        <f t="shared" si="2"/>
        <v>4.5</v>
      </c>
      <c r="R39" s="13">
        <f t="shared" si="3"/>
        <v>4.5</v>
      </c>
      <c r="S39" s="13">
        <f t="shared" si="4"/>
        <v>4.5</v>
      </c>
      <c r="T39" s="13">
        <f t="shared" si="5"/>
        <v>4.5</v>
      </c>
      <c r="U39" s="13">
        <f t="shared" si="6"/>
        <v>4.5</v>
      </c>
    </row>
    <row r="40" spans="2:91">
      <c r="E40" s="41" t="s">
        <v>89</v>
      </c>
      <c r="F40" s="264">
        <v>3</v>
      </c>
      <c r="G40" s="265">
        <v>3.5</v>
      </c>
      <c r="H40" s="265">
        <v>4</v>
      </c>
      <c r="I40" s="266">
        <v>4.5</v>
      </c>
      <c r="J40" s="297">
        <v>0</v>
      </c>
      <c r="K40" s="297">
        <v>0</v>
      </c>
      <c r="L40" s="297">
        <v>0</v>
      </c>
      <c r="M40" s="297">
        <v>0</v>
      </c>
      <c r="N40" s="297">
        <v>0</v>
      </c>
      <c r="O40" s="13">
        <f t="shared" si="0"/>
        <v>4.5</v>
      </c>
      <c r="P40" s="13">
        <f t="shared" si="1"/>
        <v>4.5</v>
      </c>
      <c r="Q40" s="13">
        <f t="shared" si="2"/>
        <v>4.5</v>
      </c>
      <c r="R40" s="13">
        <f t="shared" si="3"/>
        <v>4.5</v>
      </c>
      <c r="S40" s="13">
        <f t="shared" si="4"/>
        <v>4.5</v>
      </c>
      <c r="T40" s="13">
        <f t="shared" si="5"/>
        <v>4.5</v>
      </c>
      <c r="U40" s="13">
        <f t="shared" si="6"/>
        <v>4.5</v>
      </c>
    </row>
    <row r="41" spans="2:91">
      <c r="F41" s="21"/>
      <c r="G41" s="21"/>
      <c r="H41" s="21"/>
      <c r="I41" s="21"/>
      <c r="J41" s="21"/>
      <c r="K41" s="21"/>
      <c r="L41" s="21"/>
      <c r="M41" s="21"/>
      <c r="N41" s="21"/>
    </row>
    <row r="42" spans="2:91" ht="15">
      <c r="D42" t="s">
        <v>578</v>
      </c>
      <c r="F42" s="267">
        <v>2005</v>
      </c>
      <c r="G42" s="267">
        <v>2006</v>
      </c>
      <c r="H42" s="267">
        <v>2007</v>
      </c>
      <c r="I42" s="267">
        <v>2008</v>
      </c>
      <c r="J42" s="267">
        <v>2009</v>
      </c>
      <c r="K42" s="267">
        <v>2010</v>
      </c>
      <c r="L42" s="267">
        <v>2011</v>
      </c>
      <c r="M42" s="267">
        <v>2012</v>
      </c>
      <c r="N42" s="267">
        <v>2013</v>
      </c>
      <c r="O42" s="17">
        <v>2014</v>
      </c>
      <c r="P42" s="17">
        <v>2015</v>
      </c>
      <c r="Q42" s="17">
        <v>2016</v>
      </c>
      <c r="R42" s="17">
        <v>2017</v>
      </c>
      <c r="S42" s="17">
        <v>2018</v>
      </c>
      <c r="T42" s="17">
        <v>2019</v>
      </c>
      <c r="U42" s="17">
        <v>2020</v>
      </c>
      <c r="V42" s="17">
        <v>2021</v>
      </c>
      <c r="W42" s="17">
        <v>2022</v>
      </c>
      <c r="X42" s="17">
        <v>2023</v>
      </c>
      <c r="Y42" s="17">
        <v>2024</v>
      </c>
      <c r="Z42" s="17">
        <v>2025</v>
      </c>
      <c r="AA42" s="17">
        <v>2026</v>
      </c>
      <c r="AB42" s="17">
        <v>2027</v>
      </c>
      <c r="AC42" s="17">
        <v>2028</v>
      </c>
      <c r="AD42" s="17">
        <v>2029</v>
      </c>
      <c r="AE42" s="17">
        <v>2030</v>
      </c>
      <c r="AF42" s="17">
        <v>2031</v>
      </c>
      <c r="AG42" s="17">
        <v>2032</v>
      </c>
      <c r="AH42" s="17">
        <v>2033</v>
      </c>
      <c r="AI42" s="17">
        <v>2034</v>
      </c>
      <c r="AJ42" s="17">
        <v>2035</v>
      </c>
      <c r="AK42" s="17">
        <v>2036</v>
      </c>
      <c r="AL42" s="17">
        <v>2037</v>
      </c>
      <c r="AM42" s="17">
        <v>2038</v>
      </c>
      <c r="AN42" s="17">
        <v>2039</v>
      </c>
      <c r="AO42" s="17">
        <v>2040</v>
      </c>
      <c r="AP42" s="17">
        <v>2041</v>
      </c>
      <c r="AQ42" s="17">
        <v>2042</v>
      </c>
      <c r="AR42" s="17">
        <v>2043</v>
      </c>
      <c r="AS42" s="17">
        <v>2044</v>
      </c>
      <c r="AT42" s="17">
        <v>2045</v>
      </c>
      <c r="AU42" s="17">
        <v>2046</v>
      </c>
      <c r="AV42" s="17">
        <v>2047</v>
      </c>
      <c r="AW42" s="17">
        <v>2048</v>
      </c>
      <c r="AX42" s="17">
        <v>2049</v>
      </c>
      <c r="AY42" s="17">
        <v>2050</v>
      </c>
      <c r="AZ42" s="17">
        <v>2051</v>
      </c>
      <c r="BA42" s="17">
        <v>2052</v>
      </c>
      <c r="BB42" s="17">
        <v>2053</v>
      </c>
      <c r="BC42" s="17">
        <v>2054</v>
      </c>
      <c r="BD42" s="17">
        <v>2055</v>
      </c>
      <c r="BE42" s="17">
        <v>2056</v>
      </c>
      <c r="BF42" s="17">
        <v>2057</v>
      </c>
      <c r="BG42" s="17">
        <v>2058</v>
      </c>
      <c r="BH42" s="17">
        <v>2059</v>
      </c>
      <c r="BI42" s="17">
        <v>2060</v>
      </c>
      <c r="BJ42" s="17">
        <v>2061</v>
      </c>
      <c r="BK42" s="17">
        <v>2062</v>
      </c>
      <c r="BL42" s="17">
        <v>2063</v>
      </c>
      <c r="BM42" s="17">
        <v>2064</v>
      </c>
      <c r="BN42" s="17">
        <v>2065</v>
      </c>
      <c r="BO42" s="17">
        <v>2066</v>
      </c>
      <c r="BP42" s="17">
        <v>2067</v>
      </c>
      <c r="BQ42" s="17">
        <v>2068</v>
      </c>
      <c r="BR42" s="17">
        <v>2069</v>
      </c>
      <c r="BS42" s="17">
        <v>2070</v>
      </c>
      <c r="BT42" s="17">
        <v>2071</v>
      </c>
      <c r="BU42" s="17">
        <v>2072</v>
      </c>
      <c r="BV42" s="17">
        <v>2073</v>
      </c>
      <c r="BW42" s="17">
        <v>2074</v>
      </c>
      <c r="BX42" s="17">
        <v>2075</v>
      </c>
      <c r="BY42" s="17">
        <v>2076</v>
      </c>
      <c r="BZ42" s="17">
        <v>2077</v>
      </c>
      <c r="CA42" s="17">
        <v>2078</v>
      </c>
      <c r="CB42" s="17">
        <v>2079</v>
      </c>
      <c r="CC42" s="17">
        <v>2080</v>
      </c>
      <c r="CD42" s="17">
        <v>2081</v>
      </c>
      <c r="CE42" s="17">
        <v>2082</v>
      </c>
      <c r="CF42" s="17">
        <v>2083</v>
      </c>
      <c r="CG42" s="17">
        <v>2084</v>
      </c>
      <c r="CH42" s="17">
        <v>2085</v>
      </c>
      <c r="CI42" s="17">
        <v>2086</v>
      </c>
      <c r="CJ42" s="17">
        <v>2087</v>
      </c>
      <c r="CK42" s="17">
        <v>2088</v>
      </c>
      <c r="CL42" s="17">
        <v>2089</v>
      </c>
      <c r="CM42" s="17">
        <v>2090</v>
      </c>
    </row>
    <row r="43" spans="2:91">
      <c r="E43" s="41" t="s">
        <v>84</v>
      </c>
      <c r="F43" s="261">
        <f>F34</f>
        <v>4.0147432024169181</v>
      </c>
      <c r="G43" s="262">
        <f>G34</f>
        <v>4.7647432024169181</v>
      </c>
      <c r="H43" s="262">
        <f>H34</f>
        <v>5.5147432024169181</v>
      </c>
      <c r="I43" s="263">
        <f>I34</f>
        <v>5.85</v>
      </c>
      <c r="J43" s="193">
        <f>I43*(1+$J34)</f>
        <v>5.85</v>
      </c>
      <c r="K43" s="193">
        <f t="shared" ref="K43:P43" si="7">J43*(1+$J34)</f>
        <v>5.85</v>
      </c>
      <c r="L43" s="193">
        <f t="shared" si="7"/>
        <v>5.85</v>
      </c>
      <c r="M43" s="193">
        <f t="shared" si="7"/>
        <v>5.85</v>
      </c>
      <c r="N43" s="193">
        <f t="shared" si="7"/>
        <v>5.85</v>
      </c>
      <c r="O43" s="13">
        <f t="shared" si="7"/>
        <v>5.85</v>
      </c>
      <c r="P43" s="13">
        <f t="shared" si="7"/>
        <v>5.85</v>
      </c>
      <c r="Q43" s="13">
        <f>P43*(1+$K34)</f>
        <v>5.85</v>
      </c>
      <c r="R43" s="13">
        <f>Q43*(1+$K34)</f>
        <v>5.85</v>
      </c>
      <c r="S43" s="13">
        <f>R43*(1+$K34)</f>
        <v>5.85</v>
      </c>
      <c r="T43" s="13">
        <f>S43*(1+$K34)</f>
        <v>5.85</v>
      </c>
      <c r="U43" s="13">
        <f>T43*(1+$K34)</f>
        <v>5.85</v>
      </c>
      <c r="V43" s="13">
        <f>U43*(1+$L34)</f>
        <v>5.85</v>
      </c>
      <c r="W43" s="13">
        <f>V43*(1+$L34)</f>
        <v>5.85</v>
      </c>
      <c r="X43" s="13">
        <f>W43*(1+$L34)</f>
        <v>5.85</v>
      </c>
      <c r="Y43" s="13">
        <f>X43*(1+$L34)</f>
        <v>5.85</v>
      </c>
      <c r="Z43" s="13">
        <f>Y43*(1+$L34)</f>
        <v>5.85</v>
      </c>
      <c r="AA43" s="13">
        <f>Z43*(1+$M34)</f>
        <v>5.85</v>
      </c>
      <c r="AB43" s="13">
        <f>AA43*(1+$M34)</f>
        <v>5.85</v>
      </c>
      <c r="AC43" s="13">
        <f>AB43*(1+$M34)</f>
        <v>5.85</v>
      </c>
      <c r="AD43" s="13">
        <f>AC43*(1+$M34)</f>
        <v>5.85</v>
      </c>
      <c r="AE43" s="13">
        <f>AD43*(1+$M34)</f>
        <v>5.85</v>
      </c>
      <c r="AF43" s="13">
        <f>AE43*(1+$N34)</f>
        <v>5.85</v>
      </c>
      <c r="AG43" s="13">
        <f t="shared" ref="AG43:CM47" si="8">AF43*(1+$N34)</f>
        <v>5.85</v>
      </c>
      <c r="AH43" s="13">
        <f t="shared" si="8"/>
        <v>5.85</v>
      </c>
      <c r="AI43" s="13">
        <f t="shared" si="8"/>
        <v>5.85</v>
      </c>
      <c r="AJ43" s="13">
        <f t="shared" si="8"/>
        <v>5.85</v>
      </c>
      <c r="AK43" s="13">
        <f t="shared" si="8"/>
        <v>5.85</v>
      </c>
      <c r="AL43" s="13">
        <f t="shared" si="8"/>
        <v>5.85</v>
      </c>
      <c r="AM43" s="13">
        <f t="shared" si="8"/>
        <v>5.85</v>
      </c>
      <c r="AN43" s="13">
        <f t="shared" si="8"/>
        <v>5.85</v>
      </c>
      <c r="AO43" s="13">
        <f t="shared" si="8"/>
        <v>5.85</v>
      </c>
      <c r="AP43" s="13">
        <f t="shared" si="8"/>
        <v>5.85</v>
      </c>
      <c r="AQ43" s="13">
        <f t="shared" si="8"/>
        <v>5.85</v>
      </c>
      <c r="AR43" s="13">
        <f t="shared" si="8"/>
        <v>5.85</v>
      </c>
      <c r="AS43" s="13">
        <f t="shared" si="8"/>
        <v>5.85</v>
      </c>
      <c r="AT43" s="13">
        <f t="shared" si="8"/>
        <v>5.85</v>
      </c>
      <c r="AU43" s="13">
        <f t="shared" si="8"/>
        <v>5.85</v>
      </c>
      <c r="AV43" s="13">
        <f t="shared" si="8"/>
        <v>5.85</v>
      </c>
      <c r="AW43" s="13">
        <f t="shared" si="8"/>
        <v>5.85</v>
      </c>
      <c r="AX43" s="13">
        <f t="shared" si="8"/>
        <v>5.85</v>
      </c>
      <c r="AY43" s="13">
        <f t="shared" si="8"/>
        <v>5.85</v>
      </c>
      <c r="AZ43" s="13">
        <f t="shared" si="8"/>
        <v>5.85</v>
      </c>
      <c r="BA43" s="13">
        <f t="shared" si="8"/>
        <v>5.85</v>
      </c>
      <c r="BB43" s="13">
        <f t="shared" si="8"/>
        <v>5.85</v>
      </c>
      <c r="BC43" s="13">
        <f t="shared" si="8"/>
        <v>5.85</v>
      </c>
      <c r="BD43" s="13">
        <f t="shared" si="8"/>
        <v>5.85</v>
      </c>
      <c r="BE43" s="13">
        <f t="shared" si="8"/>
        <v>5.85</v>
      </c>
      <c r="BF43" s="13">
        <f t="shared" si="8"/>
        <v>5.85</v>
      </c>
      <c r="BG43" s="13">
        <f t="shared" si="8"/>
        <v>5.85</v>
      </c>
      <c r="BH43" s="13">
        <f t="shared" si="8"/>
        <v>5.85</v>
      </c>
      <c r="BI43" s="13">
        <f t="shared" si="8"/>
        <v>5.85</v>
      </c>
      <c r="BJ43" s="13">
        <f t="shared" si="8"/>
        <v>5.85</v>
      </c>
      <c r="BK43" s="13">
        <f t="shared" si="8"/>
        <v>5.85</v>
      </c>
      <c r="BL43" s="13">
        <f t="shared" si="8"/>
        <v>5.85</v>
      </c>
      <c r="BM43" s="13">
        <f t="shared" si="8"/>
        <v>5.85</v>
      </c>
      <c r="BN43" s="13">
        <f t="shared" si="8"/>
        <v>5.85</v>
      </c>
      <c r="BO43" s="13">
        <f t="shared" si="8"/>
        <v>5.85</v>
      </c>
      <c r="BP43" s="13">
        <f t="shared" si="8"/>
        <v>5.85</v>
      </c>
      <c r="BQ43" s="13">
        <f t="shared" si="8"/>
        <v>5.85</v>
      </c>
      <c r="BR43" s="13">
        <f t="shared" si="8"/>
        <v>5.85</v>
      </c>
      <c r="BS43" s="13">
        <f t="shared" si="8"/>
        <v>5.85</v>
      </c>
      <c r="BT43" s="13">
        <f t="shared" si="8"/>
        <v>5.85</v>
      </c>
      <c r="BU43" s="13">
        <f t="shared" si="8"/>
        <v>5.85</v>
      </c>
      <c r="BV43" s="13">
        <f t="shared" si="8"/>
        <v>5.85</v>
      </c>
      <c r="BW43" s="13">
        <f t="shared" si="8"/>
        <v>5.85</v>
      </c>
      <c r="BX43" s="13">
        <f t="shared" si="8"/>
        <v>5.85</v>
      </c>
      <c r="BY43" s="13">
        <f t="shared" si="8"/>
        <v>5.85</v>
      </c>
      <c r="BZ43" s="13">
        <f t="shared" si="8"/>
        <v>5.85</v>
      </c>
      <c r="CA43" s="13">
        <f t="shared" si="8"/>
        <v>5.85</v>
      </c>
      <c r="CB43" s="13">
        <f t="shared" si="8"/>
        <v>5.85</v>
      </c>
      <c r="CC43" s="13">
        <f t="shared" si="8"/>
        <v>5.85</v>
      </c>
      <c r="CD43" s="13">
        <f t="shared" si="8"/>
        <v>5.85</v>
      </c>
      <c r="CE43" s="13">
        <f t="shared" si="8"/>
        <v>5.85</v>
      </c>
      <c r="CF43" s="13">
        <f t="shared" si="8"/>
        <v>5.85</v>
      </c>
      <c r="CG43" s="13">
        <f t="shared" si="8"/>
        <v>5.85</v>
      </c>
      <c r="CH43" s="13">
        <f t="shared" si="8"/>
        <v>5.85</v>
      </c>
      <c r="CI43" s="13">
        <f t="shared" si="8"/>
        <v>5.85</v>
      </c>
      <c r="CJ43" s="13">
        <f t="shared" si="8"/>
        <v>5.85</v>
      </c>
      <c r="CK43" s="13">
        <f t="shared" si="8"/>
        <v>5.85</v>
      </c>
      <c r="CL43" s="13">
        <f t="shared" si="8"/>
        <v>5.85</v>
      </c>
      <c r="CM43" s="13">
        <f t="shared" si="8"/>
        <v>5.85</v>
      </c>
    </row>
    <row r="44" spans="2:91">
      <c r="E44" s="41" t="s">
        <v>85</v>
      </c>
      <c r="F44" s="199">
        <f t="shared" ref="F44:I49" si="9">F35</f>
        <v>5.066223564954683</v>
      </c>
      <c r="G44" s="200">
        <f t="shared" si="9"/>
        <v>5.816223564954683</v>
      </c>
      <c r="H44" s="200">
        <f t="shared" si="9"/>
        <v>6.566223564954683</v>
      </c>
      <c r="I44" s="201">
        <f t="shared" si="9"/>
        <v>7.3485714285714296</v>
      </c>
      <c r="J44" s="193">
        <f t="shared" ref="J44:P49" si="10">I44*(1+$J35)</f>
        <v>7.3485714285714296</v>
      </c>
      <c r="K44" s="193">
        <f t="shared" si="10"/>
        <v>7.3485714285714296</v>
      </c>
      <c r="L44" s="193">
        <f t="shared" si="10"/>
        <v>7.3485714285714296</v>
      </c>
      <c r="M44" s="193">
        <f t="shared" si="10"/>
        <v>7.3485714285714296</v>
      </c>
      <c r="N44" s="193">
        <f t="shared" si="10"/>
        <v>7.3485714285714296</v>
      </c>
      <c r="O44" s="13">
        <f t="shared" si="10"/>
        <v>7.3485714285714296</v>
      </c>
      <c r="P44" s="13">
        <f t="shared" si="10"/>
        <v>7.3485714285714296</v>
      </c>
      <c r="Q44" s="13">
        <f t="shared" ref="Q44:U49" si="11">P44*(1+$K35)</f>
        <v>7.3485714285714296</v>
      </c>
      <c r="R44" s="13">
        <f t="shared" si="11"/>
        <v>7.3485714285714296</v>
      </c>
      <c r="S44" s="13">
        <f t="shared" si="11"/>
        <v>7.3485714285714296</v>
      </c>
      <c r="T44" s="13">
        <f t="shared" si="11"/>
        <v>7.3485714285714296</v>
      </c>
      <c r="U44" s="13">
        <f t="shared" si="11"/>
        <v>7.3485714285714296</v>
      </c>
      <c r="V44" s="13">
        <f t="shared" ref="V44:Z49" si="12">U44*(1+$L35)</f>
        <v>7.3485714285714296</v>
      </c>
      <c r="W44" s="13">
        <f t="shared" si="12"/>
        <v>7.3485714285714296</v>
      </c>
      <c r="X44" s="13">
        <f t="shared" si="12"/>
        <v>7.3485714285714296</v>
      </c>
      <c r="Y44" s="13">
        <f t="shared" si="12"/>
        <v>7.3485714285714296</v>
      </c>
      <c r="Z44" s="13">
        <f t="shared" si="12"/>
        <v>7.3485714285714296</v>
      </c>
      <c r="AA44" s="13">
        <f t="shared" ref="AA44:AE49" si="13">Z44*(1+$M35)</f>
        <v>7.3485714285714296</v>
      </c>
      <c r="AB44" s="13">
        <f t="shared" si="13"/>
        <v>7.3485714285714296</v>
      </c>
      <c r="AC44" s="13">
        <f t="shared" si="13"/>
        <v>7.3485714285714296</v>
      </c>
      <c r="AD44" s="13">
        <f t="shared" si="13"/>
        <v>7.3485714285714296</v>
      </c>
      <c r="AE44" s="13">
        <f t="shared" si="13"/>
        <v>7.3485714285714296</v>
      </c>
      <c r="AF44" s="13">
        <f t="shared" ref="AF44:AU49" si="14">AE44*(1+$N35)</f>
        <v>7.3485714285714296</v>
      </c>
      <c r="AG44" s="13">
        <f t="shared" si="14"/>
        <v>7.3485714285714296</v>
      </c>
      <c r="AH44" s="13">
        <f t="shared" si="14"/>
        <v>7.3485714285714296</v>
      </c>
      <c r="AI44" s="13">
        <f t="shared" si="14"/>
        <v>7.3485714285714296</v>
      </c>
      <c r="AJ44" s="13">
        <f t="shared" si="14"/>
        <v>7.3485714285714296</v>
      </c>
      <c r="AK44" s="13">
        <f t="shared" si="14"/>
        <v>7.3485714285714296</v>
      </c>
      <c r="AL44" s="13">
        <f t="shared" si="14"/>
        <v>7.3485714285714296</v>
      </c>
      <c r="AM44" s="13">
        <f t="shared" si="14"/>
        <v>7.3485714285714296</v>
      </c>
      <c r="AN44" s="13">
        <f t="shared" si="14"/>
        <v>7.3485714285714296</v>
      </c>
      <c r="AO44" s="13">
        <f t="shared" si="14"/>
        <v>7.3485714285714296</v>
      </c>
      <c r="AP44" s="13">
        <f t="shared" si="14"/>
        <v>7.3485714285714296</v>
      </c>
      <c r="AQ44" s="13">
        <f t="shared" si="14"/>
        <v>7.3485714285714296</v>
      </c>
      <c r="AR44" s="13">
        <f t="shared" si="14"/>
        <v>7.3485714285714296</v>
      </c>
      <c r="AS44" s="13">
        <f t="shared" si="14"/>
        <v>7.3485714285714296</v>
      </c>
      <c r="AT44" s="13">
        <f t="shared" si="14"/>
        <v>7.3485714285714296</v>
      </c>
      <c r="AU44" s="13">
        <f t="shared" si="14"/>
        <v>7.3485714285714296</v>
      </c>
      <c r="AV44" s="13">
        <f t="shared" si="8"/>
        <v>7.3485714285714296</v>
      </c>
      <c r="AW44" s="13">
        <f t="shared" si="8"/>
        <v>7.3485714285714296</v>
      </c>
      <c r="AX44" s="13">
        <f t="shared" si="8"/>
        <v>7.3485714285714296</v>
      </c>
      <c r="AY44" s="13">
        <f t="shared" si="8"/>
        <v>7.3485714285714296</v>
      </c>
      <c r="AZ44" s="13">
        <f t="shared" si="8"/>
        <v>7.3485714285714296</v>
      </c>
      <c r="BA44" s="13">
        <f t="shared" si="8"/>
        <v>7.3485714285714296</v>
      </c>
      <c r="BB44" s="13">
        <f t="shared" si="8"/>
        <v>7.3485714285714296</v>
      </c>
      <c r="BC44" s="13">
        <f t="shared" si="8"/>
        <v>7.3485714285714296</v>
      </c>
      <c r="BD44" s="13">
        <f t="shared" si="8"/>
        <v>7.3485714285714296</v>
      </c>
      <c r="BE44" s="13">
        <f t="shared" si="8"/>
        <v>7.3485714285714296</v>
      </c>
      <c r="BF44" s="13">
        <f t="shared" si="8"/>
        <v>7.3485714285714296</v>
      </c>
      <c r="BG44" s="13">
        <f t="shared" si="8"/>
        <v>7.3485714285714296</v>
      </c>
      <c r="BH44" s="13">
        <f t="shared" si="8"/>
        <v>7.3485714285714296</v>
      </c>
      <c r="BI44" s="13">
        <f t="shared" si="8"/>
        <v>7.3485714285714296</v>
      </c>
      <c r="BJ44" s="13">
        <f t="shared" si="8"/>
        <v>7.3485714285714296</v>
      </c>
      <c r="BK44" s="13">
        <f t="shared" si="8"/>
        <v>7.3485714285714296</v>
      </c>
      <c r="BL44" s="13">
        <f t="shared" si="8"/>
        <v>7.3485714285714296</v>
      </c>
      <c r="BM44" s="13">
        <f t="shared" si="8"/>
        <v>7.3485714285714296</v>
      </c>
      <c r="BN44" s="13">
        <f t="shared" si="8"/>
        <v>7.3485714285714296</v>
      </c>
      <c r="BO44" s="13">
        <f t="shared" si="8"/>
        <v>7.3485714285714296</v>
      </c>
      <c r="BP44" s="13">
        <f t="shared" si="8"/>
        <v>7.3485714285714296</v>
      </c>
      <c r="BQ44" s="13">
        <f t="shared" si="8"/>
        <v>7.3485714285714296</v>
      </c>
      <c r="BR44" s="13">
        <f t="shared" si="8"/>
        <v>7.3485714285714296</v>
      </c>
      <c r="BS44" s="13">
        <f t="shared" si="8"/>
        <v>7.3485714285714296</v>
      </c>
      <c r="BT44" s="13">
        <f t="shared" si="8"/>
        <v>7.3485714285714296</v>
      </c>
      <c r="BU44" s="13">
        <f t="shared" si="8"/>
        <v>7.3485714285714296</v>
      </c>
      <c r="BV44" s="13">
        <f t="shared" si="8"/>
        <v>7.3485714285714296</v>
      </c>
      <c r="BW44" s="13">
        <f t="shared" si="8"/>
        <v>7.3485714285714296</v>
      </c>
      <c r="BX44" s="13">
        <f t="shared" si="8"/>
        <v>7.3485714285714296</v>
      </c>
      <c r="BY44" s="13">
        <f t="shared" si="8"/>
        <v>7.3485714285714296</v>
      </c>
      <c r="BZ44" s="13">
        <f t="shared" si="8"/>
        <v>7.3485714285714296</v>
      </c>
      <c r="CA44" s="13">
        <f t="shared" si="8"/>
        <v>7.3485714285714296</v>
      </c>
      <c r="CB44" s="13">
        <f t="shared" si="8"/>
        <v>7.3485714285714296</v>
      </c>
      <c r="CC44" s="13">
        <f t="shared" si="8"/>
        <v>7.3485714285714296</v>
      </c>
      <c r="CD44" s="13">
        <f t="shared" si="8"/>
        <v>7.3485714285714296</v>
      </c>
      <c r="CE44" s="13">
        <f t="shared" si="8"/>
        <v>7.3485714285714296</v>
      </c>
      <c r="CF44" s="13">
        <f t="shared" si="8"/>
        <v>7.3485714285714296</v>
      </c>
      <c r="CG44" s="13">
        <f t="shared" si="8"/>
        <v>7.3485714285714296</v>
      </c>
      <c r="CH44" s="13">
        <f t="shared" si="8"/>
        <v>7.3485714285714296</v>
      </c>
      <c r="CI44" s="13">
        <f t="shared" si="8"/>
        <v>7.3485714285714296</v>
      </c>
      <c r="CJ44" s="13">
        <f t="shared" si="8"/>
        <v>7.3485714285714296</v>
      </c>
      <c r="CK44" s="13">
        <f t="shared" si="8"/>
        <v>7.3485714285714296</v>
      </c>
      <c r="CL44" s="13">
        <f t="shared" si="8"/>
        <v>7.3485714285714296</v>
      </c>
      <c r="CM44" s="13">
        <f t="shared" si="8"/>
        <v>7.3485714285714296</v>
      </c>
    </row>
    <row r="45" spans="2:91">
      <c r="E45" s="41" t="s">
        <v>86</v>
      </c>
      <c r="F45" s="199">
        <f t="shared" si="9"/>
        <v>31.739745403111744</v>
      </c>
      <c r="G45" s="200">
        <f t="shared" si="9"/>
        <v>36.35643564356436</v>
      </c>
      <c r="H45" s="200">
        <f t="shared" si="9"/>
        <v>38.664780763790667</v>
      </c>
      <c r="I45" s="201">
        <f t="shared" si="9"/>
        <v>58.285714285714292</v>
      </c>
      <c r="J45" s="193">
        <f t="shared" si="10"/>
        <v>58.285714285714292</v>
      </c>
      <c r="K45" s="193">
        <f t="shared" si="10"/>
        <v>58.285714285714292</v>
      </c>
      <c r="L45" s="193">
        <f t="shared" si="10"/>
        <v>58.285714285714292</v>
      </c>
      <c r="M45" s="193">
        <f t="shared" si="10"/>
        <v>58.285714285714292</v>
      </c>
      <c r="N45" s="193">
        <f t="shared" si="10"/>
        <v>58.285714285714292</v>
      </c>
      <c r="O45" s="13">
        <f t="shared" si="10"/>
        <v>58.285714285714292</v>
      </c>
      <c r="P45" s="13">
        <f t="shared" si="10"/>
        <v>58.285714285714292</v>
      </c>
      <c r="Q45" s="13">
        <f t="shared" si="11"/>
        <v>58.285714285714292</v>
      </c>
      <c r="R45" s="13">
        <f t="shared" si="11"/>
        <v>58.285714285714292</v>
      </c>
      <c r="S45" s="13">
        <f t="shared" si="11"/>
        <v>58.285714285714292</v>
      </c>
      <c r="T45" s="13">
        <f t="shared" si="11"/>
        <v>58.285714285714292</v>
      </c>
      <c r="U45" s="13">
        <f t="shared" si="11"/>
        <v>58.285714285714292</v>
      </c>
      <c r="V45" s="13">
        <f t="shared" si="12"/>
        <v>58.285714285714292</v>
      </c>
      <c r="W45" s="13">
        <f t="shared" si="12"/>
        <v>58.285714285714292</v>
      </c>
      <c r="X45" s="13">
        <f t="shared" si="12"/>
        <v>58.285714285714292</v>
      </c>
      <c r="Y45" s="13">
        <f t="shared" si="12"/>
        <v>58.285714285714292</v>
      </c>
      <c r="Z45" s="13">
        <f t="shared" si="12"/>
        <v>58.285714285714292</v>
      </c>
      <c r="AA45" s="13">
        <f t="shared" si="13"/>
        <v>58.285714285714292</v>
      </c>
      <c r="AB45" s="13">
        <f t="shared" si="13"/>
        <v>58.285714285714292</v>
      </c>
      <c r="AC45" s="13">
        <f t="shared" si="13"/>
        <v>58.285714285714292</v>
      </c>
      <c r="AD45" s="13">
        <f t="shared" si="13"/>
        <v>58.285714285714292</v>
      </c>
      <c r="AE45" s="13">
        <f t="shared" si="13"/>
        <v>58.285714285714292</v>
      </c>
      <c r="AF45" s="13">
        <f t="shared" si="14"/>
        <v>58.285714285714292</v>
      </c>
      <c r="AG45" s="13">
        <f t="shared" si="8"/>
        <v>58.285714285714292</v>
      </c>
      <c r="AH45" s="13">
        <f t="shared" si="8"/>
        <v>58.285714285714292</v>
      </c>
      <c r="AI45" s="13">
        <f t="shared" si="8"/>
        <v>58.285714285714292</v>
      </c>
      <c r="AJ45" s="13">
        <f t="shared" si="8"/>
        <v>58.285714285714292</v>
      </c>
      <c r="AK45" s="13">
        <f t="shared" si="8"/>
        <v>58.285714285714292</v>
      </c>
      <c r="AL45" s="13">
        <f t="shared" si="8"/>
        <v>58.285714285714292</v>
      </c>
      <c r="AM45" s="13">
        <f t="shared" si="8"/>
        <v>58.285714285714292</v>
      </c>
      <c r="AN45" s="13">
        <f t="shared" si="8"/>
        <v>58.285714285714292</v>
      </c>
      <c r="AO45" s="13">
        <f t="shared" si="8"/>
        <v>58.285714285714292</v>
      </c>
      <c r="AP45" s="13">
        <f t="shared" si="8"/>
        <v>58.285714285714292</v>
      </c>
      <c r="AQ45" s="13">
        <f t="shared" si="8"/>
        <v>58.285714285714292</v>
      </c>
      <c r="AR45" s="13">
        <f t="shared" si="8"/>
        <v>58.285714285714292</v>
      </c>
      <c r="AS45" s="13">
        <f t="shared" si="8"/>
        <v>58.285714285714292</v>
      </c>
      <c r="AT45" s="13">
        <f t="shared" si="8"/>
        <v>58.285714285714292</v>
      </c>
      <c r="AU45" s="13">
        <f t="shared" si="8"/>
        <v>58.285714285714292</v>
      </c>
      <c r="AV45" s="13">
        <f t="shared" si="8"/>
        <v>58.285714285714292</v>
      </c>
      <c r="AW45" s="13">
        <f t="shared" si="8"/>
        <v>58.285714285714292</v>
      </c>
      <c r="AX45" s="13">
        <f t="shared" si="8"/>
        <v>58.285714285714292</v>
      </c>
      <c r="AY45" s="13">
        <f t="shared" si="8"/>
        <v>58.285714285714292</v>
      </c>
      <c r="AZ45" s="13">
        <f t="shared" si="8"/>
        <v>58.285714285714292</v>
      </c>
      <c r="BA45" s="13">
        <f t="shared" si="8"/>
        <v>58.285714285714292</v>
      </c>
      <c r="BB45" s="13">
        <f t="shared" si="8"/>
        <v>58.285714285714292</v>
      </c>
      <c r="BC45" s="13">
        <f t="shared" si="8"/>
        <v>58.285714285714292</v>
      </c>
      <c r="BD45" s="13">
        <f t="shared" si="8"/>
        <v>58.285714285714292</v>
      </c>
      <c r="BE45" s="13">
        <f t="shared" si="8"/>
        <v>58.285714285714292</v>
      </c>
      <c r="BF45" s="13">
        <f t="shared" si="8"/>
        <v>58.285714285714292</v>
      </c>
      <c r="BG45" s="13">
        <f t="shared" si="8"/>
        <v>58.285714285714292</v>
      </c>
      <c r="BH45" s="13">
        <f t="shared" si="8"/>
        <v>58.285714285714292</v>
      </c>
      <c r="BI45" s="13">
        <f t="shared" si="8"/>
        <v>58.285714285714292</v>
      </c>
      <c r="BJ45" s="13">
        <f t="shared" si="8"/>
        <v>58.285714285714292</v>
      </c>
      <c r="BK45" s="13">
        <f t="shared" si="8"/>
        <v>58.285714285714292</v>
      </c>
      <c r="BL45" s="13">
        <f t="shared" si="8"/>
        <v>58.285714285714292</v>
      </c>
      <c r="BM45" s="13">
        <f t="shared" si="8"/>
        <v>58.285714285714292</v>
      </c>
      <c r="BN45" s="13">
        <f t="shared" si="8"/>
        <v>58.285714285714292</v>
      </c>
      <c r="BO45" s="13">
        <f t="shared" si="8"/>
        <v>58.285714285714292</v>
      </c>
      <c r="BP45" s="13">
        <f t="shared" si="8"/>
        <v>58.285714285714292</v>
      </c>
      <c r="BQ45" s="13">
        <f t="shared" si="8"/>
        <v>58.285714285714292</v>
      </c>
      <c r="BR45" s="13">
        <f t="shared" si="8"/>
        <v>58.285714285714292</v>
      </c>
      <c r="BS45" s="13">
        <f t="shared" si="8"/>
        <v>58.285714285714292</v>
      </c>
      <c r="BT45" s="13">
        <f t="shared" si="8"/>
        <v>58.285714285714292</v>
      </c>
      <c r="BU45" s="13">
        <f t="shared" si="8"/>
        <v>58.285714285714292</v>
      </c>
      <c r="BV45" s="13">
        <f t="shared" si="8"/>
        <v>58.285714285714292</v>
      </c>
      <c r="BW45" s="13">
        <f t="shared" si="8"/>
        <v>58.285714285714292</v>
      </c>
      <c r="BX45" s="13">
        <f t="shared" si="8"/>
        <v>58.285714285714292</v>
      </c>
      <c r="BY45" s="13">
        <f t="shared" si="8"/>
        <v>58.285714285714292</v>
      </c>
      <c r="BZ45" s="13">
        <f t="shared" si="8"/>
        <v>58.285714285714292</v>
      </c>
      <c r="CA45" s="13">
        <f t="shared" si="8"/>
        <v>58.285714285714292</v>
      </c>
      <c r="CB45" s="13">
        <f t="shared" si="8"/>
        <v>58.285714285714292</v>
      </c>
      <c r="CC45" s="13">
        <f t="shared" si="8"/>
        <v>58.285714285714292</v>
      </c>
      <c r="CD45" s="13">
        <f t="shared" si="8"/>
        <v>58.285714285714292</v>
      </c>
      <c r="CE45" s="13">
        <f t="shared" si="8"/>
        <v>58.285714285714292</v>
      </c>
      <c r="CF45" s="13">
        <f t="shared" si="8"/>
        <v>58.285714285714292</v>
      </c>
      <c r="CG45" s="13">
        <f t="shared" si="8"/>
        <v>58.285714285714292</v>
      </c>
      <c r="CH45" s="13">
        <f t="shared" si="8"/>
        <v>58.285714285714292</v>
      </c>
      <c r="CI45" s="13">
        <f t="shared" si="8"/>
        <v>58.285714285714292</v>
      </c>
      <c r="CJ45" s="13">
        <f t="shared" si="8"/>
        <v>58.285714285714292</v>
      </c>
      <c r="CK45" s="13">
        <f t="shared" si="8"/>
        <v>58.285714285714292</v>
      </c>
      <c r="CL45" s="13">
        <f t="shared" si="8"/>
        <v>58.285714285714292</v>
      </c>
      <c r="CM45" s="13">
        <f t="shared" si="8"/>
        <v>58.285714285714292</v>
      </c>
    </row>
    <row r="46" spans="2:91">
      <c r="E46" s="41" t="s">
        <v>20</v>
      </c>
      <c r="F46" s="199">
        <f t="shared" si="9"/>
        <v>126.6830354585971</v>
      </c>
      <c r="G46" s="200">
        <f t="shared" si="9"/>
        <v>144.17367989562516</v>
      </c>
      <c r="H46" s="200">
        <f t="shared" si="9"/>
        <v>144.13222396825518</v>
      </c>
      <c r="I46" s="201">
        <f t="shared" si="9"/>
        <v>203.06182858392933</v>
      </c>
      <c r="J46" s="193">
        <f t="shared" si="10"/>
        <v>203.06182858392933</v>
      </c>
      <c r="K46" s="193">
        <f t="shared" si="10"/>
        <v>203.06182858392933</v>
      </c>
      <c r="L46" s="193">
        <f t="shared" si="10"/>
        <v>203.06182858392933</v>
      </c>
      <c r="M46" s="193">
        <f t="shared" si="10"/>
        <v>203.06182858392933</v>
      </c>
      <c r="N46" s="193">
        <f t="shared" si="10"/>
        <v>203.06182858392933</v>
      </c>
      <c r="O46" s="13">
        <f t="shared" si="10"/>
        <v>203.06182858392933</v>
      </c>
      <c r="P46" s="13">
        <f t="shared" si="10"/>
        <v>203.06182858392933</v>
      </c>
      <c r="Q46" s="13">
        <f t="shared" si="11"/>
        <v>203.06182858392933</v>
      </c>
      <c r="R46" s="13">
        <f t="shared" si="11"/>
        <v>203.06182858392933</v>
      </c>
      <c r="S46" s="13">
        <f t="shared" si="11"/>
        <v>203.06182858392933</v>
      </c>
      <c r="T46" s="13">
        <f t="shared" si="11"/>
        <v>203.06182858392933</v>
      </c>
      <c r="U46" s="13">
        <f t="shared" si="11"/>
        <v>203.06182858392933</v>
      </c>
      <c r="V46" s="13">
        <f t="shared" si="12"/>
        <v>203.06182858392933</v>
      </c>
      <c r="W46" s="13">
        <f t="shared" si="12"/>
        <v>203.06182858392933</v>
      </c>
      <c r="X46" s="13">
        <f t="shared" si="12"/>
        <v>203.06182858392933</v>
      </c>
      <c r="Y46" s="13">
        <f t="shared" si="12"/>
        <v>203.06182858392933</v>
      </c>
      <c r="Z46" s="13">
        <f t="shared" si="12"/>
        <v>203.06182858392933</v>
      </c>
      <c r="AA46" s="13">
        <f t="shared" si="13"/>
        <v>203.06182858392933</v>
      </c>
      <c r="AB46" s="13">
        <f t="shared" si="13"/>
        <v>203.06182858392933</v>
      </c>
      <c r="AC46" s="13">
        <f t="shared" si="13"/>
        <v>203.06182858392933</v>
      </c>
      <c r="AD46" s="13">
        <f t="shared" si="13"/>
        <v>203.06182858392933</v>
      </c>
      <c r="AE46" s="13">
        <f t="shared" si="13"/>
        <v>203.06182858392933</v>
      </c>
      <c r="AF46" s="13">
        <f t="shared" si="14"/>
        <v>203.06182858392933</v>
      </c>
      <c r="AG46" s="13">
        <f t="shared" si="8"/>
        <v>203.06182858392933</v>
      </c>
      <c r="AH46" s="13">
        <f t="shared" si="8"/>
        <v>203.06182858392933</v>
      </c>
      <c r="AI46" s="13">
        <f t="shared" si="8"/>
        <v>203.06182858392933</v>
      </c>
      <c r="AJ46" s="13">
        <f t="shared" si="8"/>
        <v>203.06182858392933</v>
      </c>
      <c r="AK46" s="13">
        <f t="shared" si="8"/>
        <v>203.06182858392933</v>
      </c>
      <c r="AL46" s="13">
        <f t="shared" si="8"/>
        <v>203.06182858392933</v>
      </c>
      <c r="AM46" s="13">
        <f t="shared" si="8"/>
        <v>203.06182858392933</v>
      </c>
      <c r="AN46" s="13">
        <f t="shared" si="8"/>
        <v>203.06182858392933</v>
      </c>
      <c r="AO46" s="13">
        <f t="shared" si="8"/>
        <v>203.06182858392933</v>
      </c>
      <c r="AP46" s="13">
        <f t="shared" si="8"/>
        <v>203.06182858392933</v>
      </c>
      <c r="AQ46" s="13">
        <f t="shared" si="8"/>
        <v>203.06182858392933</v>
      </c>
      <c r="AR46" s="13">
        <f t="shared" si="8"/>
        <v>203.06182858392933</v>
      </c>
      <c r="AS46" s="13">
        <f t="shared" si="8"/>
        <v>203.06182858392933</v>
      </c>
      <c r="AT46" s="13">
        <f t="shared" si="8"/>
        <v>203.06182858392933</v>
      </c>
      <c r="AU46" s="13">
        <f t="shared" si="8"/>
        <v>203.06182858392933</v>
      </c>
      <c r="AV46" s="13">
        <f t="shared" si="8"/>
        <v>203.06182858392933</v>
      </c>
      <c r="AW46" s="13">
        <f t="shared" si="8"/>
        <v>203.06182858392933</v>
      </c>
      <c r="AX46" s="13">
        <f t="shared" si="8"/>
        <v>203.06182858392933</v>
      </c>
      <c r="AY46" s="13">
        <f t="shared" si="8"/>
        <v>203.06182858392933</v>
      </c>
      <c r="AZ46" s="13">
        <f t="shared" si="8"/>
        <v>203.06182858392933</v>
      </c>
      <c r="BA46" s="13">
        <f t="shared" si="8"/>
        <v>203.06182858392933</v>
      </c>
      <c r="BB46" s="13">
        <f t="shared" si="8"/>
        <v>203.06182858392933</v>
      </c>
      <c r="BC46" s="13">
        <f t="shared" si="8"/>
        <v>203.06182858392933</v>
      </c>
      <c r="BD46" s="13">
        <f t="shared" si="8"/>
        <v>203.06182858392933</v>
      </c>
      <c r="BE46" s="13">
        <f t="shared" si="8"/>
        <v>203.06182858392933</v>
      </c>
      <c r="BF46" s="13">
        <f t="shared" si="8"/>
        <v>203.06182858392933</v>
      </c>
      <c r="BG46" s="13">
        <f t="shared" si="8"/>
        <v>203.06182858392933</v>
      </c>
      <c r="BH46" s="13">
        <f t="shared" si="8"/>
        <v>203.06182858392933</v>
      </c>
      <c r="BI46" s="13">
        <f t="shared" si="8"/>
        <v>203.06182858392933</v>
      </c>
      <c r="BJ46" s="13">
        <f t="shared" si="8"/>
        <v>203.06182858392933</v>
      </c>
      <c r="BK46" s="13">
        <f t="shared" si="8"/>
        <v>203.06182858392933</v>
      </c>
      <c r="BL46" s="13">
        <f t="shared" si="8"/>
        <v>203.06182858392933</v>
      </c>
      <c r="BM46" s="13">
        <f t="shared" si="8"/>
        <v>203.06182858392933</v>
      </c>
      <c r="BN46" s="13">
        <f t="shared" si="8"/>
        <v>203.06182858392933</v>
      </c>
      <c r="BO46" s="13">
        <f t="shared" si="8"/>
        <v>203.06182858392933</v>
      </c>
      <c r="BP46" s="13">
        <f t="shared" si="8"/>
        <v>203.06182858392933</v>
      </c>
      <c r="BQ46" s="13">
        <f t="shared" si="8"/>
        <v>203.06182858392933</v>
      </c>
      <c r="BR46" s="13">
        <f t="shared" si="8"/>
        <v>203.06182858392933</v>
      </c>
      <c r="BS46" s="13">
        <f t="shared" si="8"/>
        <v>203.06182858392933</v>
      </c>
      <c r="BT46" s="13">
        <f t="shared" si="8"/>
        <v>203.06182858392933</v>
      </c>
      <c r="BU46" s="13">
        <f t="shared" si="8"/>
        <v>203.06182858392933</v>
      </c>
      <c r="BV46" s="13">
        <f t="shared" si="8"/>
        <v>203.06182858392933</v>
      </c>
      <c r="BW46" s="13">
        <f t="shared" si="8"/>
        <v>203.06182858392933</v>
      </c>
      <c r="BX46" s="13">
        <f t="shared" si="8"/>
        <v>203.06182858392933</v>
      </c>
      <c r="BY46" s="13">
        <f t="shared" si="8"/>
        <v>203.06182858392933</v>
      </c>
      <c r="BZ46" s="13">
        <f t="shared" si="8"/>
        <v>203.06182858392933</v>
      </c>
      <c r="CA46" s="13">
        <f t="shared" si="8"/>
        <v>203.06182858392933</v>
      </c>
      <c r="CB46" s="13">
        <f t="shared" si="8"/>
        <v>203.06182858392933</v>
      </c>
      <c r="CC46" s="13">
        <f t="shared" si="8"/>
        <v>203.06182858392933</v>
      </c>
      <c r="CD46" s="13">
        <f t="shared" si="8"/>
        <v>203.06182858392933</v>
      </c>
      <c r="CE46" s="13">
        <f t="shared" si="8"/>
        <v>203.06182858392933</v>
      </c>
      <c r="CF46" s="13">
        <f t="shared" si="8"/>
        <v>203.06182858392933</v>
      </c>
      <c r="CG46" s="13">
        <f t="shared" si="8"/>
        <v>203.06182858392933</v>
      </c>
      <c r="CH46" s="13">
        <f t="shared" si="8"/>
        <v>203.06182858392933</v>
      </c>
      <c r="CI46" s="13">
        <f t="shared" si="8"/>
        <v>203.06182858392933</v>
      </c>
      <c r="CJ46" s="13">
        <f t="shared" si="8"/>
        <v>203.06182858392933</v>
      </c>
      <c r="CK46" s="13">
        <f t="shared" si="8"/>
        <v>203.06182858392933</v>
      </c>
      <c r="CL46" s="13">
        <f t="shared" si="8"/>
        <v>203.06182858392933</v>
      </c>
      <c r="CM46" s="13">
        <f t="shared" si="8"/>
        <v>203.06182858392933</v>
      </c>
    </row>
    <row r="47" spans="2:91">
      <c r="E47" s="41" t="s">
        <v>87</v>
      </c>
      <c r="F47" s="199">
        <f t="shared" si="9"/>
        <v>126.6830354585971</v>
      </c>
      <c r="G47" s="200">
        <f t="shared" si="9"/>
        <v>144.17367989562516</v>
      </c>
      <c r="H47" s="200">
        <f t="shared" si="9"/>
        <v>144.13222396825518</v>
      </c>
      <c r="I47" s="201">
        <f t="shared" si="9"/>
        <v>203.06182858392933</v>
      </c>
      <c r="J47" s="193">
        <f t="shared" si="10"/>
        <v>203.06182858392933</v>
      </c>
      <c r="K47" s="193">
        <f t="shared" si="10"/>
        <v>203.06182858392933</v>
      </c>
      <c r="L47" s="193">
        <f t="shared" si="10"/>
        <v>203.06182858392933</v>
      </c>
      <c r="M47" s="193">
        <f t="shared" si="10"/>
        <v>203.06182858392933</v>
      </c>
      <c r="N47" s="193">
        <f t="shared" si="10"/>
        <v>203.06182858392933</v>
      </c>
      <c r="O47" s="13">
        <f t="shared" si="10"/>
        <v>203.06182858392933</v>
      </c>
      <c r="P47" s="13">
        <f t="shared" si="10"/>
        <v>203.06182858392933</v>
      </c>
      <c r="Q47" s="13">
        <f t="shared" si="11"/>
        <v>203.06182858392933</v>
      </c>
      <c r="R47" s="13">
        <f t="shared" si="11"/>
        <v>203.06182858392933</v>
      </c>
      <c r="S47" s="13">
        <f t="shared" si="11"/>
        <v>203.06182858392933</v>
      </c>
      <c r="T47" s="13">
        <f t="shared" si="11"/>
        <v>203.06182858392933</v>
      </c>
      <c r="U47" s="13">
        <f t="shared" si="11"/>
        <v>203.06182858392933</v>
      </c>
      <c r="V47" s="13">
        <f t="shared" si="12"/>
        <v>203.06182858392933</v>
      </c>
      <c r="W47" s="13">
        <f t="shared" si="12"/>
        <v>203.06182858392933</v>
      </c>
      <c r="X47" s="13">
        <f t="shared" si="12"/>
        <v>203.06182858392933</v>
      </c>
      <c r="Y47" s="13">
        <f t="shared" si="12"/>
        <v>203.06182858392933</v>
      </c>
      <c r="Z47" s="13">
        <f t="shared" si="12"/>
        <v>203.06182858392933</v>
      </c>
      <c r="AA47" s="13">
        <f t="shared" si="13"/>
        <v>203.06182858392933</v>
      </c>
      <c r="AB47" s="13">
        <f t="shared" si="13"/>
        <v>203.06182858392933</v>
      </c>
      <c r="AC47" s="13">
        <f t="shared" si="13"/>
        <v>203.06182858392933</v>
      </c>
      <c r="AD47" s="13">
        <f t="shared" si="13"/>
        <v>203.06182858392933</v>
      </c>
      <c r="AE47" s="13">
        <f t="shared" si="13"/>
        <v>203.06182858392933</v>
      </c>
      <c r="AF47" s="13">
        <f t="shared" si="14"/>
        <v>203.06182858392933</v>
      </c>
      <c r="AG47" s="13">
        <f t="shared" si="8"/>
        <v>203.06182858392933</v>
      </c>
      <c r="AH47" s="13">
        <f t="shared" si="8"/>
        <v>203.06182858392933</v>
      </c>
      <c r="AI47" s="13">
        <f t="shared" si="8"/>
        <v>203.06182858392933</v>
      </c>
      <c r="AJ47" s="13">
        <f t="shared" si="8"/>
        <v>203.06182858392933</v>
      </c>
      <c r="AK47" s="13">
        <f t="shared" si="8"/>
        <v>203.06182858392933</v>
      </c>
      <c r="AL47" s="13">
        <f t="shared" si="8"/>
        <v>203.06182858392933</v>
      </c>
      <c r="AM47" s="13">
        <f t="shared" si="8"/>
        <v>203.06182858392933</v>
      </c>
      <c r="AN47" s="13">
        <f t="shared" si="8"/>
        <v>203.06182858392933</v>
      </c>
      <c r="AO47" s="13">
        <f t="shared" si="8"/>
        <v>203.06182858392933</v>
      </c>
      <c r="AP47" s="13">
        <f t="shared" si="8"/>
        <v>203.06182858392933</v>
      </c>
      <c r="AQ47" s="13">
        <f t="shared" si="8"/>
        <v>203.06182858392933</v>
      </c>
      <c r="AR47" s="13">
        <f t="shared" si="8"/>
        <v>203.06182858392933</v>
      </c>
      <c r="AS47" s="13">
        <f t="shared" si="8"/>
        <v>203.06182858392933</v>
      </c>
      <c r="AT47" s="13">
        <f t="shared" si="8"/>
        <v>203.06182858392933</v>
      </c>
      <c r="AU47" s="13">
        <f t="shared" si="8"/>
        <v>203.06182858392933</v>
      </c>
      <c r="AV47" s="13">
        <f t="shared" si="8"/>
        <v>203.06182858392933</v>
      </c>
      <c r="AW47" s="13">
        <f t="shared" si="8"/>
        <v>203.06182858392933</v>
      </c>
      <c r="AX47" s="13">
        <f t="shared" si="8"/>
        <v>203.06182858392933</v>
      </c>
      <c r="AY47" s="13">
        <f t="shared" si="8"/>
        <v>203.06182858392933</v>
      </c>
      <c r="AZ47" s="13">
        <f t="shared" si="8"/>
        <v>203.06182858392933</v>
      </c>
      <c r="BA47" s="13">
        <f t="shared" si="8"/>
        <v>203.06182858392933</v>
      </c>
      <c r="BB47" s="13">
        <f t="shared" si="8"/>
        <v>203.06182858392933</v>
      </c>
      <c r="BC47" s="13">
        <f t="shared" si="8"/>
        <v>203.06182858392933</v>
      </c>
      <c r="BD47" s="13">
        <f t="shared" si="8"/>
        <v>203.06182858392933</v>
      </c>
      <c r="BE47" s="13">
        <f t="shared" si="8"/>
        <v>203.06182858392933</v>
      </c>
      <c r="BF47" s="13">
        <f t="shared" si="8"/>
        <v>203.06182858392933</v>
      </c>
      <c r="BG47" s="13">
        <f t="shared" si="8"/>
        <v>203.06182858392933</v>
      </c>
      <c r="BH47" s="13">
        <f t="shared" si="8"/>
        <v>203.06182858392933</v>
      </c>
      <c r="BI47" s="13">
        <f t="shared" si="8"/>
        <v>203.06182858392933</v>
      </c>
      <c r="BJ47" s="13">
        <f t="shared" si="8"/>
        <v>203.06182858392933</v>
      </c>
      <c r="BK47" s="13">
        <f t="shared" si="8"/>
        <v>203.06182858392933</v>
      </c>
      <c r="BL47" s="13">
        <f t="shared" si="8"/>
        <v>203.06182858392933</v>
      </c>
      <c r="BM47" s="13">
        <f t="shared" si="8"/>
        <v>203.06182858392933</v>
      </c>
      <c r="BN47" s="13">
        <f t="shared" si="8"/>
        <v>203.06182858392933</v>
      </c>
      <c r="BO47" s="13">
        <f t="shared" ref="BO47:CM47" si="15">BN47*(1+$N38)</f>
        <v>203.06182858392933</v>
      </c>
      <c r="BP47" s="13">
        <f t="shared" si="15"/>
        <v>203.06182858392933</v>
      </c>
      <c r="BQ47" s="13">
        <f t="shared" si="15"/>
        <v>203.06182858392933</v>
      </c>
      <c r="BR47" s="13">
        <f t="shared" si="15"/>
        <v>203.06182858392933</v>
      </c>
      <c r="BS47" s="13">
        <f t="shared" si="15"/>
        <v>203.06182858392933</v>
      </c>
      <c r="BT47" s="13">
        <f t="shared" si="15"/>
        <v>203.06182858392933</v>
      </c>
      <c r="BU47" s="13">
        <f t="shared" si="15"/>
        <v>203.06182858392933</v>
      </c>
      <c r="BV47" s="13">
        <f t="shared" si="15"/>
        <v>203.06182858392933</v>
      </c>
      <c r="BW47" s="13">
        <f t="shared" si="15"/>
        <v>203.06182858392933</v>
      </c>
      <c r="BX47" s="13">
        <f t="shared" si="15"/>
        <v>203.06182858392933</v>
      </c>
      <c r="BY47" s="13">
        <f t="shared" si="15"/>
        <v>203.06182858392933</v>
      </c>
      <c r="BZ47" s="13">
        <f t="shared" si="15"/>
        <v>203.06182858392933</v>
      </c>
      <c r="CA47" s="13">
        <f t="shared" si="15"/>
        <v>203.06182858392933</v>
      </c>
      <c r="CB47" s="13">
        <f t="shared" si="15"/>
        <v>203.06182858392933</v>
      </c>
      <c r="CC47" s="13">
        <f t="shared" si="15"/>
        <v>203.06182858392933</v>
      </c>
      <c r="CD47" s="13">
        <f t="shared" si="15"/>
        <v>203.06182858392933</v>
      </c>
      <c r="CE47" s="13">
        <f t="shared" si="15"/>
        <v>203.06182858392933</v>
      </c>
      <c r="CF47" s="13">
        <f t="shared" si="15"/>
        <v>203.06182858392933</v>
      </c>
      <c r="CG47" s="13">
        <f t="shared" si="15"/>
        <v>203.06182858392933</v>
      </c>
      <c r="CH47" s="13">
        <f t="shared" si="15"/>
        <v>203.06182858392933</v>
      </c>
      <c r="CI47" s="13">
        <f t="shared" si="15"/>
        <v>203.06182858392933</v>
      </c>
      <c r="CJ47" s="13">
        <f t="shared" si="15"/>
        <v>203.06182858392933</v>
      </c>
      <c r="CK47" s="13">
        <f t="shared" si="15"/>
        <v>203.06182858392933</v>
      </c>
      <c r="CL47" s="13">
        <f t="shared" si="15"/>
        <v>203.06182858392933</v>
      </c>
      <c r="CM47" s="13">
        <f t="shared" si="15"/>
        <v>203.06182858392933</v>
      </c>
    </row>
    <row r="48" spans="2:91">
      <c r="E48" s="41" t="s">
        <v>88</v>
      </c>
      <c r="F48" s="199">
        <f t="shared" si="9"/>
        <v>3</v>
      </c>
      <c r="G48" s="200">
        <f t="shared" si="9"/>
        <v>3.5</v>
      </c>
      <c r="H48" s="200">
        <f t="shared" si="9"/>
        <v>4</v>
      </c>
      <c r="I48" s="201">
        <f t="shared" si="9"/>
        <v>4.5</v>
      </c>
      <c r="J48" s="193">
        <f t="shared" si="10"/>
        <v>4.5</v>
      </c>
      <c r="K48" s="193">
        <f t="shared" si="10"/>
        <v>4.5</v>
      </c>
      <c r="L48" s="193">
        <f t="shared" si="10"/>
        <v>4.5</v>
      </c>
      <c r="M48" s="193">
        <f t="shared" si="10"/>
        <v>4.5</v>
      </c>
      <c r="N48" s="193">
        <f t="shared" si="10"/>
        <v>4.5</v>
      </c>
      <c r="O48" s="13">
        <f t="shared" si="10"/>
        <v>4.5</v>
      </c>
      <c r="P48" s="13">
        <f t="shared" si="10"/>
        <v>4.5</v>
      </c>
      <c r="Q48" s="13">
        <f t="shared" si="11"/>
        <v>4.5</v>
      </c>
      <c r="R48" s="13">
        <f t="shared" si="11"/>
        <v>4.5</v>
      </c>
      <c r="S48" s="13">
        <f t="shared" si="11"/>
        <v>4.5</v>
      </c>
      <c r="T48" s="13">
        <f t="shared" si="11"/>
        <v>4.5</v>
      </c>
      <c r="U48" s="13">
        <f t="shared" si="11"/>
        <v>4.5</v>
      </c>
      <c r="V48" s="13">
        <f t="shared" si="12"/>
        <v>4.5</v>
      </c>
      <c r="W48" s="13">
        <f t="shared" si="12"/>
        <v>4.5</v>
      </c>
      <c r="X48" s="13">
        <f t="shared" si="12"/>
        <v>4.5</v>
      </c>
      <c r="Y48" s="13">
        <f t="shared" si="12"/>
        <v>4.5</v>
      </c>
      <c r="Z48" s="13">
        <f t="shared" si="12"/>
        <v>4.5</v>
      </c>
      <c r="AA48" s="13">
        <f t="shared" si="13"/>
        <v>4.5</v>
      </c>
      <c r="AB48" s="13">
        <f t="shared" si="13"/>
        <v>4.5</v>
      </c>
      <c r="AC48" s="13">
        <f t="shared" si="13"/>
        <v>4.5</v>
      </c>
      <c r="AD48" s="13">
        <f t="shared" si="13"/>
        <v>4.5</v>
      </c>
      <c r="AE48" s="13">
        <f t="shared" si="13"/>
        <v>4.5</v>
      </c>
      <c r="AF48" s="13">
        <f t="shared" si="14"/>
        <v>4.5</v>
      </c>
      <c r="AG48" s="13">
        <f t="shared" si="14"/>
        <v>4.5</v>
      </c>
      <c r="AH48" s="13">
        <f t="shared" si="14"/>
        <v>4.5</v>
      </c>
      <c r="AI48" s="13">
        <f t="shared" si="14"/>
        <v>4.5</v>
      </c>
      <c r="AJ48" s="13">
        <f t="shared" si="14"/>
        <v>4.5</v>
      </c>
      <c r="AK48" s="13">
        <f t="shared" si="14"/>
        <v>4.5</v>
      </c>
      <c r="AL48" s="13">
        <f t="shared" si="14"/>
        <v>4.5</v>
      </c>
      <c r="AM48" s="13">
        <f t="shared" si="14"/>
        <v>4.5</v>
      </c>
      <c r="AN48" s="13">
        <f t="shared" si="14"/>
        <v>4.5</v>
      </c>
      <c r="AO48" s="13">
        <f t="shared" si="14"/>
        <v>4.5</v>
      </c>
      <c r="AP48" s="13">
        <f t="shared" si="14"/>
        <v>4.5</v>
      </c>
      <c r="AQ48" s="13">
        <f t="shared" si="14"/>
        <v>4.5</v>
      </c>
      <c r="AR48" s="13">
        <f t="shared" si="14"/>
        <v>4.5</v>
      </c>
      <c r="AS48" s="13">
        <f t="shared" si="14"/>
        <v>4.5</v>
      </c>
      <c r="AT48" s="13">
        <f t="shared" si="14"/>
        <v>4.5</v>
      </c>
      <c r="AU48" s="13">
        <f t="shared" si="14"/>
        <v>4.5</v>
      </c>
      <c r="AV48" s="13">
        <f t="shared" ref="AV48:CM49" si="16">AU48*(1+$N39)</f>
        <v>4.5</v>
      </c>
      <c r="AW48" s="13">
        <f t="shared" si="16"/>
        <v>4.5</v>
      </c>
      <c r="AX48" s="13">
        <f t="shared" si="16"/>
        <v>4.5</v>
      </c>
      <c r="AY48" s="13">
        <f t="shared" si="16"/>
        <v>4.5</v>
      </c>
      <c r="AZ48" s="13">
        <f t="shared" si="16"/>
        <v>4.5</v>
      </c>
      <c r="BA48" s="13">
        <f t="shared" si="16"/>
        <v>4.5</v>
      </c>
      <c r="BB48" s="13">
        <f t="shared" si="16"/>
        <v>4.5</v>
      </c>
      <c r="BC48" s="13">
        <f t="shared" si="16"/>
        <v>4.5</v>
      </c>
      <c r="BD48" s="13">
        <f t="shared" si="16"/>
        <v>4.5</v>
      </c>
      <c r="BE48" s="13">
        <f t="shared" si="16"/>
        <v>4.5</v>
      </c>
      <c r="BF48" s="13">
        <f t="shared" si="16"/>
        <v>4.5</v>
      </c>
      <c r="BG48" s="13">
        <f t="shared" si="16"/>
        <v>4.5</v>
      </c>
      <c r="BH48" s="13">
        <f t="shared" si="16"/>
        <v>4.5</v>
      </c>
      <c r="BI48" s="13">
        <f t="shared" si="16"/>
        <v>4.5</v>
      </c>
      <c r="BJ48" s="13">
        <f t="shared" si="16"/>
        <v>4.5</v>
      </c>
      <c r="BK48" s="13">
        <f t="shared" si="16"/>
        <v>4.5</v>
      </c>
      <c r="BL48" s="13">
        <f t="shared" si="16"/>
        <v>4.5</v>
      </c>
      <c r="BM48" s="13">
        <f t="shared" si="16"/>
        <v>4.5</v>
      </c>
      <c r="BN48" s="13">
        <f t="shared" si="16"/>
        <v>4.5</v>
      </c>
      <c r="BO48" s="13">
        <f t="shared" si="16"/>
        <v>4.5</v>
      </c>
      <c r="BP48" s="13">
        <f t="shared" si="16"/>
        <v>4.5</v>
      </c>
      <c r="BQ48" s="13">
        <f t="shared" si="16"/>
        <v>4.5</v>
      </c>
      <c r="BR48" s="13">
        <f t="shared" si="16"/>
        <v>4.5</v>
      </c>
      <c r="BS48" s="13">
        <f t="shared" si="16"/>
        <v>4.5</v>
      </c>
      <c r="BT48" s="13">
        <f t="shared" si="16"/>
        <v>4.5</v>
      </c>
      <c r="BU48" s="13">
        <f t="shared" si="16"/>
        <v>4.5</v>
      </c>
      <c r="BV48" s="13">
        <f t="shared" si="16"/>
        <v>4.5</v>
      </c>
      <c r="BW48" s="13">
        <f t="shared" si="16"/>
        <v>4.5</v>
      </c>
      <c r="BX48" s="13">
        <f t="shared" si="16"/>
        <v>4.5</v>
      </c>
      <c r="BY48" s="13">
        <f t="shared" si="16"/>
        <v>4.5</v>
      </c>
      <c r="BZ48" s="13">
        <f t="shared" si="16"/>
        <v>4.5</v>
      </c>
      <c r="CA48" s="13">
        <f t="shared" si="16"/>
        <v>4.5</v>
      </c>
      <c r="CB48" s="13">
        <f t="shared" si="16"/>
        <v>4.5</v>
      </c>
      <c r="CC48" s="13">
        <f t="shared" si="16"/>
        <v>4.5</v>
      </c>
      <c r="CD48" s="13">
        <f t="shared" si="16"/>
        <v>4.5</v>
      </c>
      <c r="CE48" s="13">
        <f t="shared" si="16"/>
        <v>4.5</v>
      </c>
      <c r="CF48" s="13">
        <f t="shared" si="16"/>
        <v>4.5</v>
      </c>
      <c r="CG48" s="13">
        <f t="shared" si="16"/>
        <v>4.5</v>
      </c>
      <c r="CH48" s="13">
        <f t="shared" si="16"/>
        <v>4.5</v>
      </c>
      <c r="CI48" s="13">
        <f t="shared" si="16"/>
        <v>4.5</v>
      </c>
      <c r="CJ48" s="13">
        <f t="shared" si="16"/>
        <v>4.5</v>
      </c>
      <c r="CK48" s="13">
        <f t="shared" si="16"/>
        <v>4.5</v>
      </c>
      <c r="CL48" s="13">
        <f t="shared" si="16"/>
        <v>4.5</v>
      </c>
      <c r="CM48" s="13">
        <f t="shared" si="16"/>
        <v>4.5</v>
      </c>
    </row>
    <row r="49" spans="2:91">
      <c r="E49" s="41" t="s">
        <v>89</v>
      </c>
      <c r="F49" s="264">
        <f t="shared" si="9"/>
        <v>3</v>
      </c>
      <c r="G49" s="265">
        <f t="shared" si="9"/>
        <v>3.5</v>
      </c>
      <c r="H49" s="265">
        <f t="shared" si="9"/>
        <v>4</v>
      </c>
      <c r="I49" s="266">
        <f t="shared" si="9"/>
        <v>4.5</v>
      </c>
      <c r="J49" s="193">
        <f t="shared" si="10"/>
        <v>4.5</v>
      </c>
      <c r="K49" s="193">
        <f t="shared" si="10"/>
        <v>4.5</v>
      </c>
      <c r="L49" s="193">
        <f t="shared" si="10"/>
        <v>4.5</v>
      </c>
      <c r="M49" s="193">
        <f t="shared" si="10"/>
        <v>4.5</v>
      </c>
      <c r="N49" s="193">
        <f t="shared" si="10"/>
        <v>4.5</v>
      </c>
      <c r="O49" s="13">
        <f t="shared" si="10"/>
        <v>4.5</v>
      </c>
      <c r="P49" s="13">
        <f t="shared" si="10"/>
        <v>4.5</v>
      </c>
      <c r="Q49" s="13">
        <f t="shared" si="11"/>
        <v>4.5</v>
      </c>
      <c r="R49" s="13">
        <f t="shared" si="11"/>
        <v>4.5</v>
      </c>
      <c r="S49" s="13">
        <f t="shared" si="11"/>
        <v>4.5</v>
      </c>
      <c r="T49" s="13">
        <f t="shared" si="11"/>
        <v>4.5</v>
      </c>
      <c r="U49" s="13">
        <f t="shared" si="11"/>
        <v>4.5</v>
      </c>
      <c r="V49" s="13">
        <f t="shared" si="12"/>
        <v>4.5</v>
      </c>
      <c r="W49" s="13">
        <f t="shared" si="12"/>
        <v>4.5</v>
      </c>
      <c r="X49" s="13">
        <f t="shared" si="12"/>
        <v>4.5</v>
      </c>
      <c r="Y49" s="13">
        <f t="shared" si="12"/>
        <v>4.5</v>
      </c>
      <c r="Z49" s="13">
        <f t="shared" si="12"/>
        <v>4.5</v>
      </c>
      <c r="AA49" s="13">
        <f t="shared" si="13"/>
        <v>4.5</v>
      </c>
      <c r="AB49" s="13">
        <f t="shared" si="13"/>
        <v>4.5</v>
      </c>
      <c r="AC49" s="13">
        <f t="shared" si="13"/>
        <v>4.5</v>
      </c>
      <c r="AD49" s="13">
        <f t="shared" si="13"/>
        <v>4.5</v>
      </c>
      <c r="AE49" s="13">
        <f t="shared" si="13"/>
        <v>4.5</v>
      </c>
      <c r="AF49" s="13">
        <f t="shared" si="14"/>
        <v>4.5</v>
      </c>
      <c r="AG49" s="13">
        <f t="shared" si="14"/>
        <v>4.5</v>
      </c>
      <c r="AH49" s="13">
        <f t="shared" si="14"/>
        <v>4.5</v>
      </c>
      <c r="AI49" s="13">
        <f t="shared" si="14"/>
        <v>4.5</v>
      </c>
      <c r="AJ49" s="13">
        <f t="shared" si="14"/>
        <v>4.5</v>
      </c>
      <c r="AK49" s="13">
        <f t="shared" si="14"/>
        <v>4.5</v>
      </c>
      <c r="AL49" s="13">
        <f t="shared" si="14"/>
        <v>4.5</v>
      </c>
      <c r="AM49" s="13">
        <f t="shared" si="14"/>
        <v>4.5</v>
      </c>
      <c r="AN49" s="13">
        <f t="shared" si="14"/>
        <v>4.5</v>
      </c>
      <c r="AO49" s="13">
        <f t="shared" si="14"/>
        <v>4.5</v>
      </c>
      <c r="AP49" s="13">
        <f t="shared" si="14"/>
        <v>4.5</v>
      </c>
      <c r="AQ49" s="13">
        <f t="shared" si="14"/>
        <v>4.5</v>
      </c>
      <c r="AR49" s="13">
        <f t="shared" si="14"/>
        <v>4.5</v>
      </c>
      <c r="AS49" s="13">
        <f t="shared" si="14"/>
        <v>4.5</v>
      </c>
      <c r="AT49" s="13">
        <f t="shared" si="14"/>
        <v>4.5</v>
      </c>
      <c r="AU49" s="13">
        <f t="shared" si="14"/>
        <v>4.5</v>
      </c>
      <c r="AV49" s="13">
        <f t="shared" si="16"/>
        <v>4.5</v>
      </c>
      <c r="AW49" s="13">
        <f t="shared" si="16"/>
        <v>4.5</v>
      </c>
      <c r="AX49" s="13">
        <f t="shared" si="16"/>
        <v>4.5</v>
      </c>
      <c r="AY49" s="13">
        <f t="shared" si="16"/>
        <v>4.5</v>
      </c>
      <c r="AZ49" s="13">
        <f t="shared" si="16"/>
        <v>4.5</v>
      </c>
      <c r="BA49" s="13">
        <f t="shared" si="16"/>
        <v>4.5</v>
      </c>
      <c r="BB49" s="13">
        <f t="shared" si="16"/>
        <v>4.5</v>
      </c>
      <c r="BC49" s="13">
        <f t="shared" si="16"/>
        <v>4.5</v>
      </c>
      <c r="BD49" s="13">
        <f t="shared" si="16"/>
        <v>4.5</v>
      </c>
      <c r="BE49" s="13">
        <f t="shared" si="16"/>
        <v>4.5</v>
      </c>
      <c r="BF49" s="13">
        <f t="shared" si="16"/>
        <v>4.5</v>
      </c>
      <c r="BG49" s="13">
        <f t="shared" si="16"/>
        <v>4.5</v>
      </c>
      <c r="BH49" s="13">
        <f t="shared" si="16"/>
        <v>4.5</v>
      </c>
      <c r="BI49" s="13">
        <f t="shared" si="16"/>
        <v>4.5</v>
      </c>
      <c r="BJ49" s="13">
        <f t="shared" si="16"/>
        <v>4.5</v>
      </c>
      <c r="BK49" s="13">
        <f t="shared" si="16"/>
        <v>4.5</v>
      </c>
      <c r="BL49" s="13">
        <f t="shared" si="16"/>
        <v>4.5</v>
      </c>
      <c r="BM49" s="13">
        <f t="shared" si="16"/>
        <v>4.5</v>
      </c>
      <c r="BN49" s="13">
        <f t="shared" si="16"/>
        <v>4.5</v>
      </c>
      <c r="BO49" s="13">
        <f t="shared" si="16"/>
        <v>4.5</v>
      </c>
      <c r="BP49" s="13">
        <f t="shared" si="16"/>
        <v>4.5</v>
      </c>
      <c r="BQ49" s="13">
        <f t="shared" si="16"/>
        <v>4.5</v>
      </c>
      <c r="BR49" s="13">
        <f t="shared" si="16"/>
        <v>4.5</v>
      </c>
      <c r="BS49" s="13">
        <f t="shared" si="16"/>
        <v>4.5</v>
      </c>
      <c r="BT49" s="13">
        <f t="shared" si="16"/>
        <v>4.5</v>
      </c>
      <c r="BU49" s="13">
        <f t="shared" si="16"/>
        <v>4.5</v>
      </c>
      <c r="BV49" s="13">
        <f t="shared" si="16"/>
        <v>4.5</v>
      </c>
      <c r="BW49" s="13">
        <f t="shared" si="16"/>
        <v>4.5</v>
      </c>
      <c r="BX49" s="13">
        <f t="shared" si="16"/>
        <v>4.5</v>
      </c>
      <c r="BY49" s="13">
        <f t="shared" si="16"/>
        <v>4.5</v>
      </c>
      <c r="BZ49" s="13">
        <f t="shared" si="16"/>
        <v>4.5</v>
      </c>
      <c r="CA49" s="13">
        <f t="shared" si="16"/>
        <v>4.5</v>
      </c>
      <c r="CB49" s="13">
        <f t="shared" si="16"/>
        <v>4.5</v>
      </c>
      <c r="CC49" s="13">
        <f t="shared" si="16"/>
        <v>4.5</v>
      </c>
      <c r="CD49" s="13">
        <f t="shared" si="16"/>
        <v>4.5</v>
      </c>
      <c r="CE49" s="13">
        <f t="shared" si="16"/>
        <v>4.5</v>
      </c>
      <c r="CF49" s="13">
        <f t="shared" si="16"/>
        <v>4.5</v>
      </c>
      <c r="CG49" s="13">
        <f t="shared" si="16"/>
        <v>4.5</v>
      </c>
      <c r="CH49" s="13">
        <f t="shared" si="16"/>
        <v>4.5</v>
      </c>
      <c r="CI49" s="13">
        <f t="shared" si="16"/>
        <v>4.5</v>
      </c>
      <c r="CJ49" s="13">
        <f t="shared" si="16"/>
        <v>4.5</v>
      </c>
      <c r="CK49" s="13">
        <f t="shared" si="16"/>
        <v>4.5</v>
      </c>
      <c r="CL49" s="13">
        <f t="shared" si="16"/>
        <v>4.5</v>
      </c>
      <c r="CM49" s="13">
        <f t="shared" si="16"/>
        <v>4.5</v>
      </c>
    </row>
    <row r="51" spans="2:91">
      <c r="B51" t="s">
        <v>585</v>
      </c>
    </row>
    <row r="52" spans="2:91" ht="15">
      <c r="F52" s="17">
        <v>2005</v>
      </c>
      <c r="G52" s="17">
        <v>2006</v>
      </c>
      <c r="H52" s="17">
        <v>2007</v>
      </c>
      <c r="I52" s="17">
        <v>2008</v>
      </c>
      <c r="J52" s="17">
        <v>2009</v>
      </c>
      <c r="K52" s="17">
        <v>2010</v>
      </c>
      <c r="L52" s="17">
        <v>2011</v>
      </c>
      <c r="M52" s="17">
        <v>2012</v>
      </c>
      <c r="N52" s="17">
        <v>2013</v>
      </c>
      <c r="O52" s="17">
        <v>2014</v>
      </c>
      <c r="P52" s="17">
        <v>2015</v>
      </c>
      <c r="Q52" s="17">
        <v>2016</v>
      </c>
      <c r="R52" s="17">
        <v>2017</v>
      </c>
      <c r="S52" s="17">
        <v>2018</v>
      </c>
      <c r="T52" s="17">
        <v>2019</v>
      </c>
      <c r="U52" s="17">
        <v>2020</v>
      </c>
      <c r="V52" s="17">
        <v>2021</v>
      </c>
      <c r="W52" s="17">
        <v>2022</v>
      </c>
      <c r="X52" s="17">
        <v>2023</v>
      </c>
      <c r="Y52" s="17">
        <v>2024</v>
      </c>
      <c r="Z52" s="17">
        <v>2025</v>
      </c>
      <c r="AA52" s="17">
        <v>2026</v>
      </c>
      <c r="AB52" s="17">
        <v>2027</v>
      </c>
      <c r="AC52" s="17">
        <v>2028</v>
      </c>
      <c r="AD52" s="17">
        <v>2029</v>
      </c>
      <c r="AE52" s="17">
        <v>2030</v>
      </c>
      <c r="AF52" s="17">
        <v>2031</v>
      </c>
      <c r="AG52" s="17">
        <v>2032</v>
      </c>
      <c r="AH52" s="17">
        <v>2033</v>
      </c>
      <c r="AI52" s="17">
        <v>2034</v>
      </c>
      <c r="AJ52" s="17">
        <v>2035</v>
      </c>
      <c r="AK52" s="17">
        <v>2036</v>
      </c>
      <c r="AL52" s="17">
        <v>2037</v>
      </c>
      <c r="AM52" s="17">
        <v>2038</v>
      </c>
      <c r="AN52" s="17">
        <v>2039</v>
      </c>
      <c r="AO52" s="17">
        <v>2040</v>
      </c>
      <c r="AP52" s="17">
        <v>2041</v>
      </c>
      <c r="AQ52" s="17">
        <v>2042</v>
      </c>
      <c r="AR52" s="17">
        <v>2043</v>
      </c>
      <c r="AS52" s="17">
        <v>2044</v>
      </c>
      <c r="AT52" s="17">
        <v>2045</v>
      </c>
      <c r="AU52" s="17">
        <v>2046</v>
      </c>
      <c r="AV52" s="17">
        <v>2047</v>
      </c>
      <c r="AW52" s="17">
        <v>2048</v>
      </c>
      <c r="AX52" s="17">
        <v>2049</v>
      </c>
      <c r="AY52" s="17">
        <v>2050</v>
      </c>
      <c r="AZ52" s="17">
        <v>2051</v>
      </c>
      <c r="BA52" s="17">
        <v>2052</v>
      </c>
      <c r="BB52" s="17">
        <v>2053</v>
      </c>
      <c r="BC52" s="17">
        <v>2054</v>
      </c>
      <c r="BD52" s="17">
        <v>2055</v>
      </c>
      <c r="BE52" s="17">
        <v>2056</v>
      </c>
      <c r="BF52" s="17">
        <v>2057</v>
      </c>
      <c r="BG52" s="17">
        <v>2058</v>
      </c>
      <c r="BH52" s="17">
        <v>2059</v>
      </c>
      <c r="BI52" s="17">
        <v>2060</v>
      </c>
      <c r="BJ52" s="17">
        <v>2061</v>
      </c>
      <c r="BK52" s="17">
        <v>2062</v>
      </c>
      <c r="BL52" s="17">
        <v>2063</v>
      </c>
      <c r="BM52" s="17">
        <v>2064</v>
      </c>
      <c r="BN52" s="17">
        <v>2065</v>
      </c>
      <c r="BO52" s="17">
        <v>2066</v>
      </c>
      <c r="BP52" s="17">
        <v>2067</v>
      </c>
      <c r="BQ52" s="17">
        <v>2068</v>
      </c>
      <c r="BR52" s="17">
        <v>2069</v>
      </c>
      <c r="BS52" s="17">
        <v>2070</v>
      </c>
      <c r="BT52" s="17">
        <v>2071</v>
      </c>
      <c r="BU52" s="17">
        <v>2072</v>
      </c>
      <c r="BV52" s="17">
        <v>2073</v>
      </c>
      <c r="BW52" s="17">
        <v>2074</v>
      </c>
      <c r="BX52" s="17">
        <v>2075</v>
      </c>
      <c r="BY52" s="17">
        <v>2076</v>
      </c>
      <c r="BZ52" s="17">
        <v>2077</v>
      </c>
      <c r="CA52" s="17">
        <v>2078</v>
      </c>
      <c r="CB52" s="17">
        <v>2079</v>
      </c>
      <c r="CC52" s="17">
        <v>2080</v>
      </c>
      <c r="CD52" s="17">
        <v>2081</v>
      </c>
      <c r="CE52" s="17">
        <v>2082</v>
      </c>
      <c r="CF52" s="17">
        <v>2083</v>
      </c>
      <c r="CG52" s="17">
        <v>2084</v>
      </c>
      <c r="CH52" s="17">
        <v>2085</v>
      </c>
      <c r="CI52" s="17">
        <v>2086</v>
      </c>
      <c r="CJ52" s="17">
        <v>2087</v>
      </c>
      <c r="CK52" s="17">
        <v>2088</v>
      </c>
      <c r="CL52" s="17">
        <v>2089</v>
      </c>
      <c r="CM52" s="17">
        <v>2090</v>
      </c>
    </row>
    <row r="53" spans="2:91">
      <c r="E53" s="41" t="s">
        <v>84</v>
      </c>
      <c r="F53" s="252">
        <v>4.0147432024169181</v>
      </c>
      <c r="G53" s="253">
        <v>4.7647432024169181</v>
      </c>
      <c r="H53" s="253">
        <v>5.5147432024169181</v>
      </c>
      <c r="I53" s="254">
        <v>5.85</v>
      </c>
      <c r="J53" s="13">
        <v>1</v>
      </c>
      <c r="K53" s="13">
        <v>5.8834285714285715</v>
      </c>
      <c r="L53" s="13">
        <v>5.9168571428571424</v>
      </c>
      <c r="M53" s="13">
        <v>5.9502857142857142</v>
      </c>
      <c r="N53" s="13">
        <v>5.9837142857142851</v>
      </c>
      <c r="O53" s="13">
        <v>6.0171428571428569</v>
      </c>
      <c r="P53" s="13">
        <v>6.0505714285714278</v>
      </c>
      <c r="Q53" s="13">
        <v>6.0839999999999996</v>
      </c>
      <c r="R53" s="13">
        <v>6.1174285714285705</v>
      </c>
      <c r="S53" s="13">
        <v>6.1508571428571424</v>
      </c>
      <c r="T53" s="13">
        <v>6.1842857142857142</v>
      </c>
      <c r="U53" s="13">
        <v>6.2177142857142851</v>
      </c>
      <c r="V53" s="13">
        <v>6.2511428571428569</v>
      </c>
      <c r="W53" s="13">
        <v>6.2845714285714278</v>
      </c>
      <c r="X53" s="13">
        <v>6.3179999999999996</v>
      </c>
      <c r="Y53" s="13">
        <v>6.3514285714285705</v>
      </c>
      <c r="Z53" s="13">
        <v>6.3848571428571423</v>
      </c>
      <c r="AA53" s="13">
        <v>6.4182857142857141</v>
      </c>
      <c r="AB53" s="13">
        <v>6.4517142857142851</v>
      </c>
      <c r="AC53" s="13">
        <v>6.4851428571428569</v>
      </c>
      <c r="AD53" s="13">
        <v>6.5185714285714287</v>
      </c>
      <c r="AE53" s="13">
        <v>6.5519999999999996</v>
      </c>
      <c r="AF53" s="13">
        <v>6.5519999999999996</v>
      </c>
      <c r="AG53" s="13">
        <v>6.5519999999999996</v>
      </c>
      <c r="AH53" s="13">
        <v>6.5519999999999996</v>
      </c>
      <c r="AI53" s="13">
        <v>6.5519999999999996</v>
      </c>
      <c r="AJ53" s="13">
        <v>6.5519999999999996</v>
      </c>
      <c r="AK53" s="13">
        <v>6.5519999999999996</v>
      </c>
      <c r="AL53" s="13">
        <v>6.5519999999999996</v>
      </c>
      <c r="AM53" s="13">
        <v>6.5519999999999996</v>
      </c>
      <c r="AN53" s="13">
        <v>6.5519999999999996</v>
      </c>
      <c r="AO53" s="13">
        <v>6.5519999999999996</v>
      </c>
      <c r="AP53" s="13">
        <v>6.5519999999999996</v>
      </c>
      <c r="AQ53" s="13">
        <v>6.5519999999999996</v>
      </c>
      <c r="AR53" s="13">
        <v>6.5519999999999996</v>
      </c>
      <c r="AS53" s="13">
        <v>6.5519999999999996</v>
      </c>
      <c r="AT53" s="13">
        <v>6.5519999999999996</v>
      </c>
      <c r="AU53" s="13">
        <v>6.5519999999999996</v>
      </c>
      <c r="AV53" s="13">
        <v>6.5519999999999996</v>
      </c>
      <c r="AW53" s="13">
        <v>6.5519999999999996</v>
      </c>
      <c r="AX53" s="13">
        <v>6.5519999999999996</v>
      </c>
      <c r="AY53" s="13">
        <v>6.5519999999999996</v>
      </c>
      <c r="AZ53" s="13">
        <v>6.5519999999999996</v>
      </c>
      <c r="BA53" s="13">
        <v>6.5519999999999996</v>
      </c>
      <c r="BB53" s="13">
        <v>6.5519999999999996</v>
      </c>
      <c r="BC53" s="13">
        <v>6.5519999999999996</v>
      </c>
      <c r="BD53" s="13">
        <v>6.5519999999999996</v>
      </c>
      <c r="BE53" s="13">
        <v>6.5519999999999996</v>
      </c>
      <c r="BF53" s="13">
        <v>6.5519999999999996</v>
      </c>
      <c r="BG53" s="13">
        <v>6.5519999999999996</v>
      </c>
      <c r="BH53" s="13">
        <v>6.5519999999999996</v>
      </c>
      <c r="BI53" s="13">
        <v>6.5519999999999996</v>
      </c>
      <c r="BJ53" s="13">
        <v>6.5519999999999996</v>
      </c>
      <c r="BK53" s="13">
        <v>6.5519999999999996</v>
      </c>
      <c r="BL53" s="13">
        <v>6.5519999999999996</v>
      </c>
      <c r="BM53" s="13">
        <v>6.5519999999999996</v>
      </c>
      <c r="BN53" s="13">
        <v>6.5519999999999996</v>
      </c>
      <c r="BO53" s="13">
        <v>6.5519999999999996</v>
      </c>
      <c r="BP53" s="13">
        <v>6.5519999999999996</v>
      </c>
      <c r="BQ53" s="13">
        <v>6.5519999999999996</v>
      </c>
      <c r="BR53" s="13">
        <v>6.5519999999999996</v>
      </c>
      <c r="BS53" s="13">
        <v>6.5519999999999996</v>
      </c>
      <c r="BT53" s="13">
        <v>6.5519999999999996</v>
      </c>
      <c r="BU53" s="13">
        <v>6.5519999999999996</v>
      </c>
      <c r="BV53" s="13">
        <v>6.5519999999999996</v>
      </c>
      <c r="BW53" s="13">
        <v>6.5519999999999996</v>
      </c>
      <c r="BX53" s="13">
        <v>6.5519999999999996</v>
      </c>
      <c r="BY53" s="13">
        <v>6.5519999999999996</v>
      </c>
      <c r="BZ53" s="13">
        <v>6.5519999999999996</v>
      </c>
      <c r="CA53" s="13">
        <v>6.5519999999999996</v>
      </c>
      <c r="CB53" s="13">
        <v>6.5519999999999996</v>
      </c>
      <c r="CC53" s="13">
        <v>6.5519999999999996</v>
      </c>
      <c r="CD53" s="13">
        <v>6.5519999999999996</v>
      </c>
      <c r="CE53" s="13">
        <v>6.5519999999999996</v>
      </c>
      <c r="CF53" s="13">
        <v>6.5519999999999996</v>
      </c>
      <c r="CG53" s="13">
        <v>6.5519999999999996</v>
      </c>
      <c r="CH53" s="13">
        <v>6.5519999999999996</v>
      </c>
      <c r="CI53" s="13">
        <v>6.5519999999999996</v>
      </c>
      <c r="CJ53" s="13">
        <v>6.5519999999999996</v>
      </c>
      <c r="CK53" s="13">
        <v>6.5519999999999996</v>
      </c>
      <c r="CL53" s="13">
        <v>6.5519999999999996</v>
      </c>
      <c r="CM53" s="13">
        <v>6.5519999999999996</v>
      </c>
    </row>
    <row r="54" spans="2:91">
      <c r="E54" s="41" t="s">
        <v>85</v>
      </c>
      <c r="F54" s="255">
        <v>5.066223564954683</v>
      </c>
      <c r="G54" s="256">
        <v>5.816223564954683</v>
      </c>
      <c r="H54" s="256">
        <v>6.566223564954683</v>
      </c>
      <c r="I54" s="257">
        <v>7.3485714285714296</v>
      </c>
      <c r="J54" s="13">
        <v>1</v>
      </c>
      <c r="K54" s="13">
        <v>7.390563265306124</v>
      </c>
      <c r="L54" s="13">
        <v>7.4325551020408174</v>
      </c>
      <c r="M54" s="13">
        <v>7.4745469387755117</v>
      </c>
      <c r="N54" s="13">
        <v>7.5165387755102051</v>
      </c>
      <c r="O54" s="13">
        <v>7.5585306122448994</v>
      </c>
      <c r="P54" s="13">
        <v>7.6005224489795928</v>
      </c>
      <c r="Q54" s="13">
        <v>7.6425142857142871</v>
      </c>
      <c r="R54" s="13">
        <v>7.6845061224489806</v>
      </c>
      <c r="S54" s="13">
        <v>7.7264979591836749</v>
      </c>
      <c r="T54" s="13">
        <v>7.7684897959183683</v>
      </c>
      <c r="U54" s="13">
        <v>7.8104816326530626</v>
      </c>
      <c r="V54" s="13">
        <v>7.852473469387756</v>
      </c>
      <c r="W54" s="13">
        <v>7.8944653061224503</v>
      </c>
      <c r="X54" s="13">
        <v>7.9364571428571438</v>
      </c>
      <c r="Y54" s="13">
        <v>7.9784489795918381</v>
      </c>
      <c r="Z54" s="13">
        <v>8.0204408163265324</v>
      </c>
      <c r="AA54" s="13">
        <v>8.0624326530612258</v>
      </c>
      <c r="AB54" s="13">
        <v>8.1044244897959192</v>
      </c>
      <c r="AC54" s="13">
        <v>8.1464163265306127</v>
      </c>
      <c r="AD54" s="13">
        <v>8.1884081632653078</v>
      </c>
      <c r="AE54" s="13">
        <v>8.2304000000000013</v>
      </c>
      <c r="AF54" s="13">
        <v>8.2304000000000013</v>
      </c>
      <c r="AG54" s="13">
        <v>8.2304000000000013</v>
      </c>
      <c r="AH54" s="13">
        <v>8.2304000000000013</v>
      </c>
      <c r="AI54" s="13">
        <v>8.2304000000000013</v>
      </c>
      <c r="AJ54" s="13">
        <v>8.2304000000000013</v>
      </c>
      <c r="AK54" s="13">
        <v>8.2304000000000013</v>
      </c>
      <c r="AL54" s="13">
        <v>8.2304000000000013</v>
      </c>
      <c r="AM54" s="13">
        <v>8.2304000000000013</v>
      </c>
      <c r="AN54" s="13">
        <v>8.2304000000000013</v>
      </c>
      <c r="AO54" s="13">
        <v>8.2304000000000013</v>
      </c>
      <c r="AP54" s="13">
        <v>8.2304000000000013</v>
      </c>
      <c r="AQ54" s="13">
        <v>8.2304000000000013</v>
      </c>
      <c r="AR54" s="13">
        <v>8.2304000000000013</v>
      </c>
      <c r="AS54" s="13">
        <v>8.2304000000000013</v>
      </c>
      <c r="AT54" s="13">
        <v>8.2304000000000013</v>
      </c>
      <c r="AU54" s="13">
        <v>8.2304000000000013</v>
      </c>
      <c r="AV54" s="13">
        <v>8.2304000000000013</v>
      </c>
      <c r="AW54" s="13">
        <v>8.2304000000000013</v>
      </c>
      <c r="AX54" s="13">
        <v>8.2304000000000013</v>
      </c>
      <c r="AY54" s="13">
        <v>8.2304000000000013</v>
      </c>
      <c r="AZ54" s="13">
        <v>8.2304000000000013</v>
      </c>
      <c r="BA54" s="13">
        <v>8.2304000000000013</v>
      </c>
      <c r="BB54" s="13">
        <v>8.2304000000000013</v>
      </c>
      <c r="BC54" s="13">
        <v>8.2304000000000013</v>
      </c>
      <c r="BD54" s="13">
        <v>8.2304000000000013</v>
      </c>
      <c r="BE54" s="13">
        <v>8.2304000000000013</v>
      </c>
      <c r="BF54" s="13">
        <v>8.2304000000000013</v>
      </c>
      <c r="BG54" s="13">
        <v>8.2304000000000013</v>
      </c>
      <c r="BH54" s="13">
        <v>8.2304000000000013</v>
      </c>
      <c r="BI54" s="13">
        <v>8.2304000000000013</v>
      </c>
      <c r="BJ54" s="13">
        <v>8.2304000000000013</v>
      </c>
      <c r="BK54" s="13">
        <v>8.2304000000000013</v>
      </c>
      <c r="BL54" s="13">
        <v>8.2304000000000013</v>
      </c>
      <c r="BM54" s="13">
        <v>8.2304000000000013</v>
      </c>
      <c r="BN54" s="13">
        <v>8.2304000000000013</v>
      </c>
      <c r="BO54" s="13">
        <v>8.2304000000000013</v>
      </c>
      <c r="BP54" s="13">
        <v>8.2304000000000013</v>
      </c>
      <c r="BQ54" s="13">
        <v>8.2304000000000013</v>
      </c>
      <c r="BR54" s="13">
        <v>8.2304000000000013</v>
      </c>
      <c r="BS54" s="13">
        <v>8.2304000000000013</v>
      </c>
      <c r="BT54" s="13">
        <v>8.2304000000000013</v>
      </c>
      <c r="BU54" s="13">
        <v>8.2304000000000013</v>
      </c>
      <c r="BV54" s="13">
        <v>8.2304000000000013</v>
      </c>
      <c r="BW54" s="13">
        <v>8.2304000000000013</v>
      </c>
      <c r="BX54" s="13">
        <v>8.2304000000000013</v>
      </c>
      <c r="BY54" s="13">
        <v>8.2304000000000013</v>
      </c>
      <c r="BZ54" s="13">
        <v>8.2304000000000013</v>
      </c>
      <c r="CA54" s="13">
        <v>8.2304000000000013</v>
      </c>
      <c r="CB54" s="13">
        <v>8.2304000000000013</v>
      </c>
      <c r="CC54" s="13">
        <v>8.2304000000000013</v>
      </c>
      <c r="CD54" s="13">
        <v>8.2304000000000013</v>
      </c>
      <c r="CE54" s="13">
        <v>8.2304000000000013</v>
      </c>
      <c r="CF54" s="13">
        <v>8.2304000000000013</v>
      </c>
      <c r="CG54" s="13">
        <v>8.2304000000000013</v>
      </c>
      <c r="CH54" s="13">
        <v>8.2304000000000013</v>
      </c>
      <c r="CI54" s="13">
        <v>8.2304000000000013</v>
      </c>
      <c r="CJ54" s="13">
        <v>8.2304000000000013</v>
      </c>
      <c r="CK54" s="13">
        <v>8.2304000000000013</v>
      </c>
      <c r="CL54" s="13">
        <v>8.2304000000000013</v>
      </c>
      <c r="CM54" s="13">
        <v>8.2304000000000013</v>
      </c>
    </row>
    <row r="55" spans="2:91">
      <c r="E55" s="41" t="s">
        <v>86</v>
      </c>
      <c r="F55" s="255">
        <v>31.739745403111744</v>
      </c>
      <c r="G55" s="256">
        <v>36.35643564356436</v>
      </c>
      <c r="H55" s="256">
        <v>38.664780763790667</v>
      </c>
      <c r="I55" s="257">
        <v>58.285714285714292</v>
      </c>
      <c r="J55" s="13">
        <v>1</v>
      </c>
      <c r="K55" s="13">
        <v>42.70438472418671</v>
      </c>
      <c r="L55" s="13">
        <v>45.012729844413016</v>
      </c>
      <c r="M55" s="13">
        <v>47.321074964639323</v>
      </c>
      <c r="N55" s="13">
        <v>49.629420084865636</v>
      </c>
      <c r="O55" s="13">
        <v>51.937765205091942</v>
      </c>
      <c r="P55" s="13">
        <v>54.246110325318249</v>
      </c>
      <c r="Q55" s="13">
        <v>56.554455445544562</v>
      </c>
      <c r="R55" s="13">
        <v>58.862800565770868</v>
      </c>
      <c r="S55" s="13">
        <v>61.171145685997175</v>
      </c>
      <c r="T55" s="13">
        <v>63.479490806223488</v>
      </c>
      <c r="U55" s="13">
        <v>65.787835926449787</v>
      </c>
      <c r="V55" s="13">
        <v>68.096181046676108</v>
      </c>
      <c r="W55" s="13">
        <v>70.404526166902414</v>
      </c>
      <c r="X55" s="13">
        <v>72.712871287128721</v>
      </c>
      <c r="Y55" s="13">
        <v>75.021216407355027</v>
      </c>
      <c r="Z55" s="13">
        <v>77.329561527581333</v>
      </c>
      <c r="AA55" s="13">
        <v>79.63790664780764</v>
      </c>
      <c r="AB55" s="13">
        <v>81.94625176803396</v>
      </c>
      <c r="AC55" s="13">
        <v>84.254596888260266</v>
      </c>
      <c r="AD55" s="13">
        <v>86.562942008486573</v>
      </c>
      <c r="AE55" s="13">
        <v>88.871287128712879</v>
      </c>
      <c r="AF55" s="13">
        <v>88.871287128712879</v>
      </c>
      <c r="AG55" s="13">
        <v>88.871287128712879</v>
      </c>
      <c r="AH55" s="13">
        <v>88.871287128712879</v>
      </c>
      <c r="AI55" s="13">
        <v>88.871287128712879</v>
      </c>
      <c r="AJ55" s="13">
        <v>88.871287128712879</v>
      </c>
      <c r="AK55" s="13">
        <v>88.871287128712879</v>
      </c>
      <c r="AL55" s="13">
        <v>88.871287128712879</v>
      </c>
      <c r="AM55" s="13">
        <v>88.871287128712879</v>
      </c>
      <c r="AN55" s="13">
        <v>88.871287128712879</v>
      </c>
      <c r="AO55" s="13">
        <v>88.871287128712879</v>
      </c>
      <c r="AP55" s="13">
        <v>88.871287128712879</v>
      </c>
      <c r="AQ55" s="13">
        <v>88.871287128712879</v>
      </c>
      <c r="AR55" s="13">
        <v>88.871287128712879</v>
      </c>
      <c r="AS55" s="13">
        <v>88.871287128712879</v>
      </c>
      <c r="AT55" s="13">
        <v>88.871287128712879</v>
      </c>
      <c r="AU55" s="13">
        <v>88.871287128712879</v>
      </c>
      <c r="AV55" s="13">
        <v>88.871287128712879</v>
      </c>
      <c r="AW55" s="13">
        <v>88.871287128712879</v>
      </c>
      <c r="AX55" s="13">
        <v>88.871287128712879</v>
      </c>
      <c r="AY55" s="13">
        <v>88.871287128712879</v>
      </c>
      <c r="AZ55" s="13">
        <v>88.871287128712879</v>
      </c>
      <c r="BA55" s="13">
        <v>88.871287128712879</v>
      </c>
      <c r="BB55" s="13">
        <v>88.871287128712879</v>
      </c>
      <c r="BC55" s="13">
        <v>88.871287128712879</v>
      </c>
      <c r="BD55" s="13">
        <v>88.871287128712879</v>
      </c>
      <c r="BE55" s="13">
        <v>88.871287128712879</v>
      </c>
      <c r="BF55" s="13">
        <v>88.871287128712879</v>
      </c>
      <c r="BG55" s="13">
        <v>88.871287128712879</v>
      </c>
      <c r="BH55" s="13">
        <v>88.871287128712879</v>
      </c>
      <c r="BI55" s="13">
        <v>88.871287128712879</v>
      </c>
      <c r="BJ55" s="13">
        <v>88.871287128712879</v>
      </c>
      <c r="BK55" s="13">
        <v>88.871287128712879</v>
      </c>
      <c r="BL55" s="13">
        <v>88.871287128712879</v>
      </c>
      <c r="BM55" s="13">
        <v>88.871287128712879</v>
      </c>
      <c r="BN55" s="13">
        <v>88.871287128712879</v>
      </c>
      <c r="BO55" s="13">
        <v>88.871287128712879</v>
      </c>
      <c r="BP55" s="13">
        <v>88.871287128712879</v>
      </c>
      <c r="BQ55" s="13">
        <v>88.871287128712879</v>
      </c>
      <c r="BR55" s="13">
        <v>88.871287128712879</v>
      </c>
      <c r="BS55" s="13">
        <v>88.871287128712879</v>
      </c>
      <c r="BT55" s="13">
        <v>88.871287128712879</v>
      </c>
      <c r="BU55" s="13">
        <v>88.871287128712879</v>
      </c>
      <c r="BV55" s="13">
        <v>88.871287128712879</v>
      </c>
      <c r="BW55" s="13">
        <v>88.871287128712879</v>
      </c>
      <c r="BX55" s="13">
        <v>88.871287128712879</v>
      </c>
      <c r="BY55" s="13">
        <v>88.871287128712879</v>
      </c>
      <c r="BZ55" s="13">
        <v>88.871287128712879</v>
      </c>
      <c r="CA55" s="13">
        <v>88.871287128712879</v>
      </c>
      <c r="CB55" s="13">
        <v>88.871287128712879</v>
      </c>
      <c r="CC55" s="13">
        <v>88.871287128712879</v>
      </c>
      <c r="CD55" s="13">
        <v>88.871287128712879</v>
      </c>
      <c r="CE55" s="13">
        <v>88.871287128712879</v>
      </c>
      <c r="CF55" s="13">
        <v>88.871287128712879</v>
      </c>
      <c r="CG55" s="13">
        <v>88.871287128712879</v>
      </c>
      <c r="CH55" s="13">
        <v>88.871287128712879</v>
      </c>
      <c r="CI55" s="13">
        <v>88.871287128712879</v>
      </c>
      <c r="CJ55" s="13">
        <v>88.871287128712879</v>
      </c>
      <c r="CK55" s="13">
        <v>88.871287128712879</v>
      </c>
      <c r="CL55" s="13">
        <v>88.871287128712879</v>
      </c>
      <c r="CM55" s="13">
        <v>88.871287128712879</v>
      </c>
    </row>
    <row r="56" spans="2:91">
      <c r="E56" s="41" t="s">
        <v>20</v>
      </c>
      <c r="F56" s="255">
        <v>454.98653234819034</v>
      </c>
      <c r="G56" s="256">
        <v>517.80479078453334</v>
      </c>
      <c r="H56" s="256">
        <v>517.65590037808647</v>
      </c>
      <c r="I56" s="257">
        <v>729.30362700284297</v>
      </c>
      <c r="J56" s="13">
        <v>1</v>
      </c>
      <c r="K56" s="13">
        <v>523.1368333251279</v>
      </c>
      <c r="L56" s="13">
        <v>548.69658175280085</v>
      </c>
      <c r="M56" s="13">
        <v>574.25633018047381</v>
      </c>
      <c r="N56" s="13">
        <v>599.81607860814688</v>
      </c>
      <c r="O56" s="13">
        <v>625.37582703581984</v>
      </c>
      <c r="P56" s="13">
        <v>650.9355754634928</v>
      </c>
      <c r="Q56" s="13">
        <v>676.49532389116575</v>
      </c>
      <c r="R56" s="13">
        <v>702.05507231883871</v>
      </c>
      <c r="S56" s="13">
        <v>727.61482074651155</v>
      </c>
      <c r="T56" s="13">
        <v>753.17456917418451</v>
      </c>
      <c r="U56" s="13">
        <v>778.73431760185747</v>
      </c>
      <c r="V56" s="13">
        <v>804.29406602953043</v>
      </c>
      <c r="W56" s="13">
        <v>829.85381445720338</v>
      </c>
      <c r="X56" s="13">
        <v>855.41356288487634</v>
      </c>
      <c r="Y56" s="13">
        <v>880.97331131254941</v>
      </c>
      <c r="Z56" s="13">
        <v>906.53305974022237</v>
      </c>
      <c r="AA56" s="13">
        <v>932.09280816789544</v>
      </c>
      <c r="AB56" s="13">
        <v>957.65255659556829</v>
      </c>
      <c r="AC56" s="13">
        <v>983.21230502324113</v>
      </c>
      <c r="AD56" s="13">
        <v>1008.7720534509141</v>
      </c>
      <c r="AE56" s="13">
        <v>1034.3318018785872</v>
      </c>
      <c r="AF56" s="13">
        <v>1034.3318018785872</v>
      </c>
      <c r="AG56" s="13">
        <v>1034.3318018785872</v>
      </c>
      <c r="AH56" s="13">
        <v>1034.3318018785872</v>
      </c>
      <c r="AI56" s="13">
        <v>1034.3318018785872</v>
      </c>
      <c r="AJ56" s="13">
        <v>1034.3318018785872</v>
      </c>
      <c r="AK56" s="13">
        <v>1034.3318018785872</v>
      </c>
      <c r="AL56" s="13">
        <v>1034.3318018785872</v>
      </c>
      <c r="AM56" s="13">
        <v>1034.3318018785872</v>
      </c>
      <c r="AN56" s="13">
        <v>1034.3318018785872</v>
      </c>
      <c r="AO56" s="13">
        <v>1034.3318018785872</v>
      </c>
      <c r="AP56" s="13">
        <v>1034.3318018785872</v>
      </c>
      <c r="AQ56" s="13">
        <v>1034.3318018785872</v>
      </c>
      <c r="AR56" s="13">
        <v>1034.3318018785872</v>
      </c>
      <c r="AS56" s="13">
        <v>1034.3318018785872</v>
      </c>
      <c r="AT56" s="13">
        <v>1034.3318018785872</v>
      </c>
      <c r="AU56" s="13">
        <v>1034.3318018785872</v>
      </c>
      <c r="AV56" s="13">
        <v>1034.3318018785872</v>
      </c>
      <c r="AW56" s="13">
        <v>1034.3318018785872</v>
      </c>
      <c r="AX56" s="13">
        <v>1034.3318018785872</v>
      </c>
      <c r="AY56" s="13">
        <v>1034.3318018785872</v>
      </c>
      <c r="AZ56" s="13">
        <v>1034.3318018785872</v>
      </c>
      <c r="BA56" s="13">
        <v>1034.3318018785872</v>
      </c>
      <c r="BB56" s="13">
        <v>1034.3318018785872</v>
      </c>
      <c r="BC56" s="13">
        <v>1034.3318018785872</v>
      </c>
      <c r="BD56" s="13">
        <v>1034.3318018785872</v>
      </c>
      <c r="BE56" s="13">
        <v>1034.3318018785872</v>
      </c>
      <c r="BF56" s="13">
        <v>1034.3318018785872</v>
      </c>
      <c r="BG56" s="13">
        <v>1034.3318018785872</v>
      </c>
      <c r="BH56" s="13">
        <v>1034.3318018785872</v>
      </c>
      <c r="BI56" s="13">
        <v>1034.3318018785872</v>
      </c>
      <c r="BJ56" s="13">
        <v>1034.3318018785872</v>
      </c>
      <c r="BK56" s="13">
        <v>1034.3318018785872</v>
      </c>
      <c r="BL56" s="13">
        <v>1034.3318018785872</v>
      </c>
      <c r="BM56" s="13">
        <v>1034.3318018785872</v>
      </c>
      <c r="BN56" s="13">
        <v>1034.3318018785872</v>
      </c>
      <c r="BO56" s="13">
        <v>1034.3318018785872</v>
      </c>
      <c r="BP56" s="13">
        <v>1034.3318018785872</v>
      </c>
      <c r="BQ56" s="13">
        <v>1034.3318018785872</v>
      </c>
      <c r="BR56" s="13">
        <v>1034.3318018785872</v>
      </c>
      <c r="BS56" s="13">
        <v>1034.3318018785872</v>
      </c>
      <c r="BT56" s="13">
        <v>1034.3318018785872</v>
      </c>
      <c r="BU56" s="13">
        <v>1034.3318018785872</v>
      </c>
      <c r="BV56" s="13">
        <v>1034.3318018785872</v>
      </c>
      <c r="BW56" s="13">
        <v>1034.3318018785872</v>
      </c>
      <c r="BX56" s="13">
        <v>1034.3318018785872</v>
      </c>
      <c r="BY56" s="13">
        <v>1034.3318018785872</v>
      </c>
      <c r="BZ56" s="13">
        <v>1034.3318018785872</v>
      </c>
      <c r="CA56" s="13">
        <v>1034.3318018785872</v>
      </c>
      <c r="CB56" s="13">
        <v>1034.3318018785872</v>
      </c>
      <c r="CC56" s="13">
        <v>1034.3318018785872</v>
      </c>
      <c r="CD56" s="13">
        <v>1034.3318018785872</v>
      </c>
      <c r="CE56" s="13">
        <v>1034.3318018785872</v>
      </c>
      <c r="CF56" s="13">
        <v>1034.3318018785872</v>
      </c>
      <c r="CG56" s="13">
        <v>1034.3318018785872</v>
      </c>
      <c r="CH56" s="13">
        <v>1034.3318018785872</v>
      </c>
      <c r="CI56" s="13">
        <v>1034.3318018785872</v>
      </c>
      <c r="CJ56" s="13">
        <v>1034.3318018785872</v>
      </c>
      <c r="CK56" s="13">
        <v>1034.3318018785872</v>
      </c>
      <c r="CL56" s="13">
        <v>1034.3318018785872</v>
      </c>
      <c r="CM56" s="13">
        <v>1034.3318018785872</v>
      </c>
    </row>
    <row r="57" spans="2:91">
      <c r="E57" s="41" t="s">
        <v>87</v>
      </c>
      <c r="F57" s="255">
        <v>454.98653234819034</v>
      </c>
      <c r="G57" s="256">
        <v>517.80479078453334</v>
      </c>
      <c r="H57" s="256">
        <v>517.65590037808647</v>
      </c>
      <c r="I57" s="257">
        <v>729.30362700284297</v>
      </c>
      <c r="J57" s="13">
        <v>1</v>
      </c>
      <c r="K57" s="13">
        <v>523.1368333251279</v>
      </c>
      <c r="L57" s="13">
        <v>548.69658175280085</v>
      </c>
      <c r="M57" s="13">
        <v>574.25633018047381</v>
      </c>
      <c r="N57" s="13">
        <v>599.81607860814688</v>
      </c>
      <c r="O57" s="13">
        <v>625.37582703581984</v>
      </c>
      <c r="P57" s="13">
        <v>650.9355754634928</v>
      </c>
      <c r="Q57" s="13">
        <v>676.49532389116575</v>
      </c>
      <c r="R57" s="13">
        <v>702.05507231883871</v>
      </c>
      <c r="S57" s="13">
        <v>727.61482074651155</v>
      </c>
      <c r="T57" s="13">
        <v>753.17456917418451</v>
      </c>
      <c r="U57" s="13">
        <v>778.73431760185747</v>
      </c>
      <c r="V57" s="13">
        <v>804.29406602953043</v>
      </c>
      <c r="W57" s="13">
        <v>829.85381445720338</v>
      </c>
      <c r="X57" s="13">
        <v>855.41356288487634</v>
      </c>
      <c r="Y57" s="13">
        <v>880.97331131254941</v>
      </c>
      <c r="Z57" s="13">
        <v>906.53305974022237</v>
      </c>
      <c r="AA57" s="13">
        <v>932.09280816789544</v>
      </c>
      <c r="AB57" s="13">
        <v>957.65255659556829</v>
      </c>
      <c r="AC57" s="13">
        <v>983.21230502324113</v>
      </c>
      <c r="AD57" s="13">
        <v>1008.7720534509141</v>
      </c>
      <c r="AE57" s="13">
        <v>1034.3318018785872</v>
      </c>
      <c r="AF57" s="13">
        <v>1034.3318018785872</v>
      </c>
      <c r="AG57" s="13">
        <v>1034.3318018785872</v>
      </c>
      <c r="AH57" s="13">
        <v>1034.3318018785872</v>
      </c>
      <c r="AI57" s="13">
        <v>1034.3318018785872</v>
      </c>
      <c r="AJ57" s="13">
        <v>1034.3318018785872</v>
      </c>
      <c r="AK57" s="13">
        <v>1034.3318018785872</v>
      </c>
      <c r="AL57" s="13">
        <v>1034.3318018785872</v>
      </c>
      <c r="AM57" s="13">
        <v>1034.3318018785872</v>
      </c>
      <c r="AN57" s="13">
        <v>1034.3318018785872</v>
      </c>
      <c r="AO57" s="13">
        <v>1034.3318018785872</v>
      </c>
      <c r="AP57" s="13">
        <v>1034.3318018785872</v>
      </c>
      <c r="AQ57" s="13">
        <v>1034.3318018785872</v>
      </c>
      <c r="AR57" s="13">
        <v>1034.3318018785872</v>
      </c>
      <c r="AS57" s="13">
        <v>1034.3318018785872</v>
      </c>
      <c r="AT57" s="13">
        <v>1034.3318018785872</v>
      </c>
      <c r="AU57" s="13">
        <v>1034.3318018785872</v>
      </c>
      <c r="AV57" s="13">
        <v>1034.3318018785872</v>
      </c>
      <c r="AW57" s="13">
        <v>1034.3318018785872</v>
      </c>
      <c r="AX57" s="13">
        <v>1034.3318018785872</v>
      </c>
      <c r="AY57" s="13">
        <v>1034.3318018785872</v>
      </c>
      <c r="AZ57" s="13">
        <v>1034.3318018785872</v>
      </c>
      <c r="BA57" s="13">
        <v>1034.3318018785872</v>
      </c>
      <c r="BB57" s="13">
        <v>1034.3318018785872</v>
      </c>
      <c r="BC57" s="13">
        <v>1034.3318018785872</v>
      </c>
      <c r="BD57" s="13">
        <v>1034.3318018785872</v>
      </c>
      <c r="BE57" s="13">
        <v>1034.3318018785872</v>
      </c>
      <c r="BF57" s="13">
        <v>1034.3318018785872</v>
      </c>
      <c r="BG57" s="13">
        <v>1034.3318018785872</v>
      </c>
      <c r="BH57" s="13">
        <v>1034.3318018785872</v>
      </c>
      <c r="BI57" s="13">
        <v>1034.3318018785872</v>
      </c>
      <c r="BJ57" s="13">
        <v>1034.3318018785872</v>
      </c>
      <c r="BK57" s="13">
        <v>1034.3318018785872</v>
      </c>
      <c r="BL57" s="13">
        <v>1034.3318018785872</v>
      </c>
      <c r="BM57" s="13">
        <v>1034.3318018785872</v>
      </c>
      <c r="BN57" s="13">
        <v>1034.3318018785872</v>
      </c>
      <c r="BO57" s="13">
        <v>1034.3318018785872</v>
      </c>
      <c r="BP57" s="13">
        <v>1034.3318018785872</v>
      </c>
      <c r="BQ57" s="13">
        <v>1034.3318018785872</v>
      </c>
      <c r="BR57" s="13">
        <v>1034.3318018785872</v>
      </c>
      <c r="BS57" s="13">
        <v>1034.3318018785872</v>
      </c>
      <c r="BT57" s="13">
        <v>1034.3318018785872</v>
      </c>
      <c r="BU57" s="13">
        <v>1034.3318018785872</v>
      </c>
      <c r="BV57" s="13">
        <v>1034.3318018785872</v>
      </c>
      <c r="BW57" s="13">
        <v>1034.3318018785872</v>
      </c>
      <c r="BX57" s="13">
        <v>1034.3318018785872</v>
      </c>
      <c r="BY57" s="13">
        <v>1034.3318018785872</v>
      </c>
      <c r="BZ57" s="13">
        <v>1034.3318018785872</v>
      </c>
      <c r="CA57" s="13">
        <v>1034.3318018785872</v>
      </c>
      <c r="CB57" s="13">
        <v>1034.3318018785872</v>
      </c>
      <c r="CC57" s="13">
        <v>1034.3318018785872</v>
      </c>
      <c r="CD57" s="13">
        <v>1034.3318018785872</v>
      </c>
      <c r="CE57" s="13">
        <v>1034.3318018785872</v>
      </c>
      <c r="CF57" s="13">
        <v>1034.3318018785872</v>
      </c>
      <c r="CG57" s="13">
        <v>1034.3318018785872</v>
      </c>
      <c r="CH57" s="13">
        <v>1034.3318018785872</v>
      </c>
      <c r="CI57" s="13">
        <v>1034.3318018785872</v>
      </c>
      <c r="CJ57" s="13">
        <v>1034.3318018785872</v>
      </c>
      <c r="CK57" s="13">
        <v>1034.3318018785872</v>
      </c>
      <c r="CL57" s="13">
        <v>1034.3318018785872</v>
      </c>
      <c r="CM57" s="13">
        <v>1034.3318018785872</v>
      </c>
    </row>
    <row r="58" spans="2:91">
      <c r="E58" s="41" t="s">
        <v>88</v>
      </c>
      <c r="F58" s="255">
        <v>3</v>
      </c>
      <c r="G58" s="256">
        <v>3.5</v>
      </c>
      <c r="H58" s="256">
        <v>4</v>
      </c>
      <c r="I58" s="257">
        <v>4.5</v>
      </c>
      <c r="J58" s="13">
        <v>1</v>
      </c>
      <c r="K58" s="13">
        <v>5.2806007266837485</v>
      </c>
      <c r="L58" s="13">
        <v>5.3070037303171667</v>
      </c>
      <c r="M58" s="13">
        <v>5.3335387489687518</v>
      </c>
      <c r="N58" s="13">
        <v>5.3602064427135954</v>
      </c>
      <c r="O58" s="13">
        <v>5.387007474927163</v>
      </c>
      <c r="P58" s="13">
        <v>5.4139425123017979</v>
      </c>
      <c r="Q58" s="13">
        <v>5.4410122248633064</v>
      </c>
      <c r="R58" s="13">
        <v>5.4682172859876221</v>
      </c>
      <c r="S58" s="13">
        <v>5.4955583724175598</v>
      </c>
      <c r="T58" s="13">
        <v>5.5230361642796471</v>
      </c>
      <c r="U58" s="13">
        <v>5.5506513451010449</v>
      </c>
      <c r="V58" s="13">
        <v>5.5784046018265494</v>
      </c>
      <c r="W58" s="13">
        <v>5.6062966248356814</v>
      </c>
      <c r="X58" s="13">
        <v>5.6343281079598588</v>
      </c>
      <c r="Y58" s="13">
        <v>5.6624997484996573</v>
      </c>
      <c r="Z58" s="13">
        <v>5.690812247242155</v>
      </c>
      <c r="AA58" s="13">
        <v>5.7192663084783648</v>
      </c>
      <c r="AB58" s="13">
        <v>5.747862640020756</v>
      </c>
      <c r="AC58" s="13">
        <v>5.776601953220859</v>
      </c>
      <c r="AD58" s="13">
        <v>5.8054849629869629</v>
      </c>
      <c r="AE58" s="13">
        <v>5.8345123878018974</v>
      </c>
      <c r="AF58" s="13">
        <v>5.8345123878018974</v>
      </c>
      <c r="AG58" s="13">
        <v>5.8345123878018974</v>
      </c>
      <c r="AH58" s="13">
        <v>5.8345123878018974</v>
      </c>
      <c r="AI58" s="13">
        <v>5.8345123878018974</v>
      </c>
      <c r="AJ58" s="13">
        <v>5.8345123878018974</v>
      </c>
      <c r="AK58" s="13">
        <v>5.8345123878018974</v>
      </c>
      <c r="AL58" s="13">
        <v>5.8345123878018974</v>
      </c>
      <c r="AM58" s="13">
        <v>5.8345123878018974</v>
      </c>
      <c r="AN58" s="13">
        <v>5.8345123878018974</v>
      </c>
      <c r="AO58" s="13">
        <v>5.8345123878018974</v>
      </c>
      <c r="AP58" s="13">
        <v>5.8345123878018974</v>
      </c>
      <c r="AQ58" s="13">
        <v>5.8345123878018974</v>
      </c>
      <c r="AR58" s="13">
        <v>5.8345123878018974</v>
      </c>
      <c r="AS58" s="13">
        <v>5.8345123878018974</v>
      </c>
      <c r="AT58" s="13">
        <v>5.8345123878018974</v>
      </c>
      <c r="AU58" s="13">
        <v>5.8345123878018974</v>
      </c>
      <c r="AV58" s="13">
        <v>5.8345123878018974</v>
      </c>
      <c r="AW58" s="13">
        <v>5.8345123878018974</v>
      </c>
      <c r="AX58" s="13">
        <v>5.8345123878018974</v>
      </c>
      <c r="AY58" s="13">
        <v>5.8345123878018974</v>
      </c>
      <c r="AZ58" s="13">
        <v>5.8345123878018974</v>
      </c>
      <c r="BA58" s="13">
        <v>5.8345123878018974</v>
      </c>
      <c r="BB58" s="13">
        <v>5.8345123878018974</v>
      </c>
      <c r="BC58" s="13">
        <v>5.8345123878018974</v>
      </c>
      <c r="BD58" s="13">
        <v>5.8345123878018974</v>
      </c>
      <c r="BE58" s="13">
        <v>5.8345123878018974</v>
      </c>
      <c r="BF58" s="13">
        <v>5.8345123878018974</v>
      </c>
      <c r="BG58" s="13">
        <v>5.8345123878018974</v>
      </c>
      <c r="BH58" s="13">
        <v>5.8345123878018974</v>
      </c>
      <c r="BI58" s="13">
        <v>5.8345123878018974</v>
      </c>
      <c r="BJ58" s="13">
        <v>5.8345123878018974</v>
      </c>
      <c r="BK58" s="13">
        <v>5.8345123878018974</v>
      </c>
      <c r="BL58" s="13">
        <v>5.8345123878018974</v>
      </c>
      <c r="BM58" s="13">
        <v>5.8345123878018974</v>
      </c>
      <c r="BN58" s="13">
        <v>5.8345123878018974</v>
      </c>
      <c r="BO58" s="13">
        <v>5.8345123878018974</v>
      </c>
      <c r="BP58" s="13">
        <v>5.8345123878018974</v>
      </c>
      <c r="BQ58" s="13">
        <v>5.8345123878018974</v>
      </c>
      <c r="BR58" s="13">
        <v>5.8345123878018974</v>
      </c>
      <c r="BS58" s="13">
        <v>5.8345123878018974</v>
      </c>
      <c r="BT58" s="13">
        <v>5.8345123878018974</v>
      </c>
      <c r="BU58" s="13">
        <v>5.8345123878018974</v>
      </c>
      <c r="BV58" s="13">
        <v>5.8345123878018974</v>
      </c>
      <c r="BW58" s="13">
        <v>5.8345123878018974</v>
      </c>
      <c r="BX58" s="13">
        <v>5.8345123878018974</v>
      </c>
      <c r="BY58" s="13">
        <v>5.8345123878018974</v>
      </c>
      <c r="BZ58" s="13">
        <v>5.8345123878018974</v>
      </c>
      <c r="CA58" s="13">
        <v>5.8345123878018974</v>
      </c>
      <c r="CB58" s="13">
        <v>5.8345123878018974</v>
      </c>
      <c r="CC58" s="13">
        <v>5.8345123878018974</v>
      </c>
      <c r="CD58" s="13">
        <v>5.8345123878018974</v>
      </c>
      <c r="CE58" s="13">
        <v>5.8345123878018974</v>
      </c>
      <c r="CF58" s="13">
        <v>5.8345123878018974</v>
      </c>
      <c r="CG58" s="13">
        <v>5.8345123878018974</v>
      </c>
      <c r="CH58" s="13">
        <v>5.8345123878018974</v>
      </c>
      <c r="CI58" s="13">
        <v>5.8345123878018974</v>
      </c>
      <c r="CJ58" s="13">
        <v>5.8345123878018974</v>
      </c>
      <c r="CK58" s="13">
        <v>5.8345123878018974</v>
      </c>
      <c r="CL58" s="13">
        <v>5.8345123878018974</v>
      </c>
      <c r="CM58" s="13">
        <v>5.8345123878018974</v>
      </c>
    </row>
    <row r="59" spans="2:91">
      <c r="E59" s="41" t="s">
        <v>89</v>
      </c>
      <c r="F59" s="258">
        <v>3</v>
      </c>
      <c r="G59" s="259">
        <v>3.5</v>
      </c>
      <c r="H59" s="259">
        <v>4</v>
      </c>
      <c r="I59" s="260">
        <v>4.5</v>
      </c>
      <c r="J59" s="13">
        <v>1</v>
      </c>
      <c r="K59" s="13">
        <v>5.2806007266837485</v>
      </c>
      <c r="L59" s="13">
        <v>5.3070037303171667</v>
      </c>
      <c r="M59" s="13">
        <v>5.3335387489687518</v>
      </c>
      <c r="N59" s="13">
        <v>5.3602064427135954</v>
      </c>
      <c r="O59" s="13">
        <v>5.387007474927163</v>
      </c>
      <c r="P59" s="13">
        <v>5.4139425123017979</v>
      </c>
      <c r="Q59" s="13">
        <v>5.4410122248633064</v>
      </c>
      <c r="R59" s="13">
        <v>5.4682172859876221</v>
      </c>
      <c r="S59" s="13">
        <v>5.4955583724175598</v>
      </c>
      <c r="T59" s="13">
        <v>5.5230361642796471</v>
      </c>
      <c r="U59" s="13">
        <v>5.5506513451010449</v>
      </c>
      <c r="V59" s="13">
        <v>5.5784046018265494</v>
      </c>
      <c r="W59" s="13">
        <v>5.6062966248356814</v>
      </c>
      <c r="X59" s="13">
        <v>5.6343281079598588</v>
      </c>
      <c r="Y59" s="13">
        <v>5.6624997484996573</v>
      </c>
      <c r="Z59" s="13">
        <v>5.690812247242155</v>
      </c>
      <c r="AA59" s="13">
        <v>5.7192663084783648</v>
      </c>
      <c r="AB59" s="13">
        <v>5.747862640020756</v>
      </c>
      <c r="AC59" s="13">
        <v>5.776601953220859</v>
      </c>
      <c r="AD59" s="13">
        <v>5.8054849629869629</v>
      </c>
      <c r="AE59" s="13">
        <v>5.8345123878018974</v>
      </c>
      <c r="AF59" s="13">
        <v>5.8345123878018974</v>
      </c>
      <c r="AG59" s="13">
        <v>5.8345123878018974</v>
      </c>
      <c r="AH59" s="13">
        <v>5.8345123878018974</v>
      </c>
      <c r="AI59" s="13">
        <v>5.8345123878018974</v>
      </c>
      <c r="AJ59" s="13">
        <v>5.8345123878018974</v>
      </c>
      <c r="AK59" s="13">
        <v>5.8345123878018974</v>
      </c>
      <c r="AL59" s="13">
        <v>5.8345123878018974</v>
      </c>
      <c r="AM59" s="13">
        <v>5.8345123878018974</v>
      </c>
      <c r="AN59" s="13">
        <v>5.8345123878018974</v>
      </c>
      <c r="AO59" s="13">
        <v>5.8345123878018974</v>
      </c>
      <c r="AP59" s="13">
        <v>5.8345123878018974</v>
      </c>
      <c r="AQ59" s="13">
        <v>5.8345123878018974</v>
      </c>
      <c r="AR59" s="13">
        <v>5.8345123878018974</v>
      </c>
      <c r="AS59" s="13">
        <v>5.8345123878018974</v>
      </c>
      <c r="AT59" s="13">
        <v>5.8345123878018974</v>
      </c>
      <c r="AU59" s="13">
        <v>5.8345123878018974</v>
      </c>
      <c r="AV59" s="13">
        <v>5.8345123878018974</v>
      </c>
      <c r="AW59" s="13">
        <v>5.8345123878018974</v>
      </c>
      <c r="AX59" s="13">
        <v>5.8345123878018974</v>
      </c>
      <c r="AY59" s="13">
        <v>5.8345123878018974</v>
      </c>
      <c r="AZ59" s="13">
        <v>5.8345123878018974</v>
      </c>
      <c r="BA59" s="13">
        <v>5.8345123878018974</v>
      </c>
      <c r="BB59" s="13">
        <v>5.8345123878018974</v>
      </c>
      <c r="BC59" s="13">
        <v>5.8345123878018974</v>
      </c>
      <c r="BD59" s="13">
        <v>5.8345123878018974</v>
      </c>
      <c r="BE59" s="13">
        <v>5.8345123878018974</v>
      </c>
      <c r="BF59" s="13">
        <v>5.8345123878018974</v>
      </c>
      <c r="BG59" s="13">
        <v>5.8345123878018974</v>
      </c>
      <c r="BH59" s="13">
        <v>5.8345123878018974</v>
      </c>
      <c r="BI59" s="13">
        <v>5.8345123878018974</v>
      </c>
      <c r="BJ59" s="13">
        <v>5.8345123878018974</v>
      </c>
      <c r="BK59" s="13">
        <v>5.8345123878018974</v>
      </c>
      <c r="BL59" s="13">
        <v>5.8345123878018974</v>
      </c>
      <c r="BM59" s="13">
        <v>5.8345123878018974</v>
      </c>
      <c r="BN59" s="13">
        <v>5.8345123878018974</v>
      </c>
      <c r="BO59" s="13">
        <v>5.8345123878018974</v>
      </c>
      <c r="BP59" s="13">
        <v>5.8345123878018974</v>
      </c>
      <c r="BQ59" s="13">
        <v>5.8345123878018974</v>
      </c>
      <c r="BR59" s="13">
        <v>5.8345123878018974</v>
      </c>
      <c r="BS59" s="13">
        <v>5.8345123878018974</v>
      </c>
      <c r="BT59" s="13">
        <v>5.8345123878018974</v>
      </c>
      <c r="BU59" s="13">
        <v>5.8345123878018974</v>
      </c>
      <c r="BV59" s="13">
        <v>5.8345123878018974</v>
      </c>
      <c r="BW59" s="13">
        <v>5.8345123878018974</v>
      </c>
      <c r="BX59" s="13">
        <v>5.8345123878018974</v>
      </c>
      <c r="BY59" s="13">
        <v>5.8345123878018974</v>
      </c>
      <c r="BZ59" s="13">
        <v>5.8345123878018974</v>
      </c>
      <c r="CA59" s="13">
        <v>5.8345123878018974</v>
      </c>
      <c r="CB59" s="13">
        <v>5.8345123878018974</v>
      </c>
      <c r="CC59" s="13">
        <v>5.8345123878018974</v>
      </c>
      <c r="CD59" s="13">
        <v>5.8345123878018974</v>
      </c>
      <c r="CE59" s="13">
        <v>5.8345123878018974</v>
      </c>
      <c r="CF59" s="13">
        <v>5.8345123878018974</v>
      </c>
      <c r="CG59" s="13">
        <v>5.8345123878018974</v>
      </c>
      <c r="CH59" s="13">
        <v>5.8345123878018974</v>
      </c>
      <c r="CI59" s="13">
        <v>5.8345123878018974</v>
      </c>
      <c r="CJ59" s="13">
        <v>5.8345123878018974</v>
      </c>
      <c r="CK59" s="13">
        <v>5.8345123878018974</v>
      </c>
      <c r="CL59" s="13">
        <v>5.8345123878018974</v>
      </c>
      <c r="CM59" s="13">
        <v>5.8345123878018974</v>
      </c>
    </row>
    <row r="61" spans="2:91">
      <c r="B61" t="s">
        <v>586</v>
      </c>
    </row>
    <row r="63" spans="2:91" ht="15">
      <c r="F63" s="17">
        <v>2005</v>
      </c>
      <c r="G63" s="17">
        <v>2006</v>
      </c>
      <c r="H63" s="17">
        <v>2007</v>
      </c>
      <c r="I63" s="17">
        <v>2008</v>
      </c>
      <c r="J63" s="17">
        <v>2009</v>
      </c>
      <c r="K63" s="17">
        <v>2010</v>
      </c>
      <c r="L63" s="17">
        <v>2011</v>
      </c>
      <c r="M63" s="17">
        <v>2012</v>
      </c>
      <c r="N63" s="17">
        <v>2013</v>
      </c>
      <c r="O63" s="17">
        <v>2014</v>
      </c>
      <c r="P63" s="17">
        <v>2015</v>
      </c>
      <c r="Q63" s="17">
        <v>2016</v>
      </c>
      <c r="R63" s="17">
        <v>2017</v>
      </c>
      <c r="S63" s="17">
        <v>2018</v>
      </c>
      <c r="T63" s="17">
        <v>2019</v>
      </c>
      <c r="U63" s="17">
        <v>2020</v>
      </c>
      <c r="V63" s="17">
        <v>2021</v>
      </c>
      <c r="W63" s="17">
        <v>2022</v>
      </c>
      <c r="X63" s="17">
        <v>2023</v>
      </c>
      <c r="Y63" s="17">
        <v>2024</v>
      </c>
      <c r="Z63" s="17">
        <v>2025</v>
      </c>
      <c r="AA63" s="17">
        <v>2026</v>
      </c>
      <c r="AB63" s="17">
        <v>2027</v>
      </c>
      <c r="AC63" s="17">
        <v>2028</v>
      </c>
      <c r="AD63" s="17">
        <v>2029</v>
      </c>
      <c r="AE63" s="17">
        <v>2030</v>
      </c>
      <c r="AF63" s="17">
        <v>2031</v>
      </c>
      <c r="AG63" s="17">
        <v>2032</v>
      </c>
      <c r="AH63" s="17">
        <v>2033</v>
      </c>
      <c r="AI63" s="17">
        <v>2034</v>
      </c>
      <c r="AJ63" s="17">
        <v>2035</v>
      </c>
      <c r="AK63" s="17">
        <v>2036</v>
      </c>
      <c r="AL63" s="17">
        <v>2037</v>
      </c>
      <c r="AM63" s="17">
        <v>2038</v>
      </c>
      <c r="AN63" s="17">
        <v>2039</v>
      </c>
      <c r="AO63" s="17">
        <v>2040</v>
      </c>
      <c r="AP63" s="17">
        <v>2041</v>
      </c>
      <c r="AQ63" s="17">
        <v>2042</v>
      </c>
      <c r="AR63" s="17">
        <v>2043</v>
      </c>
      <c r="AS63" s="17">
        <v>2044</v>
      </c>
      <c r="AT63" s="17">
        <v>2045</v>
      </c>
      <c r="AU63" s="17">
        <v>2046</v>
      </c>
      <c r="AV63" s="17">
        <v>2047</v>
      </c>
      <c r="AW63" s="17">
        <v>2048</v>
      </c>
      <c r="AX63" s="17">
        <v>2049</v>
      </c>
      <c r="AY63" s="17">
        <v>2050</v>
      </c>
      <c r="AZ63" s="17">
        <v>2051</v>
      </c>
      <c r="BA63" s="17">
        <v>2052</v>
      </c>
      <c r="BB63" s="17">
        <v>2053</v>
      </c>
      <c r="BC63" s="17">
        <v>2054</v>
      </c>
      <c r="BD63" s="17">
        <v>2055</v>
      </c>
      <c r="BE63" s="17">
        <v>2056</v>
      </c>
      <c r="BF63" s="17">
        <v>2057</v>
      </c>
      <c r="BG63" s="17">
        <v>2058</v>
      </c>
      <c r="BH63" s="17">
        <v>2059</v>
      </c>
      <c r="BI63" s="17">
        <v>2060</v>
      </c>
      <c r="BJ63" s="17">
        <v>2061</v>
      </c>
      <c r="BK63" s="17">
        <v>2062</v>
      </c>
      <c r="BL63" s="17">
        <v>2063</v>
      </c>
      <c r="BM63" s="17">
        <v>2064</v>
      </c>
      <c r="BN63" s="17">
        <v>2065</v>
      </c>
      <c r="BO63" s="17">
        <v>2066</v>
      </c>
      <c r="BP63" s="17">
        <v>2067</v>
      </c>
      <c r="BQ63" s="17">
        <v>2068</v>
      </c>
      <c r="BR63" s="17">
        <v>2069</v>
      </c>
      <c r="BS63" s="17">
        <v>2070</v>
      </c>
      <c r="BT63" s="17">
        <v>2071</v>
      </c>
      <c r="BU63" s="17">
        <v>2072</v>
      </c>
      <c r="BV63" s="17">
        <v>2073</v>
      </c>
      <c r="BW63" s="17">
        <v>2074</v>
      </c>
      <c r="BX63" s="17">
        <v>2075</v>
      </c>
      <c r="BY63" s="17">
        <v>2076</v>
      </c>
      <c r="BZ63" s="17">
        <v>2077</v>
      </c>
      <c r="CA63" s="17">
        <v>2078</v>
      </c>
      <c r="CB63" s="17">
        <v>2079</v>
      </c>
      <c r="CC63" s="17">
        <v>2080</v>
      </c>
      <c r="CD63" s="17">
        <v>2081</v>
      </c>
      <c r="CE63" s="17">
        <v>2082</v>
      </c>
      <c r="CF63" s="17">
        <v>2083</v>
      </c>
      <c r="CG63" s="17">
        <v>2084</v>
      </c>
      <c r="CH63" s="17">
        <v>2085</v>
      </c>
      <c r="CI63" s="17">
        <v>2086</v>
      </c>
      <c r="CJ63" s="17">
        <v>2087</v>
      </c>
      <c r="CK63" s="17">
        <v>2088</v>
      </c>
      <c r="CL63" s="17">
        <v>2089</v>
      </c>
      <c r="CM63" s="17">
        <v>2090</v>
      </c>
    </row>
    <row r="64" spans="2:91">
      <c r="E64" s="41" t="s">
        <v>84</v>
      </c>
      <c r="F64" s="252">
        <f t="shared" ref="F64:F70" si="17">IF($B$12=$B$7,F24,IF($B$12=$B$8,F43,F53))</f>
        <v>4.0147432024169181</v>
      </c>
      <c r="G64" s="253">
        <f t="shared" ref="G64:BR65" si="18">IF($B$12=$B$7,G24,IF($B$12=$B$8,G43,G53))</f>
        <v>4.7647432024169181</v>
      </c>
      <c r="H64" s="253">
        <f t="shared" si="18"/>
        <v>5.5147432024169181</v>
      </c>
      <c r="I64" s="254">
        <f t="shared" si="18"/>
        <v>5.85</v>
      </c>
      <c r="J64" s="13">
        <f t="shared" si="18"/>
        <v>5.85</v>
      </c>
      <c r="K64" s="13">
        <f t="shared" si="18"/>
        <v>5.8834285714285715</v>
      </c>
      <c r="L64" s="13">
        <f t="shared" si="18"/>
        <v>5.9168571428571424</v>
      </c>
      <c r="M64" s="13">
        <f t="shared" si="18"/>
        <v>5.9502857142857142</v>
      </c>
      <c r="N64" s="13">
        <f t="shared" si="18"/>
        <v>5.9837142857142851</v>
      </c>
      <c r="O64" s="13">
        <f t="shared" si="18"/>
        <v>6.0171428571428569</v>
      </c>
      <c r="P64" s="13">
        <f t="shared" si="18"/>
        <v>6.0505714285714278</v>
      </c>
      <c r="Q64" s="13">
        <f t="shared" si="18"/>
        <v>6.0839999999999996</v>
      </c>
      <c r="R64" s="13">
        <f t="shared" si="18"/>
        <v>6.1174285714285705</v>
      </c>
      <c r="S64" s="13">
        <f t="shared" si="18"/>
        <v>6.1508571428571424</v>
      </c>
      <c r="T64" s="13">
        <f t="shared" si="18"/>
        <v>6.1842857142857142</v>
      </c>
      <c r="U64" s="13">
        <f t="shared" si="18"/>
        <v>6.2177142857142851</v>
      </c>
      <c r="V64" s="13">
        <f t="shared" si="18"/>
        <v>6.2511428571428569</v>
      </c>
      <c r="W64" s="13">
        <f t="shared" si="18"/>
        <v>6.2845714285714278</v>
      </c>
      <c r="X64" s="13">
        <f t="shared" si="18"/>
        <v>6.3179999999999996</v>
      </c>
      <c r="Y64" s="13">
        <f t="shared" si="18"/>
        <v>6.3514285714285705</v>
      </c>
      <c r="Z64" s="13">
        <f t="shared" si="18"/>
        <v>6.3848571428571423</v>
      </c>
      <c r="AA64" s="13">
        <f t="shared" si="18"/>
        <v>6.4182857142857141</v>
      </c>
      <c r="AB64" s="13">
        <f t="shared" si="18"/>
        <v>6.4517142857142851</v>
      </c>
      <c r="AC64" s="13">
        <f t="shared" si="18"/>
        <v>6.4851428571428569</v>
      </c>
      <c r="AD64" s="13">
        <f t="shared" si="18"/>
        <v>6.5185714285714287</v>
      </c>
      <c r="AE64" s="13">
        <f t="shared" si="18"/>
        <v>6.5519999999999996</v>
      </c>
      <c r="AF64" s="13">
        <f t="shared" si="18"/>
        <v>6.5519999999999996</v>
      </c>
      <c r="AG64" s="13">
        <f t="shared" si="18"/>
        <v>6.5519999999999996</v>
      </c>
      <c r="AH64" s="13">
        <f t="shared" si="18"/>
        <v>6.5519999999999996</v>
      </c>
      <c r="AI64" s="13">
        <f t="shared" si="18"/>
        <v>6.5519999999999996</v>
      </c>
      <c r="AJ64" s="13">
        <f t="shared" si="18"/>
        <v>6.5519999999999996</v>
      </c>
      <c r="AK64" s="13">
        <f t="shared" si="18"/>
        <v>6.5519999999999996</v>
      </c>
      <c r="AL64" s="13">
        <f t="shared" si="18"/>
        <v>6.5519999999999996</v>
      </c>
      <c r="AM64" s="13">
        <f t="shared" si="18"/>
        <v>6.5519999999999996</v>
      </c>
      <c r="AN64" s="13">
        <f t="shared" si="18"/>
        <v>6.5519999999999996</v>
      </c>
      <c r="AO64" s="13">
        <f t="shared" si="18"/>
        <v>6.5519999999999996</v>
      </c>
      <c r="AP64" s="13">
        <f t="shared" si="18"/>
        <v>6.5519999999999996</v>
      </c>
      <c r="AQ64" s="13">
        <f t="shared" si="18"/>
        <v>6.5519999999999996</v>
      </c>
      <c r="AR64" s="13">
        <f t="shared" si="18"/>
        <v>6.5519999999999996</v>
      </c>
      <c r="AS64" s="13">
        <f t="shared" si="18"/>
        <v>6.5519999999999996</v>
      </c>
      <c r="AT64" s="13">
        <f t="shared" si="18"/>
        <v>6.5519999999999996</v>
      </c>
      <c r="AU64" s="13">
        <f t="shared" si="18"/>
        <v>6.5519999999999996</v>
      </c>
      <c r="AV64" s="13">
        <f t="shared" si="18"/>
        <v>6.5519999999999996</v>
      </c>
      <c r="AW64" s="13">
        <f t="shared" si="18"/>
        <v>6.5519999999999996</v>
      </c>
      <c r="AX64" s="13">
        <f t="shared" si="18"/>
        <v>6.5519999999999996</v>
      </c>
      <c r="AY64" s="13">
        <f t="shared" si="18"/>
        <v>6.5519999999999996</v>
      </c>
      <c r="AZ64" s="13">
        <f t="shared" si="18"/>
        <v>6.5519999999999996</v>
      </c>
      <c r="BA64" s="13">
        <f t="shared" si="18"/>
        <v>6.5519999999999996</v>
      </c>
      <c r="BB64" s="13">
        <f t="shared" si="18"/>
        <v>6.5519999999999996</v>
      </c>
      <c r="BC64" s="13">
        <f t="shared" si="18"/>
        <v>6.5519999999999996</v>
      </c>
      <c r="BD64" s="13">
        <f t="shared" si="18"/>
        <v>6.5519999999999996</v>
      </c>
      <c r="BE64" s="13">
        <f t="shared" si="18"/>
        <v>6.5519999999999996</v>
      </c>
      <c r="BF64" s="13">
        <f t="shared" si="18"/>
        <v>6.5519999999999996</v>
      </c>
      <c r="BG64" s="13">
        <f t="shared" si="18"/>
        <v>6.5519999999999996</v>
      </c>
      <c r="BH64" s="13">
        <f t="shared" si="18"/>
        <v>6.5519999999999996</v>
      </c>
      <c r="BI64" s="13">
        <f t="shared" si="18"/>
        <v>6.5519999999999996</v>
      </c>
      <c r="BJ64" s="13">
        <f t="shared" si="18"/>
        <v>6.5519999999999996</v>
      </c>
      <c r="BK64" s="13">
        <f t="shared" si="18"/>
        <v>6.5519999999999996</v>
      </c>
      <c r="BL64" s="13">
        <f t="shared" si="18"/>
        <v>6.5519999999999996</v>
      </c>
      <c r="BM64" s="13">
        <f t="shared" si="18"/>
        <v>6.5519999999999996</v>
      </c>
      <c r="BN64" s="13">
        <f t="shared" si="18"/>
        <v>6.5519999999999996</v>
      </c>
      <c r="BO64" s="13">
        <f t="shared" si="18"/>
        <v>6.5519999999999996</v>
      </c>
      <c r="BP64" s="13">
        <f t="shared" si="18"/>
        <v>6.5519999999999996</v>
      </c>
      <c r="BQ64" s="13">
        <f t="shared" si="18"/>
        <v>6.5519999999999996</v>
      </c>
      <c r="BR64" s="13">
        <f t="shared" si="18"/>
        <v>6.5519999999999996</v>
      </c>
      <c r="BS64" s="13">
        <f t="shared" ref="BS64:CM68" si="19">IF($B$12=$B$7,BS24,IF($B$12=$B$8,BS43,BS53))</f>
        <v>6.5519999999999996</v>
      </c>
      <c r="BT64" s="13">
        <f t="shared" si="19"/>
        <v>6.5519999999999996</v>
      </c>
      <c r="BU64" s="13">
        <f t="shared" si="19"/>
        <v>6.5519999999999996</v>
      </c>
      <c r="BV64" s="13">
        <f t="shared" si="19"/>
        <v>6.5519999999999996</v>
      </c>
      <c r="BW64" s="13">
        <f t="shared" si="19"/>
        <v>6.5519999999999996</v>
      </c>
      <c r="BX64" s="13">
        <f t="shared" si="19"/>
        <v>6.5519999999999996</v>
      </c>
      <c r="BY64" s="13">
        <f t="shared" si="19"/>
        <v>6.5519999999999996</v>
      </c>
      <c r="BZ64" s="13">
        <f t="shared" si="19"/>
        <v>6.5519999999999996</v>
      </c>
      <c r="CA64" s="13">
        <f t="shared" si="19"/>
        <v>6.5519999999999996</v>
      </c>
      <c r="CB64" s="13">
        <f t="shared" si="19"/>
        <v>6.5519999999999996</v>
      </c>
      <c r="CC64" s="13">
        <f t="shared" si="19"/>
        <v>6.5519999999999996</v>
      </c>
      <c r="CD64" s="13">
        <f t="shared" si="19"/>
        <v>6.5519999999999996</v>
      </c>
      <c r="CE64" s="13">
        <f t="shared" si="19"/>
        <v>6.5519999999999996</v>
      </c>
      <c r="CF64" s="13">
        <f t="shared" si="19"/>
        <v>6.5519999999999996</v>
      </c>
      <c r="CG64" s="13">
        <f t="shared" si="19"/>
        <v>6.5519999999999996</v>
      </c>
      <c r="CH64" s="13">
        <f t="shared" si="19"/>
        <v>6.5519999999999996</v>
      </c>
      <c r="CI64" s="13">
        <f t="shared" si="19"/>
        <v>6.5519999999999996</v>
      </c>
      <c r="CJ64" s="13">
        <f t="shared" si="19"/>
        <v>6.5519999999999996</v>
      </c>
      <c r="CK64" s="13">
        <f t="shared" si="19"/>
        <v>6.5519999999999996</v>
      </c>
      <c r="CL64" s="13">
        <f t="shared" si="19"/>
        <v>6.5519999999999996</v>
      </c>
      <c r="CM64" s="13">
        <f t="shared" si="19"/>
        <v>6.5519999999999996</v>
      </c>
    </row>
    <row r="65" spans="1:91">
      <c r="E65" s="41" t="s">
        <v>85</v>
      </c>
      <c r="F65" s="255">
        <f t="shared" si="17"/>
        <v>5.066223564954683</v>
      </c>
      <c r="G65" s="256">
        <f t="shared" ref="G65:U65" si="20">IF($B$12=$B$7,G25,IF($B$12=$B$8,G44,G54))</f>
        <v>5.816223564954683</v>
      </c>
      <c r="H65" s="256">
        <f t="shared" si="20"/>
        <v>6.566223564954683</v>
      </c>
      <c r="I65" s="257">
        <f t="shared" si="20"/>
        <v>7.3485714285714296</v>
      </c>
      <c r="J65" s="13">
        <f t="shared" si="20"/>
        <v>7.3485714285714296</v>
      </c>
      <c r="K65" s="13">
        <f t="shared" si="20"/>
        <v>7.390563265306124</v>
      </c>
      <c r="L65" s="13">
        <f t="shared" si="20"/>
        <v>7.4325551020408174</v>
      </c>
      <c r="M65" s="13">
        <f t="shared" si="20"/>
        <v>7.4745469387755117</v>
      </c>
      <c r="N65" s="13">
        <f t="shared" si="20"/>
        <v>7.5165387755102051</v>
      </c>
      <c r="O65" s="13">
        <f t="shared" si="20"/>
        <v>7.5585306122448994</v>
      </c>
      <c r="P65" s="13">
        <f t="shared" si="20"/>
        <v>7.6005224489795928</v>
      </c>
      <c r="Q65" s="13">
        <f t="shared" si="20"/>
        <v>7.6425142857142871</v>
      </c>
      <c r="R65" s="13">
        <f t="shared" si="20"/>
        <v>7.6845061224489806</v>
      </c>
      <c r="S65" s="13">
        <f t="shared" si="20"/>
        <v>7.7264979591836749</v>
      </c>
      <c r="T65" s="13">
        <f t="shared" si="20"/>
        <v>7.7684897959183683</v>
      </c>
      <c r="U65" s="13">
        <f t="shared" si="20"/>
        <v>7.8104816326530626</v>
      </c>
      <c r="V65" s="13">
        <f t="shared" si="18"/>
        <v>7.852473469387756</v>
      </c>
      <c r="W65" s="13">
        <f t="shared" si="18"/>
        <v>7.8944653061224503</v>
      </c>
      <c r="X65" s="13">
        <f t="shared" si="18"/>
        <v>7.9364571428571438</v>
      </c>
      <c r="Y65" s="13">
        <f t="shared" si="18"/>
        <v>7.9784489795918381</v>
      </c>
      <c r="Z65" s="13">
        <f t="shared" si="18"/>
        <v>8.0204408163265324</v>
      </c>
      <c r="AA65" s="13">
        <f t="shared" si="18"/>
        <v>8.0624326530612258</v>
      </c>
      <c r="AB65" s="13">
        <f t="shared" si="18"/>
        <v>8.1044244897959192</v>
      </c>
      <c r="AC65" s="13">
        <f t="shared" si="18"/>
        <v>8.1464163265306127</v>
      </c>
      <c r="AD65" s="13">
        <f t="shared" si="18"/>
        <v>8.1884081632653078</v>
      </c>
      <c r="AE65" s="13">
        <f t="shared" si="18"/>
        <v>8.2304000000000013</v>
      </c>
      <c r="AF65" s="13">
        <f t="shared" si="18"/>
        <v>8.2304000000000013</v>
      </c>
      <c r="AG65" s="13">
        <f t="shared" si="18"/>
        <v>8.2304000000000013</v>
      </c>
      <c r="AH65" s="13">
        <f t="shared" si="18"/>
        <v>8.2304000000000013</v>
      </c>
      <c r="AI65" s="13">
        <f t="shared" si="18"/>
        <v>8.2304000000000013</v>
      </c>
      <c r="AJ65" s="13">
        <f t="shared" si="18"/>
        <v>8.2304000000000013</v>
      </c>
      <c r="AK65" s="13">
        <f t="shared" si="18"/>
        <v>8.2304000000000013</v>
      </c>
      <c r="AL65" s="13">
        <f t="shared" si="18"/>
        <v>8.2304000000000013</v>
      </c>
      <c r="AM65" s="13">
        <f t="shared" si="18"/>
        <v>8.2304000000000013</v>
      </c>
      <c r="AN65" s="13">
        <f t="shared" si="18"/>
        <v>8.2304000000000013</v>
      </c>
      <c r="AO65" s="13">
        <f t="shared" si="18"/>
        <v>8.2304000000000013</v>
      </c>
      <c r="AP65" s="13">
        <f t="shared" si="18"/>
        <v>8.2304000000000013</v>
      </c>
      <c r="AQ65" s="13">
        <f t="shared" si="18"/>
        <v>8.2304000000000013</v>
      </c>
      <c r="AR65" s="13">
        <f t="shared" si="18"/>
        <v>8.2304000000000013</v>
      </c>
      <c r="AS65" s="13">
        <f t="shared" si="18"/>
        <v>8.2304000000000013</v>
      </c>
      <c r="AT65" s="13">
        <f t="shared" si="18"/>
        <v>8.2304000000000013</v>
      </c>
      <c r="AU65" s="13">
        <f t="shared" si="18"/>
        <v>8.2304000000000013</v>
      </c>
      <c r="AV65" s="13">
        <f t="shared" si="18"/>
        <v>8.2304000000000013</v>
      </c>
      <c r="AW65" s="13">
        <f t="shared" si="18"/>
        <v>8.2304000000000013</v>
      </c>
      <c r="AX65" s="13">
        <f t="shared" si="18"/>
        <v>8.2304000000000013</v>
      </c>
      <c r="AY65" s="13">
        <f t="shared" si="18"/>
        <v>8.2304000000000013</v>
      </c>
      <c r="AZ65" s="13">
        <f t="shared" si="18"/>
        <v>8.2304000000000013</v>
      </c>
      <c r="BA65" s="13">
        <f t="shared" si="18"/>
        <v>8.2304000000000013</v>
      </c>
      <c r="BB65" s="13">
        <f t="shared" si="18"/>
        <v>8.2304000000000013</v>
      </c>
      <c r="BC65" s="13">
        <f t="shared" si="18"/>
        <v>8.2304000000000013</v>
      </c>
      <c r="BD65" s="13">
        <f t="shared" si="18"/>
        <v>8.2304000000000013</v>
      </c>
      <c r="BE65" s="13">
        <f t="shared" si="18"/>
        <v>8.2304000000000013</v>
      </c>
      <c r="BF65" s="13">
        <f t="shared" si="18"/>
        <v>8.2304000000000013</v>
      </c>
      <c r="BG65" s="13">
        <f t="shared" si="18"/>
        <v>8.2304000000000013</v>
      </c>
      <c r="BH65" s="13">
        <f t="shared" si="18"/>
        <v>8.2304000000000013</v>
      </c>
      <c r="BI65" s="13">
        <f t="shared" si="18"/>
        <v>8.2304000000000013</v>
      </c>
      <c r="BJ65" s="13">
        <f t="shared" si="18"/>
        <v>8.2304000000000013</v>
      </c>
      <c r="BK65" s="13">
        <f t="shared" si="18"/>
        <v>8.2304000000000013</v>
      </c>
      <c r="BL65" s="13">
        <f t="shared" si="18"/>
        <v>8.2304000000000013</v>
      </c>
      <c r="BM65" s="13">
        <f t="shared" si="18"/>
        <v>8.2304000000000013</v>
      </c>
      <c r="BN65" s="13">
        <f t="shared" si="18"/>
        <v>8.2304000000000013</v>
      </c>
      <c r="BO65" s="13">
        <f t="shared" si="18"/>
        <v>8.2304000000000013</v>
      </c>
      <c r="BP65" s="13">
        <f t="shared" si="18"/>
        <v>8.2304000000000013</v>
      </c>
      <c r="BQ65" s="13">
        <f t="shared" si="18"/>
        <v>8.2304000000000013</v>
      </c>
      <c r="BR65" s="13">
        <f t="shared" si="18"/>
        <v>8.2304000000000013</v>
      </c>
      <c r="BS65" s="13">
        <f t="shared" si="19"/>
        <v>8.2304000000000013</v>
      </c>
      <c r="BT65" s="13">
        <f t="shared" si="19"/>
        <v>8.2304000000000013</v>
      </c>
      <c r="BU65" s="13">
        <f t="shared" si="19"/>
        <v>8.2304000000000013</v>
      </c>
      <c r="BV65" s="13">
        <f t="shared" si="19"/>
        <v>8.2304000000000013</v>
      </c>
      <c r="BW65" s="13">
        <f t="shared" si="19"/>
        <v>8.2304000000000013</v>
      </c>
      <c r="BX65" s="13">
        <f t="shared" si="19"/>
        <v>8.2304000000000013</v>
      </c>
      <c r="BY65" s="13">
        <f t="shared" si="19"/>
        <v>8.2304000000000013</v>
      </c>
      <c r="BZ65" s="13">
        <f t="shared" si="19"/>
        <v>8.2304000000000013</v>
      </c>
      <c r="CA65" s="13">
        <f t="shared" si="19"/>
        <v>8.2304000000000013</v>
      </c>
      <c r="CB65" s="13">
        <f t="shared" si="19"/>
        <v>8.2304000000000013</v>
      </c>
      <c r="CC65" s="13">
        <f t="shared" si="19"/>
        <v>8.2304000000000013</v>
      </c>
      <c r="CD65" s="13">
        <f t="shared" si="19"/>
        <v>8.2304000000000013</v>
      </c>
      <c r="CE65" s="13">
        <f t="shared" si="19"/>
        <v>8.2304000000000013</v>
      </c>
      <c r="CF65" s="13">
        <f t="shared" si="19"/>
        <v>8.2304000000000013</v>
      </c>
      <c r="CG65" s="13">
        <f t="shared" si="19"/>
        <v>8.2304000000000013</v>
      </c>
      <c r="CH65" s="13">
        <f t="shared" si="19"/>
        <v>8.2304000000000013</v>
      </c>
      <c r="CI65" s="13">
        <f t="shared" si="19"/>
        <v>8.2304000000000013</v>
      </c>
      <c r="CJ65" s="13">
        <f t="shared" si="19"/>
        <v>8.2304000000000013</v>
      </c>
      <c r="CK65" s="13">
        <f t="shared" si="19"/>
        <v>8.2304000000000013</v>
      </c>
      <c r="CL65" s="13">
        <f t="shared" si="19"/>
        <v>8.2304000000000013</v>
      </c>
      <c r="CM65" s="13">
        <f t="shared" si="19"/>
        <v>8.2304000000000013</v>
      </c>
    </row>
    <row r="66" spans="1:91">
      <c r="E66" s="41" t="s">
        <v>86</v>
      </c>
      <c r="F66" s="255">
        <f t="shared" si="17"/>
        <v>31.739745403111744</v>
      </c>
      <c r="G66" s="256">
        <f t="shared" ref="G66:BR69" si="21">IF($B$12=$B$7,G26,IF($B$12=$B$8,G45,G55))</f>
        <v>36.35643564356436</v>
      </c>
      <c r="H66" s="256">
        <f t="shared" si="21"/>
        <v>38.664780763790667</v>
      </c>
      <c r="I66" s="257">
        <f t="shared" si="21"/>
        <v>58.285714285714292</v>
      </c>
      <c r="J66" s="13">
        <f t="shared" si="21"/>
        <v>40.396039603960396</v>
      </c>
      <c r="K66" s="13">
        <f t="shared" si="21"/>
        <v>42.70438472418671</v>
      </c>
      <c r="L66" s="13">
        <f t="shared" si="21"/>
        <v>45.012729844413016</v>
      </c>
      <c r="M66" s="13">
        <f t="shared" si="21"/>
        <v>47.321074964639323</v>
      </c>
      <c r="N66" s="13">
        <f t="shared" si="21"/>
        <v>49.629420084865636</v>
      </c>
      <c r="O66" s="13">
        <f t="shared" si="21"/>
        <v>51.937765205091942</v>
      </c>
      <c r="P66" s="13">
        <f t="shared" si="21"/>
        <v>54.246110325318249</v>
      </c>
      <c r="Q66" s="13">
        <f t="shared" si="21"/>
        <v>56.554455445544562</v>
      </c>
      <c r="R66" s="13">
        <f t="shared" si="21"/>
        <v>58.862800565770868</v>
      </c>
      <c r="S66" s="13">
        <f t="shared" si="21"/>
        <v>61.171145685997175</v>
      </c>
      <c r="T66" s="13">
        <f t="shared" si="21"/>
        <v>63.479490806223488</v>
      </c>
      <c r="U66" s="13">
        <f t="shared" si="21"/>
        <v>65.787835926449787</v>
      </c>
      <c r="V66" s="13">
        <f t="shared" si="21"/>
        <v>68.096181046676108</v>
      </c>
      <c r="W66" s="13">
        <f t="shared" si="21"/>
        <v>70.404526166902414</v>
      </c>
      <c r="X66" s="13">
        <f t="shared" si="21"/>
        <v>72.712871287128721</v>
      </c>
      <c r="Y66" s="13">
        <f t="shared" si="21"/>
        <v>75.021216407355027</v>
      </c>
      <c r="Z66" s="13">
        <f t="shared" si="21"/>
        <v>77.329561527581333</v>
      </c>
      <c r="AA66" s="13">
        <f t="shared" si="21"/>
        <v>79.63790664780764</v>
      </c>
      <c r="AB66" s="13">
        <f t="shared" si="21"/>
        <v>81.94625176803396</v>
      </c>
      <c r="AC66" s="13">
        <f t="shared" si="21"/>
        <v>84.254596888260266</v>
      </c>
      <c r="AD66" s="13">
        <f t="shared" si="21"/>
        <v>86.562942008486573</v>
      </c>
      <c r="AE66" s="13">
        <f t="shared" si="21"/>
        <v>88.871287128712879</v>
      </c>
      <c r="AF66" s="13">
        <f t="shared" si="21"/>
        <v>88.871287128712879</v>
      </c>
      <c r="AG66" s="13">
        <f t="shared" si="21"/>
        <v>88.871287128712879</v>
      </c>
      <c r="AH66" s="13">
        <f t="shared" si="21"/>
        <v>88.871287128712879</v>
      </c>
      <c r="AI66" s="13">
        <f t="shared" si="21"/>
        <v>88.871287128712879</v>
      </c>
      <c r="AJ66" s="13">
        <f t="shared" si="21"/>
        <v>88.871287128712879</v>
      </c>
      <c r="AK66" s="13">
        <f t="shared" si="21"/>
        <v>88.871287128712879</v>
      </c>
      <c r="AL66" s="13">
        <f t="shared" si="21"/>
        <v>88.871287128712879</v>
      </c>
      <c r="AM66" s="13">
        <f t="shared" si="21"/>
        <v>88.871287128712879</v>
      </c>
      <c r="AN66" s="13">
        <f t="shared" si="21"/>
        <v>88.871287128712879</v>
      </c>
      <c r="AO66" s="13">
        <f t="shared" si="21"/>
        <v>88.871287128712879</v>
      </c>
      <c r="AP66" s="13">
        <f t="shared" si="21"/>
        <v>88.871287128712879</v>
      </c>
      <c r="AQ66" s="13">
        <f t="shared" si="21"/>
        <v>88.871287128712879</v>
      </c>
      <c r="AR66" s="13">
        <f t="shared" si="21"/>
        <v>88.871287128712879</v>
      </c>
      <c r="AS66" s="13">
        <f t="shared" si="21"/>
        <v>88.871287128712879</v>
      </c>
      <c r="AT66" s="13">
        <f t="shared" si="21"/>
        <v>88.871287128712879</v>
      </c>
      <c r="AU66" s="13">
        <f t="shared" si="21"/>
        <v>88.871287128712879</v>
      </c>
      <c r="AV66" s="13">
        <f t="shared" si="21"/>
        <v>88.871287128712879</v>
      </c>
      <c r="AW66" s="13">
        <f t="shared" si="21"/>
        <v>88.871287128712879</v>
      </c>
      <c r="AX66" s="13">
        <f t="shared" si="21"/>
        <v>88.871287128712879</v>
      </c>
      <c r="AY66" s="13">
        <f t="shared" si="21"/>
        <v>88.871287128712879</v>
      </c>
      <c r="AZ66" s="13">
        <f t="shared" si="21"/>
        <v>88.871287128712879</v>
      </c>
      <c r="BA66" s="13">
        <f t="shared" si="21"/>
        <v>88.871287128712879</v>
      </c>
      <c r="BB66" s="13">
        <f t="shared" si="21"/>
        <v>88.871287128712879</v>
      </c>
      <c r="BC66" s="13">
        <f t="shared" si="21"/>
        <v>88.871287128712879</v>
      </c>
      <c r="BD66" s="13">
        <f t="shared" si="21"/>
        <v>88.871287128712879</v>
      </c>
      <c r="BE66" s="13">
        <f t="shared" si="21"/>
        <v>88.871287128712879</v>
      </c>
      <c r="BF66" s="13">
        <f t="shared" si="21"/>
        <v>88.871287128712879</v>
      </c>
      <c r="BG66" s="13">
        <f t="shared" si="21"/>
        <v>88.871287128712879</v>
      </c>
      <c r="BH66" s="13">
        <f t="shared" si="21"/>
        <v>88.871287128712879</v>
      </c>
      <c r="BI66" s="13">
        <f t="shared" si="21"/>
        <v>88.871287128712879</v>
      </c>
      <c r="BJ66" s="13">
        <f t="shared" si="21"/>
        <v>88.871287128712879</v>
      </c>
      <c r="BK66" s="13">
        <f t="shared" si="21"/>
        <v>88.871287128712879</v>
      </c>
      <c r="BL66" s="13">
        <f t="shared" si="21"/>
        <v>88.871287128712879</v>
      </c>
      <c r="BM66" s="13">
        <f t="shared" si="21"/>
        <v>88.871287128712879</v>
      </c>
      <c r="BN66" s="13">
        <f t="shared" si="21"/>
        <v>88.871287128712879</v>
      </c>
      <c r="BO66" s="13">
        <f t="shared" si="21"/>
        <v>88.871287128712879</v>
      </c>
      <c r="BP66" s="13">
        <f t="shared" si="21"/>
        <v>88.871287128712879</v>
      </c>
      <c r="BQ66" s="13">
        <f t="shared" si="21"/>
        <v>88.871287128712879</v>
      </c>
      <c r="BR66" s="13">
        <f t="shared" si="21"/>
        <v>88.871287128712879</v>
      </c>
      <c r="BS66" s="13">
        <f t="shared" si="19"/>
        <v>88.871287128712879</v>
      </c>
      <c r="BT66" s="13">
        <f t="shared" si="19"/>
        <v>88.871287128712879</v>
      </c>
      <c r="BU66" s="13">
        <f t="shared" si="19"/>
        <v>88.871287128712879</v>
      </c>
      <c r="BV66" s="13">
        <f t="shared" si="19"/>
        <v>88.871287128712879</v>
      </c>
      <c r="BW66" s="13">
        <f t="shared" si="19"/>
        <v>88.871287128712879</v>
      </c>
      <c r="BX66" s="13">
        <f t="shared" si="19"/>
        <v>88.871287128712879</v>
      </c>
      <c r="BY66" s="13">
        <f t="shared" si="19"/>
        <v>88.871287128712879</v>
      </c>
      <c r="BZ66" s="13">
        <f t="shared" si="19"/>
        <v>88.871287128712879</v>
      </c>
      <c r="CA66" s="13">
        <f t="shared" si="19"/>
        <v>88.871287128712879</v>
      </c>
      <c r="CB66" s="13">
        <f t="shared" si="19"/>
        <v>88.871287128712879</v>
      </c>
      <c r="CC66" s="13">
        <f t="shared" si="19"/>
        <v>88.871287128712879</v>
      </c>
      <c r="CD66" s="13">
        <f t="shared" si="19"/>
        <v>88.871287128712879</v>
      </c>
      <c r="CE66" s="13">
        <f t="shared" si="19"/>
        <v>88.871287128712879</v>
      </c>
      <c r="CF66" s="13">
        <f t="shared" si="19"/>
        <v>88.871287128712879</v>
      </c>
      <c r="CG66" s="13">
        <f t="shared" si="19"/>
        <v>88.871287128712879</v>
      </c>
      <c r="CH66" s="13">
        <f t="shared" si="19"/>
        <v>88.871287128712879</v>
      </c>
      <c r="CI66" s="13">
        <f t="shared" si="19"/>
        <v>88.871287128712879</v>
      </c>
      <c r="CJ66" s="13">
        <f t="shared" si="19"/>
        <v>88.871287128712879</v>
      </c>
      <c r="CK66" s="13">
        <f t="shared" si="19"/>
        <v>88.871287128712879</v>
      </c>
      <c r="CL66" s="13">
        <f t="shared" si="19"/>
        <v>88.871287128712879</v>
      </c>
      <c r="CM66" s="13">
        <f t="shared" si="19"/>
        <v>88.871287128712879</v>
      </c>
    </row>
    <row r="67" spans="1:91">
      <c r="E67" s="41" t="s">
        <v>20</v>
      </c>
      <c r="F67" s="255">
        <f t="shared" si="17"/>
        <v>126.6830354585971</v>
      </c>
      <c r="G67" s="256">
        <f t="shared" si="21"/>
        <v>144.17367989562516</v>
      </c>
      <c r="H67" s="256">
        <f t="shared" si="21"/>
        <v>144.13222396825518</v>
      </c>
      <c r="I67" s="257">
        <f t="shared" si="21"/>
        <v>203.06182858392933</v>
      </c>
      <c r="J67" s="13">
        <f t="shared" si="21"/>
        <v>138.5416292744481</v>
      </c>
      <c r="K67" s="13">
        <f t="shared" si="21"/>
        <v>145.65829380441656</v>
      </c>
      <c r="L67" s="13">
        <f t="shared" si="21"/>
        <v>152.77495833438502</v>
      </c>
      <c r="M67" s="13">
        <f t="shared" si="21"/>
        <v>159.89162286435348</v>
      </c>
      <c r="N67" s="13">
        <f t="shared" si="21"/>
        <v>167.00828739432197</v>
      </c>
      <c r="O67" s="13">
        <f t="shared" si="21"/>
        <v>174.12495192429043</v>
      </c>
      <c r="P67" s="13">
        <f t="shared" si="21"/>
        <v>181.24161645425889</v>
      </c>
      <c r="Q67" s="13">
        <f t="shared" si="21"/>
        <v>188.35828098422735</v>
      </c>
      <c r="R67" s="13">
        <f t="shared" si="21"/>
        <v>195.47494551419581</v>
      </c>
      <c r="S67" s="13">
        <f t="shared" si="21"/>
        <v>202.59161004416427</v>
      </c>
      <c r="T67" s="13">
        <f t="shared" si="21"/>
        <v>209.70827457413273</v>
      </c>
      <c r="U67" s="13">
        <f t="shared" si="21"/>
        <v>216.82493910410119</v>
      </c>
      <c r="V67" s="13">
        <f t="shared" si="21"/>
        <v>223.94160363406965</v>
      </c>
      <c r="W67" s="13">
        <f t="shared" si="21"/>
        <v>231.05826816403811</v>
      </c>
      <c r="X67" s="13">
        <f t="shared" si="21"/>
        <v>238.17493269400657</v>
      </c>
      <c r="Y67" s="13">
        <f t="shared" si="21"/>
        <v>245.29159722397506</v>
      </c>
      <c r="Z67" s="13">
        <f t="shared" si="21"/>
        <v>252.40826175394352</v>
      </c>
      <c r="AA67" s="13">
        <f t="shared" si="21"/>
        <v>259.52492628391201</v>
      </c>
      <c r="AB67" s="13">
        <f t="shared" si="21"/>
        <v>266.64159081388044</v>
      </c>
      <c r="AC67" s="13">
        <f t="shared" si="21"/>
        <v>273.75825534384887</v>
      </c>
      <c r="AD67" s="13">
        <f t="shared" si="21"/>
        <v>280.87491987381736</v>
      </c>
      <c r="AE67" s="13">
        <f t="shared" si="21"/>
        <v>287.99158440378585</v>
      </c>
      <c r="AF67" s="13">
        <f t="shared" si="21"/>
        <v>287.99158440378585</v>
      </c>
      <c r="AG67" s="13">
        <f t="shared" si="21"/>
        <v>287.99158440378585</v>
      </c>
      <c r="AH67" s="13">
        <f t="shared" si="21"/>
        <v>287.99158440378585</v>
      </c>
      <c r="AI67" s="13">
        <f t="shared" si="21"/>
        <v>287.99158440378585</v>
      </c>
      <c r="AJ67" s="13">
        <f t="shared" si="21"/>
        <v>287.99158440378585</v>
      </c>
      <c r="AK67" s="13">
        <f t="shared" si="21"/>
        <v>287.99158440378585</v>
      </c>
      <c r="AL67" s="13">
        <f t="shared" si="21"/>
        <v>287.99158440378585</v>
      </c>
      <c r="AM67" s="13">
        <f t="shared" si="21"/>
        <v>287.99158440378585</v>
      </c>
      <c r="AN67" s="13">
        <f t="shared" si="21"/>
        <v>287.99158440378585</v>
      </c>
      <c r="AO67" s="13">
        <f t="shared" si="21"/>
        <v>287.99158440378585</v>
      </c>
      <c r="AP67" s="13">
        <f t="shared" si="21"/>
        <v>287.99158440378585</v>
      </c>
      <c r="AQ67" s="13">
        <f t="shared" si="21"/>
        <v>287.99158440378585</v>
      </c>
      <c r="AR67" s="13">
        <f t="shared" si="21"/>
        <v>287.99158440378585</v>
      </c>
      <c r="AS67" s="13">
        <f t="shared" si="21"/>
        <v>287.99158440378585</v>
      </c>
      <c r="AT67" s="13">
        <f t="shared" si="21"/>
        <v>287.99158440378585</v>
      </c>
      <c r="AU67" s="13">
        <f t="shared" si="21"/>
        <v>287.99158440378585</v>
      </c>
      <c r="AV67" s="13">
        <f t="shared" si="21"/>
        <v>287.99158440378585</v>
      </c>
      <c r="AW67" s="13">
        <f t="shared" si="21"/>
        <v>287.99158440378585</v>
      </c>
      <c r="AX67" s="13">
        <f t="shared" si="21"/>
        <v>287.99158440378585</v>
      </c>
      <c r="AY67" s="13">
        <f t="shared" si="21"/>
        <v>287.99158440378585</v>
      </c>
      <c r="AZ67" s="13">
        <f t="shared" si="21"/>
        <v>287.99158440378585</v>
      </c>
      <c r="BA67" s="13">
        <f t="shared" si="21"/>
        <v>287.99158440378585</v>
      </c>
      <c r="BB67" s="13">
        <f t="shared" si="21"/>
        <v>287.99158440378585</v>
      </c>
      <c r="BC67" s="13">
        <f t="shared" si="21"/>
        <v>287.99158440378585</v>
      </c>
      <c r="BD67" s="13">
        <f t="shared" si="21"/>
        <v>287.99158440378585</v>
      </c>
      <c r="BE67" s="13">
        <f t="shared" si="21"/>
        <v>287.99158440378585</v>
      </c>
      <c r="BF67" s="13">
        <f t="shared" si="21"/>
        <v>287.99158440378585</v>
      </c>
      <c r="BG67" s="13">
        <f t="shared" si="21"/>
        <v>287.99158440378585</v>
      </c>
      <c r="BH67" s="13">
        <f t="shared" si="21"/>
        <v>287.99158440378585</v>
      </c>
      <c r="BI67" s="13">
        <f t="shared" si="21"/>
        <v>287.99158440378585</v>
      </c>
      <c r="BJ67" s="13">
        <f t="shared" si="21"/>
        <v>287.99158440378585</v>
      </c>
      <c r="BK67" s="13">
        <f t="shared" si="21"/>
        <v>287.99158440378585</v>
      </c>
      <c r="BL67" s="13">
        <f t="shared" si="21"/>
        <v>287.99158440378585</v>
      </c>
      <c r="BM67" s="13">
        <f t="shared" si="21"/>
        <v>287.99158440378585</v>
      </c>
      <c r="BN67" s="13">
        <f t="shared" si="21"/>
        <v>287.99158440378585</v>
      </c>
      <c r="BO67" s="13">
        <f t="shared" si="21"/>
        <v>287.99158440378585</v>
      </c>
      <c r="BP67" s="13">
        <f t="shared" si="21"/>
        <v>287.99158440378585</v>
      </c>
      <c r="BQ67" s="13">
        <f t="shared" si="21"/>
        <v>287.99158440378585</v>
      </c>
      <c r="BR67" s="13">
        <f t="shared" si="21"/>
        <v>287.99158440378585</v>
      </c>
      <c r="BS67" s="13">
        <f t="shared" si="19"/>
        <v>287.99158440378585</v>
      </c>
      <c r="BT67" s="13">
        <f t="shared" si="19"/>
        <v>287.99158440378585</v>
      </c>
      <c r="BU67" s="13">
        <f t="shared" si="19"/>
        <v>287.99158440378585</v>
      </c>
      <c r="BV67" s="13">
        <f t="shared" si="19"/>
        <v>287.99158440378585</v>
      </c>
      <c r="BW67" s="13">
        <f t="shared" si="19"/>
        <v>287.99158440378585</v>
      </c>
      <c r="BX67" s="13">
        <f t="shared" si="19"/>
        <v>287.99158440378585</v>
      </c>
      <c r="BY67" s="13">
        <f t="shared" si="19"/>
        <v>287.99158440378585</v>
      </c>
      <c r="BZ67" s="13">
        <f t="shared" si="19"/>
        <v>287.99158440378585</v>
      </c>
      <c r="CA67" s="13">
        <f t="shared" si="19"/>
        <v>287.99158440378585</v>
      </c>
      <c r="CB67" s="13">
        <f t="shared" si="19"/>
        <v>287.99158440378585</v>
      </c>
      <c r="CC67" s="13">
        <f t="shared" si="19"/>
        <v>287.99158440378585</v>
      </c>
      <c r="CD67" s="13">
        <f t="shared" si="19"/>
        <v>287.99158440378585</v>
      </c>
      <c r="CE67" s="13">
        <f t="shared" si="19"/>
        <v>287.99158440378585</v>
      </c>
      <c r="CF67" s="13">
        <f t="shared" si="19"/>
        <v>287.99158440378585</v>
      </c>
      <c r="CG67" s="13">
        <f t="shared" si="19"/>
        <v>287.99158440378585</v>
      </c>
      <c r="CH67" s="13">
        <f t="shared" si="19"/>
        <v>287.99158440378585</v>
      </c>
      <c r="CI67" s="13">
        <f t="shared" si="19"/>
        <v>287.99158440378585</v>
      </c>
      <c r="CJ67" s="13">
        <f t="shared" si="19"/>
        <v>287.99158440378585</v>
      </c>
      <c r="CK67" s="13">
        <f t="shared" si="19"/>
        <v>287.99158440378585</v>
      </c>
      <c r="CL67" s="13">
        <f t="shared" si="19"/>
        <v>287.99158440378585</v>
      </c>
      <c r="CM67" s="13">
        <f t="shared" si="19"/>
        <v>287.99158440378585</v>
      </c>
    </row>
    <row r="68" spans="1:91">
      <c r="E68" s="41" t="s">
        <v>87</v>
      </c>
      <c r="F68" s="255">
        <f t="shared" si="17"/>
        <v>126.6830354585971</v>
      </c>
      <c r="G68" s="256">
        <f t="shared" si="21"/>
        <v>144.17367989562516</v>
      </c>
      <c r="H68" s="256">
        <f t="shared" si="21"/>
        <v>144.13222396825518</v>
      </c>
      <c r="I68" s="257">
        <f t="shared" si="21"/>
        <v>203.06182858392933</v>
      </c>
      <c r="J68" s="13">
        <f t="shared" si="21"/>
        <v>138.5416292744481</v>
      </c>
      <c r="K68" s="13">
        <f t="shared" si="21"/>
        <v>145.65829380441656</v>
      </c>
      <c r="L68" s="13">
        <f t="shared" si="21"/>
        <v>152.77495833438502</v>
      </c>
      <c r="M68" s="13">
        <f t="shared" si="21"/>
        <v>159.89162286435348</v>
      </c>
      <c r="N68" s="13">
        <f t="shared" si="21"/>
        <v>167.00828739432197</v>
      </c>
      <c r="O68" s="13">
        <f t="shared" si="21"/>
        <v>174.12495192429043</v>
      </c>
      <c r="P68" s="13">
        <f t="shared" si="21"/>
        <v>181.24161645425889</v>
      </c>
      <c r="Q68" s="13">
        <f t="shared" si="21"/>
        <v>188.35828098422735</v>
      </c>
      <c r="R68" s="13">
        <f t="shared" si="21"/>
        <v>195.47494551419581</v>
      </c>
      <c r="S68" s="13">
        <f t="shared" si="21"/>
        <v>202.59161004416427</v>
      </c>
      <c r="T68" s="13">
        <f t="shared" si="21"/>
        <v>209.70827457413273</v>
      </c>
      <c r="U68" s="13">
        <f t="shared" si="21"/>
        <v>216.82493910410119</v>
      </c>
      <c r="V68" s="13">
        <f t="shared" si="21"/>
        <v>223.94160363406965</v>
      </c>
      <c r="W68" s="13">
        <f t="shared" si="21"/>
        <v>231.05826816403811</v>
      </c>
      <c r="X68" s="13">
        <f t="shared" si="21"/>
        <v>238.17493269400657</v>
      </c>
      <c r="Y68" s="13">
        <f t="shared" si="21"/>
        <v>245.29159722397506</v>
      </c>
      <c r="Z68" s="13">
        <f t="shared" si="21"/>
        <v>252.40826175394352</v>
      </c>
      <c r="AA68" s="13">
        <f t="shared" si="21"/>
        <v>259.52492628391201</v>
      </c>
      <c r="AB68" s="13">
        <f t="shared" si="21"/>
        <v>266.64159081388044</v>
      </c>
      <c r="AC68" s="13">
        <f t="shared" si="21"/>
        <v>273.75825534384887</v>
      </c>
      <c r="AD68" s="13">
        <f t="shared" si="21"/>
        <v>280.87491987381736</v>
      </c>
      <c r="AE68" s="13">
        <f t="shared" si="21"/>
        <v>287.99158440378585</v>
      </c>
      <c r="AF68" s="13">
        <f t="shared" si="21"/>
        <v>287.99158440378585</v>
      </c>
      <c r="AG68" s="13">
        <f t="shared" si="21"/>
        <v>287.99158440378585</v>
      </c>
      <c r="AH68" s="13">
        <f t="shared" si="21"/>
        <v>287.99158440378585</v>
      </c>
      <c r="AI68" s="13">
        <f t="shared" si="21"/>
        <v>287.99158440378585</v>
      </c>
      <c r="AJ68" s="13">
        <f t="shared" si="21"/>
        <v>287.99158440378585</v>
      </c>
      <c r="AK68" s="13">
        <f t="shared" si="21"/>
        <v>287.99158440378585</v>
      </c>
      <c r="AL68" s="13">
        <f t="shared" si="21"/>
        <v>287.99158440378585</v>
      </c>
      <c r="AM68" s="13">
        <f t="shared" si="21"/>
        <v>287.99158440378585</v>
      </c>
      <c r="AN68" s="13">
        <f t="shared" si="21"/>
        <v>287.99158440378585</v>
      </c>
      <c r="AO68" s="13">
        <f t="shared" si="21"/>
        <v>287.99158440378585</v>
      </c>
      <c r="AP68" s="13">
        <f t="shared" si="21"/>
        <v>287.99158440378585</v>
      </c>
      <c r="AQ68" s="13">
        <f t="shared" si="21"/>
        <v>287.99158440378585</v>
      </c>
      <c r="AR68" s="13">
        <f t="shared" si="21"/>
        <v>287.99158440378585</v>
      </c>
      <c r="AS68" s="13">
        <f t="shared" si="21"/>
        <v>287.99158440378585</v>
      </c>
      <c r="AT68" s="13">
        <f t="shared" si="21"/>
        <v>287.99158440378585</v>
      </c>
      <c r="AU68" s="13">
        <f t="shared" si="21"/>
        <v>287.99158440378585</v>
      </c>
      <c r="AV68" s="13">
        <f t="shared" si="21"/>
        <v>287.99158440378585</v>
      </c>
      <c r="AW68" s="13">
        <f t="shared" si="21"/>
        <v>287.99158440378585</v>
      </c>
      <c r="AX68" s="13">
        <f t="shared" si="21"/>
        <v>287.99158440378585</v>
      </c>
      <c r="AY68" s="13">
        <f t="shared" si="21"/>
        <v>287.99158440378585</v>
      </c>
      <c r="AZ68" s="13">
        <f t="shared" si="21"/>
        <v>287.99158440378585</v>
      </c>
      <c r="BA68" s="13">
        <f t="shared" si="21"/>
        <v>287.99158440378585</v>
      </c>
      <c r="BB68" s="13">
        <f t="shared" si="21"/>
        <v>287.99158440378585</v>
      </c>
      <c r="BC68" s="13">
        <f t="shared" si="21"/>
        <v>287.99158440378585</v>
      </c>
      <c r="BD68" s="13">
        <f t="shared" si="21"/>
        <v>287.99158440378585</v>
      </c>
      <c r="BE68" s="13">
        <f t="shared" si="21"/>
        <v>287.99158440378585</v>
      </c>
      <c r="BF68" s="13">
        <f t="shared" si="21"/>
        <v>287.99158440378585</v>
      </c>
      <c r="BG68" s="13">
        <f t="shared" si="21"/>
        <v>287.99158440378585</v>
      </c>
      <c r="BH68" s="13">
        <f t="shared" si="21"/>
        <v>287.99158440378585</v>
      </c>
      <c r="BI68" s="13">
        <f t="shared" si="21"/>
        <v>287.99158440378585</v>
      </c>
      <c r="BJ68" s="13">
        <f t="shared" si="21"/>
        <v>287.99158440378585</v>
      </c>
      <c r="BK68" s="13">
        <f t="shared" si="21"/>
        <v>287.99158440378585</v>
      </c>
      <c r="BL68" s="13">
        <f t="shared" si="21"/>
        <v>287.99158440378585</v>
      </c>
      <c r="BM68" s="13">
        <f t="shared" si="21"/>
        <v>287.99158440378585</v>
      </c>
      <c r="BN68" s="13">
        <f t="shared" si="21"/>
        <v>287.99158440378585</v>
      </c>
      <c r="BO68" s="13">
        <f t="shared" si="21"/>
        <v>287.99158440378585</v>
      </c>
      <c r="BP68" s="13">
        <f t="shared" si="21"/>
        <v>287.99158440378585</v>
      </c>
      <c r="BQ68" s="13">
        <f t="shared" si="21"/>
        <v>287.99158440378585</v>
      </c>
      <c r="BR68" s="13">
        <f t="shared" si="21"/>
        <v>287.99158440378585</v>
      </c>
      <c r="BS68" s="13">
        <f t="shared" si="19"/>
        <v>287.99158440378585</v>
      </c>
      <c r="BT68" s="13">
        <f t="shared" si="19"/>
        <v>287.99158440378585</v>
      </c>
      <c r="BU68" s="13">
        <f t="shared" si="19"/>
        <v>287.99158440378585</v>
      </c>
      <c r="BV68" s="13">
        <f t="shared" si="19"/>
        <v>287.99158440378585</v>
      </c>
      <c r="BW68" s="13">
        <f t="shared" si="19"/>
        <v>287.99158440378585</v>
      </c>
      <c r="BX68" s="13">
        <f t="shared" si="19"/>
        <v>287.99158440378585</v>
      </c>
      <c r="BY68" s="13">
        <f t="shared" si="19"/>
        <v>287.99158440378585</v>
      </c>
      <c r="BZ68" s="13">
        <f t="shared" si="19"/>
        <v>287.99158440378585</v>
      </c>
      <c r="CA68" s="13">
        <f t="shared" si="19"/>
        <v>287.99158440378585</v>
      </c>
      <c r="CB68" s="13">
        <f t="shared" si="19"/>
        <v>287.99158440378585</v>
      </c>
      <c r="CC68" s="13">
        <f t="shared" si="19"/>
        <v>287.99158440378585</v>
      </c>
      <c r="CD68" s="13">
        <f t="shared" si="19"/>
        <v>287.99158440378585</v>
      </c>
      <c r="CE68" s="13">
        <f t="shared" si="19"/>
        <v>287.99158440378585</v>
      </c>
      <c r="CF68" s="13">
        <f t="shared" si="19"/>
        <v>287.99158440378585</v>
      </c>
      <c r="CG68" s="13">
        <f t="shared" si="19"/>
        <v>287.99158440378585</v>
      </c>
      <c r="CH68" s="13">
        <f t="shared" si="19"/>
        <v>287.99158440378585</v>
      </c>
      <c r="CI68" s="13">
        <f t="shared" si="19"/>
        <v>287.99158440378585</v>
      </c>
      <c r="CJ68" s="13">
        <f t="shared" si="19"/>
        <v>287.99158440378585</v>
      </c>
      <c r="CK68" s="13">
        <f t="shared" si="19"/>
        <v>287.99158440378585</v>
      </c>
      <c r="CL68" s="13">
        <f t="shared" si="19"/>
        <v>287.99158440378585</v>
      </c>
      <c r="CM68" s="13">
        <f t="shared" si="19"/>
        <v>287.99158440378585</v>
      </c>
    </row>
    <row r="69" spans="1:91">
      <c r="E69" s="41" t="s">
        <v>88</v>
      </c>
      <c r="F69" s="255">
        <f t="shared" si="17"/>
        <v>3</v>
      </c>
      <c r="G69" s="256">
        <f t="shared" si="21"/>
        <v>3.5</v>
      </c>
      <c r="H69" s="256">
        <f t="shared" si="21"/>
        <v>4</v>
      </c>
      <c r="I69" s="257">
        <f t="shared" si="21"/>
        <v>4.5</v>
      </c>
      <c r="J69" s="13">
        <f t="shared" si="21"/>
        <v>5.254329081277362</v>
      </c>
      <c r="K69" s="13">
        <f t="shared" si="21"/>
        <v>5.2806007266837485</v>
      </c>
      <c r="L69" s="13">
        <f t="shared" si="21"/>
        <v>5.3070037303171667</v>
      </c>
      <c r="M69" s="13">
        <f t="shared" si="21"/>
        <v>5.3335387489687518</v>
      </c>
      <c r="N69" s="13">
        <f t="shared" si="21"/>
        <v>5.3602064427135954</v>
      </c>
      <c r="O69" s="13">
        <f t="shared" si="21"/>
        <v>5.387007474927163</v>
      </c>
      <c r="P69" s="13">
        <f t="shared" si="21"/>
        <v>5.4139425123017979</v>
      </c>
      <c r="Q69" s="13">
        <f t="shared" si="21"/>
        <v>5.4410122248633064</v>
      </c>
      <c r="R69" s="13">
        <f t="shared" si="21"/>
        <v>5.4682172859876221</v>
      </c>
      <c r="S69" s="13">
        <f t="shared" si="21"/>
        <v>5.4955583724175598</v>
      </c>
      <c r="T69" s="13">
        <f t="shared" si="21"/>
        <v>5.5230361642796471</v>
      </c>
      <c r="U69" s="13">
        <f t="shared" si="21"/>
        <v>5.5506513451010449</v>
      </c>
      <c r="V69" s="13">
        <f t="shared" si="21"/>
        <v>5.5784046018265494</v>
      </c>
      <c r="W69" s="13">
        <f t="shared" si="21"/>
        <v>5.6062966248356814</v>
      </c>
      <c r="X69" s="13">
        <f t="shared" si="21"/>
        <v>5.6343281079598588</v>
      </c>
      <c r="Y69" s="13">
        <f t="shared" si="21"/>
        <v>5.6624997484996573</v>
      </c>
      <c r="Z69" s="13">
        <f t="shared" si="21"/>
        <v>5.690812247242155</v>
      </c>
      <c r="AA69" s="13">
        <f t="shared" si="21"/>
        <v>5.7192663084783648</v>
      </c>
      <c r="AB69" s="13">
        <f t="shared" si="21"/>
        <v>5.747862640020756</v>
      </c>
      <c r="AC69" s="13">
        <f t="shared" si="21"/>
        <v>5.776601953220859</v>
      </c>
      <c r="AD69" s="13">
        <f t="shared" si="21"/>
        <v>5.8054849629869629</v>
      </c>
      <c r="AE69" s="13">
        <f t="shared" si="21"/>
        <v>5.8345123878018974</v>
      </c>
      <c r="AF69" s="13">
        <f t="shared" si="21"/>
        <v>5.8345123878018974</v>
      </c>
      <c r="AG69" s="13">
        <f t="shared" si="21"/>
        <v>5.8345123878018974</v>
      </c>
      <c r="AH69" s="13">
        <f t="shared" si="21"/>
        <v>5.8345123878018974</v>
      </c>
      <c r="AI69" s="13">
        <f t="shared" si="21"/>
        <v>5.8345123878018974</v>
      </c>
      <c r="AJ69" s="13">
        <f t="shared" si="21"/>
        <v>5.8345123878018974</v>
      </c>
      <c r="AK69" s="13">
        <f t="shared" si="21"/>
        <v>5.8345123878018974</v>
      </c>
      <c r="AL69" s="13">
        <f t="shared" si="21"/>
        <v>5.8345123878018974</v>
      </c>
      <c r="AM69" s="13">
        <f t="shared" si="21"/>
        <v>5.8345123878018974</v>
      </c>
      <c r="AN69" s="13">
        <f t="shared" si="21"/>
        <v>5.8345123878018974</v>
      </c>
      <c r="AO69" s="13">
        <f t="shared" si="21"/>
        <v>5.8345123878018974</v>
      </c>
      <c r="AP69" s="13">
        <f t="shared" si="21"/>
        <v>5.8345123878018974</v>
      </c>
      <c r="AQ69" s="13">
        <f t="shared" si="21"/>
        <v>5.8345123878018974</v>
      </c>
      <c r="AR69" s="13">
        <f t="shared" si="21"/>
        <v>5.8345123878018974</v>
      </c>
      <c r="AS69" s="13">
        <f t="shared" si="21"/>
        <v>5.8345123878018974</v>
      </c>
      <c r="AT69" s="13">
        <f t="shared" si="21"/>
        <v>5.8345123878018974</v>
      </c>
      <c r="AU69" s="13">
        <f t="shared" si="21"/>
        <v>5.8345123878018974</v>
      </c>
      <c r="AV69" s="13">
        <f t="shared" si="21"/>
        <v>5.8345123878018974</v>
      </c>
      <c r="AW69" s="13">
        <f t="shared" si="21"/>
        <v>5.8345123878018974</v>
      </c>
      <c r="AX69" s="13">
        <f t="shared" si="21"/>
        <v>5.8345123878018974</v>
      </c>
      <c r="AY69" s="13">
        <f t="shared" si="21"/>
        <v>5.8345123878018974</v>
      </c>
      <c r="AZ69" s="13">
        <f t="shared" si="21"/>
        <v>5.8345123878018974</v>
      </c>
      <c r="BA69" s="13">
        <f t="shared" si="21"/>
        <v>5.8345123878018974</v>
      </c>
      <c r="BB69" s="13">
        <f t="shared" si="21"/>
        <v>5.8345123878018974</v>
      </c>
      <c r="BC69" s="13">
        <f t="shared" si="21"/>
        <v>5.8345123878018974</v>
      </c>
      <c r="BD69" s="13">
        <f t="shared" si="21"/>
        <v>5.8345123878018974</v>
      </c>
      <c r="BE69" s="13">
        <f t="shared" si="21"/>
        <v>5.8345123878018974</v>
      </c>
      <c r="BF69" s="13">
        <f t="shared" si="21"/>
        <v>5.8345123878018974</v>
      </c>
      <c r="BG69" s="13">
        <f t="shared" si="21"/>
        <v>5.8345123878018974</v>
      </c>
      <c r="BH69" s="13">
        <f t="shared" si="21"/>
        <v>5.8345123878018974</v>
      </c>
      <c r="BI69" s="13">
        <f t="shared" si="21"/>
        <v>5.8345123878018974</v>
      </c>
      <c r="BJ69" s="13">
        <f t="shared" si="21"/>
        <v>5.8345123878018974</v>
      </c>
      <c r="BK69" s="13">
        <f t="shared" si="21"/>
        <v>5.8345123878018974</v>
      </c>
      <c r="BL69" s="13">
        <f t="shared" si="21"/>
        <v>5.8345123878018974</v>
      </c>
      <c r="BM69" s="13">
        <f t="shared" si="21"/>
        <v>5.8345123878018974</v>
      </c>
      <c r="BN69" s="13">
        <f t="shared" si="21"/>
        <v>5.8345123878018974</v>
      </c>
      <c r="BO69" s="13">
        <f t="shared" si="21"/>
        <v>5.8345123878018974</v>
      </c>
      <c r="BP69" s="13">
        <f t="shared" si="21"/>
        <v>5.8345123878018974</v>
      </c>
      <c r="BQ69" s="13">
        <f t="shared" si="21"/>
        <v>5.8345123878018974</v>
      </c>
      <c r="BR69" s="13">
        <f t="shared" ref="BR69:CM70" si="22">IF($B$12=$B$7,BR29,IF($B$12=$B$8,BR48,BR58))</f>
        <v>5.8345123878018974</v>
      </c>
      <c r="BS69" s="13">
        <f t="shared" si="22"/>
        <v>5.8345123878018974</v>
      </c>
      <c r="BT69" s="13">
        <f t="shared" si="22"/>
        <v>5.8345123878018974</v>
      </c>
      <c r="BU69" s="13">
        <f t="shared" si="22"/>
        <v>5.8345123878018974</v>
      </c>
      <c r="BV69" s="13">
        <f t="shared" si="22"/>
        <v>5.8345123878018974</v>
      </c>
      <c r="BW69" s="13">
        <f t="shared" si="22"/>
        <v>5.8345123878018974</v>
      </c>
      <c r="BX69" s="13">
        <f t="shared" si="22"/>
        <v>5.8345123878018974</v>
      </c>
      <c r="BY69" s="13">
        <f t="shared" si="22"/>
        <v>5.8345123878018974</v>
      </c>
      <c r="BZ69" s="13">
        <f t="shared" si="22"/>
        <v>5.8345123878018974</v>
      </c>
      <c r="CA69" s="13">
        <f t="shared" si="22"/>
        <v>5.8345123878018974</v>
      </c>
      <c r="CB69" s="13">
        <f t="shared" si="22"/>
        <v>5.8345123878018974</v>
      </c>
      <c r="CC69" s="13">
        <f t="shared" si="22"/>
        <v>5.8345123878018974</v>
      </c>
      <c r="CD69" s="13">
        <f t="shared" si="22"/>
        <v>5.8345123878018974</v>
      </c>
      <c r="CE69" s="13">
        <f t="shared" si="22"/>
        <v>5.8345123878018974</v>
      </c>
      <c r="CF69" s="13">
        <f t="shared" si="22"/>
        <v>5.8345123878018974</v>
      </c>
      <c r="CG69" s="13">
        <f t="shared" si="22"/>
        <v>5.8345123878018974</v>
      </c>
      <c r="CH69" s="13">
        <f t="shared" si="22"/>
        <v>5.8345123878018974</v>
      </c>
      <c r="CI69" s="13">
        <f t="shared" si="22"/>
        <v>5.8345123878018974</v>
      </c>
      <c r="CJ69" s="13">
        <f t="shared" si="22"/>
        <v>5.8345123878018974</v>
      </c>
      <c r="CK69" s="13">
        <f t="shared" si="22"/>
        <v>5.8345123878018974</v>
      </c>
      <c r="CL69" s="13">
        <f t="shared" si="22"/>
        <v>5.8345123878018974</v>
      </c>
      <c r="CM69" s="13">
        <f t="shared" si="22"/>
        <v>5.8345123878018974</v>
      </c>
    </row>
    <row r="70" spans="1:91">
      <c r="E70" s="41" t="s">
        <v>89</v>
      </c>
      <c r="F70" s="258">
        <f t="shared" si="17"/>
        <v>3</v>
      </c>
      <c r="G70" s="259">
        <f t="shared" ref="G70:BR70" si="23">IF($B$12=$B$7,G30,IF($B$12=$B$8,G49,G59))</f>
        <v>3.5</v>
      </c>
      <c r="H70" s="259">
        <f t="shared" si="23"/>
        <v>4</v>
      </c>
      <c r="I70" s="260">
        <f t="shared" si="23"/>
        <v>4.5</v>
      </c>
      <c r="J70" s="13">
        <f t="shared" si="23"/>
        <v>5.254329081277362</v>
      </c>
      <c r="K70" s="13">
        <f t="shared" si="23"/>
        <v>5.2806007266837485</v>
      </c>
      <c r="L70" s="13">
        <f t="shared" si="23"/>
        <v>5.3070037303171667</v>
      </c>
      <c r="M70" s="13">
        <f t="shared" si="23"/>
        <v>5.3335387489687518</v>
      </c>
      <c r="N70" s="13">
        <f t="shared" si="23"/>
        <v>5.3602064427135954</v>
      </c>
      <c r="O70" s="13">
        <f t="shared" si="23"/>
        <v>5.387007474927163</v>
      </c>
      <c r="P70" s="13">
        <f t="shared" si="23"/>
        <v>5.4139425123017979</v>
      </c>
      <c r="Q70" s="13">
        <f t="shared" si="23"/>
        <v>5.4410122248633064</v>
      </c>
      <c r="R70" s="13">
        <f t="shared" si="23"/>
        <v>5.4682172859876221</v>
      </c>
      <c r="S70" s="13">
        <f t="shared" si="23"/>
        <v>5.4955583724175598</v>
      </c>
      <c r="T70" s="13">
        <f t="shared" si="23"/>
        <v>5.5230361642796471</v>
      </c>
      <c r="U70" s="13">
        <f t="shared" si="23"/>
        <v>5.5506513451010449</v>
      </c>
      <c r="V70" s="13">
        <f t="shared" si="23"/>
        <v>5.5784046018265494</v>
      </c>
      <c r="W70" s="13">
        <f t="shared" si="23"/>
        <v>5.6062966248356814</v>
      </c>
      <c r="X70" s="13">
        <f t="shared" si="23"/>
        <v>5.6343281079598588</v>
      </c>
      <c r="Y70" s="13">
        <f t="shared" si="23"/>
        <v>5.6624997484996573</v>
      </c>
      <c r="Z70" s="13">
        <f t="shared" si="23"/>
        <v>5.690812247242155</v>
      </c>
      <c r="AA70" s="13">
        <f t="shared" si="23"/>
        <v>5.7192663084783648</v>
      </c>
      <c r="AB70" s="13">
        <f t="shared" si="23"/>
        <v>5.747862640020756</v>
      </c>
      <c r="AC70" s="13">
        <f t="shared" si="23"/>
        <v>5.776601953220859</v>
      </c>
      <c r="AD70" s="13">
        <f t="shared" si="23"/>
        <v>5.8054849629869629</v>
      </c>
      <c r="AE70" s="13">
        <f t="shared" si="23"/>
        <v>5.8345123878018974</v>
      </c>
      <c r="AF70" s="13">
        <f t="shared" si="23"/>
        <v>5.8345123878018974</v>
      </c>
      <c r="AG70" s="13">
        <f t="shared" si="23"/>
        <v>5.8345123878018974</v>
      </c>
      <c r="AH70" s="13">
        <f t="shared" si="23"/>
        <v>5.8345123878018974</v>
      </c>
      <c r="AI70" s="13">
        <f t="shared" si="23"/>
        <v>5.8345123878018974</v>
      </c>
      <c r="AJ70" s="13">
        <f t="shared" si="23"/>
        <v>5.8345123878018974</v>
      </c>
      <c r="AK70" s="13">
        <f t="shared" si="23"/>
        <v>5.8345123878018974</v>
      </c>
      <c r="AL70" s="13">
        <f t="shared" si="23"/>
        <v>5.8345123878018974</v>
      </c>
      <c r="AM70" s="13">
        <f t="shared" si="23"/>
        <v>5.8345123878018974</v>
      </c>
      <c r="AN70" s="13">
        <f t="shared" si="23"/>
        <v>5.8345123878018974</v>
      </c>
      <c r="AO70" s="13">
        <f t="shared" si="23"/>
        <v>5.8345123878018974</v>
      </c>
      <c r="AP70" s="13">
        <f t="shared" si="23"/>
        <v>5.8345123878018974</v>
      </c>
      <c r="AQ70" s="13">
        <f t="shared" si="23"/>
        <v>5.8345123878018974</v>
      </c>
      <c r="AR70" s="13">
        <f t="shared" si="23"/>
        <v>5.8345123878018974</v>
      </c>
      <c r="AS70" s="13">
        <f t="shared" si="23"/>
        <v>5.8345123878018974</v>
      </c>
      <c r="AT70" s="13">
        <f t="shared" si="23"/>
        <v>5.8345123878018974</v>
      </c>
      <c r="AU70" s="13">
        <f t="shared" si="23"/>
        <v>5.8345123878018974</v>
      </c>
      <c r="AV70" s="13">
        <f t="shared" si="23"/>
        <v>5.8345123878018974</v>
      </c>
      <c r="AW70" s="13">
        <f t="shared" si="23"/>
        <v>5.8345123878018974</v>
      </c>
      <c r="AX70" s="13">
        <f t="shared" si="23"/>
        <v>5.8345123878018974</v>
      </c>
      <c r="AY70" s="13">
        <f t="shared" si="23"/>
        <v>5.8345123878018974</v>
      </c>
      <c r="AZ70" s="13">
        <f t="shared" si="23"/>
        <v>5.8345123878018974</v>
      </c>
      <c r="BA70" s="13">
        <f t="shared" si="23"/>
        <v>5.8345123878018974</v>
      </c>
      <c r="BB70" s="13">
        <f t="shared" si="23"/>
        <v>5.8345123878018974</v>
      </c>
      <c r="BC70" s="13">
        <f t="shared" si="23"/>
        <v>5.8345123878018974</v>
      </c>
      <c r="BD70" s="13">
        <f t="shared" si="23"/>
        <v>5.8345123878018974</v>
      </c>
      <c r="BE70" s="13">
        <f t="shared" si="23"/>
        <v>5.8345123878018974</v>
      </c>
      <c r="BF70" s="13">
        <f t="shared" si="23"/>
        <v>5.8345123878018974</v>
      </c>
      <c r="BG70" s="13">
        <f t="shared" si="23"/>
        <v>5.8345123878018974</v>
      </c>
      <c r="BH70" s="13">
        <f t="shared" si="23"/>
        <v>5.8345123878018974</v>
      </c>
      <c r="BI70" s="13">
        <f t="shared" si="23"/>
        <v>5.8345123878018974</v>
      </c>
      <c r="BJ70" s="13">
        <f t="shared" si="23"/>
        <v>5.8345123878018974</v>
      </c>
      <c r="BK70" s="13">
        <f t="shared" si="23"/>
        <v>5.8345123878018974</v>
      </c>
      <c r="BL70" s="13">
        <f t="shared" si="23"/>
        <v>5.8345123878018974</v>
      </c>
      <c r="BM70" s="13">
        <f t="shared" si="23"/>
        <v>5.8345123878018974</v>
      </c>
      <c r="BN70" s="13">
        <f t="shared" si="23"/>
        <v>5.8345123878018974</v>
      </c>
      <c r="BO70" s="13">
        <f t="shared" si="23"/>
        <v>5.8345123878018974</v>
      </c>
      <c r="BP70" s="13">
        <f t="shared" si="23"/>
        <v>5.8345123878018974</v>
      </c>
      <c r="BQ70" s="13">
        <f t="shared" si="23"/>
        <v>5.8345123878018974</v>
      </c>
      <c r="BR70" s="13">
        <f t="shared" si="23"/>
        <v>5.8345123878018974</v>
      </c>
      <c r="BS70" s="13">
        <f t="shared" si="22"/>
        <v>5.8345123878018974</v>
      </c>
      <c r="BT70" s="13">
        <f t="shared" si="22"/>
        <v>5.8345123878018974</v>
      </c>
      <c r="BU70" s="13">
        <f t="shared" si="22"/>
        <v>5.8345123878018974</v>
      </c>
      <c r="BV70" s="13">
        <f t="shared" si="22"/>
        <v>5.8345123878018974</v>
      </c>
      <c r="BW70" s="13">
        <f t="shared" si="22"/>
        <v>5.8345123878018974</v>
      </c>
      <c r="BX70" s="13">
        <f t="shared" si="22"/>
        <v>5.8345123878018974</v>
      </c>
      <c r="BY70" s="13">
        <f t="shared" si="22"/>
        <v>5.8345123878018974</v>
      </c>
      <c r="BZ70" s="13">
        <f t="shared" si="22"/>
        <v>5.8345123878018974</v>
      </c>
      <c r="CA70" s="13">
        <f t="shared" si="22"/>
        <v>5.8345123878018974</v>
      </c>
      <c r="CB70" s="13">
        <f t="shared" si="22"/>
        <v>5.8345123878018974</v>
      </c>
      <c r="CC70" s="13">
        <f t="shared" si="22"/>
        <v>5.8345123878018974</v>
      </c>
      <c r="CD70" s="13">
        <f t="shared" si="22"/>
        <v>5.8345123878018974</v>
      </c>
      <c r="CE70" s="13">
        <f t="shared" si="22"/>
        <v>5.8345123878018974</v>
      </c>
      <c r="CF70" s="13">
        <f t="shared" si="22"/>
        <v>5.8345123878018974</v>
      </c>
      <c r="CG70" s="13">
        <f t="shared" si="22"/>
        <v>5.8345123878018974</v>
      </c>
      <c r="CH70" s="13">
        <f t="shared" si="22"/>
        <v>5.8345123878018974</v>
      </c>
      <c r="CI70" s="13">
        <f t="shared" si="22"/>
        <v>5.8345123878018974</v>
      </c>
      <c r="CJ70" s="13">
        <f t="shared" si="22"/>
        <v>5.8345123878018974</v>
      </c>
      <c r="CK70" s="13">
        <f t="shared" si="22"/>
        <v>5.8345123878018974</v>
      </c>
      <c r="CL70" s="13">
        <f t="shared" si="22"/>
        <v>5.8345123878018974</v>
      </c>
      <c r="CM70" s="13">
        <f t="shared" si="22"/>
        <v>5.8345123878018974</v>
      </c>
    </row>
    <row r="73" spans="1:91">
      <c r="B73" t="s">
        <v>587</v>
      </c>
      <c r="E73" s="36" t="s">
        <v>588</v>
      </c>
      <c r="G73">
        <f>1/0.2778</f>
        <v>3.599712023038157</v>
      </c>
    </row>
    <row r="75" spans="1:91">
      <c r="G75" s="11"/>
    </row>
    <row r="76" spans="1:91">
      <c r="B76" s="11" t="s">
        <v>104</v>
      </c>
      <c r="G76" s="4" t="s">
        <v>83</v>
      </c>
    </row>
    <row r="77" spans="1:91">
      <c r="B77" s="4"/>
      <c r="G77" s="11"/>
    </row>
    <row r="78" spans="1:91">
      <c r="F78" s="4">
        <v>2005</v>
      </c>
      <c r="G78" s="4">
        <v>2006</v>
      </c>
      <c r="H78" s="4">
        <v>2007</v>
      </c>
      <c r="I78" s="4">
        <v>2008</v>
      </c>
      <c r="J78" s="4">
        <v>2009</v>
      </c>
      <c r="K78" s="4">
        <v>2010</v>
      </c>
      <c r="L78" s="4">
        <v>2011</v>
      </c>
      <c r="M78" s="4">
        <v>2012</v>
      </c>
      <c r="N78" s="4">
        <v>2013</v>
      </c>
      <c r="O78" s="4">
        <v>2014</v>
      </c>
      <c r="P78" s="4">
        <v>2015</v>
      </c>
      <c r="Q78" s="4">
        <v>2016</v>
      </c>
      <c r="R78" s="4">
        <v>2017</v>
      </c>
      <c r="S78" s="4">
        <v>2018</v>
      </c>
      <c r="T78" s="4">
        <v>2019</v>
      </c>
      <c r="U78" s="4">
        <v>2020</v>
      </c>
      <c r="V78" s="4">
        <v>2021</v>
      </c>
      <c r="W78" s="4">
        <v>2022</v>
      </c>
      <c r="X78" s="4">
        <v>2023</v>
      </c>
      <c r="Y78" s="4">
        <v>2024</v>
      </c>
      <c r="Z78" s="4">
        <v>2025</v>
      </c>
      <c r="AA78" s="4">
        <v>2026</v>
      </c>
      <c r="AB78" s="4">
        <v>2027</v>
      </c>
      <c r="AC78" s="4">
        <v>2028</v>
      </c>
      <c r="AD78" s="4">
        <v>2029</v>
      </c>
      <c r="AE78" s="4">
        <v>2030</v>
      </c>
      <c r="AF78" s="4">
        <v>2031</v>
      </c>
      <c r="AG78" s="4">
        <v>2032</v>
      </c>
      <c r="AH78" s="4">
        <v>2033</v>
      </c>
      <c r="AI78" s="4">
        <v>2034</v>
      </c>
      <c r="AJ78" s="4">
        <v>2035</v>
      </c>
      <c r="AK78" s="4">
        <v>2036</v>
      </c>
      <c r="AL78" s="4">
        <v>2037</v>
      </c>
      <c r="AM78" s="4">
        <v>2038</v>
      </c>
      <c r="AN78" s="4">
        <v>2039</v>
      </c>
      <c r="AO78" s="4">
        <v>2040</v>
      </c>
      <c r="AP78" s="4">
        <v>2041</v>
      </c>
      <c r="AQ78" s="4">
        <v>2042</v>
      </c>
      <c r="AR78" s="4">
        <v>2043</v>
      </c>
      <c r="AS78" s="4">
        <v>2044</v>
      </c>
      <c r="AT78" s="4">
        <v>2045</v>
      </c>
      <c r="AU78" s="4">
        <v>2046</v>
      </c>
      <c r="AV78" s="4">
        <v>2047</v>
      </c>
      <c r="AW78" s="4">
        <v>2048</v>
      </c>
      <c r="AX78" s="4">
        <v>2049</v>
      </c>
      <c r="AY78" s="4">
        <v>2050</v>
      </c>
      <c r="AZ78" s="4">
        <v>2051</v>
      </c>
      <c r="BA78" s="4">
        <v>2052</v>
      </c>
      <c r="BB78" s="4">
        <v>2053</v>
      </c>
      <c r="BC78" s="4">
        <v>2054</v>
      </c>
      <c r="BD78" s="4">
        <v>2055</v>
      </c>
      <c r="BE78" s="4">
        <v>2056</v>
      </c>
      <c r="BF78" s="4">
        <v>2057</v>
      </c>
      <c r="BG78" s="4">
        <v>2058</v>
      </c>
      <c r="BH78" s="4">
        <v>2059</v>
      </c>
      <c r="BI78" s="4">
        <v>2060</v>
      </c>
      <c r="BJ78" s="4">
        <v>2061</v>
      </c>
      <c r="BK78" s="4">
        <v>2062</v>
      </c>
      <c r="BL78" s="4">
        <v>2063</v>
      </c>
      <c r="BM78" s="4">
        <v>2064</v>
      </c>
      <c r="BN78" s="4">
        <v>2065</v>
      </c>
      <c r="BO78" s="4">
        <v>2066</v>
      </c>
      <c r="BP78" s="4">
        <v>2067</v>
      </c>
      <c r="BQ78" s="4">
        <v>2068</v>
      </c>
      <c r="BR78" s="4">
        <v>2069</v>
      </c>
      <c r="BS78" s="4">
        <v>2070</v>
      </c>
      <c r="BT78" s="4">
        <v>2071</v>
      </c>
      <c r="BU78" s="4">
        <v>2072</v>
      </c>
      <c r="BV78" s="4">
        <v>2073</v>
      </c>
      <c r="BW78" s="4">
        <v>2074</v>
      </c>
      <c r="BX78" s="4">
        <v>2075</v>
      </c>
      <c r="BY78" s="4">
        <v>2076</v>
      </c>
      <c r="BZ78" s="4">
        <v>2077</v>
      </c>
      <c r="CA78" s="4">
        <v>2078</v>
      </c>
      <c r="CB78" s="4">
        <v>2079</v>
      </c>
      <c r="CC78" s="4">
        <v>2080</v>
      </c>
      <c r="CD78" s="4">
        <v>2081</v>
      </c>
      <c r="CE78" s="4">
        <v>2082</v>
      </c>
      <c r="CF78" s="4">
        <v>2083</v>
      </c>
      <c r="CG78" s="4">
        <v>2084</v>
      </c>
      <c r="CH78" s="4">
        <v>2085</v>
      </c>
      <c r="CI78" s="4">
        <v>2086</v>
      </c>
      <c r="CJ78" s="4">
        <v>2087</v>
      </c>
      <c r="CK78" s="4">
        <v>2088</v>
      </c>
      <c r="CL78" s="4">
        <v>2089</v>
      </c>
      <c r="CM78" s="4">
        <v>2090</v>
      </c>
    </row>
    <row r="79" spans="1:91">
      <c r="A79">
        <v>1</v>
      </c>
      <c r="B79" s="41" t="s">
        <v>84</v>
      </c>
      <c r="D79" s="11" t="s">
        <v>218</v>
      </c>
      <c r="F79" s="36">
        <f t="shared" ref="F79:F85" si="24">F64*$G$73</f>
        <v>14.451919375150894</v>
      </c>
      <c r="G79" s="36">
        <f t="shared" ref="G79:BR80" si="25">G64*$G$73</f>
        <v>17.151703392429511</v>
      </c>
      <c r="H79" s="36">
        <f t="shared" si="25"/>
        <v>19.851487409708128</v>
      </c>
      <c r="I79" s="36">
        <f t="shared" si="25"/>
        <v>21.058315334773216</v>
      </c>
      <c r="J79" s="36">
        <f t="shared" si="25"/>
        <v>21.058315334773216</v>
      </c>
      <c r="K79" s="36">
        <f t="shared" si="25"/>
        <v>21.178648565257635</v>
      </c>
      <c r="L79" s="36">
        <f t="shared" si="25"/>
        <v>21.298981795742055</v>
      </c>
      <c r="M79" s="36">
        <f t="shared" si="25"/>
        <v>21.419315026226474</v>
      </c>
      <c r="N79" s="36">
        <f t="shared" si="25"/>
        <v>21.53964825671089</v>
      </c>
      <c r="O79" s="36">
        <f t="shared" si="25"/>
        <v>21.65998148719531</v>
      </c>
      <c r="P79" s="36">
        <f t="shared" si="25"/>
        <v>21.780314717679726</v>
      </c>
      <c r="Q79" s="36">
        <f t="shared" si="25"/>
        <v>21.900647948164146</v>
      </c>
      <c r="R79" s="36">
        <f t="shared" si="25"/>
        <v>22.020981178648562</v>
      </c>
      <c r="S79" s="36">
        <f t="shared" si="25"/>
        <v>22.141314409132981</v>
      </c>
      <c r="T79" s="36">
        <f t="shared" si="25"/>
        <v>22.261647639617401</v>
      </c>
      <c r="U79" s="36">
        <f t="shared" si="25"/>
        <v>22.381980870101817</v>
      </c>
      <c r="V79" s="36">
        <f t="shared" si="25"/>
        <v>22.502314100586236</v>
      </c>
      <c r="W79" s="36">
        <f t="shared" si="25"/>
        <v>22.622647331070656</v>
      </c>
      <c r="X79" s="36">
        <f t="shared" si="25"/>
        <v>22.742980561555076</v>
      </c>
      <c r="Y79" s="36">
        <f t="shared" si="25"/>
        <v>22.863313792039492</v>
      </c>
      <c r="Z79" s="36">
        <f t="shared" si="25"/>
        <v>22.983647022523911</v>
      </c>
      <c r="AA79" s="36">
        <f t="shared" si="25"/>
        <v>23.103980253008331</v>
      </c>
      <c r="AB79" s="36">
        <f t="shared" si="25"/>
        <v>23.224313483492747</v>
      </c>
      <c r="AC79" s="36">
        <f t="shared" si="25"/>
        <v>23.344646713977166</v>
      </c>
      <c r="AD79" s="36">
        <f t="shared" si="25"/>
        <v>23.464979944461586</v>
      </c>
      <c r="AE79" s="36">
        <f t="shared" si="25"/>
        <v>23.585313174946002</v>
      </c>
      <c r="AF79" s="36">
        <f t="shared" si="25"/>
        <v>23.585313174946002</v>
      </c>
      <c r="AG79" s="36">
        <f t="shared" si="25"/>
        <v>23.585313174946002</v>
      </c>
      <c r="AH79" s="36">
        <f t="shared" si="25"/>
        <v>23.585313174946002</v>
      </c>
      <c r="AI79" s="36">
        <f t="shared" si="25"/>
        <v>23.585313174946002</v>
      </c>
      <c r="AJ79" s="36">
        <f t="shared" si="25"/>
        <v>23.585313174946002</v>
      </c>
      <c r="AK79" s="36">
        <f t="shared" si="25"/>
        <v>23.585313174946002</v>
      </c>
      <c r="AL79" s="36">
        <f t="shared" si="25"/>
        <v>23.585313174946002</v>
      </c>
      <c r="AM79" s="36">
        <f t="shared" si="25"/>
        <v>23.585313174946002</v>
      </c>
      <c r="AN79" s="36">
        <f t="shared" si="25"/>
        <v>23.585313174946002</v>
      </c>
      <c r="AO79" s="36">
        <f t="shared" si="25"/>
        <v>23.585313174946002</v>
      </c>
      <c r="AP79" s="36">
        <f t="shared" si="25"/>
        <v>23.585313174946002</v>
      </c>
      <c r="AQ79" s="36">
        <f t="shared" si="25"/>
        <v>23.585313174946002</v>
      </c>
      <c r="AR79" s="36">
        <f t="shared" si="25"/>
        <v>23.585313174946002</v>
      </c>
      <c r="AS79" s="36">
        <f t="shared" si="25"/>
        <v>23.585313174946002</v>
      </c>
      <c r="AT79" s="36">
        <f t="shared" si="25"/>
        <v>23.585313174946002</v>
      </c>
      <c r="AU79" s="36">
        <f t="shared" si="25"/>
        <v>23.585313174946002</v>
      </c>
      <c r="AV79" s="36">
        <f t="shared" si="25"/>
        <v>23.585313174946002</v>
      </c>
      <c r="AW79" s="36">
        <f t="shared" si="25"/>
        <v>23.585313174946002</v>
      </c>
      <c r="AX79" s="36">
        <f t="shared" si="25"/>
        <v>23.585313174946002</v>
      </c>
      <c r="AY79" s="36">
        <f t="shared" si="25"/>
        <v>23.585313174946002</v>
      </c>
      <c r="AZ79" s="36">
        <f t="shared" si="25"/>
        <v>23.585313174946002</v>
      </c>
      <c r="BA79" s="36">
        <f t="shared" si="25"/>
        <v>23.585313174946002</v>
      </c>
      <c r="BB79" s="36">
        <f t="shared" si="25"/>
        <v>23.585313174946002</v>
      </c>
      <c r="BC79" s="36">
        <f t="shared" si="25"/>
        <v>23.585313174946002</v>
      </c>
      <c r="BD79" s="36">
        <f t="shared" si="25"/>
        <v>23.585313174946002</v>
      </c>
      <c r="BE79" s="36">
        <f t="shared" si="25"/>
        <v>23.585313174946002</v>
      </c>
      <c r="BF79" s="36">
        <f t="shared" si="25"/>
        <v>23.585313174946002</v>
      </c>
      <c r="BG79" s="36">
        <f t="shared" si="25"/>
        <v>23.585313174946002</v>
      </c>
      <c r="BH79" s="36">
        <f t="shared" si="25"/>
        <v>23.585313174946002</v>
      </c>
      <c r="BI79" s="36">
        <f t="shared" si="25"/>
        <v>23.585313174946002</v>
      </c>
      <c r="BJ79" s="36">
        <f t="shared" si="25"/>
        <v>23.585313174946002</v>
      </c>
      <c r="BK79" s="36">
        <f t="shared" si="25"/>
        <v>23.585313174946002</v>
      </c>
      <c r="BL79" s="36">
        <f t="shared" si="25"/>
        <v>23.585313174946002</v>
      </c>
      <c r="BM79" s="36">
        <f t="shared" si="25"/>
        <v>23.585313174946002</v>
      </c>
      <c r="BN79" s="36">
        <f t="shared" si="25"/>
        <v>23.585313174946002</v>
      </c>
      <c r="BO79" s="36">
        <f t="shared" si="25"/>
        <v>23.585313174946002</v>
      </c>
      <c r="BP79" s="36">
        <f t="shared" si="25"/>
        <v>23.585313174946002</v>
      </c>
      <c r="BQ79" s="36">
        <f t="shared" si="25"/>
        <v>23.585313174946002</v>
      </c>
      <c r="BR79" s="36">
        <f t="shared" si="25"/>
        <v>23.585313174946002</v>
      </c>
      <c r="BS79" s="36">
        <f t="shared" ref="BS79:CM83" si="26">BS64*$G$73</f>
        <v>23.585313174946002</v>
      </c>
      <c r="BT79" s="36">
        <f t="shared" si="26"/>
        <v>23.585313174946002</v>
      </c>
      <c r="BU79" s="36">
        <f t="shared" si="26"/>
        <v>23.585313174946002</v>
      </c>
      <c r="BV79" s="36">
        <f t="shared" si="26"/>
        <v>23.585313174946002</v>
      </c>
      <c r="BW79" s="36">
        <f t="shared" si="26"/>
        <v>23.585313174946002</v>
      </c>
      <c r="BX79" s="36">
        <f t="shared" si="26"/>
        <v>23.585313174946002</v>
      </c>
      <c r="BY79" s="36">
        <f t="shared" si="26"/>
        <v>23.585313174946002</v>
      </c>
      <c r="BZ79" s="36">
        <f t="shared" si="26"/>
        <v>23.585313174946002</v>
      </c>
      <c r="CA79" s="36">
        <f t="shared" si="26"/>
        <v>23.585313174946002</v>
      </c>
      <c r="CB79" s="36">
        <f t="shared" si="26"/>
        <v>23.585313174946002</v>
      </c>
      <c r="CC79" s="36">
        <f t="shared" si="26"/>
        <v>23.585313174946002</v>
      </c>
      <c r="CD79" s="36">
        <f t="shared" si="26"/>
        <v>23.585313174946002</v>
      </c>
      <c r="CE79" s="36">
        <f t="shared" si="26"/>
        <v>23.585313174946002</v>
      </c>
      <c r="CF79" s="36">
        <f t="shared" si="26"/>
        <v>23.585313174946002</v>
      </c>
      <c r="CG79" s="36">
        <f t="shared" si="26"/>
        <v>23.585313174946002</v>
      </c>
      <c r="CH79" s="36">
        <f t="shared" si="26"/>
        <v>23.585313174946002</v>
      </c>
      <c r="CI79" s="36">
        <f t="shared" si="26"/>
        <v>23.585313174946002</v>
      </c>
      <c r="CJ79" s="36">
        <f t="shared" si="26"/>
        <v>23.585313174946002</v>
      </c>
      <c r="CK79" s="36">
        <f t="shared" si="26"/>
        <v>23.585313174946002</v>
      </c>
      <c r="CL79" s="36">
        <f t="shared" si="26"/>
        <v>23.585313174946002</v>
      </c>
      <c r="CM79" s="36">
        <f t="shared" si="26"/>
        <v>23.585313174946002</v>
      </c>
    </row>
    <row r="80" spans="1:91">
      <c r="A80">
        <v>2</v>
      </c>
      <c r="B80" s="41" t="s">
        <v>85</v>
      </c>
      <c r="F80" s="36">
        <f t="shared" si="24"/>
        <v>18.236945878166605</v>
      </c>
      <c r="G80" s="36">
        <f t="shared" ref="G80:U80" si="27">G65*$G$73</f>
        <v>20.936729895445222</v>
      </c>
      <c r="H80" s="36">
        <f t="shared" si="27"/>
        <v>23.636513912723842</v>
      </c>
      <c r="I80" s="36">
        <f t="shared" si="27"/>
        <v>26.45274092358326</v>
      </c>
      <c r="J80" s="36">
        <f t="shared" si="27"/>
        <v>26.45274092358326</v>
      </c>
      <c r="K80" s="36">
        <f t="shared" si="27"/>
        <v>26.603899443146595</v>
      </c>
      <c r="L80" s="36">
        <f t="shared" si="27"/>
        <v>26.755057962709927</v>
      </c>
      <c r="M80" s="36">
        <f t="shared" si="27"/>
        <v>26.906216482273262</v>
      </c>
      <c r="N80" s="36">
        <f t="shared" si="27"/>
        <v>27.05737500183659</v>
      </c>
      <c r="O80" s="36">
        <f t="shared" si="27"/>
        <v>27.208533521399925</v>
      </c>
      <c r="P80" s="36">
        <f t="shared" si="27"/>
        <v>27.359692040963257</v>
      </c>
      <c r="Q80" s="36">
        <f t="shared" si="27"/>
        <v>27.510850560526592</v>
      </c>
      <c r="R80" s="36">
        <f t="shared" si="27"/>
        <v>27.662009080089923</v>
      </c>
      <c r="S80" s="36">
        <f t="shared" si="27"/>
        <v>27.813167599653259</v>
      </c>
      <c r="T80" s="36">
        <f t="shared" si="27"/>
        <v>27.96432611921659</v>
      </c>
      <c r="U80" s="36">
        <f t="shared" si="27"/>
        <v>28.115484638779922</v>
      </c>
      <c r="V80" s="36">
        <f t="shared" si="25"/>
        <v>28.266643158343253</v>
      </c>
      <c r="W80" s="36">
        <f t="shared" si="25"/>
        <v>28.417801677906589</v>
      </c>
      <c r="X80" s="36">
        <f t="shared" si="25"/>
        <v>28.56896019746992</v>
      </c>
      <c r="Y80" s="36">
        <f t="shared" si="25"/>
        <v>28.720118717033255</v>
      </c>
      <c r="Z80" s="36">
        <f t="shared" si="25"/>
        <v>28.87127723659659</v>
      </c>
      <c r="AA80" s="36">
        <f t="shared" si="25"/>
        <v>29.022435756159922</v>
      </c>
      <c r="AB80" s="36">
        <f t="shared" si="25"/>
        <v>29.17359427572325</v>
      </c>
      <c r="AC80" s="36">
        <f t="shared" si="25"/>
        <v>29.324752795286582</v>
      </c>
      <c r="AD80" s="36">
        <f t="shared" si="25"/>
        <v>29.47591131484992</v>
      </c>
      <c r="AE80" s="36">
        <f t="shared" si="25"/>
        <v>29.627069834413252</v>
      </c>
      <c r="AF80" s="36">
        <f t="shared" si="25"/>
        <v>29.627069834413252</v>
      </c>
      <c r="AG80" s="36">
        <f t="shared" si="25"/>
        <v>29.627069834413252</v>
      </c>
      <c r="AH80" s="36">
        <f t="shared" si="25"/>
        <v>29.627069834413252</v>
      </c>
      <c r="AI80" s="36">
        <f t="shared" si="25"/>
        <v>29.627069834413252</v>
      </c>
      <c r="AJ80" s="36">
        <f t="shared" si="25"/>
        <v>29.627069834413252</v>
      </c>
      <c r="AK80" s="36">
        <f t="shared" si="25"/>
        <v>29.627069834413252</v>
      </c>
      <c r="AL80" s="36">
        <f t="shared" si="25"/>
        <v>29.627069834413252</v>
      </c>
      <c r="AM80" s="36">
        <f t="shared" si="25"/>
        <v>29.627069834413252</v>
      </c>
      <c r="AN80" s="36">
        <f t="shared" si="25"/>
        <v>29.627069834413252</v>
      </c>
      <c r="AO80" s="36">
        <f t="shared" si="25"/>
        <v>29.627069834413252</v>
      </c>
      <c r="AP80" s="36">
        <f t="shared" si="25"/>
        <v>29.627069834413252</v>
      </c>
      <c r="AQ80" s="36">
        <f t="shared" si="25"/>
        <v>29.627069834413252</v>
      </c>
      <c r="AR80" s="36">
        <f t="shared" si="25"/>
        <v>29.627069834413252</v>
      </c>
      <c r="AS80" s="36">
        <f t="shared" si="25"/>
        <v>29.627069834413252</v>
      </c>
      <c r="AT80" s="36">
        <f t="shared" si="25"/>
        <v>29.627069834413252</v>
      </c>
      <c r="AU80" s="36">
        <f t="shared" si="25"/>
        <v>29.627069834413252</v>
      </c>
      <c r="AV80" s="36">
        <f t="shared" si="25"/>
        <v>29.627069834413252</v>
      </c>
      <c r="AW80" s="36">
        <f t="shared" si="25"/>
        <v>29.627069834413252</v>
      </c>
      <c r="AX80" s="36">
        <f t="shared" si="25"/>
        <v>29.627069834413252</v>
      </c>
      <c r="AY80" s="36">
        <f t="shared" si="25"/>
        <v>29.627069834413252</v>
      </c>
      <c r="AZ80" s="36">
        <f t="shared" si="25"/>
        <v>29.627069834413252</v>
      </c>
      <c r="BA80" s="36">
        <f t="shared" si="25"/>
        <v>29.627069834413252</v>
      </c>
      <c r="BB80" s="36">
        <f t="shared" si="25"/>
        <v>29.627069834413252</v>
      </c>
      <c r="BC80" s="36">
        <f t="shared" si="25"/>
        <v>29.627069834413252</v>
      </c>
      <c r="BD80" s="36">
        <f t="shared" si="25"/>
        <v>29.627069834413252</v>
      </c>
      <c r="BE80" s="36">
        <f t="shared" si="25"/>
        <v>29.627069834413252</v>
      </c>
      <c r="BF80" s="36">
        <f t="shared" si="25"/>
        <v>29.627069834413252</v>
      </c>
      <c r="BG80" s="36">
        <f t="shared" si="25"/>
        <v>29.627069834413252</v>
      </c>
      <c r="BH80" s="36">
        <f t="shared" si="25"/>
        <v>29.627069834413252</v>
      </c>
      <c r="BI80" s="36">
        <f t="shared" si="25"/>
        <v>29.627069834413252</v>
      </c>
      <c r="BJ80" s="36">
        <f t="shared" si="25"/>
        <v>29.627069834413252</v>
      </c>
      <c r="BK80" s="36">
        <f t="shared" si="25"/>
        <v>29.627069834413252</v>
      </c>
      <c r="BL80" s="36">
        <f t="shared" si="25"/>
        <v>29.627069834413252</v>
      </c>
      <c r="BM80" s="36">
        <f t="shared" si="25"/>
        <v>29.627069834413252</v>
      </c>
      <c r="BN80" s="36">
        <f t="shared" si="25"/>
        <v>29.627069834413252</v>
      </c>
      <c r="BO80" s="36">
        <f t="shared" si="25"/>
        <v>29.627069834413252</v>
      </c>
      <c r="BP80" s="36">
        <f t="shared" si="25"/>
        <v>29.627069834413252</v>
      </c>
      <c r="BQ80" s="36">
        <f t="shared" si="25"/>
        <v>29.627069834413252</v>
      </c>
      <c r="BR80" s="36">
        <f t="shared" si="25"/>
        <v>29.627069834413252</v>
      </c>
      <c r="BS80" s="36">
        <f t="shared" si="26"/>
        <v>29.627069834413252</v>
      </c>
      <c r="BT80" s="36">
        <f t="shared" si="26"/>
        <v>29.627069834413252</v>
      </c>
      <c r="BU80" s="36">
        <f t="shared" si="26"/>
        <v>29.627069834413252</v>
      </c>
      <c r="BV80" s="36">
        <f t="shared" si="26"/>
        <v>29.627069834413252</v>
      </c>
      <c r="BW80" s="36">
        <f t="shared" si="26"/>
        <v>29.627069834413252</v>
      </c>
      <c r="BX80" s="36">
        <f t="shared" si="26"/>
        <v>29.627069834413252</v>
      </c>
      <c r="BY80" s="36">
        <f t="shared" si="26"/>
        <v>29.627069834413252</v>
      </c>
      <c r="BZ80" s="36">
        <f t="shared" si="26"/>
        <v>29.627069834413252</v>
      </c>
      <c r="CA80" s="36">
        <f t="shared" si="26"/>
        <v>29.627069834413252</v>
      </c>
      <c r="CB80" s="36">
        <f t="shared" si="26"/>
        <v>29.627069834413252</v>
      </c>
      <c r="CC80" s="36">
        <f t="shared" si="26"/>
        <v>29.627069834413252</v>
      </c>
      <c r="CD80" s="36">
        <f t="shared" si="26"/>
        <v>29.627069834413252</v>
      </c>
      <c r="CE80" s="36">
        <f t="shared" si="26"/>
        <v>29.627069834413252</v>
      </c>
      <c r="CF80" s="36">
        <f t="shared" si="26"/>
        <v>29.627069834413252</v>
      </c>
      <c r="CG80" s="36">
        <f t="shared" si="26"/>
        <v>29.627069834413252</v>
      </c>
      <c r="CH80" s="36">
        <f t="shared" si="26"/>
        <v>29.627069834413252</v>
      </c>
      <c r="CI80" s="36">
        <f t="shared" si="26"/>
        <v>29.627069834413252</v>
      </c>
      <c r="CJ80" s="36">
        <f t="shared" si="26"/>
        <v>29.627069834413252</v>
      </c>
      <c r="CK80" s="36">
        <f t="shared" si="26"/>
        <v>29.627069834413252</v>
      </c>
      <c r="CL80" s="36">
        <f t="shared" si="26"/>
        <v>29.627069834413252</v>
      </c>
      <c r="CM80" s="36">
        <f t="shared" si="26"/>
        <v>29.627069834413252</v>
      </c>
    </row>
    <row r="81" spans="1:91">
      <c r="A81">
        <v>3</v>
      </c>
      <c r="B81" s="41" t="s">
        <v>86</v>
      </c>
      <c r="F81" s="36">
        <f t="shared" si="24"/>
        <v>114.25394313575141</v>
      </c>
      <c r="G81" s="36">
        <f t="shared" ref="G81:BR84" si="28">G66*$G$73</f>
        <v>130.87269850095163</v>
      </c>
      <c r="H81" s="36">
        <f t="shared" si="28"/>
        <v>139.18207618355171</v>
      </c>
      <c r="I81" s="36">
        <f t="shared" si="28"/>
        <v>209.81178648565259</v>
      </c>
      <c r="J81" s="36">
        <f t="shared" si="28"/>
        <v>145.41410944550179</v>
      </c>
      <c r="K81" s="36">
        <f t="shared" si="28"/>
        <v>153.72348712810191</v>
      </c>
      <c r="L81" s="36">
        <f t="shared" si="28"/>
        <v>162.03286481070199</v>
      </c>
      <c r="M81" s="36">
        <f t="shared" si="28"/>
        <v>170.34224249330211</v>
      </c>
      <c r="N81" s="36">
        <f t="shared" si="28"/>
        <v>178.65162017590222</v>
      </c>
      <c r="O81" s="36">
        <f t="shared" si="28"/>
        <v>186.96099785850231</v>
      </c>
      <c r="P81" s="36">
        <f t="shared" si="28"/>
        <v>195.2703755411024</v>
      </c>
      <c r="Q81" s="36">
        <f t="shared" si="28"/>
        <v>203.57975322370254</v>
      </c>
      <c r="R81" s="36">
        <f t="shared" si="28"/>
        <v>211.88913090630263</v>
      </c>
      <c r="S81" s="36">
        <f t="shared" si="28"/>
        <v>220.19850858890271</v>
      </c>
      <c r="T81" s="36">
        <f t="shared" si="28"/>
        <v>228.50788627150283</v>
      </c>
      <c r="U81" s="36">
        <f t="shared" si="28"/>
        <v>236.81726395410291</v>
      </c>
      <c r="V81" s="36">
        <f t="shared" si="28"/>
        <v>245.12664163670306</v>
      </c>
      <c r="W81" s="36">
        <f t="shared" si="28"/>
        <v>253.43601931930314</v>
      </c>
      <c r="X81" s="36">
        <f t="shared" si="28"/>
        <v>261.74539700190326</v>
      </c>
      <c r="Y81" s="36">
        <f t="shared" si="28"/>
        <v>270.05477468450334</v>
      </c>
      <c r="Z81" s="36">
        <f t="shared" si="28"/>
        <v>278.36415236710343</v>
      </c>
      <c r="AA81" s="36">
        <f t="shared" si="28"/>
        <v>286.67353004970352</v>
      </c>
      <c r="AB81" s="36">
        <f t="shared" si="28"/>
        <v>294.98290773230366</v>
      </c>
      <c r="AC81" s="36">
        <f t="shared" si="28"/>
        <v>303.29228541490374</v>
      </c>
      <c r="AD81" s="36">
        <f t="shared" si="28"/>
        <v>311.60166309750389</v>
      </c>
      <c r="AE81" s="36">
        <f t="shared" si="28"/>
        <v>319.91104078010397</v>
      </c>
      <c r="AF81" s="36">
        <f t="shared" si="28"/>
        <v>319.91104078010397</v>
      </c>
      <c r="AG81" s="36">
        <f t="shared" si="28"/>
        <v>319.91104078010397</v>
      </c>
      <c r="AH81" s="36">
        <f t="shared" si="28"/>
        <v>319.91104078010397</v>
      </c>
      <c r="AI81" s="36">
        <f t="shared" si="28"/>
        <v>319.91104078010397</v>
      </c>
      <c r="AJ81" s="36">
        <f t="shared" si="28"/>
        <v>319.91104078010397</v>
      </c>
      <c r="AK81" s="36">
        <f t="shared" si="28"/>
        <v>319.91104078010397</v>
      </c>
      <c r="AL81" s="36">
        <f t="shared" si="28"/>
        <v>319.91104078010397</v>
      </c>
      <c r="AM81" s="36">
        <f t="shared" si="28"/>
        <v>319.91104078010397</v>
      </c>
      <c r="AN81" s="36">
        <f t="shared" si="28"/>
        <v>319.91104078010397</v>
      </c>
      <c r="AO81" s="36">
        <f t="shared" si="28"/>
        <v>319.91104078010397</v>
      </c>
      <c r="AP81" s="36">
        <f t="shared" si="28"/>
        <v>319.91104078010397</v>
      </c>
      <c r="AQ81" s="36">
        <f t="shared" si="28"/>
        <v>319.91104078010397</v>
      </c>
      <c r="AR81" s="36">
        <f t="shared" si="28"/>
        <v>319.91104078010397</v>
      </c>
      <c r="AS81" s="36">
        <f t="shared" si="28"/>
        <v>319.91104078010397</v>
      </c>
      <c r="AT81" s="36">
        <f t="shared" si="28"/>
        <v>319.91104078010397</v>
      </c>
      <c r="AU81" s="36">
        <f t="shared" si="28"/>
        <v>319.91104078010397</v>
      </c>
      <c r="AV81" s="36">
        <f t="shared" si="28"/>
        <v>319.91104078010397</v>
      </c>
      <c r="AW81" s="36">
        <f t="shared" si="28"/>
        <v>319.91104078010397</v>
      </c>
      <c r="AX81" s="36">
        <f t="shared" si="28"/>
        <v>319.91104078010397</v>
      </c>
      <c r="AY81" s="36">
        <f t="shared" si="28"/>
        <v>319.91104078010397</v>
      </c>
      <c r="AZ81" s="36">
        <f t="shared" si="28"/>
        <v>319.91104078010397</v>
      </c>
      <c r="BA81" s="36">
        <f t="shared" si="28"/>
        <v>319.91104078010397</v>
      </c>
      <c r="BB81" s="36">
        <f t="shared" si="28"/>
        <v>319.91104078010397</v>
      </c>
      <c r="BC81" s="36">
        <f t="shared" si="28"/>
        <v>319.91104078010397</v>
      </c>
      <c r="BD81" s="36">
        <f t="shared" si="28"/>
        <v>319.91104078010397</v>
      </c>
      <c r="BE81" s="36">
        <f t="shared" si="28"/>
        <v>319.91104078010397</v>
      </c>
      <c r="BF81" s="36">
        <f t="shared" si="28"/>
        <v>319.91104078010397</v>
      </c>
      <c r="BG81" s="36">
        <f t="shared" si="28"/>
        <v>319.91104078010397</v>
      </c>
      <c r="BH81" s="36">
        <f t="shared" si="28"/>
        <v>319.91104078010397</v>
      </c>
      <c r="BI81" s="36">
        <f t="shared" si="28"/>
        <v>319.91104078010397</v>
      </c>
      <c r="BJ81" s="36">
        <f t="shared" si="28"/>
        <v>319.91104078010397</v>
      </c>
      <c r="BK81" s="36">
        <f t="shared" si="28"/>
        <v>319.91104078010397</v>
      </c>
      <c r="BL81" s="36">
        <f t="shared" si="28"/>
        <v>319.91104078010397</v>
      </c>
      <c r="BM81" s="36">
        <f t="shared" si="28"/>
        <v>319.91104078010397</v>
      </c>
      <c r="BN81" s="36">
        <f t="shared" si="28"/>
        <v>319.91104078010397</v>
      </c>
      <c r="BO81" s="36">
        <f t="shared" si="28"/>
        <v>319.91104078010397</v>
      </c>
      <c r="BP81" s="36">
        <f t="shared" si="28"/>
        <v>319.91104078010397</v>
      </c>
      <c r="BQ81" s="36">
        <f t="shared" si="28"/>
        <v>319.91104078010397</v>
      </c>
      <c r="BR81" s="36">
        <f t="shared" si="28"/>
        <v>319.91104078010397</v>
      </c>
      <c r="BS81" s="36">
        <f t="shared" si="26"/>
        <v>319.91104078010397</v>
      </c>
      <c r="BT81" s="36">
        <f t="shared" si="26"/>
        <v>319.91104078010397</v>
      </c>
      <c r="BU81" s="36">
        <f t="shared" si="26"/>
        <v>319.91104078010397</v>
      </c>
      <c r="BV81" s="36">
        <f t="shared" si="26"/>
        <v>319.91104078010397</v>
      </c>
      <c r="BW81" s="36">
        <f t="shared" si="26"/>
        <v>319.91104078010397</v>
      </c>
      <c r="BX81" s="36">
        <f t="shared" si="26"/>
        <v>319.91104078010397</v>
      </c>
      <c r="BY81" s="36">
        <f t="shared" si="26"/>
        <v>319.91104078010397</v>
      </c>
      <c r="BZ81" s="36">
        <f t="shared" si="26"/>
        <v>319.91104078010397</v>
      </c>
      <c r="CA81" s="36">
        <f t="shared" si="26"/>
        <v>319.91104078010397</v>
      </c>
      <c r="CB81" s="36">
        <f t="shared" si="26"/>
        <v>319.91104078010397</v>
      </c>
      <c r="CC81" s="36">
        <f t="shared" si="26"/>
        <v>319.91104078010397</v>
      </c>
      <c r="CD81" s="36">
        <f t="shared" si="26"/>
        <v>319.91104078010397</v>
      </c>
      <c r="CE81" s="36">
        <f t="shared" si="26"/>
        <v>319.91104078010397</v>
      </c>
      <c r="CF81" s="36">
        <f t="shared" si="26"/>
        <v>319.91104078010397</v>
      </c>
      <c r="CG81" s="36">
        <f t="shared" si="26"/>
        <v>319.91104078010397</v>
      </c>
      <c r="CH81" s="36">
        <f t="shared" si="26"/>
        <v>319.91104078010397</v>
      </c>
      <c r="CI81" s="36">
        <f t="shared" si="26"/>
        <v>319.91104078010397</v>
      </c>
      <c r="CJ81" s="36">
        <f t="shared" si="26"/>
        <v>319.91104078010397</v>
      </c>
      <c r="CK81" s="36">
        <f t="shared" si="26"/>
        <v>319.91104078010397</v>
      </c>
      <c r="CL81" s="36">
        <f t="shared" si="26"/>
        <v>319.91104078010397</v>
      </c>
      <c r="CM81" s="36">
        <f t="shared" si="26"/>
        <v>319.91104078010397</v>
      </c>
    </row>
    <row r="82" spans="1:91">
      <c r="A82">
        <v>4</v>
      </c>
      <c r="B82" s="41" t="s">
        <v>20</v>
      </c>
      <c r="F82" s="36">
        <f t="shared" si="24"/>
        <v>456.02244585528115</v>
      </c>
      <c r="G82" s="36">
        <f t="shared" si="28"/>
        <v>518.98372892593648</v>
      </c>
      <c r="H82" s="36">
        <f t="shared" si="28"/>
        <v>518.83449952575654</v>
      </c>
      <c r="I82" s="36">
        <f t="shared" si="28"/>
        <v>730.96410577368363</v>
      </c>
      <c r="J82" s="36">
        <f t="shared" si="28"/>
        <v>498.70996859052593</v>
      </c>
      <c r="K82" s="36">
        <f t="shared" si="28"/>
        <v>524.32791146298257</v>
      </c>
      <c r="L82" s="36">
        <f t="shared" si="28"/>
        <v>549.94585433543921</v>
      </c>
      <c r="M82" s="36">
        <f t="shared" si="28"/>
        <v>575.56379720789585</v>
      </c>
      <c r="N82" s="36">
        <f t="shared" si="28"/>
        <v>601.18174008035271</v>
      </c>
      <c r="O82" s="36">
        <f t="shared" si="28"/>
        <v>626.79968295280935</v>
      </c>
      <c r="P82" s="36">
        <f t="shared" si="28"/>
        <v>652.41762582526599</v>
      </c>
      <c r="Q82" s="36">
        <f t="shared" si="28"/>
        <v>678.03556869772262</v>
      </c>
      <c r="R82" s="36">
        <f t="shared" si="28"/>
        <v>703.65351157017926</v>
      </c>
      <c r="S82" s="36">
        <f t="shared" si="28"/>
        <v>729.27145444263601</v>
      </c>
      <c r="T82" s="36">
        <f t="shared" si="28"/>
        <v>754.88939731509265</v>
      </c>
      <c r="U82" s="36">
        <f t="shared" si="28"/>
        <v>780.50734018754929</v>
      </c>
      <c r="V82" s="36">
        <f t="shared" si="28"/>
        <v>806.12528306000593</v>
      </c>
      <c r="W82" s="36">
        <f t="shared" si="28"/>
        <v>831.74322593246256</v>
      </c>
      <c r="X82" s="36">
        <f t="shared" si="28"/>
        <v>857.36116880491932</v>
      </c>
      <c r="Y82" s="36">
        <f t="shared" si="28"/>
        <v>882.97911167737607</v>
      </c>
      <c r="Z82" s="36">
        <f t="shared" si="28"/>
        <v>908.59705454983271</v>
      </c>
      <c r="AA82" s="36">
        <f t="shared" si="28"/>
        <v>934.21499742228946</v>
      </c>
      <c r="AB82" s="36">
        <f t="shared" si="28"/>
        <v>959.83294029474598</v>
      </c>
      <c r="AC82" s="36">
        <f t="shared" si="28"/>
        <v>985.45088316720262</v>
      </c>
      <c r="AD82" s="36">
        <f t="shared" si="28"/>
        <v>1011.0688260396594</v>
      </c>
      <c r="AE82" s="36">
        <f t="shared" si="28"/>
        <v>1036.6867689121161</v>
      </c>
      <c r="AF82" s="36">
        <f t="shared" si="28"/>
        <v>1036.6867689121161</v>
      </c>
      <c r="AG82" s="36">
        <f t="shared" si="28"/>
        <v>1036.6867689121161</v>
      </c>
      <c r="AH82" s="36">
        <f t="shared" si="28"/>
        <v>1036.6867689121161</v>
      </c>
      <c r="AI82" s="36">
        <f t="shared" si="28"/>
        <v>1036.6867689121161</v>
      </c>
      <c r="AJ82" s="36">
        <f t="shared" si="28"/>
        <v>1036.6867689121161</v>
      </c>
      <c r="AK82" s="36">
        <f t="shared" si="28"/>
        <v>1036.6867689121161</v>
      </c>
      <c r="AL82" s="36">
        <f t="shared" si="28"/>
        <v>1036.6867689121161</v>
      </c>
      <c r="AM82" s="36">
        <f t="shared" si="28"/>
        <v>1036.6867689121161</v>
      </c>
      <c r="AN82" s="36">
        <f t="shared" si="28"/>
        <v>1036.6867689121161</v>
      </c>
      <c r="AO82" s="36">
        <f t="shared" si="28"/>
        <v>1036.6867689121161</v>
      </c>
      <c r="AP82" s="36">
        <f t="shared" si="28"/>
        <v>1036.6867689121161</v>
      </c>
      <c r="AQ82" s="36">
        <f t="shared" si="28"/>
        <v>1036.6867689121161</v>
      </c>
      <c r="AR82" s="36">
        <f t="shared" si="28"/>
        <v>1036.6867689121161</v>
      </c>
      <c r="AS82" s="36">
        <f t="shared" si="28"/>
        <v>1036.6867689121161</v>
      </c>
      <c r="AT82" s="36">
        <f t="shared" si="28"/>
        <v>1036.6867689121161</v>
      </c>
      <c r="AU82" s="36">
        <f t="shared" si="28"/>
        <v>1036.6867689121161</v>
      </c>
      <c r="AV82" s="36">
        <f t="shared" si="28"/>
        <v>1036.6867689121161</v>
      </c>
      <c r="AW82" s="36">
        <f t="shared" si="28"/>
        <v>1036.6867689121161</v>
      </c>
      <c r="AX82" s="36">
        <f t="shared" si="28"/>
        <v>1036.6867689121161</v>
      </c>
      <c r="AY82" s="36">
        <f t="shared" si="28"/>
        <v>1036.6867689121161</v>
      </c>
      <c r="AZ82" s="36">
        <f t="shared" si="28"/>
        <v>1036.6867689121161</v>
      </c>
      <c r="BA82" s="36">
        <f t="shared" si="28"/>
        <v>1036.6867689121161</v>
      </c>
      <c r="BB82" s="36">
        <f t="shared" si="28"/>
        <v>1036.6867689121161</v>
      </c>
      <c r="BC82" s="36">
        <f t="shared" si="28"/>
        <v>1036.6867689121161</v>
      </c>
      <c r="BD82" s="36">
        <f t="shared" si="28"/>
        <v>1036.6867689121161</v>
      </c>
      <c r="BE82" s="36">
        <f t="shared" si="28"/>
        <v>1036.6867689121161</v>
      </c>
      <c r="BF82" s="36">
        <f t="shared" si="28"/>
        <v>1036.6867689121161</v>
      </c>
      <c r="BG82" s="36">
        <f t="shared" si="28"/>
        <v>1036.6867689121161</v>
      </c>
      <c r="BH82" s="36">
        <f t="shared" si="28"/>
        <v>1036.6867689121161</v>
      </c>
      <c r="BI82" s="36">
        <f t="shared" si="28"/>
        <v>1036.6867689121161</v>
      </c>
      <c r="BJ82" s="36">
        <f t="shared" si="28"/>
        <v>1036.6867689121161</v>
      </c>
      <c r="BK82" s="36">
        <f t="shared" si="28"/>
        <v>1036.6867689121161</v>
      </c>
      <c r="BL82" s="36">
        <f t="shared" si="28"/>
        <v>1036.6867689121161</v>
      </c>
      <c r="BM82" s="36">
        <f t="shared" si="28"/>
        <v>1036.6867689121161</v>
      </c>
      <c r="BN82" s="36">
        <f t="shared" si="28"/>
        <v>1036.6867689121161</v>
      </c>
      <c r="BO82" s="36">
        <f t="shared" si="28"/>
        <v>1036.6867689121161</v>
      </c>
      <c r="BP82" s="36">
        <f t="shared" si="28"/>
        <v>1036.6867689121161</v>
      </c>
      <c r="BQ82" s="36">
        <f t="shared" si="28"/>
        <v>1036.6867689121161</v>
      </c>
      <c r="BR82" s="36">
        <f t="shared" si="28"/>
        <v>1036.6867689121161</v>
      </c>
      <c r="BS82" s="36">
        <f t="shared" si="26"/>
        <v>1036.6867689121161</v>
      </c>
      <c r="BT82" s="36">
        <f t="shared" si="26"/>
        <v>1036.6867689121161</v>
      </c>
      <c r="BU82" s="36">
        <f t="shared" si="26"/>
        <v>1036.6867689121161</v>
      </c>
      <c r="BV82" s="36">
        <f t="shared" si="26"/>
        <v>1036.6867689121161</v>
      </c>
      <c r="BW82" s="36">
        <f t="shared" si="26"/>
        <v>1036.6867689121161</v>
      </c>
      <c r="BX82" s="36">
        <f t="shared" si="26"/>
        <v>1036.6867689121161</v>
      </c>
      <c r="BY82" s="36">
        <f t="shared" si="26"/>
        <v>1036.6867689121161</v>
      </c>
      <c r="BZ82" s="36">
        <f t="shared" si="26"/>
        <v>1036.6867689121161</v>
      </c>
      <c r="CA82" s="36">
        <f t="shared" si="26"/>
        <v>1036.6867689121161</v>
      </c>
      <c r="CB82" s="36">
        <f t="shared" si="26"/>
        <v>1036.6867689121161</v>
      </c>
      <c r="CC82" s="36">
        <f t="shared" si="26"/>
        <v>1036.6867689121161</v>
      </c>
      <c r="CD82" s="36">
        <f t="shared" si="26"/>
        <v>1036.6867689121161</v>
      </c>
      <c r="CE82" s="36">
        <f t="shared" si="26"/>
        <v>1036.6867689121161</v>
      </c>
      <c r="CF82" s="36">
        <f t="shared" si="26"/>
        <v>1036.6867689121161</v>
      </c>
      <c r="CG82" s="36">
        <f t="shared" si="26"/>
        <v>1036.6867689121161</v>
      </c>
      <c r="CH82" s="36">
        <f t="shared" si="26"/>
        <v>1036.6867689121161</v>
      </c>
      <c r="CI82" s="36">
        <f t="shared" si="26"/>
        <v>1036.6867689121161</v>
      </c>
      <c r="CJ82" s="36">
        <f t="shared" si="26"/>
        <v>1036.6867689121161</v>
      </c>
      <c r="CK82" s="36">
        <f t="shared" si="26"/>
        <v>1036.6867689121161</v>
      </c>
      <c r="CL82" s="36">
        <f t="shared" si="26"/>
        <v>1036.6867689121161</v>
      </c>
      <c r="CM82" s="36">
        <f t="shared" si="26"/>
        <v>1036.6867689121161</v>
      </c>
    </row>
    <row r="83" spans="1:91">
      <c r="A83">
        <v>5</v>
      </c>
      <c r="B83" s="41" t="s">
        <v>87</v>
      </c>
      <c r="F83" s="36">
        <f t="shared" si="24"/>
        <v>456.02244585528115</v>
      </c>
      <c r="G83" s="36">
        <f t="shared" si="28"/>
        <v>518.98372892593648</v>
      </c>
      <c r="H83" s="36">
        <f t="shared" si="28"/>
        <v>518.83449952575654</v>
      </c>
      <c r="I83" s="36">
        <f t="shared" si="28"/>
        <v>730.96410577368363</v>
      </c>
      <c r="J83" s="36">
        <f t="shared" si="28"/>
        <v>498.70996859052593</v>
      </c>
      <c r="K83" s="36">
        <f t="shared" si="28"/>
        <v>524.32791146298257</v>
      </c>
      <c r="L83" s="36">
        <f t="shared" si="28"/>
        <v>549.94585433543921</v>
      </c>
      <c r="M83" s="36">
        <f t="shared" si="28"/>
        <v>575.56379720789585</v>
      </c>
      <c r="N83" s="36">
        <f t="shared" si="28"/>
        <v>601.18174008035271</v>
      </c>
      <c r="O83" s="36">
        <f t="shared" si="28"/>
        <v>626.79968295280935</v>
      </c>
      <c r="P83" s="36">
        <f t="shared" si="28"/>
        <v>652.41762582526599</v>
      </c>
      <c r="Q83" s="36">
        <f t="shared" si="28"/>
        <v>678.03556869772262</v>
      </c>
      <c r="R83" s="36">
        <f t="shared" si="28"/>
        <v>703.65351157017926</v>
      </c>
      <c r="S83" s="36">
        <f t="shared" si="28"/>
        <v>729.27145444263601</v>
      </c>
      <c r="T83" s="36">
        <f t="shared" si="28"/>
        <v>754.88939731509265</v>
      </c>
      <c r="U83" s="36">
        <f t="shared" si="28"/>
        <v>780.50734018754929</v>
      </c>
      <c r="V83" s="36">
        <f t="shared" si="28"/>
        <v>806.12528306000593</v>
      </c>
      <c r="W83" s="36">
        <f t="shared" si="28"/>
        <v>831.74322593246256</v>
      </c>
      <c r="X83" s="36">
        <f t="shared" si="28"/>
        <v>857.36116880491932</v>
      </c>
      <c r="Y83" s="36">
        <f t="shared" si="28"/>
        <v>882.97911167737607</v>
      </c>
      <c r="Z83" s="36">
        <f t="shared" si="28"/>
        <v>908.59705454983271</v>
      </c>
      <c r="AA83" s="36">
        <f t="shared" si="28"/>
        <v>934.21499742228946</v>
      </c>
      <c r="AB83" s="36">
        <f t="shared" si="28"/>
        <v>959.83294029474598</v>
      </c>
      <c r="AC83" s="36">
        <f t="shared" si="28"/>
        <v>985.45088316720262</v>
      </c>
      <c r="AD83" s="36">
        <f t="shared" si="28"/>
        <v>1011.0688260396594</v>
      </c>
      <c r="AE83" s="36">
        <f t="shared" si="28"/>
        <v>1036.6867689121161</v>
      </c>
      <c r="AF83" s="36">
        <f t="shared" si="28"/>
        <v>1036.6867689121161</v>
      </c>
      <c r="AG83" s="36">
        <f t="shared" si="28"/>
        <v>1036.6867689121161</v>
      </c>
      <c r="AH83" s="36">
        <f t="shared" si="28"/>
        <v>1036.6867689121161</v>
      </c>
      <c r="AI83" s="36">
        <f t="shared" si="28"/>
        <v>1036.6867689121161</v>
      </c>
      <c r="AJ83" s="36">
        <f t="shared" si="28"/>
        <v>1036.6867689121161</v>
      </c>
      <c r="AK83" s="36">
        <f t="shared" si="28"/>
        <v>1036.6867689121161</v>
      </c>
      <c r="AL83" s="36">
        <f t="shared" si="28"/>
        <v>1036.6867689121161</v>
      </c>
      <c r="AM83" s="36">
        <f t="shared" si="28"/>
        <v>1036.6867689121161</v>
      </c>
      <c r="AN83" s="36">
        <f t="shared" si="28"/>
        <v>1036.6867689121161</v>
      </c>
      <c r="AO83" s="36">
        <f t="shared" si="28"/>
        <v>1036.6867689121161</v>
      </c>
      <c r="AP83" s="36">
        <f t="shared" si="28"/>
        <v>1036.6867689121161</v>
      </c>
      <c r="AQ83" s="36">
        <f t="shared" si="28"/>
        <v>1036.6867689121161</v>
      </c>
      <c r="AR83" s="36">
        <f t="shared" si="28"/>
        <v>1036.6867689121161</v>
      </c>
      <c r="AS83" s="36">
        <f t="shared" si="28"/>
        <v>1036.6867689121161</v>
      </c>
      <c r="AT83" s="36">
        <f t="shared" si="28"/>
        <v>1036.6867689121161</v>
      </c>
      <c r="AU83" s="36">
        <f t="shared" si="28"/>
        <v>1036.6867689121161</v>
      </c>
      <c r="AV83" s="36">
        <f t="shared" si="28"/>
        <v>1036.6867689121161</v>
      </c>
      <c r="AW83" s="36">
        <f t="shared" si="28"/>
        <v>1036.6867689121161</v>
      </c>
      <c r="AX83" s="36">
        <f t="shared" si="28"/>
        <v>1036.6867689121161</v>
      </c>
      <c r="AY83" s="36">
        <f t="shared" si="28"/>
        <v>1036.6867689121161</v>
      </c>
      <c r="AZ83" s="36">
        <f t="shared" si="28"/>
        <v>1036.6867689121161</v>
      </c>
      <c r="BA83" s="36">
        <f t="shared" si="28"/>
        <v>1036.6867689121161</v>
      </c>
      <c r="BB83" s="36">
        <f t="shared" si="28"/>
        <v>1036.6867689121161</v>
      </c>
      <c r="BC83" s="36">
        <f t="shared" si="28"/>
        <v>1036.6867689121161</v>
      </c>
      <c r="BD83" s="36">
        <f t="shared" si="28"/>
        <v>1036.6867689121161</v>
      </c>
      <c r="BE83" s="36">
        <f t="shared" si="28"/>
        <v>1036.6867689121161</v>
      </c>
      <c r="BF83" s="36">
        <f t="shared" si="28"/>
        <v>1036.6867689121161</v>
      </c>
      <c r="BG83" s="36">
        <f t="shared" si="28"/>
        <v>1036.6867689121161</v>
      </c>
      <c r="BH83" s="36">
        <f t="shared" si="28"/>
        <v>1036.6867689121161</v>
      </c>
      <c r="BI83" s="36">
        <f t="shared" si="28"/>
        <v>1036.6867689121161</v>
      </c>
      <c r="BJ83" s="36">
        <f t="shared" si="28"/>
        <v>1036.6867689121161</v>
      </c>
      <c r="BK83" s="36">
        <f t="shared" si="28"/>
        <v>1036.6867689121161</v>
      </c>
      <c r="BL83" s="36">
        <f t="shared" si="28"/>
        <v>1036.6867689121161</v>
      </c>
      <c r="BM83" s="36">
        <f t="shared" si="28"/>
        <v>1036.6867689121161</v>
      </c>
      <c r="BN83" s="36">
        <f t="shared" si="28"/>
        <v>1036.6867689121161</v>
      </c>
      <c r="BO83" s="36">
        <f t="shared" si="28"/>
        <v>1036.6867689121161</v>
      </c>
      <c r="BP83" s="36">
        <f t="shared" si="28"/>
        <v>1036.6867689121161</v>
      </c>
      <c r="BQ83" s="36">
        <f t="shared" si="28"/>
        <v>1036.6867689121161</v>
      </c>
      <c r="BR83" s="36">
        <f t="shared" si="28"/>
        <v>1036.6867689121161</v>
      </c>
      <c r="BS83" s="36">
        <f t="shared" si="26"/>
        <v>1036.6867689121161</v>
      </c>
      <c r="BT83" s="36">
        <f t="shared" si="26"/>
        <v>1036.6867689121161</v>
      </c>
      <c r="BU83" s="36">
        <f t="shared" si="26"/>
        <v>1036.6867689121161</v>
      </c>
      <c r="BV83" s="36">
        <f t="shared" si="26"/>
        <v>1036.6867689121161</v>
      </c>
      <c r="BW83" s="36">
        <f t="shared" si="26"/>
        <v>1036.6867689121161</v>
      </c>
      <c r="BX83" s="36">
        <f t="shared" si="26"/>
        <v>1036.6867689121161</v>
      </c>
      <c r="BY83" s="36">
        <f t="shared" si="26"/>
        <v>1036.6867689121161</v>
      </c>
      <c r="BZ83" s="36">
        <f t="shared" si="26"/>
        <v>1036.6867689121161</v>
      </c>
      <c r="CA83" s="36">
        <f t="shared" si="26"/>
        <v>1036.6867689121161</v>
      </c>
      <c r="CB83" s="36">
        <f t="shared" si="26"/>
        <v>1036.6867689121161</v>
      </c>
      <c r="CC83" s="36">
        <f t="shared" si="26"/>
        <v>1036.6867689121161</v>
      </c>
      <c r="CD83" s="36">
        <f t="shared" si="26"/>
        <v>1036.6867689121161</v>
      </c>
      <c r="CE83" s="36">
        <f t="shared" si="26"/>
        <v>1036.6867689121161</v>
      </c>
      <c r="CF83" s="36">
        <f t="shared" si="26"/>
        <v>1036.6867689121161</v>
      </c>
      <c r="CG83" s="36">
        <f t="shared" si="26"/>
        <v>1036.6867689121161</v>
      </c>
      <c r="CH83" s="36">
        <f t="shared" si="26"/>
        <v>1036.6867689121161</v>
      </c>
      <c r="CI83" s="36">
        <f t="shared" si="26"/>
        <v>1036.6867689121161</v>
      </c>
      <c r="CJ83" s="36">
        <f t="shared" si="26"/>
        <v>1036.6867689121161</v>
      </c>
      <c r="CK83" s="36">
        <f t="shared" si="26"/>
        <v>1036.6867689121161</v>
      </c>
      <c r="CL83" s="36">
        <f t="shared" si="26"/>
        <v>1036.6867689121161</v>
      </c>
      <c r="CM83" s="36">
        <f t="shared" si="26"/>
        <v>1036.6867689121161</v>
      </c>
    </row>
    <row r="84" spans="1:91">
      <c r="A84">
        <v>6</v>
      </c>
      <c r="B84" s="41" t="s">
        <v>88</v>
      </c>
      <c r="F84" s="36">
        <f t="shared" si="24"/>
        <v>10.799136069114471</v>
      </c>
      <c r="G84" s="36">
        <f t="shared" si="28"/>
        <v>12.598992080633549</v>
      </c>
      <c r="H84" s="36">
        <f t="shared" si="28"/>
        <v>14.398848092152628</v>
      </c>
      <c r="I84" s="36">
        <f t="shared" si="28"/>
        <v>16.198704103671705</v>
      </c>
      <c r="J84" s="36">
        <f t="shared" si="28"/>
        <v>18.914071566873154</v>
      </c>
      <c r="K84" s="36">
        <f t="shared" si="28"/>
        <v>19.008641924707518</v>
      </c>
      <c r="L84" s="36">
        <f t="shared" si="28"/>
        <v>19.103685134331055</v>
      </c>
      <c r="M84" s="36">
        <f t="shared" si="28"/>
        <v>19.199203560002708</v>
      </c>
      <c r="N84" s="36">
        <f t="shared" si="28"/>
        <v>19.29519957780272</v>
      </c>
      <c r="O84" s="36">
        <f t="shared" si="28"/>
        <v>19.391675575691732</v>
      </c>
      <c r="P84" s="36">
        <f t="shared" si="28"/>
        <v>19.488633953570186</v>
      </c>
      <c r="Q84" s="36">
        <f t="shared" si="28"/>
        <v>19.586077123338036</v>
      </c>
      <c r="R84" s="36">
        <f t="shared" si="28"/>
        <v>19.684007508954725</v>
      </c>
      <c r="S84" s="36">
        <f t="shared" si="28"/>
        <v>19.782427546499495</v>
      </c>
      <c r="T84" s="36">
        <f t="shared" si="28"/>
        <v>19.881339684231992</v>
      </c>
      <c r="U84" s="36">
        <f t="shared" si="28"/>
        <v>19.980746382653148</v>
      </c>
      <c r="V84" s="36">
        <f t="shared" si="28"/>
        <v>20.080650114566414</v>
      </c>
      <c r="W84" s="36">
        <f t="shared" si="28"/>
        <v>20.181053365139242</v>
      </c>
      <c r="X84" s="36">
        <f t="shared" si="28"/>
        <v>20.281958631964933</v>
      </c>
      <c r="Y84" s="36">
        <f t="shared" si="28"/>
        <v>20.383368425124758</v>
      </c>
      <c r="Z84" s="36">
        <f t="shared" si="28"/>
        <v>20.485285267250379</v>
      </c>
      <c r="AA84" s="36">
        <f t="shared" si="28"/>
        <v>20.587711693586627</v>
      </c>
      <c r="AB84" s="36">
        <f t="shared" si="28"/>
        <v>20.690650252054557</v>
      </c>
      <c r="AC84" s="36">
        <f t="shared" si="28"/>
        <v>20.794103503314826</v>
      </c>
      <c r="AD84" s="36">
        <f t="shared" si="28"/>
        <v>20.898074020831402</v>
      </c>
      <c r="AE84" s="36">
        <f t="shared" si="28"/>
        <v>21.002564390935557</v>
      </c>
      <c r="AF84" s="36">
        <f t="shared" si="28"/>
        <v>21.002564390935557</v>
      </c>
      <c r="AG84" s="36">
        <f t="shared" si="28"/>
        <v>21.002564390935557</v>
      </c>
      <c r="AH84" s="36">
        <f t="shared" si="28"/>
        <v>21.002564390935557</v>
      </c>
      <c r="AI84" s="36">
        <f t="shared" si="28"/>
        <v>21.002564390935557</v>
      </c>
      <c r="AJ84" s="36">
        <f t="shared" si="28"/>
        <v>21.002564390935557</v>
      </c>
      <c r="AK84" s="36">
        <f t="shared" si="28"/>
        <v>21.002564390935557</v>
      </c>
      <c r="AL84" s="36">
        <f t="shared" si="28"/>
        <v>21.002564390935557</v>
      </c>
      <c r="AM84" s="36">
        <f t="shared" si="28"/>
        <v>21.002564390935557</v>
      </c>
      <c r="AN84" s="36">
        <f t="shared" si="28"/>
        <v>21.002564390935557</v>
      </c>
      <c r="AO84" s="36">
        <f t="shared" si="28"/>
        <v>21.002564390935557</v>
      </c>
      <c r="AP84" s="36">
        <f t="shared" si="28"/>
        <v>21.002564390935557</v>
      </c>
      <c r="AQ84" s="36">
        <f t="shared" si="28"/>
        <v>21.002564390935557</v>
      </c>
      <c r="AR84" s="36">
        <f t="shared" si="28"/>
        <v>21.002564390935557</v>
      </c>
      <c r="AS84" s="36">
        <f t="shared" si="28"/>
        <v>21.002564390935557</v>
      </c>
      <c r="AT84" s="36">
        <f t="shared" si="28"/>
        <v>21.002564390935557</v>
      </c>
      <c r="AU84" s="36">
        <f t="shared" si="28"/>
        <v>21.002564390935557</v>
      </c>
      <c r="AV84" s="36">
        <f t="shared" si="28"/>
        <v>21.002564390935557</v>
      </c>
      <c r="AW84" s="36">
        <f t="shared" si="28"/>
        <v>21.002564390935557</v>
      </c>
      <c r="AX84" s="36">
        <f t="shared" si="28"/>
        <v>21.002564390935557</v>
      </c>
      <c r="AY84" s="36">
        <f t="shared" si="28"/>
        <v>21.002564390935557</v>
      </c>
      <c r="AZ84" s="36">
        <f t="shared" si="28"/>
        <v>21.002564390935557</v>
      </c>
      <c r="BA84" s="36">
        <f t="shared" si="28"/>
        <v>21.002564390935557</v>
      </c>
      <c r="BB84" s="36">
        <f t="shared" si="28"/>
        <v>21.002564390935557</v>
      </c>
      <c r="BC84" s="36">
        <f t="shared" si="28"/>
        <v>21.002564390935557</v>
      </c>
      <c r="BD84" s="36">
        <f t="shared" si="28"/>
        <v>21.002564390935557</v>
      </c>
      <c r="BE84" s="36">
        <f t="shared" si="28"/>
        <v>21.002564390935557</v>
      </c>
      <c r="BF84" s="36">
        <f t="shared" si="28"/>
        <v>21.002564390935557</v>
      </c>
      <c r="BG84" s="36">
        <f t="shared" si="28"/>
        <v>21.002564390935557</v>
      </c>
      <c r="BH84" s="36">
        <f t="shared" si="28"/>
        <v>21.002564390935557</v>
      </c>
      <c r="BI84" s="36">
        <f t="shared" si="28"/>
        <v>21.002564390935557</v>
      </c>
      <c r="BJ84" s="36">
        <f t="shared" si="28"/>
        <v>21.002564390935557</v>
      </c>
      <c r="BK84" s="36">
        <f t="shared" si="28"/>
        <v>21.002564390935557</v>
      </c>
      <c r="BL84" s="36">
        <f t="shared" si="28"/>
        <v>21.002564390935557</v>
      </c>
      <c r="BM84" s="36">
        <f t="shared" si="28"/>
        <v>21.002564390935557</v>
      </c>
      <c r="BN84" s="36">
        <f t="shared" si="28"/>
        <v>21.002564390935557</v>
      </c>
      <c r="BO84" s="36">
        <f t="shared" si="28"/>
        <v>21.002564390935557</v>
      </c>
      <c r="BP84" s="36">
        <f t="shared" si="28"/>
        <v>21.002564390935557</v>
      </c>
      <c r="BQ84" s="36">
        <f t="shared" si="28"/>
        <v>21.002564390935557</v>
      </c>
      <c r="BR84" s="36">
        <f t="shared" ref="BR84:CM85" si="29">BR69*$G$73</f>
        <v>21.002564390935557</v>
      </c>
      <c r="BS84" s="36">
        <f t="shared" si="29"/>
        <v>21.002564390935557</v>
      </c>
      <c r="BT84" s="36">
        <f t="shared" si="29"/>
        <v>21.002564390935557</v>
      </c>
      <c r="BU84" s="36">
        <f t="shared" si="29"/>
        <v>21.002564390935557</v>
      </c>
      <c r="BV84" s="36">
        <f t="shared" si="29"/>
        <v>21.002564390935557</v>
      </c>
      <c r="BW84" s="36">
        <f t="shared" si="29"/>
        <v>21.002564390935557</v>
      </c>
      <c r="BX84" s="36">
        <f t="shared" si="29"/>
        <v>21.002564390935557</v>
      </c>
      <c r="BY84" s="36">
        <f t="shared" si="29"/>
        <v>21.002564390935557</v>
      </c>
      <c r="BZ84" s="36">
        <f t="shared" si="29"/>
        <v>21.002564390935557</v>
      </c>
      <c r="CA84" s="36">
        <f t="shared" si="29"/>
        <v>21.002564390935557</v>
      </c>
      <c r="CB84" s="36">
        <f t="shared" si="29"/>
        <v>21.002564390935557</v>
      </c>
      <c r="CC84" s="36">
        <f t="shared" si="29"/>
        <v>21.002564390935557</v>
      </c>
      <c r="CD84" s="36">
        <f t="shared" si="29"/>
        <v>21.002564390935557</v>
      </c>
      <c r="CE84" s="36">
        <f t="shared" si="29"/>
        <v>21.002564390935557</v>
      </c>
      <c r="CF84" s="36">
        <f t="shared" si="29"/>
        <v>21.002564390935557</v>
      </c>
      <c r="CG84" s="36">
        <f t="shared" si="29"/>
        <v>21.002564390935557</v>
      </c>
      <c r="CH84" s="36">
        <f t="shared" si="29"/>
        <v>21.002564390935557</v>
      </c>
      <c r="CI84" s="36">
        <f t="shared" si="29"/>
        <v>21.002564390935557</v>
      </c>
      <c r="CJ84" s="36">
        <f t="shared" si="29"/>
        <v>21.002564390935557</v>
      </c>
      <c r="CK84" s="36">
        <f t="shared" si="29"/>
        <v>21.002564390935557</v>
      </c>
      <c r="CL84" s="36">
        <f t="shared" si="29"/>
        <v>21.002564390935557</v>
      </c>
      <c r="CM84" s="36">
        <f t="shared" si="29"/>
        <v>21.002564390935557</v>
      </c>
    </row>
    <row r="85" spans="1:91">
      <c r="A85">
        <v>7</v>
      </c>
      <c r="B85" s="41" t="s">
        <v>89</v>
      </c>
      <c r="F85" s="36">
        <f t="shared" si="24"/>
        <v>10.799136069114471</v>
      </c>
      <c r="G85" s="36">
        <f t="shared" ref="G85:BR85" si="30">G70*$G$73</f>
        <v>12.598992080633549</v>
      </c>
      <c r="H85" s="36">
        <f t="shared" si="30"/>
        <v>14.398848092152628</v>
      </c>
      <c r="I85" s="36">
        <f t="shared" si="30"/>
        <v>16.198704103671705</v>
      </c>
      <c r="J85" s="36">
        <f t="shared" si="30"/>
        <v>18.914071566873154</v>
      </c>
      <c r="K85" s="36">
        <f t="shared" si="30"/>
        <v>19.008641924707518</v>
      </c>
      <c r="L85" s="36">
        <f t="shared" si="30"/>
        <v>19.103685134331055</v>
      </c>
      <c r="M85" s="36">
        <f t="shared" si="30"/>
        <v>19.199203560002708</v>
      </c>
      <c r="N85" s="36">
        <f t="shared" si="30"/>
        <v>19.29519957780272</v>
      </c>
      <c r="O85" s="36">
        <f t="shared" si="30"/>
        <v>19.391675575691732</v>
      </c>
      <c r="P85" s="36">
        <f t="shared" si="30"/>
        <v>19.488633953570186</v>
      </c>
      <c r="Q85" s="36">
        <f t="shared" si="30"/>
        <v>19.586077123338036</v>
      </c>
      <c r="R85" s="36">
        <f t="shared" si="30"/>
        <v>19.684007508954725</v>
      </c>
      <c r="S85" s="36">
        <f t="shared" si="30"/>
        <v>19.782427546499495</v>
      </c>
      <c r="T85" s="36">
        <f t="shared" si="30"/>
        <v>19.881339684231992</v>
      </c>
      <c r="U85" s="36">
        <f t="shared" si="30"/>
        <v>19.980746382653148</v>
      </c>
      <c r="V85" s="36">
        <f t="shared" si="30"/>
        <v>20.080650114566414</v>
      </c>
      <c r="W85" s="36">
        <f t="shared" si="30"/>
        <v>20.181053365139242</v>
      </c>
      <c r="X85" s="36">
        <f t="shared" si="30"/>
        <v>20.281958631964933</v>
      </c>
      <c r="Y85" s="36">
        <f t="shared" si="30"/>
        <v>20.383368425124758</v>
      </c>
      <c r="Z85" s="36">
        <f t="shared" si="30"/>
        <v>20.485285267250379</v>
      </c>
      <c r="AA85" s="36">
        <f t="shared" si="30"/>
        <v>20.587711693586627</v>
      </c>
      <c r="AB85" s="36">
        <f t="shared" si="30"/>
        <v>20.690650252054557</v>
      </c>
      <c r="AC85" s="36">
        <f t="shared" si="30"/>
        <v>20.794103503314826</v>
      </c>
      <c r="AD85" s="36">
        <f t="shared" si="30"/>
        <v>20.898074020831402</v>
      </c>
      <c r="AE85" s="36">
        <f t="shared" si="30"/>
        <v>21.002564390935557</v>
      </c>
      <c r="AF85" s="36">
        <f t="shared" si="30"/>
        <v>21.002564390935557</v>
      </c>
      <c r="AG85" s="36">
        <f t="shared" si="30"/>
        <v>21.002564390935557</v>
      </c>
      <c r="AH85" s="36">
        <f t="shared" si="30"/>
        <v>21.002564390935557</v>
      </c>
      <c r="AI85" s="36">
        <f t="shared" si="30"/>
        <v>21.002564390935557</v>
      </c>
      <c r="AJ85" s="36">
        <f t="shared" si="30"/>
        <v>21.002564390935557</v>
      </c>
      <c r="AK85" s="36">
        <f t="shared" si="30"/>
        <v>21.002564390935557</v>
      </c>
      <c r="AL85" s="36">
        <f t="shared" si="30"/>
        <v>21.002564390935557</v>
      </c>
      <c r="AM85" s="36">
        <f t="shared" si="30"/>
        <v>21.002564390935557</v>
      </c>
      <c r="AN85" s="36">
        <f t="shared" si="30"/>
        <v>21.002564390935557</v>
      </c>
      <c r="AO85" s="36">
        <f t="shared" si="30"/>
        <v>21.002564390935557</v>
      </c>
      <c r="AP85" s="36">
        <f t="shared" si="30"/>
        <v>21.002564390935557</v>
      </c>
      <c r="AQ85" s="36">
        <f t="shared" si="30"/>
        <v>21.002564390935557</v>
      </c>
      <c r="AR85" s="36">
        <f t="shared" si="30"/>
        <v>21.002564390935557</v>
      </c>
      <c r="AS85" s="36">
        <f t="shared" si="30"/>
        <v>21.002564390935557</v>
      </c>
      <c r="AT85" s="36">
        <f t="shared" si="30"/>
        <v>21.002564390935557</v>
      </c>
      <c r="AU85" s="36">
        <f t="shared" si="30"/>
        <v>21.002564390935557</v>
      </c>
      <c r="AV85" s="36">
        <f t="shared" si="30"/>
        <v>21.002564390935557</v>
      </c>
      <c r="AW85" s="36">
        <f t="shared" si="30"/>
        <v>21.002564390935557</v>
      </c>
      <c r="AX85" s="36">
        <f t="shared" si="30"/>
        <v>21.002564390935557</v>
      </c>
      <c r="AY85" s="36">
        <f t="shared" si="30"/>
        <v>21.002564390935557</v>
      </c>
      <c r="AZ85" s="36">
        <f t="shared" si="30"/>
        <v>21.002564390935557</v>
      </c>
      <c r="BA85" s="36">
        <f t="shared" si="30"/>
        <v>21.002564390935557</v>
      </c>
      <c r="BB85" s="36">
        <f t="shared" si="30"/>
        <v>21.002564390935557</v>
      </c>
      <c r="BC85" s="36">
        <f t="shared" si="30"/>
        <v>21.002564390935557</v>
      </c>
      <c r="BD85" s="36">
        <f t="shared" si="30"/>
        <v>21.002564390935557</v>
      </c>
      <c r="BE85" s="36">
        <f t="shared" si="30"/>
        <v>21.002564390935557</v>
      </c>
      <c r="BF85" s="36">
        <f t="shared" si="30"/>
        <v>21.002564390935557</v>
      </c>
      <c r="BG85" s="36">
        <f t="shared" si="30"/>
        <v>21.002564390935557</v>
      </c>
      <c r="BH85" s="36">
        <f t="shared" si="30"/>
        <v>21.002564390935557</v>
      </c>
      <c r="BI85" s="36">
        <f t="shared" si="30"/>
        <v>21.002564390935557</v>
      </c>
      <c r="BJ85" s="36">
        <f t="shared" si="30"/>
        <v>21.002564390935557</v>
      </c>
      <c r="BK85" s="36">
        <f t="shared" si="30"/>
        <v>21.002564390935557</v>
      </c>
      <c r="BL85" s="36">
        <f t="shared" si="30"/>
        <v>21.002564390935557</v>
      </c>
      <c r="BM85" s="36">
        <f t="shared" si="30"/>
        <v>21.002564390935557</v>
      </c>
      <c r="BN85" s="36">
        <f t="shared" si="30"/>
        <v>21.002564390935557</v>
      </c>
      <c r="BO85" s="36">
        <f t="shared" si="30"/>
        <v>21.002564390935557</v>
      </c>
      <c r="BP85" s="36">
        <f t="shared" si="30"/>
        <v>21.002564390935557</v>
      </c>
      <c r="BQ85" s="36">
        <f t="shared" si="30"/>
        <v>21.002564390935557</v>
      </c>
      <c r="BR85" s="36">
        <f t="shared" si="30"/>
        <v>21.002564390935557</v>
      </c>
      <c r="BS85" s="36">
        <f t="shared" si="29"/>
        <v>21.002564390935557</v>
      </c>
      <c r="BT85" s="36">
        <f t="shared" si="29"/>
        <v>21.002564390935557</v>
      </c>
      <c r="BU85" s="36">
        <f t="shared" si="29"/>
        <v>21.002564390935557</v>
      </c>
      <c r="BV85" s="36">
        <f t="shared" si="29"/>
        <v>21.002564390935557</v>
      </c>
      <c r="BW85" s="36">
        <f t="shared" si="29"/>
        <v>21.002564390935557</v>
      </c>
      <c r="BX85" s="36">
        <f t="shared" si="29"/>
        <v>21.002564390935557</v>
      </c>
      <c r="BY85" s="36">
        <f t="shared" si="29"/>
        <v>21.002564390935557</v>
      </c>
      <c r="BZ85" s="36">
        <f t="shared" si="29"/>
        <v>21.002564390935557</v>
      </c>
      <c r="CA85" s="36">
        <f t="shared" si="29"/>
        <v>21.002564390935557</v>
      </c>
      <c r="CB85" s="36">
        <f t="shared" si="29"/>
        <v>21.002564390935557</v>
      </c>
      <c r="CC85" s="36">
        <f t="shared" si="29"/>
        <v>21.002564390935557</v>
      </c>
      <c r="CD85" s="36">
        <f t="shared" si="29"/>
        <v>21.002564390935557</v>
      </c>
      <c r="CE85" s="36">
        <f t="shared" si="29"/>
        <v>21.002564390935557</v>
      </c>
      <c r="CF85" s="36">
        <f t="shared" si="29"/>
        <v>21.002564390935557</v>
      </c>
      <c r="CG85" s="36">
        <f t="shared" si="29"/>
        <v>21.002564390935557</v>
      </c>
      <c r="CH85" s="36">
        <f t="shared" si="29"/>
        <v>21.002564390935557</v>
      </c>
      <c r="CI85" s="36">
        <f t="shared" si="29"/>
        <v>21.002564390935557</v>
      </c>
      <c r="CJ85" s="36">
        <f t="shared" si="29"/>
        <v>21.002564390935557</v>
      </c>
      <c r="CK85" s="36">
        <f t="shared" si="29"/>
        <v>21.002564390935557</v>
      </c>
      <c r="CL85" s="36">
        <f t="shared" si="29"/>
        <v>21.002564390935557</v>
      </c>
      <c r="CM85" s="36">
        <f t="shared" si="29"/>
        <v>21.002564390935557</v>
      </c>
    </row>
    <row r="86" spans="1:91">
      <c r="A86">
        <v>8</v>
      </c>
      <c r="B86" s="41" t="s">
        <v>90</v>
      </c>
      <c r="F86" s="21">
        <v>0</v>
      </c>
      <c r="G86" s="21">
        <v>0</v>
      </c>
      <c r="H86" s="21">
        <v>0</v>
      </c>
      <c r="I86" s="21">
        <v>0</v>
      </c>
      <c r="J86" s="21">
        <v>0</v>
      </c>
      <c r="K86" s="21">
        <v>0</v>
      </c>
      <c r="L86" s="21">
        <v>0</v>
      </c>
      <c r="M86" s="21">
        <v>0</v>
      </c>
      <c r="N86" s="21">
        <v>0</v>
      </c>
      <c r="O86" s="21">
        <v>0</v>
      </c>
      <c r="P86" s="21">
        <v>0</v>
      </c>
      <c r="Q86" s="21">
        <v>0</v>
      </c>
      <c r="R86" s="21">
        <v>0</v>
      </c>
      <c r="S86" s="21">
        <v>0</v>
      </c>
      <c r="T86" s="21">
        <v>0</v>
      </c>
      <c r="U86" s="21">
        <v>0</v>
      </c>
      <c r="V86" s="21">
        <v>0</v>
      </c>
      <c r="W86" s="21">
        <v>0</v>
      </c>
      <c r="X86" s="21">
        <v>0</v>
      </c>
      <c r="Y86" s="21">
        <v>0</v>
      </c>
      <c r="Z86" s="21">
        <v>0</v>
      </c>
      <c r="AA86" s="21">
        <v>0</v>
      </c>
      <c r="AB86" s="21">
        <v>0</v>
      </c>
      <c r="AC86" s="21">
        <v>0</v>
      </c>
      <c r="AD86" s="21">
        <v>0</v>
      </c>
      <c r="AE86" s="21">
        <v>0</v>
      </c>
      <c r="AF86" s="21">
        <v>0</v>
      </c>
      <c r="AG86" s="21">
        <v>0</v>
      </c>
      <c r="AH86" s="21">
        <v>0</v>
      </c>
      <c r="AI86" s="21">
        <v>0</v>
      </c>
      <c r="AJ86" s="21">
        <v>0</v>
      </c>
      <c r="AK86" s="21">
        <v>0</v>
      </c>
      <c r="AL86" s="21">
        <v>0</v>
      </c>
      <c r="AM86" s="21">
        <v>0</v>
      </c>
      <c r="AN86" s="21">
        <v>0</v>
      </c>
      <c r="AO86" s="21">
        <v>0</v>
      </c>
      <c r="AP86" s="21">
        <v>0</v>
      </c>
      <c r="AQ86" s="21">
        <v>0</v>
      </c>
      <c r="AR86" s="21">
        <v>0</v>
      </c>
      <c r="AS86" s="21">
        <v>0</v>
      </c>
      <c r="AT86" s="21">
        <v>0</v>
      </c>
      <c r="AU86" s="21">
        <v>0</v>
      </c>
      <c r="AV86" s="21">
        <v>0</v>
      </c>
      <c r="AW86" s="21">
        <v>0</v>
      </c>
      <c r="AX86" s="21">
        <v>0</v>
      </c>
      <c r="AY86" s="21">
        <v>0</v>
      </c>
      <c r="AZ86" s="21">
        <v>0</v>
      </c>
      <c r="BA86" s="21">
        <v>0</v>
      </c>
      <c r="BB86" s="21">
        <v>0</v>
      </c>
      <c r="BC86" s="21">
        <v>0</v>
      </c>
      <c r="BD86" s="21">
        <v>0</v>
      </c>
      <c r="BE86" s="21">
        <v>0</v>
      </c>
      <c r="BF86" s="21">
        <v>0</v>
      </c>
      <c r="BG86" s="21">
        <v>0</v>
      </c>
      <c r="BH86" s="21">
        <v>0</v>
      </c>
      <c r="BI86" s="21">
        <v>0</v>
      </c>
      <c r="BJ86" s="21">
        <v>0</v>
      </c>
      <c r="BK86" s="21">
        <v>0</v>
      </c>
      <c r="BL86" s="21">
        <v>0</v>
      </c>
      <c r="BM86" s="21">
        <v>0</v>
      </c>
      <c r="BN86" s="21">
        <v>0</v>
      </c>
      <c r="BO86" s="21">
        <v>0</v>
      </c>
      <c r="BP86" s="21">
        <v>0</v>
      </c>
      <c r="BQ86" s="21">
        <v>0</v>
      </c>
      <c r="BR86" s="21">
        <v>0</v>
      </c>
      <c r="BS86" s="21">
        <v>0</v>
      </c>
      <c r="BT86" s="21">
        <v>0</v>
      </c>
      <c r="BU86" s="21">
        <v>0</v>
      </c>
      <c r="BV86" s="21">
        <v>0</v>
      </c>
      <c r="BW86" s="21">
        <v>0</v>
      </c>
      <c r="BX86" s="21">
        <v>0</v>
      </c>
      <c r="BY86" s="21">
        <v>0</v>
      </c>
      <c r="BZ86" s="21">
        <v>0</v>
      </c>
      <c r="CA86" s="21">
        <v>0</v>
      </c>
      <c r="CB86" s="21">
        <v>0</v>
      </c>
      <c r="CC86" s="21">
        <v>0</v>
      </c>
      <c r="CD86" s="21">
        <v>0</v>
      </c>
      <c r="CE86" s="21">
        <v>0</v>
      </c>
      <c r="CF86" s="21">
        <v>0</v>
      </c>
      <c r="CG86" s="21">
        <v>0</v>
      </c>
      <c r="CH86" s="21">
        <v>0</v>
      </c>
      <c r="CI86" s="21">
        <v>0</v>
      </c>
      <c r="CJ86" s="21">
        <v>0</v>
      </c>
      <c r="CK86" s="21">
        <v>0</v>
      </c>
      <c r="CL86" s="21">
        <v>0</v>
      </c>
      <c r="CM86" s="21">
        <v>0</v>
      </c>
    </row>
    <row r="87" spans="1:91">
      <c r="A87">
        <v>9</v>
      </c>
      <c r="B87" s="41" t="s">
        <v>78</v>
      </c>
      <c r="F87" s="21">
        <v>0</v>
      </c>
      <c r="G87" s="21">
        <v>0</v>
      </c>
      <c r="H87" s="21">
        <v>0</v>
      </c>
      <c r="I87" s="21">
        <v>0</v>
      </c>
      <c r="J87" s="21">
        <v>0</v>
      </c>
      <c r="K87" s="21">
        <v>0</v>
      </c>
      <c r="L87" s="21">
        <v>0</v>
      </c>
      <c r="M87" s="21">
        <v>0</v>
      </c>
      <c r="N87" s="21">
        <v>0</v>
      </c>
      <c r="O87" s="21">
        <v>0</v>
      </c>
      <c r="P87" s="21">
        <v>0</v>
      </c>
      <c r="Q87" s="21">
        <v>0</v>
      </c>
      <c r="R87" s="21">
        <v>0</v>
      </c>
      <c r="S87" s="21">
        <v>0</v>
      </c>
      <c r="T87" s="21">
        <v>0</v>
      </c>
      <c r="U87" s="21">
        <v>0</v>
      </c>
      <c r="V87" s="21">
        <v>0</v>
      </c>
      <c r="W87" s="21">
        <v>0</v>
      </c>
      <c r="X87" s="21">
        <v>0</v>
      </c>
      <c r="Y87" s="21">
        <v>0</v>
      </c>
      <c r="Z87" s="21">
        <v>0</v>
      </c>
      <c r="AA87" s="21">
        <v>0</v>
      </c>
      <c r="AB87" s="21">
        <v>0</v>
      </c>
      <c r="AC87" s="21">
        <v>0</v>
      </c>
      <c r="AD87" s="21">
        <v>0</v>
      </c>
      <c r="AE87" s="21">
        <v>0</v>
      </c>
      <c r="AF87" s="21">
        <v>0</v>
      </c>
      <c r="AG87" s="21">
        <v>0</v>
      </c>
      <c r="AH87" s="21">
        <v>0</v>
      </c>
      <c r="AI87" s="21">
        <v>0</v>
      </c>
      <c r="AJ87" s="21">
        <v>0</v>
      </c>
      <c r="AK87" s="21">
        <v>0</v>
      </c>
      <c r="AL87" s="21">
        <v>0</v>
      </c>
      <c r="AM87" s="21">
        <v>0</v>
      </c>
      <c r="AN87" s="21">
        <v>0</v>
      </c>
      <c r="AO87" s="21">
        <v>0</v>
      </c>
      <c r="AP87" s="21">
        <v>0</v>
      </c>
      <c r="AQ87" s="21">
        <v>0</v>
      </c>
      <c r="AR87" s="21">
        <v>0</v>
      </c>
      <c r="AS87" s="21">
        <v>0</v>
      </c>
      <c r="AT87" s="21">
        <v>0</v>
      </c>
      <c r="AU87" s="21">
        <v>0</v>
      </c>
      <c r="AV87" s="21">
        <v>0</v>
      </c>
      <c r="AW87" s="21">
        <v>0</v>
      </c>
      <c r="AX87" s="21">
        <v>0</v>
      </c>
      <c r="AY87" s="21">
        <v>0</v>
      </c>
      <c r="AZ87" s="21">
        <v>0</v>
      </c>
      <c r="BA87" s="21">
        <v>0</v>
      </c>
      <c r="BB87" s="21">
        <v>0</v>
      </c>
      <c r="BC87" s="21">
        <v>0</v>
      </c>
      <c r="BD87" s="21">
        <v>0</v>
      </c>
      <c r="BE87" s="21">
        <v>0</v>
      </c>
      <c r="BF87" s="21">
        <v>0</v>
      </c>
      <c r="BG87" s="21">
        <v>0</v>
      </c>
      <c r="BH87" s="21">
        <v>0</v>
      </c>
      <c r="BI87" s="21">
        <v>0</v>
      </c>
      <c r="BJ87" s="21">
        <v>0</v>
      </c>
      <c r="BK87" s="21">
        <v>0</v>
      </c>
      <c r="BL87" s="21">
        <v>0</v>
      </c>
      <c r="BM87" s="21">
        <v>0</v>
      </c>
      <c r="BN87" s="21">
        <v>0</v>
      </c>
      <c r="BO87" s="21">
        <v>0</v>
      </c>
      <c r="BP87" s="21">
        <v>0</v>
      </c>
      <c r="BQ87" s="21">
        <v>0</v>
      </c>
      <c r="BR87" s="21">
        <v>0</v>
      </c>
      <c r="BS87" s="21">
        <v>0</v>
      </c>
      <c r="BT87" s="21">
        <v>0</v>
      </c>
      <c r="BU87" s="21">
        <v>0</v>
      </c>
      <c r="BV87" s="21">
        <v>0</v>
      </c>
      <c r="BW87" s="21">
        <v>0</v>
      </c>
      <c r="BX87" s="21">
        <v>0</v>
      </c>
      <c r="BY87" s="21">
        <v>0</v>
      </c>
      <c r="BZ87" s="21">
        <v>0</v>
      </c>
      <c r="CA87" s="21">
        <v>0</v>
      </c>
      <c r="CB87" s="21">
        <v>0</v>
      </c>
      <c r="CC87" s="21">
        <v>0</v>
      </c>
      <c r="CD87" s="21">
        <v>0</v>
      </c>
      <c r="CE87" s="21">
        <v>0</v>
      </c>
      <c r="CF87" s="21">
        <v>0</v>
      </c>
      <c r="CG87" s="21">
        <v>0</v>
      </c>
      <c r="CH87" s="21">
        <v>0</v>
      </c>
      <c r="CI87" s="21">
        <v>0</v>
      </c>
      <c r="CJ87" s="21">
        <v>0</v>
      </c>
      <c r="CK87" s="21">
        <v>0</v>
      </c>
      <c r="CL87" s="21">
        <v>0</v>
      </c>
      <c r="CM87" s="21">
        <v>0</v>
      </c>
    </row>
    <row r="88" spans="1:91">
      <c r="A88">
        <v>10</v>
      </c>
      <c r="B88" s="40"/>
      <c r="F88" s="21"/>
      <c r="G88" s="21"/>
      <c r="H88" s="36"/>
      <c r="I88" s="21"/>
      <c r="J88" s="21"/>
      <c r="K88" s="21"/>
      <c r="L88" s="21"/>
      <c r="M88" s="21"/>
      <c r="N88" s="21"/>
      <c r="O88" s="21"/>
      <c r="P88" s="21"/>
      <c r="Q88" s="21"/>
      <c r="R88" s="21"/>
      <c r="S88" s="21"/>
      <c r="T88" s="21"/>
      <c r="U88" s="21"/>
      <c r="V88" s="21"/>
      <c r="W88" s="21"/>
      <c r="X88" s="21"/>
      <c r="Y88" s="21"/>
      <c r="Z88" s="21"/>
      <c r="AA88" s="21"/>
      <c r="AB88" s="21"/>
      <c r="AC88" s="21"/>
      <c r="AD88" s="21"/>
      <c r="AE88" s="21"/>
      <c r="AF88" s="21"/>
      <c r="AG88" s="21"/>
      <c r="AH88" s="21"/>
      <c r="AI88" s="21"/>
      <c r="AJ88" s="21"/>
      <c r="AK88" s="21"/>
      <c r="AL88" s="21"/>
      <c r="AM88" s="21"/>
      <c r="AN88" s="21"/>
      <c r="AO88" s="21"/>
      <c r="AP88" s="21"/>
      <c r="AQ88" s="21"/>
      <c r="AR88" s="21"/>
      <c r="AS88" s="21"/>
      <c r="AT88" s="21"/>
      <c r="AU88" s="21"/>
      <c r="AV88" s="21"/>
      <c r="AW88" s="21"/>
      <c r="AX88" s="21"/>
      <c r="AY88" s="21"/>
      <c r="AZ88" s="21"/>
      <c r="BA88" s="21"/>
      <c r="BB88" s="21"/>
      <c r="BC88" s="21"/>
      <c r="BD88" s="21"/>
      <c r="BE88" s="21"/>
      <c r="BF88" s="21"/>
      <c r="BG88" s="21"/>
      <c r="BH88" s="21"/>
      <c r="BI88" s="21"/>
      <c r="BJ88" s="21"/>
      <c r="BK88" s="21"/>
      <c r="BL88" s="21"/>
      <c r="BM88" s="21"/>
      <c r="BN88" s="21"/>
      <c r="BO88" s="21"/>
      <c r="BP88" s="21"/>
      <c r="BQ88" s="21"/>
      <c r="BR88" s="21"/>
      <c r="BS88" s="21"/>
      <c r="BT88" s="21"/>
      <c r="BU88" s="21"/>
      <c r="BV88" s="21"/>
      <c r="BW88" s="21"/>
      <c r="BX88" s="21"/>
      <c r="BY88" s="21"/>
      <c r="BZ88" s="21"/>
      <c r="CA88" s="21"/>
      <c r="CB88" s="21"/>
      <c r="CC88" s="21"/>
      <c r="CD88" s="21"/>
      <c r="CE88" s="21"/>
      <c r="CF88" s="21"/>
      <c r="CG88" s="21"/>
      <c r="CH88" s="21"/>
      <c r="CI88" s="21"/>
      <c r="CJ88" s="21"/>
      <c r="CK88" s="21"/>
      <c r="CL88" s="21"/>
      <c r="CM88" s="21"/>
    </row>
    <row r="89" spans="1:91">
      <c r="A89">
        <v>11</v>
      </c>
      <c r="B89" s="40"/>
      <c r="F89" s="21"/>
      <c r="G89" s="21"/>
      <c r="H89" s="36"/>
      <c r="I89" s="21"/>
      <c r="J89" s="21"/>
      <c r="K89" s="21"/>
      <c r="L89" s="21"/>
      <c r="M89" s="21"/>
      <c r="N89" s="21"/>
      <c r="O89" s="21"/>
      <c r="P89" s="21"/>
      <c r="Q89" s="21"/>
      <c r="R89" s="21"/>
      <c r="S89" s="21"/>
      <c r="T89" s="21"/>
      <c r="U89" s="21"/>
      <c r="V89" s="21"/>
      <c r="W89" s="21"/>
      <c r="X89" s="21"/>
      <c r="Y89" s="21"/>
      <c r="Z89" s="21"/>
      <c r="AA89" s="21"/>
      <c r="AB89" s="21"/>
      <c r="AC89" s="21"/>
      <c r="AD89" s="21"/>
      <c r="AE89" s="21"/>
      <c r="AF89" s="21"/>
      <c r="AG89" s="21"/>
      <c r="AH89" s="21"/>
      <c r="AI89" s="21"/>
      <c r="AJ89" s="21"/>
      <c r="AK89" s="21"/>
      <c r="AL89" s="21"/>
      <c r="AM89" s="21"/>
      <c r="AN89" s="21"/>
      <c r="AO89" s="21"/>
      <c r="AP89" s="21"/>
      <c r="AQ89" s="21"/>
      <c r="AR89" s="21"/>
      <c r="AS89" s="21"/>
      <c r="AT89" s="21"/>
      <c r="AU89" s="21"/>
      <c r="AV89" s="21"/>
      <c r="AW89" s="21"/>
      <c r="AX89" s="21"/>
      <c r="AY89" s="21"/>
      <c r="AZ89" s="21"/>
      <c r="BA89" s="21"/>
      <c r="BB89" s="21"/>
      <c r="BC89" s="21"/>
      <c r="BD89" s="21"/>
      <c r="BE89" s="21"/>
      <c r="BF89" s="21"/>
      <c r="BG89" s="21"/>
      <c r="BH89" s="21"/>
      <c r="BI89" s="21"/>
      <c r="BJ89" s="21"/>
      <c r="BK89" s="21"/>
      <c r="BL89" s="21"/>
      <c r="BM89" s="21"/>
      <c r="BN89" s="21"/>
      <c r="BO89" s="21"/>
      <c r="BP89" s="21"/>
      <c r="BQ89" s="21"/>
      <c r="BR89" s="21"/>
      <c r="BS89" s="21"/>
      <c r="BT89" s="21"/>
      <c r="BU89" s="21"/>
      <c r="BV89" s="21"/>
      <c r="BW89" s="21"/>
      <c r="BX89" s="21"/>
      <c r="BY89" s="21"/>
      <c r="BZ89" s="21"/>
      <c r="CA89" s="21"/>
      <c r="CB89" s="21"/>
      <c r="CC89" s="21"/>
      <c r="CD89" s="21"/>
      <c r="CE89" s="21"/>
      <c r="CF89" s="21"/>
      <c r="CG89" s="21"/>
      <c r="CH89" s="21"/>
      <c r="CI89" s="21"/>
      <c r="CJ89" s="21"/>
      <c r="CK89" s="21"/>
      <c r="CL89" s="21"/>
      <c r="CM89" s="21"/>
    </row>
    <row r="90" spans="1:91">
      <c r="A90">
        <v>12</v>
      </c>
      <c r="B90" s="40"/>
      <c r="H90" s="11"/>
    </row>
    <row r="91" spans="1:91">
      <c r="A91">
        <v>13</v>
      </c>
      <c r="B91" s="40"/>
      <c r="H91" s="11"/>
    </row>
    <row r="92" spans="1:91">
      <c r="A92">
        <v>14</v>
      </c>
      <c r="B92" s="40"/>
      <c r="H92" s="11"/>
    </row>
    <row r="93" spans="1:91">
      <c r="A93">
        <v>15</v>
      </c>
      <c r="B93" s="41" t="s">
        <v>117</v>
      </c>
      <c r="H93" s="11"/>
    </row>
    <row r="94" spans="1:91">
      <c r="F94" s="43" t="s">
        <v>249</v>
      </c>
      <c r="G94" s="42"/>
      <c r="H94" s="11"/>
    </row>
    <row r="95" spans="1:91">
      <c r="H95" s="11"/>
    </row>
    <row r="96" spans="1:91">
      <c r="H96" s="11"/>
    </row>
    <row r="97" spans="1:91">
      <c r="H97" s="11"/>
    </row>
    <row r="98" spans="1:91">
      <c r="H98" s="11"/>
    </row>
    <row r="99" spans="1:91">
      <c r="B99" s="4" t="s">
        <v>91</v>
      </c>
      <c r="H99" s="11"/>
    </row>
    <row r="100" spans="1:91">
      <c r="A100" s="11" t="s">
        <v>92</v>
      </c>
      <c r="B100" s="4" t="s">
        <v>102</v>
      </c>
      <c r="C100" s="4" t="s">
        <v>98</v>
      </c>
      <c r="D100" s="4" t="s">
        <v>68</v>
      </c>
      <c r="E100" s="4" t="s">
        <v>93</v>
      </c>
      <c r="F100" s="4" t="s">
        <v>94</v>
      </c>
      <c r="H100" s="11"/>
    </row>
    <row r="101" spans="1:91">
      <c r="F101" s="4">
        <v>2005</v>
      </c>
      <c r="G101" s="4">
        <v>2006</v>
      </c>
      <c r="H101" s="4">
        <v>2007</v>
      </c>
      <c r="I101" s="4">
        <v>2008</v>
      </c>
      <c r="J101" s="4">
        <v>2009</v>
      </c>
      <c r="K101" s="4">
        <v>2010</v>
      </c>
      <c r="L101" s="4">
        <v>2011</v>
      </c>
      <c r="M101" s="4">
        <v>2012</v>
      </c>
      <c r="N101" s="4">
        <v>2013</v>
      </c>
      <c r="O101" s="4">
        <v>2014</v>
      </c>
      <c r="P101" s="4">
        <v>2015</v>
      </c>
      <c r="Q101" s="4">
        <v>2016</v>
      </c>
      <c r="R101" s="4">
        <v>2017</v>
      </c>
      <c r="S101" s="4">
        <v>2018</v>
      </c>
      <c r="T101" s="4">
        <v>2019</v>
      </c>
      <c r="U101" s="4">
        <v>2020</v>
      </c>
      <c r="V101" s="4">
        <v>2021</v>
      </c>
      <c r="W101" s="4">
        <v>2022</v>
      </c>
      <c r="X101" s="4">
        <v>2023</v>
      </c>
      <c r="Y101" s="4">
        <v>2024</v>
      </c>
      <c r="Z101" s="4">
        <v>2025</v>
      </c>
      <c r="AA101" s="4">
        <v>2026</v>
      </c>
      <c r="AB101" s="4">
        <v>2027</v>
      </c>
      <c r="AC101" s="4">
        <v>2028</v>
      </c>
      <c r="AD101" s="4">
        <v>2029</v>
      </c>
      <c r="AE101" s="4">
        <v>2030</v>
      </c>
      <c r="AF101" s="4">
        <v>2031</v>
      </c>
      <c r="AG101" s="4">
        <v>2032</v>
      </c>
      <c r="AH101" s="4">
        <v>2033</v>
      </c>
      <c r="AI101" s="4">
        <v>2034</v>
      </c>
      <c r="AJ101" s="4">
        <v>2035</v>
      </c>
      <c r="AK101" s="4">
        <v>2036</v>
      </c>
      <c r="AL101" s="4">
        <v>2037</v>
      </c>
      <c r="AM101" s="4">
        <v>2038</v>
      </c>
      <c r="AN101" s="4">
        <v>2039</v>
      </c>
      <c r="AO101" s="4">
        <v>2040</v>
      </c>
      <c r="AP101" s="4">
        <v>2041</v>
      </c>
      <c r="AQ101" s="4">
        <v>2042</v>
      </c>
      <c r="AR101" s="4">
        <v>2043</v>
      </c>
      <c r="AS101" s="4">
        <v>2044</v>
      </c>
      <c r="AT101" s="4">
        <v>2045</v>
      </c>
      <c r="AU101" s="4">
        <v>2046</v>
      </c>
      <c r="AV101" s="4">
        <v>2047</v>
      </c>
      <c r="AW101" s="4">
        <v>2048</v>
      </c>
      <c r="AX101" s="4">
        <v>2049</v>
      </c>
      <c r="AY101" s="4">
        <v>2050</v>
      </c>
      <c r="AZ101" s="4">
        <v>2051</v>
      </c>
      <c r="BA101" s="4">
        <v>2052</v>
      </c>
      <c r="BB101" s="4">
        <v>2053</v>
      </c>
      <c r="BC101" s="4">
        <v>2054</v>
      </c>
      <c r="BD101" s="4">
        <v>2055</v>
      </c>
      <c r="BE101" s="4">
        <v>2056</v>
      </c>
      <c r="BF101" s="4">
        <v>2057</v>
      </c>
      <c r="BG101" s="4">
        <v>2058</v>
      </c>
      <c r="BH101" s="4">
        <v>2059</v>
      </c>
      <c r="BI101" s="4">
        <v>2060</v>
      </c>
      <c r="BJ101" s="4">
        <v>2061</v>
      </c>
      <c r="BK101" s="4">
        <v>2062</v>
      </c>
      <c r="BL101" s="4">
        <v>2063</v>
      </c>
      <c r="BM101" s="4">
        <v>2064</v>
      </c>
      <c r="BN101" s="4">
        <v>2065</v>
      </c>
      <c r="BO101" s="4">
        <v>2066</v>
      </c>
      <c r="BP101" s="4">
        <v>2067</v>
      </c>
      <c r="BQ101" s="4">
        <v>2068</v>
      </c>
      <c r="BR101" s="4">
        <v>2069</v>
      </c>
      <c r="BS101" s="4">
        <v>2070</v>
      </c>
      <c r="BT101" s="4">
        <v>2071</v>
      </c>
      <c r="BU101" s="4">
        <v>2072</v>
      </c>
      <c r="BV101" s="4">
        <v>2073</v>
      </c>
      <c r="BW101" s="4">
        <v>2074</v>
      </c>
      <c r="BX101" s="4">
        <v>2075</v>
      </c>
      <c r="BY101" s="4">
        <v>2076</v>
      </c>
      <c r="BZ101" s="4">
        <v>2077</v>
      </c>
      <c r="CA101" s="4">
        <v>2078</v>
      </c>
      <c r="CB101" s="4">
        <v>2079</v>
      </c>
      <c r="CC101" s="4">
        <v>2080</v>
      </c>
      <c r="CD101" s="4">
        <v>2081</v>
      </c>
      <c r="CE101" s="4">
        <v>2082</v>
      </c>
      <c r="CF101" s="4">
        <v>2083</v>
      </c>
      <c r="CG101" s="4">
        <v>2084</v>
      </c>
      <c r="CH101" s="4">
        <v>2085</v>
      </c>
      <c r="CI101" s="4">
        <v>2086</v>
      </c>
      <c r="CJ101" s="4">
        <v>2087</v>
      </c>
      <c r="CK101" s="4">
        <v>2088</v>
      </c>
      <c r="CL101" s="4">
        <v>2089</v>
      </c>
      <c r="CM101" s="4">
        <v>2090</v>
      </c>
    </row>
    <row r="102" spans="1:91">
      <c r="A102">
        <v>1</v>
      </c>
      <c r="B102" t="str">
        <f>'Tech Parameters'!B6</f>
        <v>Existing coal Large</v>
      </c>
      <c r="C102" t="str">
        <f>'Tech Parameters'!C6</f>
        <v>Existing coal large</v>
      </c>
      <c r="D102" t="str">
        <f t="shared" ref="D102:D121" si="31">VLOOKUP(C102,technology_learning_index,2,FALSE)</f>
        <v>coal for existing plants</v>
      </c>
      <c r="E102" s="26">
        <f>'Tech Parameters'!G6</f>
        <v>0.34905939650497231</v>
      </c>
      <c r="F102">
        <f t="shared" ref="F102:G121" si="32">IF($E102=0,0,SUMIF($B$79:$B$87,$D102,F$79:F$87)/$E102)</f>
        <v>41.402464794970868</v>
      </c>
      <c r="G102">
        <f t="shared" si="32"/>
        <v>49.13691928698784</v>
      </c>
      <c r="H102">
        <f t="shared" ref="H102:BS103" si="33">IF($E102=0,0,SUMIF($B$79:$B$87,$D102,H$79:H$87)/$E102)</f>
        <v>56.871373779004813</v>
      </c>
      <c r="I102">
        <f t="shared" si="33"/>
        <v>60.328745037732403</v>
      </c>
      <c r="J102">
        <f t="shared" si="33"/>
        <v>60.328745037732403</v>
      </c>
      <c r="K102">
        <f t="shared" si="33"/>
        <v>60.673480723662308</v>
      </c>
      <c r="L102">
        <f t="shared" si="33"/>
        <v>61.018216409592206</v>
      </c>
      <c r="M102">
        <f t="shared" si="33"/>
        <v>61.362952095522111</v>
      </c>
      <c r="N102">
        <f t="shared" si="33"/>
        <v>61.707687781452002</v>
      </c>
      <c r="O102">
        <f t="shared" si="33"/>
        <v>62.052423467381907</v>
      </c>
      <c r="P102">
        <f t="shared" si="33"/>
        <v>62.397159153311797</v>
      </c>
      <c r="Q102">
        <f t="shared" si="33"/>
        <v>62.741894839241702</v>
      </c>
      <c r="R102">
        <f t="shared" si="33"/>
        <v>63.086630525171593</v>
      </c>
      <c r="S102">
        <f t="shared" si="33"/>
        <v>63.431366211101498</v>
      </c>
      <c r="T102">
        <f t="shared" si="33"/>
        <v>63.776101897031403</v>
      </c>
      <c r="U102">
        <f t="shared" si="33"/>
        <v>64.1208375829613</v>
      </c>
      <c r="V102">
        <f t="shared" si="33"/>
        <v>64.465573268891191</v>
      </c>
      <c r="W102">
        <f t="shared" si="33"/>
        <v>64.810308954821096</v>
      </c>
      <c r="X102">
        <f t="shared" si="33"/>
        <v>65.155044640751001</v>
      </c>
      <c r="Y102">
        <f t="shared" si="33"/>
        <v>65.499780326680892</v>
      </c>
      <c r="Z102">
        <f t="shared" si="33"/>
        <v>65.844516012610796</v>
      </c>
      <c r="AA102">
        <f t="shared" si="33"/>
        <v>66.189251698540701</v>
      </c>
      <c r="AB102">
        <f t="shared" si="33"/>
        <v>66.533987384470592</v>
      </c>
      <c r="AC102">
        <f t="shared" si="33"/>
        <v>66.878723070400497</v>
      </c>
      <c r="AD102">
        <f t="shared" si="33"/>
        <v>67.223458756330402</v>
      </c>
      <c r="AE102">
        <f t="shared" si="33"/>
        <v>67.568194442260292</v>
      </c>
      <c r="AF102">
        <f t="shared" si="33"/>
        <v>67.568194442260292</v>
      </c>
      <c r="AG102">
        <f t="shared" si="33"/>
        <v>67.568194442260292</v>
      </c>
      <c r="AH102">
        <f t="shared" si="33"/>
        <v>67.568194442260292</v>
      </c>
      <c r="AI102">
        <f t="shared" si="33"/>
        <v>67.568194442260292</v>
      </c>
      <c r="AJ102">
        <f t="shared" si="33"/>
        <v>67.568194442260292</v>
      </c>
      <c r="AK102">
        <f t="shared" si="33"/>
        <v>67.568194442260292</v>
      </c>
      <c r="AL102">
        <f t="shared" si="33"/>
        <v>67.568194442260292</v>
      </c>
      <c r="AM102">
        <f t="shared" si="33"/>
        <v>67.568194442260292</v>
      </c>
      <c r="AN102">
        <f t="shared" si="33"/>
        <v>67.568194442260292</v>
      </c>
      <c r="AO102">
        <f t="shared" si="33"/>
        <v>67.568194442260292</v>
      </c>
      <c r="AP102">
        <f t="shared" si="33"/>
        <v>67.568194442260292</v>
      </c>
      <c r="AQ102">
        <f t="shared" si="33"/>
        <v>67.568194442260292</v>
      </c>
      <c r="AR102">
        <f t="shared" si="33"/>
        <v>67.568194442260292</v>
      </c>
      <c r="AS102">
        <f t="shared" si="33"/>
        <v>67.568194442260292</v>
      </c>
      <c r="AT102">
        <f t="shared" si="33"/>
        <v>67.568194442260292</v>
      </c>
      <c r="AU102">
        <f t="shared" si="33"/>
        <v>67.568194442260292</v>
      </c>
      <c r="AV102">
        <f t="shared" si="33"/>
        <v>67.568194442260292</v>
      </c>
      <c r="AW102">
        <f t="shared" si="33"/>
        <v>67.568194442260292</v>
      </c>
      <c r="AX102">
        <f t="shared" si="33"/>
        <v>67.568194442260292</v>
      </c>
      <c r="AY102">
        <f t="shared" si="33"/>
        <v>67.568194442260292</v>
      </c>
      <c r="AZ102">
        <f t="shared" si="33"/>
        <v>67.568194442260292</v>
      </c>
      <c r="BA102">
        <f t="shared" si="33"/>
        <v>67.568194442260292</v>
      </c>
      <c r="BB102">
        <f t="shared" si="33"/>
        <v>67.568194442260292</v>
      </c>
      <c r="BC102">
        <f t="shared" si="33"/>
        <v>67.568194442260292</v>
      </c>
      <c r="BD102">
        <f t="shared" si="33"/>
        <v>67.568194442260292</v>
      </c>
      <c r="BE102">
        <f t="shared" si="33"/>
        <v>67.568194442260292</v>
      </c>
      <c r="BF102">
        <f t="shared" si="33"/>
        <v>67.568194442260292</v>
      </c>
      <c r="BG102">
        <f t="shared" si="33"/>
        <v>67.568194442260292</v>
      </c>
      <c r="BH102">
        <f t="shared" si="33"/>
        <v>67.568194442260292</v>
      </c>
      <c r="BI102">
        <f t="shared" si="33"/>
        <v>67.568194442260292</v>
      </c>
      <c r="BJ102">
        <f t="shared" si="33"/>
        <v>67.568194442260292</v>
      </c>
      <c r="BK102">
        <f t="shared" si="33"/>
        <v>67.568194442260292</v>
      </c>
      <c r="BL102">
        <f t="shared" si="33"/>
        <v>67.568194442260292</v>
      </c>
      <c r="BM102">
        <f t="shared" si="33"/>
        <v>67.568194442260292</v>
      </c>
      <c r="BN102">
        <f t="shared" si="33"/>
        <v>67.568194442260292</v>
      </c>
      <c r="BO102">
        <f t="shared" si="33"/>
        <v>67.568194442260292</v>
      </c>
      <c r="BP102">
        <f t="shared" si="33"/>
        <v>67.568194442260292</v>
      </c>
      <c r="BQ102">
        <f t="shared" si="33"/>
        <v>67.568194442260292</v>
      </c>
      <c r="BR102">
        <f t="shared" si="33"/>
        <v>67.568194442260292</v>
      </c>
      <c r="BS102">
        <f t="shared" si="33"/>
        <v>67.568194442260292</v>
      </c>
      <c r="BT102">
        <f t="shared" ref="BT102:CM106" si="34">IF($E102=0,0,SUMIF($B$79:$B$87,$D102,BT$79:BT$87)/$E102)</f>
        <v>67.568194442260292</v>
      </c>
      <c r="BU102">
        <f t="shared" si="34"/>
        <v>67.568194442260292</v>
      </c>
      <c r="BV102">
        <f t="shared" si="34"/>
        <v>67.568194442260292</v>
      </c>
      <c r="BW102">
        <f t="shared" si="34"/>
        <v>67.568194442260292</v>
      </c>
      <c r="BX102">
        <f t="shared" si="34"/>
        <v>67.568194442260292</v>
      </c>
      <c r="BY102">
        <f t="shared" si="34"/>
        <v>67.568194442260292</v>
      </c>
      <c r="BZ102">
        <f t="shared" si="34"/>
        <v>67.568194442260292</v>
      </c>
      <c r="CA102">
        <f t="shared" si="34"/>
        <v>67.568194442260292</v>
      </c>
      <c r="CB102">
        <f t="shared" si="34"/>
        <v>67.568194442260292</v>
      </c>
      <c r="CC102">
        <f t="shared" si="34"/>
        <v>67.568194442260292</v>
      </c>
      <c r="CD102">
        <f t="shared" si="34"/>
        <v>67.568194442260292</v>
      </c>
      <c r="CE102">
        <f t="shared" si="34"/>
        <v>67.568194442260292</v>
      </c>
      <c r="CF102">
        <f t="shared" si="34"/>
        <v>67.568194442260292</v>
      </c>
      <c r="CG102">
        <f t="shared" si="34"/>
        <v>67.568194442260292</v>
      </c>
      <c r="CH102">
        <f t="shared" si="34"/>
        <v>67.568194442260292</v>
      </c>
      <c r="CI102">
        <f t="shared" si="34"/>
        <v>67.568194442260292</v>
      </c>
      <c r="CJ102">
        <f t="shared" si="34"/>
        <v>67.568194442260292</v>
      </c>
      <c r="CK102">
        <f t="shared" si="34"/>
        <v>67.568194442260292</v>
      </c>
      <c r="CL102">
        <f t="shared" si="34"/>
        <v>67.568194442260292</v>
      </c>
      <c r="CM102">
        <f t="shared" si="34"/>
        <v>67.568194442260292</v>
      </c>
    </row>
    <row r="103" spans="1:91">
      <c r="A103">
        <v>2</v>
      </c>
      <c r="B103" t="str">
        <f>'Tech Parameters'!B7</f>
        <v>Existing coal Small</v>
      </c>
      <c r="C103" t="str">
        <f>'Tech Parameters'!C7</f>
        <v>Existing coal small</v>
      </c>
      <c r="D103" t="str">
        <f t="shared" si="31"/>
        <v>coal for new plants</v>
      </c>
      <c r="E103" s="26">
        <f>'Tech Parameters'!G7</f>
        <v>0.28218973503210287</v>
      </c>
      <c r="F103">
        <f t="shared" si="32"/>
        <v>64.626538864327955</v>
      </c>
      <c r="G103">
        <f t="shared" si="32"/>
        <v>74.193804012975122</v>
      </c>
      <c r="H103">
        <f t="shared" ref="H103:U103" si="35">IF($E103=0,0,SUMIF($B$79:$B$87,$D103,H$79:H$87)/$E103)</f>
        <v>83.761069161622302</v>
      </c>
      <c r="I103">
        <f t="shared" si="35"/>
        <v>93.7409750945544</v>
      </c>
      <c r="J103">
        <f t="shared" si="35"/>
        <v>93.7409750945544</v>
      </c>
      <c r="K103">
        <f t="shared" si="35"/>
        <v>94.276637809380432</v>
      </c>
      <c r="L103">
        <f t="shared" si="35"/>
        <v>94.812300524206449</v>
      </c>
      <c r="M103">
        <f t="shared" si="35"/>
        <v>95.347963239032481</v>
      </c>
      <c r="N103">
        <f t="shared" si="35"/>
        <v>95.883625953858498</v>
      </c>
      <c r="O103">
        <f t="shared" si="35"/>
        <v>96.41928866868453</v>
      </c>
      <c r="P103">
        <f t="shared" si="35"/>
        <v>96.954951383510547</v>
      </c>
      <c r="Q103">
        <f t="shared" si="35"/>
        <v>97.490614098336579</v>
      </c>
      <c r="R103">
        <f t="shared" si="35"/>
        <v>98.026276813162596</v>
      </c>
      <c r="S103">
        <f t="shared" si="35"/>
        <v>98.561939527988628</v>
      </c>
      <c r="T103">
        <f t="shared" si="35"/>
        <v>99.097602242814659</v>
      </c>
      <c r="U103">
        <f t="shared" si="35"/>
        <v>99.633264957640677</v>
      </c>
      <c r="V103">
        <f t="shared" si="33"/>
        <v>100.16892767246669</v>
      </c>
      <c r="W103">
        <f t="shared" si="33"/>
        <v>100.70459038729273</v>
      </c>
      <c r="X103">
        <f t="shared" si="33"/>
        <v>101.24025310211874</v>
      </c>
      <c r="Y103">
        <f t="shared" si="33"/>
        <v>101.77591581694477</v>
      </c>
      <c r="Z103">
        <f t="shared" si="33"/>
        <v>102.31157853177081</v>
      </c>
      <c r="AA103">
        <f t="shared" si="33"/>
        <v>102.84724124659684</v>
      </c>
      <c r="AB103">
        <f t="shared" si="33"/>
        <v>103.38290396142284</v>
      </c>
      <c r="AC103">
        <f t="shared" si="33"/>
        <v>103.91856667624886</v>
      </c>
      <c r="AD103">
        <f t="shared" si="33"/>
        <v>104.4542293910749</v>
      </c>
      <c r="AE103">
        <f t="shared" si="33"/>
        <v>104.98989210590092</v>
      </c>
      <c r="AF103">
        <f t="shared" si="33"/>
        <v>104.98989210590092</v>
      </c>
      <c r="AG103">
        <f t="shared" si="33"/>
        <v>104.98989210590092</v>
      </c>
      <c r="AH103">
        <f t="shared" si="33"/>
        <v>104.98989210590092</v>
      </c>
      <c r="AI103">
        <f t="shared" si="33"/>
        <v>104.98989210590092</v>
      </c>
      <c r="AJ103">
        <f t="shared" si="33"/>
        <v>104.98989210590092</v>
      </c>
      <c r="AK103">
        <f t="shared" si="33"/>
        <v>104.98989210590092</v>
      </c>
      <c r="AL103">
        <f t="shared" si="33"/>
        <v>104.98989210590092</v>
      </c>
      <c r="AM103">
        <f t="shared" si="33"/>
        <v>104.98989210590092</v>
      </c>
      <c r="AN103">
        <f t="shared" si="33"/>
        <v>104.98989210590092</v>
      </c>
      <c r="AO103">
        <f t="shared" si="33"/>
        <v>104.98989210590092</v>
      </c>
      <c r="AP103">
        <f t="shared" si="33"/>
        <v>104.98989210590092</v>
      </c>
      <c r="AQ103">
        <f t="shared" si="33"/>
        <v>104.98989210590092</v>
      </c>
      <c r="AR103">
        <f t="shared" si="33"/>
        <v>104.98989210590092</v>
      </c>
      <c r="AS103">
        <f t="shared" si="33"/>
        <v>104.98989210590092</v>
      </c>
      <c r="AT103">
        <f t="shared" si="33"/>
        <v>104.98989210590092</v>
      </c>
      <c r="AU103">
        <f t="shared" si="33"/>
        <v>104.98989210590092</v>
      </c>
      <c r="AV103">
        <f t="shared" si="33"/>
        <v>104.98989210590092</v>
      </c>
      <c r="AW103">
        <f t="shared" si="33"/>
        <v>104.98989210590092</v>
      </c>
      <c r="AX103">
        <f t="shared" si="33"/>
        <v>104.98989210590092</v>
      </c>
      <c r="AY103">
        <f t="shared" si="33"/>
        <v>104.98989210590092</v>
      </c>
      <c r="AZ103">
        <f t="shared" si="33"/>
        <v>104.98989210590092</v>
      </c>
      <c r="BA103">
        <f t="shared" si="33"/>
        <v>104.98989210590092</v>
      </c>
      <c r="BB103">
        <f t="shared" si="33"/>
        <v>104.98989210590092</v>
      </c>
      <c r="BC103">
        <f t="shared" si="33"/>
        <v>104.98989210590092</v>
      </c>
      <c r="BD103">
        <f t="shared" si="33"/>
        <v>104.98989210590092</v>
      </c>
      <c r="BE103">
        <f t="shared" si="33"/>
        <v>104.98989210590092</v>
      </c>
      <c r="BF103">
        <f t="shared" si="33"/>
        <v>104.98989210590092</v>
      </c>
      <c r="BG103">
        <f t="shared" si="33"/>
        <v>104.98989210590092</v>
      </c>
      <c r="BH103">
        <f t="shared" si="33"/>
        <v>104.98989210590092</v>
      </c>
      <c r="BI103">
        <f t="shared" si="33"/>
        <v>104.98989210590092</v>
      </c>
      <c r="BJ103">
        <f t="shared" si="33"/>
        <v>104.98989210590092</v>
      </c>
      <c r="BK103">
        <f t="shared" si="33"/>
        <v>104.98989210590092</v>
      </c>
      <c r="BL103">
        <f t="shared" si="33"/>
        <v>104.98989210590092</v>
      </c>
      <c r="BM103">
        <f t="shared" si="33"/>
        <v>104.98989210590092</v>
      </c>
      <c r="BN103">
        <f t="shared" si="33"/>
        <v>104.98989210590092</v>
      </c>
      <c r="BO103">
        <f t="shared" si="33"/>
        <v>104.98989210590092</v>
      </c>
      <c r="BP103">
        <f t="shared" si="33"/>
        <v>104.98989210590092</v>
      </c>
      <c r="BQ103">
        <f t="shared" si="33"/>
        <v>104.98989210590092</v>
      </c>
      <c r="BR103">
        <f t="shared" si="33"/>
        <v>104.98989210590092</v>
      </c>
      <c r="BS103">
        <f t="shared" si="33"/>
        <v>104.98989210590092</v>
      </c>
      <c r="BT103">
        <f t="shared" si="34"/>
        <v>104.98989210590092</v>
      </c>
      <c r="BU103">
        <f t="shared" si="34"/>
        <v>104.98989210590092</v>
      </c>
      <c r="BV103">
        <f t="shared" si="34"/>
        <v>104.98989210590092</v>
      </c>
      <c r="BW103">
        <f t="shared" si="34"/>
        <v>104.98989210590092</v>
      </c>
      <c r="BX103">
        <f t="shared" si="34"/>
        <v>104.98989210590092</v>
      </c>
      <c r="BY103">
        <f t="shared" si="34"/>
        <v>104.98989210590092</v>
      </c>
      <c r="BZ103">
        <f t="shared" si="34"/>
        <v>104.98989210590092</v>
      </c>
      <c r="CA103">
        <f t="shared" si="34"/>
        <v>104.98989210590092</v>
      </c>
      <c r="CB103">
        <f t="shared" si="34"/>
        <v>104.98989210590092</v>
      </c>
      <c r="CC103">
        <f t="shared" si="34"/>
        <v>104.98989210590092</v>
      </c>
      <c r="CD103">
        <f t="shared" si="34"/>
        <v>104.98989210590092</v>
      </c>
      <c r="CE103">
        <f t="shared" si="34"/>
        <v>104.98989210590092</v>
      </c>
      <c r="CF103">
        <f t="shared" si="34"/>
        <v>104.98989210590092</v>
      </c>
      <c r="CG103">
        <f t="shared" si="34"/>
        <v>104.98989210590092</v>
      </c>
      <c r="CH103">
        <f t="shared" si="34"/>
        <v>104.98989210590092</v>
      </c>
      <c r="CI103">
        <f t="shared" si="34"/>
        <v>104.98989210590092</v>
      </c>
      <c r="CJ103">
        <f t="shared" si="34"/>
        <v>104.98989210590092</v>
      </c>
      <c r="CK103">
        <f t="shared" si="34"/>
        <v>104.98989210590092</v>
      </c>
      <c r="CL103">
        <f t="shared" si="34"/>
        <v>104.98989210590092</v>
      </c>
      <c r="CM103">
        <f t="shared" si="34"/>
        <v>104.98989210590092</v>
      </c>
    </row>
    <row r="104" spans="1:91">
      <c r="A104">
        <v>3</v>
      </c>
      <c r="B104" t="str">
        <f>'Tech Parameters'!B8</f>
        <v>OCGT liquid fuels</v>
      </c>
      <c r="C104" t="str">
        <f>'Tech Parameters'!C8</f>
        <v>Open-Cycle Gas Turbine diesel</v>
      </c>
      <c r="D104" t="str">
        <f t="shared" si="31"/>
        <v>diesel</v>
      </c>
      <c r="E104" s="26">
        <f>'Tech Parameters'!G8</f>
        <v>0.31566348518792936</v>
      </c>
      <c r="F104">
        <f t="shared" si="32"/>
        <v>1444.6474402441243</v>
      </c>
      <c r="G104">
        <f t="shared" si="32"/>
        <v>1644.104412700636</v>
      </c>
      <c r="H104">
        <f t="shared" ref="H104:BS107" si="36">IF($E104=0,0,SUMIF($B$79:$B$87,$D104,H$79:H$87)/$E104)</f>
        <v>1643.6316643240186</v>
      </c>
      <c r="I104">
        <f t="shared" si="36"/>
        <v>2315.6435256947957</v>
      </c>
      <c r="J104">
        <f t="shared" si="36"/>
        <v>1579.8785478580785</v>
      </c>
      <c r="K104">
        <f t="shared" si="36"/>
        <v>1661.0344118542107</v>
      </c>
      <c r="L104">
        <f t="shared" si="36"/>
        <v>1742.1902758503427</v>
      </c>
      <c r="M104">
        <f t="shared" si="36"/>
        <v>1823.3461398464747</v>
      </c>
      <c r="N104">
        <f t="shared" si="36"/>
        <v>1904.5020038426076</v>
      </c>
      <c r="O104">
        <f t="shared" si="36"/>
        <v>1985.6578678387395</v>
      </c>
      <c r="P104">
        <f t="shared" si="36"/>
        <v>2066.8137318348718</v>
      </c>
      <c r="Q104">
        <f t="shared" si="36"/>
        <v>2147.9695958310035</v>
      </c>
      <c r="R104">
        <f t="shared" si="36"/>
        <v>2229.1254598271357</v>
      </c>
      <c r="S104">
        <f t="shared" si="36"/>
        <v>2310.2813238232679</v>
      </c>
      <c r="T104">
        <f t="shared" si="36"/>
        <v>2391.4371878194002</v>
      </c>
      <c r="U104">
        <f t="shared" si="36"/>
        <v>2472.5930518155324</v>
      </c>
      <c r="V104">
        <f t="shared" si="36"/>
        <v>2553.7489158116641</v>
      </c>
      <c r="W104">
        <f t="shared" si="36"/>
        <v>2634.9047798077963</v>
      </c>
      <c r="X104">
        <f t="shared" si="36"/>
        <v>2716.0606438039285</v>
      </c>
      <c r="Y104">
        <f t="shared" si="36"/>
        <v>2797.2165078000612</v>
      </c>
      <c r="Z104">
        <f t="shared" si="36"/>
        <v>2878.372371796193</v>
      </c>
      <c r="AA104">
        <f t="shared" si="36"/>
        <v>2959.5282357923256</v>
      </c>
      <c r="AB104">
        <f t="shared" si="36"/>
        <v>3040.6840997884574</v>
      </c>
      <c r="AC104">
        <f t="shared" si="36"/>
        <v>3121.8399637845891</v>
      </c>
      <c r="AD104">
        <f t="shared" si="36"/>
        <v>3202.9958277807218</v>
      </c>
      <c r="AE104">
        <f t="shared" si="36"/>
        <v>3284.151691776854</v>
      </c>
      <c r="AF104">
        <f t="shared" si="36"/>
        <v>3284.151691776854</v>
      </c>
      <c r="AG104">
        <f t="shared" si="36"/>
        <v>3284.151691776854</v>
      </c>
      <c r="AH104">
        <f t="shared" si="36"/>
        <v>3284.151691776854</v>
      </c>
      <c r="AI104">
        <f t="shared" si="36"/>
        <v>3284.151691776854</v>
      </c>
      <c r="AJ104">
        <f t="shared" si="36"/>
        <v>3284.151691776854</v>
      </c>
      <c r="AK104">
        <f t="shared" si="36"/>
        <v>3284.151691776854</v>
      </c>
      <c r="AL104">
        <f t="shared" si="36"/>
        <v>3284.151691776854</v>
      </c>
      <c r="AM104">
        <f t="shared" si="36"/>
        <v>3284.151691776854</v>
      </c>
      <c r="AN104">
        <f t="shared" si="36"/>
        <v>3284.151691776854</v>
      </c>
      <c r="AO104">
        <f t="shared" si="36"/>
        <v>3284.151691776854</v>
      </c>
      <c r="AP104">
        <f t="shared" si="36"/>
        <v>3284.151691776854</v>
      </c>
      <c r="AQ104">
        <f t="shared" si="36"/>
        <v>3284.151691776854</v>
      </c>
      <c r="AR104">
        <f t="shared" si="36"/>
        <v>3284.151691776854</v>
      </c>
      <c r="AS104">
        <f t="shared" si="36"/>
        <v>3284.151691776854</v>
      </c>
      <c r="AT104">
        <f t="shared" si="36"/>
        <v>3284.151691776854</v>
      </c>
      <c r="AU104">
        <f t="shared" si="36"/>
        <v>3284.151691776854</v>
      </c>
      <c r="AV104">
        <f t="shared" si="36"/>
        <v>3284.151691776854</v>
      </c>
      <c r="AW104">
        <f t="shared" si="36"/>
        <v>3284.151691776854</v>
      </c>
      <c r="AX104">
        <f t="shared" si="36"/>
        <v>3284.151691776854</v>
      </c>
      <c r="AY104">
        <f t="shared" si="36"/>
        <v>3284.151691776854</v>
      </c>
      <c r="AZ104">
        <f t="shared" si="36"/>
        <v>3284.151691776854</v>
      </c>
      <c r="BA104">
        <f t="shared" si="36"/>
        <v>3284.151691776854</v>
      </c>
      <c r="BB104">
        <f t="shared" si="36"/>
        <v>3284.151691776854</v>
      </c>
      <c r="BC104">
        <f t="shared" si="36"/>
        <v>3284.151691776854</v>
      </c>
      <c r="BD104">
        <f t="shared" si="36"/>
        <v>3284.151691776854</v>
      </c>
      <c r="BE104">
        <f t="shared" si="36"/>
        <v>3284.151691776854</v>
      </c>
      <c r="BF104">
        <f t="shared" si="36"/>
        <v>3284.151691776854</v>
      </c>
      <c r="BG104">
        <f t="shared" si="36"/>
        <v>3284.151691776854</v>
      </c>
      <c r="BH104">
        <f t="shared" si="36"/>
        <v>3284.151691776854</v>
      </c>
      <c r="BI104">
        <f t="shared" si="36"/>
        <v>3284.151691776854</v>
      </c>
      <c r="BJ104">
        <f t="shared" si="36"/>
        <v>3284.151691776854</v>
      </c>
      <c r="BK104">
        <f t="shared" si="36"/>
        <v>3284.151691776854</v>
      </c>
      <c r="BL104">
        <f t="shared" si="36"/>
        <v>3284.151691776854</v>
      </c>
      <c r="BM104">
        <f t="shared" si="36"/>
        <v>3284.151691776854</v>
      </c>
      <c r="BN104">
        <f t="shared" si="36"/>
        <v>3284.151691776854</v>
      </c>
      <c r="BO104">
        <f t="shared" si="36"/>
        <v>3284.151691776854</v>
      </c>
      <c r="BP104">
        <f t="shared" si="36"/>
        <v>3284.151691776854</v>
      </c>
      <c r="BQ104">
        <f t="shared" si="36"/>
        <v>3284.151691776854</v>
      </c>
      <c r="BR104">
        <f t="shared" si="36"/>
        <v>3284.151691776854</v>
      </c>
      <c r="BS104">
        <f t="shared" si="36"/>
        <v>3284.151691776854</v>
      </c>
      <c r="BT104">
        <f t="shared" si="34"/>
        <v>3284.151691776854</v>
      </c>
      <c r="BU104">
        <f t="shared" si="34"/>
        <v>3284.151691776854</v>
      </c>
      <c r="BV104">
        <f t="shared" si="34"/>
        <v>3284.151691776854</v>
      </c>
      <c r="BW104">
        <f t="shared" si="34"/>
        <v>3284.151691776854</v>
      </c>
      <c r="BX104">
        <f t="shared" si="34"/>
        <v>3284.151691776854</v>
      </c>
      <c r="BY104">
        <f t="shared" si="34"/>
        <v>3284.151691776854</v>
      </c>
      <c r="BZ104">
        <f t="shared" si="34"/>
        <v>3284.151691776854</v>
      </c>
      <c r="CA104">
        <f t="shared" si="34"/>
        <v>3284.151691776854</v>
      </c>
      <c r="CB104">
        <f t="shared" si="34"/>
        <v>3284.151691776854</v>
      </c>
      <c r="CC104">
        <f t="shared" si="34"/>
        <v>3284.151691776854</v>
      </c>
      <c r="CD104">
        <f t="shared" si="34"/>
        <v>3284.151691776854</v>
      </c>
      <c r="CE104">
        <f t="shared" si="34"/>
        <v>3284.151691776854</v>
      </c>
      <c r="CF104">
        <f t="shared" si="34"/>
        <v>3284.151691776854</v>
      </c>
      <c r="CG104">
        <f t="shared" si="34"/>
        <v>3284.151691776854</v>
      </c>
      <c r="CH104">
        <f t="shared" si="34"/>
        <v>3284.151691776854</v>
      </c>
      <c r="CI104">
        <f t="shared" si="34"/>
        <v>3284.151691776854</v>
      </c>
      <c r="CJ104">
        <f t="shared" si="34"/>
        <v>3284.151691776854</v>
      </c>
      <c r="CK104">
        <f t="shared" si="34"/>
        <v>3284.151691776854</v>
      </c>
      <c r="CL104">
        <f t="shared" si="34"/>
        <v>3284.151691776854</v>
      </c>
      <c r="CM104">
        <f t="shared" si="34"/>
        <v>3284.151691776854</v>
      </c>
    </row>
    <row r="105" spans="1:91">
      <c r="A105">
        <v>4</v>
      </c>
      <c r="B105" t="str">
        <f>'Tech Parameters'!B9</f>
        <v>PWR nuclear</v>
      </c>
      <c r="C105" t="str">
        <f>'Tech Parameters'!C9</f>
        <v>Nuclear Pressurised Water Reactor</v>
      </c>
      <c r="D105" t="str">
        <f t="shared" si="31"/>
        <v>nuclear fuel PWR</v>
      </c>
      <c r="E105" s="26">
        <f>'Tech Parameters'!G9</f>
        <v>0.32703874591542237</v>
      </c>
      <c r="F105">
        <f t="shared" si="32"/>
        <v>33.020968322534195</v>
      </c>
      <c r="G105">
        <f t="shared" si="32"/>
        <v>38.524463042956555</v>
      </c>
      <c r="H105">
        <f t="shared" si="36"/>
        <v>44.027957763378922</v>
      </c>
      <c r="I105">
        <f t="shared" si="36"/>
        <v>49.531452483801289</v>
      </c>
      <c r="J105">
        <f t="shared" si="36"/>
        <v>57.834344716343324</v>
      </c>
      <c r="K105">
        <f t="shared" si="36"/>
        <v>58.123516439925034</v>
      </c>
      <c r="L105">
        <f t="shared" si="36"/>
        <v>58.414134022124657</v>
      </c>
      <c r="M105">
        <f t="shared" si="36"/>
        <v>58.706204692235275</v>
      </c>
      <c r="N105">
        <f t="shared" si="36"/>
        <v>58.999735715696445</v>
      </c>
      <c r="O105">
        <f t="shared" si="36"/>
        <v>59.294734394274919</v>
      </c>
      <c r="P105">
        <f t="shared" si="36"/>
        <v>59.591208066246281</v>
      </c>
      <c r="Q105">
        <f t="shared" si="36"/>
        <v>59.88916410657751</v>
      </c>
      <c r="R105">
        <f t="shared" si="36"/>
        <v>60.188609927110392</v>
      </c>
      <c r="S105">
        <f t="shared" si="36"/>
        <v>60.489552976745934</v>
      </c>
      <c r="T105">
        <f t="shared" si="36"/>
        <v>60.792000741629664</v>
      </c>
      <c r="U105">
        <f t="shared" si="36"/>
        <v>61.095960745337798</v>
      </c>
      <c r="V105">
        <f t="shared" si="36"/>
        <v>61.401440549064489</v>
      </c>
      <c r="W105">
        <f t="shared" si="36"/>
        <v>61.7084477518098</v>
      </c>
      <c r="X105">
        <f t="shared" si="36"/>
        <v>62.016989990568831</v>
      </c>
      <c r="Y105">
        <f t="shared" si="36"/>
        <v>62.327074940521676</v>
      </c>
      <c r="Z105">
        <f t="shared" si="36"/>
        <v>62.63871031522428</v>
      </c>
      <c r="AA105">
        <f t="shared" si="36"/>
        <v>62.951903866800386</v>
      </c>
      <c r="AB105">
        <f t="shared" si="36"/>
        <v>63.266663386134375</v>
      </c>
      <c r="AC105">
        <f t="shared" si="36"/>
        <v>63.582996703065042</v>
      </c>
      <c r="AD105">
        <f t="shared" si="36"/>
        <v>63.900911686580372</v>
      </c>
      <c r="AE105">
        <f t="shared" si="36"/>
        <v>64.220416245013269</v>
      </c>
      <c r="AF105">
        <f t="shared" si="36"/>
        <v>64.220416245013269</v>
      </c>
      <c r="AG105">
        <f t="shared" si="36"/>
        <v>64.220416245013269</v>
      </c>
      <c r="AH105">
        <f t="shared" si="36"/>
        <v>64.220416245013269</v>
      </c>
      <c r="AI105">
        <f t="shared" si="36"/>
        <v>64.220416245013269</v>
      </c>
      <c r="AJ105">
        <f t="shared" si="36"/>
        <v>64.220416245013269</v>
      </c>
      <c r="AK105">
        <f t="shared" si="36"/>
        <v>64.220416245013269</v>
      </c>
      <c r="AL105">
        <f t="shared" si="36"/>
        <v>64.220416245013269</v>
      </c>
      <c r="AM105">
        <f t="shared" si="36"/>
        <v>64.220416245013269</v>
      </c>
      <c r="AN105">
        <f t="shared" si="36"/>
        <v>64.220416245013269</v>
      </c>
      <c r="AO105">
        <f t="shared" si="36"/>
        <v>64.220416245013269</v>
      </c>
      <c r="AP105">
        <f t="shared" si="36"/>
        <v>64.220416245013269</v>
      </c>
      <c r="AQ105">
        <f t="shared" si="36"/>
        <v>64.220416245013269</v>
      </c>
      <c r="AR105">
        <f t="shared" si="36"/>
        <v>64.220416245013269</v>
      </c>
      <c r="AS105">
        <f t="shared" si="36"/>
        <v>64.220416245013269</v>
      </c>
      <c r="AT105">
        <f t="shared" si="36"/>
        <v>64.220416245013269</v>
      </c>
      <c r="AU105">
        <f t="shared" si="36"/>
        <v>64.220416245013269</v>
      </c>
      <c r="AV105">
        <f t="shared" si="36"/>
        <v>64.220416245013269</v>
      </c>
      <c r="AW105">
        <f t="shared" si="36"/>
        <v>64.220416245013269</v>
      </c>
      <c r="AX105">
        <f t="shared" si="36"/>
        <v>64.220416245013269</v>
      </c>
      <c r="AY105">
        <f t="shared" si="36"/>
        <v>64.220416245013269</v>
      </c>
      <c r="AZ105">
        <f t="shared" si="36"/>
        <v>64.220416245013269</v>
      </c>
      <c r="BA105">
        <f t="shared" si="36"/>
        <v>64.220416245013269</v>
      </c>
      <c r="BB105">
        <f t="shared" si="36"/>
        <v>64.220416245013269</v>
      </c>
      <c r="BC105">
        <f t="shared" si="36"/>
        <v>64.220416245013269</v>
      </c>
      <c r="BD105">
        <f t="shared" si="36"/>
        <v>64.220416245013269</v>
      </c>
      <c r="BE105">
        <f t="shared" si="36"/>
        <v>64.220416245013269</v>
      </c>
      <c r="BF105">
        <f t="shared" si="36"/>
        <v>64.220416245013269</v>
      </c>
      <c r="BG105">
        <f t="shared" si="36"/>
        <v>64.220416245013269</v>
      </c>
      <c r="BH105">
        <f t="shared" si="36"/>
        <v>64.220416245013269</v>
      </c>
      <c r="BI105">
        <f t="shared" si="36"/>
        <v>64.220416245013269</v>
      </c>
      <c r="BJ105">
        <f t="shared" si="36"/>
        <v>64.220416245013269</v>
      </c>
      <c r="BK105">
        <f t="shared" si="36"/>
        <v>64.220416245013269</v>
      </c>
      <c r="BL105">
        <f t="shared" si="36"/>
        <v>64.220416245013269</v>
      </c>
      <c r="BM105">
        <f t="shared" si="36"/>
        <v>64.220416245013269</v>
      </c>
      <c r="BN105">
        <f t="shared" si="36"/>
        <v>64.220416245013269</v>
      </c>
      <c r="BO105">
        <f t="shared" si="36"/>
        <v>64.220416245013269</v>
      </c>
      <c r="BP105">
        <f t="shared" si="36"/>
        <v>64.220416245013269</v>
      </c>
      <c r="BQ105">
        <f t="shared" si="36"/>
        <v>64.220416245013269</v>
      </c>
      <c r="BR105">
        <f t="shared" si="36"/>
        <v>64.220416245013269</v>
      </c>
      <c r="BS105">
        <f t="shared" si="36"/>
        <v>64.220416245013269</v>
      </c>
      <c r="BT105">
        <f t="shared" si="34"/>
        <v>64.220416245013269</v>
      </c>
      <c r="BU105">
        <f t="shared" si="34"/>
        <v>64.220416245013269</v>
      </c>
      <c r="BV105">
        <f t="shared" si="34"/>
        <v>64.220416245013269</v>
      </c>
      <c r="BW105">
        <f t="shared" si="34"/>
        <v>64.220416245013269</v>
      </c>
      <c r="BX105">
        <f t="shared" si="34"/>
        <v>64.220416245013269</v>
      </c>
      <c r="BY105">
        <f t="shared" si="34"/>
        <v>64.220416245013269</v>
      </c>
      <c r="BZ105">
        <f t="shared" si="34"/>
        <v>64.220416245013269</v>
      </c>
      <c r="CA105">
        <f t="shared" si="34"/>
        <v>64.220416245013269</v>
      </c>
      <c r="CB105">
        <f t="shared" si="34"/>
        <v>64.220416245013269</v>
      </c>
      <c r="CC105">
        <f t="shared" si="34"/>
        <v>64.220416245013269</v>
      </c>
      <c r="CD105">
        <f t="shared" si="34"/>
        <v>64.220416245013269</v>
      </c>
      <c r="CE105">
        <f t="shared" si="34"/>
        <v>64.220416245013269</v>
      </c>
      <c r="CF105">
        <f t="shared" si="34"/>
        <v>64.220416245013269</v>
      </c>
      <c r="CG105">
        <f t="shared" si="34"/>
        <v>64.220416245013269</v>
      </c>
      <c r="CH105">
        <f t="shared" si="34"/>
        <v>64.220416245013269</v>
      </c>
      <c r="CI105">
        <f t="shared" si="34"/>
        <v>64.220416245013269</v>
      </c>
      <c r="CJ105">
        <f t="shared" si="34"/>
        <v>64.220416245013269</v>
      </c>
      <c r="CK105">
        <f t="shared" si="34"/>
        <v>64.220416245013269</v>
      </c>
      <c r="CL105">
        <f t="shared" si="34"/>
        <v>64.220416245013269</v>
      </c>
      <c r="CM105">
        <f t="shared" si="34"/>
        <v>64.220416245013269</v>
      </c>
    </row>
    <row r="106" spans="1:91">
      <c r="A106">
        <v>5</v>
      </c>
      <c r="B106" t="str">
        <f>'Tech Parameters'!B10</f>
        <v>Hydro</v>
      </c>
      <c r="C106" t="str">
        <f>'Tech Parameters'!C10</f>
        <v>Hydro existing</v>
      </c>
      <c r="D106" t="str">
        <f t="shared" si="31"/>
        <v>renewable</v>
      </c>
      <c r="E106" s="26">
        <f>'Tech Parameters'!G10</f>
        <v>1</v>
      </c>
      <c r="F106">
        <f t="shared" si="32"/>
        <v>0</v>
      </c>
      <c r="G106">
        <f t="shared" si="32"/>
        <v>0</v>
      </c>
      <c r="H106">
        <f t="shared" si="36"/>
        <v>0</v>
      </c>
      <c r="I106">
        <f t="shared" si="36"/>
        <v>0</v>
      </c>
      <c r="J106">
        <f t="shared" si="36"/>
        <v>0</v>
      </c>
      <c r="K106">
        <f t="shared" si="36"/>
        <v>0</v>
      </c>
      <c r="L106">
        <f t="shared" si="36"/>
        <v>0</v>
      </c>
      <c r="M106">
        <f t="shared" si="36"/>
        <v>0</v>
      </c>
      <c r="N106">
        <f t="shared" si="36"/>
        <v>0</v>
      </c>
      <c r="O106">
        <f t="shared" si="36"/>
        <v>0</v>
      </c>
      <c r="P106">
        <f t="shared" si="36"/>
        <v>0</v>
      </c>
      <c r="Q106">
        <f t="shared" si="36"/>
        <v>0</v>
      </c>
      <c r="R106">
        <f t="shared" si="36"/>
        <v>0</v>
      </c>
      <c r="S106">
        <f t="shared" si="36"/>
        <v>0</v>
      </c>
      <c r="T106">
        <f t="shared" si="36"/>
        <v>0</v>
      </c>
      <c r="U106">
        <f t="shared" si="36"/>
        <v>0</v>
      </c>
      <c r="V106">
        <f t="shared" si="36"/>
        <v>0</v>
      </c>
      <c r="W106">
        <f t="shared" si="36"/>
        <v>0</v>
      </c>
      <c r="X106">
        <f t="shared" si="36"/>
        <v>0</v>
      </c>
      <c r="Y106">
        <f t="shared" si="36"/>
        <v>0</v>
      </c>
      <c r="Z106">
        <f t="shared" si="36"/>
        <v>0</v>
      </c>
      <c r="AA106">
        <f t="shared" si="36"/>
        <v>0</v>
      </c>
      <c r="AB106">
        <f t="shared" si="36"/>
        <v>0</v>
      </c>
      <c r="AC106">
        <f t="shared" si="36"/>
        <v>0</v>
      </c>
      <c r="AD106">
        <f t="shared" si="36"/>
        <v>0</v>
      </c>
      <c r="AE106">
        <f t="shared" si="36"/>
        <v>0</v>
      </c>
      <c r="AF106">
        <f t="shared" si="36"/>
        <v>0</v>
      </c>
      <c r="AG106">
        <f t="shared" si="36"/>
        <v>0</v>
      </c>
      <c r="AH106">
        <f t="shared" si="36"/>
        <v>0</v>
      </c>
      <c r="AI106">
        <f t="shared" si="36"/>
        <v>0</v>
      </c>
      <c r="AJ106">
        <f t="shared" si="36"/>
        <v>0</v>
      </c>
      <c r="AK106">
        <f t="shared" si="36"/>
        <v>0</v>
      </c>
      <c r="AL106">
        <f t="shared" si="36"/>
        <v>0</v>
      </c>
      <c r="AM106">
        <f t="shared" si="36"/>
        <v>0</v>
      </c>
      <c r="AN106">
        <f t="shared" si="36"/>
        <v>0</v>
      </c>
      <c r="AO106">
        <f t="shared" si="36"/>
        <v>0</v>
      </c>
      <c r="AP106">
        <f t="shared" si="36"/>
        <v>0</v>
      </c>
      <c r="AQ106">
        <f t="shared" si="36"/>
        <v>0</v>
      </c>
      <c r="AR106">
        <f t="shared" si="36"/>
        <v>0</v>
      </c>
      <c r="AS106">
        <f t="shared" si="36"/>
        <v>0</v>
      </c>
      <c r="AT106">
        <f t="shared" si="36"/>
        <v>0</v>
      </c>
      <c r="AU106">
        <f t="shared" si="36"/>
        <v>0</v>
      </c>
      <c r="AV106">
        <f t="shared" si="36"/>
        <v>0</v>
      </c>
      <c r="AW106">
        <f t="shared" si="36"/>
        <v>0</v>
      </c>
      <c r="AX106">
        <f t="shared" si="36"/>
        <v>0</v>
      </c>
      <c r="AY106">
        <f t="shared" si="36"/>
        <v>0</v>
      </c>
      <c r="AZ106">
        <f t="shared" si="36"/>
        <v>0</v>
      </c>
      <c r="BA106">
        <f t="shared" si="36"/>
        <v>0</v>
      </c>
      <c r="BB106">
        <f t="shared" si="36"/>
        <v>0</v>
      </c>
      <c r="BC106">
        <f t="shared" si="36"/>
        <v>0</v>
      </c>
      <c r="BD106">
        <f t="shared" si="36"/>
        <v>0</v>
      </c>
      <c r="BE106">
        <f t="shared" si="36"/>
        <v>0</v>
      </c>
      <c r="BF106">
        <f t="shared" si="36"/>
        <v>0</v>
      </c>
      <c r="BG106">
        <f t="shared" si="36"/>
        <v>0</v>
      </c>
      <c r="BH106">
        <f t="shared" si="36"/>
        <v>0</v>
      </c>
      <c r="BI106">
        <f t="shared" si="36"/>
        <v>0</v>
      </c>
      <c r="BJ106">
        <f t="shared" si="36"/>
        <v>0</v>
      </c>
      <c r="BK106">
        <f t="shared" si="36"/>
        <v>0</v>
      </c>
      <c r="BL106">
        <f t="shared" si="36"/>
        <v>0</v>
      </c>
      <c r="BM106">
        <f t="shared" si="36"/>
        <v>0</v>
      </c>
      <c r="BN106">
        <f t="shared" si="36"/>
        <v>0</v>
      </c>
      <c r="BO106">
        <f t="shared" si="36"/>
        <v>0</v>
      </c>
      <c r="BP106">
        <f t="shared" si="36"/>
        <v>0</v>
      </c>
      <c r="BQ106">
        <f t="shared" si="36"/>
        <v>0</v>
      </c>
      <c r="BR106">
        <f t="shared" si="36"/>
        <v>0</v>
      </c>
      <c r="BS106">
        <f t="shared" si="36"/>
        <v>0</v>
      </c>
      <c r="BT106">
        <f t="shared" si="34"/>
        <v>0</v>
      </c>
      <c r="BU106">
        <f t="shared" si="34"/>
        <v>0</v>
      </c>
      <c r="BV106">
        <f t="shared" si="34"/>
        <v>0</v>
      </c>
      <c r="BW106">
        <f t="shared" si="34"/>
        <v>0</v>
      </c>
      <c r="BX106">
        <f t="shared" si="34"/>
        <v>0</v>
      </c>
      <c r="BY106">
        <f t="shared" si="34"/>
        <v>0</v>
      </c>
      <c r="BZ106">
        <f t="shared" si="34"/>
        <v>0</v>
      </c>
      <c r="CA106">
        <f t="shared" si="34"/>
        <v>0</v>
      </c>
      <c r="CB106">
        <f t="shared" si="34"/>
        <v>0</v>
      </c>
      <c r="CC106">
        <f t="shared" si="34"/>
        <v>0</v>
      </c>
      <c r="CD106">
        <f t="shared" si="34"/>
        <v>0</v>
      </c>
      <c r="CE106">
        <f t="shared" si="34"/>
        <v>0</v>
      </c>
      <c r="CF106">
        <f t="shared" si="34"/>
        <v>0</v>
      </c>
      <c r="CG106">
        <f t="shared" si="34"/>
        <v>0</v>
      </c>
      <c r="CH106">
        <f t="shared" si="34"/>
        <v>0</v>
      </c>
      <c r="CI106">
        <f t="shared" si="34"/>
        <v>0</v>
      </c>
      <c r="CJ106">
        <f t="shared" si="34"/>
        <v>0</v>
      </c>
      <c r="CK106">
        <f t="shared" si="34"/>
        <v>0</v>
      </c>
      <c r="CL106">
        <f t="shared" si="34"/>
        <v>0</v>
      </c>
      <c r="CM106">
        <f t="shared" si="34"/>
        <v>0</v>
      </c>
    </row>
    <row r="107" spans="1:91">
      <c r="A107">
        <v>6</v>
      </c>
      <c r="B107" t="str">
        <f>'Tech Parameters'!B11</f>
        <v>Landfill gas</v>
      </c>
      <c r="C107" t="str">
        <f>'Tech Parameters'!C11</f>
        <v>Landfill gas</v>
      </c>
      <c r="D107" t="str">
        <f t="shared" si="31"/>
        <v>renewable</v>
      </c>
      <c r="E107" s="26">
        <f>'Tech Parameters'!G11</f>
        <v>0.25002361334126</v>
      </c>
      <c r="F107">
        <f t="shared" si="32"/>
        <v>0</v>
      </c>
      <c r="G107">
        <f t="shared" si="32"/>
        <v>0</v>
      </c>
      <c r="H107">
        <f t="shared" si="36"/>
        <v>0</v>
      </c>
      <c r="I107">
        <f t="shared" si="36"/>
        <v>0</v>
      </c>
      <c r="J107">
        <f t="shared" si="36"/>
        <v>0</v>
      </c>
      <c r="K107">
        <f t="shared" si="36"/>
        <v>0</v>
      </c>
      <c r="L107">
        <f t="shared" si="36"/>
        <v>0</v>
      </c>
      <c r="M107">
        <f t="shared" si="36"/>
        <v>0</v>
      </c>
      <c r="N107">
        <f t="shared" si="36"/>
        <v>0</v>
      </c>
      <c r="O107">
        <f t="shared" si="36"/>
        <v>0</v>
      </c>
      <c r="P107">
        <f t="shared" si="36"/>
        <v>0</v>
      </c>
      <c r="Q107">
        <f t="shared" si="36"/>
        <v>0</v>
      </c>
      <c r="R107">
        <f t="shared" si="36"/>
        <v>0</v>
      </c>
      <c r="S107">
        <f t="shared" si="36"/>
        <v>0</v>
      </c>
      <c r="T107">
        <f t="shared" si="36"/>
        <v>0</v>
      </c>
      <c r="U107">
        <f t="shared" si="36"/>
        <v>0</v>
      </c>
      <c r="V107">
        <f t="shared" si="36"/>
        <v>0</v>
      </c>
      <c r="W107">
        <f t="shared" si="36"/>
        <v>0</v>
      </c>
      <c r="X107">
        <f t="shared" si="36"/>
        <v>0</v>
      </c>
      <c r="Y107">
        <f t="shared" si="36"/>
        <v>0</v>
      </c>
      <c r="Z107">
        <f t="shared" si="36"/>
        <v>0</v>
      </c>
      <c r="AA107">
        <f t="shared" si="36"/>
        <v>0</v>
      </c>
      <c r="AB107">
        <f t="shared" si="36"/>
        <v>0</v>
      </c>
      <c r="AC107">
        <f t="shared" si="36"/>
        <v>0</v>
      </c>
      <c r="AD107">
        <f t="shared" si="36"/>
        <v>0</v>
      </c>
      <c r="AE107">
        <f t="shared" si="36"/>
        <v>0</v>
      </c>
      <c r="AF107">
        <f t="shared" si="36"/>
        <v>0</v>
      </c>
      <c r="AG107">
        <f t="shared" si="36"/>
        <v>0</v>
      </c>
      <c r="AH107">
        <f t="shared" si="36"/>
        <v>0</v>
      </c>
      <c r="AI107">
        <f t="shared" si="36"/>
        <v>0</v>
      </c>
      <c r="AJ107">
        <f t="shared" si="36"/>
        <v>0</v>
      </c>
      <c r="AK107">
        <f t="shared" si="36"/>
        <v>0</v>
      </c>
      <c r="AL107">
        <f t="shared" si="36"/>
        <v>0</v>
      </c>
      <c r="AM107">
        <f t="shared" si="36"/>
        <v>0</v>
      </c>
      <c r="AN107">
        <f t="shared" si="36"/>
        <v>0</v>
      </c>
      <c r="AO107">
        <f t="shared" si="36"/>
        <v>0</v>
      </c>
      <c r="AP107">
        <f t="shared" si="36"/>
        <v>0</v>
      </c>
      <c r="AQ107">
        <f t="shared" si="36"/>
        <v>0</v>
      </c>
      <c r="AR107">
        <f t="shared" si="36"/>
        <v>0</v>
      </c>
      <c r="AS107">
        <f t="shared" si="36"/>
        <v>0</v>
      </c>
      <c r="AT107">
        <f t="shared" si="36"/>
        <v>0</v>
      </c>
      <c r="AU107">
        <f t="shared" si="36"/>
        <v>0</v>
      </c>
      <c r="AV107">
        <f t="shared" si="36"/>
        <v>0</v>
      </c>
      <c r="AW107">
        <f t="shared" si="36"/>
        <v>0</v>
      </c>
      <c r="AX107">
        <f t="shared" si="36"/>
        <v>0</v>
      </c>
      <c r="AY107">
        <f t="shared" si="36"/>
        <v>0</v>
      </c>
      <c r="AZ107">
        <f t="shared" si="36"/>
        <v>0</v>
      </c>
      <c r="BA107">
        <f t="shared" si="36"/>
        <v>0</v>
      </c>
      <c r="BB107">
        <f t="shared" si="36"/>
        <v>0</v>
      </c>
      <c r="BC107">
        <f t="shared" si="36"/>
        <v>0</v>
      </c>
      <c r="BD107">
        <f t="shared" si="36"/>
        <v>0</v>
      </c>
      <c r="BE107">
        <f t="shared" si="36"/>
        <v>0</v>
      </c>
      <c r="BF107">
        <f t="shared" si="36"/>
        <v>0</v>
      </c>
      <c r="BG107">
        <f t="shared" si="36"/>
        <v>0</v>
      </c>
      <c r="BH107">
        <f t="shared" si="36"/>
        <v>0</v>
      </c>
      <c r="BI107">
        <f t="shared" si="36"/>
        <v>0</v>
      </c>
      <c r="BJ107">
        <f t="shared" si="36"/>
        <v>0</v>
      </c>
      <c r="BK107">
        <f t="shared" si="36"/>
        <v>0</v>
      </c>
      <c r="BL107">
        <f t="shared" si="36"/>
        <v>0</v>
      </c>
      <c r="BM107">
        <f t="shared" si="36"/>
        <v>0</v>
      </c>
      <c r="BN107">
        <f t="shared" si="36"/>
        <v>0</v>
      </c>
      <c r="BO107">
        <f t="shared" si="36"/>
        <v>0</v>
      </c>
      <c r="BP107">
        <f t="shared" si="36"/>
        <v>0</v>
      </c>
      <c r="BQ107">
        <f t="shared" si="36"/>
        <v>0</v>
      </c>
      <c r="BR107">
        <f t="shared" si="36"/>
        <v>0</v>
      </c>
      <c r="BS107">
        <f t="shared" ref="BS107:CM110" si="37">IF($E107=0,0,SUMIF($B$79:$B$87,$D107,BS$79:BS$87)/$E107)</f>
        <v>0</v>
      </c>
      <c r="BT107">
        <f t="shared" si="37"/>
        <v>0</v>
      </c>
      <c r="BU107">
        <f t="shared" si="37"/>
        <v>0</v>
      </c>
      <c r="BV107">
        <f t="shared" si="37"/>
        <v>0</v>
      </c>
      <c r="BW107">
        <f t="shared" si="37"/>
        <v>0</v>
      </c>
      <c r="BX107">
        <f t="shared" si="37"/>
        <v>0</v>
      </c>
      <c r="BY107">
        <f t="shared" si="37"/>
        <v>0</v>
      </c>
      <c r="BZ107">
        <f t="shared" si="37"/>
        <v>0</v>
      </c>
      <c r="CA107">
        <f t="shared" si="37"/>
        <v>0</v>
      </c>
      <c r="CB107">
        <f t="shared" si="37"/>
        <v>0</v>
      </c>
      <c r="CC107">
        <f t="shared" si="37"/>
        <v>0</v>
      </c>
      <c r="CD107">
        <f t="shared" si="37"/>
        <v>0</v>
      </c>
      <c r="CE107">
        <f t="shared" si="37"/>
        <v>0</v>
      </c>
      <c r="CF107">
        <f t="shared" si="37"/>
        <v>0</v>
      </c>
      <c r="CG107">
        <f t="shared" si="37"/>
        <v>0</v>
      </c>
      <c r="CH107">
        <f t="shared" si="37"/>
        <v>0</v>
      </c>
      <c r="CI107">
        <f t="shared" si="37"/>
        <v>0</v>
      </c>
      <c r="CJ107">
        <f t="shared" si="37"/>
        <v>0</v>
      </c>
      <c r="CK107">
        <f t="shared" si="37"/>
        <v>0</v>
      </c>
      <c r="CL107">
        <f t="shared" si="37"/>
        <v>0</v>
      </c>
      <c r="CM107">
        <f t="shared" si="37"/>
        <v>0</v>
      </c>
    </row>
    <row r="108" spans="1:91">
      <c r="A108">
        <v>7</v>
      </c>
      <c r="B108" t="str">
        <f>'Tech Parameters'!B12</f>
        <v>Biomass</v>
      </c>
      <c r="C108" t="str">
        <f>'Tech Parameters'!C12</f>
        <v>Biomass</v>
      </c>
      <c r="D108" t="str">
        <f t="shared" si="31"/>
        <v>fuelwood</v>
      </c>
      <c r="E108" s="26">
        <f>'Tech Parameters'!G12</f>
        <v>0.3537551601577355</v>
      </c>
      <c r="F108">
        <f t="shared" si="32"/>
        <v>0</v>
      </c>
      <c r="G108">
        <f t="shared" si="32"/>
        <v>0</v>
      </c>
      <c r="H108">
        <f t="shared" ref="H108:BS111" si="38">IF($E108=0,0,SUMIF($B$79:$B$87,$D108,H$79:H$87)/$E108)</f>
        <v>0</v>
      </c>
      <c r="I108">
        <f t="shared" si="38"/>
        <v>0</v>
      </c>
      <c r="J108">
        <f t="shared" si="38"/>
        <v>0</v>
      </c>
      <c r="K108">
        <f t="shared" si="38"/>
        <v>0</v>
      </c>
      <c r="L108">
        <f t="shared" si="38"/>
        <v>0</v>
      </c>
      <c r="M108">
        <f t="shared" si="38"/>
        <v>0</v>
      </c>
      <c r="N108">
        <f t="shared" si="38"/>
        <v>0</v>
      </c>
      <c r="O108">
        <f t="shared" si="38"/>
        <v>0</v>
      </c>
      <c r="P108">
        <f t="shared" si="38"/>
        <v>0</v>
      </c>
      <c r="Q108">
        <f t="shared" si="38"/>
        <v>0</v>
      </c>
      <c r="R108">
        <f t="shared" si="38"/>
        <v>0</v>
      </c>
      <c r="S108">
        <f t="shared" si="38"/>
        <v>0</v>
      </c>
      <c r="T108">
        <f t="shared" si="38"/>
        <v>0</v>
      </c>
      <c r="U108">
        <f t="shared" si="38"/>
        <v>0</v>
      </c>
      <c r="V108">
        <f t="shared" si="38"/>
        <v>0</v>
      </c>
      <c r="W108">
        <f t="shared" si="38"/>
        <v>0</v>
      </c>
      <c r="X108">
        <f t="shared" si="38"/>
        <v>0</v>
      </c>
      <c r="Y108">
        <f t="shared" si="38"/>
        <v>0</v>
      </c>
      <c r="Z108">
        <f t="shared" si="38"/>
        <v>0</v>
      </c>
      <c r="AA108">
        <f t="shared" si="38"/>
        <v>0</v>
      </c>
      <c r="AB108">
        <f t="shared" si="38"/>
        <v>0</v>
      </c>
      <c r="AC108">
        <f t="shared" si="38"/>
        <v>0</v>
      </c>
      <c r="AD108">
        <f t="shared" si="38"/>
        <v>0</v>
      </c>
      <c r="AE108">
        <f t="shared" si="38"/>
        <v>0</v>
      </c>
      <c r="AF108">
        <f t="shared" si="38"/>
        <v>0</v>
      </c>
      <c r="AG108">
        <f t="shared" si="38"/>
        <v>0</v>
      </c>
      <c r="AH108">
        <f t="shared" si="38"/>
        <v>0</v>
      </c>
      <c r="AI108">
        <f t="shared" si="38"/>
        <v>0</v>
      </c>
      <c r="AJ108">
        <f t="shared" si="38"/>
        <v>0</v>
      </c>
      <c r="AK108">
        <f t="shared" si="38"/>
        <v>0</v>
      </c>
      <c r="AL108">
        <f t="shared" si="38"/>
        <v>0</v>
      </c>
      <c r="AM108">
        <f t="shared" si="38"/>
        <v>0</v>
      </c>
      <c r="AN108">
        <f t="shared" si="38"/>
        <v>0</v>
      </c>
      <c r="AO108">
        <f t="shared" si="38"/>
        <v>0</v>
      </c>
      <c r="AP108">
        <f t="shared" si="38"/>
        <v>0</v>
      </c>
      <c r="AQ108">
        <f t="shared" si="38"/>
        <v>0</v>
      </c>
      <c r="AR108">
        <f t="shared" si="38"/>
        <v>0</v>
      </c>
      <c r="AS108">
        <f t="shared" si="38"/>
        <v>0</v>
      </c>
      <c r="AT108">
        <f t="shared" si="38"/>
        <v>0</v>
      </c>
      <c r="AU108">
        <f t="shared" si="38"/>
        <v>0</v>
      </c>
      <c r="AV108">
        <f t="shared" si="38"/>
        <v>0</v>
      </c>
      <c r="AW108">
        <f t="shared" si="38"/>
        <v>0</v>
      </c>
      <c r="AX108">
        <f t="shared" si="38"/>
        <v>0</v>
      </c>
      <c r="AY108">
        <f t="shared" si="38"/>
        <v>0</v>
      </c>
      <c r="AZ108">
        <f t="shared" si="38"/>
        <v>0</v>
      </c>
      <c r="BA108">
        <f t="shared" si="38"/>
        <v>0</v>
      </c>
      <c r="BB108">
        <f t="shared" si="38"/>
        <v>0</v>
      </c>
      <c r="BC108">
        <f t="shared" si="38"/>
        <v>0</v>
      </c>
      <c r="BD108">
        <f t="shared" si="38"/>
        <v>0</v>
      </c>
      <c r="BE108">
        <f t="shared" si="38"/>
        <v>0</v>
      </c>
      <c r="BF108">
        <f t="shared" si="38"/>
        <v>0</v>
      </c>
      <c r="BG108">
        <f t="shared" si="38"/>
        <v>0</v>
      </c>
      <c r="BH108">
        <f t="shared" si="38"/>
        <v>0</v>
      </c>
      <c r="BI108">
        <f t="shared" si="38"/>
        <v>0</v>
      </c>
      <c r="BJ108">
        <f t="shared" si="38"/>
        <v>0</v>
      </c>
      <c r="BK108">
        <f t="shared" si="38"/>
        <v>0</v>
      </c>
      <c r="BL108">
        <f t="shared" si="38"/>
        <v>0</v>
      </c>
      <c r="BM108">
        <f t="shared" si="38"/>
        <v>0</v>
      </c>
      <c r="BN108">
        <f t="shared" si="38"/>
        <v>0</v>
      </c>
      <c r="BO108">
        <f t="shared" si="38"/>
        <v>0</v>
      </c>
      <c r="BP108">
        <f t="shared" si="38"/>
        <v>0</v>
      </c>
      <c r="BQ108">
        <f t="shared" si="38"/>
        <v>0</v>
      </c>
      <c r="BR108">
        <f t="shared" si="38"/>
        <v>0</v>
      </c>
      <c r="BS108">
        <f t="shared" si="38"/>
        <v>0</v>
      </c>
      <c r="BT108">
        <f t="shared" si="37"/>
        <v>0</v>
      </c>
      <c r="BU108">
        <f t="shared" si="37"/>
        <v>0</v>
      </c>
      <c r="BV108">
        <f t="shared" si="37"/>
        <v>0</v>
      </c>
      <c r="BW108">
        <f t="shared" si="37"/>
        <v>0</v>
      </c>
      <c r="BX108">
        <f t="shared" si="37"/>
        <v>0</v>
      </c>
      <c r="BY108">
        <f t="shared" si="37"/>
        <v>0</v>
      </c>
      <c r="BZ108">
        <f t="shared" si="37"/>
        <v>0</v>
      </c>
      <c r="CA108">
        <f t="shared" si="37"/>
        <v>0</v>
      </c>
      <c r="CB108">
        <f t="shared" si="37"/>
        <v>0</v>
      </c>
      <c r="CC108">
        <f t="shared" si="37"/>
        <v>0</v>
      </c>
      <c r="CD108">
        <f t="shared" si="37"/>
        <v>0</v>
      </c>
      <c r="CE108">
        <f t="shared" si="37"/>
        <v>0</v>
      </c>
      <c r="CF108">
        <f t="shared" si="37"/>
        <v>0</v>
      </c>
      <c r="CG108">
        <f t="shared" si="37"/>
        <v>0</v>
      </c>
      <c r="CH108">
        <f t="shared" si="37"/>
        <v>0</v>
      </c>
      <c r="CI108">
        <f t="shared" si="37"/>
        <v>0</v>
      </c>
      <c r="CJ108">
        <f t="shared" si="37"/>
        <v>0</v>
      </c>
      <c r="CK108">
        <f t="shared" si="37"/>
        <v>0</v>
      </c>
      <c r="CL108">
        <f t="shared" si="37"/>
        <v>0</v>
      </c>
      <c r="CM108">
        <f t="shared" si="37"/>
        <v>0</v>
      </c>
    </row>
    <row r="109" spans="1:91">
      <c r="A109">
        <v>8</v>
      </c>
      <c r="B109" t="str">
        <f>'Tech Parameters'!B13</f>
        <v>Supercritical coal</v>
      </c>
      <c r="C109" t="str">
        <f>'Tech Parameters'!C13</f>
        <v>Supercritical Coal</v>
      </c>
      <c r="D109" t="str">
        <f t="shared" si="31"/>
        <v>coal for new plants</v>
      </c>
      <c r="E109" s="26">
        <f>'Tech Parameters'!G13</f>
        <v>0.37090459509581702</v>
      </c>
      <c r="F109">
        <f>IF($E109=0,0,SUMIF($B$79:$B$87,$D109,F$79:F$87)/$E109)</f>
        <v>49.168832414856965</v>
      </c>
      <c r="G109">
        <f t="shared" si="32"/>
        <v>56.447750101442033</v>
      </c>
      <c r="H109">
        <f t="shared" si="38"/>
        <v>63.726667788027115</v>
      </c>
      <c r="I109">
        <f t="shared" si="38"/>
        <v>71.319528723416425</v>
      </c>
      <c r="J109">
        <f t="shared" si="38"/>
        <v>71.319528723416425</v>
      </c>
      <c r="K109">
        <f t="shared" si="38"/>
        <v>71.727068887550232</v>
      </c>
      <c r="L109">
        <f t="shared" si="38"/>
        <v>72.134609051684038</v>
      </c>
      <c r="M109">
        <f t="shared" si="38"/>
        <v>72.542149215817858</v>
      </c>
      <c r="N109">
        <f t="shared" si="38"/>
        <v>72.94968937995165</v>
      </c>
      <c r="O109">
        <f t="shared" si="38"/>
        <v>73.35722954408547</v>
      </c>
      <c r="P109">
        <f t="shared" si="38"/>
        <v>73.764769708219262</v>
      </c>
      <c r="Q109">
        <f t="shared" si="38"/>
        <v>74.172309872353082</v>
      </c>
      <c r="R109">
        <f t="shared" si="38"/>
        <v>74.579850036486889</v>
      </c>
      <c r="S109">
        <f t="shared" si="38"/>
        <v>74.987390200620695</v>
      </c>
      <c r="T109">
        <f t="shared" si="38"/>
        <v>75.394930364754501</v>
      </c>
      <c r="U109">
        <f t="shared" si="38"/>
        <v>75.802470528888307</v>
      </c>
      <c r="V109">
        <f t="shared" si="38"/>
        <v>76.210010693022113</v>
      </c>
      <c r="W109">
        <f t="shared" si="38"/>
        <v>76.617550857155933</v>
      </c>
      <c r="X109">
        <f t="shared" si="38"/>
        <v>77.02509102128974</v>
      </c>
      <c r="Y109">
        <f t="shared" si="38"/>
        <v>77.432631185423546</v>
      </c>
      <c r="Z109">
        <f t="shared" si="38"/>
        <v>77.840171349557366</v>
      </c>
      <c r="AA109">
        <f t="shared" si="38"/>
        <v>78.247711513691172</v>
      </c>
      <c r="AB109">
        <f t="shared" si="38"/>
        <v>78.655251677824964</v>
      </c>
      <c r="AC109">
        <f t="shared" si="38"/>
        <v>79.06279184195877</v>
      </c>
      <c r="AD109">
        <f t="shared" si="38"/>
        <v>79.47033200609259</v>
      </c>
      <c r="AE109">
        <f t="shared" si="38"/>
        <v>79.877872170226397</v>
      </c>
      <c r="AF109">
        <f t="shared" si="38"/>
        <v>79.877872170226397</v>
      </c>
      <c r="AG109">
        <f t="shared" si="38"/>
        <v>79.877872170226397</v>
      </c>
      <c r="AH109">
        <f t="shared" si="38"/>
        <v>79.877872170226397</v>
      </c>
      <c r="AI109">
        <f t="shared" si="38"/>
        <v>79.877872170226397</v>
      </c>
      <c r="AJ109">
        <f t="shared" si="38"/>
        <v>79.877872170226397</v>
      </c>
      <c r="AK109">
        <f t="shared" si="38"/>
        <v>79.877872170226397</v>
      </c>
      <c r="AL109">
        <f t="shared" si="38"/>
        <v>79.877872170226397</v>
      </c>
      <c r="AM109">
        <f t="shared" si="38"/>
        <v>79.877872170226397</v>
      </c>
      <c r="AN109">
        <f t="shared" si="38"/>
        <v>79.877872170226397</v>
      </c>
      <c r="AO109">
        <f t="shared" si="38"/>
        <v>79.877872170226397</v>
      </c>
      <c r="AP109">
        <f t="shared" si="38"/>
        <v>79.877872170226397</v>
      </c>
      <c r="AQ109">
        <f t="shared" si="38"/>
        <v>79.877872170226397</v>
      </c>
      <c r="AR109">
        <f t="shared" si="38"/>
        <v>79.877872170226397</v>
      </c>
      <c r="AS109">
        <f t="shared" si="38"/>
        <v>79.877872170226397</v>
      </c>
      <c r="AT109">
        <f t="shared" si="38"/>
        <v>79.877872170226397</v>
      </c>
      <c r="AU109">
        <f t="shared" si="38"/>
        <v>79.877872170226397</v>
      </c>
      <c r="AV109">
        <f t="shared" si="38"/>
        <v>79.877872170226397</v>
      </c>
      <c r="AW109">
        <f t="shared" si="38"/>
        <v>79.877872170226397</v>
      </c>
      <c r="AX109">
        <f t="shared" si="38"/>
        <v>79.877872170226397</v>
      </c>
      <c r="AY109">
        <f t="shared" si="38"/>
        <v>79.877872170226397</v>
      </c>
      <c r="AZ109">
        <f t="shared" si="38"/>
        <v>79.877872170226397</v>
      </c>
      <c r="BA109">
        <f t="shared" si="38"/>
        <v>79.877872170226397</v>
      </c>
      <c r="BB109">
        <f t="shared" si="38"/>
        <v>79.877872170226397</v>
      </c>
      <c r="BC109">
        <f t="shared" si="38"/>
        <v>79.877872170226397</v>
      </c>
      <c r="BD109">
        <f t="shared" si="38"/>
        <v>79.877872170226397</v>
      </c>
      <c r="BE109">
        <f t="shared" si="38"/>
        <v>79.877872170226397</v>
      </c>
      <c r="BF109">
        <f t="shared" si="38"/>
        <v>79.877872170226397</v>
      </c>
      <c r="BG109">
        <f t="shared" si="38"/>
        <v>79.877872170226397</v>
      </c>
      <c r="BH109">
        <f t="shared" si="38"/>
        <v>79.877872170226397</v>
      </c>
      <c r="BI109">
        <f t="shared" si="38"/>
        <v>79.877872170226397</v>
      </c>
      <c r="BJ109">
        <f t="shared" si="38"/>
        <v>79.877872170226397</v>
      </c>
      <c r="BK109">
        <f t="shared" si="38"/>
        <v>79.877872170226397</v>
      </c>
      <c r="BL109">
        <f t="shared" si="38"/>
        <v>79.877872170226397</v>
      </c>
      <c r="BM109">
        <f t="shared" si="38"/>
        <v>79.877872170226397</v>
      </c>
      <c r="BN109">
        <f t="shared" si="38"/>
        <v>79.877872170226397</v>
      </c>
      <c r="BO109">
        <f t="shared" si="38"/>
        <v>79.877872170226397</v>
      </c>
      <c r="BP109">
        <f t="shared" si="38"/>
        <v>79.877872170226397</v>
      </c>
      <c r="BQ109">
        <f t="shared" si="38"/>
        <v>79.877872170226397</v>
      </c>
      <c r="BR109">
        <f t="shared" si="38"/>
        <v>79.877872170226397</v>
      </c>
      <c r="BS109">
        <f t="shared" si="38"/>
        <v>79.877872170226397</v>
      </c>
      <c r="BT109">
        <f t="shared" si="37"/>
        <v>79.877872170226397</v>
      </c>
      <c r="BU109">
        <f t="shared" si="37"/>
        <v>79.877872170226397</v>
      </c>
      <c r="BV109">
        <f t="shared" si="37"/>
        <v>79.877872170226397</v>
      </c>
      <c r="BW109">
        <f t="shared" si="37"/>
        <v>79.877872170226397</v>
      </c>
      <c r="BX109">
        <f t="shared" si="37"/>
        <v>79.877872170226397</v>
      </c>
      <c r="BY109">
        <f t="shared" si="37"/>
        <v>79.877872170226397</v>
      </c>
      <c r="BZ109">
        <f t="shared" si="37"/>
        <v>79.877872170226397</v>
      </c>
      <c r="CA109">
        <f t="shared" si="37"/>
        <v>79.877872170226397</v>
      </c>
      <c r="CB109">
        <f t="shared" si="37"/>
        <v>79.877872170226397</v>
      </c>
      <c r="CC109">
        <f t="shared" si="37"/>
        <v>79.877872170226397</v>
      </c>
      <c r="CD109">
        <f t="shared" si="37"/>
        <v>79.877872170226397</v>
      </c>
      <c r="CE109">
        <f t="shared" si="37"/>
        <v>79.877872170226397</v>
      </c>
      <c r="CF109">
        <f t="shared" si="37"/>
        <v>79.877872170226397</v>
      </c>
      <c r="CG109">
        <f t="shared" si="37"/>
        <v>79.877872170226397</v>
      </c>
      <c r="CH109">
        <f t="shared" si="37"/>
        <v>79.877872170226397</v>
      </c>
      <c r="CI109">
        <f t="shared" si="37"/>
        <v>79.877872170226397</v>
      </c>
      <c r="CJ109">
        <f t="shared" si="37"/>
        <v>79.877872170226397</v>
      </c>
      <c r="CK109">
        <f t="shared" si="37"/>
        <v>79.877872170226397</v>
      </c>
      <c r="CL109">
        <f t="shared" si="37"/>
        <v>79.877872170226397</v>
      </c>
      <c r="CM109">
        <f t="shared" si="37"/>
        <v>79.877872170226397</v>
      </c>
    </row>
    <row r="110" spans="1:91">
      <c r="A110">
        <v>9</v>
      </c>
      <c r="B110" t="str">
        <f>'Tech Parameters'!B14</f>
        <v xml:space="preserve">Wind 30% </v>
      </c>
      <c r="C110" t="str">
        <f>'Tech Parameters'!C14</f>
        <v>Wind</v>
      </c>
      <c r="D110" t="str">
        <f t="shared" si="31"/>
        <v>renewable</v>
      </c>
      <c r="E110" s="26">
        <f>'Tech Parameters'!G14</f>
        <v>1</v>
      </c>
      <c r="F110">
        <f t="shared" si="32"/>
        <v>0</v>
      </c>
      <c r="G110">
        <f t="shared" si="32"/>
        <v>0</v>
      </c>
      <c r="H110">
        <f t="shared" si="38"/>
        <v>0</v>
      </c>
      <c r="I110">
        <f t="shared" si="38"/>
        <v>0</v>
      </c>
      <c r="J110">
        <f t="shared" si="38"/>
        <v>0</v>
      </c>
      <c r="K110">
        <f t="shared" si="38"/>
        <v>0</v>
      </c>
      <c r="L110">
        <f t="shared" si="38"/>
        <v>0</v>
      </c>
      <c r="M110">
        <f t="shared" si="38"/>
        <v>0</v>
      </c>
      <c r="N110">
        <f t="shared" si="38"/>
        <v>0</v>
      </c>
      <c r="O110">
        <f t="shared" si="38"/>
        <v>0</v>
      </c>
      <c r="P110">
        <f t="shared" si="38"/>
        <v>0</v>
      </c>
      <c r="Q110">
        <f t="shared" si="38"/>
        <v>0</v>
      </c>
      <c r="R110">
        <f t="shared" si="38"/>
        <v>0</v>
      </c>
      <c r="S110">
        <f t="shared" si="38"/>
        <v>0</v>
      </c>
      <c r="T110">
        <f t="shared" si="38"/>
        <v>0</v>
      </c>
      <c r="U110">
        <f t="shared" si="38"/>
        <v>0</v>
      </c>
      <c r="V110">
        <f t="shared" si="38"/>
        <v>0</v>
      </c>
      <c r="W110">
        <f t="shared" si="38"/>
        <v>0</v>
      </c>
      <c r="X110">
        <f t="shared" si="38"/>
        <v>0</v>
      </c>
      <c r="Y110">
        <f t="shared" si="38"/>
        <v>0</v>
      </c>
      <c r="Z110">
        <f t="shared" si="38"/>
        <v>0</v>
      </c>
      <c r="AA110">
        <f t="shared" si="38"/>
        <v>0</v>
      </c>
      <c r="AB110">
        <f t="shared" si="38"/>
        <v>0</v>
      </c>
      <c r="AC110">
        <f t="shared" si="38"/>
        <v>0</v>
      </c>
      <c r="AD110">
        <f t="shared" si="38"/>
        <v>0</v>
      </c>
      <c r="AE110">
        <f t="shared" si="38"/>
        <v>0</v>
      </c>
      <c r="AF110">
        <f t="shared" si="38"/>
        <v>0</v>
      </c>
      <c r="AG110">
        <f t="shared" si="38"/>
        <v>0</v>
      </c>
      <c r="AH110">
        <f t="shared" si="38"/>
        <v>0</v>
      </c>
      <c r="AI110">
        <f t="shared" si="38"/>
        <v>0</v>
      </c>
      <c r="AJ110">
        <f t="shared" si="38"/>
        <v>0</v>
      </c>
      <c r="AK110">
        <f t="shared" si="38"/>
        <v>0</v>
      </c>
      <c r="AL110">
        <f t="shared" si="38"/>
        <v>0</v>
      </c>
      <c r="AM110">
        <f t="shared" si="38"/>
        <v>0</v>
      </c>
      <c r="AN110">
        <f t="shared" si="38"/>
        <v>0</v>
      </c>
      <c r="AO110">
        <f t="shared" si="38"/>
        <v>0</v>
      </c>
      <c r="AP110">
        <f t="shared" si="38"/>
        <v>0</v>
      </c>
      <c r="AQ110">
        <f t="shared" si="38"/>
        <v>0</v>
      </c>
      <c r="AR110">
        <f t="shared" si="38"/>
        <v>0</v>
      </c>
      <c r="AS110">
        <f t="shared" si="38"/>
        <v>0</v>
      </c>
      <c r="AT110">
        <f t="shared" si="38"/>
        <v>0</v>
      </c>
      <c r="AU110">
        <f t="shared" si="38"/>
        <v>0</v>
      </c>
      <c r="AV110">
        <f t="shared" si="38"/>
        <v>0</v>
      </c>
      <c r="AW110">
        <f t="shared" si="38"/>
        <v>0</v>
      </c>
      <c r="AX110">
        <f t="shared" si="38"/>
        <v>0</v>
      </c>
      <c r="AY110">
        <f t="shared" si="38"/>
        <v>0</v>
      </c>
      <c r="AZ110">
        <f t="shared" si="38"/>
        <v>0</v>
      </c>
      <c r="BA110">
        <f t="shared" si="38"/>
        <v>0</v>
      </c>
      <c r="BB110">
        <f t="shared" si="38"/>
        <v>0</v>
      </c>
      <c r="BC110">
        <f t="shared" si="38"/>
        <v>0</v>
      </c>
      <c r="BD110">
        <f t="shared" si="38"/>
        <v>0</v>
      </c>
      <c r="BE110">
        <f t="shared" si="38"/>
        <v>0</v>
      </c>
      <c r="BF110">
        <f t="shared" si="38"/>
        <v>0</v>
      </c>
      <c r="BG110">
        <f t="shared" si="38"/>
        <v>0</v>
      </c>
      <c r="BH110">
        <f t="shared" si="38"/>
        <v>0</v>
      </c>
      <c r="BI110">
        <f t="shared" si="38"/>
        <v>0</v>
      </c>
      <c r="BJ110">
        <f t="shared" si="38"/>
        <v>0</v>
      </c>
      <c r="BK110">
        <f t="shared" si="38"/>
        <v>0</v>
      </c>
      <c r="BL110">
        <f t="shared" si="38"/>
        <v>0</v>
      </c>
      <c r="BM110">
        <f t="shared" si="38"/>
        <v>0</v>
      </c>
      <c r="BN110">
        <f t="shared" si="38"/>
        <v>0</v>
      </c>
      <c r="BO110">
        <f t="shared" si="38"/>
        <v>0</v>
      </c>
      <c r="BP110">
        <f t="shared" si="38"/>
        <v>0</v>
      </c>
      <c r="BQ110">
        <f t="shared" si="38"/>
        <v>0</v>
      </c>
      <c r="BR110">
        <f t="shared" si="38"/>
        <v>0</v>
      </c>
      <c r="BS110">
        <f t="shared" si="38"/>
        <v>0</v>
      </c>
      <c r="BT110">
        <f t="shared" si="37"/>
        <v>0</v>
      </c>
      <c r="BU110">
        <f t="shared" si="37"/>
        <v>0</v>
      </c>
      <c r="BV110">
        <f t="shared" si="37"/>
        <v>0</v>
      </c>
      <c r="BW110">
        <f t="shared" si="37"/>
        <v>0</v>
      </c>
      <c r="BX110">
        <f t="shared" si="37"/>
        <v>0</v>
      </c>
      <c r="BY110">
        <f t="shared" si="37"/>
        <v>0</v>
      </c>
      <c r="BZ110">
        <f t="shared" si="37"/>
        <v>0</v>
      </c>
      <c r="CA110">
        <f t="shared" si="37"/>
        <v>0</v>
      </c>
      <c r="CB110">
        <f t="shared" si="37"/>
        <v>0</v>
      </c>
      <c r="CC110">
        <f t="shared" si="37"/>
        <v>0</v>
      </c>
      <c r="CD110">
        <f t="shared" si="37"/>
        <v>0</v>
      </c>
      <c r="CE110">
        <f t="shared" si="37"/>
        <v>0</v>
      </c>
      <c r="CF110">
        <f t="shared" si="37"/>
        <v>0</v>
      </c>
      <c r="CG110">
        <f t="shared" si="37"/>
        <v>0</v>
      </c>
      <c r="CH110">
        <f t="shared" si="37"/>
        <v>0</v>
      </c>
      <c r="CI110">
        <f t="shared" si="37"/>
        <v>0</v>
      </c>
      <c r="CJ110">
        <f t="shared" si="37"/>
        <v>0</v>
      </c>
      <c r="CK110">
        <f t="shared" si="37"/>
        <v>0</v>
      </c>
      <c r="CL110">
        <f t="shared" si="37"/>
        <v>0</v>
      </c>
      <c r="CM110">
        <f t="shared" si="37"/>
        <v>0</v>
      </c>
    </row>
    <row r="111" spans="1:91">
      <c r="A111">
        <v>10</v>
      </c>
      <c r="B111" t="str">
        <f>'Tech Parameters'!B15</f>
        <v>Wind 25%</v>
      </c>
      <c r="C111" t="str">
        <f>'Tech Parameters'!C15</f>
        <v>Wind</v>
      </c>
      <c r="D111" t="str">
        <f t="shared" si="31"/>
        <v>renewable</v>
      </c>
      <c r="E111" s="26">
        <f>'Tech Parameters'!G15</f>
        <v>1</v>
      </c>
      <c r="F111">
        <f t="shared" si="32"/>
        <v>0</v>
      </c>
      <c r="G111">
        <f t="shared" si="32"/>
        <v>0</v>
      </c>
      <c r="H111">
        <f t="shared" si="38"/>
        <v>0</v>
      </c>
      <c r="I111">
        <f t="shared" si="38"/>
        <v>0</v>
      </c>
      <c r="J111">
        <f t="shared" si="38"/>
        <v>0</v>
      </c>
      <c r="K111">
        <f t="shared" si="38"/>
        <v>0</v>
      </c>
      <c r="L111">
        <f t="shared" si="38"/>
        <v>0</v>
      </c>
      <c r="M111">
        <f t="shared" si="38"/>
        <v>0</v>
      </c>
      <c r="N111">
        <f t="shared" si="38"/>
        <v>0</v>
      </c>
      <c r="O111">
        <f t="shared" si="38"/>
        <v>0</v>
      </c>
      <c r="P111">
        <f t="shared" si="38"/>
        <v>0</v>
      </c>
      <c r="Q111">
        <f t="shared" si="38"/>
        <v>0</v>
      </c>
      <c r="R111">
        <f t="shared" si="38"/>
        <v>0</v>
      </c>
      <c r="S111">
        <f t="shared" si="38"/>
        <v>0</v>
      </c>
      <c r="T111">
        <f t="shared" si="38"/>
        <v>0</v>
      </c>
      <c r="U111">
        <f t="shared" si="38"/>
        <v>0</v>
      </c>
      <c r="V111">
        <f t="shared" si="38"/>
        <v>0</v>
      </c>
      <c r="W111">
        <f t="shared" si="38"/>
        <v>0</v>
      </c>
      <c r="X111">
        <f t="shared" si="38"/>
        <v>0</v>
      </c>
      <c r="Y111">
        <f t="shared" si="38"/>
        <v>0</v>
      </c>
      <c r="Z111">
        <f t="shared" si="38"/>
        <v>0</v>
      </c>
      <c r="AA111">
        <f t="shared" si="38"/>
        <v>0</v>
      </c>
      <c r="AB111">
        <f t="shared" si="38"/>
        <v>0</v>
      </c>
      <c r="AC111">
        <f t="shared" si="38"/>
        <v>0</v>
      </c>
      <c r="AD111">
        <f t="shared" si="38"/>
        <v>0</v>
      </c>
      <c r="AE111">
        <f t="shared" si="38"/>
        <v>0</v>
      </c>
      <c r="AF111">
        <f t="shared" si="38"/>
        <v>0</v>
      </c>
      <c r="AG111">
        <f t="shared" si="38"/>
        <v>0</v>
      </c>
      <c r="AH111">
        <f t="shared" si="38"/>
        <v>0</v>
      </c>
      <c r="AI111">
        <f t="shared" si="38"/>
        <v>0</v>
      </c>
      <c r="AJ111">
        <f t="shared" si="38"/>
        <v>0</v>
      </c>
      <c r="AK111">
        <f t="shared" si="38"/>
        <v>0</v>
      </c>
      <c r="AL111">
        <f t="shared" si="38"/>
        <v>0</v>
      </c>
      <c r="AM111">
        <f t="shared" si="38"/>
        <v>0</v>
      </c>
      <c r="AN111">
        <f t="shared" si="38"/>
        <v>0</v>
      </c>
      <c r="AO111">
        <f t="shared" si="38"/>
        <v>0</v>
      </c>
      <c r="AP111">
        <f t="shared" si="38"/>
        <v>0</v>
      </c>
      <c r="AQ111">
        <f t="shared" si="38"/>
        <v>0</v>
      </c>
      <c r="AR111">
        <f t="shared" si="38"/>
        <v>0</v>
      </c>
      <c r="AS111">
        <f t="shared" si="38"/>
        <v>0</v>
      </c>
      <c r="AT111">
        <f t="shared" si="38"/>
        <v>0</v>
      </c>
      <c r="AU111">
        <f t="shared" si="38"/>
        <v>0</v>
      </c>
      <c r="AV111">
        <f t="shared" si="38"/>
        <v>0</v>
      </c>
      <c r="AW111">
        <f t="shared" si="38"/>
        <v>0</v>
      </c>
      <c r="AX111">
        <f t="shared" si="38"/>
        <v>0</v>
      </c>
      <c r="AY111">
        <f t="shared" si="38"/>
        <v>0</v>
      </c>
      <c r="AZ111">
        <f t="shared" si="38"/>
        <v>0</v>
      </c>
      <c r="BA111">
        <f t="shared" si="38"/>
        <v>0</v>
      </c>
      <c r="BB111">
        <f t="shared" si="38"/>
        <v>0</v>
      </c>
      <c r="BC111">
        <f t="shared" si="38"/>
        <v>0</v>
      </c>
      <c r="BD111">
        <f t="shared" si="38"/>
        <v>0</v>
      </c>
      <c r="BE111">
        <f t="shared" si="38"/>
        <v>0</v>
      </c>
      <c r="BF111">
        <f t="shared" si="38"/>
        <v>0</v>
      </c>
      <c r="BG111">
        <f t="shared" si="38"/>
        <v>0</v>
      </c>
      <c r="BH111">
        <f t="shared" si="38"/>
        <v>0</v>
      </c>
      <c r="BI111">
        <f t="shared" si="38"/>
        <v>0</v>
      </c>
      <c r="BJ111">
        <f t="shared" si="38"/>
        <v>0</v>
      </c>
      <c r="BK111">
        <f t="shared" si="38"/>
        <v>0</v>
      </c>
      <c r="BL111">
        <f t="shared" si="38"/>
        <v>0</v>
      </c>
      <c r="BM111">
        <f t="shared" si="38"/>
        <v>0</v>
      </c>
      <c r="BN111">
        <f t="shared" si="38"/>
        <v>0</v>
      </c>
      <c r="BO111">
        <f t="shared" si="38"/>
        <v>0</v>
      </c>
      <c r="BP111">
        <f t="shared" si="38"/>
        <v>0</v>
      </c>
      <c r="BQ111">
        <f t="shared" si="38"/>
        <v>0</v>
      </c>
      <c r="BR111">
        <f t="shared" si="38"/>
        <v>0</v>
      </c>
      <c r="BS111">
        <f t="shared" ref="BS111:CM114" si="39">IF($E111=0,0,SUMIF($B$79:$B$87,$D111,BS$79:BS$87)/$E111)</f>
        <v>0</v>
      </c>
      <c r="BT111">
        <f t="shared" si="39"/>
        <v>0</v>
      </c>
      <c r="BU111">
        <f t="shared" si="39"/>
        <v>0</v>
      </c>
      <c r="BV111">
        <f t="shared" si="39"/>
        <v>0</v>
      </c>
      <c r="BW111">
        <f t="shared" si="39"/>
        <v>0</v>
      </c>
      <c r="BX111">
        <f t="shared" si="39"/>
        <v>0</v>
      </c>
      <c r="BY111">
        <f t="shared" si="39"/>
        <v>0</v>
      </c>
      <c r="BZ111">
        <f t="shared" si="39"/>
        <v>0</v>
      </c>
      <c r="CA111">
        <f t="shared" si="39"/>
        <v>0</v>
      </c>
      <c r="CB111">
        <f t="shared" si="39"/>
        <v>0</v>
      </c>
      <c r="CC111">
        <f t="shared" si="39"/>
        <v>0</v>
      </c>
      <c r="CD111">
        <f t="shared" si="39"/>
        <v>0</v>
      </c>
      <c r="CE111">
        <f t="shared" si="39"/>
        <v>0</v>
      </c>
      <c r="CF111">
        <f t="shared" si="39"/>
        <v>0</v>
      </c>
      <c r="CG111">
        <f t="shared" si="39"/>
        <v>0</v>
      </c>
      <c r="CH111">
        <f t="shared" si="39"/>
        <v>0</v>
      </c>
      <c r="CI111">
        <f t="shared" si="39"/>
        <v>0</v>
      </c>
      <c r="CJ111">
        <f t="shared" si="39"/>
        <v>0</v>
      </c>
      <c r="CK111">
        <f t="shared" si="39"/>
        <v>0</v>
      </c>
      <c r="CL111">
        <f t="shared" si="39"/>
        <v>0</v>
      </c>
      <c r="CM111">
        <f t="shared" si="39"/>
        <v>0</v>
      </c>
    </row>
    <row r="112" spans="1:91">
      <c r="A112">
        <v>11</v>
      </c>
      <c r="B112" t="str">
        <f>'Tech Parameters'!B16</f>
        <v>solar thermal central reciever</v>
      </c>
      <c r="C112" t="str">
        <f>'Tech Parameters'!C16</f>
        <v>Solar Central Receiver</v>
      </c>
      <c r="D112" t="str">
        <f t="shared" si="31"/>
        <v>renewable</v>
      </c>
      <c r="E112" s="26">
        <f>'Tech Parameters'!G16</f>
        <v>1</v>
      </c>
      <c r="F112">
        <f t="shared" si="32"/>
        <v>0</v>
      </c>
      <c r="G112">
        <f t="shared" si="32"/>
        <v>0</v>
      </c>
      <c r="H112">
        <f t="shared" ref="H112:BS115" si="40">IF($E112=0,0,SUMIF($B$79:$B$87,$D112,H$79:H$87)/$E112)</f>
        <v>0</v>
      </c>
      <c r="I112">
        <f t="shared" si="40"/>
        <v>0</v>
      </c>
      <c r="J112">
        <f t="shared" si="40"/>
        <v>0</v>
      </c>
      <c r="K112">
        <f t="shared" si="40"/>
        <v>0</v>
      </c>
      <c r="L112">
        <f t="shared" si="40"/>
        <v>0</v>
      </c>
      <c r="M112">
        <f t="shared" si="40"/>
        <v>0</v>
      </c>
      <c r="N112">
        <f t="shared" si="40"/>
        <v>0</v>
      </c>
      <c r="O112">
        <f t="shared" si="40"/>
        <v>0</v>
      </c>
      <c r="P112">
        <f t="shared" si="40"/>
        <v>0</v>
      </c>
      <c r="Q112">
        <f t="shared" si="40"/>
        <v>0</v>
      </c>
      <c r="R112">
        <f t="shared" si="40"/>
        <v>0</v>
      </c>
      <c r="S112">
        <f t="shared" si="40"/>
        <v>0</v>
      </c>
      <c r="T112">
        <f t="shared" si="40"/>
        <v>0</v>
      </c>
      <c r="U112">
        <f t="shared" si="40"/>
        <v>0</v>
      </c>
      <c r="V112">
        <f t="shared" si="40"/>
        <v>0</v>
      </c>
      <c r="W112">
        <f t="shared" si="40"/>
        <v>0</v>
      </c>
      <c r="X112">
        <f t="shared" si="40"/>
        <v>0</v>
      </c>
      <c r="Y112">
        <f t="shared" si="40"/>
        <v>0</v>
      </c>
      <c r="Z112">
        <f t="shared" si="40"/>
        <v>0</v>
      </c>
      <c r="AA112">
        <f t="shared" si="40"/>
        <v>0</v>
      </c>
      <c r="AB112">
        <f t="shared" si="40"/>
        <v>0</v>
      </c>
      <c r="AC112">
        <f t="shared" si="40"/>
        <v>0</v>
      </c>
      <c r="AD112">
        <f t="shared" si="40"/>
        <v>0</v>
      </c>
      <c r="AE112">
        <f t="shared" si="40"/>
        <v>0</v>
      </c>
      <c r="AF112">
        <f t="shared" si="40"/>
        <v>0</v>
      </c>
      <c r="AG112">
        <f t="shared" si="40"/>
        <v>0</v>
      </c>
      <c r="AH112">
        <f t="shared" si="40"/>
        <v>0</v>
      </c>
      <c r="AI112">
        <f t="shared" si="40"/>
        <v>0</v>
      </c>
      <c r="AJ112">
        <f t="shared" si="40"/>
        <v>0</v>
      </c>
      <c r="AK112">
        <f t="shared" si="40"/>
        <v>0</v>
      </c>
      <c r="AL112">
        <f t="shared" si="40"/>
        <v>0</v>
      </c>
      <c r="AM112">
        <f t="shared" si="40"/>
        <v>0</v>
      </c>
      <c r="AN112">
        <f t="shared" si="40"/>
        <v>0</v>
      </c>
      <c r="AO112">
        <f t="shared" si="40"/>
        <v>0</v>
      </c>
      <c r="AP112">
        <f t="shared" si="40"/>
        <v>0</v>
      </c>
      <c r="AQ112">
        <f t="shared" si="40"/>
        <v>0</v>
      </c>
      <c r="AR112">
        <f t="shared" si="40"/>
        <v>0</v>
      </c>
      <c r="AS112">
        <f t="shared" si="40"/>
        <v>0</v>
      </c>
      <c r="AT112">
        <f t="shared" si="40"/>
        <v>0</v>
      </c>
      <c r="AU112">
        <f t="shared" si="40"/>
        <v>0</v>
      </c>
      <c r="AV112">
        <f t="shared" si="40"/>
        <v>0</v>
      </c>
      <c r="AW112">
        <f t="shared" si="40"/>
        <v>0</v>
      </c>
      <c r="AX112">
        <f t="shared" si="40"/>
        <v>0</v>
      </c>
      <c r="AY112">
        <f t="shared" si="40"/>
        <v>0</v>
      </c>
      <c r="AZ112">
        <f t="shared" si="40"/>
        <v>0</v>
      </c>
      <c r="BA112">
        <f t="shared" si="40"/>
        <v>0</v>
      </c>
      <c r="BB112">
        <f t="shared" si="40"/>
        <v>0</v>
      </c>
      <c r="BC112">
        <f t="shared" si="40"/>
        <v>0</v>
      </c>
      <c r="BD112">
        <f t="shared" si="40"/>
        <v>0</v>
      </c>
      <c r="BE112">
        <f t="shared" si="40"/>
        <v>0</v>
      </c>
      <c r="BF112">
        <f t="shared" si="40"/>
        <v>0</v>
      </c>
      <c r="BG112">
        <f t="shared" si="40"/>
        <v>0</v>
      </c>
      <c r="BH112">
        <f t="shared" si="40"/>
        <v>0</v>
      </c>
      <c r="BI112">
        <f t="shared" si="40"/>
        <v>0</v>
      </c>
      <c r="BJ112">
        <f t="shared" si="40"/>
        <v>0</v>
      </c>
      <c r="BK112">
        <f t="shared" si="40"/>
        <v>0</v>
      </c>
      <c r="BL112">
        <f t="shared" si="40"/>
        <v>0</v>
      </c>
      <c r="BM112">
        <f t="shared" si="40"/>
        <v>0</v>
      </c>
      <c r="BN112">
        <f t="shared" si="40"/>
        <v>0</v>
      </c>
      <c r="BO112">
        <f t="shared" si="40"/>
        <v>0</v>
      </c>
      <c r="BP112">
        <f t="shared" si="40"/>
        <v>0</v>
      </c>
      <c r="BQ112">
        <f t="shared" si="40"/>
        <v>0</v>
      </c>
      <c r="BR112">
        <f t="shared" si="40"/>
        <v>0</v>
      </c>
      <c r="BS112">
        <f t="shared" si="40"/>
        <v>0</v>
      </c>
      <c r="BT112">
        <f t="shared" si="39"/>
        <v>0</v>
      </c>
      <c r="BU112">
        <f t="shared" si="39"/>
        <v>0</v>
      </c>
      <c r="BV112">
        <f t="shared" si="39"/>
        <v>0</v>
      </c>
      <c r="BW112">
        <f t="shared" si="39"/>
        <v>0</v>
      </c>
      <c r="BX112">
        <f t="shared" si="39"/>
        <v>0</v>
      </c>
      <c r="BY112">
        <f t="shared" si="39"/>
        <v>0</v>
      </c>
      <c r="BZ112">
        <f t="shared" si="39"/>
        <v>0</v>
      </c>
      <c r="CA112">
        <f t="shared" si="39"/>
        <v>0</v>
      </c>
      <c r="CB112">
        <f t="shared" si="39"/>
        <v>0</v>
      </c>
      <c r="CC112">
        <f t="shared" si="39"/>
        <v>0</v>
      </c>
      <c r="CD112">
        <f t="shared" si="39"/>
        <v>0</v>
      </c>
      <c r="CE112">
        <f t="shared" si="39"/>
        <v>0</v>
      </c>
      <c r="CF112">
        <f t="shared" si="39"/>
        <v>0</v>
      </c>
      <c r="CG112">
        <f t="shared" si="39"/>
        <v>0</v>
      </c>
      <c r="CH112">
        <f t="shared" si="39"/>
        <v>0</v>
      </c>
      <c r="CI112">
        <f t="shared" si="39"/>
        <v>0</v>
      </c>
      <c r="CJ112">
        <f t="shared" si="39"/>
        <v>0</v>
      </c>
      <c r="CK112">
        <f t="shared" si="39"/>
        <v>0</v>
      </c>
      <c r="CL112">
        <f t="shared" si="39"/>
        <v>0</v>
      </c>
      <c r="CM112">
        <f t="shared" si="39"/>
        <v>0</v>
      </c>
    </row>
    <row r="113" spans="1:91">
      <c r="A113">
        <v>12</v>
      </c>
      <c r="B113" t="str">
        <f>'Tech Parameters'!B17</f>
        <v>solar thermal trough</v>
      </c>
      <c r="C113" t="str">
        <f>'Tech Parameters'!C17</f>
        <v>Solar Parabolic Trough</v>
      </c>
      <c r="D113" t="str">
        <f t="shared" si="31"/>
        <v>renewable</v>
      </c>
      <c r="E113" s="26">
        <f>'Tech Parameters'!G17</f>
        <v>1</v>
      </c>
      <c r="F113">
        <f t="shared" si="32"/>
        <v>0</v>
      </c>
      <c r="G113">
        <f t="shared" si="32"/>
        <v>0</v>
      </c>
      <c r="H113">
        <f t="shared" si="40"/>
        <v>0</v>
      </c>
      <c r="I113">
        <f t="shared" si="40"/>
        <v>0</v>
      </c>
      <c r="J113">
        <f t="shared" si="40"/>
        <v>0</v>
      </c>
      <c r="K113">
        <f t="shared" si="40"/>
        <v>0</v>
      </c>
      <c r="L113">
        <f t="shared" si="40"/>
        <v>0</v>
      </c>
      <c r="M113">
        <f t="shared" si="40"/>
        <v>0</v>
      </c>
      <c r="N113">
        <f t="shared" si="40"/>
        <v>0</v>
      </c>
      <c r="O113">
        <f t="shared" si="40"/>
        <v>0</v>
      </c>
      <c r="P113">
        <f t="shared" si="40"/>
        <v>0</v>
      </c>
      <c r="Q113">
        <f t="shared" si="40"/>
        <v>0</v>
      </c>
      <c r="R113">
        <f t="shared" si="40"/>
        <v>0</v>
      </c>
      <c r="S113">
        <f t="shared" si="40"/>
        <v>0</v>
      </c>
      <c r="T113">
        <f t="shared" si="40"/>
        <v>0</v>
      </c>
      <c r="U113">
        <f t="shared" si="40"/>
        <v>0</v>
      </c>
      <c r="V113">
        <f t="shared" si="40"/>
        <v>0</v>
      </c>
      <c r="W113">
        <f t="shared" si="40"/>
        <v>0</v>
      </c>
      <c r="X113">
        <f t="shared" si="40"/>
        <v>0</v>
      </c>
      <c r="Y113">
        <f t="shared" si="40"/>
        <v>0</v>
      </c>
      <c r="Z113">
        <f t="shared" si="40"/>
        <v>0</v>
      </c>
      <c r="AA113">
        <f t="shared" si="40"/>
        <v>0</v>
      </c>
      <c r="AB113">
        <f t="shared" si="40"/>
        <v>0</v>
      </c>
      <c r="AC113">
        <f t="shared" si="40"/>
        <v>0</v>
      </c>
      <c r="AD113">
        <f t="shared" si="40"/>
        <v>0</v>
      </c>
      <c r="AE113">
        <f t="shared" si="40"/>
        <v>0</v>
      </c>
      <c r="AF113">
        <f t="shared" si="40"/>
        <v>0</v>
      </c>
      <c r="AG113">
        <f t="shared" si="40"/>
        <v>0</v>
      </c>
      <c r="AH113">
        <f t="shared" si="40"/>
        <v>0</v>
      </c>
      <c r="AI113">
        <f t="shared" si="40"/>
        <v>0</v>
      </c>
      <c r="AJ113">
        <f t="shared" si="40"/>
        <v>0</v>
      </c>
      <c r="AK113">
        <f t="shared" si="40"/>
        <v>0</v>
      </c>
      <c r="AL113">
        <f t="shared" si="40"/>
        <v>0</v>
      </c>
      <c r="AM113">
        <f t="shared" si="40"/>
        <v>0</v>
      </c>
      <c r="AN113">
        <f t="shared" si="40"/>
        <v>0</v>
      </c>
      <c r="AO113">
        <f t="shared" si="40"/>
        <v>0</v>
      </c>
      <c r="AP113">
        <f t="shared" si="40"/>
        <v>0</v>
      </c>
      <c r="AQ113">
        <f t="shared" si="40"/>
        <v>0</v>
      </c>
      <c r="AR113">
        <f t="shared" si="40"/>
        <v>0</v>
      </c>
      <c r="AS113">
        <f t="shared" si="40"/>
        <v>0</v>
      </c>
      <c r="AT113">
        <f t="shared" si="40"/>
        <v>0</v>
      </c>
      <c r="AU113">
        <f t="shared" si="40"/>
        <v>0</v>
      </c>
      <c r="AV113">
        <f t="shared" si="40"/>
        <v>0</v>
      </c>
      <c r="AW113">
        <f t="shared" si="40"/>
        <v>0</v>
      </c>
      <c r="AX113">
        <f t="shared" si="40"/>
        <v>0</v>
      </c>
      <c r="AY113">
        <f t="shared" si="40"/>
        <v>0</v>
      </c>
      <c r="AZ113">
        <f t="shared" si="40"/>
        <v>0</v>
      </c>
      <c r="BA113">
        <f t="shared" si="40"/>
        <v>0</v>
      </c>
      <c r="BB113">
        <f t="shared" si="40"/>
        <v>0</v>
      </c>
      <c r="BC113">
        <f t="shared" si="40"/>
        <v>0</v>
      </c>
      <c r="BD113">
        <f t="shared" si="40"/>
        <v>0</v>
      </c>
      <c r="BE113">
        <f t="shared" si="40"/>
        <v>0</v>
      </c>
      <c r="BF113">
        <f t="shared" si="40"/>
        <v>0</v>
      </c>
      <c r="BG113">
        <f t="shared" si="40"/>
        <v>0</v>
      </c>
      <c r="BH113">
        <f t="shared" si="40"/>
        <v>0</v>
      </c>
      <c r="BI113">
        <f t="shared" si="40"/>
        <v>0</v>
      </c>
      <c r="BJ113">
        <f t="shared" si="40"/>
        <v>0</v>
      </c>
      <c r="BK113">
        <f t="shared" si="40"/>
        <v>0</v>
      </c>
      <c r="BL113">
        <f t="shared" si="40"/>
        <v>0</v>
      </c>
      <c r="BM113">
        <f t="shared" si="40"/>
        <v>0</v>
      </c>
      <c r="BN113">
        <f t="shared" si="40"/>
        <v>0</v>
      </c>
      <c r="BO113">
        <f t="shared" si="40"/>
        <v>0</v>
      </c>
      <c r="BP113">
        <f t="shared" si="40"/>
        <v>0</v>
      </c>
      <c r="BQ113">
        <f t="shared" si="40"/>
        <v>0</v>
      </c>
      <c r="BR113">
        <f t="shared" si="40"/>
        <v>0</v>
      </c>
      <c r="BS113">
        <f t="shared" si="40"/>
        <v>0</v>
      </c>
      <c r="BT113">
        <f t="shared" si="39"/>
        <v>0</v>
      </c>
      <c r="BU113">
        <f t="shared" si="39"/>
        <v>0</v>
      </c>
      <c r="BV113">
        <f t="shared" si="39"/>
        <v>0</v>
      </c>
      <c r="BW113">
        <f t="shared" si="39"/>
        <v>0</v>
      </c>
      <c r="BX113">
        <f t="shared" si="39"/>
        <v>0</v>
      </c>
      <c r="BY113">
        <f t="shared" si="39"/>
        <v>0</v>
      </c>
      <c r="BZ113">
        <f t="shared" si="39"/>
        <v>0</v>
      </c>
      <c r="CA113">
        <f t="shared" si="39"/>
        <v>0</v>
      </c>
      <c r="CB113">
        <f t="shared" si="39"/>
        <v>0</v>
      </c>
      <c r="CC113">
        <f t="shared" si="39"/>
        <v>0</v>
      </c>
      <c r="CD113">
        <f t="shared" si="39"/>
        <v>0</v>
      </c>
      <c r="CE113">
        <f t="shared" si="39"/>
        <v>0</v>
      </c>
      <c r="CF113">
        <f t="shared" si="39"/>
        <v>0</v>
      </c>
      <c r="CG113">
        <f t="shared" si="39"/>
        <v>0</v>
      </c>
      <c r="CH113">
        <f t="shared" si="39"/>
        <v>0</v>
      </c>
      <c r="CI113">
        <f t="shared" si="39"/>
        <v>0</v>
      </c>
      <c r="CJ113">
        <f t="shared" si="39"/>
        <v>0</v>
      </c>
      <c r="CK113">
        <f t="shared" si="39"/>
        <v>0</v>
      </c>
      <c r="CL113">
        <f t="shared" si="39"/>
        <v>0</v>
      </c>
      <c r="CM113">
        <f t="shared" si="39"/>
        <v>0</v>
      </c>
    </row>
    <row r="114" spans="1:91">
      <c r="A114">
        <v>13</v>
      </c>
      <c r="B114" t="str">
        <f>'Tech Parameters'!B18</f>
        <v>solar PV</v>
      </c>
      <c r="C114" t="str">
        <f>'Tech Parameters'!C18</f>
        <v>Solar Photovoltaic</v>
      </c>
      <c r="D114" t="str">
        <f t="shared" si="31"/>
        <v>renewable</v>
      </c>
      <c r="E114" s="26">
        <f>'Tech Parameters'!G18</f>
        <v>1</v>
      </c>
      <c r="F114">
        <f t="shared" si="32"/>
        <v>0</v>
      </c>
      <c r="G114">
        <f t="shared" si="32"/>
        <v>0</v>
      </c>
      <c r="H114">
        <f t="shared" si="40"/>
        <v>0</v>
      </c>
      <c r="I114">
        <f t="shared" si="40"/>
        <v>0</v>
      </c>
      <c r="J114">
        <f t="shared" si="40"/>
        <v>0</v>
      </c>
      <c r="K114">
        <f t="shared" si="40"/>
        <v>0</v>
      </c>
      <c r="L114">
        <f t="shared" si="40"/>
        <v>0</v>
      </c>
      <c r="M114">
        <f t="shared" si="40"/>
        <v>0</v>
      </c>
      <c r="N114">
        <f t="shared" si="40"/>
        <v>0</v>
      </c>
      <c r="O114">
        <f t="shared" si="40"/>
        <v>0</v>
      </c>
      <c r="P114">
        <f t="shared" si="40"/>
        <v>0</v>
      </c>
      <c r="Q114">
        <f t="shared" si="40"/>
        <v>0</v>
      </c>
      <c r="R114">
        <f t="shared" si="40"/>
        <v>0</v>
      </c>
      <c r="S114">
        <f t="shared" si="40"/>
        <v>0</v>
      </c>
      <c r="T114">
        <f t="shared" si="40"/>
        <v>0</v>
      </c>
      <c r="U114">
        <f t="shared" si="40"/>
        <v>0</v>
      </c>
      <c r="V114">
        <f t="shared" si="40"/>
        <v>0</v>
      </c>
      <c r="W114">
        <f t="shared" si="40"/>
        <v>0</v>
      </c>
      <c r="X114">
        <f t="shared" si="40"/>
        <v>0</v>
      </c>
      <c r="Y114">
        <f t="shared" si="40"/>
        <v>0</v>
      </c>
      <c r="Z114">
        <f t="shared" si="40"/>
        <v>0</v>
      </c>
      <c r="AA114">
        <f t="shared" si="40"/>
        <v>0</v>
      </c>
      <c r="AB114">
        <f t="shared" si="40"/>
        <v>0</v>
      </c>
      <c r="AC114">
        <f t="shared" si="40"/>
        <v>0</v>
      </c>
      <c r="AD114">
        <f t="shared" si="40"/>
        <v>0</v>
      </c>
      <c r="AE114">
        <f t="shared" si="40"/>
        <v>0</v>
      </c>
      <c r="AF114">
        <f t="shared" si="40"/>
        <v>0</v>
      </c>
      <c r="AG114">
        <f t="shared" si="40"/>
        <v>0</v>
      </c>
      <c r="AH114">
        <f t="shared" si="40"/>
        <v>0</v>
      </c>
      <c r="AI114">
        <f t="shared" si="40"/>
        <v>0</v>
      </c>
      <c r="AJ114">
        <f t="shared" si="40"/>
        <v>0</v>
      </c>
      <c r="AK114">
        <f t="shared" si="40"/>
        <v>0</v>
      </c>
      <c r="AL114">
        <f t="shared" si="40"/>
        <v>0</v>
      </c>
      <c r="AM114">
        <f t="shared" si="40"/>
        <v>0</v>
      </c>
      <c r="AN114">
        <f t="shared" si="40"/>
        <v>0</v>
      </c>
      <c r="AO114">
        <f t="shared" si="40"/>
        <v>0</v>
      </c>
      <c r="AP114">
        <f t="shared" si="40"/>
        <v>0</v>
      </c>
      <c r="AQ114">
        <f t="shared" si="40"/>
        <v>0</v>
      </c>
      <c r="AR114">
        <f t="shared" si="40"/>
        <v>0</v>
      </c>
      <c r="AS114">
        <f t="shared" si="40"/>
        <v>0</v>
      </c>
      <c r="AT114">
        <f t="shared" si="40"/>
        <v>0</v>
      </c>
      <c r="AU114">
        <f t="shared" si="40"/>
        <v>0</v>
      </c>
      <c r="AV114">
        <f t="shared" si="40"/>
        <v>0</v>
      </c>
      <c r="AW114">
        <f t="shared" si="40"/>
        <v>0</v>
      </c>
      <c r="AX114">
        <f t="shared" si="40"/>
        <v>0</v>
      </c>
      <c r="AY114">
        <f t="shared" si="40"/>
        <v>0</v>
      </c>
      <c r="AZ114">
        <f t="shared" si="40"/>
        <v>0</v>
      </c>
      <c r="BA114">
        <f t="shared" si="40"/>
        <v>0</v>
      </c>
      <c r="BB114">
        <f t="shared" si="40"/>
        <v>0</v>
      </c>
      <c r="BC114">
        <f t="shared" si="40"/>
        <v>0</v>
      </c>
      <c r="BD114">
        <f t="shared" si="40"/>
        <v>0</v>
      </c>
      <c r="BE114">
        <f t="shared" si="40"/>
        <v>0</v>
      </c>
      <c r="BF114">
        <f t="shared" si="40"/>
        <v>0</v>
      </c>
      <c r="BG114">
        <f t="shared" si="40"/>
        <v>0</v>
      </c>
      <c r="BH114">
        <f t="shared" si="40"/>
        <v>0</v>
      </c>
      <c r="BI114">
        <f t="shared" si="40"/>
        <v>0</v>
      </c>
      <c r="BJ114">
        <f t="shared" si="40"/>
        <v>0</v>
      </c>
      <c r="BK114">
        <f t="shared" si="40"/>
        <v>0</v>
      </c>
      <c r="BL114">
        <f t="shared" si="40"/>
        <v>0</v>
      </c>
      <c r="BM114">
        <f t="shared" si="40"/>
        <v>0</v>
      </c>
      <c r="BN114">
        <f t="shared" si="40"/>
        <v>0</v>
      </c>
      <c r="BO114">
        <f t="shared" si="40"/>
        <v>0</v>
      </c>
      <c r="BP114">
        <f t="shared" si="40"/>
        <v>0</v>
      </c>
      <c r="BQ114">
        <f t="shared" si="40"/>
        <v>0</v>
      </c>
      <c r="BR114">
        <f t="shared" si="40"/>
        <v>0</v>
      </c>
      <c r="BS114">
        <f t="shared" si="40"/>
        <v>0</v>
      </c>
      <c r="BT114">
        <f t="shared" si="39"/>
        <v>0</v>
      </c>
      <c r="BU114">
        <f t="shared" si="39"/>
        <v>0</v>
      </c>
      <c r="BV114">
        <f t="shared" si="39"/>
        <v>0</v>
      </c>
      <c r="BW114">
        <f t="shared" si="39"/>
        <v>0</v>
      </c>
      <c r="BX114">
        <f t="shared" si="39"/>
        <v>0</v>
      </c>
      <c r="BY114">
        <f t="shared" si="39"/>
        <v>0</v>
      </c>
      <c r="BZ114">
        <f t="shared" si="39"/>
        <v>0</v>
      </c>
      <c r="CA114">
        <f t="shared" si="39"/>
        <v>0</v>
      </c>
      <c r="CB114">
        <f t="shared" si="39"/>
        <v>0</v>
      </c>
      <c r="CC114">
        <f t="shared" si="39"/>
        <v>0</v>
      </c>
      <c r="CD114">
        <f t="shared" si="39"/>
        <v>0</v>
      </c>
      <c r="CE114">
        <f t="shared" si="39"/>
        <v>0</v>
      </c>
      <c r="CF114">
        <f t="shared" si="39"/>
        <v>0</v>
      </c>
      <c r="CG114">
        <f t="shared" si="39"/>
        <v>0</v>
      </c>
      <c r="CH114">
        <f t="shared" si="39"/>
        <v>0</v>
      </c>
      <c r="CI114">
        <f t="shared" si="39"/>
        <v>0</v>
      </c>
      <c r="CJ114">
        <f t="shared" si="39"/>
        <v>0</v>
      </c>
      <c r="CK114">
        <f t="shared" si="39"/>
        <v>0</v>
      </c>
      <c r="CL114">
        <f t="shared" si="39"/>
        <v>0</v>
      </c>
      <c r="CM114">
        <f t="shared" si="39"/>
        <v>0</v>
      </c>
    </row>
    <row r="115" spans="1:91">
      <c r="A115">
        <v>14</v>
      </c>
      <c r="B115" t="str">
        <f>'Tech Parameters'!B19</f>
        <v>combined cycle gas</v>
      </c>
      <c r="C115" t="str">
        <f>'Tech Parameters'!C19</f>
        <v>Combined Cycle Gas Turbine</v>
      </c>
      <c r="D115" t="str">
        <f t="shared" si="31"/>
        <v>natural gas</v>
      </c>
      <c r="E115" s="26">
        <f>'Tech Parameters'!G19</f>
        <v>0.47419709211805405</v>
      </c>
      <c r="F115">
        <f t="shared" si="32"/>
        <v>240.9418890053152</v>
      </c>
      <c r="G115">
        <f t="shared" si="32"/>
        <v>275.98798195154291</v>
      </c>
      <c r="H115">
        <f t="shared" si="40"/>
        <v>293.51102842465667</v>
      </c>
      <c r="I115">
        <f t="shared" si="40"/>
        <v>442.45692344612428</v>
      </c>
      <c r="J115">
        <f t="shared" si="40"/>
        <v>306.65331327949207</v>
      </c>
      <c r="K115">
        <f t="shared" si="40"/>
        <v>324.17635975260595</v>
      </c>
      <c r="L115">
        <f t="shared" si="40"/>
        <v>341.69940622571971</v>
      </c>
      <c r="M115">
        <f t="shared" si="40"/>
        <v>359.22245269883359</v>
      </c>
      <c r="N115">
        <f t="shared" si="40"/>
        <v>376.74549917194747</v>
      </c>
      <c r="O115">
        <f t="shared" si="40"/>
        <v>394.26854564506124</v>
      </c>
      <c r="P115">
        <f t="shared" si="40"/>
        <v>411.79159211817506</v>
      </c>
      <c r="Q115">
        <f t="shared" si="40"/>
        <v>429.314638591289</v>
      </c>
      <c r="R115">
        <f t="shared" si="40"/>
        <v>446.83768506440276</v>
      </c>
      <c r="S115">
        <f t="shared" si="40"/>
        <v>464.36073153751659</v>
      </c>
      <c r="T115">
        <f t="shared" si="40"/>
        <v>481.88377801063041</v>
      </c>
      <c r="U115">
        <f t="shared" si="40"/>
        <v>499.40682448374423</v>
      </c>
      <c r="V115">
        <f t="shared" si="40"/>
        <v>516.92987095685817</v>
      </c>
      <c r="W115">
        <f t="shared" si="40"/>
        <v>534.45291742997199</v>
      </c>
      <c r="X115">
        <f t="shared" si="40"/>
        <v>551.97596390308581</v>
      </c>
      <c r="Y115">
        <f t="shared" si="40"/>
        <v>569.49901037619964</v>
      </c>
      <c r="Z115">
        <f t="shared" si="40"/>
        <v>587.02205684931334</v>
      </c>
      <c r="AA115">
        <f t="shared" si="40"/>
        <v>604.54510332242717</v>
      </c>
      <c r="AB115">
        <f t="shared" si="40"/>
        <v>622.0681497955411</v>
      </c>
      <c r="AC115">
        <f t="shared" si="40"/>
        <v>639.59119626865493</v>
      </c>
      <c r="AD115">
        <f t="shared" si="40"/>
        <v>657.11424274176886</v>
      </c>
      <c r="AE115">
        <f t="shared" si="40"/>
        <v>674.63728921488268</v>
      </c>
      <c r="AF115">
        <f t="shared" si="40"/>
        <v>674.63728921488268</v>
      </c>
      <c r="AG115">
        <f t="shared" si="40"/>
        <v>674.63728921488268</v>
      </c>
      <c r="AH115">
        <f t="shared" si="40"/>
        <v>674.63728921488268</v>
      </c>
      <c r="AI115">
        <f t="shared" si="40"/>
        <v>674.63728921488268</v>
      </c>
      <c r="AJ115">
        <f t="shared" si="40"/>
        <v>674.63728921488268</v>
      </c>
      <c r="AK115">
        <f t="shared" si="40"/>
        <v>674.63728921488268</v>
      </c>
      <c r="AL115">
        <f t="shared" si="40"/>
        <v>674.63728921488268</v>
      </c>
      <c r="AM115">
        <f t="shared" si="40"/>
        <v>674.63728921488268</v>
      </c>
      <c r="AN115">
        <f t="shared" si="40"/>
        <v>674.63728921488268</v>
      </c>
      <c r="AO115">
        <f t="shared" si="40"/>
        <v>674.63728921488268</v>
      </c>
      <c r="AP115">
        <f t="shared" si="40"/>
        <v>674.63728921488268</v>
      </c>
      <c r="AQ115">
        <f t="shared" si="40"/>
        <v>674.63728921488268</v>
      </c>
      <c r="AR115">
        <f t="shared" si="40"/>
        <v>674.63728921488268</v>
      </c>
      <c r="AS115">
        <f t="shared" si="40"/>
        <v>674.63728921488268</v>
      </c>
      <c r="AT115">
        <f t="shared" si="40"/>
        <v>674.63728921488268</v>
      </c>
      <c r="AU115">
        <f t="shared" si="40"/>
        <v>674.63728921488268</v>
      </c>
      <c r="AV115">
        <f t="shared" si="40"/>
        <v>674.63728921488268</v>
      </c>
      <c r="AW115">
        <f t="shared" si="40"/>
        <v>674.63728921488268</v>
      </c>
      <c r="AX115">
        <f t="shared" si="40"/>
        <v>674.63728921488268</v>
      </c>
      <c r="AY115">
        <f t="shared" si="40"/>
        <v>674.63728921488268</v>
      </c>
      <c r="AZ115">
        <f t="shared" si="40"/>
        <v>674.63728921488268</v>
      </c>
      <c r="BA115">
        <f t="shared" si="40"/>
        <v>674.63728921488268</v>
      </c>
      <c r="BB115">
        <f t="shared" si="40"/>
        <v>674.63728921488268</v>
      </c>
      <c r="BC115">
        <f t="shared" si="40"/>
        <v>674.63728921488268</v>
      </c>
      <c r="BD115">
        <f t="shared" si="40"/>
        <v>674.63728921488268</v>
      </c>
      <c r="BE115">
        <f t="shared" si="40"/>
        <v>674.63728921488268</v>
      </c>
      <c r="BF115">
        <f t="shared" si="40"/>
        <v>674.63728921488268</v>
      </c>
      <c r="BG115">
        <f t="shared" si="40"/>
        <v>674.63728921488268</v>
      </c>
      <c r="BH115">
        <f t="shared" si="40"/>
        <v>674.63728921488268</v>
      </c>
      <c r="BI115">
        <f t="shared" si="40"/>
        <v>674.63728921488268</v>
      </c>
      <c r="BJ115">
        <f t="shared" si="40"/>
        <v>674.63728921488268</v>
      </c>
      <c r="BK115">
        <f t="shared" si="40"/>
        <v>674.63728921488268</v>
      </c>
      <c r="BL115">
        <f t="shared" si="40"/>
        <v>674.63728921488268</v>
      </c>
      <c r="BM115">
        <f t="shared" si="40"/>
        <v>674.63728921488268</v>
      </c>
      <c r="BN115">
        <f t="shared" si="40"/>
        <v>674.63728921488268</v>
      </c>
      <c r="BO115">
        <f t="shared" si="40"/>
        <v>674.63728921488268</v>
      </c>
      <c r="BP115">
        <f t="shared" si="40"/>
        <v>674.63728921488268</v>
      </c>
      <c r="BQ115">
        <f t="shared" si="40"/>
        <v>674.63728921488268</v>
      </c>
      <c r="BR115">
        <f t="shared" si="40"/>
        <v>674.63728921488268</v>
      </c>
      <c r="BS115">
        <f t="shared" ref="BS115:CM118" si="41">IF($E115=0,0,SUMIF($B$79:$B$87,$D115,BS$79:BS$87)/$E115)</f>
        <v>674.63728921488268</v>
      </c>
      <c r="BT115">
        <f t="shared" si="41"/>
        <v>674.63728921488268</v>
      </c>
      <c r="BU115">
        <f t="shared" si="41"/>
        <v>674.63728921488268</v>
      </c>
      <c r="BV115">
        <f t="shared" si="41"/>
        <v>674.63728921488268</v>
      </c>
      <c r="BW115">
        <f t="shared" si="41"/>
        <v>674.63728921488268</v>
      </c>
      <c r="BX115">
        <f t="shared" si="41"/>
        <v>674.63728921488268</v>
      </c>
      <c r="BY115">
        <f t="shared" si="41"/>
        <v>674.63728921488268</v>
      </c>
      <c r="BZ115">
        <f t="shared" si="41"/>
        <v>674.63728921488268</v>
      </c>
      <c r="CA115">
        <f t="shared" si="41"/>
        <v>674.63728921488268</v>
      </c>
      <c r="CB115">
        <f t="shared" si="41"/>
        <v>674.63728921488268</v>
      </c>
      <c r="CC115">
        <f t="shared" si="41"/>
        <v>674.63728921488268</v>
      </c>
      <c r="CD115">
        <f t="shared" si="41"/>
        <v>674.63728921488268</v>
      </c>
      <c r="CE115">
        <f t="shared" si="41"/>
        <v>674.63728921488268</v>
      </c>
      <c r="CF115">
        <f t="shared" si="41"/>
        <v>674.63728921488268</v>
      </c>
      <c r="CG115">
        <f t="shared" si="41"/>
        <v>674.63728921488268</v>
      </c>
      <c r="CH115">
        <f t="shared" si="41"/>
        <v>674.63728921488268</v>
      </c>
      <c r="CI115">
        <f t="shared" si="41"/>
        <v>674.63728921488268</v>
      </c>
      <c r="CJ115">
        <f t="shared" si="41"/>
        <v>674.63728921488268</v>
      </c>
      <c r="CK115">
        <f t="shared" si="41"/>
        <v>674.63728921488268</v>
      </c>
      <c r="CL115">
        <f t="shared" si="41"/>
        <v>674.63728921488268</v>
      </c>
      <c r="CM115">
        <f t="shared" si="41"/>
        <v>674.63728921488268</v>
      </c>
    </row>
    <row r="116" spans="1:91">
      <c r="A116">
        <v>15</v>
      </c>
      <c r="B116" t="str">
        <f>'Tech Parameters'!B20</f>
        <v>PBMR</v>
      </c>
      <c r="C116" t="str">
        <f>'Tech Parameters'!C20</f>
        <v>Nuclear Pebble-Bed Modular Reactor</v>
      </c>
      <c r="D116" t="str">
        <f t="shared" si="31"/>
        <v>nuclear fuel PBMR</v>
      </c>
      <c r="E116" s="26">
        <f>'Tech Parameters'!G20</f>
        <v>1</v>
      </c>
      <c r="F116">
        <f t="shared" si="32"/>
        <v>10.799136069114471</v>
      </c>
      <c r="G116">
        <f t="shared" si="32"/>
        <v>12.598992080633549</v>
      </c>
      <c r="H116">
        <f t="shared" ref="H116:BS119" si="42">IF($E116=0,0,SUMIF($B$79:$B$87,$D116,H$79:H$87)/$E116)</f>
        <v>14.398848092152628</v>
      </c>
      <c r="I116">
        <f t="shared" si="42"/>
        <v>16.198704103671705</v>
      </c>
      <c r="J116">
        <f t="shared" si="42"/>
        <v>18.914071566873154</v>
      </c>
      <c r="K116">
        <f t="shared" si="42"/>
        <v>19.008641924707518</v>
      </c>
      <c r="L116">
        <f t="shared" si="42"/>
        <v>19.103685134331055</v>
      </c>
      <c r="M116">
        <f t="shared" si="42"/>
        <v>19.199203560002708</v>
      </c>
      <c r="N116">
        <f t="shared" si="42"/>
        <v>19.29519957780272</v>
      </c>
      <c r="O116">
        <f t="shared" si="42"/>
        <v>19.391675575691732</v>
      </c>
      <c r="P116">
        <f t="shared" si="42"/>
        <v>19.488633953570186</v>
      </c>
      <c r="Q116">
        <f t="shared" si="42"/>
        <v>19.586077123338036</v>
      </c>
      <c r="R116">
        <f t="shared" si="42"/>
        <v>19.684007508954725</v>
      </c>
      <c r="S116">
        <f t="shared" si="42"/>
        <v>19.782427546499495</v>
      </c>
      <c r="T116">
        <f t="shared" si="42"/>
        <v>19.881339684231992</v>
      </c>
      <c r="U116">
        <f t="shared" si="42"/>
        <v>19.980746382653148</v>
      </c>
      <c r="V116">
        <f t="shared" si="42"/>
        <v>20.080650114566414</v>
      </c>
      <c r="W116">
        <f t="shared" si="42"/>
        <v>20.181053365139242</v>
      </c>
      <c r="X116">
        <f t="shared" si="42"/>
        <v>20.281958631964933</v>
      </c>
      <c r="Y116">
        <f t="shared" si="42"/>
        <v>20.383368425124758</v>
      </c>
      <c r="Z116">
        <f t="shared" si="42"/>
        <v>20.485285267250379</v>
      </c>
      <c r="AA116">
        <f t="shared" si="42"/>
        <v>20.587711693586627</v>
      </c>
      <c r="AB116">
        <f t="shared" si="42"/>
        <v>20.690650252054557</v>
      </c>
      <c r="AC116">
        <f t="shared" si="42"/>
        <v>20.794103503314826</v>
      </c>
      <c r="AD116">
        <f t="shared" si="42"/>
        <v>20.898074020831402</v>
      </c>
      <c r="AE116">
        <f t="shared" si="42"/>
        <v>21.002564390935557</v>
      </c>
      <c r="AF116">
        <f t="shared" si="42"/>
        <v>21.002564390935557</v>
      </c>
      <c r="AG116">
        <f t="shared" si="42"/>
        <v>21.002564390935557</v>
      </c>
      <c r="AH116">
        <f t="shared" si="42"/>
        <v>21.002564390935557</v>
      </c>
      <c r="AI116">
        <f t="shared" si="42"/>
        <v>21.002564390935557</v>
      </c>
      <c r="AJ116">
        <f t="shared" si="42"/>
        <v>21.002564390935557</v>
      </c>
      <c r="AK116">
        <f t="shared" si="42"/>
        <v>21.002564390935557</v>
      </c>
      <c r="AL116">
        <f t="shared" si="42"/>
        <v>21.002564390935557</v>
      </c>
      <c r="AM116">
        <f t="shared" si="42"/>
        <v>21.002564390935557</v>
      </c>
      <c r="AN116">
        <f t="shared" si="42"/>
        <v>21.002564390935557</v>
      </c>
      <c r="AO116">
        <f t="shared" si="42"/>
        <v>21.002564390935557</v>
      </c>
      <c r="AP116">
        <f t="shared" si="42"/>
        <v>21.002564390935557</v>
      </c>
      <c r="AQ116">
        <f t="shared" si="42"/>
        <v>21.002564390935557</v>
      </c>
      <c r="AR116">
        <f t="shared" si="42"/>
        <v>21.002564390935557</v>
      </c>
      <c r="AS116">
        <f t="shared" si="42"/>
        <v>21.002564390935557</v>
      </c>
      <c r="AT116">
        <f t="shared" si="42"/>
        <v>21.002564390935557</v>
      </c>
      <c r="AU116">
        <f t="shared" si="42"/>
        <v>21.002564390935557</v>
      </c>
      <c r="AV116">
        <f t="shared" si="42"/>
        <v>21.002564390935557</v>
      </c>
      <c r="AW116">
        <f t="shared" si="42"/>
        <v>21.002564390935557</v>
      </c>
      <c r="AX116">
        <f t="shared" si="42"/>
        <v>21.002564390935557</v>
      </c>
      <c r="AY116">
        <f t="shared" si="42"/>
        <v>21.002564390935557</v>
      </c>
      <c r="AZ116">
        <f t="shared" si="42"/>
        <v>21.002564390935557</v>
      </c>
      <c r="BA116">
        <f t="shared" si="42"/>
        <v>21.002564390935557</v>
      </c>
      <c r="BB116">
        <f t="shared" si="42"/>
        <v>21.002564390935557</v>
      </c>
      <c r="BC116">
        <f t="shared" si="42"/>
        <v>21.002564390935557</v>
      </c>
      <c r="BD116">
        <f t="shared" si="42"/>
        <v>21.002564390935557</v>
      </c>
      <c r="BE116">
        <f t="shared" si="42"/>
        <v>21.002564390935557</v>
      </c>
      <c r="BF116">
        <f t="shared" si="42"/>
        <v>21.002564390935557</v>
      </c>
      <c r="BG116">
        <f t="shared" si="42"/>
        <v>21.002564390935557</v>
      </c>
      <c r="BH116">
        <f t="shared" si="42"/>
        <v>21.002564390935557</v>
      </c>
      <c r="BI116">
        <f t="shared" si="42"/>
        <v>21.002564390935557</v>
      </c>
      <c r="BJ116">
        <f t="shared" si="42"/>
        <v>21.002564390935557</v>
      </c>
      <c r="BK116">
        <f t="shared" si="42"/>
        <v>21.002564390935557</v>
      </c>
      <c r="BL116">
        <f t="shared" si="42"/>
        <v>21.002564390935557</v>
      </c>
      <c r="BM116">
        <f t="shared" si="42"/>
        <v>21.002564390935557</v>
      </c>
      <c r="BN116">
        <f t="shared" si="42"/>
        <v>21.002564390935557</v>
      </c>
      <c r="BO116">
        <f t="shared" si="42"/>
        <v>21.002564390935557</v>
      </c>
      <c r="BP116">
        <f t="shared" si="42"/>
        <v>21.002564390935557</v>
      </c>
      <c r="BQ116">
        <f t="shared" si="42"/>
        <v>21.002564390935557</v>
      </c>
      <c r="BR116">
        <f t="shared" si="42"/>
        <v>21.002564390935557</v>
      </c>
      <c r="BS116">
        <f t="shared" si="42"/>
        <v>21.002564390935557</v>
      </c>
      <c r="BT116">
        <f t="shared" si="41"/>
        <v>21.002564390935557</v>
      </c>
      <c r="BU116">
        <f t="shared" si="41"/>
        <v>21.002564390935557</v>
      </c>
      <c r="BV116">
        <f t="shared" si="41"/>
        <v>21.002564390935557</v>
      </c>
      <c r="BW116">
        <f t="shared" si="41"/>
        <v>21.002564390935557</v>
      </c>
      <c r="BX116">
        <f t="shared" si="41"/>
        <v>21.002564390935557</v>
      </c>
      <c r="BY116">
        <f t="shared" si="41"/>
        <v>21.002564390935557</v>
      </c>
      <c r="BZ116">
        <f t="shared" si="41"/>
        <v>21.002564390935557</v>
      </c>
      <c r="CA116">
        <f t="shared" si="41"/>
        <v>21.002564390935557</v>
      </c>
      <c r="CB116">
        <f t="shared" si="41"/>
        <v>21.002564390935557</v>
      </c>
      <c r="CC116">
        <f t="shared" si="41"/>
        <v>21.002564390935557</v>
      </c>
      <c r="CD116">
        <f t="shared" si="41"/>
        <v>21.002564390935557</v>
      </c>
      <c r="CE116">
        <f t="shared" si="41"/>
        <v>21.002564390935557</v>
      </c>
      <c r="CF116">
        <f t="shared" si="41"/>
        <v>21.002564390935557</v>
      </c>
      <c r="CG116">
        <f t="shared" si="41"/>
        <v>21.002564390935557</v>
      </c>
      <c r="CH116">
        <f t="shared" si="41"/>
        <v>21.002564390935557</v>
      </c>
      <c r="CI116">
        <f t="shared" si="41"/>
        <v>21.002564390935557</v>
      </c>
      <c r="CJ116">
        <f t="shared" si="41"/>
        <v>21.002564390935557</v>
      </c>
      <c r="CK116">
        <f t="shared" si="41"/>
        <v>21.002564390935557</v>
      </c>
      <c r="CL116">
        <f t="shared" si="41"/>
        <v>21.002564390935557</v>
      </c>
      <c r="CM116">
        <f t="shared" si="41"/>
        <v>21.002564390935557</v>
      </c>
    </row>
    <row r="117" spans="1:91">
      <c r="A117">
        <v>16</v>
      </c>
      <c r="B117" t="str">
        <f>'Tech Parameters'!B21</f>
        <v>IGCC</v>
      </c>
      <c r="C117" t="str">
        <f>'Tech Parameters'!C21</f>
        <v>Integrated Gasification Combined Cycle Coal</v>
      </c>
      <c r="D117" t="str">
        <f t="shared" si="31"/>
        <v>coal for new plants</v>
      </c>
      <c r="E117" s="26">
        <f>'Tech Parameters'!G21</f>
        <v>0.38931229605037271</v>
      </c>
      <c r="F117">
        <f t="shared" si="32"/>
        <v>46.84400175176318</v>
      </c>
      <c r="G117">
        <f t="shared" si="32"/>
        <v>53.778753221645587</v>
      </c>
      <c r="H117">
        <f t="shared" si="42"/>
        <v>60.713504691528001</v>
      </c>
      <c r="I117">
        <f t="shared" si="42"/>
        <v>67.947355354428794</v>
      </c>
      <c r="J117">
        <f t="shared" si="42"/>
        <v>67.947355354428794</v>
      </c>
      <c r="K117">
        <f t="shared" si="42"/>
        <v>68.335625956454109</v>
      </c>
      <c r="L117">
        <f t="shared" si="42"/>
        <v>68.72389655847941</v>
      </c>
      <c r="M117">
        <f t="shared" si="42"/>
        <v>69.112167160504725</v>
      </c>
      <c r="N117">
        <f t="shared" si="42"/>
        <v>69.500437762530026</v>
      </c>
      <c r="O117">
        <f t="shared" si="42"/>
        <v>69.888708364555328</v>
      </c>
      <c r="P117">
        <f t="shared" si="42"/>
        <v>70.276978966580643</v>
      </c>
      <c r="Q117">
        <f t="shared" si="42"/>
        <v>70.665249568605944</v>
      </c>
      <c r="R117">
        <f t="shared" si="42"/>
        <v>71.053520170631259</v>
      </c>
      <c r="S117">
        <f t="shared" si="42"/>
        <v>71.44179077265656</v>
      </c>
      <c r="T117">
        <f t="shared" si="42"/>
        <v>71.830061374681875</v>
      </c>
      <c r="U117">
        <f t="shared" si="42"/>
        <v>72.218331976707177</v>
      </c>
      <c r="V117">
        <f t="shared" si="42"/>
        <v>72.606602578732478</v>
      </c>
      <c r="W117">
        <f t="shared" si="42"/>
        <v>72.994873180757793</v>
      </c>
      <c r="X117">
        <f t="shared" si="42"/>
        <v>73.383143782783094</v>
      </c>
      <c r="Y117">
        <f t="shared" si="42"/>
        <v>73.771414384808409</v>
      </c>
      <c r="Z117">
        <f t="shared" si="42"/>
        <v>74.159684986833724</v>
      </c>
      <c r="AA117">
        <f t="shared" si="42"/>
        <v>74.547955588859026</v>
      </c>
      <c r="AB117">
        <f t="shared" si="42"/>
        <v>74.936226190884327</v>
      </c>
      <c r="AC117">
        <f t="shared" si="42"/>
        <v>75.324496792909628</v>
      </c>
      <c r="AD117">
        <f t="shared" si="42"/>
        <v>75.712767394934943</v>
      </c>
      <c r="AE117">
        <f t="shared" si="42"/>
        <v>76.101037996960258</v>
      </c>
      <c r="AF117">
        <f t="shared" si="42"/>
        <v>76.101037996960258</v>
      </c>
      <c r="AG117">
        <f t="shared" si="42"/>
        <v>76.101037996960258</v>
      </c>
      <c r="AH117">
        <f t="shared" si="42"/>
        <v>76.101037996960258</v>
      </c>
      <c r="AI117">
        <f t="shared" si="42"/>
        <v>76.101037996960258</v>
      </c>
      <c r="AJ117">
        <f t="shared" si="42"/>
        <v>76.101037996960258</v>
      </c>
      <c r="AK117">
        <f t="shared" si="42"/>
        <v>76.101037996960258</v>
      </c>
      <c r="AL117">
        <f t="shared" si="42"/>
        <v>76.101037996960258</v>
      </c>
      <c r="AM117">
        <f t="shared" si="42"/>
        <v>76.101037996960258</v>
      </c>
      <c r="AN117">
        <f t="shared" si="42"/>
        <v>76.101037996960258</v>
      </c>
      <c r="AO117">
        <f t="shared" si="42"/>
        <v>76.101037996960258</v>
      </c>
      <c r="AP117">
        <f t="shared" si="42"/>
        <v>76.101037996960258</v>
      </c>
      <c r="AQ117">
        <f t="shared" si="42"/>
        <v>76.101037996960258</v>
      </c>
      <c r="AR117">
        <f t="shared" si="42"/>
        <v>76.101037996960258</v>
      </c>
      <c r="AS117">
        <f t="shared" si="42"/>
        <v>76.101037996960258</v>
      </c>
      <c r="AT117">
        <f t="shared" si="42"/>
        <v>76.101037996960258</v>
      </c>
      <c r="AU117">
        <f t="shared" si="42"/>
        <v>76.101037996960258</v>
      </c>
      <c r="AV117">
        <f t="shared" si="42"/>
        <v>76.101037996960258</v>
      </c>
      <c r="AW117">
        <f t="shared" si="42"/>
        <v>76.101037996960258</v>
      </c>
      <c r="AX117">
        <f t="shared" si="42"/>
        <v>76.101037996960258</v>
      </c>
      <c r="AY117">
        <f t="shared" si="42"/>
        <v>76.101037996960258</v>
      </c>
      <c r="AZ117">
        <f t="shared" si="42"/>
        <v>76.101037996960258</v>
      </c>
      <c r="BA117">
        <f t="shared" si="42"/>
        <v>76.101037996960258</v>
      </c>
      <c r="BB117">
        <f t="shared" si="42"/>
        <v>76.101037996960258</v>
      </c>
      <c r="BC117">
        <f t="shared" si="42"/>
        <v>76.101037996960258</v>
      </c>
      <c r="BD117">
        <f t="shared" si="42"/>
        <v>76.101037996960258</v>
      </c>
      <c r="BE117">
        <f t="shared" si="42"/>
        <v>76.101037996960258</v>
      </c>
      <c r="BF117">
        <f t="shared" si="42"/>
        <v>76.101037996960258</v>
      </c>
      <c r="BG117">
        <f t="shared" si="42"/>
        <v>76.101037996960258</v>
      </c>
      <c r="BH117">
        <f t="shared" si="42"/>
        <v>76.101037996960258</v>
      </c>
      <c r="BI117">
        <f t="shared" si="42"/>
        <v>76.101037996960258</v>
      </c>
      <c r="BJ117">
        <f t="shared" si="42"/>
        <v>76.101037996960258</v>
      </c>
      <c r="BK117">
        <f t="shared" si="42"/>
        <v>76.101037996960258</v>
      </c>
      <c r="BL117">
        <f t="shared" si="42"/>
        <v>76.101037996960258</v>
      </c>
      <c r="BM117">
        <f t="shared" si="42"/>
        <v>76.101037996960258</v>
      </c>
      <c r="BN117">
        <f t="shared" si="42"/>
        <v>76.101037996960258</v>
      </c>
      <c r="BO117">
        <f t="shared" si="42"/>
        <v>76.101037996960258</v>
      </c>
      <c r="BP117">
        <f t="shared" si="42"/>
        <v>76.101037996960258</v>
      </c>
      <c r="BQ117">
        <f t="shared" si="42"/>
        <v>76.101037996960258</v>
      </c>
      <c r="BR117">
        <f t="shared" si="42"/>
        <v>76.101037996960258</v>
      </c>
      <c r="BS117">
        <f t="shared" si="42"/>
        <v>76.101037996960258</v>
      </c>
      <c r="BT117">
        <f t="shared" si="41"/>
        <v>76.101037996960258</v>
      </c>
      <c r="BU117">
        <f t="shared" si="41"/>
        <v>76.101037996960258</v>
      </c>
      <c r="BV117">
        <f t="shared" si="41"/>
        <v>76.101037996960258</v>
      </c>
      <c r="BW117">
        <f t="shared" si="41"/>
        <v>76.101037996960258</v>
      </c>
      <c r="BX117">
        <f t="shared" si="41"/>
        <v>76.101037996960258</v>
      </c>
      <c r="BY117">
        <f t="shared" si="41"/>
        <v>76.101037996960258</v>
      </c>
      <c r="BZ117">
        <f t="shared" si="41"/>
        <v>76.101037996960258</v>
      </c>
      <c r="CA117">
        <f t="shared" si="41"/>
        <v>76.101037996960258</v>
      </c>
      <c r="CB117">
        <f t="shared" si="41"/>
        <v>76.101037996960258</v>
      </c>
      <c r="CC117">
        <f t="shared" si="41"/>
        <v>76.101037996960258</v>
      </c>
      <c r="CD117">
        <f t="shared" si="41"/>
        <v>76.101037996960258</v>
      </c>
      <c r="CE117">
        <f t="shared" si="41"/>
        <v>76.101037996960258</v>
      </c>
      <c r="CF117">
        <f t="shared" si="41"/>
        <v>76.101037996960258</v>
      </c>
      <c r="CG117">
        <f t="shared" si="41"/>
        <v>76.101037996960258</v>
      </c>
      <c r="CH117">
        <f t="shared" si="41"/>
        <v>76.101037996960258</v>
      </c>
      <c r="CI117">
        <f t="shared" si="41"/>
        <v>76.101037996960258</v>
      </c>
      <c r="CJ117">
        <f t="shared" si="41"/>
        <v>76.101037996960258</v>
      </c>
      <c r="CK117">
        <f t="shared" si="41"/>
        <v>76.101037996960258</v>
      </c>
      <c r="CL117">
        <f t="shared" si="41"/>
        <v>76.101037996960258</v>
      </c>
      <c r="CM117">
        <f t="shared" si="41"/>
        <v>76.101037996960258</v>
      </c>
    </row>
    <row r="118" spans="1:91">
      <c r="A118">
        <v>17</v>
      </c>
      <c r="B118" t="str">
        <f>'Tech Parameters'!B22</f>
        <v>-</v>
      </c>
      <c r="C118" t="str">
        <f>'Tech Parameters'!C22</f>
        <v>not used</v>
      </c>
      <c r="D118">
        <f t="shared" si="31"/>
        <v>0</v>
      </c>
      <c r="E118" s="26">
        <f>'Tech Parameters'!G22</f>
        <v>0</v>
      </c>
      <c r="F118">
        <f t="shared" si="32"/>
        <v>0</v>
      </c>
      <c r="G118">
        <f t="shared" si="32"/>
        <v>0</v>
      </c>
      <c r="H118">
        <f t="shared" si="42"/>
        <v>0</v>
      </c>
      <c r="I118">
        <f t="shared" si="42"/>
        <v>0</v>
      </c>
      <c r="J118">
        <f t="shared" si="42"/>
        <v>0</v>
      </c>
      <c r="K118">
        <f t="shared" si="42"/>
        <v>0</v>
      </c>
      <c r="L118">
        <f t="shared" si="42"/>
        <v>0</v>
      </c>
      <c r="M118">
        <f t="shared" si="42"/>
        <v>0</v>
      </c>
      <c r="N118">
        <f t="shared" si="42"/>
        <v>0</v>
      </c>
      <c r="O118">
        <f t="shared" si="42"/>
        <v>0</v>
      </c>
      <c r="P118">
        <f t="shared" si="42"/>
        <v>0</v>
      </c>
      <c r="Q118">
        <f t="shared" si="42"/>
        <v>0</v>
      </c>
      <c r="R118">
        <f t="shared" si="42"/>
        <v>0</v>
      </c>
      <c r="S118">
        <f t="shared" si="42"/>
        <v>0</v>
      </c>
      <c r="T118">
        <f t="shared" si="42"/>
        <v>0</v>
      </c>
      <c r="U118">
        <f t="shared" si="42"/>
        <v>0</v>
      </c>
      <c r="V118">
        <f t="shared" si="42"/>
        <v>0</v>
      </c>
      <c r="W118">
        <f t="shared" si="42"/>
        <v>0</v>
      </c>
      <c r="X118">
        <f t="shared" si="42"/>
        <v>0</v>
      </c>
      <c r="Y118">
        <f t="shared" si="42"/>
        <v>0</v>
      </c>
      <c r="Z118">
        <f t="shared" si="42"/>
        <v>0</v>
      </c>
      <c r="AA118">
        <f t="shared" si="42"/>
        <v>0</v>
      </c>
      <c r="AB118">
        <f t="shared" si="42"/>
        <v>0</v>
      </c>
      <c r="AC118">
        <f t="shared" si="42"/>
        <v>0</v>
      </c>
      <c r="AD118">
        <f t="shared" si="42"/>
        <v>0</v>
      </c>
      <c r="AE118">
        <f t="shared" si="42"/>
        <v>0</v>
      </c>
      <c r="AF118">
        <f t="shared" si="42"/>
        <v>0</v>
      </c>
      <c r="AG118">
        <f t="shared" si="42"/>
        <v>0</v>
      </c>
      <c r="AH118">
        <f t="shared" si="42"/>
        <v>0</v>
      </c>
      <c r="AI118">
        <f t="shared" si="42"/>
        <v>0</v>
      </c>
      <c r="AJ118">
        <f t="shared" si="42"/>
        <v>0</v>
      </c>
      <c r="AK118">
        <f t="shared" si="42"/>
        <v>0</v>
      </c>
      <c r="AL118">
        <f t="shared" si="42"/>
        <v>0</v>
      </c>
      <c r="AM118">
        <f t="shared" si="42"/>
        <v>0</v>
      </c>
      <c r="AN118">
        <f t="shared" si="42"/>
        <v>0</v>
      </c>
      <c r="AO118">
        <f t="shared" si="42"/>
        <v>0</v>
      </c>
      <c r="AP118">
        <f t="shared" si="42"/>
        <v>0</v>
      </c>
      <c r="AQ118">
        <f t="shared" si="42"/>
        <v>0</v>
      </c>
      <c r="AR118">
        <f t="shared" si="42"/>
        <v>0</v>
      </c>
      <c r="AS118">
        <f t="shared" si="42"/>
        <v>0</v>
      </c>
      <c r="AT118">
        <f t="shared" si="42"/>
        <v>0</v>
      </c>
      <c r="AU118">
        <f t="shared" si="42"/>
        <v>0</v>
      </c>
      <c r="AV118">
        <f t="shared" si="42"/>
        <v>0</v>
      </c>
      <c r="AW118">
        <f t="shared" si="42"/>
        <v>0</v>
      </c>
      <c r="AX118">
        <f t="shared" si="42"/>
        <v>0</v>
      </c>
      <c r="AY118">
        <f t="shared" si="42"/>
        <v>0</v>
      </c>
      <c r="AZ118">
        <f t="shared" si="42"/>
        <v>0</v>
      </c>
      <c r="BA118">
        <f t="shared" si="42"/>
        <v>0</v>
      </c>
      <c r="BB118">
        <f t="shared" si="42"/>
        <v>0</v>
      </c>
      <c r="BC118">
        <f t="shared" si="42"/>
        <v>0</v>
      </c>
      <c r="BD118">
        <f t="shared" si="42"/>
        <v>0</v>
      </c>
      <c r="BE118">
        <f t="shared" si="42"/>
        <v>0</v>
      </c>
      <c r="BF118">
        <f t="shared" si="42"/>
        <v>0</v>
      </c>
      <c r="BG118">
        <f t="shared" si="42"/>
        <v>0</v>
      </c>
      <c r="BH118">
        <f t="shared" si="42"/>
        <v>0</v>
      </c>
      <c r="BI118">
        <f t="shared" si="42"/>
        <v>0</v>
      </c>
      <c r="BJ118">
        <f t="shared" si="42"/>
        <v>0</v>
      </c>
      <c r="BK118">
        <f t="shared" si="42"/>
        <v>0</v>
      </c>
      <c r="BL118">
        <f t="shared" si="42"/>
        <v>0</v>
      </c>
      <c r="BM118">
        <f t="shared" si="42"/>
        <v>0</v>
      </c>
      <c r="BN118">
        <f t="shared" si="42"/>
        <v>0</v>
      </c>
      <c r="BO118">
        <f t="shared" si="42"/>
        <v>0</v>
      </c>
      <c r="BP118">
        <f t="shared" si="42"/>
        <v>0</v>
      </c>
      <c r="BQ118">
        <f t="shared" si="42"/>
        <v>0</v>
      </c>
      <c r="BR118">
        <f t="shared" si="42"/>
        <v>0</v>
      </c>
      <c r="BS118">
        <f t="shared" si="42"/>
        <v>0</v>
      </c>
      <c r="BT118">
        <f t="shared" si="41"/>
        <v>0</v>
      </c>
      <c r="BU118">
        <f t="shared" si="41"/>
        <v>0</v>
      </c>
      <c r="BV118">
        <f t="shared" si="41"/>
        <v>0</v>
      </c>
      <c r="BW118">
        <f t="shared" si="41"/>
        <v>0</v>
      </c>
      <c r="BX118">
        <f t="shared" si="41"/>
        <v>0</v>
      </c>
      <c r="BY118">
        <f t="shared" si="41"/>
        <v>0</v>
      </c>
      <c r="BZ118">
        <f t="shared" si="41"/>
        <v>0</v>
      </c>
      <c r="CA118">
        <f t="shared" si="41"/>
        <v>0</v>
      </c>
      <c r="CB118">
        <f t="shared" si="41"/>
        <v>0</v>
      </c>
      <c r="CC118">
        <f t="shared" si="41"/>
        <v>0</v>
      </c>
      <c r="CD118">
        <f t="shared" si="41"/>
        <v>0</v>
      </c>
      <c r="CE118">
        <f t="shared" si="41"/>
        <v>0</v>
      </c>
      <c r="CF118">
        <f t="shared" si="41"/>
        <v>0</v>
      </c>
      <c r="CG118">
        <f t="shared" si="41"/>
        <v>0</v>
      </c>
      <c r="CH118">
        <f t="shared" si="41"/>
        <v>0</v>
      </c>
      <c r="CI118">
        <f t="shared" si="41"/>
        <v>0</v>
      </c>
      <c r="CJ118">
        <f t="shared" si="41"/>
        <v>0</v>
      </c>
      <c r="CK118">
        <f t="shared" si="41"/>
        <v>0</v>
      </c>
      <c r="CL118">
        <f t="shared" si="41"/>
        <v>0</v>
      </c>
      <c r="CM118">
        <f t="shared" si="41"/>
        <v>0</v>
      </c>
    </row>
    <row r="119" spans="1:91">
      <c r="A119">
        <v>18</v>
      </c>
      <c r="B119" t="str">
        <f>'Tech Parameters'!B23</f>
        <v>-</v>
      </c>
      <c r="C119" t="str">
        <f>'Tech Parameters'!C23</f>
        <v>not used</v>
      </c>
      <c r="D119">
        <f t="shared" si="31"/>
        <v>0</v>
      </c>
      <c r="E119" s="26">
        <f>'Tech Parameters'!G23</f>
        <v>0</v>
      </c>
      <c r="F119">
        <f t="shared" si="32"/>
        <v>0</v>
      </c>
      <c r="G119">
        <f t="shared" si="32"/>
        <v>0</v>
      </c>
      <c r="H119">
        <f t="shared" si="42"/>
        <v>0</v>
      </c>
      <c r="I119">
        <f t="shared" si="42"/>
        <v>0</v>
      </c>
      <c r="J119">
        <f t="shared" si="42"/>
        <v>0</v>
      </c>
      <c r="K119">
        <f t="shared" si="42"/>
        <v>0</v>
      </c>
      <c r="L119">
        <f t="shared" si="42"/>
        <v>0</v>
      </c>
      <c r="M119">
        <f t="shared" si="42"/>
        <v>0</v>
      </c>
      <c r="N119">
        <f t="shared" si="42"/>
        <v>0</v>
      </c>
      <c r="O119">
        <f t="shared" si="42"/>
        <v>0</v>
      </c>
      <c r="P119">
        <f t="shared" si="42"/>
        <v>0</v>
      </c>
      <c r="Q119">
        <f t="shared" si="42"/>
        <v>0</v>
      </c>
      <c r="R119">
        <f t="shared" si="42"/>
        <v>0</v>
      </c>
      <c r="S119">
        <f t="shared" si="42"/>
        <v>0</v>
      </c>
      <c r="T119">
        <f t="shared" si="42"/>
        <v>0</v>
      </c>
      <c r="U119">
        <f t="shared" si="42"/>
        <v>0</v>
      </c>
      <c r="V119">
        <f t="shared" si="42"/>
        <v>0</v>
      </c>
      <c r="W119">
        <f t="shared" si="42"/>
        <v>0</v>
      </c>
      <c r="X119">
        <f t="shared" si="42"/>
        <v>0</v>
      </c>
      <c r="Y119">
        <f t="shared" si="42"/>
        <v>0</v>
      </c>
      <c r="Z119">
        <f t="shared" si="42"/>
        <v>0</v>
      </c>
      <c r="AA119">
        <f t="shared" si="42"/>
        <v>0</v>
      </c>
      <c r="AB119">
        <f t="shared" si="42"/>
        <v>0</v>
      </c>
      <c r="AC119">
        <f t="shared" si="42"/>
        <v>0</v>
      </c>
      <c r="AD119">
        <f t="shared" si="42"/>
        <v>0</v>
      </c>
      <c r="AE119">
        <f t="shared" si="42"/>
        <v>0</v>
      </c>
      <c r="AF119">
        <f t="shared" si="42"/>
        <v>0</v>
      </c>
      <c r="AG119">
        <f t="shared" si="42"/>
        <v>0</v>
      </c>
      <c r="AH119">
        <f t="shared" si="42"/>
        <v>0</v>
      </c>
      <c r="AI119">
        <f t="shared" si="42"/>
        <v>0</v>
      </c>
      <c r="AJ119">
        <f t="shared" si="42"/>
        <v>0</v>
      </c>
      <c r="AK119">
        <f t="shared" si="42"/>
        <v>0</v>
      </c>
      <c r="AL119">
        <f t="shared" si="42"/>
        <v>0</v>
      </c>
      <c r="AM119">
        <f t="shared" si="42"/>
        <v>0</v>
      </c>
      <c r="AN119">
        <f t="shared" si="42"/>
        <v>0</v>
      </c>
      <c r="AO119">
        <f t="shared" si="42"/>
        <v>0</v>
      </c>
      <c r="AP119">
        <f t="shared" si="42"/>
        <v>0</v>
      </c>
      <c r="AQ119">
        <f t="shared" si="42"/>
        <v>0</v>
      </c>
      <c r="AR119">
        <f t="shared" si="42"/>
        <v>0</v>
      </c>
      <c r="AS119">
        <f t="shared" si="42"/>
        <v>0</v>
      </c>
      <c r="AT119">
        <f t="shared" si="42"/>
        <v>0</v>
      </c>
      <c r="AU119">
        <f t="shared" si="42"/>
        <v>0</v>
      </c>
      <c r="AV119">
        <f t="shared" si="42"/>
        <v>0</v>
      </c>
      <c r="AW119">
        <f t="shared" si="42"/>
        <v>0</v>
      </c>
      <c r="AX119">
        <f t="shared" si="42"/>
        <v>0</v>
      </c>
      <c r="AY119">
        <f t="shared" si="42"/>
        <v>0</v>
      </c>
      <c r="AZ119">
        <f t="shared" si="42"/>
        <v>0</v>
      </c>
      <c r="BA119">
        <f t="shared" si="42"/>
        <v>0</v>
      </c>
      <c r="BB119">
        <f t="shared" si="42"/>
        <v>0</v>
      </c>
      <c r="BC119">
        <f t="shared" si="42"/>
        <v>0</v>
      </c>
      <c r="BD119">
        <f t="shared" si="42"/>
        <v>0</v>
      </c>
      <c r="BE119">
        <f t="shared" si="42"/>
        <v>0</v>
      </c>
      <c r="BF119">
        <f t="shared" si="42"/>
        <v>0</v>
      </c>
      <c r="BG119">
        <f t="shared" si="42"/>
        <v>0</v>
      </c>
      <c r="BH119">
        <f t="shared" si="42"/>
        <v>0</v>
      </c>
      <c r="BI119">
        <f t="shared" si="42"/>
        <v>0</v>
      </c>
      <c r="BJ119">
        <f t="shared" si="42"/>
        <v>0</v>
      </c>
      <c r="BK119">
        <f t="shared" si="42"/>
        <v>0</v>
      </c>
      <c r="BL119">
        <f t="shared" si="42"/>
        <v>0</v>
      </c>
      <c r="BM119">
        <f t="shared" si="42"/>
        <v>0</v>
      </c>
      <c r="BN119">
        <f t="shared" si="42"/>
        <v>0</v>
      </c>
      <c r="BO119">
        <f t="shared" si="42"/>
        <v>0</v>
      </c>
      <c r="BP119">
        <f t="shared" si="42"/>
        <v>0</v>
      </c>
      <c r="BQ119">
        <f t="shared" si="42"/>
        <v>0</v>
      </c>
      <c r="BR119">
        <f t="shared" si="42"/>
        <v>0</v>
      </c>
      <c r="BS119">
        <f t="shared" ref="BS119:CM121" si="43">IF($E119=0,0,SUMIF($B$79:$B$87,$D119,BS$79:BS$87)/$E119)</f>
        <v>0</v>
      </c>
      <c r="BT119">
        <f t="shared" si="43"/>
        <v>0</v>
      </c>
      <c r="BU119">
        <f t="shared" si="43"/>
        <v>0</v>
      </c>
      <c r="BV119">
        <f t="shared" si="43"/>
        <v>0</v>
      </c>
      <c r="BW119">
        <f t="shared" si="43"/>
        <v>0</v>
      </c>
      <c r="BX119">
        <f t="shared" si="43"/>
        <v>0</v>
      </c>
      <c r="BY119">
        <f t="shared" si="43"/>
        <v>0</v>
      </c>
      <c r="BZ119">
        <f t="shared" si="43"/>
        <v>0</v>
      </c>
      <c r="CA119">
        <f t="shared" si="43"/>
        <v>0</v>
      </c>
      <c r="CB119">
        <f t="shared" si="43"/>
        <v>0</v>
      </c>
      <c r="CC119">
        <f t="shared" si="43"/>
        <v>0</v>
      </c>
      <c r="CD119">
        <f t="shared" si="43"/>
        <v>0</v>
      </c>
      <c r="CE119">
        <f t="shared" si="43"/>
        <v>0</v>
      </c>
      <c r="CF119">
        <f t="shared" si="43"/>
        <v>0</v>
      </c>
      <c r="CG119">
        <f t="shared" si="43"/>
        <v>0</v>
      </c>
      <c r="CH119">
        <f t="shared" si="43"/>
        <v>0</v>
      </c>
      <c r="CI119">
        <f t="shared" si="43"/>
        <v>0</v>
      </c>
      <c r="CJ119">
        <f t="shared" si="43"/>
        <v>0</v>
      </c>
      <c r="CK119">
        <f t="shared" si="43"/>
        <v>0</v>
      </c>
      <c r="CL119">
        <f t="shared" si="43"/>
        <v>0</v>
      </c>
      <c r="CM119">
        <f t="shared" si="43"/>
        <v>0</v>
      </c>
    </row>
    <row r="120" spans="1:91">
      <c r="A120">
        <v>19</v>
      </c>
      <c r="B120" t="str">
        <f>'Tech Parameters'!B24</f>
        <v>-</v>
      </c>
      <c r="C120" t="str">
        <f>'Tech Parameters'!C24</f>
        <v>not used</v>
      </c>
      <c r="D120">
        <f t="shared" si="31"/>
        <v>0</v>
      </c>
      <c r="E120" s="26">
        <f>'Tech Parameters'!G24</f>
        <v>0</v>
      </c>
      <c r="F120">
        <f t="shared" si="32"/>
        <v>0</v>
      </c>
      <c r="G120">
        <f t="shared" si="32"/>
        <v>0</v>
      </c>
      <c r="H120">
        <f t="shared" ref="H120:BS121" si="44">IF($E120=0,0,SUMIF($B$79:$B$87,$D120,H$79:H$87)/$E120)</f>
        <v>0</v>
      </c>
      <c r="I120">
        <f t="shared" si="44"/>
        <v>0</v>
      </c>
      <c r="J120">
        <f t="shared" si="44"/>
        <v>0</v>
      </c>
      <c r="K120">
        <f t="shared" si="44"/>
        <v>0</v>
      </c>
      <c r="L120">
        <f t="shared" si="44"/>
        <v>0</v>
      </c>
      <c r="M120">
        <f t="shared" si="44"/>
        <v>0</v>
      </c>
      <c r="N120">
        <f t="shared" si="44"/>
        <v>0</v>
      </c>
      <c r="O120">
        <f t="shared" si="44"/>
        <v>0</v>
      </c>
      <c r="P120">
        <f t="shared" si="44"/>
        <v>0</v>
      </c>
      <c r="Q120">
        <f t="shared" si="44"/>
        <v>0</v>
      </c>
      <c r="R120">
        <f t="shared" si="44"/>
        <v>0</v>
      </c>
      <c r="S120">
        <f t="shared" si="44"/>
        <v>0</v>
      </c>
      <c r="T120">
        <f t="shared" si="44"/>
        <v>0</v>
      </c>
      <c r="U120">
        <f t="shared" si="44"/>
        <v>0</v>
      </c>
      <c r="V120">
        <f t="shared" si="44"/>
        <v>0</v>
      </c>
      <c r="W120">
        <f t="shared" si="44"/>
        <v>0</v>
      </c>
      <c r="X120">
        <f t="shared" si="44"/>
        <v>0</v>
      </c>
      <c r="Y120">
        <f t="shared" si="44"/>
        <v>0</v>
      </c>
      <c r="Z120">
        <f t="shared" si="44"/>
        <v>0</v>
      </c>
      <c r="AA120">
        <f t="shared" si="44"/>
        <v>0</v>
      </c>
      <c r="AB120">
        <f t="shared" si="44"/>
        <v>0</v>
      </c>
      <c r="AC120">
        <f t="shared" si="44"/>
        <v>0</v>
      </c>
      <c r="AD120">
        <f t="shared" si="44"/>
        <v>0</v>
      </c>
      <c r="AE120">
        <f t="shared" si="44"/>
        <v>0</v>
      </c>
      <c r="AF120">
        <f t="shared" si="44"/>
        <v>0</v>
      </c>
      <c r="AG120">
        <f t="shared" si="44"/>
        <v>0</v>
      </c>
      <c r="AH120">
        <f t="shared" si="44"/>
        <v>0</v>
      </c>
      <c r="AI120">
        <f t="shared" si="44"/>
        <v>0</v>
      </c>
      <c r="AJ120">
        <f t="shared" si="44"/>
        <v>0</v>
      </c>
      <c r="AK120">
        <f t="shared" si="44"/>
        <v>0</v>
      </c>
      <c r="AL120">
        <f t="shared" si="44"/>
        <v>0</v>
      </c>
      <c r="AM120">
        <f t="shared" si="44"/>
        <v>0</v>
      </c>
      <c r="AN120">
        <f t="shared" si="44"/>
        <v>0</v>
      </c>
      <c r="AO120">
        <f t="shared" si="44"/>
        <v>0</v>
      </c>
      <c r="AP120">
        <f t="shared" si="44"/>
        <v>0</v>
      </c>
      <c r="AQ120">
        <f t="shared" si="44"/>
        <v>0</v>
      </c>
      <c r="AR120">
        <f t="shared" si="44"/>
        <v>0</v>
      </c>
      <c r="AS120">
        <f t="shared" si="44"/>
        <v>0</v>
      </c>
      <c r="AT120">
        <f t="shared" si="44"/>
        <v>0</v>
      </c>
      <c r="AU120">
        <f t="shared" si="44"/>
        <v>0</v>
      </c>
      <c r="AV120">
        <f t="shared" si="44"/>
        <v>0</v>
      </c>
      <c r="AW120">
        <f t="shared" si="44"/>
        <v>0</v>
      </c>
      <c r="AX120">
        <f t="shared" si="44"/>
        <v>0</v>
      </c>
      <c r="AY120">
        <f t="shared" si="44"/>
        <v>0</v>
      </c>
      <c r="AZ120">
        <f t="shared" si="44"/>
        <v>0</v>
      </c>
      <c r="BA120">
        <f t="shared" si="44"/>
        <v>0</v>
      </c>
      <c r="BB120">
        <f t="shared" si="44"/>
        <v>0</v>
      </c>
      <c r="BC120">
        <f t="shared" si="44"/>
        <v>0</v>
      </c>
      <c r="BD120">
        <f t="shared" si="44"/>
        <v>0</v>
      </c>
      <c r="BE120">
        <f t="shared" si="44"/>
        <v>0</v>
      </c>
      <c r="BF120">
        <f t="shared" si="44"/>
        <v>0</v>
      </c>
      <c r="BG120">
        <f t="shared" si="44"/>
        <v>0</v>
      </c>
      <c r="BH120">
        <f t="shared" si="44"/>
        <v>0</v>
      </c>
      <c r="BI120">
        <f t="shared" si="44"/>
        <v>0</v>
      </c>
      <c r="BJ120">
        <f t="shared" si="44"/>
        <v>0</v>
      </c>
      <c r="BK120">
        <f t="shared" si="44"/>
        <v>0</v>
      </c>
      <c r="BL120">
        <f t="shared" si="44"/>
        <v>0</v>
      </c>
      <c r="BM120">
        <f t="shared" si="44"/>
        <v>0</v>
      </c>
      <c r="BN120">
        <f t="shared" si="44"/>
        <v>0</v>
      </c>
      <c r="BO120">
        <f t="shared" si="44"/>
        <v>0</v>
      </c>
      <c r="BP120">
        <f t="shared" si="44"/>
        <v>0</v>
      </c>
      <c r="BQ120">
        <f t="shared" si="44"/>
        <v>0</v>
      </c>
      <c r="BR120">
        <f t="shared" si="44"/>
        <v>0</v>
      </c>
      <c r="BS120">
        <f t="shared" si="44"/>
        <v>0</v>
      </c>
      <c r="BT120">
        <f t="shared" si="43"/>
        <v>0</v>
      </c>
      <c r="BU120">
        <f t="shared" si="43"/>
        <v>0</v>
      </c>
      <c r="BV120">
        <f t="shared" si="43"/>
        <v>0</v>
      </c>
      <c r="BW120">
        <f t="shared" si="43"/>
        <v>0</v>
      </c>
      <c r="BX120">
        <f t="shared" si="43"/>
        <v>0</v>
      </c>
      <c r="BY120">
        <f t="shared" si="43"/>
        <v>0</v>
      </c>
      <c r="BZ120">
        <f t="shared" si="43"/>
        <v>0</v>
      </c>
      <c r="CA120">
        <f t="shared" si="43"/>
        <v>0</v>
      </c>
      <c r="CB120">
        <f t="shared" si="43"/>
        <v>0</v>
      </c>
      <c r="CC120">
        <f t="shared" si="43"/>
        <v>0</v>
      </c>
      <c r="CD120">
        <f t="shared" si="43"/>
        <v>0</v>
      </c>
      <c r="CE120">
        <f t="shared" si="43"/>
        <v>0</v>
      </c>
      <c r="CF120">
        <f t="shared" si="43"/>
        <v>0</v>
      </c>
      <c r="CG120">
        <f t="shared" si="43"/>
        <v>0</v>
      </c>
      <c r="CH120">
        <f t="shared" si="43"/>
        <v>0</v>
      </c>
      <c r="CI120">
        <f t="shared" si="43"/>
        <v>0</v>
      </c>
      <c r="CJ120">
        <f t="shared" si="43"/>
        <v>0</v>
      </c>
      <c r="CK120">
        <f t="shared" si="43"/>
        <v>0</v>
      </c>
      <c r="CL120">
        <f t="shared" si="43"/>
        <v>0</v>
      </c>
      <c r="CM120">
        <f t="shared" si="43"/>
        <v>0</v>
      </c>
    </row>
    <row r="121" spans="1:91">
      <c r="A121">
        <v>20</v>
      </c>
      <c r="B121" t="str">
        <f>'Tech Parameters'!B25</f>
        <v>Pumped storage</v>
      </c>
      <c r="C121" t="str">
        <f>'Tech Parameters'!C25</f>
        <v>Pumped Storage</v>
      </c>
      <c r="D121">
        <f t="shared" si="31"/>
        <v>0</v>
      </c>
      <c r="E121" s="26">
        <f>'Tech Parameters'!G25</f>
        <v>0.72998000000000007</v>
      </c>
      <c r="F121">
        <f t="shared" si="32"/>
        <v>0</v>
      </c>
      <c r="G121">
        <f t="shared" si="32"/>
        <v>0</v>
      </c>
      <c r="H121">
        <f t="shared" si="44"/>
        <v>0</v>
      </c>
      <c r="I121">
        <f t="shared" si="44"/>
        <v>0</v>
      </c>
      <c r="J121">
        <f t="shared" si="44"/>
        <v>0</v>
      </c>
      <c r="K121">
        <f t="shared" si="44"/>
        <v>0</v>
      </c>
      <c r="L121">
        <f t="shared" si="44"/>
        <v>0</v>
      </c>
      <c r="M121">
        <f t="shared" si="44"/>
        <v>0</v>
      </c>
      <c r="N121">
        <f t="shared" si="44"/>
        <v>0</v>
      </c>
      <c r="O121">
        <f t="shared" si="44"/>
        <v>0</v>
      </c>
      <c r="P121">
        <f t="shared" si="44"/>
        <v>0</v>
      </c>
      <c r="Q121">
        <f t="shared" si="44"/>
        <v>0</v>
      </c>
      <c r="R121">
        <f t="shared" si="44"/>
        <v>0</v>
      </c>
      <c r="S121">
        <f t="shared" si="44"/>
        <v>0</v>
      </c>
      <c r="T121">
        <f t="shared" si="44"/>
        <v>0</v>
      </c>
      <c r="U121">
        <f t="shared" si="44"/>
        <v>0</v>
      </c>
      <c r="V121">
        <f t="shared" si="44"/>
        <v>0</v>
      </c>
      <c r="W121">
        <f t="shared" si="44"/>
        <v>0</v>
      </c>
      <c r="X121">
        <f t="shared" si="44"/>
        <v>0</v>
      </c>
      <c r="Y121">
        <f t="shared" si="44"/>
        <v>0</v>
      </c>
      <c r="Z121">
        <f t="shared" si="44"/>
        <v>0</v>
      </c>
      <c r="AA121">
        <f t="shared" si="44"/>
        <v>0</v>
      </c>
      <c r="AB121">
        <f t="shared" si="44"/>
        <v>0</v>
      </c>
      <c r="AC121">
        <f t="shared" si="44"/>
        <v>0</v>
      </c>
      <c r="AD121">
        <f t="shared" si="44"/>
        <v>0</v>
      </c>
      <c r="AE121">
        <f t="shared" si="44"/>
        <v>0</v>
      </c>
      <c r="AF121">
        <f t="shared" si="44"/>
        <v>0</v>
      </c>
      <c r="AG121">
        <f t="shared" si="44"/>
        <v>0</v>
      </c>
      <c r="AH121">
        <f t="shared" si="44"/>
        <v>0</v>
      </c>
      <c r="AI121">
        <f t="shared" si="44"/>
        <v>0</v>
      </c>
      <c r="AJ121">
        <f t="shared" si="44"/>
        <v>0</v>
      </c>
      <c r="AK121">
        <f t="shared" si="44"/>
        <v>0</v>
      </c>
      <c r="AL121">
        <f t="shared" si="44"/>
        <v>0</v>
      </c>
      <c r="AM121">
        <f t="shared" si="44"/>
        <v>0</v>
      </c>
      <c r="AN121">
        <f t="shared" si="44"/>
        <v>0</v>
      </c>
      <c r="AO121">
        <f t="shared" si="44"/>
        <v>0</v>
      </c>
      <c r="AP121">
        <f t="shared" si="44"/>
        <v>0</v>
      </c>
      <c r="AQ121">
        <f t="shared" si="44"/>
        <v>0</v>
      </c>
      <c r="AR121">
        <f t="shared" si="44"/>
        <v>0</v>
      </c>
      <c r="AS121">
        <f t="shared" si="44"/>
        <v>0</v>
      </c>
      <c r="AT121">
        <f t="shared" si="44"/>
        <v>0</v>
      </c>
      <c r="AU121">
        <f t="shared" si="44"/>
        <v>0</v>
      </c>
      <c r="AV121">
        <f t="shared" si="44"/>
        <v>0</v>
      </c>
      <c r="AW121">
        <f t="shared" si="44"/>
        <v>0</v>
      </c>
      <c r="AX121">
        <f t="shared" si="44"/>
        <v>0</v>
      </c>
      <c r="AY121">
        <f t="shared" si="44"/>
        <v>0</v>
      </c>
      <c r="AZ121">
        <f t="shared" si="44"/>
        <v>0</v>
      </c>
      <c r="BA121">
        <f t="shared" si="44"/>
        <v>0</v>
      </c>
      <c r="BB121">
        <f t="shared" si="44"/>
        <v>0</v>
      </c>
      <c r="BC121">
        <f t="shared" si="44"/>
        <v>0</v>
      </c>
      <c r="BD121">
        <f t="shared" si="44"/>
        <v>0</v>
      </c>
      <c r="BE121">
        <f t="shared" si="44"/>
        <v>0</v>
      </c>
      <c r="BF121">
        <f t="shared" si="44"/>
        <v>0</v>
      </c>
      <c r="BG121">
        <f t="shared" si="44"/>
        <v>0</v>
      </c>
      <c r="BH121">
        <f t="shared" si="44"/>
        <v>0</v>
      </c>
      <c r="BI121">
        <f t="shared" si="44"/>
        <v>0</v>
      </c>
      <c r="BJ121">
        <f t="shared" si="44"/>
        <v>0</v>
      </c>
      <c r="BK121">
        <f t="shared" si="44"/>
        <v>0</v>
      </c>
      <c r="BL121">
        <f t="shared" si="44"/>
        <v>0</v>
      </c>
      <c r="BM121">
        <f t="shared" si="44"/>
        <v>0</v>
      </c>
      <c r="BN121">
        <f t="shared" si="44"/>
        <v>0</v>
      </c>
      <c r="BO121">
        <f t="shared" si="44"/>
        <v>0</v>
      </c>
      <c r="BP121">
        <f t="shared" si="44"/>
        <v>0</v>
      </c>
      <c r="BQ121">
        <f t="shared" si="44"/>
        <v>0</v>
      </c>
      <c r="BR121">
        <f t="shared" si="44"/>
        <v>0</v>
      </c>
      <c r="BS121">
        <f t="shared" si="44"/>
        <v>0</v>
      </c>
      <c r="BT121">
        <f t="shared" si="43"/>
        <v>0</v>
      </c>
      <c r="BU121">
        <f t="shared" si="43"/>
        <v>0</v>
      </c>
      <c r="BV121">
        <f t="shared" si="43"/>
        <v>0</v>
      </c>
      <c r="BW121">
        <f t="shared" si="43"/>
        <v>0</v>
      </c>
      <c r="BX121">
        <f t="shared" si="43"/>
        <v>0</v>
      </c>
      <c r="BY121">
        <f t="shared" si="43"/>
        <v>0</v>
      </c>
      <c r="BZ121">
        <f t="shared" si="43"/>
        <v>0</v>
      </c>
      <c r="CA121">
        <f t="shared" si="43"/>
        <v>0</v>
      </c>
      <c r="CB121">
        <f t="shared" si="43"/>
        <v>0</v>
      </c>
      <c r="CC121">
        <f t="shared" si="43"/>
        <v>0</v>
      </c>
      <c r="CD121">
        <f t="shared" si="43"/>
        <v>0</v>
      </c>
      <c r="CE121">
        <f t="shared" si="43"/>
        <v>0</v>
      </c>
      <c r="CF121">
        <f t="shared" si="43"/>
        <v>0</v>
      </c>
      <c r="CG121">
        <f t="shared" si="43"/>
        <v>0</v>
      </c>
      <c r="CH121">
        <f t="shared" si="43"/>
        <v>0</v>
      </c>
      <c r="CI121">
        <f t="shared" si="43"/>
        <v>0</v>
      </c>
      <c r="CJ121">
        <f t="shared" si="43"/>
        <v>0</v>
      </c>
      <c r="CK121">
        <f t="shared" si="43"/>
        <v>0</v>
      </c>
      <c r="CL121">
        <f t="shared" si="43"/>
        <v>0</v>
      </c>
      <c r="CM121">
        <f t="shared" si="43"/>
        <v>0</v>
      </c>
    </row>
    <row r="123" spans="1:91">
      <c r="B123" s="44" t="s">
        <v>124</v>
      </c>
    </row>
    <row r="124" spans="1:91">
      <c r="B124" s="11" t="str">
        <f>B100</f>
        <v>Plant Description</v>
      </c>
      <c r="C124" s="11" t="str">
        <f>C100</f>
        <v>Technology Type</v>
      </c>
      <c r="D124" s="11" t="str">
        <f>D100</f>
        <v>Fuel type</v>
      </c>
      <c r="E124" s="11" t="s">
        <v>123</v>
      </c>
      <c r="F124" s="4">
        <v>2005</v>
      </c>
      <c r="G124" s="4">
        <v>2006</v>
      </c>
      <c r="H124" s="4">
        <v>2007</v>
      </c>
      <c r="I124" s="4">
        <v>2008</v>
      </c>
      <c r="J124" s="4">
        <v>2009</v>
      </c>
      <c r="K124" s="4">
        <v>2010</v>
      </c>
      <c r="L124" s="4">
        <v>2011</v>
      </c>
      <c r="M124" s="4">
        <v>2012</v>
      </c>
      <c r="N124" s="4">
        <v>2013</v>
      </c>
      <c r="O124" s="4">
        <v>2014</v>
      </c>
      <c r="P124" s="4">
        <v>2015</v>
      </c>
      <c r="Q124" s="4">
        <v>2016</v>
      </c>
      <c r="R124" s="4">
        <v>2017</v>
      </c>
      <c r="S124" s="4">
        <v>2018</v>
      </c>
      <c r="T124" s="4">
        <v>2019</v>
      </c>
      <c r="U124" s="4">
        <v>2020</v>
      </c>
      <c r="V124" s="4">
        <v>2021</v>
      </c>
      <c r="W124" s="4">
        <v>2022</v>
      </c>
      <c r="X124" s="4">
        <v>2023</v>
      </c>
      <c r="Y124" s="4">
        <v>2024</v>
      </c>
      <c r="Z124" s="4">
        <v>2025</v>
      </c>
      <c r="AA124" s="4">
        <v>2026</v>
      </c>
      <c r="AB124" s="4">
        <v>2027</v>
      </c>
      <c r="AC124" s="4">
        <v>2028</v>
      </c>
      <c r="AD124" s="4">
        <v>2029</v>
      </c>
      <c r="AE124" s="4">
        <v>2030</v>
      </c>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row>
    <row r="126" spans="1:91">
      <c r="A126">
        <v>1</v>
      </c>
      <c r="B126" s="11" t="str">
        <f t="shared" ref="B126:D145" si="45">B102</f>
        <v>Existing coal Large</v>
      </c>
      <c r="C126" s="11" t="str">
        <f t="shared" si="45"/>
        <v>Existing coal large</v>
      </c>
      <c r="D126" s="11" t="str">
        <f t="shared" si="45"/>
        <v>coal for existing plants</v>
      </c>
      <c r="E126">
        <f>'Tech Parameters'!I6</f>
        <v>50</v>
      </c>
      <c r="F126" s="33">
        <f t="shared" ref="F126:AE126" ca="1" si="46">IF($E126=0,0,-PMT(discount_rate,$E126,NPV(discount_rate,OFFSET(F102,0,0,1,$E126))))</f>
        <v>59.390221808463174</v>
      </c>
      <c r="G126" s="33">
        <f t="shared" ca="1" si="46"/>
        <v>61.211478425623135</v>
      </c>
      <c r="H126" s="33">
        <f t="shared" ca="1" si="46"/>
        <v>62.434770012736983</v>
      </c>
      <c r="I126" s="33">
        <f t="shared" ca="1" si="46"/>
        <v>63.000300066800065</v>
      </c>
      <c r="J126" s="33">
        <f t="shared" ca="1" si="46"/>
        <v>63.273675516743424</v>
      </c>
      <c r="K126" s="33">
        <f t="shared" ca="1" si="46"/>
        <v>63.574388511681107</v>
      </c>
      <c r="L126" s="33">
        <f t="shared" ca="1" si="46"/>
        <v>63.870403049565446</v>
      </c>
      <c r="M126" s="33">
        <f t="shared" ca="1" si="46"/>
        <v>64.161249284691081</v>
      </c>
      <c r="N126" s="33">
        <f t="shared" ca="1" si="46"/>
        <v>64.44641038678219</v>
      </c>
      <c r="O126" s="33">
        <f t="shared" ca="1" si="46"/>
        <v>64.725317842535276</v>
      </c>
      <c r="P126" s="33">
        <f t="shared" ca="1" si="46"/>
        <v>64.997346287316589</v>
      </c>
      <c r="Q126" s="33">
        <f t="shared" ca="1" si="46"/>
        <v>65.261807820028906</v>
      </c>
      <c r="R126" s="33">
        <f t="shared" ca="1" si="46"/>
        <v>65.517945749465369</v>
      </c>
      <c r="S126" s="33">
        <f t="shared" ca="1" si="46"/>
        <v>65.764927715298327</v>
      </c>
      <c r="T126" s="33">
        <f t="shared" ca="1" si="46"/>
        <v>66.001838121167481</v>
      </c>
      <c r="U126" s="33">
        <f t="shared" ca="1" si="46"/>
        <v>66.227669811076453</v>
      </c>
      <c r="V126" s="33">
        <f t="shared" ca="1" si="46"/>
        <v>66.441314913429181</v>
      </c>
      <c r="W126" s="33">
        <f t="shared" ca="1" si="46"/>
        <v>66.641554769470105</v>
      </c>
      <c r="X126" s="33">
        <f t="shared" ca="1" si="46"/>
        <v>66.827048854567991</v>
      </c>
      <c r="Y126" s="33">
        <f t="shared" ca="1" si="46"/>
        <v>66.996322591628555</v>
      </c>
      <c r="Z126" s="33">
        <f t="shared" ca="1" si="46"/>
        <v>67.147753945848066</v>
      </c>
      <c r="AA126" s="33">
        <f t="shared" ca="1" si="46"/>
        <v>67.279558678942408</v>
      </c>
      <c r="AB126" s="33">
        <f t="shared" ca="1" si="46"/>
        <v>67.389774128799075</v>
      </c>
      <c r="AC126" s="33">
        <f t="shared" ca="1" si="46"/>
        <v>67.476241367094289</v>
      </c>
      <c r="AD126" s="33">
        <f t="shared" ca="1" si="46"/>
        <v>67.536585572671925</v>
      </c>
      <c r="AE126" s="33">
        <f t="shared" ca="1" si="46"/>
        <v>67.568194442260221</v>
      </c>
      <c r="AF126" s="33"/>
      <c r="AG126" s="33"/>
      <c r="AH126" s="33"/>
      <c r="AI126" s="33"/>
      <c r="AJ126" s="33"/>
      <c r="AK126" s="33"/>
      <c r="AL126" s="33"/>
      <c r="AM126" s="33"/>
      <c r="AN126" s="33"/>
      <c r="AO126" s="33"/>
      <c r="AP126" s="33"/>
      <c r="AQ126" s="33"/>
      <c r="AR126" s="33"/>
      <c r="AS126" s="33"/>
      <c r="AT126" s="33"/>
      <c r="AU126" s="33"/>
      <c r="AV126" s="33"/>
      <c r="AW126" s="33"/>
      <c r="AX126" s="33"/>
      <c r="AY126" s="33"/>
      <c r="AZ126" s="33"/>
      <c r="BA126" s="33"/>
      <c r="BB126" s="33"/>
      <c r="BC126" s="33"/>
      <c r="BD126" s="33"/>
      <c r="BE126" s="33"/>
      <c r="BF126" s="33"/>
      <c r="BG126" s="33"/>
      <c r="BH126" s="33"/>
      <c r="BI126" s="33"/>
      <c r="BJ126" s="33"/>
      <c r="BK126" s="33"/>
      <c r="BL126" s="33"/>
      <c r="BM126" s="33"/>
      <c r="BN126" s="33"/>
      <c r="BO126" s="33"/>
      <c r="BP126" s="33"/>
      <c r="BQ126" s="33"/>
      <c r="BR126" s="33"/>
      <c r="BS126" s="33"/>
      <c r="BT126" s="33"/>
      <c r="BU126" s="33"/>
      <c r="BV126" s="33"/>
      <c r="BW126" s="33"/>
      <c r="BX126" s="33"/>
      <c r="BY126" s="33"/>
      <c r="BZ126" s="33"/>
      <c r="CA126" s="33"/>
      <c r="CB126" s="33"/>
      <c r="CC126" s="33"/>
      <c r="CD126" s="33"/>
      <c r="CE126" s="33"/>
      <c r="CF126" s="33"/>
      <c r="CG126" s="33"/>
      <c r="CH126" s="33"/>
      <c r="CI126" s="33"/>
      <c r="CJ126" s="33"/>
      <c r="CK126" s="33"/>
      <c r="CL126" s="33"/>
      <c r="CM126" s="33"/>
    </row>
    <row r="127" spans="1:91">
      <c r="A127">
        <v>2</v>
      </c>
      <c r="B127" s="11" t="str">
        <f t="shared" si="45"/>
        <v>Existing coal Small</v>
      </c>
      <c r="C127" s="11" t="str">
        <f t="shared" si="45"/>
        <v>Existing coal small</v>
      </c>
      <c r="D127" s="11" t="str">
        <f t="shared" si="45"/>
        <v>coal for new plants</v>
      </c>
      <c r="E127">
        <f>'Tech Parameters'!I7</f>
        <v>50</v>
      </c>
      <c r="F127" s="33">
        <f t="shared" ref="F127:AE127" ca="1" si="47">IF($E127=0,0,-PMT(discount_rate,$E127,NPV(discount_rate,OFFSET(F103,0,0,1,$E127))))</f>
        <v>91.78066405783845</v>
      </c>
      <c r="G127" s="33">
        <f t="shared" ca="1" si="47"/>
        <v>94.53075572270896</v>
      </c>
      <c r="H127" s="33">
        <f t="shared" ca="1" si="47"/>
        <v>96.590910093293886</v>
      </c>
      <c r="I127" s="33">
        <f t="shared" ca="1" si="47"/>
        <v>97.892133440164486</v>
      </c>
      <c r="J127" s="33">
        <f t="shared" ca="1" si="47"/>
        <v>98.316914052268586</v>
      </c>
      <c r="K127" s="33">
        <f t="shared" ca="1" si="47"/>
        <v>98.784172725583133</v>
      </c>
      <c r="L127" s="33">
        <f t="shared" ca="1" si="47"/>
        <v>99.244130767244471</v>
      </c>
      <c r="M127" s="33">
        <f t="shared" ca="1" si="47"/>
        <v>99.696058114087279</v>
      </c>
      <c r="N127" s="33">
        <f t="shared" ca="1" si="47"/>
        <v>100.13915169662974</v>
      </c>
      <c r="O127" s="33">
        <f t="shared" ca="1" si="47"/>
        <v>100.57252813844177</v>
      </c>
      <c r="P127" s="33">
        <f t="shared" ca="1" si="47"/>
        <v>100.99521572545034</v>
      </c>
      <c r="Q127" s="33">
        <f t="shared" ca="1" si="47"/>
        <v>101.40614557217512</v>
      </c>
      <c r="R127" s="33">
        <f t="shared" ca="1" si="47"/>
        <v>101.80414190458771</v>
      </c>
      <c r="S127" s="33">
        <f t="shared" ca="1" si="47"/>
        <v>102.18791137125689</v>
      </c>
      <c r="T127" s="33">
        <f t="shared" ca="1" si="47"/>
        <v>102.55603128560837</v>
      </c>
      <c r="U127" s="33">
        <f t="shared" ca="1" si="47"/>
        <v>102.90693669241031</v>
      </c>
      <c r="V127" s="33">
        <f t="shared" ca="1" si="47"/>
        <v>103.23890614090783</v>
      </c>
      <c r="W127" s="33">
        <f t="shared" ca="1" si="47"/>
        <v>103.5500460352704</v>
      </c>
      <c r="X127" s="33">
        <f t="shared" ca="1" si="47"/>
        <v>103.8382734200846</v>
      </c>
      <c r="Y127" s="33">
        <f t="shared" ca="1" si="47"/>
        <v>104.10129704439558</v>
      </c>
      <c r="Z127" s="33">
        <f t="shared" ca="1" si="47"/>
        <v>104.33659653215297</v>
      </c>
      <c r="AA127" s="33">
        <f t="shared" ca="1" si="47"/>
        <v>104.54139946970146</v>
      </c>
      <c r="AB127" s="33">
        <f t="shared" ca="1" si="47"/>
        <v>104.71265620202017</v>
      </c>
      <c r="AC127" s="33">
        <f t="shared" ca="1" si="47"/>
        <v>104.84701210858606</v>
      </c>
      <c r="AD127" s="33">
        <f t="shared" ca="1" si="47"/>
        <v>104.94077710682389</v>
      </c>
      <c r="AE127" s="33">
        <f t="shared" ca="1" si="47"/>
        <v>104.98989210590082</v>
      </c>
      <c r="AF127" s="33"/>
      <c r="AG127" s="33"/>
      <c r="AH127" s="33"/>
      <c r="AI127" s="33"/>
      <c r="AJ127" s="33"/>
      <c r="AK127" s="33"/>
      <c r="AL127" s="33"/>
      <c r="AM127" s="33"/>
      <c r="AN127" s="33"/>
      <c r="AO127" s="33"/>
      <c r="AP127" s="33"/>
      <c r="AQ127" s="33"/>
      <c r="AR127" s="33"/>
      <c r="AS127" s="33"/>
      <c r="AT127" s="33"/>
      <c r="AU127" s="33"/>
      <c r="AV127" s="33"/>
      <c r="AW127" s="33"/>
      <c r="AX127" s="33"/>
      <c r="AY127" s="33"/>
      <c r="AZ127" s="33"/>
      <c r="BA127" s="33"/>
      <c r="BB127" s="33"/>
      <c r="BC127" s="33"/>
      <c r="BD127" s="33"/>
      <c r="BE127" s="33"/>
      <c r="BF127" s="33"/>
      <c r="BG127" s="33"/>
      <c r="BH127" s="33"/>
      <c r="BI127" s="33"/>
      <c r="BJ127" s="33"/>
      <c r="BK127" s="33"/>
      <c r="BL127" s="33"/>
      <c r="BM127" s="33"/>
      <c r="BN127" s="33"/>
      <c r="BO127" s="33"/>
      <c r="BP127" s="33"/>
      <c r="BQ127" s="33"/>
      <c r="BR127" s="33"/>
      <c r="BS127" s="33"/>
      <c r="BT127" s="33"/>
      <c r="BU127" s="33"/>
      <c r="BV127" s="33"/>
      <c r="BW127" s="33"/>
      <c r="BX127" s="33"/>
      <c r="BY127" s="33"/>
      <c r="BZ127" s="33"/>
      <c r="CA127" s="33"/>
      <c r="CB127" s="33"/>
      <c r="CC127" s="33"/>
      <c r="CD127" s="33"/>
      <c r="CE127" s="33"/>
      <c r="CF127" s="33"/>
      <c r="CG127" s="33"/>
      <c r="CH127" s="33"/>
      <c r="CI127" s="33"/>
      <c r="CJ127" s="33"/>
      <c r="CK127" s="33"/>
      <c r="CL127" s="33"/>
      <c r="CM127" s="33"/>
    </row>
    <row r="128" spans="1:91">
      <c r="A128">
        <v>3</v>
      </c>
      <c r="B128" s="11" t="str">
        <f t="shared" si="45"/>
        <v>OCGT liquid fuels</v>
      </c>
      <c r="C128" s="11" t="str">
        <f t="shared" si="45"/>
        <v>Open-Cycle Gas Turbine diesel</v>
      </c>
      <c r="D128" s="11" t="str">
        <f t="shared" si="45"/>
        <v>diesel</v>
      </c>
      <c r="E128">
        <f>'Tech Parameters'!I8</f>
        <v>25</v>
      </c>
      <c r="F128" s="33">
        <f t="shared" ref="F128:AE128" ca="1" si="48">IF($E128=0,0,-PMT(discount_rate,$E128,NPV(discount_rate,OFFSET(F104,0,0,1,$E128))))</f>
        <v>1987.6789476282081</v>
      </c>
      <c r="G128" s="33">
        <f t="shared" ca="1" si="48"/>
        <v>2060.6863103900523</v>
      </c>
      <c r="H128" s="33">
        <f t="shared" ca="1" si="48"/>
        <v>2119.0206192876876</v>
      </c>
      <c r="I128" s="33">
        <f t="shared" ca="1" si="48"/>
        <v>2183.2404408523694</v>
      </c>
      <c r="J128" s="33">
        <f t="shared" ca="1" si="48"/>
        <v>2179.8479933174744</v>
      </c>
      <c r="K128" s="33">
        <f t="shared" ca="1" si="48"/>
        <v>2257.1741102222941</v>
      </c>
      <c r="L128" s="33">
        <f t="shared" ca="1" si="48"/>
        <v>2333.2920537342266</v>
      </c>
      <c r="M128" s="33">
        <f t="shared" ca="1" si="48"/>
        <v>2408.0810065139822</v>
      </c>
      <c r="N128" s="33">
        <f t="shared" ca="1" si="48"/>
        <v>2481.4080694883451</v>
      </c>
      <c r="O128" s="33">
        <f t="shared" ca="1" si="48"/>
        <v>2553.1270536767743</v>
      </c>
      <c r="P128" s="33">
        <f t="shared" ca="1" si="48"/>
        <v>2623.0771512006759</v>
      </c>
      <c r="Q128" s="33">
        <f t="shared" ca="1" si="48"/>
        <v>2691.0814733935999</v>
      </c>
      <c r="R128" s="33">
        <f t="shared" ca="1" si="48"/>
        <v>2756.9454427224468</v>
      </c>
      <c r="S128" s="33">
        <f t="shared" ca="1" si="48"/>
        <v>2820.4550239008076</v>
      </c>
      <c r="T128" s="33">
        <f t="shared" ca="1" si="48"/>
        <v>2881.3747781136362</v>
      </c>
      <c r="U128" s="33">
        <f t="shared" ca="1" si="48"/>
        <v>2939.4457226643781</v>
      </c>
      <c r="V128" s="33">
        <f t="shared" ca="1" si="48"/>
        <v>2994.382976586825</v>
      </c>
      <c r="W128" s="33">
        <f t="shared" ca="1" si="48"/>
        <v>3045.8731708181472</v>
      </c>
      <c r="X128" s="33">
        <f t="shared" ca="1" si="48"/>
        <v>3093.5715993892322</v>
      </c>
      <c r="Y128" s="33">
        <f t="shared" ca="1" si="48"/>
        <v>3137.0990857340557</v>
      </c>
      <c r="Z128" s="33">
        <f t="shared" ca="1" si="48"/>
        <v>3176.038535629993</v>
      </c>
      <c r="AA128" s="33">
        <f t="shared" ca="1" si="48"/>
        <v>3209.9311454321537</v>
      </c>
      <c r="AB128" s="33">
        <f t="shared" ca="1" si="48"/>
        <v>3238.2722311311618</v>
      </c>
      <c r="AC128" s="33">
        <f t="shared" ca="1" si="48"/>
        <v>3260.5066403167011</v>
      </c>
      <c r="AD128" s="33">
        <f t="shared" ca="1" si="48"/>
        <v>3276.0237053374249</v>
      </c>
      <c r="AE128" s="33">
        <f t="shared" ca="1" si="48"/>
        <v>3284.1516917768513</v>
      </c>
      <c r="AF128" s="33"/>
      <c r="AG128" s="33"/>
      <c r="AH128" s="33"/>
      <c r="AI128" s="33"/>
      <c r="AJ128" s="33"/>
      <c r="AK128" s="33"/>
      <c r="AL128" s="33"/>
      <c r="AM128" s="33"/>
      <c r="AN128" s="33"/>
      <c r="AO128" s="33"/>
      <c r="AP128" s="33"/>
      <c r="AQ128" s="33"/>
      <c r="AR128" s="33"/>
      <c r="AS128" s="33"/>
      <c r="AT128" s="33"/>
      <c r="AU128" s="33"/>
      <c r="AV128" s="33"/>
      <c r="AW128" s="33"/>
      <c r="AX128" s="33"/>
      <c r="AY128" s="33"/>
      <c r="AZ128" s="33"/>
      <c r="BA128" s="33"/>
      <c r="BB128" s="33"/>
      <c r="BC128" s="33"/>
      <c r="BD128" s="33"/>
      <c r="BE128" s="33"/>
      <c r="BF128" s="33"/>
      <c r="BG128" s="33"/>
      <c r="BH128" s="33"/>
      <c r="BI128" s="33"/>
      <c r="BJ128" s="33"/>
      <c r="BK128" s="33"/>
      <c r="BL128" s="33"/>
      <c r="BM128" s="33"/>
      <c r="BN128" s="33"/>
      <c r="BO128" s="33"/>
      <c r="BP128" s="33"/>
      <c r="BQ128" s="33"/>
      <c r="BR128" s="33"/>
      <c r="BS128" s="33"/>
      <c r="BT128" s="33"/>
      <c r="BU128" s="33"/>
      <c r="BV128" s="33"/>
      <c r="BW128" s="33"/>
      <c r="BX128" s="33"/>
      <c r="BY128" s="33"/>
      <c r="BZ128" s="33"/>
      <c r="CA128" s="33"/>
      <c r="CB128" s="33"/>
      <c r="CC128" s="33"/>
      <c r="CD128" s="33"/>
      <c r="CE128" s="33"/>
      <c r="CF128" s="33"/>
      <c r="CG128" s="33"/>
      <c r="CH128" s="33"/>
      <c r="CI128" s="33"/>
      <c r="CJ128" s="33"/>
      <c r="CK128" s="33"/>
      <c r="CL128" s="33"/>
      <c r="CM128" s="33"/>
    </row>
    <row r="129" spans="1:91">
      <c r="A129">
        <v>4</v>
      </c>
      <c r="B129" s="11" t="str">
        <f t="shared" si="45"/>
        <v>PWR nuclear</v>
      </c>
      <c r="C129" s="11" t="str">
        <f t="shared" si="45"/>
        <v>Nuclear Pressurised Water Reactor</v>
      </c>
      <c r="D129" s="11" t="str">
        <f t="shared" si="45"/>
        <v>nuclear fuel PWR</v>
      </c>
      <c r="E129">
        <f>'Tech Parameters'!I9</f>
        <v>40</v>
      </c>
      <c r="F129" s="33">
        <f t="shared" ref="F129:AE129" ca="1" si="49">IF($E129=0,0,-PMT(discount_rate,$E129,NPV(discount_rate,OFFSET(F105,0,0,1,$E129))))</f>
        <v>53.91776689963914</v>
      </c>
      <c r="G129" s="33">
        <f t="shared" ca="1" si="49"/>
        <v>56.077939239706076</v>
      </c>
      <c r="H129" s="33">
        <f t="shared" ca="1" si="49"/>
        <v>57.891344666436723</v>
      </c>
      <c r="I129" s="33">
        <f t="shared" ca="1" si="49"/>
        <v>59.323306488497465</v>
      </c>
      <c r="J129" s="33">
        <f t="shared" ca="1" si="49"/>
        <v>60.335680345421316</v>
      </c>
      <c r="K129" s="33">
        <f t="shared" ca="1" si="49"/>
        <v>60.600242690392172</v>
      </c>
      <c r="L129" s="33">
        <f t="shared" ca="1" si="49"/>
        <v>60.861690738741508</v>
      </c>
      <c r="M129" s="33">
        <f t="shared" ca="1" si="49"/>
        <v>61.119565208151478</v>
      </c>
      <c r="N129" s="33">
        <f t="shared" ca="1" si="49"/>
        <v>61.373360148809326</v>
      </c>
      <c r="O129" s="33">
        <f t="shared" ca="1" si="49"/>
        <v>61.6225182729614</v>
      </c>
      <c r="P129" s="33">
        <f t="shared" ca="1" si="49"/>
        <v>61.866425817404199</v>
      </c>
      <c r="Q129" s="33">
        <f t="shared" ca="1" si="49"/>
        <v>62.104406892206221</v>
      </c>
      <c r="R129" s="33">
        <f t="shared" ca="1" si="49"/>
        <v>62.335717264282934</v>
      </c>
      <c r="S129" s="33">
        <f t="shared" ca="1" si="49"/>
        <v>62.559537519310815</v>
      </c>
      <c r="T129" s="33">
        <f t="shared" ca="1" si="49"/>
        <v>62.774965539813664</v>
      </c>
      <c r="U129" s="33">
        <f t="shared" ca="1" si="49"/>
        <v>62.981008231038864</v>
      </c>
      <c r="V129" s="33">
        <f t="shared" ca="1" si="49"/>
        <v>63.176572419402007</v>
      </c>
      <c r="W129" s="33">
        <f t="shared" ca="1" si="49"/>
        <v>63.360454840756937</v>
      </c>
      <c r="X129" s="33">
        <f t="shared" ca="1" si="49"/>
        <v>63.531331127473628</v>
      </c>
      <c r="Y129" s="33">
        <f t="shared" ca="1" si="49"/>
        <v>63.687743694204421</v>
      </c>
      <c r="Z129" s="33">
        <f t="shared" ca="1" si="49"/>
        <v>63.828088412207379</v>
      </c>
      <c r="AA129" s="33">
        <f t="shared" ca="1" si="49"/>
        <v>63.950599951082758</v>
      </c>
      <c r="AB129" s="33">
        <f t="shared" ca="1" si="49"/>
        <v>64.05333565466313</v>
      </c>
      <c r="AC129" s="33">
        <f t="shared" ca="1" si="49"/>
        <v>64.134157804473105</v>
      </c>
      <c r="AD129" s="33">
        <f t="shared" ca="1" si="49"/>
        <v>64.190714109515</v>
      </c>
      <c r="AE129" s="33">
        <f t="shared" ca="1" si="49"/>
        <v>64.220416245013254</v>
      </c>
      <c r="AF129" s="33"/>
      <c r="AG129" s="33"/>
      <c r="AH129" s="33"/>
      <c r="AI129" s="33"/>
      <c r="AJ129" s="33"/>
      <c r="AK129" s="33"/>
      <c r="AL129" s="33"/>
      <c r="AM129" s="33"/>
      <c r="AN129" s="33"/>
      <c r="AO129" s="33"/>
      <c r="AP129" s="33"/>
      <c r="AQ129" s="33"/>
      <c r="AR129" s="33"/>
      <c r="AS129" s="33"/>
      <c r="AT129" s="33"/>
      <c r="AU129" s="33"/>
      <c r="AV129" s="33"/>
      <c r="AW129" s="33"/>
      <c r="AX129" s="33"/>
      <c r="AY129" s="33"/>
      <c r="AZ129" s="33"/>
      <c r="BA129" s="33"/>
      <c r="BB129" s="33"/>
      <c r="BC129" s="33"/>
      <c r="BD129" s="33"/>
      <c r="BE129" s="33"/>
      <c r="BF129" s="33"/>
      <c r="BG129" s="33"/>
      <c r="BH129" s="33"/>
      <c r="BI129" s="33"/>
      <c r="BJ129" s="33"/>
      <c r="BK129" s="33"/>
      <c r="BL129" s="33"/>
      <c r="BM129" s="33"/>
      <c r="BN129" s="33"/>
      <c r="BO129" s="33"/>
      <c r="BP129" s="33"/>
      <c r="BQ129" s="33"/>
      <c r="BR129" s="33"/>
      <c r="BS129" s="33"/>
      <c r="BT129" s="33"/>
      <c r="BU129" s="33"/>
      <c r="BV129" s="33"/>
      <c r="BW129" s="33"/>
      <c r="BX129" s="33"/>
      <c r="BY129" s="33"/>
      <c r="BZ129" s="33"/>
      <c r="CA129" s="33"/>
      <c r="CB129" s="33"/>
      <c r="CC129" s="33"/>
      <c r="CD129" s="33"/>
      <c r="CE129" s="33"/>
      <c r="CF129" s="33"/>
      <c r="CG129" s="33"/>
      <c r="CH129" s="33"/>
      <c r="CI129" s="33"/>
      <c r="CJ129" s="33"/>
      <c r="CK129" s="33"/>
      <c r="CL129" s="33"/>
      <c r="CM129" s="33"/>
    </row>
    <row r="130" spans="1:91">
      <c r="A130">
        <v>5</v>
      </c>
      <c r="B130" s="11" t="str">
        <f t="shared" si="45"/>
        <v>Hydro</v>
      </c>
      <c r="C130" s="11" t="str">
        <f t="shared" si="45"/>
        <v>Hydro existing</v>
      </c>
      <c r="D130" s="11" t="str">
        <f t="shared" si="45"/>
        <v>renewable</v>
      </c>
      <c r="E130">
        <f>'Tech Parameters'!I10</f>
        <v>100</v>
      </c>
      <c r="F130" s="33">
        <f t="shared" ref="F130:AE130" ca="1" si="50">IF($E130=0,0,-PMT(discount_rate,$E130,NPV(discount_rate,OFFSET(F106,0,0,1,$E130))))</f>
        <v>0</v>
      </c>
      <c r="G130" s="33">
        <f t="shared" ca="1" si="50"/>
        <v>0</v>
      </c>
      <c r="H130" s="33">
        <f t="shared" ca="1" si="50"/>
        <v>0</v>
      </c>
      <c r="I130" s="33">
        <f t="shared" ca="1" si="50"/>
        <v>0</v>
      </c>
      <c r="J130" s="33">
        <f t="shared" ca="1" si="50"/>
        <v>0</v>
      </c>
      <c r="K130" s="33">
        <f t="shared" ca="1" si="50"/>
        <v>0</v>
      </c>
      <c r="L130" s="33">
        <f t="shared" ca="1" si="50"/>
        <v>0</v>
      </c>
      <c r="M130" s="33">
        <f t="shared" ca="1" si="50"/>
        <v>0</v>
      </c>
      <c r="N130" s="33">
        <f t="shared" ca="1" si="50"/>
        <v>0</v>
      </c>
      <c r="O130" s="33">
        <f t="shared" ca="1" si="50"/>
        <v>0</v>
      </c>
      <c r="P130" s="33">
        <f t="shared" ca="1" si="50"/>
        <v>0</v>
      </c>
      <c r="Q130" s="33">
        <f t="shared" ca="1" si="50"/>
        <v>0</v>
      </c>
      <c r="R130" s="33">
        <f t="shared" ca="1" si="50"/>
        <v>0</v>
      </c>
      <c r="S130" s="33">
        <f t="shared" ca="1" si="50"/>
        <v>0</v>
      </c>
      <c r="T130" s="33">
        <f t="shared" ca="1" si="50"/>
        <v>0</v>
      </c>
      <c r="U130" s="33">
        <f t="shared" ca="1" si="50"/>
        <v>0</v>
      </c>
      <c r="V130" s="33">
        <f t="shared" ca="1" si="50"/>
        <v>0</v>
      </c>
      <c r="W130" s="33">
        <f t="shared" ca="1" si="50"/>
        <v>0</v>
      </c>
      <c r="X130" s="33">
        <f t="shared" ca="1" si="50"/>
        <v>0</v>
      </c>
      <c r="Y130" s="33">
        <f t="shared" ca="1" si="50"/>
        <v>0</v>
      </c>
      <c r="Z130" s="33">
        <f t="shared" ca="1" si="50"/>
        <v>0</v>
      </c>
      <c r="AA130" s="33">
        <f t="shared" ca="1" si="50"/>
        <v>0</v>
      </c>
      <c r="AB130" s="33">
        <f t="shared" ca="1" si="50"/>
        <v>0</v>
      </c>
      <c r="AC130" s="33">
        <f t="shared" ca="1" si="50"/>
        <v>0</v>
      </c>
      <c r="AD130" s="33">
        <f t="shared" ca="1" si="50"/>
        <v>0</v>
      </c>
      <c r="AE130" s="33">
        <f t="shared" ca="1" si="50"/>
        <v>0</v>
      </c>
      <c r="AF130" s="33"/>
      <c r="AG130" s="33"/>
      <c r="AH130" s="33"/>
      <c r="AI130" s="33"/>
      <c r="AJ130" s="33"/>
      <c r="AK130" s="33"/>
      <c r="AL130" s="33"/>
      <c r="AM130" s="33"/>
      <c r="AN130" s="33"/>
      <c r="AO130" s="33"/>
      <c r="AP130" s="33"/>
      <c r="AQ130" s="33"/>
      <c r="AR130" s="33"/>
      <c r="AS130" s="33"/>
      <c r="AT130" s="33"/>
      <c r="AU130" s="33"/>
      <c r="AV130" s="33"/>
      <c r="AW130" s="33"/>
      <c r="AX130" s="33"/>
      <c r="AY130" s="33"/>
      <c r="AZ130" s="33"/>
      <c r="BA130" s="33"/>
      <c r="BB130" s="33"/>
      <c r="BC130" s="33"/>
      <c r="BD130" s="33"/>
      <c r="BE130" s="33"/>
      <c r="BF130" s="33"/>
      <c r="BG130" s="33"/>
      <c r="BH130" s="33"/>
      <c r="BI130" s="33"/>
      <c r="BJ130" s="33"/>
      <c r="BK130" s="33"/>
      <c r="BL130" s="33"/>
      <c r="BM130" s="33"/>
      <c r="BN130" s="33"/>
      <c r="BO130" s="33"/>
      <c r="BP130" s="33"/>
      <c r="BQ130" s="33"/>
      <c r="BR130" s="33"/>
      <c r="BS130" s="33"/>
      <c r="BT130" s="33"/>
      <c r="BU130" s="33"/>
      <c r="BV130" s="33"/>
      <c r="BW130" s="33"/>
      <c r="BX130" s="33"/>
      <c r="BY130" s="33"/>
      <c r="BZ130" s="33"/>
      <c r="CA130" s="33"/>
      <c r="CB130" s="33"/>
      <c r="CC130" s="33"/>
      <c r="CD130" s="33"/>
      <c r="CE130" s="33"/>
      <c r="CF130" s="33"/>
      <c r="CG130" s="33"/>
      <c r="CH130" s="33"/>
      <c r="CI130" s="33"/>
      <c r="CJ130" s="33"/>
      <c r="CK130" s="33"/>
      <c r="CL130" s="33"/>
      <c r="CM130" s="33"/>
    </row>
    <row r="131" spans="1:91">
      <c r="A131">
        <v>6</v>
      </c>
      <c r="B131" s="11" t="str">
        <f t="shared" si="45"/>
        <v>Landfill gas</v>
      </c>
      <c r="C131" s="11" t="str">
        <f t="shared" si="45"/>
        <v>Landfill gas</v>
      </c>
      <c r="D131" s="11" t="str">
        <f t="shared" si="45"/>
        <v>renewable</v>
      </c>
      <c r="E131">
        <f>'Tech Parameters'!I11</f>
        <v>25</v>
      </c>
      <c r="F131" s="33">
        <f t="shared" ref="F131:AE131" ca="1" si="51">IF($E131=0,0,-PMT(discount_rate,$E131,NPV(discount_rate,OFFSET(F107,0,0,1,$E131))))</f>
        <v>0</v>
      </c>
      <c r="G131" s="33">
        <f t="shared" ca="1" si="51"/>
        <v>0</v>
      </c>
      <c r="H131" s="33">
        <f t="shared" ca="1" si="51"/>
        <v>0</v>
      </c>
      <c r="I131" s="33">
        <f t="shared" ca="1" si="51"/>
        <v>0</v>
      </c>
      <c r="J131" s="33">
        <f t="shared" ca="1" si="51"/>
        <v>0</v>
      </c>
      <c r="K131" s="33">
        <f t="shared" ca="1" si="51"/>
        <v>0</v>
      </c>
      <c r="L131" s="33">
        <f t="shared" ca="1" si="51"/>
        <v>0</v>
      </c>
      <c r="M131" s="33">
        <f t="shared" ca="1" si="51"/>
        <v>0</v>
      </c>
      <c r="N131" s="33">
        <f t="shared" ca="1" si="51"/>
        <v>0</v>
      </c>
      <c r="O131" s="33">
        <f t="shared" ca="1" si="51"/>
        <v>0</v>
      </c>
      <c r="P131" s="33">
        <f t="shared" ca="1" si="51"/>
        <v>0</v>
      </c>
      <c r="Q131" s="33">
        <f t="shared" ca="1" si="51"/>
        <v>0</v>
      </c>
      <c r="R131" s="33">
        <f t="shared" ca="1" si="51"/>
        <v>0</v>
      </c>
      <c r="S131" s="33">
        <f t="shared" ca="1" si="51"/>
        <v>0</v>
      </c>
      <c r="T131" s="33">
        <f t="shared" ca="1" si="51"/>
        <v>0</v>
      </c>
      <c r="U131" s="33">
        <f t="shared" ca="1" si="51"/>
        <v>0</v>
      </c>
      <c r="V131" s="33">
        <f t="shared" ca="1" si="51"/>
        <v>0</v>
      </c>
      <c r="W131" s="33">
        <f t="shared" ca="1" si="51"/>
        <v>0</v>
      </c>
      <c r="X131" s="33">
        <f t="shared" ca="1" si="51"/>
        <v>0</v>
      </c>
      <c r="Y131" s="33">
        <f t="shared" ca="1" si="51"/>
        <v>0</v>
      </c>
      <c r="Z131" s="33">
        <f t="shared" ca="1" si="51"/>
        <v>0</v>
      </c>
      <c r="AA131" s="33">
        <f t="shared" ca="1" si="51"/>
        <v>0</v>
      </c>
      <c r="AB131" s="33">
        <f t="shared" ca="1" si="51"/>
        <v>0</v>
      </c>
      <c r="AC131" s="33">
        <f t="shared" ca="1" si="51"/>
        <v>0</v>
      </c>
      <c r="AD131" s="33">
        <f t="shared" ca="1" si="51"/>
        <v>0</v>
      </c>
      <c r="AE131" s="33">
        <f t="shared" ca="1" si="51"/>
        <v>0</v>
      </c>
      <c r="AF131" s="33"/>
      <c r="AG131" s="33"/>
      <c r="AH131" s="33"/>
      <c r="AI131" s="33"/>
      <c r="AJ131" s="33"/>
      <c r="AK131" s="33"/>
      <c r="AL131" s="33"/>
      <c r="AM131" s="33"/>
      <c r="AN131" s="33"/>
      <c r="AO131" s="33"/>
      <c r="AP131" s="33"/>
      <c r="AQ131" s="33"/>
      <c r="AR131" s="33"/>
      <c r="AS131" s="33"/>
      <c r="AT131" s="33"/>
      <c r="AU131" s="33"/>
      <c r="AV131" s="33"/>
      <c r="AW131" s="33"/>
      <c r="AX131" s="33"/>
      <c r="AY131" s="33"/>
      <c r="AZ131" s="33"/>
      <c r="BA131" s="33"/>
      <c r="BB131" s="33"/>
      <c r="BC131" s="33"/>
      <c r="BD131" s="33"/>
      <c r="BE131" s="33"/>
      <c r="BF131" s="33"/>
      <c r="BG131" s="33"/>
      <c r="BH131" s="33"/>
      <c r="BI131" s="33"/>
      <c r="BJ131" s="33"/>
      <c r="BK131" s="33"/>
      <c r="BL131" s="33"/>
      <c r="BM131" s="33"/>
      <c r="BN131" s="33"/>
      <c r="BO131" s="33"/>
      <c r="BP131" s="33"/>
      <c r="BQ131" s="33"/>
      <c r="BR131" s="33"/>
      <c r="BS131" s="33"/>
      <c r="BT131" s="33"/>
      <c r="BU131" s="33"/>
      <c r="BV131" s="33"/>
      <c r="BW131" s="33"/>
      <c r="BX131" s="33"/>
      <c r="BY131" s="33"/>
      <c r="BZ131" s="33"/>
      <c r="CA131" s="33"/>
      <c r="CB131" s="33"/>
      <c r="CC131" s="33"/>
      <c r="CD131" s="33"/>
      <c r="CE131" s="33"/>
      <c r="CF131" s="33"/>
      <c r="CG131" s="33"/>
      <c r="CH131" s="33"/>
      <c r="CI131" s="33"/>
      <c r="CJ131" s="33"/>
      <c r="CK131" s="33"/>
      <c r="CL131" s="33"/>
      <c r="CM131" s="33"/>
    </row>
    <row r="132" spans="1:91">
      <c r="A132">
        <v>7</v>
      </c>
      <c r="B132" s="11" t="str">
        <f t="shared" si="45"/>
        <v>Biomass</v>
      </c>
      <c r="C132" s="11" t="str">
        <f t="shared" si="45"/>
        <v>Biomass</v>
      </c>
      <c r="D132" s="11" t="str">
        <f t="shared" si="45"/>
        <v>fuelwood</v>
      </c>
      <c r="E132">
        <f>'Tech Parameters'!I12</f>
        <v>25</v>
      </c>
      <c r="F132" s="33">
        <f t="shared" ref="F132:AE132" ca="1" si="52">IF($E132=0,0,-PMT(discount_rate,$E132,NPV(discount_rate,OFFSET(F108,0,0,1,$E132))))</f>
        <v>0</v>
      </c>
      <c r="G132" s="33">
        <f t="shared" ca="1" si="52"/>
        <v>0</v>
      </c>
      <c r="H132" s="33">
        <f t="shared" ca="1" si="52"/>
        <v>0</v>
      </c>
      <c r="I132" s="33">
        <f t="shared" ca="1" si="52"/>
        <v>0</v>
      </c>
      <c r="J132" s="33">
        <f t="shared" ca="1" si="52"/>
        <v>0</v>
      </c>
      <c r="K132" s="33">
        <f t="shared" ca="1" si="52"/>
        <v>0</v>
      </c>
      <c r="L132" s="33">
        <f t="shared" ca="1" si="52"/>
        <v>0</v>
      </c>
      <c r="M132" s="33">
        <f t="shared" ca="1" si="52"/>
        <v>0</v>
      </c>
      <c r="N132" s="33">
        <f t="shared" ca="1" si="52"/>
        <v>0</v>
      </c>
      <c r="O132" s="33">
        <f t="shared" ca="1" si="52"/>
        <v>0</v>
      </c>
      <c r="P132" s="33">
        <f t="shared" ca="1" si="52"/>
        <v>0</v>
      </c>
      <c r="Q132" s="33">
        <f t="shared" ca="1" si="52"/>
        <v>0</v>
      </c>
      <c r="R132" s="33">
        <f t="shared" ca="1" si="52"/>
        <v>0</v>
      </c>
      <c r="S132" s="33">
        <f t="shared" ca="1" si="52"/>
        <v>0</v>
      </c>
      <c r="T132" s="33">
        <f t="shared" ca="1" si="52"/>
        <v>0</v>
      </c>
      <c r="U132" s="33">
        <f t="shared" ca="1" si="52"/>
        <v>0</v>
      </c>
      <c r="V132" s="33">
        <f t="shared" ca="1" si="52"/>
        <v>0</v>
      </c>
      <c r="W132" s="33">
        <f t="shared" ca="1" si="52"/>
        <v>0</v>
      </c>
      <c r="X132" s="33">
        <f t="shared" ca="1" si="52"/>
        <v>0</v>
      </c>
      <c r="Y132" s="33">
        <f t="shared" ca="1" si="52"/>
        <v>0</v>
      </c>
      <c r="Z132" s="33">
        <f t="shared" ca="1" si="52"/>
        <v>0</v>
      </c>
      <c r="AA132" s="33">
        <f t="shared" ca="1" si="52"/>
        <v>0</v>
      </c>
      <c r="AB132" s="33">
        <f t="shared" ca="1" si="52"/>
        <v>0</v>
      </c>
      <c r="AC132" s="33">
        <f t="shared" ca="1" si="52"/>
        <v>0</v>
      </c>
      <c r="AD132" s="33">
        <f t="shared" ca="1" si="52"/>
        <v>0</v>
      </c>
      <c r="AE132" s="33">
        <f t="shared" ca="1" si="52"/>
        <v>0</v>
      </c>
      <c r="AF132" s="33"/>
      <c r="AG132" s="33"/>
      <c r="AH132" s="33"/>
      <c r="AI132" s="33"/>
      <c r="AJ132" s="33"/>
      <c r="AK132" s="33"/>
      <c r="AL132" s="33"/>
      <c r="AM132" s="33"/>
      <c r="AN132" s="33"/>
      <c r="AO132" s="33"/>
      <c r="AP132" s="33"/>
      <c r="AQ132" s="33"/>
      <c r="AR132" s="33"/>
      <c r="AS132" s="33"/>
      <c r="AT132" s="33"/>
      <c r="AU132" s="33"/>
      <c r="AV132" s="33"/>
      <c r="AW132" s="33"/>
      <c r="AX132" s="33"/>
      <c r="AY132" s="33"/>
      <c r="AZ132" s="33"/>
      <c r="BA132" s="33"/>
      <c r="BB132" s="33"/>
      <c r="BC132" s="33"/>
      <c r="BD132" s="33"/>
      <c r="BE132" s="33"/>
      <c r="BF132" s="33"/>
      <c r="BG132" s="33"/>
      <c r="BH132" s="33"/>
      <c r="BI132" s="33"/>
      <c r="BJ132" s="33"/>
      <c r="BK132" s="33"/>
      <c r="BL132" s="33"/>
      <c r="BM132" s="33"/>
      <c r="BN132" s="33"/>
      <c r="BO132" s="33"/>
      <c r="BP132" s="33"/>
      <c r="BQ132" s="33"/>
      <c r="BR132" s="33"/>
      <c r="BS132" s="33"/>
      <c r="BT132" s="33"/>
      <c r="BU132" s="33"/>
      <c r="BV132" s="33"/>
      <c r="BW132" s="33"/>
      <c r="BX132" s="33"/>
      <c r="BY132" s="33"/>
      <c r="BZ132" s="33"/>
      <c r="CA132" s="33"/>
      <c r="CB132" s="33"/>
      <c r="CC132" s="33"/>
      <c r="CD132" s="33"/>
      <c r="CE132" s="33"/>
      <c r="CF132" s="33"/>
      <c r="CG132" s="33"/>
      <c r="CH132" s="33"/>
      <c r="CI132" s="33"/>
      <c r="CJ132" s="33"/>
      <c r="CK132" s="33"/>
      <c r="CL132" s="33"/>
      <c r="CM132" s="33"/>
    </row>
    <row r="133" spans="1:91">
      <c r="A133">
        <v>8</v>
      </c>
      <c r="B133" s="11" t="str">
        <f t="shared" si="45"/>
        <v>Supercritical coal</v>
      </c>
      <c r="C133" s="11" t="str">
        <f t="shared" si="45"/>
        <v>Supercritical Coal</v>
      </c>
      <c r="D133" s="11" t="str">
        <f t="shared" si="45"/>
        <v>coal for new plants</v>
      </c>
      <c r="E133">
        <f>'Tech Parameters'!I13</f>
        <v>30</v>
      </c>
      <c r="F133" s="33">
        <f t="shared" ref="F133:AE133" ca="1" si="53">IF($E133=0,0,-PMT(discount_rate,$E133,NPV(discount_rate,OFFSET(F109,0,0,1,$E133))))</f>
        <v>69.307957968599339</v>
      </c>
      <c r="G133" s="33">
        <f t="shared" ca="1" si="53"/>
        <v>71.5085584002465</v>
      </c>
      <c r="H133" s="33">
        <f t="shared" ca="1" si="53"/>
        <v>73.15707675877259</v>
      </c>
      <c r="I133" s="33">
        <f t="shared" ca="1" si="53"/>
        <v>74.198304836865546</v>
      </c>
      <c r="J133" s="33">
        <f t="shared" ca="1" si="53"/>
        <v>74.53821074265494</v>
      </c>
      <c r="K133" s="33">
        <f t="shared" ca="1" si="53"/>
        <v>74.912107239023271</v>
      </c>
      <c r="L133" s="33">
        <f t="shared" ca="1" si="53"/>
        <v>75.280161830784394</v>
      </c>
      <c r="M133" s="33">
        <f t="shared" ca="1" si="53"/>
        <v>75.641790327477494</v>
      </c>
      <c r="N133" s="33">
        <f t="shared" ca="1" si="53"/>
        <v>75.99635011959586</v>
      </c>
      <c r="O133" s="33">
        <f t="shared" ca="1" si="53"/>
        <v>76.343134336681985</v>
      </c>
      <c r="P133" s="33">
        <f t="shared" ca="1" si="53"/>
        <v>76.681365421232641</v>
      </c>
      <c r="Q133" s="33">
        <f t="shared" ca="1" si="53"/>
        <v>77.01018805999432</v>
      </c>
      <c r="R133" s="33">
        <f t="shared" ca="1" si="53"/>
        <v>77.328661408388086</v>
      </c>
      <c r="S133" s="33">
        <f t="shared" ca="1" si="53"/>
        <v>77.635750537377191</v>
      </c>
      <c r="T133" s="33">
        <f t="shared" ca="1" si="53"/>
        <v>77.930317025021111</v>
      </c>
      <c r="U133" s="33">
        <f t="shared" ca="1" si="53"/>
        <v>78.211108607185338</v>
      </c>
      <c r="V133" s="33">
        <f t="shared" ca="1" si="53"/>
        <v>78.476747793321934</v>
      </c>
      <c r="W133" s="33">
        <f t="shared" ca="1" si="53"/>
        <v>78.725719343828132</v>
      </c>
      <c r="X133" s="33">
        <f t="shared" ca="1" si="53"/>
        <v>78.956356495140867</v>
      </c>
      <c r="Y133" s="33">
        <f t="shared" ca="1" si="53"/>
        <v>79.166825807340814</v>
      </c>
      <c r="Z133" s="33">
        <f t="shared" ca="1" si="53"/>
        <v>79.355110496516673</v>
      </c>
      <c r="AA133" s="33">
        <f t="shared" ca="1" si="53"/>
        <v>79.518992100366049</v>
      </c>
      <c r="AB133" s="33">
        <f t="shared" ca="1" si="53"/>
        <v>79.6560303103563</v>
      </c>
      <c r="AC133" s="33">
        <f t="shared" ca="1" si="53"/>
        <v>79.763540787101505</v>
      </c>
      <c r="AD133" s="33">
        <f t="shared" ca="1" si="53"/>
        <v>79.838570757277182</v>
      </c>
      <c r="AE133" s="33">
        <f t="shared" ca="1" si="53"/>
        <v>79.877872170226325</v>
      </c>
      <c r="AF133" s="33"/>
      <c r="AG133" s="33"/>
      <c r="AH133" s="33"/>
      <c r="AI133" s="33"/>
      <c r="AJ133" s="33"/>
      <c r="AK133" s="33"/>
      <c r="AL133" s="33"/>
      <c r="AM133" s="33"/>
      <c r="AN133" s="33"/>
      <c r="AO133" s="33"/>
      <c r="AP133" s="33"/>
      <c r="AQ133" s="33"/>
      <c r="AR133" s="33"/>
      <c r="AS133" s="33"/>
      <c r="AT133" s="33"/>
      <c r="AU133" s="33"/>
      <c r="AV133" s="33"/>
      <c r="AW133" s="33"/>
      <c r="AX133" s="33"/>
      <c r="AY133" s="33"/>
      <c r="AZ133" s="33"/>
      <c r="BA133" s="33"/>
      <c r="BB133" s="33"/>
      <c r="BC133" s="33"/>
      <c r="BD133" s="33"/>
      <c r="BE133" s="33"/>
      <c r="BF133" s="33"/>
      <c r="BG133" s="33"/>
      <c r="BH133" s="33"/>
      <c r="BI133" s="33"/>
      <c r="BJ133" s="33"/>
      <c r="BK133" s="33"/>
      <c r="BL133" s="33"/>
      <c r="BM133" s="33"/>
      <c r="BN133" s="33"/>
      <c r="BO133" s="33"/>
      <c r="BP133" s="33"/>
      <c r="BQ133" s="33"/>
      <c r="BR133" s="33"/>
      <c r="BS133" s="33"/>
      <c r="BT133" s="33"/>
      <c r="BU133" s="33"/>
      <c r="BV133" s="33"/>
      <c r="BW133" s="33"/>
      <c r="BX133" s="33"/>
      <c r="BY133" s="33"/>
      <c r="BZ133" s="33"/>
      <c r="CA133" s="33"/>
      <c r="CB133" s="33"/>
      <c r="CC133" s="33"/>
      <c r="CD133" s="33"/>
      <c r="CE133" s="33"/>
      <c r="CF133" s="33"/>
      <c r="CG133" s="33"/>
      <c r="CH133" s="33"/>
      <c r="CI133" s="33"/>
      <c r="CJ133" s="33"/>
      <c r="CK133" s="33"/>
      <c r="CL133" s="33"/>
      <c r="CM133" s="33"/>
    </row>
    <row r="134" spans="1:91">
      <c r="A134">
        <v>9</v>
      </c>
      <c r="B134" s="11" t="str">
        <f t="shared" si="45"/>
        <v xml:space="preserve">Wind 30% </v>
      </c>
      <c r="C134" s="11" t="str">
        <f t="shared" si="45"/>
        <v>Wind</v>
      </c>
      <c r="D134" s="11" t="str">
        <f t="shared" si="45"/>
        <v>renewable</v>
      </c>
      <c r="E134">
        <f>'Tech Parameters'!I14</f>
        <v>20</v>
      </c>
      <c r="F134" s="33">
        <f t="shared" ref="F134:AE134" ca="1" si="54">IF($E134=0,0,-PMT(discount_rate,$E134,NPV(discount_rate,OFFSET(F110,0,0,1,$E134))))</f>
        <v>0</v>
      </c>
      <c r="G134" s="33">
        <f t="shared" ca="1" si="54"/>
        <v>0</v>
      </c>
      <c r="H134" s="33">
        <f t="shared" ca="1" si="54"/>
        <v>0</v>
      </c>
      <c r="I134" s="33">
        <f t="shared" ca="1" si="54"/>
        <v>0</v>
      </c>
      <c r="J134" s="33">
        <f t="shared" ca="1" si="54"/>
        <v>0</v>
      </c>
      <c r="K134" s="33">
        <f t="shared" ca="1" si="54"/>
        <v>0</v>
      </c>
      <c r="L134" s="33">
        <f t="shared" ca="1" si="54"/>
        <v>0</v>
      </c>
      <c r="M134" s="33">
        <f t="shared" ca="1" si="54"/>
        <v>0</v>
      </c>
      <c r="N134" s="33">
        <f t="shared" ca="1" si="54"/>
        <v>0</v>
      </c>
      <c r="O134" s="33">
        <f t="shared" ca="1" si="54"/>
        <v>0</v>
      </c>
      <c r="P134" s="33">
        <f t="shared" ca="1" si="54"/>
        <v>0</v>
      </c>
      <c r="Q134" s="33">
        <f t="shared" ca="1" si="54"/>
        <v>0</v>
      </c>
      <c r="R134" s="33">
        <f t="shared" ca="1" si="54"/>
        <v>0</v>
      </c>
      <c r="S134" s="33">
        <f t="shared" ca="1" si="54"/>
        <v>0</v>
      </c>
      <c r="T134" s="33">
        <f t="shared" ca="1" si="54"/>
        <v>0</v>
      </c>
      <c r="U134" s="33">
        <f t="shared" ca="1" si="54"/>
        <v>0</v>
      </c>
      <c r="V134" s="33">
        <f t="shared" ca="1" si="54"/>
        <v>0</v>
      </c>
      <c r="W134" s="33">
        <f t="shared" ca="1" si="54"/>
        <v>0</v>
      </c>
      <c r="X134" s="33">
        <f t="shared" ca="1" si="54"/>
        <v>0</v>
      </c>
      <c r="Y134" s="33">
        <f t="shared" ca="1" si="54"/>
        <v>0</v>
      </c>
      <c r="Z134" s="33">
        <f t="shared" ca="1" si="54"/>
        <v>0</v>
      </c>
      <c r="AA134" s="33">
        <f t="shared" ca="1" si="54"/>
        <v>0</v>
      </c>
      <c r="AB134" s="33">
        <f t="shared" ca="1" si="54"/>
        <v>0</v>
      </c>
      <c r="AC134" s="33">
        <f t="shared" ca="1" si="54"/>
        <v>0</v>
      </c>
      <c r="AD134" s="33">
        <f t="shared" ca="1" si="54"/>
        <v>0</v>
      </c>
      <c r="AE134" s="33">
        <f t="shared" ca="1" si="54"/>
        <v>0</v>
      </c>
      <c r="AF134" s="33"/>
      <c r="AG134" s="33"/>
      <c r="AH134" s="33"/>
      <c r="AI134" s="33"/>
      <c r="AJ134" s="33"/>
      <c r="AK134" s="33"/>
      <c r="AL134" s="33"/>
      <c r="AM134" s="33"/>
      <c r="AN134" s="33"/>
      <c r="AO134" s="33"/>
      <c r="AP134" s="33"/>
      <c r="AQ134" s="33"/>
      <c r="AR134" s="33"/>
      <c r="AS134" s="33"/>
      <c r="AT134" s="33"/>
      <c r="AU134" s="33"/>
      <c r="AV134" s="33"/>
      <c r="AW134" s="33"/>
      <c r="AX134" s="33"/>
      <c r="AY134" s="33"/>
      <c r="AZ134" s="33"/>
      <c r="BA134" s="33"/>
      <c r="BB134" s="33"/>
      <c r="BC134" s="33"/>
      <c r="BD134" s="33"/>
      <c r="BE134" s="33"/>
      <c r="BF134" s="33"/>
      <c r="BG134" s="33"/>
      <c r="BH134" s="33"/>
      <c r="BI134" s="33"/>
      <c r="BJ134" s="33"/>
      <c r="BK134" s="33"/>
      <c r="BL134" s="33"/>
      <c r="BM134" s="33"/>
      <c r="BN134" s="33"/>
      <c r="BO134" s="33"/>
      <c r="BP134" s="33"/>
      <c r="BQ134" s="33"/>
      <c r="BR134" s="33"/>
      <c r="BS134" s="33"/>
      <c r="BT134" s="33"/>
      <c r="BU134" s="33"/>
      <c r="BV134" s="33"/>
      <c r="BW134" s="33"/>
      <c r="BX134" s="33"/>
      <c r="BY134" s="33"/>
      <c r="BZ134" s="33"/>
      <c r="CA134" s="33"/>
      <c r="CB134" s="33"/>
      <c r="CC134" s="33"/>
      <c r="CD134" s="33"/>
      <c r="CE134" s="33"/>
      <c r="CF134" s="33"/>
      <c r="CG134" s="33"/>
      <c r="CH134" s="33"/>
      <c r="CI134" s="33"/>
      <c r="CJ134" s="33"/>
      <c r="CK134" s="33"/>
      <c r="CL134" s="33"/>
      <c r="CM134" s="33"/>
    </row>
    <row r="135" spans="1:91">
      <c r="A135">
        <v>10</v>
      </c>
      <c r="B135" s="11" t="str">
        <f t="shared" si="45"/>
        <v>Wind 25%</v>
      </c>
      <c r="C135" s="11" t="str">
        <f t="shared" si="45"/>
        <v>Wind</v>
      </c>
      <c r="D135" s="11" t="str">
        <f t="shared" si="45"/>
        <v>renewable</v>
      </c>
      <c r="E135">
        <f>'Tech Parameters'!I15</f>
        <v>20</v>
      </c>
      <c r="F135" s="33">
        <f t="shared" ref="F135:AE135" ca="1" si="55">IF($E135=0,0,-PMT(discount_rate,$E135,NPV(discount_rate,OFFSET(F111,0,0,1,$E135))))</f>
        <v>0</v>
      </c>
      <c r="G135" s="33">
        <f t="shared" ca="1" si="55"/>
        <v>0</v>
      </c>
      <c r="H135" s="33">
        <f t="shared" ca="1" si="55"/>
        <v>0</v>
      </c>
      <c r="I135" s="33">
        <f t="shared" ca="1" si="55"/>
        <v>0</v>
      </c>
      <c r="J135" s="33">
        <f t="shared" ca="1" si="55"/>
        <v>0</v>
      </c>
      <c r="K135" s="33">
        <f t="shared" ca="1" si="55"/>
        <v>0</v>
      </c>
      <c r="L135" s="33">
        <f t="shared" ca="1" si="55"/>
        <v>0</v>
      </c>
      <c r="M135" s="33">
        <f t="shared" ca="1" si="55"/>
        <v>0</v>
      </c>
      <c r="N135" s="33">
        <f t="shared" ca="1" si="55"/>
        <v>0</v>
      </c>
      <c r="O135" s="33">
        <f t="shared" ca="1" si="55"/>
        <v>0</v>
      </c>
      <c r="P135" s="33">
        <f t="shared" ca="1" si="55"/>
        <v>0</v>
      </c>
      <c r="Q135" s="33">
        <f t="shared" ca="1" si="55"/>
        <v>0</v>
      </c>
      <c r="R135" s="33">
        <f t="shared" ca="1" si="55"/>
        <v>0</v>
      </c>
      <c r="S135" s="33">
        <f t="shared" ca="1" si="55"/>
        <v>0</v>
      </c>
      <c r="T135" s="33">
        <f t="shared" ca="1" si="55"/>
        <v>0</v>
      </c>
      <c r="U135" s="33">
        <f t="shared" ca="1" si="55"/>
        <v>0</v>
      </c>
      <c r="V135" s="33">
        <f t="shared" ca="1" si="55"/>
        <v>0</v>
      </c>
      <c r="W135" s="33">
        <f t="shared" ca="1" si="55"/>
        <v>0</v>
      </c>
      <c r="X135" s="33">
        <f t="shared" ca="1" si="55"/>
        <v>0</v>
      </c>
      <c r="Y135" s="33">
        <f t="shared" ca="1" si="55"/>
        <v>0</v>
      </c>
      <c r="Z135" s="33">
        <f t="shared" ca="1" si="55"/>
        <v>0</v>
      </c>
      <c r="AA135" s="33">
        <f t="shared" ca="1" si="55"/>
        <v>0</v>
      </c>
      <c r="AB135" s="33">
        <f t="shared" ca="1" si="55"/>
        <v>0</v>
      </c>
      <c r="AC135" s="33">
        <f t="shared" ca="1" si="55"/>
        <v>0</v>
      </c>
      <c r="AD135" s="33">
        <f t="shared" ca="1" si="55"/>
        <v>0</v>
      </c>
      <c r="AE135" s="33">
        <f t="shared" ca="1" si="55"/>
        <v>0</v>
      </c>
      <c r="AF135" s="33"/>
      <c r="AG135" s="33"/>
      <c r="AH135" s="33"/>
      <c r="AI135" s="33"/>
      <c r="AJ135" s="33"/>
      <c r="AK135" s="33"/>
      <c r="AL135" s="33"/>
      <c r="AM135" s="33"/>
      <c r="AN135" s="33"/>
      <c r="AO135" s="33"/>
      <c r="AP135" s="33"/>
      <c r="AQ135" s="33"/>
      <c r="AR135" s="33"/>
      <c r="AS135" s="33"/>
      <c r="AT135" s="33"/>
      <c r="AU135" s="33"/>
      <c r="AV135" s="33"/>
      <c r="AW135" s="33"/>
      <c r="AX135" s="33"/>
      <c r="AY135" s="33"/>
      <c r="AZ135" s="33"/>
      <c r="BA135" s="33"/>
      <c r="BB135" s="33"/>
      <c r="BC135" s="33"/>
      <c r="BD135" s="33"/>
      <c r="BE135" s="33"/>
      <c r="BF135" s="33"/>
      <c r="BG135" s="33"/>
      <c r="BH135" s="33"/>
      <c r="BI135" s="33"/>
      <c r="BJ135" s="33"/>
      <c r="BK135" s="33"/>
      <c r="BL135" s="33"/>
      <c r="BM135" s="33"/>
      <c r="BN135" s="33"/>
      <c r="BO135" s="33"/>
      <c r="BP135" s="33"/>
      <c r="BQ135" s="33"/>
      <c r="BR135" s="33"/>
      <c r="BS135" s="33"/>
      <c r="BT135" s="33"/>
      <c r="BU135" s="33"/>
      <c r="BV135" s="33"/>
      <c r="BW135" s="33"/>
      <c r="BX135" s="33"/>
      <c r="BY135" s="33"/>
      <c r="BZ135" s="33"/>
      <c r="CA135" s="33"/>
      <c r="CB135" s="33"/>
      <c r="CC135" s="33"/>
      <c r="CD135" s="33"/>
      <c r="CE135" s="33"/>
      <c r="CF135" s="33"/>
      <c r="CG135" s="33"/>
      <c r="CH135" s="33"/>
      <c r="CI135" s="33"/>
      <c r="CJ135" s="33"/>
      <c r="CK135" s="33"/>
      <c r="CL135" s="33"/>
      <c r="CM135" s="33"/>
    </row>
    <row r="136" spans="1:91">
      <c r="A136">
        <v>11</v>
      </c>
      <c r="B136" s="11" t="str">
        <f t="shared" si="45"/>
        <v>solar thermal central reciever</v>
      </c>
      <c r="C136" s="11" t="str">
        <f t="shared" si="45"/>
        <v>Solar Central Receiver</v>
      </c>
      <c r="D136" s="11" t="str">
        <f t="shared" si="45"/>
        <v>renewable</v>
      </c>
      <c r="E136">
        <f>'Tech Parameters'!I16</f>
        <v>30</v>
      </c>
      <c r="F136" s="33">
        <f t="shared" ref="F136:AE136" ca="1" si="56">IF($E136=0,0,-PMT(discount_rate,$E136,NPV(discount_rate,OFFSET(F112,0,0,1,$E136))))</f>
        <v>0</v>
      </c>
      <c r="G136" s="33">
        <f t="shared" ca="1" si="56"/>
        <v>0</v>
      </c>
      <c r="H136" s="33">
        <f t="shared" ca="1" si="56"/>
        <v>0</v>
      </c>
      <c r="I136" s="33">
        <f t="shared" ca="1" si="56"/>
        <v>0</v>
      </c>
      <c r="J136" s="33">
        <f t="shared" ca="1" si="56"/>
        <v>0</v>
      </c>
      <c r="K136" s="33">
        <f t="shared" ca="1" si="56"/>
        <v>0</v>
      </c>
      <c r="L136" s="33">
        <f t="shared" ca="1" si="56"/>
        <v>0</v>
      </c>
      <c r="M136" s="33">
        <f t="shared" ca="1" si="56"/>
        <v>0</v>
      </c>
      <c r="N136" s="33">
        <f t="shared" ca="1" si="56"/>
        <v>0</v>
      </c>
      <c r="O136" s="33">
        <f t="shared" ca="1" si="56"/>
        <v>0</v>
      </c>
      <c r="P136" s="33">
        <f t="shared" ca="1" si="56"/>
        <v>0</v>
      </c>
      <c r="Q136" s="33">
        <f t="shared" ca="1" si="56"/>
        <v>0</v>
      </c>
      <c r="R136" s="33">
        <f t="shared" ca="1" si="56"/>
        <v>0</v>
      </c>
      <c r="S136" s="33">
        <f t="shared" ca="1" si="56"/>
        <v>0</v>
      </c>
      <c r="T136" s="33">
        <f t="shared" ca="1" si="56"/>
        <v>0</v>
      </c>
      <c r="U136" s="33">
        <f t="shared" ca="1" si="56"/>
        <v>0</v>
      </c>
      <c r="V136" s="33">
        <f t="shared" ca="1" si="56"/>
        <v>0</v>
      </c>
      <c r="W136" s="33">
        <f t="shared" ca="1" si="56"/>
        <v>0</v>
      </c>
      <c r="X136" s="33">
        <f t="shared" ca="1" si="56"/>
        <v>0</v>
      </c>
      <c r="Y136" s="33">
        <f t="shared" ca="1" si="56"/>
        <v>0</v>
      </c>
      <c r="Z136" s="33">
        <f t="shared" ca="1" si="56"/>
        <v>0</v>
      </c>
      <c r="AA136" s="33">
        <f t="shared" ca="1" si="56"/>
        <v>0</v>
      </c>
      <c r="AB136" s="33">
        <f t="shared" ca="1" si="56"/>
        <v>0</v>
      </c>
      <c r="AC136" s="33">
        <f t="shared" ca="1" si="56"/>
        <v>0</v>
      </c>
      <c r="AD136" s="33">
        <f t="shared" ca="1" si="56"/>
        <v>0</v>
      </c>
      <c r="AE136" s="33">
        <f t="shared" ca="1" si="56"/>
        <v>0</v>
      </c>
      <c r="AF136" s="33"/>
      <c r="AG136" s="33"/>
      <c r="AH136" s="33"/>
      <c r="AI136" s="33"/>
      <c r="AJ136" s="33"/>
      <c r="AK136" s="33"/>
      <c r="AL136" s="33"/>
      <c r="AM136" s="33"/>
      <c r="AN136" s="33"/>
      <c r="AO136" s="33"/>
      <c r="AP136" s="33"/>
      <c r="AQ136" s="33"/>
      <c r="AR136" s="33"/>
      <c r="AS136" s="33"/>
      <c r="AT136" s="33"/>
      <c r="AU136" s="33"/>
      <c r="AV136" s="33"/>
      <c r="AW136" s="33"/>
      <c r="AX136" s="33"/>
      <c r="AY136" s="33"/>
      <c r="AZ136" s="33"/>
      <c r="BA136" s="33"/>
      <c r="BB136" s="33"/>
      <c r="BC136" s="33"/>
      <c r="BD136" s="33"/>
      <c r="BE136" s="33"/>
      <c r="BF136" s="33"/>
      <c r="BG136" s="33"/>
      <c r="BH136" s="33"/>
      <c r="BI136" s="33"/>
      <c r="BJ136" s="33"/>
      <c r="BK136" s="33"/>
      <c r="BL136" s="33"/>
      <c r="BM136" s="33"/>
      <c r="BN136" s="33"/>
      <c r="BO136" s="33"/>
      <c r="BP136" s="33"/>
      <c r="BQ136" s="33"/>
      <c r="BR136" s="33"/>
      <c r="BS136" s="33"/>
      <c r="BT136" s="33"/>
      <c r="BU136" s="33"/>
      <c r="BV136" s="33"/>
      <c r="BW136" s="33"/>
      <c r="BX136" s="33"/>
      <c r="BY136" s="33"/>
      <c r="BZ136" s="33"/>
      <c r="CA136" s="33"/>
      <c r="CB136" s="33"/>
      <c r="CC136" s="33"/>
      <c r="CD136" s="33"/>
      <c r="CE136" s="33"/>
      <c r="CF136" s="33"/>
      <c r="CG136" s="33"/>
      <c r="CH136" s="33"/>
      <c r="CI136" s="33"/>
      <c r="CJ136" s="33"/>
      <c r="CK136" s="33"/>
      <c r="CL136" s="33"/>
      <c r="CM136" s="33"/>
    </row>
    <row r="137" spans="1:91">
      <c r="A137">
        <v>12</v>
      </c>
      <c r="B137" s="11" t="str">
        <f t="shared" si="45"/>
        <v>solar thermal trough</v>
      </c>
      <c r="C137" s="11" t="str">
        <f t="shared" si="45"/>
        <v>Solar Parabolic Trough</v>
      </c>
      <c r="D137" s="11" t="str">
        <f t="shared" si="45"/>
        <v>renewable</v>
      </c>
      <c r="E137">
        <f>'Tech Parameters'!I17</f>
        <v>30</v>
      </c>
      <c r="F137" s="33">
        <f t="shared" ref="F137:AE137" ca="1" si="57">IF($E137=0,0,-PMT(discount_rate,$E137,NPV(discount_rate,OFFSET(F113,0,0,1,$E137))))</f>
        <v>0</v>
      </c>
      <c r="G137" s="33">
        <f t="shared" ca="1" si="57"/>
        <v>0</v>
      </c>
      <c r="H137" s="33">
        <f t="shared" ca="1" si="57"/>
        <v>0</v>
      </c>
      <c r="I137" s="33">
        <f t="shared" ca="1" si="57"/>
        <v>0</v>
      </c>
      <c r="J137" s="33">
        <f t="shared" ca="1" si="57"/>
        <v>0</v>
      </c>
      <c r="K137" s="33">
        <f t="shared" ca="1" si="57"/>
        <v>0</v>
      </c>
      <c r="L137" s="33">
        <f t="shared" ca="1" si="57"/>
        <v>0</v>
      </c>
      <c r="M137" s="33">
        <f t="shared" ca="1" si="57"/>
        <v>0</v>
      </c>
      <c r="N137" s="33">
        <f t="shared" ca="1" si="57"/>
        <v>0</v>
      </c>
      <c r="O137" s="33">
        <f t="shared" ca="1" si="57"/>
        <v>0</v>
      </c>
      <c r="P137" s="33">
        <f t="shared" ca="1" si="57"/>
        <v>0</v>
      </c>
      <c r="Q137" s="33">
        <f t="shared" ca="1" si="57"/>
        <v>0</v>
      </c>
      <c r="R137" s="33">
        <f t="shared" ca="1" si="57"/>
        <v>0</v>
      </c>
      <c r="S137" s="33">
        <f t="shared" ca="1" si="57"/>
        <v>0</v>
      </c>
      <c r="T137" s="33">
        <f t="shared" ca="1" si="57"/>
        <v>0</v>
      </c>
      <c r="U137" s="33">
        <f t="shared" ca="1" si="57"/>
        <v>0</v>
      </c>
      <c r="V137" s="33">
        <f t="shared" ca="1" si="57"/>
        <v>0</v>
      </c>
      <c r="W137" s="33">
        <f t="shared" ca="1" si="57"/>
        <v>0</v>
      </c>
      <c r="X137" s="33">
        <f t="shared" ca="1" si="57"/>
        <v>0</v>
      </c>
      <c r="Y137" s="33">
        <f t="shared" ca="1" si="57"/>
        <v>0</v>
      </c>
      <c r="Z137" s="33">
        <f t="shared" ca="1" si="57"/>
        <v>0</v>
      </c>
      <c r="AA137" s="33">
        <f t="shared" ca="1" si="57"/>
        <v>0</v>
      </c>
      <c r="AB137" s="33">
        <f t="shared" ca="1" si="57"/>
        <v>0</v>
      </c>
      <c r="AC137" s="33">
        <f t="shared" ca="1" si="57"/>
        <v>0</v>
      </c>
      <c r="AD137" s="33">
        <f t="shared" ca="1" si="57"/>
        <v>0</v>
      </c>
      <c r="AE137" s="33">
        <f t="shared" ca="1" si="57"/>
        <v>0</v>
      </c>
      <c r="AF137" s="33"/>
      <c r="AG137" s="33"/>
      <c r="AH137" s="33"/>
      <c r="AI137" s="33"/>
      <c r="AJ137" s="33"/>
      <c r="AK137" s="33"/>
      <c r="AL137" s="33"/>
      <c r="AM137" s="33"/>
      <c r="AN137" s="33"/>
      <c r="AO137" s="33"/>
      <c r="AP137" s="33"/>
      <c r="AQ137" s="33"/>
      <c r="AR137" s="33"/>
      <c r="AS137" s="33"/>
      <c r="AT137" s="33"/>
      <c r="AU137" s="33"/>
      <c r="AV137" s="33"/>
      <c r="AW137" s="33"/>
      <c r="AX137" s="33"/>
      <c r="AY137" s="33"/>
      <c r="AZ137" s="33"/>
      <c r="BA137" s="33"/>
      <c r="BB137" s="33"/>
      <c r="BC137" s="33"/>
      <c r="BD137" s="33"/>
      <c r="BE137" s="33"/>
      <c r="BF137" s="33"/>
      <c r="BG137" s="33"/>
      <c r="BH137" s="33"/>
      <c r="BI137" s="33"/>
      <c r="BJ137" s="33"/>
      <c r="BK137" s="33"/>
      <c r="BL137" s="33"/>
      <c r="BM137" s="33"/>
      <c r="BN137" s="33"/>
      <c r="BO137" s="33"/>
      <c r="BP137" s="33"/>
      <c r="BQ137" s="33"/>
      <c r="BR137" s="33"/>
      <c r="BS137" s="33"/>
      <c r="BT137" s="33"/>
      <c r="BU137" s="33"/>
      <c r="BV137" s="33"/>
      <c r="BW137" s="33"/>
      <c r="BX137" s="33"/>
      <c r="BY137" s="33"/>
      <c r="BZ137" s="33"/>
      <c r="CA137" s="33"/>
      <c r="CB137" s="33"/>
      <c r="CC137" s="33"/>
      <c r="CD137" s="33"/>
      <c r="CE137" s="33"/>
      <c r="CF137" s="33"/>
      <c r="CG137" s="33"/>
      <c r="CH137" s="33"/>
      <c r="CI137" s="33"/>
      <c r="CJ137" s="33"/>
      <c r="CK137" s="33"/>
      <c r="CL137" s="33"/>
      <c r="CM137" s="33"/>
    </row>
    <row r="138" spans="1:91">
      <c r="A138">
        <v>13</v>
      </c>
      <c r="B138" s="11" t="str">
        <f t="shared" si="45"/>
        <v>solar PV</v>
      </c>
      <c r="C138" s="11" t="str">
        <f t="shared" si="45"/>
        <v>Solar Photovoltaic</v>
      </c>
      <c r="D138" s="11" t="str">
        <f t="shared" si="45"/>
        <v>renewable</v>
      </c>
      <c r="E138">
        <f>'Tech Parameters'!I18</f>
        <v>15</v>
      </c>
      <c r="F138" s="33">
        <f t="shared" ref="F138:AE138" ca="1" si="58">IF($E138=0,0,-PMT(discount_rate,$E138,NPV(discount_rate,OFFSET(F114,0,0,1,$E138))))</f>
        <v>0</v>
      </c>
      <c r="G138" s="33">
        <f t="shared" ca="1" si="58"/>
        <v>0</v>
      </c>
      <c r="H138" s="33">
        <f t="shared" ca="1" si="58"/>
        <v>0</v>
      </c>
      <c r="I138" s="33">
        <f t="shared" ca="1" si="58"/>
        <v>0</v>
      </c>
      <c r="J138" s="33">
        <f t="shared" ca="1" si="58"/>
        <v>0</v>
      </c>
      <c r="K138" s="33">
        <f t="shared" ca="1" si="58"/>
        <v>0</v>
      </c>
      <c r="L138" s="33">
        <f t="shared" ca="1" si="58"/>
        <v>0</v>
      </c>
      <c r="M138" s="33">
        <f t="shared" ca="1" si="58"/>
        <v>0</v>
      </c>
      <c r="N138" s="33">
        <f t="shared" ca="1" si="58"/>
        <v>0</v>
      </c>
      <c r="O138" s="33">
        <f t="shared" ca="1" si="58"/>
        <v>0</v>
      </c>
      <c r="P138" s="33">
        <f t="shared" ca="1" si="58"/>
        <v>0</v>
      </c>
      <c r="Q138" s="33">
        <f t="shared" ca="1" si="58"/>
        <v>0</v>
      </c>
      <c r="R138" s="33">
        <f t="shared" ca="1" si="58"/>
        <v>0</v>
      </c>
      <c r="S138" s="33">
        <f t="shared" ca="1" si="58"/>
        <v>0</v>
      </c>
      <c r="T138" s="33">
        <f t="shared" ca="1" si="58"/>
        <v>0</v>
      </c>
      <c r="U138" s="33">
        <f t="shared" ca="1" si="58"/>
        <v>0</v>
      </c>
      <c r="V138" s="33">
        <f t="shared" ca="1" si="58"/>
        <v>0</v>
      </c>
      <c r="W138" s="33">
        <f t="shared" ca="1" si="58"/>
        <v>0</v>
      </c>
      <c r="X138" s="33">
        <f t="shared" ca="1" si="58"/>
        <v>0</v>
      </c>
      <c r="Y138" s="33">
        <f t="shared" ca="1" si="58"/>
        <v>0</v>
      </c>
      <c r="Z138" s="33">
        <f t="shared" ca="1" si="58"/>
        <v>0</v>
      </c>
      <c r="AA138" s="33">
        <f t="shared" ca="1" si="58"/>
        <v>0</v>
      </c>
      <c r="AB138" s="33">
        <f t="shared" ca="1" si="58"/>
        <v>0</v>
      </c>
      <c r="AC138" s="33">
        <f t="shared" ca="1" si="58"/>
        <v>0</v>
      </c>
      <c r="AD138" s="33">
        <f t="shared" ca="1" si="58"/>
        <v>0</v>
      </c>
      <c r="AE138" s="33">
        <f t="shared" ca="1" si="58"/>
        <v>0</v>
      </c>
      <c r="AF138" s="33"/>
      <c r="AG138" s="33"/>
      <c r="AH138" s="33"/>
      <c r="AI138" s="33"/>
      <c r="AJ138" s="33"/>
      <c r="AK138" s="33"/>
      <c r="AL138" s="33"/>
      <c r="AM138" s="33"/>
      <c r="AN138" s="33"/>
      <c r="AO138" s="33"/>
      <c r="AP138" s="33"/>
      <c r="AQ138" s="33"/>
      <c r="AR138" s="33"/>
      <c r="AS138" s="33"/>
      <c r="AT138" s="33"/>
      <c r="AU138" s="33"/>
      <c r="AV138" s="33"/>
      <c r="AW138" s="33"/>
      <c r="AX138" s="33"/>
      <c r="AY138" s="33"/>
      <c r="AZ138" s="33"/>
      <c r="BA138" s="33"/>
      <c r="BB138" s="33"/>
      <c r="BC138" s="33"/>
      <c r="BD138" s="33"/>
      <c r="BE138" s="33"/>
      <c r="BF138" s="33"/>
      <c r="BG138" s="33"/>
      <c r="BH138" s="33"/>
      <c r="BI138" s="33"/>
      <c r="BJ138" s="33"/>
      <c r="BK138" s="33"/>
      <c r="BL138" s="33"/>
      <c r="BM138" s="33"/>
      <c r="BN138" s="33"/>
      <c r="BO138" s="33"/>
      <c r="BP138" s="33"/>
      <c r="BQ138" s="33"/>
      <c r="BR138" s="33"/>
      <c r="BS138" s="33"/>
      <c r="BT138" s="33"/>
      <c r="BU138" s="33"/>
      <c r="BV138" s="33"/>
      <c r="BW138" s="33"/>
      <c r="BX138" s="33"/>
      <c r="BY138" s="33"/>
      <c r="BZ138" s="33"/>
      <c r="CA138" s="33"/>
      <c r="CB138" s="33"/>
      <c r="CC138" s="33"/>
      <c r="CD138" s="33"/>
      <c r="CE138" s="33"/>
      <c r="CF138" s="33"/>
      <c r="CG138" s="33"/>
      <c r="CH138" s="33"/>
      <c r="CI138" s="33"/>
      <c r="CJ138" s="33"/>
      <c r="CK138" s="33"/>
      <c r="CL138" s="33"/>
      <c r="CM138" s="33"/>
    </row>
    <row r="139" spans="1:91">
      <c r="A139">
        <v>14</v>
      </c>
      <c r="B139" s="11" t="str">
        <f t="shared" si="45"/>
        <v>combined cycle gas</v>
      </c>
      <c r="C139" s="11" t="str">
        <f t="shared" si="45"/>
        <v>Combined Cycle Gas Turbine</v>
      </c>
      <c r="D139" s="11" t="str">
        <f t="shared" si="45"/>
        <v>natural gas</v>
      </c>
      <c r="E139">
        <f>'Tech Parameters'!I19</f>
        <v>25</v>
      </c>
      <c r="F139" s="33">
        <f t="shared" ref="F139:AE139" ca="1" si="59">IF($E139=0,0,-PMT(discount_rate,$E139,NPV(discount_rate,OFFSET(F115,0,0,1,$E139))))</f>
        <v>383.03099287596831</v>
      </c>
      <c r="G139" s="33">
        <f t="shared" ca="1" si="59"/>
        <v>401.64974940084448</v>
      </c>
      <c r="H139" s="33">
        <f t="shared" ca="1" si="59"/>
        <v>418.26942108053021</v>
      </c>
      <c r="I139" s="33">
        <f t="shared" ca="1" si="59"/>
        <v>434.62057967934533</v>
      </c>
      <c r="J139" s="33">
        <f t="shared" ca="1" si="59"/>
        <v>436.19777202290959</v>
      </c>
      <c r="K139" s="33">
        <f t="shared" ca="1" si="59"/>
        <v>452.89390552933327</v>
      </c>
      <c r="L139" s="33">
        <f t="shared" ca="1" si="59"/>
        <v>469.32917213756025</v>
      </c>
      <c r="M139" s="33">
        <f t="shared" ca="1" si="59"/>
        <v>485.4774851577709</v>
      </c>
      <c r="N139" s="33">
        <f t="shared" ca="1" si="59"/>
        <v>501.31014923116345</v>
      </c>
      <c r="O139" s="33">
        <f t="shared" ca="1" si="59"/>
        <v>516.79559946305619</v>
      </c>
      <c r="P139" s="33">
        <f t="shared" ca="1" si="59"/>
        <v>531.89911446929909</v>
      </c>
      <c r="Q139" s="33">
        <f t="shared" ca="1" si="59"/>
        <v>546.5825007273271</v>
      </c>
      <c r="R139" s="33">
        <f t="shared" ca="1" si="59"/>
        <v>560.80374536231898</v>
      </c>
      <c r="S139" s="33">
        <f t="shared" ca="1" si="59"/>
        <v>574.51663421197088</v>
      </c>
      <c r="T139" s="33">
        <f t="shared" ca="1" si="59"/>
        <v>587.67033169774891</v>
      </c>
      <c r="U139" s="33">
        <f t="shared" ca="1" si="59"/>
        <v>600.20891868326567</v>
      </c>
      <c r="V139" s="33">
        <f t="shared" ca="1" si="59"/>
        <v>612.07088411849486</v>
      </c>
      <c r="W139" s="33">
        <f t="shared" ca="1" si="59"/>
        <v>623.18856584840807</v>
      </c>
      <c r="X139" s="33">
        <f t="shared" ca="1" si="59"/>
        <v>633.48753550247341</v>
      </c>
      <c r="Y139" s="33">
        <f t="shared" ca="1" si="59"/>
        <v>642.8859218731061</v>
      </c>
      <c r="Z139" s="33">
        <f t="shared" ca="1" si="59"/>
        <v>651.29366663196322</v>
      </c>
      <c r="AA139" s="33">
        <f t="shared" ca="1" si="59"/>
        <v>658.61170561786673</v>
      </c>
      <c r="AB139" s="33">
        <f t="shared" ca="1" si="59"/>
        <v>664.73106825352147</v>
      </c>
      <c r="AC139" s="33">
        <f t="shared" ca="1" si="59"/>
        <v>669.53188690390277</v>
      </c>
      <c r="AD139" s="33">
        <f t="shared" ca="1" si="59"/>
        <v>672.88230717048293</v>
      </c>
      <c r="AE139" s="33">
        <f t="shared" ca="1" si="59"/>
        <v>674.63728921488212</v>
      </c>
      <c r="AF139" s="33"/>
      <c r="AG139" s="33"/>
      <c r="AH139" s="33"/>
      <c r="AI139" s="33"/>
      <c r="AJ139" s="33"/>
      <c r="AK139" s="33"/>
      <c r="AL139" s="33"/>
      <c r="AM139" s="33"/>
      <c r="AN139" s="33"/>
      <c r="AO139" s="33"/>
      <c r="AP139" s="33"/>
      <c r="AQ139" s="33"/>
      <c r="AR139" s="33"/>
      <c r="AS139" s="33"/>
      <c r="AT139" s="33"/>
      <c r="AU139" s="33"/>
      <c r="AV139" s="33"/>
      <c r="AW139" s="33"/>
      <c r="AX139" s="33"/>
      <c r="AY139" s="33"/>
      <c r="AZ139" s="33"/>
      <c r="BA139" s="33"/>
      <c r="BB139" s="33"/>
      <c r="BC139" s="33"/>
      <c r="BD139" s="33"/>
      <c r="BE139" s="33"/>
      <c r="BF139" s="33"/>
      <c r="BG139" s="33"/>
      <c r="BH139" s="33"/>
      <c r="BI139" s="33"/>
      <c r="BJ139" s="33"/>
      <c r="BK139" s="33"/>
      <c r="BL139" s="33"/>
      <c r="BM139" s="33"/>
      <c r="BN139" s="33"/>
      <c r="BO139" s="33"/>
      <c r="BP139" s="33"/>
      <c r="BQ139" s="33"/>
      <c r="BR139" s="33"/>
      <c r="BS139" s="33"/>
      <c r="BT139" s="33"/>
      <c r="BU139" s="33"/>
      <c r="BV139" s="33"/>
      <c r="BW139" s="33"/>
      <c r="BX139" s="33"/>
      <c r="BY139" s="33"/>
      <c r="BZ139" s="33"/>
      <c r="CA139" s="33"/>
      <c r="CB139" s="33"/>
      <c r="CC139" s="33"/>
      <c r="CD139" s="33"/>
      <c r="CE139" s="33"/>
      <c r="CF139" s="33"/>
      <c r="CG139" s="33"/>
      <c r="CH139" s="33"/>
      <c r="CI139" s="33"/>
      <c r="CJ139" s="33"/>
      <c r="CK139" s="33"/>
      <c r="CL139" s="33"/>
      <c r="CM139" s="33"/>
    </row>
    <row r="140" spans="1:91">
      <c r="A140">
        <v>15</v>
      </c>
      <c r="B140" s="11" t="str">
        <f t="shared" si="45"/>
        <v>PBMR</v>
      </c>
      <c r="C140" s="11" t="str">
        <f t="shared" si="45"/>
        <v>Nuclear Pebble-Bed Modular Reactor</v>
      </c>
      <c r="D140" s="11" t="str">
        <f t="shared" si="45"/>
        <v>nuclear fuel PBMR</v>
      </c>
      <c r="E140">
        <f>'Tech Parameters'!I20</f>
        <v>50</v>
      </c>
      <c r="F140" s="33">
        <f t="shared" ref="F140:AE140" ca="1" si="60">IF($E140=0,0,-PMT(discount_rate,$E140,NPV(discount_rate,OFFSET(F116,0,0,1,$E140))))</f>
        <v>17.679335664212317</v>
      </c>
      <c r="G140" s="33">
        <f t="shared" ca="1" si="60"/>
        <v>18.376122144517662</v>
      </c>
      <c r="H140" s="33">
        <f t="shared" ca="1" si="60"/>
        <v>18.961055282129781</v>
      </c>
      <c r="I140" s="33">
        <f t="shared" ca="1" si="60"/>
        <v>19.422949742779345</v>
      </c>
      <c r="J140" s="33">
        <f t="shared" ca="1" si="60"/>
        <v>19.749501658770114</v>
      </c>
      <c r="K140" s="33">
        <f t="shared" ca="1" si="60"/>
        <v>19.834839046789757</v>
      </c>
      <c r="L140" s="33">
        <f t="shared" ca="1" si="60"/>
        <v>19.919171885430934</v>
      </c>
      <c r="M140" s="33">
        <f t="shared" ca="1" si="60"/>
        <v>20.00235202831492</v>
      </c>
      <c r="N140" s="33">
        <f t="shared" ca="1" si="60"/>
        <v>20.084216275967865</v>
      </c>
      <c r="O140" s="33">
        <f t="shared" ca="1" si="60"/>
        <v>20.164584869319082</v>
      </c>
      <c r="P140" s="33">
        <f t="shared" ca="1" si="60"/>
        <v>20.243259832543064</v>
      </c>
      <c r="Q140" s="33">
        <f t="shared" ca="1" si="60"/>
        <v>20.320023150179765</v>
      </c>
      <c r="R140" s="33">
        <f t="shared" ca="1" si="60"/>
        <v>20.394634761960916</v>
      </c>
      <c r="S140" s="33">
        <f t="shared" ca="1" si="60"/>
        <v>20.466830357112872</v>
      </c>
      <c r="T140" s="33">
        <f t="shared" ca="1" si="60"/>
        <v>20.536318948083661</v>
      </c>
      <c r="U140" s="33">
        <f t="shared" ca="1" si="60"/>
        <v>20.602780201636698</v>
      </c>
      <c r="V140" s="33">
        <f t="shared" ca="1" si="60"/>
        <v>20.665861503047633</v>
      </c>
      <c r="W140" s="33">
        <f t="shared" ca="1" si="60"/>
        <v>20.725174726714759</v>
      </c>
      <c r="X140" s="33">
        <f t="shared" ca="1" si="60"/>
        <v>20.780292683824278</v>
      </c>
      <c r="Y140" s="33">
        <f t="shared" ca="1" si="60"/>
        <v>20.830745214775803</v>
      </c>
      <c r="Z140" s="33">
        <f t="shared" ca="1" si="60"/>
        <v>20.8760148908442</v>
      </c>
      <c r="AA140" s="33">
        <f t="shared" ca="1" si="60"/>
        <v>20.915532286001252</v>
      </c>
      <c r="AB140" s="33">
        <f t="shared" ca="1" si="60"/>
        <v>20.948670775913239</v>
      </c>
      <c r="AC140" s="33">
        <f t="shared" ca="1" si="60"/>
        <v>20.974740816831854</v>
      </c>
      <c r="AD140" s="33">
        <f t="shared" ca="1" si="60"/>
        <v>20.992983652367833</v>
      </c>
      <c r="AE140" s="33">
        <f t="shared" ca="1" si="60"/>
        <v>21.002564390935543</v>
      </c>
      <c r="AF140" s="33"/>
      <c r="AG140" s="33"/>
      <c r="AH140" s="33"/>
      <c r="AI140" s="33"/>
      <c r="AJ140" s="33"/>
      <c r="AK140" s="33"/>
      <c r="AL140" s="33"/>
      <c r="AM140" s="33"/>
      <c r="AN140" s="33"/>
      <c r="AO140" s="33"/>
      <c r="AP140" s="33"/>
      <c r="AQ140" s="33"/>
      <c r="AR140" s="33"/>
      <c r="AS140" s="33"/>
      <c r="AT140" s="33"/>
      <c r="AU140" s="33"/>
      <c r="AV140" s="33"/>
      <c r="AW140" s="33"/>
      <c r="AX140" s="33"/>
      <c r="AY140" s="33"/>
      <c r="AZ140" s="33"/>
      <c r="BA140" s="33"/>
      <c r="BB140" s="33"/>
      <c r="BC140" s="33"/>
      <c r="BD140" s="33"/>
      <c r="BE140" s="33"/>
      <c r="BF140" s="33"/>
      <c r="BG140" s="33"/>
      <c r="BH140" s="33"/>
      <c r="BI140" s="33"/>
      <c r="BJ140" s="33"/>
      <c r="BK140" s="33"/>
      <c r="BL140" s="33"/>
      <c r="BM140" s="33"/>
      <c r="BN140" s="33"/>
      <c r="BO140" s="33"/>
      <c r="BP140" s="33"/>
      <c r="BQ140" s="33"/>
      <c r="BR140" s="33"/>
      <c r="BS140" s="33"/>
      <c r="BT140" s="33"/>
      <c r="BU140" s="33"/>
      <c r="BV140" s="33"/>
      <c r="BW140" s="33"/>
      <c r="BX140" s="33"/>
      <c r="BY140" s="33"/>
      <c r="BZ140" s="33"/>
      <c r="CA140" s="33"/>
      <c r="CB140" s="33"/>
      <c r="CC140" s="33"/>
      <c r="CD140" s="33"/>
      <c r="CE140" s="33"/>
      <c r="CF140" s="33"/>
      <c r="CG140" s="33"/>
      <c r="CH140" s="33"/>
      <c r="CI140" s="33"/>
      <c r="CJ140" s="33"/>
      <c r="CK140" s="33"/>
      <c r="CL140" s="33"/>
      <c r="CM140" s="33"/>
    </row>
    <row r="141" spans="1:91">
      <c r="A141">
        <v>16</v>
      </c>
      <c r="B141" s="11" t="str">
        <f t="shared" si="45"/>
        <v>IGCC</v>
      </c>
      <c r="C141" s="11" t="str">
        <f t="shared" si="45"/>
        <v>Integrated Gasification Combined Cycle Coal</v>
      </c>
      <c r="D141" s="11" t="str">
        <f t="shared" si="45"/>
        <v>coal for new plants</v>
      </c>
      <c r="E141">
        <f>'Tech Parameters'!I21</f>
        <v>30</v>
      </c>
      <c r="F141" s="33">
        <f t="shared" ref="F141:AE141" ca="1" si="61">IF($E141=0,0,-PMT(discount_rate,$E141,NPV(discount_rate,OFFSET(F117,0,0,1,$E141))))</f>
        <v>66.030896912475342</v>
      </c>
      <c r="G141" s="33">
        <f t="shared" ca="1" si="61"/>
        <v>68.127447215017412</v>
      </c>
      <c r="H141" s="33">
        <f t="shared" ca="1" si="61"/>
        <v>69.698019325069765</v>
      </c>
      <c r="I141" s="33">
        <f t="shared" ca="1" si="61"/>
        <v>70.690015423383358</v>
      </c>
      <c r="J141" s="33">
        <f t="shared" ca="1" si="61"/>
        <v>71.013849691235933</v>
      </c>
      <c r="K141" s="33">
        <f t="shared" ca="1" si="61"/>
        <v>71.37006738587381</v>
      </c>
      <c r="L141" s="33">
        <f t="shared" ca="1" si="61"/>
        <v>71.720719396394031</v>
      </c>
      <c r="M141" s="33">
        <f t="shared" ca="1" si="61"/>
        <v>72.065249154384816</v>
      </c>
      <c r="N141" s="33">
        <f t="shared" ca="1" si="61"/>
        <v>72.403044434593227</v>
      </c>
      <c r="O141" s="33">
        <f t="shared" ca="1" si="61"/>
        <v>72.733431789241038</v>
      </c>
      <c r="P141" s="33">
        <f t="shared" ca="1" si="61"/>
        <v>73.055670425772206</v>
      </c>
      <c r="Q141" s="33">
        <f t="shared" ca="1" si="61"/>
        <v>73.36894547237506</v>
      </c>
      <c r="R141" s="33">
        <f t="shared" ca="1" si="61"/>
        <v>73.672360570056753</v>
      </c>
      <c r="S141" s="33">
        <f t="shared" ca="1" si="61"/>
        <v>73.964929723925124</v>
      </c>
      <c r="T141" s="33">
        <f t="shared" ca="1" si="61"/>
        <v>74.245568339598933</v>
      </c>
      <c r="U141" s="33">
        <f t="shared" ca="1" si="61"/>
        <v>74.513083363258687</v>
      </c>
      <c r="V141" s="33">
        <f t="shared" ca="1" si="61"/>
        <v>74.766162435702924</v>
      </c>
      <c r="W141" s="33">
        <f t="shared" ca="1" si="61"/>
        <v>75.003361961810185</v>
      </c>
      <c r="X141" s="33">
        <f t="shared" ca="1" si="61"/>
        <v>75.223093986946722</v>
      </c>
      <c r="Y141" s="33">
        <f t="shared" ca="1" si="61"/>
        <v>75.423611761015465</v>
      </c>
      <c r="Z141" s="33">
        <f t="shared" ca="1" si="61"/>
        <v>75.602993858909642</v>
      </c>
      <c r="AA141" s="33">
        <f t="shared" ca="1" si="61"/>
        <v>75.75912671301181</v>
      </c>
      <c r="AB141" s="33">
        <f t="shared" ca="1" si="61"/>
        <v>75.889685398942731</v>
      </c>
      <c r="AC141" s="33">
        <f t="shared" ca="1" si="61"/>
        <v>75.992112499885309</v>
      </c>
      <c r="AD141" s="33">
        <f t="shared" ca="1" si="61"/>
        <v>76.063594857340732</v>
      </c>
      <c r="AE141" s="33">
        <f t="shared" ca="1" si="61"/>
        <v>76.101037996960216</v>
      </c>
      <c r="AF141" s="33"/>
      <c r="AG141" s="33"/>
      <c r="AH141" s="33"/>
      <c r="AI141" s="33"/>
      <c r="AJ141" s="33"/>
      <c r="AK141" s="33"/>
      <c r="AL141" s="33"/>
      <c r="AM141" s="33"/>
      <c r="AN141" s="33"/>
      <c r="AO141" s="33"/>
      <c r="AP141" s="33"/>
      <c r="AQ141" s="33"/>
      <c r="AR141" s="33"/>
      <c r="AS141" s="33"/>
      <c r="AT141" s="33"/>
      <c r="AU141" s="33"/>
      <c r="AV141" s="33"/>
      <c r="AW141" s="33"/>
      <c r="AX141" s="33"/>
      <c r="AY141" s="33"/>
      <c r="AZ141" s="33"/>
      <c r="BA141" s="33"/>
      <c r="BB141" s="33"/>
      <c r="BC141" s="33"/>
      <c r="BD141" s="33"/>
      <c r="BE141" s="33"/>
      <c r="BF141" s="33"/>
      <c r="BG141" s="33"/>
      <c r="BH141" s="33"/>
      <c r="BI141" s="33"/>
      <c r="BJ141" s="33"/>
      <c r="BK141" s="33"/>
      <c r="BL141" s="33"/>
      <c r="BM141" s="33"/>
      <c r="BN141" s="33"/>
      <c r="BO141" s="33"/>
      <c r="BP141" s="33"/>
      <c r="BQ141" s="33"/>
      <c r="BR141" s="33"/>
      <c r="BS141" s="33"/>
      <c r="BT141" s="33"/>
      <c r="BU141" s="33"/>
      <c r="BV141" s="33"/>
      <c r="BW141" s="33"/>
      <c r="BX141" s="33"/>
      <c r="BY141" s="33"/>
      <c r="BZ141" s="33"/>
      <c r="CA141" s="33"/>
      <c r="CB141" s="33"/>
      <c r="CC141" s="33"/>
      <c r="CD141" s="33"/>
      <c r="CE141" s="33"/>
      <c r="CF141" s="33"/>
      <c r="CG141" s="33"/>
      <c r="CH141" s="33"/>
      <c r="CI141" s="33"/>
      <c r="CJ141" s="33"/>
      <c r="CK141" s="33"/>
      <c r="CL141" s="33"/>
      <c r="CM141" s="33"/>
    </row>
    <row r="142" spans="1:91">
      <c r="A142">
        <v>17</v>
      </c>
      <c r="B142" s="11" t="str">
        <f t="shared" si="45"/>
        <v>-</v>
      </c>
      <c r="C142" s="11" t="str">
        <f t="shared" si="45"/>
        <v>not used</v>
      </c>
      <c r="D142" s="11">
        <f t="shared" si="45"/>
        <v>0</v>
      </c>
      <c r="E142">
        <f>'Tech Parameters'!I22</f>
        <v>0</v>
      </c>
      <c r="F142" s="33">
        <f t="shared" ref="F142:AE142" ca="1" si="62">IF($E142=0,0,-PMT(discount_rate,$E142,NPV(discount_rate,OFFSET(F118,0,0,1,$E142))))</f>
        <v>0</v>
      </c>
      <c r="G142" s="33">
        <f t="shared" ca="1" si="62"/>
        <v>0</v>
      </c>
      <c r="H142" s="33">
        <f t="shared" ca="1" si="62"/>
        <v>0</v>
      </c>
      <c r="I142" s="33">
        <f t="shared" ca="1" si="62"/>
        <v>0</v>
      </c>
      <c r="J142" s="33">
        <f t="shared" ca="1" si="62"/>
        <v>0</v>
      </c>
      <c r="K142" s="33">
        <f t="shared" ca="1" si="62"/>
        <v>0</v>
      </c>
      <c r="L142" s="33">
        <f t="shared" ca="1" si="62"/>
        <v>0</v>
      </c>
      <c r="M142" s="33">
        <f t="shared" ca="1" si="62"/>
        <v>0</v>
      </c>
      <c r="N142" s="33">
        <f t="shared" ca="1" si="62"/>
        <v>0</v>
      </c>
      <c r="O142" s="33">
        <f t="shared" ca="1" si="62"/>
        <v>0</v>
      </c>
      <c r="P142" s="33">
        <f t="shared" ca="1" si="62"/>
        <v>0</v>
      </c>
      <c r="Q142" s="33">
        <f t="shared" ca="1" si="62"/>
        <v>0</v>
      </c>
      <c r="R142" s="33">
        <f t="shared" ca="1" si="62"/>
        <v>0</v>
      </c>
      <c r="S142" s="33">
        <f t="shared" ca="1" si="62"/>
        <v>0</v>
      </c>
      <c r="T142" s="33">
        <f t="shared" ca="1" si="62"/>
        <v>0</v>
      </c>
      <c r="U142" s="33">
        <f t="shared" ca="1" si="62"/>
        <v>0</v>
      </c>
      <c r="V142" s="33">
        <f t="shared" ca="1" si="62"/>
        <v>0</v>
      </c>
      <c r="W142" s="33">
        <f t="shared" ca="1" si="62"/>
        <v>0</v>
      </c>
      <c r="X142" s="33">
        <f t="shared" ca="1" si="62"/>
        <v>0</v>
      </c>
      <c r="Y142" s="33">
        <f t="shared" ca="1" si="62"/>
        <v>0</v>
      </c>
      <c r="Z142" s="33">
        <f t="shared" ca="1" si="62"/>
        <v>0</v>
      </c>
      <c r="AA142" s="33">
        <f t="shared" ca="1" si="62"/>
        <v>0</v>
      </c>
      <c r="AB142" s="33">
        <f t="shared" ca="1" si="62"/>
        <v>0</v>
      </c>
      <c r="AC142" s="33">
        <f t="shared" ca="1" si="62"/>
        <v>0</v>
      </c>
      <c r="AD142" s="33">
        <f t="shared" ca="1" si="62"/>
        <v>0</v>
      </c>
      <c r="AE142" s="33">
        <f t="shared" ca="1" si="62"/>
        <v>0</v>
      </c>
      <c r="AF142" s="33"/>
      <c r="AG142" s="33"/>
      <c r="AH142" s="33"/>
      <c r="AI142" s="33"/>
      <c r="AJ142" s="33"/>
      <c r="AK142" s="33"/>
      <c r="AL142" s="33"/>
      <c r="AM142" s="33"/>
      <c r="AN142" s="33"/>
      <c r="AO142" s="33"/>
      <c r="AP142" s="33"/>
      <c r="AQ142" s="33"/>
      <c r="AR142" s="33"/>
      <c r="AS142" s="33"/>
      <c r="AT142" s="33"/>
      <c r="AU142" s="33"/>
      <c r="AV142" s="33"/>
      <c r="AW142" s="33"/>
      <c r="AX142" s="33"/>
      <c r="AY142" s="33"/>
      <c r="AZ142" s="33"/>
      <c r="BA142" s="33"/>
      <c r="BB142" s="33"/>
      <c r="BC142" s="33"/>
      <c r="BD142" s="33"/>
      <c r="BE142" s="33"/>
      <c r="BF142" s="33"/>
      <c r="BG142" s="33"/>
      <c r="BH142" s="33"/>
      <c r="BI142" s="33"/>
      <c r="BJ142" s="33"/>
      <c r="BK142" s="33"/>
      <c r="BL142" s="33"/>
      <c r="BM142" s="33"/>
      <c r="BN142" s="33"/>
      <c r="BO142" s="33"/>
      <c r="BP142" s="33"/>
      <c r="BQ142" s="33"/>
      <c r="BR142" s="33"/>
      <c r="BS142" s="33"/>
      <c r="BT142" s="33"/>
      <c r="BU142" s="33"/>
      <c r="BV142" s="33"/>
      <c r="BW142" s="33"/>
      <c r="BX142" s="33"/>
      <c r="BY142" s="33"/>
      <c r="BZ142" s="33"/>
      <c r="CA142" s="33"/>
      <c r="CB142" s="33"/>
      <c r="CC142" s="33"/>
      <c r="CD142" s="33"/>
      <c r="CE142" s="33"/>
      <c r="CF142" s="33"/>
      <c r="CG142" s="33"/>
      <c r="CH142" s="33"/>
      <c r="CI142" s="33"/>
      <c r="CJ142" s="33"/>
      <c r="CK142" s="33"/>
      <c r="CL142" s="33"/>
      <c r="CM142" s="33"/>
    </row>
    <row r="143" spans="1:91">
      <c r="A143">
        <v>18</v>
      </c>
      <c r="B143" s="11" t="str">
        <f t="shared" si="45"/>
        <v>-</v>
      </c>
      <c r="C143" s="11" t="str">
        <f t="shared" si="45"/>
        <v>not used</v>
      </c>
      <c r="D143" s="11">
        <f t="shared" si="45"/>
        <v>0</v>
      </c>
      <c r="E143">
        <f>'Tech Parameters'!I23</f>
        <v>0</v>
      </c>
      <c r="F143" s="33">
        <f t="shared" ref="F143:AE143" ca="1" si="63">IF($E143=0,0,-PMT(discount_rate,$E143,NPV(discount_rate,OFFSET(F119,0,0,1,$E143))))</f>
        <v>0</v>
      </c>
      <c r="G143" s="33">
        <f t="shared" ca="1" si="63"/>
        <v>0</v>
      </c>
      <c r="H143" s="33">
        <f t="shared" ca="1" si="63"/>
        <v>0</v>
      </c>
      <c r="I143" s="33">
        <f t="shared" ca="1" si="63"/>
        <v>0</v>
      </c>
      <c r="J143" s="33">
        <f t="shared" ca="1" si="63"/>
        <v>0</v>
      </c>
      <c r="K143" s="33">
        <f t="shared" ca="1" si="63"/>
        <v>0</v>
      </c>
      <c r="L143" s="33">
        <f t="shared" ca="1" si="63"/>
        <v>0</v>
      </c>
      <c r="M143" s="33">
        <f t="shared" ca="1" si="63"/>
        <v>0</v>
      </c>
      <c r="N143" s="33">
        <f t="shared" ca="1" si="63"/>
        <v>0</v>
      </c>
      <c r="O143" s="33">
        <f t="shared" ca="1" si="63"/>
        <v>0</v>
      </c>
      <c r="P143" s="33">
        <f t="shared" ca="1" si="63"/>
        <v>0</v>
      </c>
      <c r="Q143" s="33">
        <f t="shared" ca="1" si="63"/>
        <v>0</v>
      </c>
      <c r="R143" s="33">
        <f t="shared" ca="1" si="63"/>
        <v>0</v>
      </c>
      <c r="S143" s="33">
        <f t="shared" ca="1" si="63"/>
        <v>0</v>
      </c>
      <c r="T143" s="33">
        <f t="shared" ca="1" si="63"/>
        <v>0</v>
      </c>
      <c r="U143" s="33">
        <f t="shared" ca="1" si="63"/>
        <v>0</v>
      </c>
      <c r="V143" s="33">
        <f t="shared" ca="1" si="63"/>
        <v>0</v>
      </c>
      <c r="W143" s="33">
        <f t="shared" ca="1" si="63"/>
        <v>0</v>
      </c>
      <c r="X143" s="33">
        <f t="shared" ca="1" si="63"/>
        <v>0</v>
      </c>
      <c r="Y143" s="33">
        <f t="shared" ca="1" si="63"/>
        <v>0</v>
      </c>
      <c r="Z143" s="33">
        <f t="shared" ca="1" si="63"/>
        <v>0</v>
      </c>
      <c r="AA143" s="33">
        <f t="shared" ca="1" si="63"/>
        <v>0</v>
      </c>
      <c r="AB143" s="33">
        <f t="shared" ca="1" si="63"/>
        <v>0</v>
      </c>
      <c r="AC143" s="33">
        <f t="shared" ca="1" si="63"/>
        <v>0</v>
      </c>
      <c r="AD143" s="33">
        <f t="shared" ca="1" si="63"/>
        <v>0</v>
      </c>
      <c r="AE143" s="33">
        <f t="shared" ca="1" si="63"/>
        <v>0</v>
      </c>
      <c r="AF143" s="33"/>
      <c r="AG143" s="33"/>
      <c r="AH143" s="33"/>
      <c r="AI143" s="33"/>
      <c r="AJ143" s="33"/>
      <c r="AK143" s="33"/>
      <c r="AL143" s="33"/>
      <c r="AM143" s="33"/>
      <c r="AN143" s="33"/>
      <c r="AO143" s="33"/>
      <c r="AP143" s="33"/>
      <c r="AQ143" s="33"/>
      <c r="AR143" s="33"/>
      <c r="AS143" s="33"/>
      <c r="AT143" s="33"/>
      <c r="AU143" s="33"/>
      <c r="AV143" s="33"/>
      <c r="AW143" s="33"/>
      <c r="AX143" s="33"/>
      <c r="AY143" s="33"/>
      <c r="AZ143" s="33"/>
      <c r="BA143" s="33"/>
      <c r="BB143" s="33"/>
      <c r="BC143" s="33"/>
      <c r="BD143" s="33"/>
      <c r="BE143" s="33"/>
      <c r="BF143" s="33"/>
      <c r="BG143" s="33"/>
      <c r="BH143" s="33"/>
      <c r="BI143" s="33"/>
      <c r="BJ143" s="33"/>
      <c r="BK143" s="33"/>
      <c r="BL143" s="33"/>
      <c r="BM143" s="33"/>
      <c r="BN143" s="33"/>
      <c r="BO143" s="33"/>
      <c r="BP143" s="33"/>
      <c r="BQ143" s="33"/>
      <c r="BR143" s="33"/>
      <c r="BS143" s="33"/>
      <c r="BT143" s="33"/>
      <c r="BU143" s="33"/>
      <c r="BV143" s="33"/>
      <c r="BW143" s="33"/>
      <c r="BX143" s="33"/>
      <c r="BY143" s="33"/>
      <c r="BZ143" s="33"/>
      <c r="CA143" s="33"/>
      <c r="CB143" s="33"/>
      <c r="CC143" s="33"/>
      <c r="CD143" s="33"/>
      <c r="CE143" s="33"/>
      <c r="CF143" s="33"/>
      <c r="CG143" s="33"/>
      <c r="CH143" s="33"/>
      <c r="CI143" s="33"/>
      <c r="CJ143" s="33"/>
      <c r="CK143" s="33"/>
      <c r="CL143" s="33"/>
      <c r="CM143" s="33"/>
    </row>
    <row r="144" spans="1:91">
      <c r="A144">
        <v>19</v>
      </c>
      <c r="B144" s="11" t="str">
        <f t="shared" si="45"/>
        <v>-</v>
      </c>
      <c r="C144" s="11" t="str">
        <f t="shared" si="45"/>
        <v>not used</v>
      </c>
      <c r="D144" s="11">
        <f t="shared" si="45"/>
        <v>0</v>
      </c>
      <c r="E144">
        <f>'Tech Parameters'!I24</f>
        <v>0</v>
      </c>
      <c r="F144" s="33">
        <f t="shared" ref="F144:AE144" ca="1" si="64">IF($E144=0,0,-PMT(discount_rate,$E144,NPV(discount_rate,OFFSET(F120,0,0,1,$E144))))</f>
        <v>0</v>
      </c>
      <c r="G144" s="33">
        <f t="shared" ca="1" si="64"/>
        <v>0</v>
      </c>
      <c r="H144" s="33">
        <f t="shared" ca="1" si="64"/>
        <v>0</v>
      </c>
      <c r="I144" s="33">
        <f t="shared" ca="1" si="64"/>
        <v>0</v>
      </c>
      <c r="J144" s="33">
        <f t="shared" ca="1" si="64"/>
        <v>0</v>
      </c>
      <c r="K144" s="33">
        <f t="shared" ca="1" si="64"/>
        <v>0</v>
      </c>
      <c r="L144" s="33">
        <f t="shared" ca="1" si="64"/>
        <v>0</v>
      </c>
      <c r="M144" s="33">
        <f t="shared" ca="1" si="64"/>
        <v>0</v>
      </c>
      <c r="N144" s="33">
        <f t="shared" ca="1" si="64"/>
        <v>0</v>
      </c>
      <c r="O144" s="33">
        <f t="shared" ca="1" si="64"/>
        <v>0</v>
      </c>
      <c r="P144" s="33">
        <f t="shared" ca="1" si="64"/>
        <v>0</v>
      </c>
      <c r="Q144" s="33">
        <f t="shared" ca="1" si="64"/>
        <v>0</v>
      </c>
      <c r="R144" s="33">
        <f t="shared" ca="1" si="64"/>
        <v>0</v>
      </c>
      <c r="S144" s="33">
        <f t="shared" ca="1" si="64"/>
        <v>0</v>
      </c>
      <c r="T144" s="33">
        <f t="shared" ca="1" si="64"/>
        <v>0</v>
      </c>
      <c r="U144" s="33">
        <f t="shared" ca="1" si="64"/>
        <v>0</v>
      </c>
      <c r="V144" s="33">
        <f t="shared" ca="1" si="64"/>
        <v>0</v>
      </c>
      <c r="W144" s="33">
        <f t="shared" ca="1" si="64"/>
        <v>0</v>
      </c>
      <c r="X144" s="33">
        <f t="shared" ca="1" si="64"/>
        <v>0</v>
      </c>
      <c r="Y144" s="33">
        <f t="shared" ca="1" si="64"/>
        <v>0</v>
      </c>
      <c r="Z144" s="33">
        <f t="shared" ca="1" si="64"/>
        <v>0</v>
      </c>
      <c r="AA144" s="33">
        <f t="shared" ca="1" si="64"/>
        <v>0</v>
      </c>
      <c r="AB144" s="33">
        <f t="shared" ca="1" si="64"/>
        <v>0</v>
      </c>
      <c r="AC144" s="33">
        <f t="shared" ca="1" si="64"/>
        <v>0</v>
      </c>
      <c r="AD144" s="33">
        <f t="shared" ca="1" si="64"/>
        <v>0</v>
      </c>
      <c r="AE144" s="33">
        <f t="shared" ca="1" si="64"/>
        <v>0</v>
      </c>
      <c r="AF144" s="33"/>
      <c r="AG144" s="33"/>
      <c r="AH144" s="33"/>
      <c r="AI144" s="33"/>
      <c r="AJ144" s="33"/>
      <c r="AK144" s="33"/>
      <c r="AL144" s="33"/>
      <c r="AM144" s="33"/>
      <c r="AN144" s="33"/>
      <c r="AO144" s="33"/>
      <c r="AP144" s="33"/>
      <c r="AQ144" s="33"/>
      <c r="AR144" s="33"/>
      <c r="AS144" s="33"/>
      <c r="AT144" s="33"/>
      <c r="AU144" s="33"/>
      <c r="AV144" s="33"/>
      <c r="AW144" s="33"/>
      <c r="AX144" s="33"/>
      <c r="AY144" s="33"/>
      <c r="AZ144" s="33"/>
      <c r="BA144" s="33"/>
      <c r="BB144" s="33"/>
      <c r="BC144" s="33"/>
      <c r="BD144" s="33"/>
      <c r="BE144" s="33"/>
      <c r="BF144" s="33"/>
      <c r="BG144" s="33"/>
      <c r="BH144" s="33"/>
      <c r="BI144" s="33"/>
      <c r="BJ144" s="33"/>
      <c r="BK144" s="33"/>
      <c r="BL144" s="33"/>
      <c r="BM144" s="33"/>
      <c r="BN144" s="33"/>
      <c r="BO144" s="33"/>
      <c r="BP144" s="33"/>
      <c r="BQ144" s="33"/>
      <c r="BR144" s="33"/>
      <c r="BS144" s="33"/>
      <c r="BT144" s="33"/>
      <c r="BU144" s="33"/>
      <c r="BV144" s="33"/>
      <c r="BW144" s="33"/>
      <c r="BX144" s="33"/>
      <c r="BY144" s="33"/>
      <c r="BZ144" s="33"/>
      <c r="CA144" s="33"/>
      <c r="CB144" s="33"/>
      <c r="CC144" s="33"/>
      <c r="CD144" s="33"/>
      <c r="CE144" s="33"/>
      <c r="CF144" s="33"/>
      <c r="CG144" s="33"/>
      <c r="CH144" s="33"/>
      <c r="CI144" s="33"/>
      <c r="CJ144" s="33"/>
      <c r="CK144" s="33"/>
      <c r="CL144" s="33"/>
      <c r="CM144" s="33"/>
    </row>
    <row r="145" spans="1:91">
      <c r="A145">
        <v>20</v>
      </c>
      <c r="B145" s="11" t="str">
        <f t="shared" si="45"/>
        <v>Pumped storage</v>
      </c>
      <c r="C145" s="11" t="str">
        <f t="shared" si="45"/>
        <v>Pumped Storage</v>
      </c>
      <c r="D145" s="11">
        <f t="shared" si="45"/>
        <v>0</v>
      </c>
      <c r="E145">
        <f>'Tech Parameters'!I25</f>
        <v>50</v>
      </c>
      <c r="F145" s="33">
        <f t="shared" ref="F145:AE145" ca="1" si="65">IF($E145=0,0,-PMT(discount_rate,$E145,NPV(discount_rate,OFFSET(F121,0,0,1,$E145))))</f>
        <v>0</v>
      </c>
      <c r="G145" s="33">
        <f t="shared" ca="1" si="65"/>
        <v>0</v>
      </c>
      <c r="H145" s="33">
        <f t="shared" ca="1" si="65"/>
        <v>0</v>
      </c>
      <c r="I145" s="33">
        <f t="shared" ca="1" si="65"/>
        <v>0</v>
      </c>
      <c r="J145" s="33">
        <f t="shared" ca="1" si="65"/>
        <v>0</v>
      </c>
      <c r="K145" s="33">
        <f t="shared" ca="1" si="65"/>
        <v>0</v>
      </c>
      <c r="L145" s="33">
        <f t="shared" ca="1" si="65"/>
        <v>0</v>
      </c>
      <c r="M145" s="33">
        <f t="shared" ca="1" si="65"/>
        <v>0</v>
      </c>
      <c r="N145" s="33">
        <f t="shared" ca="1" si="65"/>
        <v>0</v>
      </c>
      <c r="O145" s="33">
        <f t="shared" ca="1" si="65"/>
        <v>0</v>
      </c>
      <c r="P145" s="33">
        <f t="shared" ca="1" si="65"/>
        <v>0</v>
      </c>
      <c r="Q145" s="33">
        <f t="shared" ca="1" si="65"/>
        <v>0</v>
      </c>
      <c r="R145" s="33">
        <f t="shared" ca="1" si="65"/>
        <v>0</v>
      </c>
      <c r="S145" s="33">
        <f t="shared" ca="1" si="65"/>
        <v>0</v>
      </c>
      <c r="T145" s="33">
        <f t="shared" ca="1" si="65"/>
        <v>0</v>
      </c>
      <c r="U145" s="33">
        <f t="shared" ca="1" si="65"/>
        <v>0</v>
      </c>
      <c r="V145" s="33">
        <f t="shared" ca="1" si="65"/>
        <v>0</v>
      </c>
      <c r="W145" s="33">
        <f t="shared" ca="1" si="65"/>
        <v>0</v>
      </c>
      <c r="X145" s="33">
        <f t="shared" ca="1" si="65"/>
        <v>0</v>
      </c>
      <c r="Y145" s="33">
        <f t="shared" ca="1" si="65"/>
        <v>0</v>
      </c>
      <c r="Z145" s="33">
        <f t="shared" ca="1" si="65"/>
        <v>0</v>
      </c>
      <c r="AA145" s="33">
        <f t="shared" ca="1" si="65"/>
        <v>0</v>
      </c>
      <c r="AB145" s="33">
        <f t="shared" ca="1" si="65"/>
        <v>0</v>
      </c>
      <c r="AC145" s="33">
        <f t="shared" ca="1" si="65"/>
        <v>0</v>
      </c>
      <c r="AD145" s="33">
        <f t="shared" ca="1" si="65"/>
        <v>0</v>
      </c>
      <c r="AE145" s="33">
        <f t="shared" ca="1" si="65"/>
        <v>0</v>
      </c>
      <c r="AF145" s="33"/>
      <c r="AG145" s="33"/>
      <c r="AH145" s="33"/>
      <c r="AI145" s="33"/>
      <c r="AJ145" s="33"/>
      <c r="AK145" s="33"/>
      <c r="AL145" s="33"/>
      <c r="AM145" s="33"/>
      <c r="AN145" s="33"/>
      <c r="AO145" s="33"/>
      <c r="AP145" s="33"/>
      <c r="AQ145" s="33"/>
      <c r="AR145" s="33"/>
      <c r="AS145" s="33"/>
      <c r="AT145" s="33"/>
      <c r="AU145" s="33"/>
      <c r="AV145" s="33"/>
      <c r="AW145" s="33"/>
      <c r="AX145" s="33"/>
      <c r="AY145" s="33"/>
      <c r="AZ145" s="33"/>
      <c r="BA145" s="33"/>
      <c r="BB145" s="33"/>
      <c r="BC145" s="33"/>
      <c r="BD145" s="33"/>
      <c r="BE145" s="33"/>
      <c r="BF145" s="33"/>
      <c r="BG145" s="33"/>
      <c r="BH145" s="33"/>
      <c r="BI145" s="33"/>
      <c r="BJ145" s="33"/>
      <c r="BK145" s="33"/>
      <c r="BL145" s="33"/>
      <c r="BM145" s="33"/>
      <c r="BN145" s="33"/>
      <c r="BO145" s="33"/>
      <c r="BP145" s="33"/>
      <c r="BQ145" s="33"/>
      <c r="BR145" s="33"/>
      <c r="BS145" s="33"/>
      <c r="BT145" s="33"/>
      <c r="BU145" s="33"/>
      <c r="BV145" s="33"/>
      <c r="BW145" s="33"/>
      <c r="BX145" s="33"/>
      <c r="BY145" s="33"/>
      <c r="BZ145" s="33"/>
      <c r="CA145" s="33"/>
      <c r="CB145" s="33"/>
      <c r="CC145" s="33"/>
      <c r="CD145" s="33"/>
      <c r="CE145" s="33"/>
      <c r="CF145" s="33"/>
      <c r="CG145" s="33"/>
      <c r="CH145" s="33"/>
      <c r="CI145" s="33"/>
      <c r="CJ145" s="33"/>
      <c r="CK145" s="33"/>
      <c r="CL145" s="33"/>
      <c r="CM145" s="33"/>
    </row>
    <row r="148" spans="1:91">
      <c r="B148" s="44" t="s">
        <v>138</v>
      </c>
    </row>
    <row r="151" spans="1:91">
      <c r="B151" s="4" t="s">
        <v>146</v>
      </c>
      <c r="J151" s="11" t="s">
        <v>155</v>
      </c>
    </row>
    <row r="152" spans="1:91">
      <c r="C152" s="11" t="s">
        <v>139</v>
      </c>
      <c r="D152" s="11" t="s">
        <v>140</v>
      </c>
      <c r="E152" s="11" t="s">
        <v>141</v>
      </c>
      <c r="F152" s="11" t="s">
        <v>142</v>
      </c>
      <c r="G152" s="11" t="s">
        <v>143</v>
      </c>
      <c r="H152" s="11" t="s">
        <v>144</v>
      </c>
      <c r="I152" s="11" t="s">
        <v>145</v>
      </c>
      <c r="J152" s="11" t="s">
        <v>0</v>
      </c>
    </row>
    <row r="153" spans="1:91">
      <c r="A153">
        <v>1</v>
      </c>
      <c r="B153" t="str">
        <f t="shared" ref="B153:B167" si="66">B79</f>
        <v>coal for existing plants</v>
      </c>
      <c r="C153">
        <v>96.25</v>
      </c>
      <c r="D153">
        <v>1E-3</v>
      </c>
      <c r="E153">
        <v>1.4E-3</v>
      </c>
      <c r="F153">
        <v>0.62619999999999998</v>
      </c>
      <c r="G153">
        <v>0.3</v>
      </c>
      <c r="H153">
        <v>0.02</v>
      </c>
      <c r="I153">
        <v>5.0000000000000001E-3</v>
      </c>
    </row>
    <row r="154" spans="1:91">
      <c r="A154">
        <v>2</v>
      </c>
      <c r="B154" t="str">
        <f t="shared" si="66"/>
        <v>coal for new plants</v>
      </c>
      <c r="C154">
        <v>96.25</v>
      </c>
      <c r="D154">
        <v>1E-3</v>
      </c>
      <c r="E154">
        <v>1.4E-3</v>
      </c>
      <c r="F154">
        <v>0</v>
      </c>
      <c r="G154">
        <v>0.3</v>
      </c>
      <c r="H154">
        <v>0.02</v>
      </c>
      <c r="I154">
        <v>5.0000000000000001E-3</v>
      </c>
      <c r="K154" t="s">
        <v>675</v>
      </c>
    </row>
    <row r="155" spans="1:91">
      <c r="A155">
        <v>3</v>
      </c>
      <c r="B155" t="str">
        <f t="shared" si="66"/>
        <v>natural gas</v>
      </c>
      <c r="C155">
        <v>56.1</v>
      </c>
      <c r="D155">
        <v>1E-3</v>
      </c>
      <c r="E155">
        <v>1E-4</v>
      </c>
      <c r="F155">
        <v>0</v>
      </c>
      <c r="G155">
        <v>0.15</v>
      </c>
      <c r="H155">
        <v>0.02</v>
      </c>
      <c r="I155">
        <v>5.0000000000000001E-3</v>
      </c>
    </row>
    <row r="156" spans="1:91">
      <c r="A156">
        <v>4</v>
      </c>
      <c r="B156" t="str">
        <f t="shared" si="66"/>
        <v>diesel</v>
      </c>
      <c r="C156">
        <v>74.066699999999997</v>
      </c>
      <c r="D156">
        <v>3.0000000000000001E-3</v>
      </c>
      <c r="E156">
        <v>5.9999999999999995E-4</v>
      </c>
      <c r="F156">
        <v>0.25290000000000001</v>
      </c>
      <c r="G156">
        <v>0.2</v>
      </c>
      <c r="H156">
        <v>1.4999999999999999E-2</v>
      </c>
      <c r="I156">
        <v>5.0000000000000001E-3</v>
      </c>
    </row>
    <row r="157" spans="1:91">
      <c r="A157">
        <v>5</v>
      </c>
      <c r="B157" t="str">
        <f t="shared" si="66"/>
        <v>paraffin</v>
      </c>
      <c r="C157">
        <v>71.5</v>
      </c>
      <c r="D157">
        <v>5.0000000000000001E-4</v>
      </c>
      <c r="E157">
        <v>2E-3</v>
      </c>
      <c r="F157">
        <v>4.5900000000000003E-2</v>
      </c>
      <c r="G157">
        <v>0.3</v>
      </c>
      <c r="H157">
        <v>0.1</v>
      </c>
      <c r="I157">
        <v>0.05</v>
      </c>
    </row>
    <row r="158" spans="1:91">
      <c r="A158">
        <v>6</v>
      </c>
      <c r="B158" t="str">
        <f t="shared" si="66"/>
        <v>nuclear fuel PWR</v>
      </c>
      <c r="C158">
        <v>0</v>
      </c>
      <c r="D158">
        <v>0</v>
      </c>
      <c r="E158">
        <v>0</v>
      </c>
      <c r="F158">
        <v>0</v>
      </c>
      <c r="G158">
        <v>0</v>
      </c>
      <c r="H158">
        <v>0</v>
      </c>
      <c r="I158">
        <v>0</v>
      </c>
    </row>
    <row r="159" spans="1:91">
      <c r="A159">
        <v>7</v>
      </c>
      <c r="B159" t="str">
        <f t="shared" si="66"/>
        <v>nuclear fuel PBMR</v>
      </c>
      <c r="C159">
        <v>0</v>
      </c>
      <c r="D159">
        <v>0</v>
      </c>
      <c r="E159">
        <v>0</v>
      </c>
      <c r="F159">
        <v>0</v>
      </c>
      <c r="G159">
        <v>0</v>
      </c>
      <c r="H159">
        <v>0</v>
      </c>
      <c r="I159">
        <v>0</v>
      </c>
    </row>
    <row r="160" spans="1:91">
      <c r="A160">
        <v>8</v>
      </c>
      <c r="B160" t="str">
        <f t="shared" si="66"/>
        <v>fuelwood</v>
      </c>
      <c r="C160">
        <v>0</v>
      </c>
      <c r="D160">
        <v>0</v>
      </c>
      <c r="E160">
        <v>0</v>
      </c>
      <c r="F160">
        <v>0</v>
      </c>
      <c r="G160">
        <v>0</v>
      </c>
      <c r="H160">
        <v>0</v>
      </c>
      <c r="I160">
        <v>0</v>
      </c>
    </row>
    <row r="161" spans="1:12">
      <c r="A161">
        <v>9</v>
      </c>
      <c r="B161" t="str">
        <f t="shared" si="66"/>
        <v>renewable</v>
      </c>
      <c r="C161">
        <v>0</v>
      </c>
      <c r="D161">
        <v>0</v>
      </c>
      <c r="E161">
        <v>0</v>
      </c>
      <c r="F161">
        <v>0</v>
      </c>
      <c r="G161">
        <v>0</v>
      </c>
      <c r="H161">
        <v>0</v>
      </c>
      <c r="I161">
        <v>0</v>
      </c>
    </row>
    <row r="162" spans="1:12">
      <c r="A162">
        <v>10</v>
      </c>
      <c r="B162">
        <f t="shared" si="66"/>
        <v>0</v>
      </c>
    </row>
    <row r="163" spans="1:12">
      <c r="A163">
        <v>11</v>
      </c>
      <c r="B163">
        <f t="shared" si="66"/>
        <v>0</v>
      </c>
    </row>
    <row r="164" spans="1:12">
      <c r="A164">
        <v>12</v>
      </c>
      <c r="B164">
        <f t="shared" si="66"/>
        <v>0</v>
      </c>
    </row>
    <row r="165" spans="1:12">
      <c r="A165">
        <v>13</v>
      </c>
      <c r="B165">
        <f t="shared" si="66"/>
        <v>0</v>
      </c>
    </row>
    <row r="166" spans="1:12">
      <c r="A166">
        <v>14</v>
      </c>
      <c r="B166">
        <f t="shared" si="66"/>
        <v>0</v>
      </c>
    </row>
    <row r="167" spans="1:12">
      <c r="A167">
        <v>15</v>
      </c>
      <c r="B167" t="str">
        <f t="shared" si="66"/>
        <v>not used</v>
      </c>
      <c r="C167">
        <v>0</v>
      </c>
    </row>
    <row r="168" spans="1:12">
      <c r="D168">
        <v>2</v>
      </c>
      <c r="E168">
        <v>3</v>
      </c>
      <c r="F168">
        <v>4</v>
      </c>
      <c r="G168">
        <v>5</v>
      </c>
      <c r="H168">
        <v>6</v>
      </c>
      <c r="I168">
        <v>7</v>
      </c>
      <c r="J168">
        <v>8</v>
      </c>
    </row>
    <row r="169" spans="1:12">
      <c r="B169" s="4" t="s">
        <v>150</v>
      </c>
      <c r="L169" s="11"/>
    </row>
    <row r="170" spans="1:12">
      <c r="B170" s="11" t="s">
        <v>147</v>
      </c>
      <c r="C170" s="11" t="s">
        <v>148</v>
      </c>
      <c r="D170" s="11" t="s">
        <v>139</v>
      </c>
      <c r="E170" s="11" t="s">
        <v>140</v>
      </c>
      <c r="F170" s="11" t="s">
        <v>141</v>
      </c>
      <c r="G170" s="11" t="s">
        <v>142</v>
      </c>
      <c r="H170" s="11" t="s">
        <v>143</v>
      </c>
      <c r="I170" s="11" t="s">
        <v>144</v>
      </c>
      <c r="J170" s="11" t="s">
        <v>145</v>
      </c>
    </row>
    <row r="171" spans="1:12">
      <c r="B171" t="str">
        <f>B102</f>
        <v>Existing coal Large</v>
      </c>
      <c r="C171" t="str">
        <f>D102</f>
        <v>coal for existing plants</v>
      </c>
      <c r="D171" s="50">
        <f t="shared" ref="D171:J180" si="67">IF($E102=0,0,3.6/$E102*VLOOKUP($C171,emissions_factors_fuel,D$168)/10^6)</f>
        <v>9.9266773354162981E-4</v>
      </c>
      <c r="E171" s="50">
        <f t="shared" si="67"/>
        <v>1.0313430997835117E-8</v>
      </c>
      <c r="F171" s="50">
        <f t="shared" si="67"/>
        <v>1.4438803396969162E-8</v>
      </c>
      <c r="G171" s="50">
        <f t="shared" si="67"/>
        <v>6.4582704908443495E-6</v>
      </c>
      <c r="H171" s="50">
        <f t="shared" si="67"/>
        <v>3.0940292993505349E-6</v>
      </c>
      <c r="I171" s="50">
        <f t="shared" si="67"/>
        <v>2.0626861995670233E-7</v>
      </c>
      <c r="J171" s="50">
        <f t="shared" si="67"/>
        <v>5.1567154989175582E-8</v>
      </c>
    </row>
    <row r="172" spans="1:12">
      <c r="B172" t="str">
        <f t="shared" ref="B172:B190" si="68">B103</f>
        <v>Existing coal Small</v>
      </c>
      <c r="C172" t="str">
        <f t="shared" ref="C172:C186" si="69">D103</f>
        <v>coal for new plants</v>
      </c>
      <c r="D172" s="50">
        <f t="shared" si="67"/>
        <v>1.2278972513319131E-3</v>
      </c>
      <c r="E172" s="50">
        <f t="shared" si="67"/>
        <v>1.2757374039812084E-8</v>
      </c>
      <c r="F172" s="50">
        <f t="shared" si="67"/>
        <v>1.7860323655736918E-8</v>
      </c>
      <c r="G172" s="50">
        <f t="shared" si="67"/>
        <v>0</v>
      </c>
      <c r="H172" s="50">
        <f t="shared" si="67"/>
        <v>3.8272122119436251E-6</v>
      </c>
      <c r="I172" s="50">
        <f t="shared" si="67"/>
        <v>2.551474807962417E-7</v>
      </c>
      <c r="J172" s="50">
        <f t="shared" si="67"/>
        <v>6.3786870199060424E-8</v>
      </c>
    </row>
    <row r="173" spans="1:12">
      <c r="B173" t="str">
        <f t="shared" si="68"/>
        <v>OCGT liquid fuels</v>
      </c>
      <c r="C173" t="str">
        <f t="shared" si="69"/>
        <v>diesel</v>
      </c>
      <c r="D173" s="50">
        <f t="shared" si="67"/>
        <v>8.446973834850001E-4</v>
      </c>
      <c r="E173" s="50">
        <f t="shared" si="67"/>
        <v>3.4213650000000005E-8</v>
      </c>
      <c r="F173" s="50">
        <f t="shared" si="67"/>
        <v>6.8427299999999996E-9</v>
      </c>
      <c r="G173" s="50">
        <f t="shared" si="67"/>
        <v>2.8842106950000002E-6</v>
      </c>
      <c r="H173" s="50">
        <f t="shared" si="67"/>
        <v>2.2809099999999999E-6</v>
      </c>
      <c r="I173" s="50">
        <f t="shared" si="67"/>
        <v>1.7106825000000001E-7</v>
      </c>
      <c r="J173" s="50">
        <f t="shared" si="67"/>
        <v>5.7022750000000007E-8</v>
      </c>
    </row>
    <row r="174" spans="1:12">
      <c r="B174" t="str">
        <f t="shared" si="68"/>
        <v>PWR nuclear</v>
      </c>
      <c r="C174" t="str">
        <f t="shared" si="69"/>
        <v>nuclear fuel PWR</v>
      </c>
      <c r="D174" s="50">
        <f t="shared" si="67"/>
        <v>0</v>
      </c>
      <c r="E174" s="50">
        <f t="shared" si="67"/>
        <v>0</v>
      </c>
      <c r="F174" s="50">
        <f t="shared" si="67"/>
        <v>0</v>
      </c>
      <c r="G174" s="50">
        <f t="shared" si="67"/>
        <v>0</v>
      </c>
      <c r="H174" s="50">
        <f t="shared" si="67"/>
        <v>0</v>
      </c>
      <c r="I174" s="50">
        <f t="shared" si="67"/>
        <v>0</v>
      </c>
      <c r="J174" s="50">
        <f t="shared" si="67"/>
        <v>0</v>
      </c>
    </row>
    <row r="175" spans="1:12">
      <c r="B175" t="str">
        <f t="shared" si="68"/>
        <v>Hydro</v>
      </c>
      <c r="C175" t="str">
        <f t="shared" si="69"/>
        <v>renewable</v>
      </c>
      <c r="D175" s="50">
        <f t="shared" si="67"/>
        <v>0</v>
      </c>
      <c r="E175" s="50">
        <f t="shared" si="67"/>
        <v>0</v>
      </c>
      <c r="F175" s="50">
        <f t="shared" si="67"/>
        <v>0</v>
      </c>
      <c r="G175" s="50">
        <f t="shared" si="67"/>
        <v>0</v>
      </c>
      <c r="H175" s="50">
        <f t="shared" si="67"/>
        <v>0</v>
      </c>
      <c r="I175" s="50">
        <f t="shared" si="67"/>
        <v>0</v>
      </c>
      <c r="J175" s="50">
        <f t="shared" si="67"/>
        <v>0</v>
      </c>
    </row>
    <row r="176" spans="1:12">
      <c r="B176" t="str">
        <f t="shared" si="68"/>
        <v>Landfill gas</v>
      </c>
      <c r="C176" t="str">
        <f t="shared" si="69"/>
        <v>renewable</v>
      </c>
      <c r="D176" s="50">
        <f t="shared" si="67"/>
        <v>0</v>
      </c>
      <c r="E176" s="50">
        <f t="shared" si="67"/>
        <v>0</v>
      </c>
      <c r="F176" s="50">
        <f t="shared" si="67"/>
        <v>0</v>
      </c>
      <c r="G176" s="50">
        <f t="shared" si="67"/>
        <v>0</v>
      </c>
      <c r="H176" s="50">
        <f t="shared" si="67"/>
        <v>0</v>
      </c>
      <c r="I176" s="50">
        <f t="shared" si="67"/>
        <v>0</v>
      </c>
      <c r="J176" s="50">
        <f t="shared" si="67"/>
        <v>0</v>
      </c>
    </row>
    <row r="177" spans="2:10">
      <c r="B177" t="str">
        <f t="shared" si="68"/>
        <v>Biomass</v>
      </c>
      <c r="C177" t="str">
        <f t="shared" si="69"/>
        <v>fuelwood</v>
      </c>
      <c r="D177" s="50">
        <f t="shared" si="67"/>
        <v>0</v>
      </c>
      <c r="E177" s="50">
        <f t="shared" si="67"/>
        <v>0</v>
      </c>
      <c r="F177" s="50">
        <f t="shared" si="67"/>
        <v>0</v>
      </c>
      <c r="G177" s="50">
        <f t="shared" si="67"/>
        <v>0</v>
      </c>
      <c r="H177" s="50">
        <f t="shared" si="67"/>
        <v>0</v>
      </c>
      <c r="I177" s="50">
        <f t="shared" si="67"/>
        <v>0</v>
      </c>
      <c r="J177" s="50">
        <f t="shared" si="67"/>
        <v>0</v>
      </c>
    </row>
    <row r="178" spans="2:10">
      <c r="B178" t="str">
        <f t="shared" si="68"/>
        <v>Supercritical coal</v>
      </c>
      <c r="C178" t="str">
        <f t="shared" si="69"/>
        <v>coal for new plants</v>
      </c>
      <c r="D178" s="50">
        <f t="shared" si="67"/>
        <v>9.3420250000000003E-4</v>
      </c>
      <c r="E178" s="50">
        <f t="shared" si="67"/>
        <v>9.7059999999999994E-9</v>
      </c>
      <c r="F178" s="50">
        <f t="shared" si="67"/>
        <v>1.3588399999999999E-8</v>
      </c>
      <c r="G178" s="50">
        <f t="shared" si="67"/>
        <v>0</v>
      </c>
      <c r="H178" s="50">
        <f t="shared" si="67"/>
        <v>2.9117999999999998E-6</v>
      </c>
      <c r="I178" s="50">
        <f t="shared" si="67"/>
        <v>1.9411999999999999E-7</v>
      </c>
      <c r="J178" s="50">
        <f t="shared" si="67"/>
        <v>4.8529999999999998E-8</v>
      </c>
    </row>
    <row r="179" spans="2:10">
      <c r="B179" t="str">
        <f t="shared" si="68"/>
        <v xml:space="preserve">Wind 30% </v>
      </c>
      <c r="C179" t="str">
        <f t="shared" si="69"/>
        <v>renewable</v>
      </c>
      <c r="D179" s="50">
        <f t="shared" si="67"/>
        <v>0</v>
      </c>
      <c r="E179" s="50">
        <f t="shared" si="67"/>
        <v>0</v>
      </c>
      <c r="F179" s="50">
        <f t="shared" si="67"/>
        <v>0</v>
      </c>
      <c r="G179" s="50">
        <f t="shared" si="67"/>
        <v>0</v>
      </c>
      <c r="H179" s="50">
        <f t="shared" si="67"/>
        <v>0</v>
      </c>
      <c r="I179" s="50">
        <f t="shared" si="67"/>
        <v>0</v>
      </c>
      <c r="J179" s="50">
        <f t="shared" si="67"/>
        <v>0</v>
      </c>
    </row>
    <row r="180" spans="2:10">
      <c r="B180" t="str">
        <f t="shared" si="68"/>
        <v>Wind 25%</v>
      </c>
      <c r="C180" t="str">
        <f t="shared" si="69"/>
        <v>renewable</v>
      </c>
      <c r="D180" s="50">
        <f t="shared" si="67"/>
        <v>0</v>
      </c>
      <c r="E180" s="50">
        <f t="shared" si="67"/>
        <v>0</v>
      </c>
      <c r="F180" s="50">
        <f t="shared" si="67"/>
        <v>0</v>
      </c>
      <c r="G180" s="50">
        <f t="shared" si="67"/>
        <v>0</v>
      </c>
      <c r="H180" s="50">
        <f t="shared" si="67"/>
        <v>0</v>
      </c>
      <c r="I180" s="50">
        <f t="shared" si="67"/>
        <v>0</v>
      </c>
      <c r="J180" s="50">
        <f t="shared" si="67"/>
        <v>0</v>
      </c>
    </row>
    <row r="181" spans="2:10">
      <c r="B181" t="str">
        <f t="shared" si="68"/>
        <v>solar thermal central reciever</v>
      </c>
      <c r="C181" t="str">
        <f t="shared" si="69"/>
        <v>renewable</v>
      </c>
      <c r="D181" s="50">
        <f t="shared" ref="D181:J190" si="70">IF($E112=0,0,3.6/$E112*VLOOKUP($C181,emissions_factors_fuel,D$168)/10^6)</f>
        <v>0</v>
      </c>
      <c r="E181" s="50">
        <f t="shared" si="70"/>
        <v>0</v>
      </c>
      <c r="F181" s="50">
        <f t="shared" si="70"/>
        <v>0</v>
      </c>
      <c r="G181" s="50">
        <f t="shared" si="70"/>
        <v>0</v>
      </c>
      <c r="H181" s="50">
        <f t="shared" si="70"/>
        <v>0</v>
      </c>
      <c r="I181" s="50">
        <f t="shared" si="70"/>
        <v>0</v>
      </c>
      <c r="J181" s="50">
        <f t="shared" si="70"/>
        <v>0</v>
      </c>
    </row>
    <row r="182" spans="2:10">
      <c r="B182" t="str">
        <f t="shared" si="68"/>
        <v>solar thermal trough</v>
      </c>
      <c r="C182" t="str">
        <f t="shared" si="69"/>
        <v>renewable</v>
      </c>
      <c r="D182" s="50">
        <f t="shared" si="70"/>
        <v>0</v>
      </c>
      <c r="E182" s="50">
        <f t="shared" si="70"/>
        <v>0</v>
      </c>
      <c r="F182" s="50">
        <f t="shared" si="70"/>
        <v>0</v>
      </c>
      <c r="G182" s="50">
        <f t="shared" si="70"/>
        <v>0</v>
      </c>
      <c r="H182" s="50">
        <f t="shared" si="70"/>
        <v>0</v>
      </c>
      <c r="I182" s="50">
        <f t="shared" si="70"/>
        <v>0</v>
      </c>
      <c r="J182" s="50">
        <f t="shared" si="70"/>
        <v>0</v>
      </c>
    </row>
    <row r="183" spans="2:10">
      <c r="B183" t="str">
        <f t="shared" si="68"/>
        <v>solar PV</v>
      </c>
      <c r="C183" t="str">
        <f t="shared" si="69"/>
        <v>renewable</v>
      </c>
      <c r="D183" s="50">
        <f t="shared" si="70"/>
        <v>0</v>
      </c>
      <c r="E183" s="50">
        <f t="shared" si="70"/>
        <v>0</v>
      </c>
      <c r="F183" s="50">
        <f t="shared" si="70"/>
        <v>0</v>
      </c>
      <c r="G183" s="50">
        <f t="shared" si="70"/>
        <v>0</v>
      </c>
      <c r="H183" s="50">
        <f t="shared" si="70"/>
        <v>0</v>
      </c>
      <c r="I183" s="50">
        <f t="shared" si="70"/>
        <v>0</v>
      </c>
      <c r="J183" s="50">
        <f t="shared" si="70"/>
        <v>0</v>
      </c>
    </row>
    <row r="184" spans="2:10">
      <c r="B184" t="str">
        <f t="shared" si="68"/>
        <v>combined cycle gas</v>
      </c>
      <c r="C184" t="str">
        <f t="shared" si="69"/>
        <v>natural gas</v>
      </c>
      <c r="D184" s="50">
        <f t="shared" ref="D184:J184" si="71">IF($E115=0,0,3.6/$E115*VLOOKUP($C184,emissions_factors_fuel,D$168,FALSE)/10^6)</f>
        <v>4.2589885799999995E-4</v>
      </c>
      <c r="E184" s="50">
        <f t="shared" si="71"/>
        <v>7.5917799999999988E-9</v>
      </c>
      <c r="F184" s="50">
        <f t="shared" si="71"/>
        <v>7.5917799999999994E-10</v>
      </c>
      <c r="G184" s="50">
        <f t="shared" si="71"/>
        <v>0</v>
      </c>
      <c r="H184" s="50">
        <f t="shared" si="71"/>
        <v>1.1387669999999999E-6</v>
      </c>
      <c r="I184" s="50">
        <f t="shared" si="71"/>
        <v>1.5183559999999999E-7</v>
      </c>
      <c r="J184" s="50">
        <f t="shared" si="71"/>
        <v>3.7958899999999997E-8</v>
      </c>
    </row>
    <row r="185" spans="2:10">
      <c r="B185" t="str">
        <f t="shared" si="68"/>
        <v>PBMR</v>
      </c>
      <c r="C185" t="str">
        <f t="shared" si="69"/>
        <v>nuclear fuel PBMR</v>
      </c>
      <c r="D185" s="50">
        <f t="shared" si="70"/>
        <v>0</v>
      </c>
      <c r="E185" s="50">
        <f t="shared" si="70"/>
        <v>0</v>
      </c>
      <c r="F185" s="50">
        <f t="shared" si="70"/>
        <v>0</v>
      </c>
      <c r="G185" s="50">
        <f t="shared" si="70"/>
        <v>0</v>
      </c>
      <c r="H185" s="50">
        <f t="shared" si="70"/>
        <v>0</v>
      </c>
      <c r="I185" s="50">
        <f t="shared" si="70"/>
        <v>0</v>
      </c>
      <c r="J185" s="50">
        <f t="shared" si="70"/>
        <v>0</v>
      </c>
    </row>
    <row r="186" spans="2:10">
      <c r="B186" t="str">
        <f t="shared" si="68"/>
        <v>IGCC</v>
      </c>
      <c r="C186" t="str">
        <f t="shared" si="69"/>
        <v>coal for new plants</v>
      </c>
      <c r="D186" s="50">
        <f t="shared" si="70"/>
        <v>8.9003096874999991E-4</v>
      </c>
      <c r="E186" s="50">
        <f t="shared" si="70"/>
        <v>9.2470749999999991E-9</v>
      </c>
      <c r="F186" s="50">
        <f t="shared" si="70"/>
        <v>1.2945904999999998E-8</v>
      </c>
      <c r="G186" s="50">
        <f t="shared" si="70"/>
        <v>0</v>
      </c>
      <c r="H186" s="50">
        <f t="shared" si="70"/>
        <v>2.7741224999999993E-6</v>
      </c>
      <c r="I186" s="50">
        <f t="shared" si="70"/>
        <v>1.8494149999999998E-7</v>
      </c>
      <c r="J186" s="50">
        <f t="shared" si="70"/>
        <v>4.6235374999999994E-8</v>
      </c>
    </row>
    <row r="187" spans="2:10">
      <c r="B187" t="str">
        <f t="shared" si="68"/>
        <v>-</v>
      </c>
      <c r="D187" s="50">
        <f t="shared" si="70"/>
        <v>0</v>
      </c>
      <c r="E187" s="50">
        <f t="shared" si="70"/>
        <v>0</v>
      </c>
      <c r="F187" s="50">
        <f t="shared" si="70"/>
        <v>0</v>
      </c>
      <c r="G187" s="50">
        <f t="shared" si="70"/>
        <v>0</v>
      </c>
      <c r="H187" s="50">
        <f t="shared" si="70"/>
        <v>0</v>
      </c>
      <c r="I187" s="50">
        <f t="shared" si="70"/>
        <v>0</v>
      </c>
      <c r="J187" s="50">
        <f t="shared" si="70"/>
        <v>0</v>
      </c>
    </row>
    <row r="188" spans="2:10">
      <c r="B188" t="str">
        <f>B119</f>
        <v>-</v>
      </c>
      <c r="D188" s="50">
        <f t="shared" si="70"/>
        <v>0</v>
      </c>
      <c r="E188" s="50">
        <f t="shared" si="70"/>
        <v>0</v>
      </c>
      <c r="F188" s="50">
        <f t="shared" si="70"/>
        <v>0</v>
      </c>
      <c r="G188" s="50">
        <f t="shared" si="70"/>
        <v>0</v>
      </c>
      <c r="H188" s="50">
        <f t="shared" si="70"/>
        <v>0</v>
      </c>
      <c r="I188" s="50">
        <f t="shared" si="70"/>
        <v>0</v>
      </c>
      <c r="J188" s="50">
        <f t="shared" si="70"/>
        <v>0</v>
      </c>
    </row>
    <row r="189" spans="2:10">
      <c r="B189" t="str">
        <f t="shared" si="68"/>
        <v>-</v>
      </c>
      <c r="D189" s="50">
        <f t="shared" si="70"/>
        <v>0</v>
      </c>
      <c r="E189" s="50">
        <f t="shared" si="70"/>
        <v>0</v>
      </c>
      <c r="F189" s="50">
        <f t="shared" si="70"/>
        <v>0</v>
      </c>
      <c r="G189" s="50">
        <f t="shared" si="70"/>
        <v>0</v>
      </c>
      <c r="H189" s="50">
        <f t="shared" si="70"/>
        <v>0</v>
      </c>
      <c r="I189" s="50">
        <f t="shared" si="70"/>
        <v>0</v>
      </c>
      <c r="J189" s="50">
        <f t="shared" si="70"/>
        <v>0</v>
      </c>
    </row>
    <row r="190" spans="2:10">
      <c r="B190" t="str">
        <f t="shared" si="68"/>
        <v>Pumped storage</v>
      </c>
      <c r="D190" s="50">
        <f t="shared" si="70"/>
        <v>0</v>
      </c>
      <c r="E190" s="50">
        <f t="shared" si="70"/>
        <v>0</v>
      </c>
      <c r="F190" s="50">
        <f t="shared" si="70"/>
        <v>0</v>
      </c>
      <c r="G190" s="50">
        <f t="shared" si="70"/>
        <v>0</v>
      </c>
      <c r="H190" s="50">
        <f t="shared" si="70"/>
        <v>0</v>
      </c>
      <c r="I190" s="50">
        <f t="shared" si="70"/>
        <v>0</v>
      </c>
      <c r="J190" s="50">
        <f t="shared" si="70"/>
        <v>0</v>
      </c>
    </row>
  </sheetData>
  <dataValidations disablePrompts="1" count="1">
    <dataValidation type="list" allowBlank="1" showInputMessage="1" showErrorMessage="1" sqref="B12">
      <formula1>$B$7:$B$9</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sheetPr codeName="Sheet18">
    <tabColor theme="5" tint="0.79998168889431442"/>
  </sheetPr>
  <dimension ref="A1:AV48"/>
  <sheetViews>
    <sheetView zoomScale="115" zoomScaleNormal="115" workbookViewId="0">
      <selection activeCell="A26" sqref="A26:B28"/>
    </sheetView>
  </sheetViews>
  <sheetFormatPr defaultRowHeight="12.75"/>
  <cols>
    <col min="1" max="1" width="21" customWidth="1"/>
  </cols>
  <sheetData>
    <row r="1" spans="1:48" ht="19.5" customHeight="1">
      <c r="J1" s="4" t="s">
        <v>704</v>
      </c>
      <c r="P1" s="4" t="s">
        <v>696</v>
      </c>
    </row>
    <row r="2" spans="1:48">
      <c r="A2" s="4" t="s">
        <v>665</v>
      </c>
      <c r="K2" s="11" t="s">
        <v>256</v>
      </c>
      <c r="M2" s="322" t="s">
        <v>118</v>
      </c>
      <c r="N2" s="322"/>
    </row>
    <row r="3" spans="1:48">
      <c r="A3" s="11" t="s">
        <v>685</v>
      </c>
    </row>
    <row r="4" spans="1:48">
      <c r="AA4" s="4" t="s">
        <v>664</v>
      </c>
    </row>
    <row r="5" spans="1:48">
      <c r="A5" s="91" t="s">
        <v>14</v>
      </c>
      <c r="B5" s="91" t="s">
        <v>663</v>
      </c>
      <c r="AB5">
        <v>2010</v>
      </c>
      <c r="AC5">
        <v>2011</v>
      </c>
      <c r="AD5">
        <v>2012</v>
      </c>
      <c r="AE5">
        <v>2013</v>
      </c>
      <c r="AF5">
        <v>2014</v>
      </c>
      <c r="AG5">
        <v>2015</v>
      </c>
      <c r="AH5">
        <v>2016</v>
      </c>
      <c r="AI5">
        <v>2017</v>
      </c>
      <c r="AJ5">
        <v>2018</v>
      </c>
      <c r="AK5">
        <v>2019</v>
      </c>
      <c r="AL5">
        <v>2020</v>
      </c>
      <c r="AM5">
        <v>2021</v>
      </c>
      <c r="AN5">
        <v>2022</v>
      </c>
      <c r="AO5">
        <v>2023</v>
      </c>
      <c r="AP5">
        <v>2024</v>
      </c>
      <c r="AQ5">
        <v>2025</v>
      </c>
      <c r="AR5">
        <v>2026</v>
      </c>
      <c r="AS5">
        <v>2027</v>
      </c>
      <c r="AT5">
        <v>2028</v>
      </c>
      <c r="AU5">
        <v>2029</v>
      </c>
      <c r="AV5">
        <v>2030</v>
      </c>
    </row>
    <row r="6" spans="1:48">
      <c r="A6" s="58" t="str">
        <f>'Tech Parameters'!B6</f>
        <v>Existing coal Large</v>
      </c>
      <c r="B6" t="s">
        <v>592</v>
      </c>
      <c r="AA6" t="str">
        <f t="shared" ref="AA6:AA25" si="0">A6</f>
        <v>Existing coal Large</v>
      </c>
      <c r="AB6" t="str">
        <f>IF($B6="y",'Tech Parameters'!I96/10,"")</f>
        <v/>
      </c>
      <c r="AC6" t="str">
        <f>IF($B6="y",'Tech Parameters'!J96/10,"")</f>
        <v/>
      </c>
      <c r="AD6" t="str">
        <f>IF($B6="y",'Tech Parameters'!K96/10,"")</f>
        <v/>
      </c>
      <c r="AE6" t="str">
        <f>IF($B6="y",'Tech Parameters'!L96/10,"")</f>
        <v/>
      </c>
      <c r="AF6" t="str">
        <f>IF($B6="y",'Tech Parameters'!M96/10,"")</f>
        <v/>
      </c>
      <c r="AG6" t="str">
        <f>IF($B6="y",'Tech Parameters'!N96/10,"")</f>
        <v/>
      </c>
      <c r="AH6" t="str">
        <f>IF($B6="y",'Tech Parameters'!O96/10,"")</f>
        <v/>
      </c>
      <c r="AI6" t="str">
        <f>IF($B6="y",'Tech Parameters'!P96/10,"")</f>
        <v/>
      </c>
      <c r="AJ6" t="str">
        <f>IF($B6="y",'Tech Parameters'!Q96/10,"")</f>
        <v/>
      </c>
      <c r="AK6" t="str">
        <f>IF($B6="y",'Tech Parameters'!R96/10,"")</f>
        <v/>
      </c>
      <c r="AL6" t="str">
        <f>IF($B6="y",'Tech Parameters'!S96/10,"")</f>
        <v/>
      </c>
      <c r="AM6" t="str">
        <f>IF($B6="y",'Tech Parameters'!T96/10,"")</f>
        <v/>
      </c>
      <c r="AN6" t="str">
        <f>IF($B6="y",'Tech Parameters'!U96/10,"")</f>
        <v/>
      </c>
      <c r="AO6" t="str">
        <f>IF($B6="y",'Tech Parameters'!V96/10,"")</f>
        <v/>
      </c>
      <c r="AP6" t="str">
        <f>IF($B6="y",'Tech Parameters'!W96/10,"")</f>
        <v/>
      </c>
      <c r="AQ6" t="str">
        <f>IF($B6="y",'Tech Parameters'!X96/10,"")</f>
        <v/>
      </c>
      <c r="AR6" t="str">
        <f>IF($B6="y",'Tech Parameters'!Y96/10,"")</f>
        <v/>
      </c>
      <c r="AS6" t="str">
        <f>IF($B6="y",'Tech Parameters'!Z96/10,"")</f>
        <v/>
      </c>
      <c r="AT6" t="str">
        <f>IF($B6="y",'Tech Parameters'!AA96/10,"")</f>
        <v/>
      </c>
      <c r="AU6" t="str">
        <f>IF($B6="y",'Tech Parameters'!AB96/10,"")</f>
        <v/>
      </c>
      <c r="AV6" t="str">
        <f>IF($B6="y",'Tech Parameters'!AC96/10,"")</f>
        <v/>
      </c>
    </row>
    <row r="7" spans="1:48">
      <c r="A7" s="58" t="str">
        <f>'Tech Parameters'!B7</f>
        <v>Existing coal Small</v>
      </c>
      <c r="B7" t="s">
        <v>592</v>
      </c>
      <c r="AA7" t="str">
        <f t="shared" si="0"/>
        <v>Existing coal Small</v>
      </c>
      <c r="AB7" t="str">
        <f>IF($B7="y",'Tech Parameters'!I97/10,"")</f>
        <v/>
      </c>
      <c r="AC7" t="str">
        <f>IF($B7="y",'Tech Parameters'!J97/10,"")</f>
        <v/>
      </c>
      <c r="AD7" t="str">
        <f>IF($B7="y",'Tech Parameters'!K97/10,"")</f>
        <v/>
      </c>
      <c r="AE7" t="str">
        <f>IF($B7="y",'Tech Parameters'!L97/10,"")</f>
        <v/>
      </c>
      <c r="AF7" t="str">
        <f>IF($B7="y",'Tech Parameters'!M97/10,"")</f>
        <v/>
      </c>
      <c r="AG7" t="str">
        <f>IF($B7="y",'Tech Parameters'!N97/10,"")</f>
        <v/>
      </c>
      <c r="AH7" t="str">
        <f>IF($B7="y",'Tech Parameters'!O97/10,"")</f>
        <v/>
      </c>
      <c r="AI7" t="str">
        <f>IF($B7="y",'Tech Parameters'!P97/10,"")</f>
        <v/>
      </c>
      <c r="AJ7" t="str">
        <f>IF($B7="y",'Tech Parameters'!Q97/10,"")</f>
        <v/>
      </c>
      <c r="AK7" t="str">
        <f>IF($B7="y",'Tech Parameters'!R97/10,"")</f>
        <v/>
      </c>
      <c r="AL7" t="str">
        <f>IF($B7="y",'Tech Parameters'!S97/10,"")</f>
        <v/>
      </c>
      <c r="AM7" t="str">
        <f>IF($B7="y",'Tech Parameters'!T97/10,"")</f>
        <v/>
      </c>
      <c r="AN7" t="str">
        <f>IF($B7="y",'Tech Parameters'!U97/10,"")</f>
        <v/>
      </c>
      <c r="AO7" t="str">
        <f>IF($B7="y",'Tech Parameters'!V97/10,"")</f>
        <v/>
      </c>
      <c r="AP7" t="str">
        <f>IF($B7="y",'Tech Parameters'!W97/10,"")</f>
        <v/>
      </c>
      <c r="AQ7" t="str">
        <f>IF($B7="y",'Tech Parameters'!X97/10,"")</f>
        <v/>
      </c>
      <c r="AR7" t="str">
        <f>IF($B7="y",'Tech Parameters'!Y97/10,"")</f>
        <v/>
      </c>
      <c r="AS7" t="str">
        <f>IF($B7="y",'Tech Parameters'!Z97/10,"")</f>
        <v/>
      </c>
      <c r="AT7" t="str">
        <f>IF($B7="y",'Tech Parameters'!AA97/10,"")</f>
        <v/>
      </c>
      <c r="AU7" t="str">
        <f>IF($B7="y",'Tech Parameters'!AB97/10,"")</f>
        <v/>
      </c>
      <c r="AV7" t="str">
        <f>IF($B7="y",'Tech Parameters'!AC97/10,"")</f>
        <v/>
      </c>
    </row>
    <row r="8" spans="1:48">
      <c r="A8" s="58" t="str">
        <f>'Tech Parameters'!B8</f>
        <v>OCGT liquid fuels</v>
      </c>
      <c r="B8" t="s">
        <v>592</v>
      </c>
      <c r="AA8" t="str">
        <f t="shared" si="0"/>
        <v>OCGT liquid fuels</v>
      </c>
      <c r="AB8" t="str">
        <f>IF($B8="y",'Tech Parameters'!I98/10,"")</f>
        <v/>
      </c>
      <c r="AC8" t="str">
        <f>IF($B8="y",'Tech Parameters'!J98/10,"")</f>
        <v/>
      </c>
      <c r="AD8" t="str">
        <f>IF($B8="y",'Tech Parameters'!K98/10,"")</f>
        <v/>
      </c>
      <c r="AE8" t="str">
        <f>IF($B8="y",'Tech Parameters'!L98/10,"")</f>
        <v/>
      </c>
      <c r="AF8" t="str">
        <f>IF($B8="y",'Tech Parameters'!M98/10,"")</f>
        <v/>
      </c>
      <c r="AG8" t="str">
        <f>IF($B8="y",'Tech Parameters'!N98/10,"")</f>
        <v/>
      </c>
      <c r="AH8" t="str">
        <f>IF($B8="y",'Tech Parameters'!O98/10,"")</f>
        <v/>
      </c>
      <c r="AI8" t="str">
        <f>IF($B8="y",'Tech Parameters'!P98/10,"")</f>
        <v/>
      </c>
      <c r="AJ8" t="str">
        <f>IF($B8="y",'Tech Parameters'!Q98/10,"")</f>
        <v/>
      </c>
      <c r="AK8" t="str">
        <f>IF($B8="y",'Tech Parameters'!R98/10,"")</f>
        <v/>
      </c>
      <c r="AL8" t="str">
        <f>IF($B8="y",'Tech Parameters'!S98/10,"")</f>
        <v/>
      </c>
      <c r="AM8" t="str">
        <f>IF($B8="y",'Tech Parameters'!T98/10,"")</f>
        <v/>
      </c>
      <c r="AN8" t="str">
        <f>IF($B8="y",'Tech Parameters'!U98/10,"")</f>
        <v/>
      </c>
      <c r="AO8" t="str">
        <f>IF($B8="y",'Tech Parameters'!V98/10,"")</f>
        <v/>
      </c>
      <c r="AP8" t="str">
        <f>IF($B8="y",'Tech Parameters'!W98/10,"")</f>
        <v/>
      </c>
      <c r="AQ8" t="str">
        <f>IF($B8="y",'Tech Parameters'!X98/10,"")</f>
        <v/>
      </c>
      <c r="AR8" t="str">
        <f>IF($B8="y",'Tech Parameters'!Y98/10,"")</f>
        <v/>
      </c>
      <c r="AS8" t="str">
        <f>IF($B8="y",'Tech Parameters'!Z98/10,"")</f>
        <v/>
      </c>
      <c r="AT8" t="str">
        <f>IF($B8="y",'Tech Parameters'!AA98/10,"")</f>
        <v/>
      </c>
      <c r="AU8" t="str">
        <f>IF($B8="y",'Tech Parameters'!AB98/10,"")</f>
        <v/>
      </c>
      <c r="AV8" t="str">
        <f>IF($B8="y",'Tech Parameters'!AC98/10,"")</f>
        <v/>
      </c>
    </row>
    <row r="9" spans="1:48">
      <c r="A9" s="58" t="str">
        <f>'Tech Parameters'!B9</f>
        <v>PWR nuclear</v>
      </c>
      <c r="B9" t="s">
        <v>591</v>
      </c>
      <c r="AA9" t="str">
        <f t="shared" si="0"/>
        <v>PWR nuclear</v>
      </c>
      <c r="AB9">
        <f ca="1">IF($B9="y",'Tech Parameters'!I99/10,"")</f>
        <v>68.933745699382854</v>
      </c>
      <c r="AC9">
        <f ca="1">IF($B9="y",'Tech Parameters'!J99/10,"")</f>
        <v>68.959890504217782</v>
      </c>
      <c r="AD9">
        <f ca="1">IF($B9="y",'Tech Parameters'!K99/10,"")</f>
        <v>68.985677951158777</v>
      </c>
      <c r="AE9">
        <f ca="1">IF($B9="y",'Tech Parameters'!L99/10,"")</f>
        <v>69.011057445224566</v>
      </c>
      <c r="AF9">
        <f ca="1">IF($B9="y",'Tech Parameters'!M99/10,"")</f>
        <v>69.035973257639768</v>
      </c>
      <c r="AG9">
        <f ca="1">IF($B9="y",'Tech Parameters'!N99/10,"")</f>
        <v>69.060364012084051</v>
      </c>
      <c r="AH9">
        <f ca="1">IF($B9="y",'Tech Parameters'!O99/10,"")</f>
        <v>69.084162119564255</v>
      </c>
      <c r="AI9">
        <f ca="1">IF($B9="y",'Tech Parameters'!P99/10,"")</f>
        <v>69.107293156771931</v>
      </c>
      <c r="AJ9">
        <f ca="1">IF($B9="y",'Tech Parameters'!Q99/10,"")</f>
        <v>69.12967518227471</v>
      </c>
      <c r="AK9">
        <f ca="1">IF($B9="y",'Tech Parameters'!R99/10,"")</f>
        <v>69.151217984325001</v>
      </c>
      <c r="AL9">
        <f ca="1">IF($B9="y",'Tech Parameters'!S99/10,"")</f>
        <v>69.171822253447516</v>
      </c>
      <c r="AM9">
        <f ca="1">IF($B9="y",'Tech Parameters'!T99/10,"")</f>
        <v>69.191378672283832</v>
      </c>
      <c r="AN9">
        <f ca="1">IF($B9="y",'Tech Parameters'!U99/10,"")</f>
        <v>69.209766914419319</v>
      </c>
      <c r="AO9">
        <f ca="1">IF($B9="y",'Tech Parameters'!V99/10,"")</f>
        <v>69.226854543090994</v>
      </c>
      <c r="AP9">
        <f ca="1">IF($B9="y",'Tech Parameters'!W99/10,"")</f>
        <v>69.242495799764072</v>
      </c>
      <c r="AQ9">
        <f ca="1">IF($B9="y",'Tech Parameters'!X99/10,"")</f>
        <v>69.256530271564372</v>
      </c>
      <c r="AR9">
        <f ca="1">IF($B9="y",'Tech Parameters'!Y99/10,"")</f>
        <v>69.268781425451905</v>
      </c>
      <c r="AS9">
        <f ca="1">IF($B9="y",'Tech Parameters'!Z99/10,"")</f>
        <v>69.279054995809943</v>
      </c>
      <c r="AT9">
        <f ca="1">IF($B9="y",'Tech Parameters'!AA99/10,"")</f>
        <v>69.287137210790945</v>
      </c>
      <c r="AU9">
        <f ca="1">IF($B9="y",'Tech Parameters'!AB99/10,"")</f>
        <v>69.292792841295125</v>
      </c>
      <c r="AV9">
        <f ca="1">IF($B9="y",'Tech Parameters'!AC99/10,"")</f>
        <v>69.295763054844954</v>
      </c>
    </row>
    <row r="10" spans="1:48">
      <c r="A10" s="58" t="str">
        <f>'Tech Parameters'!B10</f>
        <v>Hydro</v>
      </c>
      <c r="B10" t="s">
        <v>592</v>
      </c>
      <c r="AA10" t="str">
        <f t="shared" si="0"/>
        <v>Hydro</v>
      </c>
      <c r="AB10" t="str">
        <f>IF($B10="y",'Tech Parameters'!I100/10,"")</f>
        <v/>
      </c>
      <c r="AC10" t="str">
        <f>IF($B10="y",'Tech Parameters'!J100/10,"")</f>
        <v/>
      </c>
      <c r="AD10" t="str">
        <f>IF($B10="y",'Tech Parameters'!K100/10,"")</f>
        <v/>
      </c>
      <c r="AE10" t="str">
        <f>IF($B10="y",'Tech Parameters'!L100/10,"")</f>
        <v/>
      </c>
      <c r="AF10" t="str">
        <f>IF($B10="y",'Tech Parameters'!M100/10,"")</f>
        <v/>
      </c>
      <c r="AG10" t="str">
        <f>IF($B10="y",'Tech Parameters'!N100/10,"")</f>
        <v/>
      </c>
      <c r="AH10" t="str">
        <f>IF($B10="y",'Tech Parameters'!O100/10,"")</f>
        <v/>
      </c>
      <c r="AI10" t="str">
        <f>IF($B10="y",'Tech Parameters'!P100/10,"")</f>
        <v/>
      </c>
      <c r="AJ10" t="str">
        <f>IF($B10="y",'Tech Parameters'!Q100/10,"")</f>
        <v/>
      </c>
      <c r="AK10" t="str">
        <f>IF($B10="y",'Tech Parameters'!R100/10,"")</f>
        <v/>
      </c>
      <c r="AL10" t="str">
        <f>IF($B10="y",'Tech Parameters'!S100/10,"")</f>
        <v/>
      </c>
      <c r="AM10" t="str">
        <f>IF($B10="y",'Tech Parameters'!T100/10,"")</f>
        <v/>
      </c>
      <c r="AN10" t="str">
        <f>IF($B10="y",'Tech Parameters'!U100/10,"")</f>
        <v/>
      </c>
      <c r="AO10" t="str">
        <f>IF($B10="y",'Tech Parameters'!V100/10,"")</f>
        <v/>
      </c>
      <c r="AP10" t="str">
        <f>IF($B10="y",'Tech Parameters'!W100/10,"")</f>
        <v/>
      </c>
      <c r="AQ10" t="str">
        <f>IF($B10="y",'Tech Parameters'!X100/10,"")</f>
        <v/>
      </c>
      <c r="AR10" t="str">
        <f>IF($B10="y",'Tech Parameters'!Y100/10,"")</f>
        <v/>
      </c>
      <c r="AS10" t="str">
        <f>IF($B10="y",'Tech Parameters'!Z100/10,"")</f>
        <v/>
      </c>
      <c r="AT10" t="str">
        <f>IF($B10="y",'Tech Parameters'!AA100/10,"")</f>
        <v/>
      </c>
      <c r="AU10" t="str">
        <f>IF($B10="y",'Tech Parameters'!AB100/10,"")</f>
        <v/>
      </c>
      <c r="AV10" t="str">
        <f>IF($B10="y",'Tech Parameters'!AC100/10,"")</f>
        <v/>
      </c>
    </row>
    <row r="11" spans="1:48">
      <c r="A11" s="58" t="str">
        <f>'Tech Parameters'!B11</f>
        <v>Landfill gas</v>
      </c>
      <c r="B11" t="s">
        <v>592</v>
      </c>
      <c r="AA11" t="str">
        <f t="shared" si="0"/>
        <v>Landfill gas</v>
      </c>
      <c r="AB11" t="str">
        <f>IF($B11="y",'Tech Parameters'!I101/10,"")</f>
        <v/>
      </c>
      <c r="AC11" t="str">
        <f>IF($B11="y",'Tech Parameters'!J101/10,"")</f>
        <v/>
      </c>
      <c r="AD11" t="str">
        <f>IF($B11="y",'Tech Parameters'!K101/10,"")</f>
        <v/>
      </c>
      <c r="AE11" t="str">
        <f>IF($B11="y",'Tech Parameters'!L101/10,"")</f>
        <v/>
      </c>
      <c r="AF11" t="str">
        <f>IF($B11="y",'Tech Parameters'!M101/10,"")</f>
        <v/>
      </c>
      <c r="AG11" t="str">
        <f>IF($B11="y",'Tech Parameters'!N101/10,"")</f>
        <v/>
      </c>
      <c r="AH11" t="str">
        <f>IF($B11="y",'Tech Parameters'!O101/10,"")</f>
        <v/>
      </c>
      <c r="AI11" t="str">
        <f>IF($B11="y",'Tech Parameters'!P101/10,"")</f>
        <v/>
      </c>
      <c r="AJ11" t="str">
        <f>IF($B11="y",'Tech Parameters'!Q101/10,"")</f>
        <v/>
      </c>
      <c r="AK11" t="str">
        <f>IF($B11="y",'Tech Parameters'!R101/10,"")</f>
        <v/>
      </c>
      <c r="AL11" t="str">
        <f>IF($B11="y",'Tech Parameters'!S101/10,"")</f>
        <v/>
      </c>
      <c r="AM11" t="str">
        <f>IF($B11="y",'Tech Parameters'!T101/10,"")</f>
        <v/>
      </c>
      <c r="AN11" t="str">
        <f>IF($B11="y",'Tech Parameters'!U101/10,"")</f>
        <v/>
      </c>
      <c r="AO11" t="str">
        <f>IF($B11="y",'Tech Parameters'!V101/10,"")</f>
        <v/>
      </c>
      <c r="AP11" t="str">
        <f>IF($B11="y",'Tech Parameters'!W101/10,"")</f>
        <v/>
      </c>
      <c r="AQ11" t="str">
        <f>IF($B11="y",'Tech Parameters'!X101/10,"")</f>
        <v/>
      </c>
      <c r="AR11" t="str">
        <f>IF($B11="y",'Tech Parameters'!Y101/10,"")</f>
        <v/>
      </c>
      <c r="AS11" t="str">
        <f>IF($B11="y",'Tech Parameters'!Z101/10,"")</f>
        <v/>
      </c>
      <c r="AT11" t="str">
        <f>IF($B11="y",'Tech Parameters'!AA101/10,"")</f>
        <v/>
      </c>
      <c r="AU11" t="str">
        <f>IF($B11="y",'Tech Parameters'!AB101/10,"")</f>
        <v/>
      </c>
      <c r="AV11" t="str">
        <f>IF($B11="y",'Tech Parameters'!AC101/10,"")</f>
        <v/>
      </c>
    </row>
    <row r="12" spans="1:48">
      <c r="A12" s="58" t="str">
        <f>'Tech Parameters'!B12</f>
        <v>Biomass</v>
      </c>
      <c r="B12" t="s">
        <v>592</v>
      </c>
      <c r="AA12" t="str">
        <f t="shared" si="0"/>
        <v>Biomass</v>
      </c>
      <c r="AB12" t="str">
        <f>IF($B12="y",'Tech Parameters'!I102/10,"")</f>
        <v/>
      </c>
      <c r="AC12" t="str">
        <f>IF($B12="y",'Tech Parameters'!J102/10,"")</f>
        <v/>
      </c>
      <c r="AD12" t="str">
        <f>IF($B12="y",'Tech Parameters'!K102/10,"")</f>
        <v/>
      </c>
      <c r="AE12" t="str">
        <f>IF($B12="y",'Tech Parameters'!L102/10,"")</f>
        <v/>
      </c>
      <c r="AF12" t="str">
        <f>IF($B12="y",'Tech Parameters'!M102/10,"")</f>
        <v/>
      </c>
      <c r="AG12" t="str">
        <f>IF($B12="y",'Tech Parameters'!N102/10,"")</f>
        <v/>
      </c>
      <c r="AH12" t="str">
        <f>IF($B12="y",'Tech Parameters'!O102/10,"")</f>
        <v/>
      </c>
      <c r="AI12" t="str">
        <f>IF($B12="y",'Tech Parameters'!P102/10,"")</f>
        <v/>
      </c>
      <c r="AJ12" t="str">
        <f>IF($B12="y",'Tech Parameters'!Q102/10,"")</f>
        <v/>
      </c>
      <c r="AK12" t="str">
        <f>IF($B12="y",'Tech Parameters'!R102/10,"")</f>
        <v/>
      </c>
      <c r="AL12" t="str">
        <f>IF($B12="y",'Tech Parameters'!S102/10,"")</f>
        <v/>
      </c>
      <c r="AM12" t="str">
        <f>IF($B12="y",'Tech Parameters'!T102/10,"")</f>
        <v/>
      </c>
      <c r="AN12" t="str">
        <f>IF($B12="y",'Tech Parameters'!U102/10,"")</f>
        <v/>
      </c>
      <c r="AO12" t="str">
        <f>IF($B12="y",'Tech Parameters'!V102/10,"")</f>
        <v/>
      </c>
      <c r="AP12" t="str">
        <f>IF($B12="y",'Tech Parameters'!W102/10,"")</f>
        <v/>
      </c>
      <c r="AQ12" t="str">
        <f>IF($B12="y",'Tech Parameters'!X102/10,"")</f>
        <v/>
      </c>
      <c r="AR12" t="str">
        <f>IF($B12="y",'Tech Parameters'!Y102/10,"")</f>
        <v/>
      </c>
      <c r="AS12" t="str">
        <f>IF($B12="y",'Tech Parameters'!Z102/10,"")</f>
        <v/>
      </c>
      <c r="AT12" t="str">
        <f>IF($B12="y",'Tech Parameters'!AA102/10,"")</f>
        <v/>
      </c>
      <c r="AU12" t="str">
        <f>IF($B12="y",'Tech Parameters'!AB102/10,"")</f>
        <v/>
      </c>
      <c r="AV12" t="str">
        <f>IF($B12="y",'Tech Parameters'!AC102/10,"")</f>
        <v/>
      </c>
    </row>
    <row r="13" spans="1:48">
      <c r="A13" s="58" t="str">
        <f>'Tech Parameters'!B13</f>
        <v>Supercritical coal</v>
      </c>
      <c r="B13" t="s">
        <v>591</v>
      </c>
      <c r="AA13" t="str">
        <f t="shared" si="0"/>
        <v>Supercritical coal</v>
      </c>
      <c r="AB13">
        <f ca="1">IF($B13="y",'Tech Parameters'!I103/10,"")</f>
        <v>41.49134451659814</v>
      </c>
      <c r="AC13">
        <f ca="1">IF($B13="y",'Tech Parameters'!J103/10,"")</f>
        <v>41.441780248858265</v>
      </c>
      <c r="AD13">
        <f ca="1">IF($B13="y",'Tech Parameters'!K103/10,"")</f>
        <v>41.391573371611607</v>
      </c>
      <c r="AE13">
        <f ca="1">IF($B13="y",'Tech Parameters'!L103/10,"")</f>
        <v>41.340659623907463</v>
      </c>
      <c r="AF13">
        <f ca="1">IF($B13="y",'Tech Parameters'!M103/10,"")</f>
        <v>41.2889683187001</v>
      </c>
      <c r="AG13">
        <f ca="1">IF($B13="y",'Tech Parameters'!N103/10,"")</f>
        <v>41.236421700239198</v>
      </c>
      <c r="AH13">
        <f ca="1">IF($B13="y",'Tech Parameters'!O103/10,"")</f>
        <v>41.182934237199397</v>
      </c>
      <c r="AI13">
        <f ca="1">IF($B13="y",'Tech Parameters'!P103/10,"")</f>
        <v>41.128411845122791</v>
      </c>
      <c r="AJ13">
        <f ca="1">IF($B13="y",'Tech Parameters'!Q103/10,"")</f>
        <v>41.072751031105732</v>
      </c>
      <c r="AK13">
        <f ca="1">IF($B13="y",'Tech Parameters'!R103/10,"")</f>
        <v>41.015837952954143</v>
      </c>
      <c r="AL13">
        <f ca="1">IF($B13="y",'Tech Parameters'!S103/10,"")</f>
        <v>40.957547384254596</v>
      </c>
      <c r="AM13">
        <f ca="1">IF($B13="y",'Tech Parameters'!T103/10,"")</f>
        <v>40.897741575952274</v>
      </c>
      <c r="AN13">
        <f ca="1">IF($B13="y",'Tech Parameters'!U103/10,"")</f>
        <v>40.836269004086915</v>
      </c>
      <c r="AO13">
        <f ca="1">IF($B13="y",'Tech Parameters'!V103/10,"")</f>
        <v>40.772962992302219</v>
      </c>
      <c r="AP13">
        <f ca="1">IF($B13="y",'Tech Parameters'!W103/10,"")</f>
        <v>40.71701748124282</v>
      </c>
      <c r="AQ13">
        <f ca="1">IF($B13="y",'Tech Parameters'!X103/10,"")</f>
        <v>40.658853507881027</v>
      </c>
      <c r="AR13">
        <f ca="1">IF($B13="y",'Tech Parameters'!Y103/10,"")</f>
        <v>40.598249225986585</v>
      </c>
      <c r="AS13">
        <f ca="1">IF($B13="y",'Tech Parameters'!Z103/10,"")</f>
        <v>40.534960604706228</v>
      </c>
      <c r="AT13">
        <f ca="1">IF($B13="y",'Tech Parameters'!AA103/10,"")</f>
        <v>40.468719210101362</v>
      </c>
      <c r="AU13">
        <f ca="1">IF($B13="y",'Tech Parameters'!AB103/10,"")</f>
        <v>40.399229764839546</v>
      </c>
      <c r="AV13">
        <f ca="1">IF($B13="y",'Tech Parameters'!AC103/10,"")</f>
        <v>40.326167463855079</v>
      </c>
    </row>
    <row r="14" spans="1:48">
      <c r="A14" s="58" t="str">
        <f>'Tech Parameters'!B14</f>
        <v xml:space="preserve">Wind 30% </v>
      </c>
      <c r="B14" t="s">
        <v>591</v>
      </c>
      <c r="AA14" t="str">
        <f t="shared" si="0"/>
        <v xml:space="preserve">Wind 30% </v>
      </c>
      <c r="AB14">
        <f ca="1">IF($B14="y",'Tech Parameters'!I104/10,"")</f>
        <v>79.353393275937975</v>
      </c>
      <c r="AC14">
        <f ca="1">IF($B14="y",'Tech Parameters'!J104/10,"")</f>
        <v>77.518241807138779</v>
      </c>
      <c r="AD14">
        <f ca="1">IF($B14="y",'Tech Parameters'!K104/10,"")</f>
        <v>75.683090338339582</v>
      </c>
      <c r="AE14">
        <f ca="1">IF($B14="y",'Tech Parameters'!L104/10,"")</f>
        <v>74.031454016420298</v>
      </c>
      <c r="AF14">
        <f ca="1">IF($B14="y",'Tech Parameters'!M104/10,"")</f>
        <v>72.379817694501014</v>
      </c>
      <c r="AG14">
        <f ca="1">IF($B14="y",'Tech Parameters'!N104/10,"")</f>
        <v>70.72818137258173</v>
      </c>
      <c r="AH14">
        <f ca="1">IF($B14="y",'Tech Parameters'!O104/10,"")</f>
        <v>69.07654505066246</v>
      </c>
      <c r="AI14">
        <f ca="1">IF($B14="y",'Tech Parameters'!P104/10,"")</f>
        <v>67.887366898880586</v>
      </c>
      <c r="AJ14">
        <f ca="1">IF($B14="y",'Tech Parameters'!Q104/10,"")</f>
        <v>66.698188747098698</v>
      </c>
      <c r="AK14">
        <f ca="1">IF($B14="y",'Tech Parameters'!R104/10,"")</f>
        <v>65.509010595316838</v>
      </c>
      <c r="AL14">
        <f ca="1">IF($B14="y",'Tech Parameters'!S104/10,"")</f>
        <v>64.319832443534949</v>
      </c>
      <c r="AM14">
        <f ca="1">IF($B14="y",'Tech Parameters'!T104/10,"")</f>
        <v>63.130654291753068</v>
      </c>
      <c r="AN14">
        <f ca="1">IF($B14="y",'Tech Parameters'!U104/10,"")</f>
        <v>62.815871839810811</v>
      </c>
      <c r="AO14">
        <f ca="1">IF($B14="y",'Tech Parameters'!V104/10,"")</f>
        <v>62.501089387868547</v>
      </c>
      <c r="AP14">
        <f ca="1">IF($B14="y",'Tech Parameters'!W104/10,"")</f>
        <v>62.186306935926289</v>
      </c>
      <c r="AQ14">
        <f ca="1">IF($B14="y",'Tech Parameters'!X104/10,"")</f>
        <v>61.871524483984032</v>
      </c>
      <c r="AR14">
        <f ca="1">IF($B14="y",'Tech Parameters'!Y104/10,"")</f>
        <v>61.556742032041754</v>
      </c>
      <c r="AS14">
        <f ca="1">IF($B14="y",'Tech Parameters'!Z104/10,"")</f>
        <v>61.241959580099511</v>
      </c>
      <c r="AT14">
        <f ca="1">IF($B14="y",'Tech Parameters'!AA104/10,"")</f>
        <v>60.927177128157247</v>
      </c>
      <c r="AU14">
        <f ca="1">IF($B14="y",'Tech Parameters'!AB104/10,"")</f>
        <v>60.612394676214976</v>
      </c>
      <c r="AV14">
        <f ca="1">IF($B14="y",'Tech Parameters'!AC104/10,"")</f>
        <v>60.297612224272726</v>
      </c>
    </row>
    <row r="15" spans="1:48">
      <c r="A15" s="58" t="str">
        <f>'Tech Parameters'!B15</f>
        <v>Wind 25%</v>
      </c>
      <c r="B15" t="s">
        <v>591</v>
      </c>
      <c r="AA15" t="str">
        <f t="shared" si="0"/>
        <v>Wind 25%</v>
      </c>
      <c r="AB15">
        <f ca="1">IF($B15="y",'Tech Parameters'!I105/10,"")</f>
        <v>95.224071931125565</v>
      </c>
      <c r="AC15">
        <f ca="1">IF($B15="y",'Tech Parameters'!J105/10,"")</f>
        <v>93.021890168566529</v>
      </c>
      <c r="AD15">
        <f ca="1">IF($B15="y",'Tech Parameters'!K105/10,"")</f>
        <v>90.819708406007493</v>
      </c>
      <c r="AE15">
        <f ca="1">IF($B15="y",'Tech Parameters'!L105/10,"")</f>
        <v>88.837744819704355</v>
      </c>
      <c r="AF15">
        <f ca="1">IF($B15="y",'Tech Parameters'!M105/10,"")</f>
        <v>86.855781233401217</v>
      </c>
      <c r="AG15">
        <f ca="1">IF($B15="y",'Tech Parameters'!N105/10,"")</f>
        <v>84.873817647098065</v>
      </c>
      <c r="AH15">
        <f ca="1">IF($B15="y",'Tech Parameters'!O105/10,"")</f>
        <v>82.891854060794941</v>
      </c>
      <c r="AI15">
        <f ca="1">IF($B15="y",'Tech Parameters'!P105/10,"")</f>
        <v>81.464840278656695</v>
      </c>
      <c r="AJ15">
        <f ca="1">IF($B15="y",'Tech Parameters'!Q105/10,"")</f>
        <v>80.037826496518434</v>
      </c>
      <c r="AK15">
        <f ca="1">IF($B15="y",'Tech Parameters'!R105/10,"")</f>
        <v>78.610812714380202</v>
      </c>
      <c r="AL15">
        <f ca="1">IF($B15="y",'Tech Parameters'!S105/10,"")</f>
        <v>77.183798932241942</v>
      </c>
      <c r="AM15">
        <f ca="1">IF($B15="y",'Tech Parameters'!T105/10,"")</f>
        <v>75.756785150103681</v>
      </c>
      <c r="AN15">
        <f ca="1">IF($B15="y",'Tech Parameters'!U105/10,"")</f>
        <v>75.379046207772973</v>
      </c>
      <c r="AO15">
        <f ca="1">IF($B15="y",'Tech Parameters'!V105/10,"")</f>
        <v>75.00130726544225</v>
      </c>
      <c r="AP15">
        <f ca="1">IF($B15="y",'Tech Parameters'!W105/10,"")</f>
        <v>74.623568323111542</v>
      </c>
      <c r="AQ15">
        <f ca="1">IF($B15="y",'Tech Parameters'!X105/10,"")</f>
        <v>74.245829380780847</v>
      </c>
      <c r="AR15">
        <f ca="1">IF($B15="y",'Tech Parameters'!Y105/10,"")</f>
        <v>73.868090438450096</v>
      </c>
      <c r="AS15">
        <f ca="1">IF($B15="y",'Tech Parameters'!Z105/10,"")</f>
        <v>73.490351496119402</v>
      </c>
      <c r="AT15">
        <f ca="1">IF($B15="y",'Tech Parameters'!AA105/10,"")</f>
        <v>73.112612553788694</v>
      </c>
      <c r="AU15">
        <f ca="1">IF($B15="y",'Tech Parameters'!AB105/10,"")</f>
        <v>72.734873611457971</v>
      </c>
      <c r="AV15">
        <f ca="1">IF($B15="y",'Tech Parameters'!AC105/10,"")</f>
        <v>72.357134669127248</v>
      </c>
    </row>
    <row r="16" spans="1:48">
      <c r="A16" s="58" t="str">
        <f>'Tech Parameters'!B16</f>
        <v>solar thermal central reciever</v>
      </c>
      <c r="B16" t="s">
        <v>591</v>
      </c>
      <c r="AA16" t="str">
        <f t="shared" si="0"/>
        <v>solar thermal central reciever</v>
      </c>
      <c r="AB16">
        <f ca="1">IF($B16="y",'Tech Parameters'!I106/10,"")</f>
        <v>138.35612374732142</v>
      </c>
      <c r="AC16">
        <f ca="1">IF($B16="y",'Tech Parameters'!J106/10,"")</f>
        <v>134.95231462624281</v>
      </c>
      <c r="AD16">
        <f ca="1">IF($B16="y",'Tech Parameters'!K106/10,"")</f>
        <v>131.5485055051642</v>
      </c>
      <c r="AE16">
        <f ca="1">IF($B16="y",'Tech Parameters'!L106/10,"")</f>
        <v>128.14469638408556</v>
      </c>
      <c r="AF16">
        <f ca="1">IF($B16="y",'Tech Parameters'!M106/10,"")</f>
        <v>124.74088726300697</v>
      </c>
      <c r="AG16">
        <f ca="1">IF($B16="y",'Tech Parameters'!N106/10,"")</f>
        <v>121.3370781419284</v>
      </c>
      <c r="AH16">
        <f ca="1">IF($B16="y",'Tech Parameters'!O106/10,"")</f>
        <v>117.93326902084975</v>
      </c>
      <c r="AI16">
        <f ca="1">IF($B16="y",'Tech Parameters'!P106/10,"")</f>
        <v>115.2102217239869</v>
      </c>
      <c r="AJ16">
        <f ca="1">IF($B16="y",'Tech Parameters'!Q106/10,"")</f>
        <v>112.48717442712402</v>
      </c>
      <c r="AK16">
        <f ca="1">IF($B16="y",'Tech Parameters'!R106/10,"")</f>
        <v>109.76412713026113</v>
      </c>
      <c r="AL16">
        <f ca="1">IF($B16="y",'Tech Parameters'!S106/10,"")</f>
        <v>107.04107983339823</v>
      </c>
      <c r="AM16">
        <f ca="1">IF($B16="y",'Tech Parameters'!T106/10,"")</f>
        <v>104.31803253653534</v>
      </c>
      <c r="AN16">
        <f ca="1">IF($B16="y",'Tech Parameters'!U106/10,"")</f>
        <v>101.59498523967245</v>
      </c>
      <c r="AO16">
        <f ca="1">IF($B16="y",'Tech Parameters'!V106/10,"")</f>
        <v>98.871937942809552</v>
      </c>
      <c r="AP16">
        <f ca="1">IF($B16="y",'Tech Parameters'!W106/10,"")</f>
        <v>96.148890645946707</v>
      </c>
      <c r="AQ16">
        <f ca="1">IF($B16="y",'Tech Parameters'!X106/10,"")</f>
        <v>93.659247403100636</v>
      </c>
      <c r="AR16">
        <f ca="1">IF($B16="y",'Tech Parameters'!Y106/10,"")</f>
        <v>91.169604160254565</v>
      </c>
      <c r="AS16">
        <f ca="1">IF($B16="y",'Tech Parameters'!Z106/10,"")</f>
        <v>88.679960917408479</v>
      </c>
      <c r="AT16">
        <f ca="1">IF($B16="y",'Tech Parameters'!AA106/10,"")</f>
        <v>86.190317674562408</v>
      </c>
      <c r="AU16">
        <f ca="1">IF($B16="y",'Tech Parameters'!AB106/10,"")</f>
        <v>83.700674431716351</v>
      </c>
      <c r="AV16">
        <f ca="1">IF($B16="y",'Tech Parameters'!AC106/10,"")</f>
        <v>81.21103118887028</v>
      </c>
    </row>
    <row r="17" spans="1:48">
      <c r="A17" s="58" t="str">
        <f>'Tech Parameters'!B17</f>
        <v>solar thermal trough</v>
      </c>
      <c r="B17" t="s">
        <v>591</v>
      </c>
      <c r="AA17" t="str">
        <f t="shared" si="0"/>
        <v>solar thermal trough</v>
      </c>
      <c r="AB17">
        <f ca="1">IF($B17="y",'Tech Parameters'!I107/10,"")</f>
        <v>144.56371688102786</v>
      </c>
      <c r="AC17">
        <f ca="1">IF($B17="y",'Tech Parameters'!J107/10,"")</f>
        <v>142.01086004021892</v>
      </c>
      <c r="AD17">
        <f ca="1">IF($B17="y",'Tech Parameters'!K107/10,"")</f>
        <v>139.45800319940994</v>
      </c>
      <c r="AE17">
        <f ca="1">IF($B17="y",'Tech Parameters'!L107/10,"")</f>
        <v>136.905146358601</v>
      </c>
      <c r="AF17">
        <f ca="1">IF($B17="y",'Tech Parameters'!M107/10,"")</f>
        <v>134.35228951779203</v>
      </c>
      <c r="AG17">
        <f ca="1">IF($B17="y",'Tech Parameters'!N107/10,"")</f>
        <v>131.79943267698309</v>
      </c>
      <c r="AH17">
        <f ca="1">IF($B17="y",'Tech Parameters'!O107/10,"")</f>
        <v>129.24657583617415</v>
      </c>
      <c r="AI17">
        <f ca="1">IF($B17="y",'Tech Parameters'!P107/10,"")</f>
        <v>127.07664752148654</v>
      </c>
      <c r="AJ17">
        <f ca="1">IF($B17="y",'Tech Parameters'!Q107/10,"")</f>
        <v>124.9067192067989</v>
      </c>
      <c r="AK17">
        <f ca="1">IF($B17="y",'Tech Parameters'!R107/10,"")</f>
        <v>122.73679089211132</v>
      </c>
      <c r="AL17">
        <f ca="1">IF($B17="y",'Tech Parameters'!S107/10,"")</f>
        <v>120.56686257742368</v>
      </c>
      <c r="AM17">
        <f ca="1">IF($B17="y",'Tech Parameters'!T107/10,"")</f>
        <v>118.3969342627361</v>
      </c>
      <c r="AN17">
        <f ca="1">IF($B17="y",'Tech Parameters'!U107/10,"")</f>
        <v>116.22700594804842</v>
      </c>
      <c r="AO17">
        <f ca="1">IF($B17="y",'Tech Parameters'!V107/10,"")</f>
        <v>114.05707763336083</v>
      </c>
      <c r="AP17">
        <f ca="1">IF($B17="y",'Tech Parameters'!W107/10,"")</f>
        <v>111.88714931867325</v>
      </c>
      <c r="AQ17">
        <f ca="1">IF($B17="y",'Tech Parameters'!X107/10,"")</f>
        <v>109.77921895583384</v>
      </c>
      <c r="AR17">
        <f ca="1">IF($B17="y",'Tech Parameters'!Y107/10,"")</f>
        <v>107.67128859299446</v>
      </c>
      <c r="AS17">
        <f ca="1">IF($B17="y",'Tech Parameters'!Z107/10,"")</f>
        <v>105.56335823015506</v>
      </c>
      <c r="AT17">
        <f ca="1">IF($B17="y",'Tech Parameters'!AA107/10,"")</f>
        <v>103.45542786731566</v>
      </c>
      <c r="AU17">
        <f ca="1">IF($B17="y",'Tech Parameters'!AB107/10,"")</f>
        <v>101.34749750447625</v>
      </c>
      <c r="AV17">
        <f ca="1">IF($B17="y",'Tech Parameters'!AC107/10,"")</f>
        <v>99.239567141636854</v>
      </c>
    </row>
    <row r="18" spans="1:48">
      <c r="A18" s="58" t="str">
        <f>'Tech Parameters'!B18</f>
        <v>solar PV</v>
      </c>
      <c r="B18" t="s">
        <v>592</v>
      </c>
      <c r="AA18" t="str">
        <f t="shared" si="0"/>
        <v>solar PV</v>
      </c>
      <c r="AB18" t="str">
        <f>IF($B18="y",'Tech Parameters'!I108/10,"")</f>
        <v/>
      </c>
      <c r="AC18" t="str">
        <f>IF($B18="y",'Tech Parameters'!J108/10,"")</f>
        <v/>
      </c>
      <c r="AD18" t="str">
        <f>IF($B18="y",'Tech Parameters'!K108/10,"")</f>
        <v/>
      </c>
      <c r="AE18" t="str">
        <f>IF($B18="y",'Tech Parameters'!L108/10,"")</f>
        <v/>
      </c>
      <c r="AF18" t="str">
        <f>IF($B18="y",'Tech Parameters'!M108/10,"")</f>
        <v/>
      </c>
      <c r="AG18" t="str">
        <f>IF($B18="y",'Tech Parameters'!N108/10,"")</f>
        <v/>
      </c>
      <c r="AH18" t="str">
        <f>IF($B18="y",'Tech Parameters'!O108/10,"")</f>
        <v/>
      </c>
      <c r="AI18" t="str">
        <f>IF($B18="y",'Tech Parameters'!P108/10,"")</f>
        <v/>
      </c>
      <c r="AJ18" t="str">
        <f>IF($B18="y",'Tech Parameters'!Q108/10,"")</f>
        <v/>
      </c>
      <c r="AK18" t="str">
        <f>IF($B18="y",'Tech Parameters'!R108/10,"")</f>
        <v/>
      </c>
      <c r="AL18" t="str">
        <f>IF($B18="y",'Tech Parameters'!S108/10,"")</f>
        <v/>
      </c>
      <c r="AM18" t="str">
        <f>IF($B18="y",'Tech Parameters'!T108/10,"")</f>
        <v/>
      </c>
      <c r="AN18" t="str">
        <f>IF($B18="y",'Tech Parameters'!U108/10,"")</f>
        <v/>
      </c>
      <c r="AO18" t="str">
        <f>IF($B18="y",'Tech Parameters'!V108/10,"")</f>
        <v/>
      </c>
      <c r="AP18" t="str">
        <f>IF($B18="y",'Tech Parameters'!W108/10,"")</f>
        <v/>
      </c>
      <c r="AQ18" t="str">
        <f>IF($B18="y",'Tech Parameters'!X108/10,"")</f>
        <v/>
      </c>
      <c r="AR18" t="str">
        <f>IF($B18="y",'Tech Parameters'!Y108/10,"")</f>
        <v/>
      </c>
      <c r="AS18" t="str">
        <f>IF($B18="y",'Tech Parameters'!Z108/10,"")</f>
        <v/>
      </c>
      <c r="AT18" t="str">
        <f>IF($B18="y",'Tech Parameters'!AA108/10,"")</f>
        <v/>
      </c>
      <c r="AU18" t="str">
        <f>IF($B18="y",'Tech Parameters'!AB108/10,"")</f>
        <v/>
      </c>
      <c r="AV18" t="str">
        <f>IF($B18="y",'Tech Parameters'!AC108/10,"")</f>
        <v/>
      </c>
    </row>
    <row r="19" spans="1:48">
      <c r="A19" s="58" t="str">
        <f>'Tech Parameters'!B19</f>
        <v>combined cycle gas</v>
      </c>
      <c r="B19" t="s">
        <v>591</v>
      </c>
      <c r="AA19" t="str">
        <f t="shared" si="0"/>
        <v>combined cycle gas</v>
      </c>
      <c r="AB19">
        <f ca="1">IF($B19="y",'Tech Parameters'!I109/10,"")</f>
        <v>60.405925836657374</v>
      </c>
      <c r="AC19">
        <f ca="1">IF($B19="y",'Tech Parameters'!J109/10,"")</f>
        <v>61.98006724778238</v>
      </c>
      <c r="AD19">
        <f ca="1">IF($B19="y",'Tech Parameters'!K109/10,"")</f>
        <v>63.525513300105764</v>
      </c>
      <c r="AE19">
        <f ca="1">IF($B19="y",'Tech Parameters'!L109/10,"")</f>
        <v>65.039394457747335</v>
      </c>
      <c r="AF19">
        <f ca="1">IF($B19="y",'Tech Parameters'!M109/10,"")</f>
        <v>66.559689772131122</v>
      </c>
      <c r="AG19">
        <f ca="1">IF($B19="y",'Tech Parameters'!N109/10,"")</f>
        <v>68.041791563949914</v>
      </c>
      <c r="AH19">
        <f ca="1">IF($B19="y",'Tech Parameters'!O109/10,"")</f>
        <v>69.48188048094724</v>
      </c>
      <c r="AI19">
        <f ca="1">IF($B19="y",'Tech Parameters'!P109/10,"")</f>
        <v>70.875755235640924</v>
      </c>
      <c r="AJ19">
        <f ca="1">IF($B19="y",'Tech Parameters'!Q109/10,"")</f>
        <v>72.21879441180063</v>
      </c>
      <c r="AK19">
        <f ca="1">IF($B19="y",'Tech Parameters'!R109/10,"")</f>
        <v>73.505914451572949</v>
      </c>
      <c r="AL19">
        <f ca="1">IF($B19="y",'Tech Parameters'!S109/10,"")</f>
        <v>74.731523441319126</v>
      </c>
      <c r="AM19">
        <f ca="1">IF($B19="y",'Tech Parameters'!T109/10,"")</f>
        <v>75.889470276036576</v>
      </c>
      <c r="AN19">
        <f ca="1">IF($B19="y",'Tech Parameters'!U109/10,"")</f>
        <v>76.972988740222405</v>
      </c>
      <c r="AO19">
        <f ca="1">IF($B19="y",'Tech Parameters'!V109/10,"")</f>
        <v>77.974635996823451</v>
      </c>
      <c r="AP19">
        <f ca="1">IF($B19="y",'Tech Parameters'!W109/10,"")</f>
        <v>78.886224925081223</v>
      </c>
      <c r="AQ19">
        <f ca="1">IF($B19="y",'Tech Parameters'!X109/10,"")</f>
        <v>79.698749692161456</v>
      </c>
      <c r="AR19">
        <f ca="1">IF($B19="y",'Tech Parameters'!Y109/10,"")</f>
        <v>80.402303881946324</v>
      </c>
      <c r="AS19">
        <f ca="1">IF($B19="y",'Tech Parameters'!Z109/10,"")</f>
        <v>80.985990436706302</v>
      </c>
      <c r="AT19">
        <f ca="1">IF($B19="y",'Tech Parameters'!AA109/10,"")</f>
        <v>81.437822592938943</v>
      </c>
      <c r="AU19">
        <f ca="1">IF($B19="y",'Tech Parameters'!AB109/10,"")</f>
        <v>81.744614910791469</v>
      </c>
      <c r="AV19">
        <f ca="1">IF($B19="y",'Tech Parameters'!AC109/10,"")</f>
        <v>81.891863406425912</v>
      </c>
    </row>
    <row r="20" spans="1:48">
      <c r="A20" s="58" t="str">
        <f>'Tech Parameters'!B20</f>
        <v>PBMR</v>
      </c>
      <c r="B20" t="s">
        <v>592</v>
      </c>
      <c r="AA20" t="str">
        <f t="shared" si="0"/>
        <v>PBMR</v>
      </c>
      <c r="AB20" t="str">
        <f>IF($B20="y",'Tech Parameters'!I110/10,"")</f>
        <v/>
      </c>
      <c r="AC20" t="str">
        <f>IF($B20="y",'Tech Parameters'!J110/10,"")</f>
        <v/>
      </c>
      <c r="AD20" t="str">
        <f>IF($B20="y",'Tech Parameters'!K110/10,"")</f>
        <v/>
      </c>
      <c r="AE20" t="str">
        <f>IF($B20="y",'Tech Parameters'!L110/10,"")</f>
        <v/>
      </c>
      <c r="AF20" t="str">
        <f>IF($B20="y",'Tech Parameters'!M110/10,"")</f>
        <v/>
      </c>
      <c r="AG20" t="str">
        <f>IF($B20="y",'Tech Parameters'!N110/10,"")</f>
        <v/>
      </c>
      <c r="AH20" t="str">
        <f>IF($B20="y",'Tech Parameters'!O110/10,"")</f>
        <v/>
      </c>
      <c r="AI20" t="str">
        <f>IF($B20="y",'Tech Parameters'!P110/10,"")</f>
        <v/>
      </c>
      <c r="AJ20" t="str">
        <f>IF($B20="y",'Tech Parameters'!Q110/10,"")</f>
        <v/>
      </c>
      <c r="AK20" t="str">
        <f>IF($B20="y",'Tech Parameters'!R110/10,"")</f>
        <v/>
      </c>
      <c r="AL20" t="str">
        <f>IF($B20="y",'Tech Parameters'!S110/10,"")</f>
        <v/>
      </c>
      <c r="AM20" t="str">
        <f>IF($B20="y",'Tech Parameters'!T110/10,"")</f>
        <v/>
      </c>
      <c r="AN20" t="str">
        <f>IF($B20="y",'Tech Parameters'!U110/10,"")</f>
        <v/>
      </c>
      <c r="AO20" t="str">
        <f>IF($B20="y",'Tech Parameters'!V110/10,"")</f>
        <v/>
      </c>
      <c r="AP20" t="str">
        <f>IF($B20="y",'Tech Parameters'!W110/10,"")</f>
        <v/>
      </c>
      <c r="AQ20" t="str">
        <f>IF($B20="y",'Tech Parameters'!X110/10,"")</f>
        <v/>
      </c>
      <c r="AR20" t="str">
        <f>IF($B20="y",'Tech Parameters'!Y110/10,"")</f>
        <v/>
      </c>
      <c r="AS20" t="str">
        <f>IF($B20="y",'Tech Parameters'!Z110/10,"")</f>
        <v/>
      </c>
      <c r="AT20" t="str">
        <f>IF($B20="y",'Tech Parameters'!AA110/10,"")</f>
        <v/>
      </c>
      <c r="AU20" t="str">
        <f>IF($B20="y",'Tech Parameters'!AB110/10,"")</f>
        <v/>
      </c>
      <c r="AV20" t="str">
        <f>IF($B20="y",'Tech Parameters'!AC110/10,"")</f>
        <v/>
      </c>
    </row>
    <row r="21" spans="1:48">
      <c r="A21" s="58" t="str">
        <f>'Tech Parameters'!B21</f>
        <v>IGCC</v>
      </c>
      <c r="B21" t="s">
        <v>591</v>
      </c>
      <c r="AA21" t="str">
        <f t="shared" si="0"/>
        <v>IGCC</v>
      </c>
      <c r="AB21">
        <f ca="1">IF($B21="y",'Tech Parameters'!I111/10,"")</f>
        <v>46.936321480425548</v>
      </c>
      <c r="AC21">
        <f ca="1">IF($B21="y",'Tech Parameters'!J111/10,"")</f>
        <v>46.971386681477568</v>
      </c>
      <c r="AD21">
        <f ca="1">IF($B21="y",'Tech Parameters'!K111/10,"")</f>
        <v>47.005839657276638</v>
      </c>
      <c r="AE21">
        <f ca="1">IF($B21="y",'Tech Parameters'!L111/10,"")</f>
        <v>47.039619185297475</v>
      </c>
      <c r="AF21">
        <f ca="1">IF($B21="y",'Tech Parameters'!M111/10,"")</f>
        <v>47.072657920762268</v>
      </c>
      <c r="AG21">
        <f ca="1">IF($B21="y",'Tech Parameters'!N111/10,"")</f>
        <v>47.104881784415376</v>
      </c>
      <c r="AH21">
        <f ca="1">IF($B21="y",'Tech Parameters'!O111/10,"")</f>
        <v>47.136209289075666</v>
      </c>
      <c r="AI21">
        <f ca="1">IF($B21="y",'Tech Parameters'!P111/10,"")</f>
        <v>47.166550798843829</v>
      </c>
      <c r="AJ21">
        <f ca="1">IF($B21="y",'Tech Parameters'!Q111/10,"")</f>
        <v>47.195807714230668</v>
      </c>
      <c r="AK21">
        <f ca="1">IF($B21="y",'Tech Parameters'!R111/10,"")</f>
        <v>47.223871575798057</v>
      </c>
      <c r="AL21">
        <f ca="1">IF($B21="y",'Tech Parameters'!S111/10,"")</f>
        <v>47.250623078164026</v>
      </c>
      <c r="AM21">
        <f ca="1">IF($B21="y",'Tech Parameters'!T111/10,"")</f>
        <v>47.275930985408458</v>
      </c>
      <c r="AN21">
        <f ca="1">IF($B21="y",'Tech Parameters'!U111/10,"")</f>
        <v>47.299650938019184</v>
      </c>
      <c r="AO21">
        <f ca="1">IF($B21="y",'Tech Parameters'!V111/10,"")</f>
        <v>47.321624140532833</v>
      </c>
      <c r="AP21">
        <f ca="1">IF($B21="y",'Tech Parameters'!W111/10,"")</f>
        <v>47.34167591793971</v>
      </c>
      <c r="AQ21">
        <f ca="1">IF($B21="y",'Tech Parameters'!X111/10,"")</f>
        <v>47.359614127729131</v>
      </c>
      <c r="AR21">
        <f ca="1">IF($B21="y",'Tech Parameters'!Y111/10,"")</f>
        <v>47.375227413139342</v>
      </c>
      <c r="AS21">
        <f ca="1">IF($B21="y",'Tech Parameters'!Z111/10,"")</f>
        <v>47.388283281732434</v>
      </c>
      <c r="AT21">
        <f ca="1">IF($B21="y",'Tech Parameters'!AA111/10,"")</f>
        <v>47.398525991826695</v>
      </c>
      <c r="AU21">
        <f ca="1">IF($B21="y",'Tech Parameters'!AB111/10,"")</f>
        <v>47.405674227572227</v>
      </c>
      <c r="AV21">
        <f ca="1">IF($B21="y",'Tech Parameters'!AC111/10,"")</f>
        <v>47.40941854153418</v>
      </c>
    </row>
    <row r="22" spans="1:48">
      <c r="A22" s="58" t="str">
        <f>'Tech Parameters'!B22</f>
        <v>-</v>
      </c>
      <c r="B22" t="s">
        <v>592</v>
      </c>
      <c r="AA22" t="str">
        <f t="shared" si="0"/>
        <v>-</v>
      </c>
      <c r="AB22" t="str">
        <f>IF($B22="y",'Tech Parameters'!I112/10,"")</f>
        <v/>
      </c>
      <c r="AC22" t="str">
        <f>IF($B22="y",'Tech Parameters'!J112/10,"")</f>
        <v/>
      </c>
      <c r="AD22" t="str">
        <f>IF($B22="y",'Tech Parameters'!K112/10,"")</f>
        <v/>
      </c>
      <c r="AE22" t="str">
        <f>IF($B22="y",'Tech Parameters'!L112/10,"")</f>
        <v/>
      </c>
      <c r="AF22" t="str">
        <f>IF($B22="y",'Tech Parameters'!M112/10,"")</f>
        <v/>
      </c>
      <c r="AG22" t="str">
        <f>IF($B22="y",'Tech Parameters'!N112/10,"")</f>
        <v/>
      </c>
      <c r="AH22" t="str">
        <f>IF($B22="y",'Tech Parameters'!O112/10,"")</f>
        <v/>
      </c>
      <c r="AI22" t="str">
        <f>IF($B22="y",'Tech Parameters'!P112/10,"")</f>
        <v/>
      </c>
      <c r="AJ22" t="str">
        <f>IF($B22="y",'Tech Parameters'!Q112/10,"")</f>
        <v/>
      </c>
      <c r="AK22" t="str">
        <f>IF($B22="y",'Tech Parameters'!R112/10,"")</f>
        <v/>
      </c>
      <c r="AL22" t="str">
        <f>IF($B22="y",'Tech Parameters'!S112/10,"")</f>
        <v/>
      </c>
      <c r="AM22" t="str">
        <f>IF($B22="y",'Tech Parameters'!T112/10,"")</f>
        <v/>
      </c>
      <c r="AN22" t="str">
        <f>IF($B22="y",'Tech Parameters'!U112/10,"")</f>
        <v/>
      </c>
      <c r="AO22" t="str">
        <f>IF($B22="y",'Tech Parameters'!V112/10,"")</f>
        <v/>
      </c>
      <c r="AP22" t="str">
        <f>IF($B22="y",'Tech Parameters'!W112/10,"")</f>
        <v/>
      </c>
      <c r="AQ22" t="str">
        <f>IF($B22="y",'Tech Parameters'!X112/10,"")</f>
        <v/>
      </c>
      <c r="AR22" t="str">
        <f>IF($B22="y",'Tech Parameters'!Y112/10,"")</f>
        <v/>
      </c>
      <c r="AS22" t="str">
        <f>IF($B22="y",'Tech Parameters'!Z112/10,"")</f>
        <v/>
      </c>
      <c r="AT22" t="str">
        <f>IF($B22="y",'Tech Parameters'!AA112/10,"")</f>
        <v/>
      </c>
      <c r="AU22" t="str">
        <f>IF($B22="y",'Tech Parameters'!AB112/10,"")</f>
        <v/>
      </c>
      <c r="AV22" t="str">
        <f>IF($B22="y",'Tech Parameters'!AC112/10,"")</f>
        <v/>
      </c>
    </row>
    <row r="23" spans="1:48">
      <c r="A23" s="58" t="str">
        <f>'Tech Parameters'!B23</f>
        <v>-</v>
      </c>
      <c r="B23" t="s">
        <v>592</v>
      </c>
      <c r="AA23" t="str">
        <f t="shared" si="0"/>
        <v>-</v>
      </c>
      <c r="AB23" t="str">
        <f>IF($B23="y",'Tech Parameters'!I113/10,"")</f>
        <v/>
      </c>
      <c r="AC23" t="str">
        <f>IF($B23="y",'Tech Parameters'!J113/10,"")</f>
        <v/>
      </c>
      <c r="AD23" t="str">
        <f>IF($B23="y",'Tech Parameters'!K113/10,"")</f>
        <v/>
      </c>
      <c r="AE23" t="str">
        <f>IF($B23="y",'Tech Parameters'!L113/10,"")</f>
        <v/>
      </c>
      <c r="AF23" t="str">
        <f>IF($B23="y",'Tech Parameters'!M113/10,"")</f>
        <v/>
      </c>
      <c r="AG23" t="str">
        <f>IF($B23="y",'Tech Parameters'!N113/10,"")</f>
        <v/>
      </c>
      <c r="AH23" t="str">
        <f>IF($B23="y",'Tech Parameters'!O113/10,"")</f>
        <v/>
      </c>
      <c r="AI23" t="str">
        <f>IF($B23="y",'Tech Parameters'!P113/10,"")</f>
        <v/>
      </c>
      <c r="AJ23" t="str">
        <f>IF($B23="y",'Tech Parameters'!Q113/10,"")</f>
        <v/>
      </c>
      <c r="AK23" t="str">
        <f>IF($B23="y",'Tech Parameters'!R113/10,"")</f>
        <v/>
      </c>
      <c r="AL23" t="str">
        <f>IF($B23="y",'Tech Parameters'!S113/10,"")</f>
        <v/>
      </c>
      <c r="AM23" t="str">
        <f>IF($B23="y",'Tech Parameters'!T113/10,"")</f>
        <v/>
      </c>
      <c r="AN23" t="str">
        <f>IF($B23="y",'Tech Parameters'!U113/10,"")</f>
        <v/>
      </c>
      <c r="AO23" t="str">
        <f>IF($B23="y",'Tech Parameters'!V113/10,"")</f>
        <v/>
      </c>
      <c r="AP23" t="str">
        <f>IF($B23="y",'Tech Parameters'!W113/10,"")</f>
        <v/>
      </c>
      <c r="AQ23" t="str">
        <f>IF($B23="y",'Tech Parameters'!X113/10,"")</f>
        <v/>
      </c>
      <c r="AR23" t="str">
        <f>IF($B23="y",'Tech Parameters'!Y113/10,"")</f>
        <v/>
      </c>
      <c r="AS23" t="str">
        <f>IF($B23="y",'Tech Parameters'!Z113/10,"")</f>
        <v/>
      </c>
      <c r="AT23" t="str">
        <f>IF($B23="y",'Tech Parameters'!AA113/10,"")</f>
        <v/>
      </c>
      <c r="AU23" t="str">
        <f>IF($B23="y",'Tech Parameters'!AB113/10,"")</f>
        <v/>
      </c>
      <c r="AV23" t="str">
        <f>IF($B23="y",'Tech Parameters'!AC113/10,"")</f>
        <v/>
      </c>
    </row>
    <row r="24" spans="1:48">
      <c r="A24" s="58" t="str">
        <f>'Tech Parameters'!B24</f>
        <v>-</v>
      </c>
      <c r="B24" t="s">
        <v>592</v>
      </c>
      <c r="AA24" t="str">
        <f t="shared" si="0"/>
        <v>-</v>
      </c>
      <c r="AB24" t="str">
        <f>IF($B24="y",'Tech Parameters'!I114/10,"")</f>
        <v/>
      </c>
      <c r="AC24" t="str">
        <f>IF($B24="y",'Tech Parameters'!J114/10,"")</f>
        <v/>
      </c>
      <c r="AD24" t="str">
        <f>IF($B24="y",'Tech Parameters'!K114/10,"")</f>
        <v/>
      </c>
      <c r="AE24" t="str">
        <f>IF($B24="y",'Tech Parameters'!L114/10,"")</f>
        <v/>
      </c>
      <c r="AF24" t="str">
        <f>IF($B24="y",'Tech Parameters'!M114/10,"")</f>
        <v/>
      </c>
      <c r="AG24" t="str">
        <f>IF($B24="y",'Tech Parameters'!N114/10,"")</f>
        <v/>
      </c>
      <c r="AH24" t="str">
        <f>IF($B24="y",'Tech Parameters'!O114/10,"")</f>
        <v/>
      </c>
      <c r="AI24" t="str">
        <f>IF($B24="y",'Tech Parameters'!P114/10,"")</f>
        <v/>
      </c>
      <c r="AJ24" t="str">
        <f>IF($B24="y",'Tech Parameters'!Q114/10,"")</f>
        <v/>
      </c>
      <c r="AK24" t="str">
        <f>IF($B24="y",'Tech Parameters'!R114/10,"")</f>
        <v/>
      </c>
      <c r="AL24" t="str">
        <f>IF($B24="y",'Tech Parameters'!S114/10,"")</f>
        <v/>
      </c>
      <c r="AM24" t="str">
        <f>IF($B24="y",'Tech Parameters'!T114/10,"")</f>
        <v/>
      </c>
      <c r="AN24" t="str">
        <f>IF($B24="y",'Tech Parameters'!U114/10,"")</f>
        <v/>
      </c>
      <c r="AO24" t="str">
        <f>IF($B24="y",'Tech Parameters'!V114/10,"")</f>
        <v/>
      </c>
      <c r="AP24" t="str">
        <f>IF($B24="y",'Tech Parameters'!W114/10,"")</f>
        <v/>
      </c>
      <c r="AQ24" t="str">
        <f>IF($B24="y",'Tech Parameters'!X114/10,"")</f>
        <v/>
      </c>
      <c r="AR24" t="str">
        <f>IF($B24="y",'Tech Parameters'!Y114/10,"")</f>
        <v/>
      </c>
      <c r="AS24" t="str">
        <f>IF($B24="y",'Tech Parameters'!Z114/10,"")</f>
        <v/>
      </c>
      <c r="AT24" t="str">
        <f>IF($B24="y",'Tech Parameters'!AA114/10,"")</f>
        <v/>
      </c>
      <c r="AU24" t="str">
        <f>IF($B24="y",'Tech Parameters'!AB114/10,"")</f>
        <v/>
      </c>
      <c r="AV24" t="str">
        <f>IF($B24="y",'Tech Parameters'!AC114/10,"")</f>
        <v/>
      </c>
    </row>
    <row r="25" spans="1:48">
      <c r="A25" s="58" t="str">
        <f>'Tech Parameters'!B25</f>
        <v>Pumped storage</v>
      </c>
      <c r="B25" t="s">
        <v>592</v>
      </c>
      <c r="AA25" t="str">
        <f t="shared" si="0"/>
        <v>Pumped storage</v>
      </c>
      <c r="AB25" t="str">
        <f>IF($B25="y",'Tech Parameters'!I115/10,"")</f>
        <v/>
      </c>
      <c r="AC25" t="str">
        <f>IF($B25="y",'Tech Parameters'!J115/10,"")</f>
        <v/>
      </c>
      <c r="AD25" t="str">
        <f>IF($B25="y",'Tech Parameters'!K115/10,"")</f>
        <v/>
      </c>
      <c r="AE25" t="str">
        <f>IF($B25="y",'Tech Parameters'!L115/10,"")</f>
        <v/>
      </c>
      <c r="AF25" t="str">
        <f>IF($B25="y",'Tech Parameters'!M115/10,"")</f>
        <v/>
      </c>
      <c r="AG25" t="str">
        <f>IF($B25="y",'Tech Parameters'!N115/10,"")</f>
        <v/>
      </c>
      <c r="AH25" t="str">
        <f>IF($B25="y",'Tech Parameters'!O115/10,"")</f>
        <v/>
      </c>
      <c r="AI25" t="str">
        <f>IF($B25="y",'Tech Parameters'!P115/10,"")</f>
        <v/>
      </c>
      <c r="AJ25" t="str">
        <f>IF($B25="y",'Tech Parameters'!Q115/10,"")</f>
        <v/>
      </c>
      <c r="AK25" t="str">
        <f>IF($B25="y",'Tech Parameters'!R115/10,"")</f>
        <v/>
      </c>
      <c r="AL25" t="str">
        <f>IF($B25="y",'Tech Parameters'!S115/10,"")</f>
        <v/>
      </c>
      <c r="AM25" t="str">
        <f>IF($B25="y",'Tech Parameters'!T115/10,"")</f>
        <v/>
      </c>
      <c r="AN25" t="str">
        <f>IF($B25="y",'Tech Parameters'!U115/10,"")</f>
        <v/>
      </c>
      <c r="AO25" t="str">
        <f>IF($B25="y",'Tech Parameters'!V115/10,"")</f>
        <v/>
      </c>
      <c r="AP25" t="str">
        <f>IF($B25="y",'Tech Parameters'!W115/10,"")</f>
        <v/>
      </c>
      <c r="AQ25" t="str">
        <f>IF($B25="y",'Tech Parameters'!X115/10,"")</f>
        <v/>
      </c>
      <c r="AR25" t="str">
        <f>IF($B25="y",'Tech Parameters'!Y115/10,"")</f>
        <v/>
      </c>
      <c r="AS25" t="str">
        <f>IF($B25="y",'Tech Parameters'!Z115/10,"")</f>
        <v/>
      </c>
      <c r="AT25" t="str">
        <f>IF($B25="y",'Tech Parameters'!AA115/10,"")</f>
        <v/>
      </c>
      <c r="AU25" t="str">
        <f>IF($B25="y",'Tech Parameters'!AB115/10,"")</f>
        <v/>
      </c>
      <c r="AV25" t="str">
        <f>IF($B25="y",'Tech Parameters'!AC115/10,"")</f>
        <v/>
      </c>
    </row>
    <row r="27" spans="1:48">
      <c r="A27" s="11"/>
      <c r="AA27" s="4" t="s">
        <v>695</v>
      </c>
    </row>
    <row r="28" spans="1:48">
      <c r="AB28" s="11" t="s">
        <v>139</v>
      </c>
    </row>
    <row r="29" spans="1:48">
      <c r="AA29" t="str">
        <f>'Fuel Costs'!B171</f>
        <v>Existing coal Large</v>
      </c>
      <c r="AB29">
        <f>'Fuel Costs'!D171*1000</f>
        <v>0.99266773354162985</v>
      </c>
    </row>
    <row r="30" spans="1:48">
      <c r="AA30" t="str">
        <f>'Fuel Costs'!B172</f>
        <v>Existing coal Small</v>
      </c>
      <c r="AB30">
        <f>'Fuel Costs'!D172*1000</f>
        <v>1.2278972513319131</v>
      </c>
    </row>
    <row r="31" spans="1:48">
      <c r="C31" s="11"/>
      <c r="AA31" t="str">
        <f>'Fuel Costs'!B173</f>
        <v>OCGT liquid fuels</v>
      </c>
      <c r="AB31">
        <f>'Fuel Costs'!D173*1000</f>
        <v>0.84469738348500012</v>
      </c>
    </row>
    <row r="32" spans="1:48">
      <c r="C32" s="11"/>
      <c r="AA32" t="str">
        <f>'Fuel Costs'!B174</f>
        <v>PWR nuclear</v>
      </c>
      <c r="AB32">
        <f>'Fuel Costs'!D174*1000</f>
        <v>0</v>
      </c>
    </row>
    <row r="33" spans="3:28">
      <c r="C33" s="11"/>
      <c r="AA33" t="str">
        <f>'Fuel Costs'!B175</f>
        <v>Hydro</v>
      </c>
      <c r="AB33">
        <f>'Fuel Costs'!D175*1000</f>
        <v>0</v>
      </c>
    </row>
    <row r="34" spans="3:28">
      <c r="AA34" t="str">
        <f>'Fuel Costs'!B176</f>
        <v>Landfill gas</v>
      </c>
      <c r="AB34">
        <f>'Fuel Costs'!D176*1000</f>
        <v>0</v>
      </c>
    </row>
    <row r="35" spans="3:28">
      <c r="AA35" t="str">
        <f>'Fuel Costs'!B177</f>
        <v>Biomass</v>
      </c>
      <c r="AB35">
        <f>'Fuel Costs'!D177*1000</f>
        <v>0</v>
      </c>
    </row>
    <row r="36" spans="3:28">
      <c r="AA36" t="str">
        <f>'Fuel Costs'!B178</f>
        <v>Supercritical coal</v>
      </c>
      <c r="AB36">
        <f>'Fuel Costs'!D178*1000</f>
        <v>0.93420250000000005</v>
      </c>
    </row>
    <row r="37" spans="3:28">
      <c r="AA37" t="str">
        <f>'Fuel Costs'!B179</f>
        <v xml:space="preserve">Wind 30% </v>
      </c>
      <c r="AB37">
        <f>'Fuel Costs'!D179*1000</f>
        <v>0</v>
      </c>
    </row>
    <row r="38" spans="3:28">
      <c r="AA38" t="str">
        <f>'Fuel Costs'!B180</f>
        <v>Wind 25%</v>
      </c>
      <c r="AB38">
        <f>'Fuel Costs'!D180*1000</f>
        <v>0</v>
      </c>
    </row>
    <row r="39" spans="3:28">
      <c r="AA39" t="str">
        <f>'Fuel Costs'!B181</f>
        <v>solar thermal central reciever</v>
      </c>
      <c r="AB39">
        <f>'Fuel Costs'!D181*1000</f>
        <v>0</v>
      </c>
    </row>
    <row r="40" spans="3:28">
      <c r="AA40" t="str">
        <f>'Fuel Costs'!B182</f>
        <v>solar thermal trough</v>
      </c>
      <c r="AB40">
        <f>'Fuel Costs'!D182*1000</f>
        <v>0</v>
      </c>
    </row>
    <row r="41" spans="3:28">
      <c r="AA41" t="str">
        <f>'Fuel Costs'!B183</f>
        <v>solar PV</v>
      </c>
      <c r="AB41">
        <f>'Fuel Costs'!D183*1000</f>
        <v>0</v>
      </c>
    </row>
    <row r="42" spans="3:28">
      <c r="AA42" t="str">
        <f>'Fuel Costs'!B184</f>
        <v>combined cycle gas</v>
      </c>
      <c r="AB42">
        <f>'Fuel Costs'!D184*1000</f>
        <v>0.42589885799999994</v>
      </c>
    </row>
    <row r="43" spans="3:28">
      <c r="AA43" t="str">
        <f>'Fuel Costs'!B185</f>
        <v>PBMR</v>
      </c>
      <c r="AB43">
        <f>'Fuel Costs'!D185*1000</f>
        <v>0</v>
      </c>
    </row>
    <row r="44" spans="3:28">
      <c r="AA44" t="str">
        <f>'Fuel Costs'!B186</f>
        <v>IGCC</v>
      </c>
      <c r="AB44">
        <f>'Fuel Costs'!D186*1000</f>
        <v>0.89003096874999987</v>
      </c>
    </row>
    <row r="45" spans="3:28">
      <c r="AA45" t="str">
        <f>'Fuel Costs'!B187</f>
        <v>-</v>
      </c>
      <c r="AB45">
        <f>'Fuel Costs'!D187*1000</f>
        <v>0</v>
      </c>
    </row>
    <row r="46" spans="3:28">
      <c r="AA46" t="str">
        <f>'Fuel Costs'!B188</f>
        <v>-</v>
      </c>
      <c r="AB46">
        <f>'Fuel Costs'!D188*1000</f>
        <v>0</v>
      </c>
    </row>
    <row r="47" spans="3:28">
      <c r="AA47" t="str">
        <f>'Fuel Costs'!B189</f>
        <v>-</v>
      </c>
      <c r="AB47">
        <f>'Fuel Costs'!D189*1000</f>
        <v>0</v>
      </c>
    </row>
    <row r="48" spans="3:28">
      <c r="AA48" t="str">
        <f>'Fuel Costs'!B190</f>
        <v>Pumped storage</v>
      </c>
      <c r="AB48">
        <f>'Fuel Costs'!D190*1000</f>
        <v>0</v>
      </c>
    </row>
  </sheetData>
  <conditionalFormatting sqref="B6:B25">
    <cfRule type="cellIs" dxfId="9" priority="1" stopIfTrue="1" operator="equal">
      <formula>"n"</formula>
    </cfRule>
    <cfRule type="cellIs" dxfId="8" priority="2" stopIfTrue="1" operator="equal">
      <formula>"y"</formula>
    </cfRule>
  </conditionalFormatting>
  <dataValidations count="2">
    <dataValidation type="list" allowBlank="1" showInputMessage="1" showErrorMessage="1" sqref="B6:B25">
      <formula1>yorn</formula1>
    </dataValidation>
    <dataValidation type="list" allowBlank="1" showInputMessage="1" showErrorMessage="1" sqref="M2">
      <formula1>$A$6:$A$25</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sheetPr codeName="Sheet20">
    <tabColor theme="6" tint="-0.499984740745262"/>
  </sheetPr>
  <dimension ref="A1:CG137"/>
  <sheetViews>
    <sheetView topLeftCell="A120" zoomScaleNormal="100" workbookViewId="0">
      <selection activeCell="A120" sqref="A120"/>
    </sheetView>
  </sheetViews>
  <sheetFormatPr defaultRowHeight="12.75"/>
  <cols>
    <col min="1" max="1" width="34" customWidth="1"/>
    <col min="2" max="2" width="8" customWidth="1"/>
    <col min="3" max="23" width="5.140625" customWidth="1"/>
    <col min="24" max="24" width="8.7109375" customWidth="1"/>
  </cols>
  <sheetData>
    <row r="1" spans="1:85">
      <c r="A1" s="21"/>
      <c r="B1" s="21"/>
      <c r="C1" s="21"/>
      <c r="D1" s="21"/>
      <c r="E1" s="21"/>
      <c r="F1" s="21"/>
      <c r="G1" s="21"/>
      <c r="H1" s="21"/>
      <c r="I1" s="21"/>
      <c r="J1" s="21"/>
      <c r="K1" s="38" t="s">
        <v>693</v>
      </c>
      <c r="L1" s="21"/>
      <c r="M1" s="21"/>
      <c r="N1" s="21"/>
      <c r="O1" s="21"/>
      <c r="P1" s="21"/>
    </row>
    <row r="2" spans="1:85">
      <c r="A2" s="21"/>
      <c r="B2" s="21"/>
      <c r="C2" s="21"/>
      <c r="D2" s="21"/>
      <c r="E2" s="21"/>
      <c r="F2" s="21"/>
      <c r="G2" s="21"/>
      <c r="H2" s="21"/>
      <c r="I2" s="21"/>
      <c r="J2" s="21"/>
      <c r="K2" s="21"/>
      <c r="L2" s="21"/>
      <c r="M2" s="21"/>
      <c r="N2" s="21"/>
      <c r="O2" s="21"/>
      <c r="P2" s="21"/>
      <c r="AE2" s="11"/>
      <c r="AG2" s="11"/>
    </row>
    <row r="3" spans="1:85">
      <c r="A3" s="21"/>
      <c r="C3" s="21"/>
      <c r="D3" s="21"/>
      <c r="E3" s="21"/>
      <c r="F3" s="21"/>
      <c r="G3" s="21"/>
      <c r="H3" s="21"/>
      <c r="I3" s="21"/>
      <c r="J3" s="21"/>
      <c r="K3" s="21"/>
      <c r="L3" s="21"/>
      <c r="M3" s="21"/>
      <c r="N3" s="21"/>
      <c r="O3" s="21"/>
      <c r="P3" s="21"/>
    </row>
    <row r="4" spans="1:85">
      <c r="A4" s="21"/>
      <c r="B4" s="38"/>
      <c r="C4" s="21"/>
      <c r="D4" s="21"/>
      <c r="E4" s="21"/>
      <c r="F4" s="21"/>
      <c r="G4" s="21"/>
      <c r="H4" s="21"/>
      <c r="I4" s="21"/>
      <c r="J4" s="21"/>
      <c r="K4" s="21"/>
      <c r="L4" s="21"/>
      <c r="M4" s="204"/>
      <c r="N4" s="342"/>
      <c r="O4" s="342"/>
      <c r="P4" s="342"/>
      <c r="Q4" s="342"/>
      <c r="R4" s="342"/>
      <c r="S4" s="342"/>
      <c r="T4" s="342"/>
      <c r="U4" s="342"/>
      <c r="V4" s="342"/>
      <c r="W4" s="342"/>
      <c r="AP4" s="4" t="s">
        <v>261</v>
      </c>
      <c r="AV4" s="4" t="s">
        <v>263</v>
      </c>
      <c r="AX4" s="69" t="s">
        <v>101</v>
      </c>
      <c r="AY4" s="69"/>
      <c r="AZ4" s="69"/>
      <c r="BO4" s="30"/>
      <c r="BP4" s="30"/>
      <c r="BQ4" s="30"/>
      <c r="BR4" s="30"/>
      <c r="BS4" s="30"/>
      <c r="BT4" s="30"/>
    </row>
    <row r="5" spans="1:85" ht="20.25" thickBot="1">
      <c r="A5" s="286" t="s">
        <v>602</v>
      </c>
      <c r="B5" s="286"/>
      <c r="C5" s="286"/>
      <c r="D5" s="286"/>
      <c r="E5" s="286"/>
      <c r="F5" s="286"/>
      <c r="G5" s="21"/>
      <c r="H5" s="21"/>
      <c r="I5" s="21"/>
      <c r="J5" s="21"/>
      <c r="K5" s="21"/>
      <c r="L5" s="21"/>
      <c r="M5" s="204"/>
      <c r="N5" s="204"/>
      <c r="O5" s="204"/>
      <c r="P5" s="204"/>
      <c r="Q5" s="204"/>
      <c r="R5" s="204"/>
      <c r="S5" s="204"/>
      <c r="T5" s="204"/>
      <c r="U5" s="204"/>
      <c r="V5" s="204"/>
      <c r="W5" s="204"/>
      <c r="AV5" s="4" t="s">
        <v>264</v>
      </c>
      <c r="AX5" s="69" t="s">
        <v>59</v>
      </c>
      <c r="AY5" s="69"/>
      <c r="AZ5" s="69"/>
    </row>
    <row r="6" spans="1:85" ht="34.5" customHeight="1" thickTop="1">
      <c r="A6" s="57" t="str">
        <f>'Tech Parameters'!B5</f>
        <v>Plant Description</v>
      </c>
      <c r="B6" s="83" t="s">
        <v>337</v>
      </c>
      <c r="C6" s="59">
        <v>2010</v>
      </c>
      <c r="D6" s="59">
        <v>2011</v>
      </c>
      <c r="E6" s="59">
        <v>2012</v>
      </c>
      <c r="F6" s="59">
        <v>2013</v>
      </c>
      <c r="G6" s="59">
        <v>2014</v>
      </c>
      <c r="H6" s="59">
        <v>2015</v>
      </c>
      <c r="I6" s="59">
        <v>2016</v>
      </c>
      <c r="J6" s="59">
        <v>2017</v>
      </c>
      <c r="K6" s="59">
        <v>2018</v>
      </c>
      <c r="L6" s="59">
        <v>2019</v>
      </c>
      <c r="M6" s="59">
        <v>2020</v>
      </c>
      <c r="N6" s="59">
        <v>2021</v>
      </c>
      <c r="O6" s="59">
        <v>2022</v>
      </c>
      <c r="P6" s="59">
        <v>2023</v>
      </c>
      <c r="Q6" s="59">
        <v>2024</v>
      </c>
      <c r="R6" s="59">
        <v>2025</v>
      </c>
      <c r="S6" s="59">
        <v>2026</v>
      </c>
      <c r="T6" s="59">
        <v>2027</v>
      </c>
      <c r="U6" s="59">
        <v>2028</v>
      </c>
      <c r="V6" s="59">
        <v>2029</v>
      </c>
      <c r="W6" s="59">
        <v>2030</v>
      </c>
      <c r="X6" s="337" t="s">
        <v>709</v>
      </c>
    </row>
    <row r="7" spans="1:85">
      <c r="A7" s="56" t="str">
        <f>'Tech Parameters'!B6</f>
        <v>Existing coal Large</v>
      </c>
      <c r="B7" s="60">
        <f>'Tech Parameters'!J6</f>
        <v>564.27777777777783</v>
      </c>
      <c r="C7" s="330">
        <v>0</v>
      </c>
      <c r="D7" s="330">
        <v>0</v>
      </c>
      <c r="E7" s="330">
        <v>0</v>
      </c>
      <c r="F7" s="330">
        <v>0</v>
      </c>
      <c r="G7" s="330">
        <v>0</v>
      </c>
      <c r="H7" s="330">
        <v>0</v>
      </c>
      <c r="I7" s="330">
        <v>0</v>
      </c>
      <c r="J7" s="330">
        <v>0</v>
      </c>
      <c r="K7" s="330">
        <v>0</v>
      </c>
      <c r="L7" s="330">
        <v>0</v>
      </c>
      <c r="M7" s="330">
        <v>0</v>
      </c>
      <c r="N7" s="330">
        <v>0</v>
      </c>
      <c r="O7" s="330">
        <v>0</v>
      </c>
      <c r="P7" s="330">
        <v>0</v>
      </c>
      <c r="Q7" s="330">
        <v>0</v>
      </c>
      <c r="R7" s="330">
        <v>0</v>
      </c>
      <c r="S7" s="330">
        <v>0</v>
      </c>
      <c r="T7" s="330">
        <v>0</v>
      </c>
      <c r="U7" s="330">
        <v>0</v>
      </c>
      <c r="V7" s="330">
        <v>0</v>
      </c>
      <c r="W7" s="330">
        <v>0</v>
      </c>
      <c r="Y7" s="4" t="s">
        <v>692</v>
      </c>
      <c r="AP7" s="4" t="str">
        <f>"Capacity and output for "&amp;AX4&amp;" and "&amp;AX5</f>
        <v>Capacity and output for Supercritical coal and Existing coal Large</v>
      </c>
      <c r="AW7" s="4" t="str">
        <f>"Capacity utilisation for "&amp;AX4&amp;" and "&amp;AX5</f>
        <v>Capacity utilisation for Supercritical coal and Existing coal Large</v>
      </c>
      <c r="BM7" t="s">
        <v>686</v>
      </c>
    </row>
    <row r="8" spans="1:85">
      <c r="A8" s="56" t="str">
        <f>'Tech Parameters'!B7</f>
        <v>Existing coal Small</v>
      </c>
      <c r="B8" s="60">
        <f>'Tech Parameters'!J7</f>
        <v>114.43859649122807</v>
      </c>
      <c r="C8" s="330">
        <v>0</v>
      </c>
      <c r="D8" s="330">
        <v>0</v>
      </c>
      <c r="E8" s="330">
        <v>0</v>
      </c>
      <c r="F8" s="330">
        <v>0</v>
      </c>
      <c r="G8" s="330">
        <v>0</v>
      </c>
      <c r="H8" s="330">
        <v>0</v>
      </c>
      <c r="I8" s="330">
        <v>0</v>
      </c>
      <c r="J8" s="330">
        <v>0</v>
      </c>
      <c r="K8" s="330">
        <v>0</v>
      </c>
      <c r="L8" s="330">
        <v>0</v>
      </c>
      <c r="M8" s="330">
        <v>0</v>
      </c>
      <c r="N8" s="330">
        <v>0</v>
      </c>
      <c r="O8" s="330">
        <v>0</v>
      </c>
      <c r="P8" s="330">
        <v>0</v>
      </c>
      <c r="Q8" s="330">
        <v>0</v>
      </c>
      <c r="R8" s="330">
        <v>0</v>
      </c>
      <c r="S8" s="330">
        <v>0</v>
      </c>
      <c r="T8" s="330">
        <v>0</v>
      </c>
      <c r="U8" s="330">
        <v>0</v>
      </c>
      <c r="V8" s="330">
        <v>0</v>
      </c>
      <c r="W8" s="330">
        <v>0</v>
      </c>
      <c r="Y8" s="4" t="s">
        <v>687</v>
      </c>
      <c r="Z8" s="340" t="s">
        <v>710</v>
      </c>
      <c r="AA8" s="324"/>
    </row>
    <row r="9" spans="1:85">
      <c r="A9" s="56" t="str">
        <f>'Tech Parameters'!B8</f>
        <v>OCGT liquid fuels</v>
      </c>
      <c r="B9" s="60">
        <f>'Tech Parameters'!J8</f>
        <v>120</v>
      </c>
      <c r="C9" s="186">
        <v>0</v>
      </c>
      <c r="D9" s="186">
        <v>9</v>
      </c>
      <c r="E9" s="186">
        <v>0</v>
      </c>
      <c r="F9" s="186">
        <v>0</v>
      </c>
      <c r="G9" s="186">
        <v>0</v>
      </c>
      <c r="H9" s="186">
        <v>0</v>
      </c>
      <c r="I9" s="186">
        <v>0</v>
      </c>
      <c r="J9" s="186">
        <v>0</v>
      </c>
      <c r="K9" s="186">
        <v>0</v>
      </c>
      <c r="L9" s="186">
        <v>0</v>
      </c>
      <c r="M9" s="186">
        <v>0</v>
      </c>
      <c r="N9" s="186">
        <v>0</v>
      </c>
      <c r="O9" s="186">
        <v>0</v>
      </c>
      <c r="P9" s="186">
        <v>6</v>
      </c>
      <c r="Q9" s="186">
        <v>0</v>
      </c>
      <c r="R9" s="186">
        <v>0</v>
      </c>
      <c r="S9" s="186">
        <v>6</v>
      </c>
      <c r="T9" s="186">
        <v>0</v>
      </c>
      <c r="U9" s="186">
        <v>0</v>
      </c>
      <c r="V9" s="186">
        <v>6</v>
      </c>
      <c r="W9" s="186">
        <v>0</v>
      </c>
      <c r="X9" s="341">
        <f>SUM(C9:W9)*B9/1000</f>
        <v>3.24</v>
      </c>
      <c r="Y9" s="4" t="s">
        <v>688</v>
      </c>
      <c r="Z9" s="340" t="s">
        <v>289</v>
      </c>
      <c r="AA9" s="324"/>
      <c r="BM9">
        <v>2010</v>
      </c>
      <c r="BN9">
        <v>2011</v>
      </c>
      <c r="BO9">
        <v>2012</v>
      </c>
      <c r="BP9">
        <v>2013</v>
      </c>
      <c r="BQ9">
        <v>2014</v>
      </c>
      <c r="BR9">
        <v>2015</v>
      </c>
      <c r="BS9">
        <v>2016</v>
      </c>
      <c r="BT9">
        <v>2017</v>
      </c>
      <c r="BU9">
        <v>2018</v>
      </c>
      <c r="BV9">
        <v>2019</v>
      </c>
      <c r="BW9">
        <v>2020</v>
      </c>
      <c r="BX9">
        <v>2021</v>
      </c>
      <c r="BY9">
        <v>2022</v>
      </c>
      <c r="BZ9">
        <v>2023</v>
      </c>
      <c r="CA9">
        <v>2024</v>
      </c>
      <c r="CB9">
        <v>2025</v>
      </c>
      <c r="CC9">
        <v>2026</v>
      </c>
      <c r="CD9">
        <v>2027</v>
      </c>
      <c r="CE9">
        <v>2028</v>
      </c>
      <c r="CF9">
        <v>2029</v>
      </c>
      <c r="CG9">
        <v>2030</v>
      </c>
    </row>
    <row r="10" spans="1:85">
      <c r="A10" s="56" t="str">
        <f>'Tech Parameters'!B9</f>
        <v>PWR nuclear</v>
      </c>
      <c r="B10" s="60">
        <f>'Tech Parameters'!J9</f>
        <v>1350</v>
      </c>
      <c r="C10" s="186">
        <v>0</v>
      </c>
      <c r="D10" s="186">
        <v>0</v>
      </c>
      <c r="E10" s="186">
        <v>0</v>
      </c>
      <c r="F10" s="186">
        <v>0</v>
      </c>
      <c r="G10" s="186">
        <v>0</v>
      </c>
      <c r="H10" s="186">
        <v>0</v>
      </c>
      <c r="I10" s="186">
        <v>0</v>
      </c>
      <c r="J10" s="186">
        <v>0</v>
      </c>
      <c r="K10" s="186">
        <v>0</v>
      </c>
      <c r="L10" s="186">
        <v>0</v>
      </c>
      <c r="M10" s="186">
        <v>0</v>
      </c>
      <c r="N10" s="186">
        <v>0</v>
      </c>
      <c r="O10" s="186">
        <v>0</v>
      </c>
      <c r="P10" s="186">
        <v>0</v>
      </c>
      <c r="Q10" s="186">
        <v>0</v>
      </c>
      <c r="R10" s="186">
        <v>0</v>
      </c>
      <c r="S10" s="186">
        <v>0</v>
      </c>
      <c r="T10" s="186">
        <v>0</v>
      </c>
      <c r="U10" s="186">
        <v>0</v>
      </c>
      <c r="V10" s="186">
        <v>0</v>
      </c>
      <c r="W10" s="186">
        <v>0</v>
      </c>
      <c r="X10" s="341">
        <f t="shared" ref="X10:X27" si="0">SUM(C10:W10)*B10/1000</f>
        <v>0</v>
      </c>
      <c r="BL10" t="str">
        <f>Z8&amp;" - units: "&amp;BM14</f>
        <v>Peak Demand - units: GW</v>
      </c>
      <c r="BM10" s="37">
        <f t="shared" ref="BM10:BV11" si="1">VALUE(VLOOKUP($Z8,$A$40:$W$61,C$6-2007,FALSE))*IF($BM$14="percent",100,1)</f>
        <v>38.824652367661919</v>
      </c>
      <c r="BN10" s="37">
        <f t="shared" si="1"/>
        <v>39.571914629237234</v>
      </c>
      <c r="BO10" s="37">
        <f t="shared" si="1"/>
        <v>40.465240113533476</v>
      </c>
      <c r="BP10" s="37">
        <f t="shared" si="1"/>
        <v>41.494224317014336</v>
      </c>
      <c r="BQ10" s="37">
        <f t="shared" si="1"/>
        <v>42.754508637571043</v>
      </c>
      <c r="BR10" s="37">
        <f t="shared" si="1"/>
        <v>43.999586376036262</v>
      </c>
      <c r="BS10" s="37">
        <f t="shared" si="1"/>
        <v>45.313894080339054</v>
      </c>
      <c r="BT10" s="37">
        <f t="shared" si="1"/>
        <v>46.606592431143419</v>
      </c>
      <c r="BU10" s="37">
        <f t="shared" si="1"/>
        <v>47.970121440637108</v>
      </c>
      <c r="BV10" s="37">
        <f t="shared" si="1"/>
        <v>49.397678164200236</v>
      </c>
      <c r="BW10" s="37">
        <f t="shared" ref="BW10:CF11" si="2">VALUE(VLOOKUP($Z8,$A$40:$W$61,M$6-2007,FALSE))*IF($BM$14="percent",100,1)</f>
        <v>50.832576878623705</v>
      </c>
      <c r="BX10" s="37">
        <f t="shared" si="2"/>
        <v>52.342708157078782</v>
      </c>
      <c r="BY10" s="37">
        <f t="shared" si="2"/>
        <v>53.875249135458155</v>
      </c>
      <c r="BZ10" s="37">
        <f t="shared" si="2"/>
        <v>55.513836015265028</v>
      </c>
      <c r="CA10" s="37">
        <f t="shared" si="2"/>
        <v>57.209247491308531</v>
      </c>
      <c r="CB10" s="37">
        <f t="shared" si="2"/>
        <v>58.979491358170705</v>
      </c>
      <c r="CC10" s="37">
        <f t="shared" si="2"/>
        <v>60.891396542411499</v>
      </c>
      <c r="CD10" s="37">
        <f t="shared" si="2"/>
        <v>62.884536888877911</v>
      </c>
      <c r="CE10" s="37">
        <f t="shared" si="2"/>
        <v>64.940104256562037</v>
      </c>
      <c r="CF10" s="37">
        <f t="shared" si="2"/>
        <v>67.039290504455948</v>
      </c>
      <c r="CG10" s="37">
        <f t="shared" ref="CG10:CG11" si="3">VALUE(VLOOKUP($Z8,$A$40:$W$61,W$6-2007,FALSE))*IF($BM$14="percent",100,1)</f>
        <v>68.567829750705968</v>
      </c>
    </row>
    <row r="11" spans="1:85">
      <c r="A11" s="56" t="str">
        <f>'Tech Parameters'!B10</f>
        <v>Hydro</v>
      </c>
      <c r="B11" s="60">
        <f>'Tech Parameters'!J10</f>
        <v>95</v>
      </c>
      <c r="C11" s="186">
        <v>0</v>
      </c>
      <c r="D11" s="186">
        <v>0</v>
      </c>
      <c r="E11" s="186">
        <v>0</v>
      </c>
      <c r="F11" s="186">
        <v>0</v>
      </c>
      <c r="G11" s="186">
        <v>0</v>
      </c>
      <c r="H11" s="186">
        <v>0</v>
      </c>
      <c r="I11" s="186">
        <v>0</v>
      </c>
      <c r="J11" s="186">
        <v>0</v>
      </c>
      <c r="K11" s="186">
        <v>0</v>
      </c>
      <c r="L11" s="186">
        <v>0</v>
      </c>
      <c r="M11" s="186">
        <v>0</v>
      </c>
      <c r="N11" s="186">
        <v>0</v>
      </c>
      <c r="O11" s="186">
        <v>0</v>
      </c>
      <c r="P11" s="186">
        <v>0</v>
      </c>
      <c r="Q11" s="186">
        <v>0</v>
      </c>
      <c r="R11" s="186">
        <v>0</v>
      </c>
      <c r="S11" s="186">
        <v>0</v>
      </c>
      <c r="T11" s="186">
        <v>0</v>
      </c>
      <c r="U11" s="186">
        <v>0</v>
      </c>
      <c r="V11" s="186">
        <v>0</v>
      </c>
      <c r="W11" s="186">
        <v>0</v>
      </c>
      <c r="X11" s="341">
        <f t="shared" si="0"/>
        <v>0</v>
      </c>
      <c r="BL11" t="str">
        <f>Z9&amp;" - units: "&amp;BM15</f>
        <v>GHG emissions - units: Mt CO2-eq</v>
      </c>
      <c r="BM11" s="37">
        <f t="shared" ca="1" si="1"/>
        <v>235.99719359076568</v>
      </c>
      <c r="BN11" s="37">
        <f t="shared" ca="1" si="1"/>
        <v>241.13644531545148</v>
      </c>
      <c r="BO11" s="37">
        <f t="shared" ca="1" si="1"/>
        <v>246.99212756686327</v>
      </c>
      <c r="BP11" s="37">
        <f t="shared" ca="1" si="1"/>
        <v>254.1341130271411</v>
      </c>
      <c r="BQ11" s="37">
        <f t="shared" ca="1" si="1"/>
        <v>262.50555854340791</v>
      </c>
      <c r="BR11" s="37">
        <f t="shared" ca="1" si="1"/>
        <v>270.31677005900684</v>
      </c>
      <c r="BS11" s="37">
        <f t="shared" ca="1" si="1"/>
        <v>278.53892995818495</v>
      </c>
      <c r="BT11" s="37">
        <f t="shared" ca="1" si="1"/>
        <v>286.62551982372042</v>
      </c>
      <c r="BU11" s="37">
        <f t="shared" ca="1" si="1"/>
        <v>295.14868552109169</v>
      </c>
      <c r="BV11" s="37">
        <f t="shared" ca="1" si="1"/>
        <v>304.07354020703423</v>
      </c>
      <c r="BW11" s="37">
        <f t="shared" ca="1" si="2"/>
        <v>312.4833881007371</v>
      </c>
      <c r="BX11" s="37">
        <f t="shared" ca="1" si="2"/>
        <v>321.3652205560112</v>
      </c>
      <c r="BY11" s="37">
        <f t="shared" ca="1" si="2"/>
        <v>330.97988265189008</v>
      </c>
      <c r="BZ11" s="37">
        <f t="shared" ca="1" si="2"/>
        <v>341.24203283505301</v>
      </c>
      <c r="CA11" s="37">
        <f t="shared" ca="1" si="2"/>
        <v>351.3677970139185</v>
      </c>
      <c r="CB11" s="37">
        <f t="shared" ca="1" si="2"/>
        <v>361.69015525086729</v>
      </c>
      <c r="CC11" s="37">
        <f t="shared" ca="1" si="2"/>
        <v>372.75576750456992</v>
      </c>
      <c r="CD11" s="37">
        <f t="shared" ca="1" si="2"/>
        <v>384.62171190986908</v>
      </c>
      <c r="CE11" s="37">
        <f t="shared" ca="1" si="2"/>
        <v>396.74490984700105</v>
      </c>
      <c r="CF11" s="37">
        <f t="shared" ca="1" si="2"/>
        <v>408.35118802342163</v>
      </c>
      <c r="CG11" s="37">
        <f t="shared" ca="1" si="3"/>
        <v>417.41888218437919</v>
      </c>
    </row>
    <row r="12" spans="1:85">
      <c r="A12" s="56" t="str">
        <f>'Tech Parameters'!B11</f>
        <v>Landfill gas</v>
      </c>
      <c r="B12" s="60">
        <f>'Tech Parameters'!J11</f>
        <v>30</v>
      </c>
      <c r="C12" s="186">
        <v>0</v>
      </c>
      <c r="D12" s="186">
        <v>0</v>
      </c>
      <c r="E12" s="186">
        <v>0</v>
      </c>
      <c r="F12" s="186">
        <v>0</v>
      </c>
      <c r="G12" s="186">
        <v>0</v>
      </c>
      <c r="H12" s="186">
        <v>0</v>
      </c>
      <c r="I12" s="186">
        <v>0</v>
      </c>
      <c r="J12" s="186">
        <v>0</v>
      </c>
      <c r="K12" s="186">
        <v>0</v>
      </c>
      <c r="L12" s="186">
        <v>0</v>
      </c>
      <c r="M12" s="186">
        <v>0</v>
      </c>
      <c r="N12" s="186">
        <v>0</v>
      </c>
      <c r="O12" s="186">
        <v>0</v>
      </c>
      <c r="P12" s="186">
        <v>0</v>
      </c>
      <c r="Q12" s="186">
        <v>0</v>
      </c>
      <c r="R12" s="186">
        <v>0</v>
      </c>
      <c r="S12" s="186">
        <v>0</v>
      </c>
      <c r="T12" s="186">
        <v>0</v>
      </c>
      <c r="U12" s="186">
        <v>0</v>
      </c>
      <c r="V12" s="186">
        <v>0</v>
      </c>
      <c r="W12" s="186">
        <v>0</v>
      </c>
      <c r="X12" s="341">
        <f t="shared" si="0"/>
        <v>0</v>
      </c>
    </row>
    <row r="13" spans="1:85">
      <c r="A13" s="56" t="str">
        <f>'Tech Parameters'!B12</f>
        <v>Biomass</v>
      </c>
      <c r="B13" s="60">
        <f>'Tech Parameters'!J12</f>
        <v>80</v>
      </c>
      <c r="C13" s="186">
        <v>0</v>
      </c>
      <c r="D13" s="186">
        <v>0</v>
      </c>
      <c r="E13" s="186">
        <v>0</v>
      </c>
      <c r="F13" s="186">
        <v>0</v>
      </c>
      <c r="G13" s="186">
        <v>0</v>
      </c>
      <c r="H13" s="186">
        <v>0</v>
      </c>
      <c r="I13" s="186">
        <v>0</v>
      </c>
      <c r="J13" s="186">
        <v>0</v>
      </c>
      <c r="K13" s="186">
        <v>0</v>
      </c>
      <c r="L13" s="186">
        <v>0</v>
      </c>
      <c r="M13" s="186">
        <v>0</v>
      </c>
      <c r="N13" s="186">
        <v>0</v>
      </c>
      <c r="O13" s="186">
        <v>0</v>
      </c>
      <c r="P13" s="186">
        <v>0</v>
      </c>
      <c r="Q13" s="186">
        <v>0</v>
      </c>
      <c r="R13" s="186">
        <v>0</v>
      </c>
      <c r="S13" s="186">
        <v>0</v>
      </c>
      <c r="T13" s="186">
        <v>0</v>
      </c>
      <c r="U13" s="186">
        <v>0</v>
      </c>
      <c r="V13" s="186">
        <v>0</v>
      </c>
      <c r="W13" s="186">
        <v>0</v>
      </c>
      <c r="X13" s="341">
        <f t="shared" si="0"/>
        <v>0</v>
      </c>
      <c r="BL13" s="11" t="s">
        <v>689</v>
      </c>
    </row>
    <row r="14" spans="1:85">
      <c r="A14" s="56" t="str">
        <f>'Tech Parameters'!B13</f>
        <v>Supercritical coal</v>
      </c>
      <c r="B14" s="60">
        <f>'Tech Parameters'!J13</f>
        <v>794</v>
      </c>
      <c r="C14" s="186">
        <v>0</v>
      </c>
      <c r="D14" s="186">
        <v>0</v>
      </c>
      <c r="E14" s="186">
        <v>1</v>
      </c>
      <c r="F14" s="186">
        <v>2</v>
      </c>
      <c r="G14" s="186">
        <v>3</v>
      </c>
      <c r="H14" s="186">
        <v>3</v>
      </c>
      <c r="I14" s="186">
        <v>2</v>
      </c>
      <c r="J14" s="186">
        <v>2</v>
      </c>
      <c r="K14" s="186">
        <v>3</v>
      </c>
      <c r="L14" s="186">
        <v>3</v>
      </c>
      <c r="M14" s="186">
        <v>3</v>
      </c>
      <c r="N14" s="186">
        <v>4</v>
      </c>
      <c r="O14" s="186">
        <v>4</v>
      </c>
      <c r="P14" s="186">
        <v>3</v>
      </c>
      <c r="Q14" s="186">
        <v>4</v>
      </c>
      <c r="R14" s="186">
        <v>4</v>
      </c>
      <c r="S14" s="186">
        <v>5</v>
      </c>
      <c r="T14" s="186">
        <v>5</v>
      </c>
      <c r="U14" s="186">
        <v>5</v>
      </c>
      <c r="V14" s="186">
        <v>6</v>
      </c>
      <c r="W14" s="186">
        <v>6</v>
      </c>
      <c r="X14" s="341">
        <f t="shared" si="0"/>
        <v>53.991999999999997</v>
      </c>
      <c r="BL14" s="11" t="s">
        <v>690</v>
      </c>
      <c r="BM14" t="str">
        <f>VLOOKUP($Z8,$A$40:$W$61,2,FALSE)</f>
        <v>GW</v>
      </c>
    </row>
    <row r="15" spans="1:85">
      <c r="A15" s="56" t="str">
        <f>'Tech Parameters'!B14</f>
        <v xml:space="preserve">Wind 30% </v>
      </c>
      <c r="B15" s="60">
        <f>'Tech Parameters'!J14</f>
        <v>1</v>
      </c>
      <c r="C15" s="186">
        <v>100</v>
      </c>
      <c r="D15" s="186">
        <v>0</v>
      </c>
      <c r="E15" s="186">
        <v>0</v>
      </c>
      <c r="F15" s="186">
        <v>0</v>
      </c>
      <c r="G15" s="186">
        <v>0</v>
      </c>
      <c r="H15" s="186">
        <v>0</v>
      </c>
      <c r="I15" s="186">
        <v>0</v>
      </c>
      <c r="J15" s="186">
        <v>0</v>
      </c>
      <c r="K15" s="186">
        <v>0</v>
      </c>
      <c r="L15" s="186">
        <v>0</v>
      </c>
      <c r="M15" s="186">
        <v>0</v>
      </c>
      <c r="N15" s="186">
        <v>0</v>
      </c>
      <c r="O15" s="186">
        <v>0</v>
      </c>
      <c r="P15" s="186">
        <v>0</v>
      </c>
      <c r="Q15" s="186">
        <v>0</v>
      </c>
      <c r="R15" s="186">
        <v>0</v>
      </c>
      <c r="S15" s="186">
        <v>0</v>
      </c>
      <c r="T15" s="186">
        <v>0</v>
      </c>
      <c r="U15" s="186">
        <v>0</v>
      </c>
      <c r="V15" s="186">
        <v>0</v>
      </c>
      <c r="W15" s="186">
        <v>0</v>
      </c>
      <c r="X15" s="341">
        <f t="shared" si="0"/>
        <v>0.1</v>
      </c>
      <c r="BL15" s="11" t="s">
        <v>691</v>
      </c>
      <c r="BM15" t="str">
        <f>VLOOKUP($Z9,$A$40:$W$61,2,FALSE)</f>
        <v>Mt CO2-eq</v>
      </c>
    </row>
    <row r="16" spans="1:85">
      <c r="A16" s="56" t="str">
        <f>'Tech Parameters'!B15</f>
        <v>Wind 25%</v>
      </c>
      <c r="B16" s="60">
        <f>'Tech Parameters'!J15</f>
        <v>1</v>
      </c>
      <c r="C16" s="186">
        <v>0</v>
      </c>
      <c r="D16" s="186">
        <v>0</v>
      </c>
      <c r="E16" s="186">
        <v>0</v>
      </c>
      <c r="F16" s="186">
        <v>0</v>
      </c>
      <c r="G16" s="186">
        <v>0</v>
      </c>
      <c r="H16" s="186">
        <v>0</v>
      </c>
      <c r="I16" s="186">
        <v>0</v>
      </c>
      <c r="J16" s="186">
        <v>0</v>
      </c>
      <c r="K16" s="186">
        <v>0</v>
      </c>
      <c r="L16" s="186">
        <v>0</v>
      </c>
      <c r="M16" s="186">
        <v>0</v>
      </c>
      <c r="N16" s="186">
        <v>0</v>
      </c>
      <c r="O16" s="186">
        <v>0</v>
      </c>
      <c r="P16" s="186">
        <v>0</v>
      </c>
      <c r="Q16" s="186">
        <v>0</v>
      </c>
      <c r="R16" s="186">
        <v>0</v>
      </c>
      <c r="S16" s="186">
        <v>0</v>
      </c>
      <c r="T16" s="186">
        <v>0</v>
      </c>
      <c r="U16" s="186">
        <v>0</v>
      </c>
      <c r="V16" s="186">
        <v>0</v>
      </c>
      <c r="W16" s="186">
        <v>0</v>
      </c>
      <c r="X16" s="341">
        <f t="shared" si="0"/>
        <v>0</v>
      </c>
      <c r="BS16" s="26"/>
      <c r="BT16" s="26"/>
      <c r="BU16" s="26"/>
    </row>
    <row r="17" spans="1:25">
      <c r="A17" s="56" t="str">
        <f>'Tech Parameters'!B16</f>
        <v>solar thermal central reciever</v>
      </c>
      <c r="B17" s="60">
        <f>'Tech Parameters'!J16</f>
        <v>100</v>
      </c>
      <c r="C17" s="186">
        <v>0</v>
      </c>
      <c r="D17" s="186">
        <v>0</v>
      </c>
      <c r="E17" s="186">
        <v>0</v>
      </c>
      <c r="F17" s="186">
        <v>0</v>
      </c>
      <c r="G17" s="186">
        <v>0</v>
      </c>
      <c r="H17" s="186">
        <v>0</v>
      </c>
      <c r="I17" s="186">
        <v>0</v>
      </c>
      <c r="J17" s="186">
        <v>0</v>
      </c>
      <c r="K17" s="186">
        <v>0</v>
      </c>
      <c r="L17" s="186">
        <v>0</v>
      </c>
      <c r="M17" s="186">
        <v>0</v>
      </c>
      <c r="N17" s="186">
        <v>0</v>
      </c>
      <c r="O17" s="186">
        <v>0</v>
      </c>
      <c r="P17" s="186">
        <v>0</v>
      </c>
      <c r="Q17" s="186">
        <v>0</v>
      </c>
      <c r="R17" s="186">
        <v>0</v>
      </c>
      <c r="S17" s="186">
        <v>0</v>
      </c>
      <c r="T17" s="186">
        <v>0</v>
      </c>
      <c r="U17" s="186">
        <v>0</v>
      </c>
      <c r="V17" s="186">
        <v>0</v>
      </c>
      <c r="W17" s="186">
        <v>0</v>
      </c>
      <c r="X17" s="341">
        <f t="shared" si="0"/>
        <v>0</v>
      </c>
    </row>
    <row r="18" spans="1:25">
      <c r="A18" s="56" t="str">
        <f>'Tech Parameters'!B17</f>
        <v>solar thermal trough</v>
      </c>
      <c r="B18" s="60">
        <f>'Tech Parameters'!J17</f>
        <v>100</v>
      </c>
      <c r="C18" s="186">
        <v>0</v>
      </c>
      <c r="D18" s="186">
        <v>0</v>
      </c>
      <c r="E18" s="186">
        <v>0</v>
      </c>
      <c r="F18" s="186">
        <v>0</v>
      </c>
      <c r="G18" s="186">
        <v>0</v>
      </c>
      <c r="H18" s="186">
        <v>0</v>
      </c>
      <c r="I18" s="186">
        <v>0</v>
      </c>
      <c r="J18" s="186">
        <v>0</v>
      </c>
      <c r="K18" s="186">
        <v>0</v>
      </c>
      <c r="L18" s="186">
        <v>0</v>
      </c>
      <c r="M18" s="186">
        <v>0</v>
      </c>
      <c r="N18" s="186">
        <v>0</v>
      </c>
      <c r="O18" s="186">
        <v>0</v>
      </c>
      <c r="P18" s="186">
        <v>0</v>
      </c>
      <c r="Q18" s="186">
        <v>0</v>
      </c>
      <c r="R18" s="186">
        <v>0</v>
      </c>
      <c r="S18" s="186">
        <v>0</v>
      </c>
      <c r="T18" s="186">
        <v>0</v>
      </c>
      <c r="U18" s="186">
        <v>0</v>
      </c>
      <c r="V18" s="186">
        <v>0</v>
      </c>
      <c r="W18" s="186">
        <v>0</v>
      </c>
      <c r="X18" s="341">
        <f t="shared" si="0"/>
        <v>0</v>
      </c>
    </row>
    <row r="19" spans="1:25">
      <c r="A19" s="56" t="str">
        <f>'Tech Parameters'!B18</f>
        <v>solar PV</v>
      </c>
      <c r="B19" s="60">
        <f>'Tech Parameters'!J18</f>
        <v>5</v>
      </c>
      <c r="C19" s="186">
        <v>0</v>
      </c>
      <c r="D19" s="186">
        <v>0</v>
      </c>
      <c r="E19" s="186">
        <v>0</v>
      </c>
      <c r="F19" s="186">
        <v>0</v>
      </c>
      <c r="G19" s="186">
        <v>0</v>
      </c>
      <c r="H19" s="186">
        <v>0</v>
      </c>
      <c r="I19" s="186">
        <v>0</v>
      </c>
      <c r="J19" s="186">
        <v>0</v>
      </c>
      <c r="K19" s="186">
        <v>0</v>
      </c>
      <c r="L19" s="186">
        <v>0</v>
      </c>
      <c r="M19" s="186">
        <v>0</v>
      </c>
      <c r="N19" s="186">
        <v>0</v>
      </c>
      <c r="O19" s="186">
        <v>0</v>
      </c>
      <c r="P19" s="186">
        <v>0</v>
      </c>
      <c r="Q19" s="186">
        <v>0</v>
      </c>
      <c r="R19" s="186">
        <v>0</v>
      </c>
      <c r="S19" s="186">
        <v>0</v>
      </c>
      <c r="T19" s="186">
        <v>0</v>
      </c>
      <c r="U19" s="186">
        <v>0</v>
      </c>
      <c r="V19" s="186">
        <v>0</v>
      </c>
      <c r="W19" s="186">
        <v>0</v>
      </c>
      <c r="X19" s="341">
        <f t="shared" si="0"/>
        <v>0</v>
      </c>
    </row>
    <row r="20" spans="1:25">
      <c r="A20" s="56" t="str">
        <f>'Tech Parameters'!B19</f>
        <v>combined cycle gas</v>
      </c>
      <c r="B20" s="60">
        <f>'Tech Parameters'!J19</f>
        <v>387</v>
      </c>
      <c r="C20" s="186">
        <v>0</v>
      </c>
      <c r="D20" s="186">
        <v>0</v>
      </c>
      <c r="E20" s="186">
        <v>0</v>
      </c>
      <c r="F20" s="186">
        <v>0</v>
      </c>
      <c r="G20" s="186">
        <v>0</v>
      </c>
      <c r="H20" s="186">
        <v>0</v>
      </c>
      <c r="I20" s="186">
        <v>0</v>
      </c>
      <c r="J20" s="186">
        <v>0</v>
      </c>
      <c r="K20" s="186">
        <v>0</v>
      </c>
      <c r="L20" s="186">
        <v>0</v>
      </c>
      <c r="M20" s="186">
        <v>0</v>
      </c>
      <c r="N20" s="186">
        <v>0</v>
      </c>
      <c r="O20" s="186">
        <v>0</v>
      </c>
      <c r="P20" s="186">
        <v>0</v>
      </c>
      <c r="Q20" s="186">
        <v>0</v>
      </c>
      <c r="R20" s="186">
        <v>0</v>
      </c>
      <c r="S20" s="186">
        <v>0</v>
      </c>
      <c r="T20" s="186">
        <v>0</v>
      </c>
      <c r="U20" s="186">
        <v>0</v>
      </c>
      <c r="V20" s="186">
        <v>0</v>
      </c>
      <c r="W20" s="186">
        <v>0</v>
      </c>
      <c r="X20" s="341">
        <f t="shared" si="0"/>
        <v>0</v>
      </c>
    </row>
    <row r="21" spans="1:25">
      <c r="A21" s="56" t="str">
        <f>'Tech Parameters'!B20</f>
        <v>PBMR</v>
      </c>
      <c r="B21" s="60">
        <f>'Tech Parameters'!J20</f>
        <v>165</v>
      </c>
      <c r="C21" s="186">
        <v>0</v>
      </c>
      <c r="D21" s="186">
        <v>0</v>
      </c>
      <c r="E21" s="186">
        <v>0</v>
      </c>
      <c r="F21" s="186">
        <v>0</v>
      </c>
      <c r="G21" s="186">
        <v>0</v>
      </c>
      <c r="H21" s="186">
        <v>0</v>
      </c>
      <c r="I21" s="186">
        <v>0</v>
      </c>
      <c r="J21" s="186">
        <v>0</v>
      </c>
      <c r="K21" s="186">
        <v>0</v>
      </c>
      <c r="L21" s="186">
        <v>0</v>
      </c>
      <c r="M21" s="186">
        <v>0</v>
      </c>
      <c r="N21" s="186">
        <v>0</v>
      </c>
      <c r="O21" s="186">
        <v>0</v>
      </c>
      <c r="P21" s="186">
        <v>0</v>
      </c>
      <c r="Q21" s="186">
        <v>0</v>
      </c>
      <c r="R21" s="186">
        <v>0</v>
      </c>
      <c r="S21" s="186">
        <v>0</v>
      </c>
      <c r="T21" s="186">
        <v>0</v>
      </c>
      <c r="U21" s="186">
        <v>0</v>
      </c>
      <c r="V21" s="186">
        <v>0</v>
      </c>
      <c r="W21" s="186">
        <v>0</v>
      </c>
      <c r="X21" s="341">
        <f t="shared" si="0"/>
        <v>0</v>
      </c>
    </row>
    <row r="22" spans="1:25">
      <c r="A22" s="56" t="str">
        <f>'Tech Parameters'!B21</f>
        <v>IGCC</v>
      </c>
      <c r="B22" s="60">
        <f>'Tech Parameters'!J21</f>
        <v>550</v>
      </c>
      <c r="C22" s="186">
        <v>0</v>
      </c>
      <c r="D22" s="186">
        <v>0</v>
      </c>
      <c r="E22" s="186">
        <v>0</v>
      </c>
      <c r="F22" s="186">
        <v>0</v>
      </c>
      <c r="G22" s="186">
        <v>0</v>
      </c>
      <c r="H22" s="186">
        <v>0</v>
      </c>
      <c r="I22" s="186">
        <v>0</v>
      </c>
      <c r="J22" s="186">
        <v>0</v>
      </c>
      <c r="K22" s="186">
        <v>0</v>
      </c>
      <c r="L22" s="186">
        <v>0</v>
      </c>
      <c r="M22" s="186">
        <v>0</v>
      </c>
      <c r="N22" s="186">
        <v>0</v>
      </c>
      <c r="O22" s="186">
        <v>0</v>
      </c>
      <c r="P22" s="186">
        <v>0</v>
      </c>
      <c r="Q22" s="186">
        <v>0</v>
      </c>
      <c r="R22" s="186">
        <v>0</v>
      </c>
      <c r="S22" s="186">
        <v>0</v>
      </c>
      <c r="T22" s="186">
        <v>0</v>
      </c>
      <c r="U22" s="186">
        <v>0</v>
      </c>
      <c r="V22" s="186">
        <v>0</v>
      </c>
      <c r="W22" s="186">
        <v>0</v>
      </c>
      <c r="X22" s="341">
        <f t="shared" si="0"/>
        <v>0</v>
      </c>
    </row>
    <row r="23" spans="1:25">
      <c r="A23" s="56" t="str">
        <f>'Tech Parameters'!B22</f>
        <v>-</v>
      </c>
      <c r="B23" s="60">
        <f>'Tech Parameters'!J22</f>
        <v>0</v>
      </c>
      <c r="C23" s="186"/>
      <c r="D23" s="186"/>
      <c r="E23" s="186"/>
      <c r="F23" s="186"/>
      <c r="G23" s="186"/>
      <c r="H23" s="186"/>
      <c r="I23" s="186"/>
      <c r="J23" s="186"/>
      <c r="K23" s="186"/>
      <c r="L23" s="186"/>
      <c r="M23" s="186"/>
      <c r="N23" s="186"/>
      <c r="O23" s="186"/>
      <c r="P23" s="186"/>
      <c r="Q23" s="186"/>
      <c r="R23" s="186"/>
      <c r="S23" s="186"/>
      <c r="T23" s="186"/>
      <c r="U23" s="186"/>
      <c r="V23" s="186"/>
      <c r="W23" s="186"/>
      <c r="X23" s="341">
        <f t="shared" si="0"/>
        <v>0</v>
      </c>
    </row>
    <row r="24" spans="1:25">
      <c r="A24" s="56" t="str">
        <f>'Tech Parameters'!B23</f>
        <v>-</v>
      </c>
      <c r="B24" s="60">
        <f>'Tech Parameters'!J23</f>
        <v>0</v>
      </c>
      <c r="C24" s="186"/>
      <c r="D24" s="186"/>
      <c r="E24" s="186"/>
      <c r="F24" s="186"/>
      <c r="G24" s="186"/>
      <c r="H24" s="186"/>
      <c r="I24" s="186"/>
      <c r="J24" s="186"/>
      <c r="K24" s="186"/>
      <c r="L24" s="186"/>
      <c r="M24" s="186"/>
      <c r="N24" s="186"/>
      <c r="O24" s="186"/>
      <c r="P24" s="186"/>
      <c r="Q24" s="186"/>
      <c r="R24" s="186"/>
      <c r="S24" s="186"/>
      <c r="T24" s="186"/>
      <c r="U24" s="186"/>
      <c r="V24" s="186"/>
      <c r="W24" s="186"/>
      <c r="X24" s="341">
        <f t="shared" si="0"/>
        <v>0</v>
      </c>
    </row>
    <row r="25" spans="1:25">
      <c r="A25" s="56" t="str">
        <f>'Tech Parameters'!B24</f>
        <v>-</v>
      </c>
      <c r="B25" s="60">
        <f>'Tech Parameters'!J24</f>
        <v>0</v>
      </c>
      <c r="C25" s="186"/>
      <c r="D25" s="186"/>
      <c r="E25" s="186"/>
      <c r="F25" s="186"/>
      <c r="G25" s="186"/>
      <c r="H25" s="186"/>
      <c r="I25" s="186"/>
      <c r="J25" s="186"/>
      <c r="K25" s="186"/>
      <c r="L25" s="186"/>
      <c r="M25" s="186"/>
      <c r="N25" s="186"/>
      <c r="O25" s="186"/>
      <c r="P25" s="186"/>
      <c r="Q25" s="186"/>
      <c r="R25" s="186"/>
      <c r="S25" s="186"/>
      <c r="T25" s="186"/>
      <c r="U25" s="186"/>
      <c r="V25" s="186"/>
      <c r="W25" s="186"/>
      <c r="X25" s="341">
        <f t="shared" si="0"/>
        <v>0</v>
      </c>
    </row>
    <row r="26" spans="1:25">
      <c r="A26" s="56" t="str">
        <f>'Tech Parameters'!B25</f>
        <v>Pumped storage</v>
      </c>
      <c r="B26" s="60">
        <f>'Tech Parameters'!J25</f>
        <v>333</v>
      </c>
      <c r="C26" s="186">
        <v>0</v>
      </c>
      <c r="D26" s="186">
        <v>0</v>
      </c>
      <c r="E26" s="186">
        <v>0</v>
      </c>
      <c r="F26" s="186">
        <v>2</v>
      </c>
      <c r="G26" s="186">
        <v>2</v>
      </c>
      <c r="H26" s="186">
        <v>0</v>
      </c>
      <c r="I26" s="186">
        <v>0</v>
      </c>
      <c r="J26" s="186">
        <v>0</v>
      </c>
      <c r="K26" s="186">
        <v>0</v>
      </c>
      <c r="L26" s="186">
        <v>0</v>
      </c>
      <c r="M26" s="186">
        <v>0</v>
      </c>
      <c r="N26" s="186">
        <v>0</v>
      </c>
      <c r="O26" s="186">
        <v>0</v>
      </c>
      <c r="P26" s="186">
        <v>0</v>
      </c>
      <c r="Q26" s="186">
        <v>0</v>
      </c>
      <c r="R26" s="186">
        <v>0</v>
      </c>
      <c r="S26" s="186">
        <v>0</v>
      </c>
      <c r="T26" s="186">
        <v>0</v>
      </c>
      <c r="U26" s="186">
        <v>0</v>
      </c>
      <c r="V26" s="186">
        <v>0</v>
      </c>
      <c r="W26" s="186">
        <v>0</v>
      </c>
      <c r="X26" s="341">
        <f t="shared" si="0"/>
        <v>1.3320000000000001</v>
      </c>
    </row>
    <row r="27" spans="1:25">
      <c r="A27" s="56" t="s">
        <v>248</v>
      </c>
      <c r="B27" s="56">
        <v>1</v>
      </c>
      <c r="C27" s="186">
        <v>0</v>
      </c>
      <c r="D27" s="186">
        <f>C27</f>
        <v>0</v>
      </c>
      <c r="E27" s="186">
        <f t="shared" ref="E27:W27" si="4">D27</f>
        <v>0</v>
      </c>
      <c r="F27" s="186">
        <f t="shared" si="4"/>
        <v>0</v>
      </c>
      <c r="G27" s="186">
        <f t="shared" si="4"/>
        <v>0</v>
      </c>
      <c r="H27" s="186">
        <f t="shared" si="4"/>
        <v>0</v>
      </c>
      <c r="I27" s="186">
        <f t="shared" si="4"/>
        <v>0</v>
      </c>
      <c r="J27" s="186">
        <f t="shared" si="4"/>
        <v>0</v>
      </c>
      <c r="K27" s="186">
        <f t="shared" si="4"/>
        <v>0</v>
      </c>
      <c r="L27" s="186">
        <f t="shared" si="4"/>
        <v>0</v>
      </c>
      <c r="M27" s="186">
        <f t="shared" si="4"/>
        <v>0</v>
      </c>
      <c r="N27" s="186">
        <f t="shared" si="4"/>
        <v>0</v>
      </c>
      <c r="O27" s="186">
        <f t="shared" si="4"/>
        <v>0</v>
      </c>
      <c r="P27" s="186">
        <f t="shared" si="4"/>
        <v>0</v>
      </c>
      <c r="Q27" s="186">
        <f t="shared" si="4"/>
        <v>0</v>
      </c>
      <c r="R27" s="186">
        <f t="shared" si="4"/>
        <v>0</v>
      </c>
      <c r="S27" s="186">
        <f t="shared" si="4"/>
        <v>0</v>
      </c>
      <c r="T27" s="186">
        <f t="shared" si="4"/>
        <v>0</v>
      </c>
      <c r="U27" s="186">
        <f t="shared" si="4"/>
        <v>0</v>
      </c>
      <c r="V27" s="186">
        <f t="shared" si="4"/>
        <v>0</v>
      </c>
      <c r="W27" s="186">
        <f t="shared" si="4"/>
        <v>0</v>
      </c>
      <c r="X27" s="341">
        <f t="shared" si="0"/>
        <v>0</v>
      </c>
    </row>
    <row r="28" spans="1:25">
      <c r="A28" s="91" t="s">
        <v>350</v>
      </c>
      <c r="B28" s="91"/>
      <c r="C28" s="181" t="s">
        <v>349</v>
      </c>
      <c r="D28" s="58"/>
      <c r="E28" s="183">
        <f ca="1">'Ref scen Calcs'!BE581/1000</f>
        <v>569.49776502545558</v>
      </c>
      <c r="F28" s="58"/>
      <c r="G28" s="181" t="s">
        <v>351</v>
      </c>
      <c r="H28" s="58"/>
      <c r="I28" s="317">
        <f ca="1">'Ref scen Calcs'!BC581/1000</f>
        <v>776.20002710213794</v>
      </c>
      <c r="K28" s="313" t="s">
        <v>649</v>
      </c>
      <c r="L28" s="313"/>
      <c r="M28" s="313"/>
      <c r="O28" s="181" t="s">
        <v>349</v>
      </c>
      <c r="P28" s="58"/>
      <c r="Q28" s="183">
        <f ca="1">'Ref scen Calcs'!BE582/1000</f>
        <v>1232.2475732648145</v>
      </c>
      <c r="R28" s="58"/>
      <c r="S28" s="181" t="s">
        <v>351</v>
      </c>
      <c r="T28" s="58"/>
      <c r="U28" s="182">
        <f ca="1">'Ref scen Calcs'!BC582/1000</f>
        <v>1677.929357708641</v>
      </c>
      <c r="W28" s="21"/>
    </row>
    <row r="29" spans="1:25">
      <c r="A29" s="57" t="s">
        <v>305</v>
      </c>
      <c r="B29" s="56" t="s">
        <v>338</v>
      </c>
      <c r="C29" s="21"/>
      <c r="D29" s="21"/>
      <c r="X29" s="11" t="s">
        <v>732</v>
      </c>
    </row>
    <row r="30" spans="1:25">
      <c r="A30" s="56" t="s">
        <v>427</v>
      </c>
      <c r="B30" s="327">
        <v>2.9999999999999997E-4</v>
      </c>
      <c r="C30" s="327">
        <f>'Ref scen Calcs'!I35</f>
        <v>2.198E-2</v>
      </c>
      <c r="D30" s="89">
        <f>'Ref scen Calcs'!J35</f>
        <v>6.7400000000000003E-3</v>
      </c>
      <c r="E30" s="89">
        <f>'Ref scen Calcs'!K35</f>
        <v>8.8699999999999994E-3</v>
      </c>
      <c r="F30" s="327">
        <f>'Ref scen Calcs'!L35</f>
        <v>1.2999999999999999E-3</v>
      </c>
      <c r="G30" s="327">
        <f>'Ref scen Calcs'!M35</f>
        <v>2.0000000000000002E-5</v>
      </c>
      <c r="H30" s="327">
        <f>'Ref scen Calcs'!N35</f>
        <v>1.0000000000000001E-5</v>
      </c>
      <c r="I30" s="327">
        <f>'Ref scen Calcs'!O35</f>
        <v>1.0000000000000001E-5</v>
      </c>
      <c r="J30" s="327">
        <f>'Ref scen Calcs'!P35</f>
        <v>0</v>
      </c>
      <c r="K30" s="327">
        <f>'Ref scen Calcs'!Q35</f>
        <v>0</v>
      </c>
      <c r="L30" s="327">
        <f>'Ref scen Calcs'!R35</f>
        <v>0</v>
      </c>
      <c r="M30" s="327">
        <f>'Ref scen Calcs'!S35</f>
        <v>0</v>
      </c>
      <c r="N30" s="327">
        <f>'Ref scen Calcs'!T35</f>
        <v>0</v>
      </c>
      <c r="O30" s="327">
        <f>'Ref scen Calcs'!U35</f>
        <v>0</v>
      </c>
      <c r="P30" s="327">
        <f>'Ref scen Calcs'!V35</f>
        <v>0</v>
      </c>
      <c r="Q30" s="327">
        <f>'Ref scen Calcs'!W35</f>
        <v>0</v>
      </c>
      <c r="R30" s="327">
        <f>'Ref scen Calcs'!X35</f>
        <v>0</v>
      </c>
      <c r="S30" s="327">
        <f>'Ref scen Calcs'!Y35</f>
        <v>0</v>
      </c>
      <c r="T30" s="327">
        <f>'Ref scen Calcs'!Z35</f>
        <v>0</v>
      </c>
      <c r="U30" s="327">
        <f>'Ref scen Calcs'!AA35</f>
        <v>0</v>
      </c>
      <c r="V30" s="327">
        <f>'Ref scen Calcs'!AB35</f>
        <v>0</v>
      </c>
      <c r="W30" s="327">
        <f>'Ref scen Calcs'!AC35</f>
        <v>0</v>
      </c>
      <c r="X30" s="344" t="str">
        <f>'Ref scen Calcs'!C5</f>
        <v>19/11/2009 11:22:00 AM</v>
      </c>
      <c r="Y30" s="344"/>
    </row>
    <row r="31" spans="1:25">
      <c r="A31" s="187" t="s">
        <v>355</v>
      </c>
      <c r="B31" s="70">
        <v>0.15</v>
      </c>
      <c r="C31" s="89">
        <f ca="1">VALUE(VLOOKUP($A31,$A$40:$W$43,C$6-2007,FALSE))</f>
        <v>0.154</v>
      </c>
      <c r="D31" s="89">
        <f t="shared" ref="D31:W31" ca="1" si="5">VALUE(VLOOKUP($A31,$A$40:$W$43,D$6-2007,FALSE))</f>
        <v>0.17</v>
      </c>
      <c r="E31" s="89">
        <f t="shared" ca="1" si="5"/>
        <v>0.16400000000000001</v>
      </c>
      <c r="F31" s="89">
        <f t="shared" ca="1" si="5"/>
        <v>0.189</v>
      </c>
      <c r="G31" s="89">
        <f t="shared" ca="1" si="5"/>
        <v>0.22600000000000001</v>
      </c>
      <c r="H31" s="89">
        <f t="shared" ca="1" si="5"/>
        <v>0.245</v>
      </c>
      <c r="I31" s="89">
        <f t="shared" ca="1" si="5"/>
        <v>0.24299999999999999</v>
      </c>
      <c r="J31" s="89">
        <f t="shared" ca="1" si="5"/>
        <v>0.24199999999999999</v>
      </c>
      <c r="K31" s="89">
        <f t="shared" ca="1" si="5"/>
        <v>0.255</v>
      </c>
      <c r="L31" s="89">
        <f t="shared" ca="1" si="5"/>
        <v>0.26600000000000001</v>
      </c>
      <c r="M31" s="89">
        <f t="shared" ca="1" si="5"/>
        <v>0.25900000000000001</v>
      </c>
      <c r="N31" s="89">
        <f t="shared" ca="1" si="5"/>
        <v>0.26500000000000001</v>
      </c>
      <c r="O31" s="89">
        <f t="shared" ca="1" si="5"/>
        <v>0.28799999999999998</v>
      </c>
      <c r="P31" s="89">
        <f t="shared" ca="1" si="5"/>
        <v>0.30599999999999999</v>
      </c>
      <c r="Q31" s="89">
        <f t="shared" ca="1" si="5"/>
        <v>0.30299999999999999</v>
      </c>
      <c r="R31" s="89">
        <f t="shared" ca="1" si="5"/>
        <v>0.29099999999999998</v>
      </c>
      <c r="S31" s="89">
        <f t="shared" ca="1" si="5"/>
        <v>0.29599999999999999</v>
      </c>
      <c r="T31" s="89">
        <f t="shared" ca="1" si="5"/>
        <v>0.29599999999999999</v>
      </c>
      <c r="U31" s="89">
        <f t="shared" ca="1" si="5"/>
        <v>0.28899999999999998</v>
      </c>
      <c r="V31" s="89">
        <f t="shared" ca="1" si="5"/>
        <v>0.27900000000000003</v>
      </c>
      <c r="W31" s="89">
        <f t="shared" ca="1" si="5"/>
        <v>0.29199999999999998</v>
      </c>
    </row>
    <row r="32" spans="1:25">
      <c r="A32" s="339" t="s">
        <v>722</v>
      </c>
      <c r="B32" s="70">
        <v>0.1</v>
      </c>
      <c r="C32" s="89">
        <f ca="1">(SUM('Ref scen Calcs'!I$173:I$192)+SUM('Ref scen Calcs'!I$195:I$214))/('Ref scen Calcs'!I$266+'Ref scen Calcs'!I$267+'Ref scen Calcs'!I$268-'Ref scen Calcs'!I$269)-1</f>
        <v>0.1713279120478608</v>
      </c>
      <c r="D32" s="89">
        <f ca="1">(SUM('Ref scen Calcs'!J$173:J$192)+SUM('Ref scen Calcs'!J$195:J$214))/('Ref scen Calcs'!J$266+'Ref scen Calcs'!J$267+'Ref scen Calcs'!J$268-'Ref scen Calcs'!J$269)-1</f>
        <v>0.1624115771280501</v>
      </c>
      <c r="E32" s="89">
        <f ca="1">(SUM('Ref scen Calcs'!K$173:K$192)+SUM('Ref scen Calcs'!K$195:K$214))/('Ref scen Calcs'!K$266+'Ref scen Calcs'!K$267+'Ref scen Calcs'!K$268-'Ref scen Calcs'!K$269)-1</f>
        <v>0.1587054433397852</v>
      </c>
      <c r="F32" s="89">
        <f ca="1">(SUM('Ref scen Calcs'!L$173:L$192)+SUM('Ref scen Calcs'!L$195:L$214))/('Ref scen Calcs'!L$266+'Ref scen Calcs'!L$267+'Ref scen Calcs'!L$268-'Ref scen Calcs'!L$269)-1</f>
        <v>0.17039474125466292</v>
      </c>
      <c r="G32" s="89">
        <f ca="1">(SUM('Ref scen Calcs'!M$173:M$192)+SUM('Ref scen Calcs'!M$195:M$214))/('Ref scen Calcs'!M$266+'Ref scen Calcs'!M$267+'Ref scen Calcs'!M$268-'Ref scen Calcs'!M$269)-1</f>
        <v>0.1959794657035705</v>
      </c>
      <c r="H32" s="89">
        <f ca="1">(SUM('Ref scen Calcs'!N$173:N$192)+SUM('Ref scen Calcs'!N$195:N$214))/('Ref scen Calcs'!N$266+'Ref scen Calcs'!N$267+'Ref scen Calcs'!N$268-'Ref scen Calcs'!N$269)-1</f>
        <v>0.22321370836494236</v>
      </c>
      <c r="I32" s="89">
        <f ca="1">(SUM('Ref scen Calcs'!O$173:O$192)+SUM('Ref scen Calcs'!O$195:O$214))/('Ref scen Calcs'!O$266+'Ref scen Calcs'!O$267+'Ref scen Calcs'!O$268-'Ref scen Calcs'!O$269)-1</f>
        <v>0.22626030954337883</v>
      </c>
      <c r="J32" s="89">
        <f ca="1">(SUM('Ref scen Calcs'!P$173:P$192)+SUM('Ref scen Calcs'!P$195:P$214))/('Ref scen Calcs'!P$266+'Ref scen Calcs'!P$267+'Ref scen Calcs'!P$268-'Ref scen Calcs'!P$269)-1</f>
        <v>0.22970867637644066</v>
      </c>
      <c r="K32" s="89">
        <f ca="1">(SUM('Ref scen Calcs'!Q$173:Q$192)+SUM('Ref scen Calcs'!Q$195:Q$214))/('Ref scen Calcs'!Q$266+'Ref scen Calcs'!Q$267+'Ref scen Calcs'!Q$268-'Ref scen Calcs'!Q$269)-1</f>
        <v>0.24961443172841569</v>
      </c>
      <c r="L32" s="89">
        <f ca="1">(SUM('Ref scen Calcs'!R$173:R$192)+SUM('Ref scen Calcs'!R$195:R$214))/('Ref scen Calcs'!R$266+'Ref scen Calcs'!R$267+'Ref scen Calcs'!R$268-'Ref scen Calcs'!R$269)-1</f>
        <v>0.26675221925388315</v>
      </c>
      <c r="M32" s="89">
        <f ca="1">(SUM('Ref scen Calcs'!S$173:S$192)+SUM('Ref scen Calcs'!S$195:S$214))/('Ref scen Calcs'!S$266+'Ref scen Calcs'!S$267+'Ref scen Calcs'!S$268-'Ref scen Calcs'!S$269)-1</f>
        <v>0.26392287895248612</v>
      </c>
      <c r="N32" s="89">
        <f ca="1">(SUM('Ref scen Calcs'!T$173:T$192)+SUM('Ref scen Calcs'!T$195:T$214))/('Ref scen Calcs'!T$266+'Ref scen Calcs'!T$267+'Ref scen Calcs'!T$268-'Ref scen Calcs'!T$269)-1</f>
        <v>0.2766017020226843</v>
      </c>
      <c r="O32" s="89">
        <f ca="1">(SUM('Ref scen Calcs'!U$173:U$192)+SUM('Ref scen Calcs'!U$195:U$214))/('Ref scen Calcs'!U$266+'Ref scen Calcs'!U$267+'Ref scen Calcs'!U$268-'Ref scen Calcs'!U$269)-1</f>
        <v>0.30674806736978</v>
      </c>
      <c r="P32" s="89">
        <f ca="1">(SUM('Ref scen Calcs'!V$173:V$192)+SUM('Ref scen Calcs'!V$195:V$214))/('Ref scen Calcs'!V$266+'Ref scen Calcs'!V$267+'Ref scen Calcs'!V$268-'Ref scen Calcs'!V$269)-1</f>
        <v>0.31772812387905258</v>
      </c>
      <c r="Q32" s="89">
        <f ca="1">(SUM('Ref scen Calcs'!W$173:W$192)+SUM('Ref scen Calcs'!W$195:W$214))/('Ref scen Calcs'!W$266+'Ref scen Calcs'!W$267+'Ref scen Calcs'!W$268-'Ref scen Calcs'!W$269)-1</f>
        <v>0.31831130860179568</v>
      </c>
      <c r="R32" s="89">
        <f ca="1">(SUM('Ref scen Calcs'!X$173:X$192)+SUM('Ref scen Calcs'!X$195:X$214))/('Ref scen Calcs'!X$266+'Ref scen Calcs'!X$267+'Ref scen Calcs'!X$268-'Ref scen Calcs'!X$269)-1</f>
        <v>0.30929986536201715</v>
      </c>
      <c r="S32" s="89">
        <f ca="1">(SUM('Ref scen Calcs'!Y$173:Y$192)+SUM('Ref scen Calcs'!Y$195:Y$214))/('Ref scen Calcs'!Y$266+'Ref scen Calcs'!Y$267+'Ref scen Calcs'!Y$268-'Ref scen Calcs'!Y$269)-1</f>
        <v>0.30830404934334465</v>
      </c>
      <c r="T32" s="89">
        <f ca="1">(SUM('Ref scen Calcs'!Z$173:Z$192)+SUM('Ref scen Calcs'!Z$195:Z$214))/('Ref scen Calcs'!Z$266+'Ref scen Calcs'!Z$267+'Ref scen Calcs'!Z$268-'Ref scen Calcs'!Z$269)-1</f>
        <v>0.31192816862873385</v>
      </c>
      <c r="U32" s="89">
        <f ca="1">(SUM('Ref scen Calcs'!AA$173:AA$192)+SUM('Ref scen Calcs'!AA$195:AA$214))/('Ref scen Calcs'!AA$266+'Ref scen Calcs'!AA$267+'Ref scen Calcs'!AA$268-'Ref scen Calcs'!AA$269)-1</f>
        <v>0.30875027755690843</v>
      </c>
      <c r="V32" s="89">
        <f ca="1">(SUM('Ref scen Calcs'!AB$173:AB$192)+SUM('Ref scen Calcs'!AB$195:AB$214))/('Ref scen Calcs'!AB$266+'Ref scen Calcs'!AB$267+'Ref scen Calcs'!AB$268-'Ref scen Calcs'!AB$269)-1</f>
        <v>0.28981297953201124</v>
      </c>
      <c r="W32" s="89">
        <f ca="1">(SUM('Ref scen Calcs'!AC$173:AC$192)+SUM('Ref scen Calcs'!AC$195:AC$214))/('Ref scen Calcs'!AC$266+'Ref scen Calcs'!AC$267+'Ref scen Calcs'!AC$268-'Ref scen Calcs'!AC$269)-1</f>
        <v>0.30971350804848408</v>
      </c>
    </row>
    <row r="33" spans="1:50">
      <c r="A33" s="56" t="s">
        <v>303</v>
      </c>
      <c r="B33" s="56">
        <v>0</v>
      </c>
      <c r="C33" s="56">
        <f ca="1">'Ref scen Calcs'!I364</f>
        <v>0</v>
      </c>
      <c r="D33" s="56">
        <f ca="1">'Ref scen Calcs'!J364</f>
        <v>0</v>
      </c>
      <c r="E33" s="56">
        <f ca="1">'Ref scen Calcs'!K364</f>
        <v>0</v>
      </c>
      <c r="F33" s="56">
        <f ca="1">'Ref scen Calcs'!L364</f>
        <v>0</v>
      </c>
      <c r="G33" s="56">
        <f ca="1">'Ref scen Calcs'!M364</f>
        <v>0</v>
      </c>
      <c r="H33" s="56">
        <f ca="1">'Ref scen Calcs'!N364</f>
        <v>0</v>
      </c>
      <c r="I33" s="56">
        <f ca="1">'Ref scen Calcs'!O364</f>
        <v>0</v>
      </c>
      <c r="J33" s="56">
        <f ca="1">'Ref scen Calcs'!P364</f>
        <v>0</v>
      </c>
      <c r="K33" s="56">
        <f ca="1">'Ref scen Calcs'!Q364</f>
        <v>0</v>
      </c>
      <c r="L33" s="56">
        <f ca="1">'Ref scen Calcs'!R364</f>
        <v>0</v>
      </c>
      <c r="M33" s="56">
        <f ca="1">'Ref scen Calcs'!S364</f>
        <v>0</v>
      </c>
      <c r="N33" s="56">
        <f ca="1">'Ref scen Calcs'!T364</f>
        <v>0</v>
      </c>
      <c r="O33" s="56">
        <f ca="1">'Ref scen Calcs'!U364</f>
        <v>0</v>
      </c>
      <c r="P33" s="56">
        <f ca="1">'Ref scen Calcs'!V364</f>
        <v>0</v>
      </c>
      <c r="Q33" s="56">
        <f ca="1">'Ref scen Calcs'!W364</f>
        <v>0</v>
      </c>
      <c r="R33" s="56">
        <f ca="1">'Ref scen Calcs'!X364</f>
        <v>0</v>
      </c>
      <c r="S33" s="56">
        <f ca="1">'Ref scen Calcs'!Y364</f>
        <v>0</v>
      </c>
      <c r="T33" s="56">
        <f ca="1">'Ref scen Calcs'!Z364</f>
        <v>0</v>
      </c>
      <c r="U33" s="56">
        <f ca="1">'Ref scen Calcs'!AA364</f>
        <v>0</v>
      </c>
      <c r="V33" s="56">
        <f ca="1">'Ref scen Calcs'!AB364</f>
        <v>0</v>
      </c>
      <c r="W33" s="56">
        <f ca="1">'Ref scen Calcs'!AC364</f>
        <v>0</v>
      </c>
    </row>
    <row r="34" spans="1:50">
      <c r="A34" s="57" t="s">
        <v>339</v>
      </c>
      <c r="B34" s="21"/>
      <c r="C34" s="21"/>
      <c r="D34" s="21"/>
      <c r="E34" s="21"/>
      <c r="F34" s="21"/>
      <c r="G34" s="21"/>
      <c r="H34" s="21"/>
      <c r="I34" s="21"/>
      <c r="J34" s="21"/>
      <c r="K34" s="21"/>
      <c r="L34" s="21"/>
      <c r="M34" s="21"/>
      <c r="N34" s="21"/>
      <c r="O34" s="21"/>
      <c r="P34" s="21"/>
    </row>
    <row r="35" spans="1:50">
      <c r="A35" s="187" t="s">
        <v>289</v>
      </c>
      <c r="B35" s="90" t="str">
        <f>VLOOKUP($A35,$A$40:$W$61,2,FALSE)</f>
        <v>Mt CO2-eq</v>
      </c>
      <c r="C35" s="90">
        <f t="shared" ref="C35:L37" ca="1" si="6">VLOOKUP($A35,$A$40:$W$61,C$6-2007,FALSE)</f>
        <v>235.99719359076568</v>
      </c>
      <c r="D35" s="90">
        <f t="shared" ca="1" si="6"/>
        <v>241.13644531545148</v>
      </c>
      <c r="E35" s="90">
        <f t="shared" ca="1" si="6"/>
        <v>246.99212756686327</v>
      </c>
      <c r="F35" s="90">
        <f t="shared" ca="1" si="6"/>
        <v>254.1341130271411</v>
      </c>
      <c r="G35" s="90">
        <f t="shared" ca="1" si="6"/>
        <v>262.50555854340791</v>
      </c>
      <c r="H35" s="90">
        <f t="shared" ca="1" si="6"/>
        <v>270.31677005900684</v>
      </c>
      <c r="I35" s="90">
        <f t="shared" ca="1" si="6"/>
        <v>278.53892995818495</v>
      </c>
      <c r="J35" s="90">
        <f t="shared" ca="1" si="6"/>
        <v>286.62551982372042</v>
      </c>
      <c r="K35" s="90">
        <f t="shared" ca="1" si="6"/>
        <v>295.14868552109169</v>
      </c>
      <c r="L35" s="90">
        <f t="shared" ca="1" si="6"/>
        <v>304.07354020703423</v>
      </c>
      <c r="M35" s="90">
        <f t="shared" ref="M35:W37" ca="1" si="7">VLOOKUP($A35,$A$40:$W$61,M$6-2007,FALSE)</f>
        <v>312.4833881007371</v>
      </c>
      <c r="N35" s="90">
        <f t="shared" ca="1" si="7"/>
        <v>321.3652205560112</v>
      </c>
      <c r="O35" s="90">
        <f t="shared" ca="1" si="7"/>
        <v>330.97988265189008</v>
      </c>
      <c r="P35" s="90">
        <f t="shared" ca="1" si="7"/>
        <v>341.24203283505301</v>
      </c>
      <c r="Q35" s="90">
        <f t="shared" ca="1" si="7"/>
        <v>351.3677970139185</v>
      </c>
      <c r="R35" s="90">
        <f t="shared" ca="1" si="7"/>
        <v>361.69015525086729</v>
      </c>
      <c r="S35" s="90">
        <f t="shared" ca="1" si="7"/>
        <v>372.75576750456992</v>
      </c>
      <c r="T35" s="90">
        <f t="shared" ca="1" si="7"/>
        <v>384.62171190986908</v>
      </c>
      <c r="U35" s="90">
        <f t="shared" ca="1" si="7"/>
        <v>396.74490984700105</v>
      </c>
      <c r="V35" s="90">
        <f t="shared" ca="1" si="7"/>
        <v>408.35118802342163</v>
      </c>
      <c r="W35" s="90">
        <f t="shared" ca="1" si="7"/>
        <v>417.41888218437919</v>
      </c>
    </row>
    <row r="36" spans="1:50">
      <c r="A36" s="187" t="s">
        <v>348</v>
      </c>
      <c r="B36" s="90" t="str">
        <f>VLOOKUP($A36,$A$40:$W$61,2,FALSE)</f>
        <v>R / kWh</v>
      </c>
      <c r="C36" s="90">
        <f t="shared" ca="1" si="6"/>
        <v>0.11213531685831545</v>
      </c>
      <c r="D36" s="90">
        <f t="shared" ca="1" si="6"/>
        <v>0.11738717550437631</v>
      </c>
      <c r="E36" s="90">
        <f t="shared" ca="1" si="6"/>
        <v>0.12412266262515818</v>
      </c>
      <c r="F36" s="90">
        <f t="shared" ca="1" si="6"/>
        <v>0.13991373488358169</v>
      </c>
      <c r="G36" s="90">
        <f t="shared" ca="1" si="6"/>
        <v>0.16133825436935464</v>
      </c>
      <c r="H36" s="90">
        <f t="shared" ca="1" si="6"/>
        <v>0.17910195098757228</v>
      </c>
      <c r="I36" s="90">
        <f t="shared" ca="1" si="6"/>
        <v>0.18958927150392835</v>
      </c>
      <c r="J36" s="90">
        <f t="shared" ca="1" si="6"/>
        <v>0.19951484024610688</v>
      </c>
      <c r="K36" s="90">
        <f t="shared" ca="1" si="6"/>
        <v>0.21443150843935896</v>
      </c>
      <c r="L36" s="90">
        <f t="shared" ca="1" si="6"/>
        <v>0.22832938247221654</v>
      </c>
      <c r="M36" s="90">
        <f t="shared" ca="1" si="7"/>
        <v>0.24063617274836691</v>
      </c>
      <c r="N36" s="90">
        <f t="shared" ca="1" si="7"/>
        <v>0.25720924663182743</v>
      </c>
      <c r="O36" s="90">
        <f t="shared" ca="1" si="7"/>
        <v>0.27349843720432687</v>
      </c>
      <c r="P36" s="90">
        <f t="shared" ca="1" si="7"/>
        <v>0.2864678847559835</v>
      </c>
      <c r="Q36" s="90">
        <f t="shared" ca="1" si="7"/>
        <v>0.30062533612241965</v>
      </c>
      <c r="R36" s="90">
        <f t="shared" ca="1" si="7"/>
        <v>0.31335625851087034</v>
      </c>
      <c r="S36" s="90">
        <f t="shared" ca="1" si="7"/>
        <v>0.33193359951048179</v>
      </c>
      <c r="T36" s="90">
        <f t="shared" ca="1" si="7"/>
        <v>0.34675757500063115</v>
      </c>
      <c r="U36" s="90">
        <f t="shared" ca="1" si="7"/>
        <v>0.3604307712213598</v>
      </c>
      <c r="V36" s="90">
        <f t="shared" ca="1" si="7"/>
        <v>0.37977339786638209</v>
      </c>
      <c r="W36" s="90">
        <f t="shared" ca="1" si="7"/>
        <v>0.39690952391183165</v>
      </c>
    </row>
    <row r="37" spans="1:50">
      <c r="A37" s="187" t="s">
        <v>367</v>
      </c>
      <c r="B37" s="90" t="str">
        <f>VLOOKUP($A37,$A$40:$W$61,2,FALSE)</f>
        <v>R million</v>
      </c>
      <c r="C37" s="90">
        <f t="shared" si="6"/>
        <v>28151.573050186238</v>
      </c>
      <c r="D37" s="90">
        <f t="shared" si="6"/>
        <v>36794.572517423265</v>
      </c>
      <c r="E37" s="90">
        <f t="shared" si="6"/>
        <v>46234.023856479864</v>
      </c>
      <c r="F37" s="90">
        <f t="shared" si="6"/>
        <v>42802.807416769079</v>
      </c>
      <c r="G37" s="90">
        <f t="shared" si="6"/>
        <v>34708.857909120299</v>
      </c>
      <c r="H37" s="90">
        <f t="shared" si="6"/>
        <v>37940.691924532643</v>
      </c>
      <c r="I37" s="90">
        <f t="shared" si="6"/>
        <v>45394.067356270752</v>
      </c>
      <c r="J37" s="90">
        <f t="shared" si="6"/>
        <v>47015.681989247241</v>
      </c>
      <c r="K37" s="90">
        <f t="shared" si="6"/>
        <v>51503.338923124145</v>
      </c>
      <c r="L37" s="90">
        <f t="shared" si="6"/>
        <v>58477.174735643042</v>
      </c>
      <c r="M37" s="90">
        <f t="shared" si="7"/>
        <v>56839.970128849825</v>
      </c>
      <c r="N37" s="90">
        <f t="shared" ca="1" si="7"/>
        <v>55888.874535371215</v>
      </c>
      <c r="O37" s="90">
        <f t="shared" ca="1" si="7"/>
        <v>63100.974903925635</v>
      </c>
      <c r="P37" s="90">
        <f t="shared" ca="1" si="7"/>
        <v>67290.886519136853</v>
      </c>
      <c r="Q37" s="90">
        <f t="shared" ca="1" si="7"/>
        <v>75107.638852218413</v>
      </c>
      <c r="R37" s="90">
        <f t="shared" ca="1" si="7"/>
        <v>75763.413596463288</v>
      </c>
      <c r="S37" s="90">
        <f t="shared" ca="1" si="7"/>
        <v>73109.663769759441</v>
      </c>
      <c r="T37" s="90">
        <f t="shared" ca="1" si="7"/>
        <v>78014.379665537257</v>
      </c>
      <c r="U37" s="90">
        <f t="shared" ca="1" si="7"/>
        <v>54651.122291722313</v>
      </c>
      <c r="V37" s="90">
        <f t="shared" ca="1" si="7"/>
        <v>11797.18765209939</v>
      </c>
      <c r="W37" s="90">
        <f t="shared" ca="1" si="7"/>
        <v>0</v>
      </c>
    </row>
    <row r="39" spans="1:50">
      <c r="A39" s="57" t="s">
        <v>340</v>
      </c>
      <c r="B39" s="4" t="s">
        <v>16</v>
      </c>
      <c r="Z39" s="21"/>
      <c r="AA39" s="21"/>
      <c r="AB39" s="21"/>
      <c r="AC39" s="21"/>
      <c r="AD39" s="21"/>
      <c r="AE39" s="21"/>
      <c r="AF39" s="21"/>
      <c r="AG39" s="21"/>
      <c r="AH39" s="21"/>
      <c r="AI39" s="21"/>
      <c r="AJ39" s="21"/>
      <c r="AK39" s="21"/>
      <c r="AL39" s="21"/>
      <c r="AM39" s="21"/>
      <c r="AN39" s="21"/>
      <c r="AO39" s="21"/>
      <c r="AP39" s="21"/>
      <c r="AQ39" s="21"/>
      <c r="AR39" s="21"/>
      <c r="AS39" s="21"/>
      <c r="AT39" s="21"/>
      <c r="AU39" s="21"/>
      <c r="AV39" s="21"/>
      <c r="AW39" s="21"/>
      <c r="AX39" s="21"/>
    </row>
    <row r="40" spans="1:50">
      <c r="A40" s="58" t="str">
        <f>'Ref scen Calcs'!C44</f>
        <v>Reserve (AF) - domestic capacity only</v>
      </c>
      <c r="B40" s="58" t="s">
        <v>362</v>
      </c>
      <c r="C40" s="84" t="str">
        <f ca="1">TEXT('Ref scen Calcs'!I44,"##.0%")</f>
        <v>11.6%</v>
      </c>
      <c r="D40" s="84" t="str">
        <f ca="1">TEXT('Ref scen Calcs'!J44,"##.0%")</f>
        <v>13.2%</v>
      </c>
      <c r="E40" s="84" t="str">
        <f ca="1">TEXT('Ref scen Calcs'!K44,"##.0%")</f>
        <v>12.7%</v>
      </c>
      <c r="F40" s="84" t="str">
        <f ca="1">TEXT('Ref scen Calcs'!L44,"##.0%")</f>
        <v>15.3%</v>
      </c>
      <c r="G40" s="84" t="str">
        <f ca="1">TEXT('Ref scen Calcs'!M44,"##.0%")</f>
        <v>19.0%</v>
      </c>
      <c r="H40" s="84" t="str">
        <f ca="1">TEXT('Ref scen Calcs'!N44,"##.0%")</f>
        <v>21.1%</v>
      </c>
      <c r="I40" s="84" t="str">
        <f ca="1">TEXT('Ref scen Calcs'!O44,"##.0%")</f>
        <v>21.0%</v>
      </c>
      <c r="J40" s="84" t="str">
        <f ca="1">TEXT('Ref scen Calcs'!P44,"##.0%")</f>
        <v>21.0%</v>
      </c>
      <c r="K40" s="84" t="str">
        <f ca="1">TEXT('Ref scen Calcs'!Q44,"##.0%")</f>
        <v>22.4%</v>
      </c>
      <c r="L40" s="84" t="str">
        <f ca="1">TEXT('Ref scen Calcs'!R44,"##.0%")</f>
        <v>23.6%</v>
      </c>
      <c r="M40" s="84" t="str">
        <f ca="1">TEXT('Ref scen Calcs'!S44,"##.0%")</f>
        <v>22.9%</v>
      </c>
      <c r="N40" s="84" t="str">
        <f ca="1">TEXT('Ref scen Calcs'!T44,"##.0%")</f>
        <v>23.6%</v>
      </c>
      <c r="O40" s="84" t="str">
        <f ca="1">TEXT('Ref scen Calcs'!U44,"##.0%")</f>
        <v>26.0%</v>
      </c>
      <c r="P40" s="84" t="str">
        <f ca="1">TEXT('Ref scen Calcs'!V44,"##.0%")</f>
        <v>27.9%</v>
      </c>
      <c r="Q40" s="84" t="str">
        <f ca="1">TEXT('Ref scen Calcs'!W44,"##.0%")</f>
        <v>27.6%</v>
      </c>
      <c r="R40" s="84" t="str">
        <f ca="1">TEXT('Ref scen Calcs'!X44,"##.0%")</f>
        <v>26.5%</v>
      </c>
      <c r="S40" s="84" t="str">
        <f ca="1">TEXT('Ref scen Calcs'!Y44,"##.0%")</f>
        <v>27.2%</v>
      </c>
      <c r="T40" s="84" t="str">
        <f ca="1">TEXT('Ref scen Calcs'!Z44,"##.0%")</f>
        <v>27.2%</v>
      </c>
      <c r="U40" s="84" t="str">
        <f ca="1">TEXT('Ref scen Calcs'!AA44,"##.0%")</f>
        <v>26.6%</v>
      </c>
      <c r="V40" s="84" t="str">
        <f ca="1">TEXT('Ref scen Calcs'!AB44,"##.0%")</f>
        <v>25.7%</v>
      </c>
      <c r="W40" s="84" t="str">
        <f ca="1">TEXT('Ref scen Calcs'!AC44,"##.0%")</f>
        <v>27.0%</v>
      </c>
      <c r="Z40" s="21"/>
      <c r="AA40" s="36"/>
      <c r="AB40" s="21"/>
      <c r="AC40" s="21"/>
      <c r="AD40" s="21"/>
      <c r="AE40" s="21"/>
      <c r="AF40" s="21"/>
      <c r="AG40" s="21"/>
      <c r="AH40" s="21"/>
      <c r="AI40" s="21"/>
      <c r="AJ40" s="21"/>
      <c r="AK40" s="21"/>
      <c r="AL40" s="21"/>
      <c r="AM40" s="21"/>
      <c r="AN40" s="21"/>
      <c r="AO40" s="21"/>
      <c r="AP40" s="21"/>
      <c r="AQ40" s="21"/>
      <c r="AR40" s="21"/>
      <c r="AS40" s="21"/>
      <c r="AT40" s="21"/>
      <c r="AU40" s="21"/>
      <c r="AV40" s="21"/>
      <c r="AW40" s="21"/>
      <c r="AX40" s="21"/>
    </row>
    <row r="41" spans="1:50">
      <c r="A41" s="58" t="str">
        <f>'Ref scen Calcs'!C45</f>
        <v>Reserve (AF) - including interruptible supply</v>
      </c>
      <c r="B41" s="58" t="s">
        <v>362</v>
      </c>
      <c r="C41" s="84" t="str">
        <f ca="1">TEXT('Ref scen Calcs'!I45,"##.0%")</f>
        <v>19.4%</v>
      </c>
      <c r="D41" s="84" t="str">
        <f ca="1">TEXT('Ref scen Calcs'!J45,"##.0%")</f>
        <v>21.0%</v>
      </c>
      <c r="E41" s="84" t="str">
        <f ca="1">TEXT('Ref scen Calcs'!K45,"##.0%")</f>
        <v>20.2%</v>
      </c>
      <c r="F41" s="84" t="str">
        <f ca="1">TEXT('Ref scen Calcs'!L45,"##.0%")</f>
        <v>21.1%</v>
      </c>
      <c r="G41" s="84" t="str">
        <f ca="1">TEXT('Ref scen Calcs'!M45,"##.0%")</f>
        <v>23.2%</v>
      </c>
      <c r="H41" s="84" t="str">
        <f ca="1">TEXT('Ref scen Calcs'!N45,"##.0%")</f>
        <v>25.2%</v>
      </c>
      <c r="I41" s="84" t="str">
        <f ca="1">TEXT('Ref scen Calcs'!O45,"##.0%")</f>
        <v>25.0%</v>
      </c>
      <c r="J41" s="84" t="str">
        <f ca="1">TEXT('Ref scen Calcs'!P45,"##.0%")</f>
        <v>24.8%</v>
      </c>
      <c r="K41" s="84" t="str">
        <f ca="1">TEXT('Ref scen Calcs'!Q45,"##.0%")</f>
        <v>26.1%</v>
      </c>
      <c r="L41" s="84" t="str">
        <f ca="1">TEXT('Ref scen Calcs'!R45,"##.0%")</f>
        <v>27.2%</v>
      </c>
      <c r="M41" s="84" t="str">
        <f ca="1">TEXT('Ref scen Calcs'!S45,"##.0%")</f>
        <v>26.4%</v>
      </c>
      <c r="N41" s="84" t="str">
        <f ca="1">TEXT('Ref scen Calcs'!T45,"##.0%")</f>
        <v>27.0%</v>
      </c>
      <c r="O41" s="84" t="str">
        <f ca="1">TEXT('Ref scen Calcs'!U45,"##.0%")</f>
        <v>29.3%</v>
      </c>
      <c r="P41" s="84" t="str">
        <f ca="1">TEXT('Ref scen Calcs'!V45,"##.0%")</f>
        <v>31.1%</v>
      </c>
      <c r="Q41" s="84" t="str">
        <f ca="1">TEXT('Ref scen Calcs'!W45,"##.0%")</f>
        <v>30.8%</v>
      </c>
      <c r="R41" s="84" t="str">
        <f ca="1">TEXT('Ref scen Calcs'!X45,"##.0%")</f>
        <v>28.7%</v>
      </c>
      <c r="S41" s="84" t="str">
        <f ca="1">TEXT('Ref scen Calcs'!Y45,"##.0%")</f>
        <v>29.3%</v>
      </c>
      <c r="T41" s="84" t="str">
        <f ca="1">TEXT('Ref scen Calcs'!Z45,"##.0%")</f>
        <v>29.2%</v>
      </c>
      <c r="U41" s="84" t="str">
        <f ca="1">TEXT('Ref scen Calcs'!AA45,"##.0%")</f>
        <v>28.6%</v>
      </c>
      <c r="V41" s="84" t="str">
        <f ca="1">TEXT('Ref scen Calcs'!AB45,"##.0%")</f>
        <v>27.6%</v>
      </c>
      <c r="W41" s="84" t="str">
        <f ca="1">TEXT('Ref scen Calcs'!AC45,"##.0%")</f>
        <v>28.9%</v>
      </c>
      <c r="Z41" s="21"/>
      <c r="AA41" s="56"/>
      <c r="AB41" s="56"/>
      <c r="AC41" s="56"/>
      <c r="AD41" s="56"/>
      <c r="AE41" s="56"/>
      <c r="AF41" s="56"/>
      <c r="AG41" s="56"/>
      <c r="AH41" s="56"/>
      <c r="AI41" s="56"/>
      <c r="AJ41" s="56"/>
      <c r="AK41" s="56"/>
      <c r="AL41" s="56"/>
      <c r="AM41" s="56"/>
      <c r="AN41" s="56"/>
      <c r="AO41" s="56"/>
      <c r="AP41" s="56"/>
      <c r="AQ41" s="56"/>
      <c r="AR41" s="56"/>
      <c r="AS41" s="56"/>
      <c r="AT41" s="56"/>
      <c r="AU41" s="56"/>
      <c r="AV41" s="21"/>
      <c r="AW41" s="21"/>
      <c r="AX41" s="21"/>
    </row>
    <row r="42" spans="1:50">
      <c r="A42" s="58" t="str">
        <f>'Ref scen Calcs'!C46</f>
        <v>Reserve (AF) - including imported capacity</v>
      </c>
      <c r="B42" s="58" t="s">
        <v>362</v>
      </c>
      <c r="C42" s="84" t="str">
        <f ca="1">TEXT('Ref scen Calcs'!I46,"##.0%")</f>
        <v>15.4%</v>
      </c>
      <c r="D42" s="84" t="str">
        <f ca="1">TEXT('Ref scen Calcs'!J46,"##.0%")</f>
        <v>17.0%</v>
      </c>
      <c r="E42" s="84" t="str">
        <f ca="1">TEXT('Ref scen Calcs'!K46,"##.0%")</f>
        <v>16.4%</v>
      </c>
      <c r="F42" s="84" t="str">
        <f ca="1">TEXT('Ref scen Calcs'!L46,"##.0%")</f>
        <v>18.9%</v>
      </c>
      <c r="G42" s="84" t="str">
        <f ca="1">TEXT('Ref scen Calcs'!M46,"##.0%")</f>
        <v>22.6%</v>
      </c>
      <c r="H42" s="84" t="str">
        <f ca="1">TEXT('Ref scen Calcs'!N46,"##.0%")</f>
        <v>24.5%</v>
      </c>
      <c r="I42" s="84" t="str">
        <f ca="1">TEXT('Ref scen Calcs'!O46,"##.0%")</f>
        <v>24.3%</v>
      </c>
      <c r="J42" s="84" t="str">
        <f ca="1">TEXT('Ref scen Calcs'!P46,"##.0%")</f>
        <v>24.2%</v>
      </c>
      <c r="K42" s="84" t="str">
        <f ca="1">TEXT('Ref scen Calcs'!Q46,"##.0%")</f>
        <v>25.5%</v>
      </c>
      <c r="L42" s="84" t="str">
        <f ca="1">TEXT('Ref scen Calcs'!R46,"##.0%")</f>
        <v>26.6%</v>
      </c>
      <c r="M42" s="84" t="str">
        <f ca="1">TEXT('Ref scen Calcs'!S46,"##.0%")</f>
        <v>25.9%</v>
      </c>
      <c r="N42" s="84" t="str">
        <f ca="1">TEXT('Ref scen Calcs'!T46,"##.0%")</f>
        <v>26.5%</v>
      </c>
      <c r="O42" s="84" t="str">
        <f ca="1">TEXT('Ref scen Calcs'!U46,"##.0%")</f>
        <v>28.8%</v>
      </c>
      <c r="P42" s="84" t="str">
        <f ca="1">TEXT('Ref scen Calcs'!V46,"##.0%")</f>
        <v>30.6%</v>
      </c>
      <c r="Q42" s="84" t="str">
        <f ca="1">TEXT('Ref scen Calcs'!W46,"##.0%")</f>
        <v>30.3%</v>
      </c>
      <c r="R42" s="84" t="str">
        <f ca="1">TEXT('Ref scen Calcs'!X46,"##.0%")</f>
        <v>29.1%</v>
      </c>
      <c r="S42" s="84" t="str">
        <f ca="1">TEXT('Ref scen Calcs'!Y46,"##.0%")</f>
        <v>29.6%</v>
      </c>
      <c r="T42" s="84" t="str">
        <f ca="1">TEXT('Ref scen Calcs'!Z46,"##.0%")</f>
        <v>29.6%</v>
      </c>
      <c r="U42" s="84" t="str">
        <f ca="1">TEXT('Ref scen Calcs'!AA46,"##.0%")</f>
        <v>28.9%</v>
      </c>
      <c r="V42" s="84" t="str">
        <f ca="1">TEXT('Ref scen Calcs'!AB46,"##.0%")</f>
        <v>27.9%</v>
      </c>
      <c r="W42" s="84" t="str">
        <f ca="1">TEXT('Ref scen Calcs'!AC46,"##.0%")</f>
        <v>29.2%</v>
      </c>
      <c r="Z42" s="21"/>
      <c r="AA42" s="56"/>
      <c r="AB42" s="56"/>
      <c r="AC42" s="56"/>
      <c r="AD42" s="56"/>
      <c r="AE42" s="56"/>
      <c r="AF42" s="56"/>
      <c r="AG42" s="56"/>
      <c r="AH42" s="56"/>
      <c r="AI42" s="56"/>
      <c r="AJ42" s="56"/>
      <c r="AK42" s="56"/>
      <c r="AL42" s="56"/>
      <c r="AM42" s="56"/>
      <c r="AN42" s="56"/>
      <c r="AO42" s="56"/>
      <c r="AP42" s="56"/>
      <c r="AQ42" s="56"/>
      <c r="AR42" s="56"/>
      <c r="AS42" s="56"/>
      <c r="AT42" s="56"/>
      <c r="AU42" s="56"/>
      <c r="AV42" s="21"/>
      <c r="AW42" s="21"/>
      <c r="AX42" s="21"/>
    </row>
    <row r="43" spans="1:50">
      <c r="A43" s="58" t="str">
        <f>'Ref scen Calcs'!C47</f>
        <v>Reserve (AF) - including interruptible supply and imported capacity</v>
      </c>
      <c r="B43" s="58" t="s">
        <v>362</v>
      </c>
      <c r="C43" s="84" t="str">
        <f ca="1">TEXT('Ref scen Calcs'!I47,"##.0%")</f>
        <v>23.5%</v>
      </c>
      <c r="D43" s="84" t="str">
        <f ca="1">TEXT('Ref scen Calcs'!J47,"##.0%")</f>
        <v>25.0%</v>
      </c>
      <c r="E43" s="84" t="str">
        <f ca="1">TEXT('Ref scen Calcs'!K47,"##.0%")</f>
        <v>24.2%</v>
      </c>
      <c r="F43" s="84" t="str">
        <f ca="1">TEXT('Ref scen Calcs'!L47,"##.0%")</f>
        <v>24.9%</v>
      </c>
      <c r="G43" s="84" t="str">
        <f ca="1">TEXT('Ref scen Calcs'!M47,"##.0%")</f>
        <v>26.8%</v>
      </c>
      <c r="H43" s="84" t="str">
        <f ca="1">TEXT('Ref scen Calcs'!N47,"##.0%")</f>
        <v>28.7%</v>
      </c>
      <c r="I43" s="84" t="str">
        <f ca="1">TEXT('Ref scen Calcs'!O47,"##.0%")</f>
        <v>28.4%</v>
      </c>
      <c r="J43" s="84" t="str">
        <f ca="1">TEXT('Ref scen Calcs'!P47,"##.0%")</f>
        <v>28.1%</v>
      </c>
      <c r="K43" s="84" t="str">
        <f ca="1">TEXT('Ref scen Calcs'!Q47,"##.0%")</f>
        <v>29.3%</v>
      </c>
      <c r="L43" s="84" t="str">
        <f ca="1">TEXT('Ref scen Calcs'!R47,"##.0%")</f>
        <v>30.3%</v>
      </c>
      <c r="M43" s="84" t="str">
        <f ca="1">TEXT('Ref scen Calcs'!S47,"##.0%")</f>
        <v>29.4%</v>
      </c>
      <c r="N43" s="84" t="str">
        <f ca="1">TEXT('Ref scen Calcs'!T47,"##.0%")</f>
        <v>29.9%</v>
      </c>
      <c r="O43" s="84" t="str">
        <f ca="1">TEXT('Ref scen Calcs'!U47,"##.0%")</f>
        <v>32.2%</v>
      </c>
      <c r="P43" s="84" t="str">
        <f ca="1">TEXT('Ref scen Calcs'!V47,"##.0%")</f>
        <v>33.9%</v>
      </c>
      <c r="Q43" s="84" t="str">
        <f ca="1">TEXT('Ref scen Calcs'!W47,"##.0%")</f>
        <v>33.5%</v>
      </c>
      <c r="R43" s="84" t="str">
        <f ca="1">TEXT('Ref scen Calcs'!X47,"##.0%")</f>
        <v>31.3%</v>
      </c>
      <c r="S43" s="84" t="str">
        <f ca="1">TEXT('Ref scen Calcs'!Y47,"##.0%")</f>
        <v>31.8%</v>
      </c>
      <c r="T43" s="84" t="str">
        <f ca="1">TEXT('Ref scen Calcs'!Z47,"##.0%")</f>
        <v>31.7%</v>
      </c>
      <c r="U43" s="84" t="str">
        <f ca="1">TEXT('Ref scen Calcs'!AA47,"##.0%")</f>
        <v>30.9%</v>
      </c>
      <c r="V43" s="84" t="str">
        <f ca="1">TEXT('Ref scen Calcs'!AB47,"##.0%")</f>
        <v>29.8%</v>
      </c>
      <c r="W43" s="84" t="str">
        <f ca="1">TEXT('Ref scen Calcs'!AC47,"##.0%")</f>
        <v>31.1%</v>
      </c>
      <c r="Z43" s="21"/>
      <c r="AA43" s="56"/>
      <c r="AB43" s="56"/>
      <c r="AC43" s="56"/>
      <c r="AD43" s="56"/>
      <c r="AE43" s="56"/>
      <c r="AF43" s="56"/>
      <c r="AG43" s="56"/>
      <c r="AH43" s="56"/>
      <c r="AI43" s="56"/>
      <c r="AJ43" s="56"/>
      <c r="AK43" s="56"/>
      <c r="AL43" s="56"/>
      <c r="AM43" s="56"/>
      <c r="AN43" s="56"/>
      <c r="AO43" s="56"/>
      <c r="AP43" s="56"/>
      <c r="AQ43" s="56"/>
      <c r="AR43" s="56"/>
      <c r="AS43" s="56"/>
      <c r="AT43" s="56"/>
      <c r="AU43" s="56"/>
      <c r="AV43" s="21"/>
      <c r="AW43" s="21"/>
      <c r="AX43" s="21"/>
    </row>
    <row r="44" spans="1:50">
      <c r="A44" s="58" t="s">
        <v>352</v>
      </c>
      <c r="B44" s="58" t="s">
        <v>363</v>
      </c>
      <c r="C44" s="85">
        <f>'Ref scen Calcs'!I266/1000</f>
        <v>245.37574905814773</v>
      </c>
      <c r="D44" s="85">
        <f>'Ref scen Calcs'!J266/1000</f>
        <v>250.37040714413894</v>
      </c>
      <c r="E44" s="85">
        <f>'Ref scen Calcs'!K266/1000</f>
        <v>256.34134343116108</v>
      </c>
      <c r="F44" s="85">
        <f>'Ref scen Calcs'!L266/1000</f>
        <v>263.21901481448293</v>
      </c>
      <c r="G44" s="85">
        <f>'Ref scen Calcs'!M266/1000</f>
        <v>271.64268291066992</v>
      </c>
      <c r="H44" s="85">
        <f>'Ref scen Calcs'!N266/1000</f>
        <v>279.96471108455785</v>
      </c>
      <c r="I44" s="85">
        <f>'Ref scen Calcs'!O266/1000</f>
        <v>288.74946837838633</v>
      </c>
      <c r="J44" s="85">
        <f>'Ref scen Calcs'!P266/1000</f>
        <v>297.38978999315833</v>
      </c>
      <c r="K44" s="85">
        <f>'Ref scen Calcs'!Q266/1000</f>
        <v>306.50353966706024</v>
      </c>
      <c r="L44" s="85">
        <f>'Ref scen Calcs'!R266/1000</f>
        <v>316.04524690853737</v>
      </c>
      <c r="M44" s="85">
        <f>'Ref scen Calcs'!S266/1000</f>
        <v>325.63602759571552</v>
      </c>
      <c r="N44" s="85">
        <f>'Ref scen Calcs'!T266/1000</f>
        <v>335.72965842479454</v>
      </c>
      <c r="O44" s="85">
        <f>'Ref scen Calcs'!U266/1000</f>
        <v>345.97307440252484</v>
      </c>
      <c r="P44" s="85">
        <f>'Ref scen Calcs'!V266/1000</f>
        <v>356.9252951015514</v>
      </c>
      <c r="Q44" s="85">
        <f>'Ref scen Calcs'!W266/1000</f>
        <v>368.25732814180088</v>
      </c>
      <c r="R44" s="85">
        <f>'Ref scen Calcs'!X266/1000</f>
        <v>380.08953658915385</v>
      </c>
      <c r="S44" s="85">
        <f>'Ref scen Calcs'!Y266/1000</f>
        <v>392.86860115476674</v>
      </c>
      <c r="T44" s="85">
        <f>'Ref scen Calcs'!Z266/1000</f>
        <v>406.19063688424069</v>
      </c>
      <c r="U44" s="85">
        <f>'Ref scen Calcs'!AA266/1000</f>
        <v>419.92993124210039</v>
      </c>
      <c r="V44" s="85">
        <f>'Ref scen Calcs'!AB266/1000</f>
        <v>433.96077169287054</v>
      </c>
      <c r="W44" s="85">
        <f>'Ref scen Calcs'!AC266/1000</f>
        <v>444.17744032262732</v>
      </c>
      <c r="AB44" s="56"/>
      <c r="AC44" s="56"/>
      <c r="AD44" s="56"/>
      <c r="AE44" s="56"/>
      <c r="AF44" s="56"/>
      <c r="AG44" s="56"/>
      <c r="AH44" s="56"/>
      <c r="AI44" s="56"/>
      <c r="AJ44" s="56"/>
      <c r="AK44" s="56"/>
      <c r="AL44" s="56"/>
      <c r="AM44" s="56"/>
      <c r="AN44" s="56"/>
      <c r="AO44" s="56"/>
      <c r="AP44" s="56"/>
      <c r="AQ44" s="56"/>
      <c r="AR44" s="56"/>
      <c r="AS44" s="56"/>
      <c r="AT44" s="56"/>
      <c r="AU44" s="56"/>
      <c r="AV44" s="21"/>
      <c r="AW44" s="21"/>
      <c r="AX44" s="21"/>
    </row>
    <row r="45" spans="1:50">
      <c r="A45" s="58" t="str">
        <f>'Ref scen Calcs'!C421</f>
        <v>% coal electricity (out)</v>
      </c>
      <c r="B45" s="58" t="s">
        <v>362</v>
      </c>
      <c r="C45" s="84" t="str">
        <f ca="1">TEXT('Ref scen Calcs'!I421,"##0.0%")</f>
        <v>93.2%</v>
      </c>
      <c r="D45" s="84" t="str">
        <f ca="1">TEXT('Ref scen Calcs'!J421,"##0.0%")</f>
        <v>93.2%</v>
      </c>
      <c r="E45" s="84" t="str">
        <f ca="1">TEXT('Ref scen Calcs'!K421,"##0.0%")</f>
        <v>93.4%</v>
      </c>
      <c r="F45" s="84" t="str">
        <f ca="1">TEXT('Ref scen Calcs'!L421,"##0.0%")</f>
        <v>93.5%</v>
      </c>
      <c r="G45" s="84" t="str">
        <f ca="1">TEXT('Ref scen Calcs'!M421,"##0.0%")</f>
        <v>93.8%</v>
      </c>
      <c r="H45" s="84" t="str">
        <f ca="1">TEXT('Ref scen Calcs'!N421,"##0.0%")</f>
        <v>93.9%</v>
      </c>
      <c r="I45" s="84" t="str">
        <f ca="1">TEXT('Ref scen Calcs'!O421,"##0.0%")</f>
        <v>94.1%</v>
      </c>
      <c r="J45" s="84" t="str">
        <f ca="1">TEXT('Ref scen Calcs'!P421,"##0.0%")</f>
        <v>94.3%</v>
      </c>
      <c r="K45" s="84" t="str">
        <f ca="1">TEXT('Ref scen Calcs'!Q421,"##0.0%")</f>
        <v>94.5%</v>
      </c>
      <c r="L45" s="84" t="str">
        <f ca="1">TEXT('Ref scen Calcs'!R421,"##0.0%")</f>
        <v>94.6%</v>
      </c>
      <c r="M45" s="84" t="str">
        <f ca="1">TEXT('Ref scen Calcs'!S421,"##0.0%")</f>
        <v>94.8%</v>
      </c>
      <c r="N45" s="84" t="str">
        <f ca="1">TEXT('Ref scen Calcs'!T421,"##0.0%")</f>
        <v>94.9%</v>
      </c>
      <c r="O45" s="84" t="str">
        <f ca="1">TEXT('Ref scen Calcs'!U421,"##0.0%")</f>
        <v>95.1%</v>
      </c>
      <c r="P45" s="84" t="str">
        <f ca="1">TEXT('Ref scen Calcs'!V421,"##0.0%")</f>
        <v>95.2%</v>
      </c>
      <c r="Q45" s="84" t="str">
        <f ca="1">TEXT('Ref scen Calcs'!W421,"##0.0%")</f>
        <v>95.3%</v>
      </c>
      <c r="R45" s="84" t="str">
        <f ca="1">TEXT('Ref scen Calcs'!X421,"##0.0%")</f>
        <v>95.5%</v>
      </c>
      <c r="S45" s="84" t="str">
        <f ca="1">TEXT('Ref scen Calcs'!Y421,"##0.0%")</f>
        <v>95.6%</v>
      </c>
      <c r="T45" s="84" t="str">
        <f ca="1">TEXT('Ref scen Calcs'!Z421,"##0.0%")</f>
        <v>95.7%</v>
      </c>
      <c r="U45" s="84" t="str">
        <f ca="1">TEXT('Ref scen Calcs'!AA421,"##0.0%")</f>
        <v>95.8%</v>
      </c>
      <c r="V45" s="84" t="str">
        <f ca="1">TEXT('Ref scen Calcs'!AB421,"##0.0%")</f>
        <v>95.9%</v>
      </c>
      <c r="W45" s="84" t="str">
        <f ca="1">TEXT('Ref scen Calcs'!AC421,"##0.0%")</f>
        <v>96.1%</v>
      </c>
      <c r="AB45" s="56"/>
      <c r="AC45" s="56"/>
      <c r="AD45" s="56"/>
      <c r="AE45" s="56"/>
      <c r="AF45" s="56"/>
      <c r="AG45" s="56"/>
      <c r="AH45" s="56"/>
      <c r="AI45" s="56"/>
      <c r="AJ45" s="56"/>
      <c r="AK45" s="56"/>
      <c r="AL45" s="56"/>
      <c r="AM45" s="56"/>
      <c r="AN45" s="56"/>
      <c r="AO45" s="56"/>
      <c r="AP45" s="56"/>
      <c r="AQ45" s="56"/>
      <c r="AR45" s="56"/>
      <c r="AS45" s="56"/>
      <c r="AT45" s="56"/>
      <c r="AU45" s="56"/>
      <c r="AV45" s="21"/>
      <c r="AW45" s="21"/>
      <c r="AX45" s="21"/>
    </row>
    <row r="46" spans="1:50">
      <c r="A46" s="58" t="str">
        <f>'Ref scen Calcs'!C422</f>
        <v>% renewable electricity (out)</v>
      </c>
      <c r="B46" s="58" t="s">
        <v>362</v>
      </c>
      <c r="C46" s="84" t="str">
        <f ca="1">TEXT('Ref scen Calcs'!I422,"##0.0%")</f>
        <v>1.3%</v>
      </c>
      <c r="D46" s="84" t="str">
        <f ca="1">TEXT('Ref scen Calcs'!J422,"##0.0%")</f>
        <v>1.2%</v>
      </c>
      <c r="E46" s="84" t="str">
        <f ca="1">TEXT('Ref scen Calcs'!K422,"##0.0%")</f>
        <v>1.2%</v>
      </c>
      <c r="F46" s="84" t="str">
        <f ca="1">TEXT('Ref scen Calcs'!L422,"##0.0%")</f>
        <v>1.2%</v>
      </c>
      <c r="G46" s="84" t="str">
        <f ca="1">TEXT('Ref scen Calcs'!M422,"##0.0%")</f>
        <v>1.1%</v>
      </c>
      <c r="H46" s="84" t="str">
        <f ca="1">TEXT('Ref scen Calcs'!N422,"##0.0%")</f>
        <v>1.1%</v>
      </c>
      <c r="I46" s="84" t="str">
        <f ca="1">TEXT('Ref scen Calcs'!O422,"##0.0%")</f>
        <v>1.1%</v>
      </c>
      <c r="J46" s="84" t="str">
        <f ca="1">TEXT('Ref scen Calcs'!P422,"##0.0%")</f>
        <v>1.0%</v>
      </c>
      <c r="K46" s="84" t="str">
        <f ca="1">TEXT('Ref scen Calcs'!Q422,"##0.0%")</f>
        <v>1.0%</v>
      </c>
      <c r="L46" s="84" t="str">
        <f ca="1">TEXT('Ref scen Calcs'!R422,"##0.0%")</f>
        <v>1.0%</v>
      </c>
      <c r="M46" s="84" t="str">
        <f ca="1">TEXT('Ref scen Calcs'!S422,"##0.0%")</f>
        <v>1.0%</v>
      </c>
      <c r="N46" s="84" t="str">
        <f ca="1">TEXT('Ref scen Calcs'!T422,"##0.0%")</f>
        <v>0.9%</v>
      </c>
      <c r="O46" s="84" t="str">
        <f ca="1">TEXT('Ref scen Calcs'!U422,"##0.0%")</f>
        <v>0.9%</v>
      </c>
      <c r="P46" s="84" t="str">
        <f ca="1">TEXT('Ref scen Calcs'!V422,"##0.0%")</f>
        <v>0.9%</v>
      </c>
      <c r="Q46" s="84" t="str">
        <f ca="1">TEXT('Ref scen Calcs'!W422,"##0.0%")</f>
        <v>0.8%</v>
      </c>
      <c r="R46" s="84" t="str">
        <f ca="1">TEXT('Ref scen Calcs'!X422,"##0.0%")</f>
        <v>0.8%</v>
      </c>
      <c r="S46" s="84" t="str">
        <f ca="1">TEXT('Ref scen Calcs'!Y422,"##0.0%")</f>
        <v>0.8%</v>
      </c>
      <c r="T46" s="84" t="str">
        <f ca="1">TEXT('Ref scen Calcs'!Z422,"##0.0%")</f>
        <v>0.8%</v>
      </c>
      <c r="U46" s="84" t="str">
        <f ca="1">TEXT('Ref scen Calcs'!AA422,"##0.0%")</f>
        <v>0.7%</v>
      </c>
      <c r="V46" s="84" t="str">
        <f ca="1">TEXT('Ref scen Calcs'!AB422,"##0.0%")</f>
        <v>0.7%</v>
      </c>
      <c r="W46" s="84" t="str">
        <f ca="1">TEXT('Ref scen Calcs'!AC422,"##0.0%")</f>
        <v>0.6%</v>
      </c>
      <c r="AB46" s="56"/>
      <c r="AC46" s="56"/>
      <c r="AD46" s="56"/>
      <c r="AE46" s="56"/>
      <c r="AF46" s="56"/>
      <c r="AG46" s="56"/>
      <c r="AH46" s="56"/>
      <c r="AI46" s="56"/>
      <c r="AJ46" s="56"/>
      <c r="AK46" s="56"/>
      <c r="AL46" s="56"/>
      <c r="AM46" s="56"/>
      <c r="AN46" s="56"/>
      <c r="AO46" s="56"/>
      <c r="AP46" s="56"/>
      <c r="AQ46" s="56"/>
      <c r="AR46" s="56"/>
      <c r="AS46" s="56"/>
      <c r="AT46" s="56"/>
      <c r="AU46" s="56"/>
      <c r="AV46" s="21"/>
      <c r="AW46" s="21"/>
      <c r="AX46" s="21"/>
    </row>
    <row r="47" spans="1:50">
      <c r="A47" s="58" t="str">
        <f>'Ref scen Calcs'!C423</f>
        <v>% nuclear electricity (out)</v>
      </c>
      <c r="B47" s="58" t="s">
        <v>362</v>
      </c>
      <c r="C47" s="84" t="str">
        <f ca="1">TEXT('Ref scen Calcs'!I423,"##0.0%")</f>
        <v>5.3%</v>
      </c>
      <c r="D47" s="84" t="str">
        <f ca="1">TEXT('Ref scen Calcs'!J423,"##0.0%")</f>
        <v>5.2%</v>
      </c>
      <c r="E47" s="84" t="str">
        <f ca="1">TEXT('Ref scen Calcs'!K423,"##0.0%")</f>
        <v>5.1%</v>
      </c>
      <c r="F47" s="84" t="str">
        <f ca="1">TEXT('Ref scen Calcs'!L423,"##0.0%")</f>
        <v>4.9%</v>
      </c>
      <c r="G47" s="84" t="str">
        <f ca="1">TEXT('Ref scen Calcs'!M423,"##0.0%")</f>
        <v>4.8%</v>
      </c>
      <c r="H47" s="84" t="str">
        <f ca="1">TEXT('Ref scen Calcs'!N423,"##0.0%")</f>
        <v>4.6%</v>
      </c>
      <c r="I47" s="84" t="str">
        <f ca="1">TEXT('Ref scen Calcs'!O423,"##0.0%")</f>
        <v>4.5%</v>
      </c>
      <c r="J47" s="84" t="str">
        <f ca="1">TEXT('Ref scen Calcs'!P423,"##0.0%")</f>
        <v>4.4%</v>
      </c>
      <c r="K47" s="84" t="str">
        <f ca="1">TEXT('Ref scen Calcs'!Q423,"##0.0%")</f>
        <v>4.2%</v>
      </c>
      <c r="L47" s="84" t="str">
        <f ca="1">TEXT('Ref scen Calcs'!R423,"##0.0%")</f>
        <v>4.1%</v>
      </c>
      <c r="M47" s="84" t="str">
        <f ca="1">TEXT('Ref scen Calcs'!S423,"##0.0%")</f>
        <v>4.0%</v>
      </c>
      <c r="N47" s="84" t="str">
        <f ca="1">TEXT('Ref scen Calcs'!T423,"##0.0%")</f>
        <v>3.9%</v>
      </c>
      <c r="O47" s="84" t="str">
        <f ca="1">TEXT('Ref scen Calcs'!U423,"##0.0%")</f>
        <v>3.8%</v>
      </c>
      <c r="P47" s="84" t="str">
        <f ca="1">TEXT('Ref scen Calcs'!V423,"##0.0%")</f>
        <v>3.6%</v>
      </c>
      <c r="Q47" s="84" t="str">
        <f ca="1">TEXT('Ref scen Calcs'!W423,"##0.0%")</f>
        <v>3.5%</v>
      </c>
      <c r="R47" s="84" t="str">
        <f ca="1">TEXT('Ref scen Calcs'!X423,"##0.0%")</f>
        <v>3.4%</v>
      </c>
      <c r="S47" s="84" t="str">
        <f ca="1">TEXT('Ref scen Calcs'!Y423,"##0.0%")</f>
        <v>3.3%</v>
      </c>
      <c r="T47" s="84" t="str">
        <f ca="1">TEXT('Ref scen Calcs'!Z423,"##0.0%")</f>
        <v>3.2%</v>
      </c>
      <c r="U47" s="84" t="str">
        <f ca="1">TEXT('Ref scen Calcs'!AA423,"##0.0%")</f>
        <v>3.1%</v>
      </c>
      <c r="V47" s="84" t="str">
        <f ca="1">TEXT('Ref scen Calcs'!AB423,"##0.0%")</f>
        <v>3.0%</v>
      </c>
      <c r="W47" s="84" t="str">
        <f ca="1">TEXT('Ref scen Calcs'!AC423,"##0.0%")</f>
        <v>2.9%</v>
      </c>
      <c r="AB47" s="56"/>
      <c r="AC47" s="56"/>
      <c r="AD47" s="56"/>
      <c r="AE47" s="56"/>
      <c r="AF47" s="56"/>
      <c r="AG47" s="56"/>
      <c r="AH47" s="56"/>
      <c r="AI47" s="56"/>
      <c r="AJ47" s="56"/>
      <c r="AK47" s="56"/>
      <c r="AL47" s="56"/>
      <c r="AM47" s="56"/>
      <c r="AN47" s="56"/>
      <c r="AO47" s="56"/>
      <c r="AP47" s="56"/>
      <c r="AQ47" s="56"/>
      <c r="AR47" s="56"/>
      <c r="AS47" s="56"/>
      <c r="AT47" s="56"/>
      <c r="AU47" s="56"/>
      <c r="AV47" s="21"/>
      <c r="AW47" s="21"/>
      <c r="AX47" s="21"/>
    </row>
    <row r="48" spans="1:50">
      <c r="A48" s="58" t="str">
        <f>'Ref scen Calcs'!C424</f>
        <v>% liquid fuels electricity (out)</v>
      </c>
      <c r="B48" s="58" t="s">
        <v>362</v>
      </c>
      <c r="C48" s="84" t="str">
        <f ca="1">TEXT('Ref scen Calcs'!I424,"##0.0%")</f>
        <v>0.3%</v>
      </c>
      <c r="D48" s="84" t="str">
        <f ca="1">TEXT('Ref scen Calcs'!J424,"##0.0%")</f>
        <v>0.4%</v>
      </c>
      <c r="E48" s="84" t="str">
        <f ca="1">TEXT('Ref scen Calcs'!K424,"##0.0%")</f>
        <v>0.4%</v>
      </c>
      <c r="F48" s="84" t="str">
        <f ca="1">TEXT('Ref scen Calcs'!L424,"##0.0%")</f>
        <v>0.4%</v>
      </c>
      <c r="G48" s="84" t="str">
        <f ca="1">TEXT('Ref scen Calcs'!M424,"##0.0%")</f>
        <v>0.3%</v>
      </c>
      <c r="H48" s="84" t="str">
        <f ca="1">TEXT('Ref scen Calcs'!N424,"##0.0%")</f>
        <v>0.3%</v>
      </c>
      <c r="I48" s="84" t="str">
        <f ca="1">TEXT('Ref scen Calcs'!O424,"##0.0%")</f>
        <v>0.3%</v>
      </c>
      <c r="J48" s="84" t="str">
        <f ca="1">TEXT('Ref scen Calcs'!P424,"##0.0%")</f>
        <v>0.3%</v>
      </c>
      <c r="K48" s="84" t="str">
        <f ca="1">TEXT('Ref scen Calcs'!Q424,"##0.0%")</f>
        <v>0.3%</v>
      </c>
      <c r="L48" s="84" t="str">
        <f ca="1">TEXT('Ref scen Calcs'!R424,"##0.0%")</f>
        <v>0.3%</v>
      </c>
      <c r="M48" s="84" t="str">
        <f ca="1">TEXT('Ref scen Calcs'!S424,"##0.0%")</f>
        <v>0.3%</v>
      </c>
      <c r="N48" s="84" t="str">
        <f ca="1">TEXT('Ref scen Calcs'!T424,"##0.0%")</f>
        <v>0.3%</v>
      </c>
      <c r="O48" s="84" t="str">
        <f ca="1">TEXT('Ref scen Calcs'!U424,"##0.0%")</f>
        <v>0.3%</v>
      </c>
      <c r="P48" s="84" t="str">
        <f ca="1">TEXT('Ref scen Calcs'!V424,"##0.0%")</f>
        <v>0.3%</v>
      </c>
      <c r="Q48" s="84" t="str">
        <f ca="1">TEXT('Ref scen Calcs'!W424,"##0.0%")</f>
        <v>0.3%</v>
      </c>
      <c r="R48" s="84" t="str">
        <f ca="1">TEXT('Ref scen Calcs'!X424,"##0.0%")</f>
        <v>0.3%</v>
      </c>
      <c r="S48" s="84" t="str">
        <f ca="1">TEXT('Ref scen Calcs'!Y424,"##0.0%")</f>
        <v>0.3%</v>
      </c>
      <c r="T48" s="84" t="str">
        <f ca="1">TEXT('Ref scen Calcs'!Z424,"##0.0%")</f>
        <v>0.3%</v>
      </c>
      <c r="U48" s="84" t="str">
        <f ca="1">TEXT('Ref scen Calcs'!AA424,"##0.0%")</f>
        <v>0.3%</v>
      </c>
      <c r="V48" s="84" t="str">
        <f ca="1">TEXT('Ref scen Calcs'!AB424,"##0.0%")</f>
        <v>0.3%</v>
      </c>
      <c r="W48" s="84" t="str">
        <f ca="1">TEXT('Ref scen Calcs'!AC424,"##0.0%")</f>
        <v>0.3%</v>
      </c>
      <c r="AB48" s="56"/>
      <c r="AC48" s="56"/>
      <c r="AD48" s="56"/>
      <c r="AE48" s="56"/>
      <c r="AF48" s="56"/>
      <c r="AG48" s="56"/>
      <c r="AH48" s="56"/>
      <c r="AI48" s="56"/>
      <c r="AJ48" s="56"/>
      <c r="AK48" s="56"/>
      <c r="AL48" s="56"/>
      <c r="AM48" s="56"/>
      <c r="AN48" s="56"/>
      <c r="AO48" s="56"/>
      <c r="AP48" s="56"/>
      <c r="AQ48" s="56"/>
      <c r="AR48" s="56"/>
      <c r="AS48" s="56"/>
      <c r="AT48" s="56"/>
      <c r="AU48" s="56"/>
      <c r="AV48" s="21"/>
      <c r="AW48" s="21"/>
      <c r="AX48" s="21"/>
    </row>
    <row r="49" spans="1:52">
      <c r="A49" s="58" t="str">
        <f>'Ref scen Calcs'!C425</f>
        <v>% gas electricity (out)</v>
      </c>
      <c r="B49" s="58" t="s">
        <v>362</v>
      </c>
      <c r="C49" s="84" t="str">
        <f ca="1">TEXT('Ref scen Calcs'!I425,"##0.0%")</f>
        <v>0.0%</v>
      </c>
      <c r="D49" s="84" t="str">
        <f ca="1">TEXT('Ref scen Calcs'!J425,"##0.0%")</f>
        <v>0.0%</v>
      </c>
      <c r="E49" s="84" t="str">
        <f ca="1">TEXT('Ref scen Calcs'!K425,"##0.0%")</f>
        <v>0.0%</v>
      </c>
      <c r="F49" s="84" t="str">
        <f ca="1">TEXT('Ref scen Calcs'!L425,"##0.0%")</f>
        <v>0.0%</v>
      </c>
      <c r="G49" s="84" t="str">
        <f ca="1">TEXT('Ref scen Calcs'!M425,"##0.0%")</f>
        <v>0.0%</v>
      </c>
      <c r="H49" s="84" t="str">
        <f ca="1">TEXT('Ref scen Calcs'!N425,"##0.0%")</f>
        <v>0.0%</v>
      </c>
      <c r="I49" s="84" t="str">
        <f ca="1">TEXT('Ref scen Calcs'!O425,"##0.0%")</f>
        <v>0.0%</v>
      </c>
      <c r="J49" s="84" t="str">
        <f ca="1">TEXT('Ref scen Calcs'!P425,"##0.0%")</f>
        <v>0.0%</v>
      </c>
      <c r="K49" s="84" t="str">
        <f ca="1">TEXT('Ref scen Calcs'!Q425,"##0.0%")</f>
        <v>0.0%</v>
      </c>
      <c r="L49" s="84" t="str">
        <f ca="1">TEXT('Ref scen Calcs'!R425,"##0.0%")</f>
        <v>0.0%</v>
      </c>
      <c r="M49" s="84" t="str">
        <f ca="1">TEXT('Ref scen Calcs'!S425,"##0.0%")</f>
        <v>0.0%</v>
      </c>
      <c r="N49" s="84" t="str">
        <f ca="1">TEXT('Ref scen Calcs'!T425,"##0.0%")</f>
        <v>0.0%</v>
      </c>
      <c r="O49" s="84" t="str">
        <f ca="1">TEXT('Ref scen Calcs'!U425,"##0.0%")</f>
        <v>0.0%</v>
      </c>
      <c r="P49" s="84" t="str">
        <f ca="1">TEXT('Ref scen Calcs'!V425,"##0.0%")</f>
        <v>0.0%</v>
      </c>
      <c r="Q49" s="84" t="str">
        <f ca="1">TEXT('Ref scen Calcs'!W425,"##0.0%")</f>
        <v>0.0%</v>
      </c>
      <c r="R49" s="84" t="str">
        <f ca="1">TEXT('Ref scen Calcs'!X425,"##0.0%")</f>
        <v>0.0%</v>
      </c>
      <c r="S49" s="84" t="str">
        <f ca="1">TEXT('Ref scen Calcs'!Y425,"##0.0%")</f>
        <v>0.0%</v>
      </c>
      <c r="T49" s="84" t="str">
        <f ca="1">TEXT('Ref scen Calcs'!Z425,"##0.0%")</f>
        <v>0.0%</v>
      </c>
      <c r="U49" s="84" t="str">
        <f ca="1">TEXT('Ref scen Calcs'!AA425,"##0.0%")</f>
        <v>0.0%</v>
      </c>
      <c r="V49" s="84" t="str">
        <f ca="1">TEXT('Ref scen Calcs'!AB425,"##0.0%")</f>
        <v>0.0%</v>
      </c>
      <c r="W49" s="84" t="str">
        <f ca="1">TEXT('Ref scen Calcs'!AC425,"##0.0%")</f>
        <v>0.0%</v>
      </c>
      <c r="AB49" s="56"/>
      <c r="AC49" s="56"/>
      <c r="AD49" s="56"/>
      <c r="AE49" s="56"/>
      <c r="AF49" s="56"/>
      <c r="AG49" s="56"/>
      <c r="AH49" s="56"/>
      <c r="AI49" s="56"/>
      <c r="AJ49" s="56"/>
      <c r="AK49" s="56"/>
      <c r="AL49" s="56"/>
      <c r="AM49" s="56"/>
      <c r="AN49" s="56"/>
      <c r="AO49" s="56"/>
      <c r="AP49" s="56"/>
      <c r="AQ49" s="56"/>
      <c r="AR49" s="56"/>
      <c r="AS49" s="56"/>
      <c r="AT49" s="56"/>
      <c r="AU49" s="56"/>
      <c r="AV49" s="21"/>
      <c r="AW49" s="21"/>
      <c r="AX49" s="21"/>
    </row>
    <row r="50" spans="1:52">
      <c r="A50" s="58" t="s">
        <v>289</v>
      </c>
      <c r="B50" s="58" t="s">
        <v>364</v>
      </c>
      <c r="C50" s="85">
        <f ca="1">'Ref scen Calcs'!I780</f>
        <v>235.99719359076568</v>
      </c>
      <c r="D50" s="85">
        <f ca="1">'Ref scen Calcs'!J780</f>
        <v>241.13644531545148</v>
      </c>
      <c r="E50" s="85">
        <f ca="1">'Ref scen Calcs'!K780</f>
        <v>246.99212756686327</v>
      </c>
      <c r="F50" s="85">
        <f ca="1">'Ref scen Calcs'!L780</f>
        <v>254.1341130271411</v>
      </c>
      <c r="G50" s="85">
        <f ca="1">'Ref scen Calcs'!M780</f>
        <v>262.50555854340791</v>
      </c>
      <c r="H50" s="85">
        <f ca="1">'Ref scen Calcs'!N780</f>
        <v>270.31677005900684</v>
      </c>
      <c r="I50" s="85">
        <f ca="1">'Ref scen Calcs'!O780</f>
        <v>278.53892995818495</v>
      </c>
      <c r="J50" s="85">
        <f ca="1">'Ref scen Calcs'!P780</f>
        <v>286.62551982372042</v>
      </c>
      <c r="K50" s="85">
        <f ca="1">'Ref scen Calcs'!Q780</f>
        <v>295.14868552109169</v>
      </c>
      <c r="L50" s="85">
        <f ca="1">'Ref scen Calcs'!R780</f>
        <v>304.07354020703423</v>
      </c>
      <c r="M50" s="85">
        <f ca="1">'Ref scen Calcs'!S780</f>
        <v>312.4833881007371</v>
      </c>
      <c r="N50" s="85">
        <f ca="1">'Ref scen Calcs'!T780</f>
        <v>321.3652205560112</v>
      </c>
      <c r="O50" s="85">
        <f ca="1">'Ref scen Calcs'!U780</f>
        <v>330.97988265189008</v>
      </c>
      <c r="P50" s="85">
        <f ca="1">'Ref scen Calcs'!V780</f>
        <v>341.24203283505301</v>
      </c>
      <c r="Q50" s="85">
        <f ca="1">'Ref scen Calcs'!W780</f>
        <v>351.3677970139185</v>
      </c>
      <c r="R50" s="85">
        <f ca="1">'Ref scen Calcs'!X780</f>
        <v>361.69015525086729</v>
      </c>
      <c r="S50" s="85">
        <f ca="1">'Ref scen Calcs'!Y780</f>
        <v>372.75576750456992</v>
      </c>
      <c r="T50" s="85">
        <f ca="1">'Ref scen Calcs'!Z780</f>
        <v>384.62171190986908</v>
      </c>
      <c r="U50" s="85">
        <f ca="1">'Ref scen Calcs'!AA780</f>
        <v>396.74490984700105</v>
      </c>
      <c r="V50" s="85">
        <f ca="1">'Ref scen Calcs'!AB780</f>
        <v>408.35118802342163</v>
      </c>
      <c r="W50" s="85">
        <f ca="1">'Ref scen Calcs'!AC780</f>
        <v>417.41888218437919</v>
      </c>
      <c r="AB50" s="85"/>
      <c r="AC50" s="56"/>
      <c r="AD50" s="56"/>
      <c r="AE50" s="56"/>
      <c r="AF50" s="56"/>
      <c r="AG50" s="56"/>
      <c r="AH50" s="56"/>
      <c r="AI50" s="56"/>
      <c r="AJ50" s="56"/>
      <c r="AK50" s="56"/>
      <c r="AL50" s="56"/>
      <c r="AM50" s="56"/>
      <c r="AN50" s="56"/>
      <c r="AO50" s="56"/>
      <c r="AP50" s="56"/>
      <c r="AQ50" s="56"/>
      <c r="AR50" s="56"/>
      <c r="AS50" s="56"/>
      <c r="AT50" s="56"/>
      <c r="AU50" s="56"/>
      <c r="AV50" s="21"/>
      <c r="AW50" s="21"/>
      <c r="AX50" s="21"/>
    </row>
    <row r="51" spans="1:52">
      <c r="A51" s="58" t="s">
        <v>347</v>
      </c>
      <c r="B51" s="58" t="s">
        <v>365</v>
      </c>
      <c r="C51" s="58">
        <f ca="1">'Ref scen Calcs'!I581</f>
        <v>28383.57491097118</v>
      </c>
      <c r="D51" s="58">
        <f ca="1">'Ref scen Calcs'!J581</f>
        <v>30299.228720873136</v>
      </c>
      <c r="E51" s="58">
        <f ca="1">'Ref scen Calcs'!K581</f>
        <v>32778.878189219984</v>
      </c>
      <c r="F51" s="58">
        <f ca="1">'Ref scen Calcs'!L581</f>
        <v>38161.46815713559</v>
      </c>
      <c r="G51" s="58">
        <f ca="1">'Ref scen Calcs'!M581</f>
        <v>45652.497982635417</v>
      </c>
      <c r="H51" s="58">
        <f ca="1">'Ref scen Calcs'!N581</f>
        <v>52169.429890782871</v>
      </c>
      <c r="I51" s="58">
        <f ca="1">'Ref scen Calcs'!O581</f>
        <v>56889.708276247686</v>
      </c>
      <c r="J51" s="58">
        <f ca="1">'Ref scen Calcs'!P581</f>
        <v>61591.928043730164</v>
      </c>
      <c r="K51" s="58">
        <f ca="1">'Ref scen Calcs'!Q581</f>
        <v>68151.105470319904</v>
      </c>
      <c r="L51" s="58">
        <f ca="1">'Ref scen Calcs'!R581</f>
        <v>74746.811251821317</v>
      </c>
      <c r="M51" s="58">
        <f ca="1">'Ref scen Calcs'!S581</f>
        <v>81083.499632454026</v>
      </c>
      <c r="N51" s="58">
        <f ca="1">'Ref scen Calcs'!T581</f>
        <v>89264.050657156258</v>
      </c>
      <c r="O51" s="58">
        <f ca="1">'Ref scen Calcs'!U581</f>
        <v>97718.746010263523</v>
      </c>
      <c r="P51" s="58">
        <f ca="1">'Ref scen Calcs'!V581</f>
        <v>105490.08262976927</v>
      </c>
      <c r="Q51" s="58">
        <f ca="1">'Ref scen Calcs'!W581</f>
        <v>114110.17553454505</v>
      </c>
      <c r="R51" s="58">
        <f ca="1">'Ref scen Calcs'!X581</f>
        <v>122650.22524847816</v>
      </c>
      <c r="S51" s="58">
        <f ca="1">'Ref scen Calcs'!Y581</f>
        <v>134163.35070677966</v>
      </c>
      <c r="T51" s="58">
        <f ca="1">'Ref scen Calcs'!Z581</f>
        <v>144774.53037757555</v>
      </c>
      <c r="U51" s="58">
        <f ca="1">'Ref scen Calcs'!AA581</f>
        <v>155435.28213045554</v>
      </c>
      <c r="V51" s="58">
        <f ca="1">'Ref scen Calcs'!AB581</f>
        <v>169105.30363757684</v>
      </c>
      <c r="W51" s="58">
        <f ca="1">'Ref scen Calcs'!AC581</f>
        <v>180790.76212771895</v>
      </c>
      <c r="AB51" s="56"/>
      <c r="AC51" s="56"/>
      <c r="AD51" s="56"/>
      <c r="AE51" s="56"/>
      <c r="AF51" s="56"/>
      <c r="AG51" s="56"/>
      <c r="AH51" s="56"/>
      <c r="AI51" s="56"/>
      <c r="AJ51" s="56"/>
      <c r="AK51" s="56"/>
      <c r="AL51" s="56"/>
      <c r="AM51" s="56"/>
      <c r="AN51" s="56"/>
      <c r="AO51" s="56"/>
      <c r="AP51" s="56"/>
      <c r="AQ51" s="56"/>
      <c r="AR51" s="56"/>
      <c r="AS51" s="56"/>
      <c r="AT51" s="56"/>
      <c r="AU51" s="56"/>
      <c r="AV51" s="21"/>
      <c r="AW51" s="21"/>
      <c r="AX51" s="21"/>
    </row>
    <row r="52" spans="1:52">
      <c r="A52" s="58" t="s">
        <v>348</v>
      </c>
      <c r="B52" s="58" t="s">
        <v>366</v>
      </c>
      <c r="C52" s="86">
        <f ca="1">'Ref scen Calcs'!I605</f>
        <v>0.11213531685831545</v>
      </c>
      <c r="D52" s="86">
        <f ca="1">'Ref scen Calcs'!J605</f>
        <v>0.11738717550437631</v>
      </c>
      <c r="E52" s="86">
        <f ca="1">'Ref scen Calcs'!K605</f>
        <v>0.12412266262515818</v>
      </c>
      <c r="F52" s="86">
        <f ca="1">'Ref scen Calcs'!L605</f>
        <v>0.13991373488358169</v>
      </c>
      <c r="G52" s="86">
        <f ca="1">'Ref scen Calcs'!M605</f>
        <v>0.16133825436935464</v>
      </c>
      <c r="H52" s="86">
        <f ca="1">'Ref scen Calcs'!N605</f>
        <v>0.17910195098757228</v>
      </c>
      <c r="I52" s="86">
        <f ca="1">'Ref scen Calcs'!O605</f>
        <v>0.18958927150392835</v>
      </c>
      <c r="J52" s="86">
        <f ca="1">'Ref scen Calcs'!P605</f>
        <v>0.19951484024610688</v>
      </c>
      <c r="K52" s="86">
        <f ca="1">'Ref scen Calcs'!Q605</f>
        <v>0.21443150843935896</v>
      </c>
      <c r="L52" s="86">
        <f ca="1">'Ref scen Calcs'!R605</f>
        <v>0.22832938247221654</v>
      </c>
      <c r="M52" s="86">
        <f ca="1">'Ref scen Calcs'!S605</f>
        <v>0.24063617274836691</v>
      </c>
      <c r="N52" s="86">
        <f ca="1">'Ref scen Calcs'!T605</f>
        <v>0.25720924663182743</v>
      </c>
      <c r="O52" s="86">
        <f ca="1">'Ref scen Calcs'!U605</f>
        <v>0.27349843720432687</v>
      </c>
      <c r="P52" s="86">
        <f ca="1">'Ref scen Calcs'!V605</f>
        <v>0.2864678847559835</v>
      </c>
      <c r="Q52" s="86">
        <f ca="1">'Ref scen Calcs'!W605</f>
        <v>0.30062533612241965</v>
      </c>
      <c r="R52" s="86">
        <f ca="1">'Ref scen Calcs'!X605</f>
        <v>0.31335625851087034</v>
      </c>
      <c r="S52" s="86">
        <f ca="1">'Ref scen Calcs'!Y605</f>
        <v>0.33193359951048179</v>
      </c>
      <c r="T52" s="86">
        <f ca="1">'Ref scen Calcs'!Z605</f>
        <v>0.34675757500063115</v>
      </c>
      <c r="U52" s="86">
        <f ca="1">'Ref scen Calcs'!AA605</f>
        <v>0.3604307712213598</v>
      </c>
      <c r="V52" s="86">
        <f ca="1">'Ref scen Calcs'!AB605</f>
        <v>0.37977339786638209</v>
      </c>
      <c r="W52" s="86">
        <f ca="1">'Ref scen Calcs'!AC605</f>
        <v>0.39690952391183165</v>
      </c>
      <c r="AB52" s="56"/>
      <c r="AC52" s="56"/>
      <c r="AD52" s="56"/>
      <c r="AE52" s="56"/>
      <c r="AF52" s="56"/>
      <c r="AG52" s="56"/>
      <c r="AH52" s="56"/>
      <c r="AI52" s="56"/>
      <c r="AJ52" s="56"/>
      <c r="AK52" s="56"/>
      <c r="AL52" s="56"/>
      <c r="AM52" s="56"/>
      <c r="AN52" s="56"/>
      <c r="AO52" s="56"/>
      <c r="AP52" s="56"/>
      <c r="AQ52" s="56"/>
      <c r="AR52" s="56"/>
      <c r="AS52" s="56"/>
      <c r="AT52" s="56"/>
      <c r="AU52" s="56"/>
      <c r="AV52" s="21"/>
      <c r="AW52" s="21"/>
      <c r="AX52" s="21"/>
    </row>
    <row r="53" spans="1:52">
      <c r="A53" s="58" t="s">
        <v>367</v>
      </c>
      <c r="B53" s="58" t="s">
        <v>365</v>
      </c>
      <c r="C53" s="85">
        <f>'Ref scen Calcs'!I630</f>
        <v>28151.573050186238</v>
      </c>
      <c r="D53" s="85">
        <f>'Ref scen Calcs'!J630</f>
        <v>36794.572517423265</v>
      </c>
      <c r="E53" s="85">
        <f>'Ref scen Calcs'!K630</f>
        <v>46234.023856479864</v>
      </c>
      <c r="F53" s="85">
        <f>'Ref scen Calcs'!L630</f>
        <v>42802.807416769079</v>
      </c>
      <c r="G53" s="85">
        <f>'Ref scen Calcs'!M630</f>
        <v>34708.857909120299</v>
      </c>
      <c r="H53" s="85">
        <f>'Ref scen Calcs'!N630</f>
        <v>37940.691924532643</v>
      </c>
      <c r="I53" s="85">
        <f>'Ref scen Calcs'!O630</f>
        <v>45394.067356270752</v>
      </c>
      <c r="J53" s="85">
        <f>'Ref scen Calcs'!P630</f>
        <v>47015.681989247241</v>
      </c>
      <c r="K53" s="85">
        <f>'Ref scen Calcs'!Q630</f>
        <v>51503.338923124145</v>
      </c>
      <c r="L53" s="85">
        <f>'Ref scen Calcs'!R630</f>
        <v>58477.174735643042</v>
      </c>
      <c r="M53" s="85">
        <f>'Ref scen Calcs'!S630</f>
        <v>56839.970128849825</v>
      </c>
      <c r="N53" s="85">
        <f ca="1">'Ref scen Calcs'!T630</f>
        <v>55888.874535371215</v>
      </c>
      <c r="O53" s="85">
        <f ca="1">'Ref scen Calcs'!U630</f>
        <v>63100.974903925635</v>
      </c>
      <c r="P53" s="85">
        <f ca="1">'Ref scen Calcs'!V630</f>
        <v>67290.886519136853</v>
      </c>
      <c r="Q53" s="85">
        <f ca="1">'Ref scen Calcs'!W630</f>
        <v>75107.638852218413</v>
      </c>
      <c r="R53" s="85">
        <f ca="1">'Ref scen Calcs'!X630</f>
        <v>75763.413596463288</v>
      </c>
      <c r="S53" s="85">
        <f ca="1">'Ref scen Calcs'!Y630</f>
        <v>73109.663769759441</v>
      </c>
      <c r="T53" s="85">
        <f ca="1">'Ref scen Calcs'!Z630</f>
        <v>78014.379665537257</v>
      </c>
      <c r="U53" s="85">
        <f ca="1">'Ref scen Calcs'!AA630</f>
        <v>54651.122291722313</v>
      </c>
      <c r="V53" s="85">
        <f ca="1">'Ref scen Calcs'!AB630</f>
        <v>11797.18765209939</v>
      </c>
      <c r="W53" s="85">
        <f ca="1">'Ref scen Calcs'!AC630</f>
        <v>0</v>
      </c>
      <c r="Z53" s="21"/>
      <c r="AA53" s="56"/>
      <c r="AB53" s="56"/>
      <c r="AC53" s="56"/>
      <c r="AD53" s="56"/>
      <c r="AE53" s="56"/>
      <c r="AF53" s="56"/>
      <c r="AG53" s="56"/>
      <c r="AH53" s="56"/>
      <c r="AI53" s="56"/>
      <c r="AJ53" s="56"/>
      <c r="AK53" s="56"/>
      <c r="AL53" s="56"/>
      <c r="AM53" s="56"/>
      <c r="AN53" s="56"/>
      <c r="AO53" s="56"/>
      <c r="AP53" s="56"/>
      <c r="AQ53" s="56"/>
      <c r="AR53" s="56"/>
      <c r="AS53" s="56"/>
      <c r="AT53" s="56"/>
      <c r="AU53" s="56"/>
      <c r="AV53" s="21"/>
      <c r="AW53" s="21"/>
      <c r="AX53" s="21"/>
    </row>
    <row r="54" spans="1:52">
      <c r="A54" s="58" t="s">
        <v>368</v>
      </c>
      <c r="B54" s="58" t="s">
        <v>365</v>
      </c>
      <c r="C54" s="58">
        <f>'Ref scen Calcs'!I654</f>
        <v>25528.032204314255</v>
      </c>
      <c r="D54" s="58">
        <f>'Ref scen Calcs'!J654</f>
        <v>31973.873594664212</v>
      </c>
      <c r="E54" s="58">
        <f>'Ref scen Calcs'!K654</f>
        <v>39301.781425144451</v>
      </c>
      <c r="F54" s="58">
        <f>'Ref scen Calcs'!L654</f>
        <v>35239.720202143501</v>
      </c>
      <c r="G54" s="58">
        <f>'Ref scen Calcs'!M654</f>
        <v>28406.544409881379</v>
      </c>
      <c r="H54" s="58">
        <f>'Ref scen Calcs'!N654</f>
        <v>32827.545864844018</v>
      </c>
      <c r="I54" s="58">
        <f>'Ref scen Calcs'!O654</f>
        <v>39583.845813540291</v>
      </c>
      <c r="J54" s="58">
        <f>'Ref scen Calcs'!P654</f>
        <v>39753.338976070998</v>
      </c>
      <c r="K54" s="58">
        <f>'Ref scen Calcs'!Q654</f>
        <v>44155.792942449931</v>
      </c>
      <c r="L54" s="58">
        <f>'Ref scen Calcs'!R654</f>
        <v>50581.097427737965</v>
      </c>
      <c r="M54" s="58">
        <f>'Ref scen Calcs'!S654</f>
        <v>47683.415246116805</v>
      </c>
      <c r="N54" s="58">
        <f ca="1">'Ref scen Calcs'!T654</f>
        <v>47145.225616274765</v>
      </c>
      <c r="O54" s="58">
        <f ca="1">'Ref scen Calcs'!U654</f>
        <v>54845.924619353362</v>
      </c>
      <c r="P54" s="58">
        <f ca="1">'Ref scen Calcs'!V654</f>
        <v>57681.290129293819</v>
      </c>
      <c r="Q54" s="58">
        <f ca="1">'Ref scen Calcs'!W654</f>
        <v>64809.714240921028</v>
      </c>
      <c r="R54" s="58">
        <f ca="1">'Ref scen Calcs'!X654</f>
        <v>63978.176761261653</v>
      </c>
      <c r="S54" s="58">
        <f ca="1">'Ref scen Calcs'!Y654</f>
        <v>61667.763675552356</v>
      </c>
      <c r="T54" s="58">
        <f ca="1">'Ref scen Calcs'!Z654</f>
        <v>66747.555848146949</v>
      </c>
      <c r="U54" s="58">
        <f ca="1">'Ref scen Calcs'!AA654</f>
        <v>43047.267200143826</v>
      </c>
      <c r="V54" s="58">
        <f ca="1">'Ref scen Calcs'!AB654</f>
        <v>4071.5446938958089</v>
      </c>
      <c r="W54" s="58">
        <f ca="1">'Ref scen Calcs'!AC654</f>
        <v>0</v>
      </c>
      <c r="Z54" s="21"/>
      <c r="AA54" s="56"/>
      <c r="AB54" s="56"/>
      <c r="AC54" s="56"/>
      <c r="AD54" s="56"/>
      <c r="AE54" s="56"/>
      <c r="AF54" s="56"/>
      <c r="AG54" s="56"/>
      <c r="AH54" s="56"/>
      <c r="AI54" s="56"/>
      <c r="AJ54" s="56"/>
      <c r="AK54" s="56"/>
      <c r="AL54" s="56"/>
      <c r="AM54" s="56"/>
      <c r="AN54" s="56"/>
      <c r="AO54" s="56"/>
      <c r="AP54" s="56"/>
      <c r="AQ54" s="56"/>
      <c r="AR54" s="56"/>
      <c r="AS54" s="56"/>
      <c r="AT54" s="56"/>
      <c r="AU54" s="56"/>
      <c r="AV54" s="21"/>
      <c r="AW54" s="21"/>
      <c r="AX54" s="21"/>
    </row>
    <row r="55" spans="1:52">
      <c r="A55" s="58" t="s">
        <v>697</v>
      </c>
      <c r="B55" s="58" t="s">
        <v>698</v>
      </c>
      <c r="C55" s="58">
        <f ca="1">C50/C44</f>
        <v>0.96177880045855879</v>
      </c>
      <c r="D55" s="58">
        <f t="shared" ref="D55:W55" ca="1" si="8">D50/D44</f>
        <v>0.96311879692965696</v>
      </c>
      <c r="E55" s="58">
        <f t="shared" ca="1" si="8"/>
        <v>0.96352825596075387</v>
      </c>
      <c r="F55" s="58">
        <f t="shared" ca="1" si="8"/>
        <v>0.96548538944367346</v>
      </c>
      <c r="G55" s="58">
        <f t="shared" ca="1" si="8"/>
        <v>0.96636344381023964</v>
      </c>
      <c r="H55" s="58">
        <f t="shared" ca="1" si="8"/>
        <v>0.96553872454790546</v>
      </c>
      <c r="I55" s="58">
        <f t="shared" ca="1" si="8"/>
        <v>0.96463876287792449</v>
      </c>
      <c r="J55" s="58">
        <f t="shared" ca="1" si="8"/>
        <v>0.96380417037960331</v>
      </c>
      <c r="K55" s="58">
        <f t="shared" ca="1" si="8"/>
        <v>0.96295359538652392</v>
      </c>
      <c r="L55" s="58">
        <f t="shared" ca="1" si="8"/>
        <v>0.96212027607247097</v>
      </c>
      <c r="M55" s="58">
        <f t="shared" ca="1" si="8"/>
        <v>0.9596093847720446</v>
      </c>
      <c r="N55" s="58">
        <f t="shared" ca="1" si="8"/>
        <v>0.95721427193480713</v>
      </c>
      <c r="O55" s="58">
        <f t="shared" ca="1" si="8"/>
        <v>0.9566637034499661</v>
      </c>
      <c r="P55" s="58">
        <f t="shared" ca="1" si="8"/>
        <v>0.95606009862081576</v>
      </c>
      <c r="Q55" s="58">
        <f t="shared" ca="1" si="8"/>
        <v>0.95413660547339085</v>
      </c>
      <c r="R55" s="58">
        <f t="shared" ca="1" si="8"/>
        <v>0.95159198144890056</v>
      </c>
      <c r="S55" s="58">
        <f t="shared" ca="1" si="8"/>
        <v>0.94880518934045954</v>
      </c>
      <c r="T55" s="58">
        <f t="shared" ca="1" si="8"/>
        <v>0.94689950231295339</v>
      </c>
      <c r="U55" s="58">
        <f t="shared" ca="1" si="8"/>
        <v>0.9447883571277691</v>
      </c>
      <c r="V55" s="58">
        <f t="shared" ca="1" si="8"/>
        <v>0.94098640858816218</v>
      </c>
      <c r="W55" s="58">
        <f t="shared" ca="1" si="8"/>
        <v>0.9397570526796406</v>
      </c>
      <c r="Z55" s="21"/>
      <c r="AA55" s="56"/>
      <c r="AB55" s="56"/>
      <c r="AC55" s="56"/>
      <c r="AD55" s="56"/>
      <c r="AE55" s="56"/>
      <c r="AF55" s="56"/>
      <c r="AG55" s="56"/>
      <c r="AH55" s="56"/>
      <c r="AI55" s="56"/>
      <c r="AJ55" s="56"/>
      <c r="AK55" s="56"/>
      <c r="AL55" s="56"/>
      <c r="AM55" s="56"/>
      <c r="AN55" s="56"/>
      <c r="AO55" s="56"/>
      <c r="AP55" s="56"/>
      <c r="AQ55" s="56"/>
      <c r="AR55" s="56"/>
      <c r="AS55" s="56"/>
      <c r="AT55" s="56"/>
      <c r="AU55" s="56"/>
      <c r="AV55" s="21"/>
      <c r="AW55" s="21"/>
      <c r="AX55" s="21"/>
    </row>
    <row r="56" spans="1:52">
      <c r="A56" s="58" t="s">
        <v>710</v>
      </c>
      <c r="B56" s="58" t="s">
        <v>28</v>
      </c>
      <c r="C56" s="336">
        <f>'Ref scen Calcs'!I$38</f>
        <v>38.824652367661919</v>
      </c>
      <c r="D56" s="336">
        <f>'Ref scen Calcs'!J$38</f>
        <v>39.571914629237234</v>
      </c>
      <c r="E56" s="336">
        <f>'Ref scen Calcs'!K$38</f>
        <v>40.465240113533476</v>
      </c>
      <c r="F56" s="336">
        <f>'Ref scen Calcs'!L$38</f>
        <v>41.494224317014336</v>
      </c>
      <c r="G56" s="336">
        <f>'Ref scen Calcs'!M$38</f>
        <v>42.754508637571043</v>
      </c>
      <c r="H56" s="336">
        <f>'Ref scen Calcs'!N$38</f>
        <v>43.999586376036262</v>
      </c>
      <c r="I56" s="336">
        <f>'Ref scen Calcs'!O$38</f>
        <v>45.313894080339054</v>
      </c>
      <c r="J56" s="336">
        <f>'Ref scen Calcs'!P$38</f>
        <v>46.606592431143419</v>
      </c>
      <c r="K56" s="336">
        <f>'Ref scen Calcs'!Q$38</f>
        <v>47.970121440637108</v>
      </c>
      <c r="L56" s="336">
        <f>'Ref scen Calcs'!R$38</f>
        <v>49.397678164200236</v>
      </c>
      <c r="M56" s="336">
        <f>'Ref scen Calcs'!S$38</f>
        <v>50.832576878623705</v>
      </c>
      <c r="N56" s="336">
        <f>'Ref scen Calcs'!T$38</f>
        <v>52.342708157078782</v>
      </c>
      <c r="O56" s="336">
        <f>'Ref scen Calcs'!U$38</f>
        <v>53.875249135458155</v>
      </c>
      <c r="P56" s="336">
        <f>'Ref scen Calcs'!V$38</f>
        <v>55.513836015265028</v>
      </c>
      <c r="Q56" s="336">
        <f>'Ref scen Calcs'!W$38</f>
        <v>57.209247491308531</v>
      </c>
      <c r="R56" s="336">
        <f>'Ref scen Calcs'!X$38</f>
        <v>58.979491358170705</v>
      </c>
      <c r="S56" s="336">
        <f>'Ref scen Calcs'!Y$38</f>
        <v>60.891396542411499</v>
      </c>
      <c r="T56" s="336">
        <f>'Ref scen Calcs'!Z$38</f>
        <v>62.884536888877911</v>
      </c>
      <c r="U56" s="336">
        <f>'Ref scen Calcs'!AA$38</f>
        <v>64.940104256562037</v>
      </c>
      <c r="V56" s="336">
        <f>'Ref scen Calcs'!AB$38</f>
        <v>67.039290504455948</v>
      </c>
      <c r="W56" s="336">
        <f>'Ref scen Calcs'!AC$38</f>
        <v>68.567829750705968</v>
      </c>
      <c r="Z56" s="21"/>
      <c r="AA56" s="56"/>
      <c r="AB56" s="56"/>
      <c r="AC56" s="56"/>
      <c r="AD56" s="56"/>
      <c r="AE56" s="56"/>
      <c r="AF56" s="56"/>
      <c r="AG56" s="56"/>
      <c r="AH56" s="56"/>
      <c r="AI56" s="56"/>
      <c r="AJ56" s="56"/>
      <c r="AK56" s="56"/>
      <c r="AL56" s="56"/>
      <c r="AM56" s="56"/>
      <c r="AN56" s="56"/>
      <c r="AO56" s="56"/>
      <c r="AP56" s="56"/>
      <c r="AQ56" s="56"/>
      <c r="AR56" s="56"/>
      <c r="AS56" s="56"/>
      <c r="AT56" s="56"/>
      <c r="AU56" s="56"/>
      <c r="AV56" s="21"/>
      <c r="AW56" s="21"/>
      <c r="AX56" s="21"/>
    </row>
    <row r="57" spans="1:52">
      <c r="A57" s="58"/>
      <c r="B57" s="58"/>
      <c r="C57" s="58"/>
      <c r="D57" s="58"/>
      <c r="E57" s="58"/>
      <c r="F57" s="58"/>
      <c r="G57" s="58"/>
      <c r="H57" s="58"/>
      <c r="I57" s="58"/>
      <c r="J57" s="58"/>
      <c r="K57" s="58"/>
      <c r="L57" s="58"/>
      <c r="M57" s="58"/>
      <c r="N57" s="58"/>
      <c r="O57" s="58"/>
      <c r="P57" s="58"/>
      <c r="Q57" s="58"/>
      <c r="R57" s="58"/>
      <c r="S57" s="58"/>
      <c r="T57" s="58"/>
      <c r="U57" s="58"/>
      <c r="V57" s="58"/>
      <c r="W57" s="58"/>
      <c r="Z57" s="21"/>
      <c r="AA57" s="56"/>
      <c r="AB57" s="56"/>
      <c r="AC57" s="56"/>
      <c r="AD57" s="56"/>
      <c r="AE57" s="56"/>
      <c r="AF57" s="56"/>
      <c r="AG57" s="56"/>
      <c r="AH57" s="56"/>
      <c r="AI57" s="56"/>
      <c r="AJ57" s="56"/>
      <c r="AK57" s="56"/>
      <c r="AL57" s="56"/>
      <c r="AM57" s="56"/>
      <c r="AN57" s="56"/>
      <c r="AO57" s="56"/>
      <c r="AP57" s="56"/>
      <c r="AQ57" s="56"/>
      <c r="AR57" s="56"/>
      <c r="AS57" s="56"/>
      <c r="AT57" s="56"/>
      <c r="AU57" s="56"/>
      <c r="AV57" s="21"/>
      <c r="AW57" s="21"/>
      <c r="AX57" s="21"/>
    </row>
    <row r="58" spans="1:52">
      <c r="A58" s="58"/>
      <c r="B58" s="58"/>
      <c r="C58" s="58"/>
      <c r="D58" s="58"/>
      <c r="E58" s="58"/>
      <c r="F58" s="58"/>
      <c r="G58" s="58"/>
      <c r="H58" s="58"/>
      <c r="I58" s="58"/>
      <c r="J58" s="58"/>
      <c r="K58" s="58"/>
      <c r="L58" s="58"/>
      <c r="M58" s="58"/>
      <c r="N58" s="58"/>
      <c r="O58" s="58"/>
      <c r="P58" s="58"/>
      <c r="Q58" s="58"/>
      <c r="R58" s="58"/>
      <c r="S58" s="58"/>
      <c r="T58" s="58"/>
      <c r="U58" s="58"/>
      <c r="V58" s="58"/>
      <c r="W58" s="58"/>
      <c r="Z58" s="21"/>
      <c r="AA58" s="56"/>
      <c r="AB58" s="56"/>
      <c r="AC58" s="56"/>
      <c r="AD58" s="56"/>
      <c r="AE58" s="56"/>
      <c r="AF58" s="56"/>
      <c r="AG58" s="56"/>
      <c r="AH58" s="56"/>
      <c r="AI58" s="56"/>
      <c r="AJ58" s="56"/>
      <c r="AK58" s="56"/>
      <c r="AL58" s="56"/>
      <c r="AM58" s="56"/>
      <c r="AN58" s="56"/>
      <c r="AO58" s="56"/>
      <c r="AP58" s="56"/>
      <c r="AQ58" s="56"/>
      <c r="AR58" s="56"/>
      <c r="AS58" s="56"/>
      <c r="AT58" s="56"/>
      <c r="AU58" s="56"/>
      <c r="AV58" s="21"/>
      <c r="AW58" s="21"/>
      <c r="AX58" s="21"/>
    </row>
    <row r="59" spans="1:52">
      <c r="A59" s="58"/>
      <c r="B59" s="58"/>
      <c r="C59" s="58"/>
      <c r="D59" s="58"/>
      <c r="E59" s="58"/>
      <c r="F59" s="58"/>
      <c r="G59" s="58"/>
      <c r="H59" s="58"/>
      <c r="I59" s="58"/>
      <c r="J59" s="58"/>
      <c r="K59" s="58"/>
      <c r="L59" s="58"/>
      <c r="M59" s="58"/>
      <c r="N59" s="343"/>
      <c r="O59" s="342"/>
      <c r="P59" s="342"/>
      <c r="Q59" s="342"/>
      <c r="R59" s="342"/>
      <c r="S59" s="342"/>
      <c r="T59" s="342"/>
      <c r="U59" s="342"/>
      <c r="V59" s="342"/>
      <c r="W59" s="342"/>
      <c r="X59" s="204"/>
      <c r="Z59" s="21"/>
      <c r="AA59" s="56"/>
      <c r="AB59" s="56"/>
      <c r="AC59" s="56"/>
      <c r="AD59" s="56"/>
      <c r="AE59" s="56"/>
      <c r="AF59" s="56"/>
      <c r="AG59" s="56"/>
      <c r="AH59" s="56"/>
      <c r="AI59" s="56"/>
      <c r="AJ59" s="56"/>
      <c r="AK59" s="56"/>
      <c r="AL59" s="56"/>
      <c r="AM59" s="56"/>
      <c r="AN59" s="56"/>
      <c r="AO59" s="56"/>
      <c r="AP59" s="56"/>
      <c r="AQ59" s="56"/>
      <c r="AR59" s="56"/>
      <c r="AS59" s="56"/>
      <c r="AT59" s="56"/>
      <c r="AU59" s="56"/>
      <c r="AV59" s="21"/>
      <c r="AW59" s="21"/>
      <c r="AX59" s="21"/>
    </row>
    <row r="60" spans="1:52">
      <c r="N60" s="204"/>
      <c r="O60" s="342"/>
      <c r="P60" s="342"/>
      <c r="Q60" s="342"/>
      <c r="R60" s="342"/>
      <c r="S60" s="342"/>
      <c r="T60" s="342"/>
      <c r="U60" s="342"/>
      <c r="V60" s="342"/>
      <c r="W60" s="342"/>
      <c r="X60" s="204"/>
      <c r="Z60" s="21"/>
      <c r="AA60" s="21"/>
      <c r="AB60" s="21"/>
      <c r="AC60" s="21"/>
      <c r="AD60" s="21"/>
      <c r="AE60" s="21"/>
      <c r="AF60" s="21"/>
      <c r="AG60" s="21"/>
      <c r="AH60" s="21"/>
      <c r="AI60" s="21"/>
      <c r="AJ60" s="21"/>
      <c r="AK60" s="21"/>
      <c r="AL60" s="21"/>
      <c r="AM60" s="21"/>
      <c r="AN60" s="21"/>
      <c r="AO60" s="21"/>
      <c r="AP60" s="21"/>
      <c r="AQ60" s="21"/>
      <c r="AR60" s="21"/>
      <c r="AS60" s="21"/>
      <c r="AT60" s="21"/>
      <c r="AU60" s="21"/>
      <c r="AV60" s="21"/>
      <c r="AW60" s="21"/>
      <c r="AX60" s="21"/>
    </row>
    <row r="61" spans="1:52">
      <c r="N61" s="204"/>
      <c r="O61" s="204"/>
      <c r="P61" s="204"/>
      <c r="Q61" s="204"/>
      <c r="R61" s="204"/>
      <c r="S61" s="204"/>
      <c r="T61" s="204"/>
      <c r="U61" s="204"/>
      <c r="V61" s="204"/>
      <c r="W61" s="204"/>
      <c r="X61" s="204"/>
    </row>
    <row r="62" spans="1:52">
      <c r="N62" s="204"/>
      <c r="O62" s="204"/>
      <c r="P62" s="204"/>
      <c r="Q62" s="204"/>
      <c r="R62" s="204"/>
      <c r="S62" s="204"/>
      <c r="T62" s="204"/>
      <c r="U62" s="204"/>
      <c r="V62" s="204"/>
      <c r="W62" s="204"/>
      <c r="X62" s="204"/>
    </row>
    <row r="63" spans="1:52">
      <c r="AP63" s="4" t="s">
        <v>261</v>
      </c>
      <c r="AV63" s="4" t="s">
        <v>263</v>
      </c>
      <c r="AX63" s="69" t="s">
        <v>15</v>
      </c>
      <c r="AY63" s="69"/>
      <c r="AZ63" s="69"/>
    </row>
    <row r="64" spans="1:52" ht="23.25" customHeight="1" thickBot="1">
      <c r="A64" s="286" t="s">
        <v>603</v>
      </c>
      <c r="B64" s="286"/>
      <c r="C64" s="286"/>
      <c r="D64" s="286"/>
      <c r="E64" s="286"/>
      <c r="F64" s="286"/>
      <c r="G64" s="21"/>
      <c r="H64" s="21"/>
      <c r="I64" s="21"/>
      <c r="J64" s="21"/>
      <c r="K64" s="21"/>
      <c r="L64" s="21"/>
      <c r="M64" s="21"/>
      <c r="N64" s="21"/>
      <c r="O64" s="21"/>
      <c r="P64" s="21"/>
      <c r="AV64" s="4" t="s">
        <v>264</v>
      </c>
      <c r="AX64" s="69" t="s">
        <v>60</v>
      </c>
      <c r="AY64" s="69"/>
      <c r="AZ64" s="69"/>
    </row>
    <row r="65" spans="1:85" ht="33" customHeight="1" thickTop="1">
      <c r="A65" s="57" t="str">
        <f>'Tech Parameters'!B5</f>
        <v>Plant Description</v>
      </c>
      <c r="B65" s="83" t="s">
        <v>694</v>
      </c>
      <c r="C65" s="59">
        <v>2010</v>
      </c>
      <c r="D65" s="59">
        <v>2011</v>
      </c>
      <c r="E65" s="59">
        <v>2012</v>
      </c>
      <c r="F65" s="59">
        <v>2013</v>
      </c>
      <c r="G65" s="59">
        <v>2014</v>
      </c>
      <c r="H65" s="59">
        <v>2015</v>
      </c>
      <c r="I65" s="59">
        <v>2016</v>
      </c>
      <c r="J65" s="59">
        <v>2017</v>
      </c>
      <c r="K65" s="59">
        <v>2018</v>
      </c>
      <c r="L65" s="59">
        <v>2019</v>
      </c>
      <c r="M65" s="59">
        <v>2020</v>
      </c>
      <c r="N65" s="59">
        <v>2021</v>
      </c>
      <c r="O65" s="59">
        <v>2022</v>
      </c>
      <c r="P65" s="59">
        <v>2023</v>
      </c>
      <c r="Q65" s="59">
        <v>2024</v>
      </c>
      <c r="R65" s="59">
        <v>2025</v>
      </c>
      <c r="S65" s="59">
        <v>2026</v>
      </c>
      <c r="T65" s="59">
        <v>2027</v>
      </c>
      <c r="U65" s="59">
        <v>2028</v>
      </c>
      <c r="V65" s="59">
        <v>2029</v>
      </c>
      <c r="W65" s="59">
        <v>2030</v>
      </c>
      <c r="X65" s="337" t="s">
        <v>709</v>
      </c>
    </row>
    <row r="66" spans="1:85">
      <c r="A66" s="56" t="str">
        <f>'Tech Parameters'!B6</f>
        <v>Existing coal Large</v>
      </c>
      <c r="B66" s="60">
        <f>'Tech Parameters'!J6</f>
        <v>564.27777777777783</v>
      </c>
      <c r="C66" s="330">
        <v>0</v>
      </c>
      <c r="D66" s="330">
        <v>0</v>
      </c>
      <c r="E66" s="330">
        <v>0</v>
      </c>
      <c r="F66" s="330">
        <v>0</v>
      </c>
      <c r="G66" s="330">
        <v>0</v>
      </c>
      <c r="H66" s="330">
        <v>0</v>
      </c>
      <c r="I66" s="330">
        <v>0</v>
      </c>
      <c r="J66" s="330">
        <v>0</v>
      </c>
      <c r="K66" s="330">
        <v>0</v>
      </c>
      <c r="L66" s="330">
        <v>0</v>
      </c>
      <c r="M66" s="330">
        <v>0</v>
      </c>
      <c r="N66" s="330">
        <v>0</v>
      </c>
      <c r="O66" s="330">
        <v>0</v>
      </c>
      <c r="P66" s="330">
        <v>0</v>
      </c>
      <c r="Q66" s="330">
        <v>0</v>
      </c>
      <c r="R66" s="330">
        <v>0</v>
      </c>
      <c r="S66" s="330">
        <v>0</v>
      </c>
      <c r="T66" s="330">
        <v>0</v>
      </c>
      <c r="U66" s="330">
        <v>0</v>
      </c>
      <c r="V66" s="330">
        <v>0</v>
      </c>
      <c r="W66" s="330">
        <v>0</v>
      </c>
      <c r="Y66" s="4" t="s">
        <v>692</v>
      </c>
      <c r="AP66" s="4" t="str">
        <f>"Capacity and output for "&amp;AX63&amp;" and "&amp;AX64</f>
        <v>Capacity and output for OCGT liquid fuels and Existing coal Small</v>
      </c>
      <c r="AW66" s="4" t="str">
        <f>"Capacity utilisation for "&amp;AX63&amp;" and "&amp;AX64</f>
        <v>Capacity utilisation for OCGT liquid fuels and Existing coal Small</v>
      </c>
      <c r="BM66" t="s">
        <v>686</v>
      </c>
    </row>
    <row r="67" spans="1:85">
      <c r="A67" s="56" t="str">
        <f>'Tech Parameters'!B7</f>
        <v>Existing coal Small</v>
      </c>
      <c r="B67" s="60">
        <f>'Tech Parameters'!J7</f>
        <v>114.43859649122807</v>
      </c>
      <c r="C67" s="330">
        <v>0</v>
      </c>
      <c r="D67" s="330">
        <v>0</v>
      </c>
      <c r="E67" s="330">
        <v>0</v>
      </c>
      <c r="F67" s="330">
        <v>0</v>
      </c>
      <c r="G67" s="330">
        <v>0</v>
      </c>
      <c r="H67" s="330">
        <v>0</v>
      </c>
      <c r="I67" s="330">
        <v>0</v>
      </c>
      <c r="J67" s="330">
        <v>0</v>
      </c>
      <c r="K67" s="330">
        <v>0</v>
      </c>
      <c r="L67" s="330">
        <v>0</v>
      </c>
      <c r="M67" s="330">
        <v>0</v>
      </c>
      <c r="N67" s="330">
        <v>0</v>
      </c>
      <c r="O67" s="330">
        <v>0</v>
      </c>
      <c r="P67" s="330">
        <v>0</v>
      </c>
      <c r="Q67" s="330">
        <v>0</v>
      </c>
      <c r="R67" s="330">
        <v>0</v>
      </c>
      <c r="S67" s="330">
        <v>0</v>
      </c>
      <c r="T67" s="330">
        <v>0</v>
      </c>
      <c r="U67" s="330">
        <v>0</v>
      </c>
      <c r="V67" s="330">
        <v>0</v>
      </c>
      <c r="W67" s="330">
        <v>0</v>
      </c>
      <c r="Y67" s="4" t="s">
        <v>687</v>
      </c>
      <c r="Z67" s="325" t="s">
        <v>710</v>
      </c>
      <c r="AA67" s="324"/>
    </row>
    <row r="68" spans="1:85">
      <c r="A68" s="56" t="str">
        <f>'Tech Parameters'!B8</f>
        <v>OCGT liquid fuels</v>
      </c>
      <c r="B68" s="60">
        <f>'Tech Parameters'!J8</f>
        <v>120</v>
      </c>
      <c r="C68" s="186">
        <v>0</v>
      </c>
      <c r="D68" s="186">
        <v>9</v>
      </c>
      <c r="E68" s="186">
        <v>0</v>
      </c>
      <c r="F68" s="186">
        <v>0</v>
      </c>
      <c r="G68" s="186">
        <v>0</v>
      </c>
      <c r="H68" s="186">
        <v>0</v>
      </c>
      <c r="I68" s="186">
        <v>0</v>
      </c>
      <c r="J68" s="186">
        <v>0</v>
      </c>
      <c r="K68" s="186">
        <v>0</v>
      </c>
      <c r="L68" s="186">
        <v>0</v>
      </c>
      <c r="M68" s="186">
        <v>0</v>
      </c>
      <c r="N68" s="186">
        <v>0</v>
      </c>
      <c r="O68" s="186">
        <v>0</v>
      </c>
      <c r="P68" s="186">
        <v>0</v>
      </c>
      <c r="Q68" s="186">
        <v>0</v>
      </c>
      <c r="R68" s="186">
        <v>0</v>
      </c>
      <c r="S68" s="186">
        <v>6</v>
      </c>
      <c r="T68" s="186">
        <v>0</v>
      </c>
      <c r="U68" s="186">
        <v>0</v>
      </c>
      <c r="V68" s="186">
        <v>8</v>
      </c>
      <c r="W68" s="186">
        <v>8</v>
      </c>
      <c r="X68" s="338">
        <f>SUM(C68:W68)*B68/1000</f>
        <v>3.72</v>
      </c>
      <c r="Y68" s="4" t="s">
        <v>688</v>
      </c>
      <c r="Z68" s="325" t="s">
        <v>341</v>
      </c>
      <c r="AA68" s="324"/>
      <c r="BM68">
        <v>2010</v>
      </c>
      <c r="BN68">
        <v>2011</v>
      </c>
      <c r="BO68">
        <v>2012</v>
      </c>
      <c r="BP68">
        <v>2013</v>
      </c>
      <c r="BQ68">
        <v>2014</v>
      </c>
      <c r="BR68">
        <v>2015</v>
      </c>
      <c r="BS68">
        <v>2016</v>
      </c>
      <c r="BT68">
        <v>2017</v>
      </c>
      <c r="BU68">
        <v>2018</v>
      </c>
      <c r="BV68">
        <v>2019</v>
      </c>
      <c r="BW68">
        <v>2020</v>
      </c>
      <c r="BX68">
        <v>2021</v>
      </c>
      <c r="BY68">
        <v>2022</v>
      </c>
      <c r="BZ68">
        <v>2023</v>
      </c>
      <c r="CA68">
        <v>2024</v>
      </c>
      <c r="CB68">
        <v>2025</v>
      </c>
      <c r="CC68">
        <v>2026</v>
      </c>
      <c r="CD68">
        <v>2027</v>
      </c>
      <c r="CE68">
        <v>2028</v>
      </c>
      <c r="CF68">
        <v>2029</v>
      </c>
      <c r="CG68">
        <v>2030</v>
      </c>
    </row>
    <row r="69" spans="1:85">
      <c r="A69" s="56" t="str">
        <f>'Tech Parameters'!B9</f>
        <v>PWR nuclear</v>
      </c>
      <c r="B69" s="60">
        <f>'Tech Parameters'!J9</f>
        <v>1350</v>
      </c>
      <c r="C69" s="186">
        <v>0</v>
      </c>
      <c r="D69" s="186">
        <v>0</v>
      </c>
      <c r="E69" s="186">
        <v>0</v>
      </c>
      <c r="F69" s="186">
        <v>0</v>
      </c>
      <c r="G69" s="186">
        <v>0</v>
      </c>
      <c r="H69" s="186">
        <v>0</v>
      </c>
      <c r="I69" s="186">
        <v>0</v>
      </c>
      <c r="J69" s="186">
        <v>0</v>
      </c>
      <c r="K69" s="186">
        <v>0</v>
      </c>
      <c r="L69" s="186">
        <v>0</v>
      </c>
      <c r="M69" s="186">
        <v>0</v>
      </c>
      <c r="N69" s="186">
        <v>0</v>
      </c>
      <c r="O69" s="186">
        <v>0</v>
      </c>
      <c r="P69" s="186">
        <v>0</v>
      </c>
      <c r="Q69" s="186">
        <v>0</v>
      </c>
      <c r="R69" s="186">
        <v>0</v>
      </c>
      <c r="S69" s="186">
        <v>0</v>
      </c>
      <c r="T69" s="186">
        <v>0</v>
      </c>
      <c r="U69" s="186">
        <v>0</v>
      </c>
      <c r="V69" s="186">
        <v>0</v>
      </c>
      <c r="W69" s="186">
        <v>0</v>
      </c>
      <c r="X69" s="338">
        <f t="shared" ref="X69:X86" si="9">SUM(C69:W69)*B69/1000</f>
        <v>0</v>
      </c>
      <c r="BL69" t="str">
        <f>Z67&amp;" - units: "&amp;BM73</f>
        <v>Peak Demand - units: GW</v>
      </c>
      <c r="BM69" s="37">
        <f>VALUE(VLOOKUP($Z67,$A$99:$W$117,C$6-2007,FALSE))*IF($BM$73="percent",100,1)</f>
        <v>38.824652367661919</v>
      </c>
      <c r="BN69" s="37">
        <f t="shared" ref="BN69:CG69" si="10">VALUE(VLOOKUP($Z67,$A$99:$W$117,D$6-2007,FALSE))*IF($BM$73="percent",100,1)</f>
        <v>39.571914629237234</v>
      </c>
      <c r="BO69" s="37">
        <f t="shared" si="10"/>
        <v>40.465240113533476</v>
      </c>
      <c r="BP69" s="37">
        <f t="shared" si="10"/>
        <v>41.494224317014336</v>
      </c>
      <c r="BQ69" s="37">
        <f t="shared" si="10"/>
        <v>42.754508637571043</v>
      </c>
      <c r="BR69" s="37">
        <f t="shared" si="10"/>
        <v>43.999586376036262</v>
      </c>
      <c r="BS69" s="37">
        <f t="shared" si="10"/>
        <v>45.313894080339054</v>
      </c>
      <c r="BT69" s="37">
        <f t="shared" si="10"/>
        <v>46.606592431143419</v>
      </c>
      <c r="BU69" s="37">
        <f t="shared" si="10"/>
        <v>47.970121440637108</v>
      </c>
      <c r="BV69" s="37">
        <f t="shared" si="10"/>
        <v>49.397678164200236</v>
      </c>
      <c r="BW69" s="37">
        <f t="shared" si="10"/>
        <v>50.832576878623705</v>
      </c>
      <c r="BX69" s="37">
        <f t="shared" si="10"/>
        <v>52.342708157078782</v>
      </c>
      <c r="BY69" s="37">
        <f t="shared" si="10"/>
        <v>53.875249135458155</v>
      </c>
      <c r="BZ69" s="37">
        <f t="shared" si="10"/>
        <v>55.513836015265028</v>
      </c>
      <c r="CA69" s="37">
        <f t="shared" si="10"/>
        <v>57.209247491308531</v>
      </c>
      <c r="CB69" s="37">
        <f t="shared" si="10"/>
        <v>58.979491358170705</v>
      </c>
      <c r="CC69" s="37">
        <f t="shared" si="10"/>
        <v>60.891396542411499</v>
      </c>
      <c r="CD69" s="37">
        <f t="shared" si="10"/>
        <v>62.884536888877911</v>
      </c>
      <c r="CE69" s="37">
        <f t="shared" si="10"/>
        <v>64.940104256562037</v>
      </c>
      <c r="CF69" s="37">
        <f t="shared" si="10"/>
        <v>67.039290504455948</v>
      </c>
      <c r="CG69" s="37">
        <f t="shared" si="10"/>
        <v>68.567829750705968</v>
      </c>
    </row>
    <row r="70" spans="1:85">
      <c r="A70" s="56" t="str">
        <f>'Tech Parameters'!B10</f>
        <v>Hydro</v>
      </c>
      <c r="B70" s="60">
        <f>'Tech Parameters'!J10</f>
        <v>95</v>
      </c>
      <c r="C70" s="186">
        <v>0</v>
      </c>
      <c r="D70" s="186">
        <v>0</v>
      </c>
      <c r="E70" s="186">
        <v>0</v>
      </c>
      <c r="F70" s="186">
        <v>0</v>
      </c>
      <c r="G70" s="186">
        <v>0</v>
      </c>
      <c r="H70" s="186">
        <v>0</v>
      </c>
      <c r="I70" s="186">
        <v>0</v>
      </c>
      <c r="J70" s="186">
        <v>0</v>
      </c>
      <c r="K70" s="186">
        <v>0</v>
      </c>
      <c r="L70" s="186">
        <v>0</v>
      </c>
      <c r="M70" s="186">
        <v>0</v>
      </c>
      <c r="N70" s="186">
        <v>0</v>
      </c>
      <c r="O70" s="186">
        <v>0</v>
      </c>
      <c r="P70" s="186">
        <v>0</v>
      </c>
      <c r="Q70" s="186">
        <v>0</v>
      </c>
      <c r="R70" s="186">
        <v>0</v>
      </c>
      <c r="S70" s="186">
        <v>0</v>
      </c>
      <c r="T70" s="186">
        <v>0</v>
      </c>
      <c r="U70" s="186">
        <v>0</v>
      </c>
      <c r="V70" s="186">
        <v>0</v>
      </c>
      <c r="W70" s="186">
        <v>0</v>
      </c>
      <c r="X70" s="338">
        <f t="shared" si="9"/>
        <v>0</v>
      </c>
      <c r="BL70" t="str">
        <f>Z68&amp;" - units: "&amp;BM74</f>
        <v>% renewable electricity (out) - units: percent</v>
      </c>
      <c r="BM70" s="37">
        <f ca="1">VALUE(VLOOKUP($Z68,$A$99:$W$117,C$6-2007,FALSE))*IF($BM$73="percent",100,1)</f>
        <v>1.2999999999999999E-2</v>
      </c>
      <c r="BN70" s="37">
        <f t="shared" ref="BN70:CG70" ca="1" si="11">VALUE(VLOOKUP($Z68,$A$99:$W$117,D$6-2007,FALSE))*IF($BM$73="percent",100,1)</f>
        <v>1.4E-2</v>
      </c>
      <c r="BO70" s="37">
        <f t="shared" ca="1" si="11"/>
        <v>1.6E-2</v>
      </c>
      <c r="BP70" s="37">
        <f t="shared" ca="1" si="11"/>
        <v>0.02</v>
      </c>
      <c r="BQ70" s="37">
        <f t="shared" ca="1" si="11"/>
        <v>2.3E-2</v>
      </c>
      <c r="BR70" s="37">
        <f t="shared" ca="1" si="11"/>
        <v>3.1E-2</v>
      </c>
      <c r="BS70" s="37">
        <f t="shared" ca="1" si="11"/>
        <v>4.1000000000000002E-2</v>
      </c>
      <c r="BT70" s="37">
        <f t="shared" ca="1" si="11"/>
        <v>5.5E-2</v>
      </c>
      <c r="BU70" s="37">
        <f t="shared" ca="1" si="11"/>
        <v>7.5999999999999998E-2</v>
      </c>
      <c r="BV70" s="37">
        <f t="shared" ca="1" si="11"/>
        <v>0.105</v>
      </c>
      <c r="BW70" s="37">
        <f t="shared" ca="1" si="11"/>
        <v>0.13900000000000001</v>
      </c>
      <c r="BX70" s="37">
        <f t="shared" ca="1" si="11"/>
        <v>0.18099999999999999</v>
      </c>
      <c r="BY70" s="37">
        <f t="shared" ca="1" si="11"/>
        <v>0.21199999999999999</v>
      </c>
      <c r="BZ70" s="37">
        <f t="shared" ca="1" si="11"/>
        <v>0.255</v>
      </c>
      <c r="CA70" s="37">
        <f t="shared" ca="1" si="11"/>
        <v>0.29499999999999998</v>
      </c>
      <c r="CB70" s="37">
        <f t="shared" ca="1" si="11"/>
        <v>0.33300000000000002</v>
      </c>
      <c r="CC70" s="37">
        <f t="shared" ca="1" si="11"/>
        <v>0.36699999999999999</v>
      </c>
      <c r="CD70" s="37">
        <f t="shared" ca="1" si="11"/>
        <v>0.39900000000000002</v>
      </c>
      <c r="CE70" s="37">
        <f t="shared" ca="1" si="11"/>
        <v>0.42799999999999999</v>
      </c>
      <c r="CF70" s="37">
        <f t="shared" ca="1" si="11"/>
        <v>0.45500000000000002</v>
      </c>
      <c r="CG70" s="37">
        <f t="shared" ca="1" si="11"/>
        <v>0.48399999999999999</v>
      </c>
    </row>
    <row r="71" spans="1:85">
      <c r="A71" s="56" t="str">
        <f>'Tech Parameters'!B11</f>
        <v>Landfill gas</v>
      </c>
      <c r="B71" s="60">
        <f>'Tech Parameters'!J11</f>
        <v>30</v>
      </c>
      <c r="C71" s="186">
        <v>0</v>
      </c>
      <c r="D71" s="186">
        <v>0</v>
      </c>
      <c r="E71" s="186">
        <v>0</v>
      </c>
      <c r="F71" s="186">
        <v>0</v>
      </c>
      <c r="G71" s="186">
        <v>0</v>
      </c>
      <c r="H71" s="186">
        <v>0</v>
      </c>
      <c r="I71" s="186">
        <v>0</v>
      </c>
      <c r="J71" s="186">
        <v>0</v>
      </c>
      <c r="K71" s="186">
        <v>0</v>
      </c>
      <c r="L71" s="186">
        <v>0</v>
      </c>
      <c r="M71" s="186">
        <v>0</v>
      </c>
      <c r="N71" s="186">
        <v>0</v>
      </c>
      <c r="O71" s="186">
        <v>0</v>
      </c>
      <c r="P71" s="186">
        <v>0</v>
      </c>
      <c r="Q71" s="186">
        <v>0</v>
      </c>
      <c r="R71" s="186">
        <v>0</v>
      </c>
      <c r="S71" s="186">
        <v>0</v>
      </c>
      <c r="T71" s="186">
        <v>0</v>
      </c>
      <c r="U71" s="186">
        <v>0</v>
      </c>
      <c r="V71" s="186">
        <v>0</v>
      </c>
      <c r="W71" s="186">
        <v>0</v>
      </c>
      <c r="X71" s="338">
        <f t="shared" si="9"/>
        <v>0</v>
      </c>
    </row>
    <row r="72" spans="1:85">
      <c r="A72" s="56" t="str">
        <f>'Tech Parameters'!B12</f>
        <v>Biomass</v>
      </c>
      <c r="B72" s="60">
        <f>'Tech Parameters'!J12</f>
        <v>80</v>
      </c>
      <c r="C72" s="186">
        <v>0</v>
      </c>
      <c r="D72" s="186">
        <v>0</v>
      </c>
      <c r="E72" s="186">
        <v>0</v>
      </c>
      <c r="F72" s="186">
        <v>0</v>
      </c>
      <c r="G72" s="186">
        <v>0</v>
      </c>
      <c r="H72" s="186">
        <v>0</v>
      </c>
      <c r="I72" s="186">
        <v>0</v>
      </c>
      <c r="J72" s="186">
        <v>0</v>
      </c>
      <c r="K72" s="186">
        <v>0</v>
      </c>
      <c r="L72" s="186">
        <v>0</v>
      </c>
      <c r="M72" s="186">
        <v>0</v>
      </c>
      <c r="N72" s="186">
        <v>0</v>
      </c>
      <c r="O72" s="186">
        <v>0</v>
      </c>
      <c r="P72" s="186">
        <v>0</v>
      </c>
      <c r="Q72" s="186">
        <v>0</v>
      </c>
      <c r="R72" s="186">
        <v>0</v>
      </c>
      <c r="S72" s="186">
        <v>0</v>
      </c>
      <c r="T72" s="186">
        <v>0</v>
      </c>
      <c r="U72" s="186">
        <v>0</v>
      </c>
      <c r="V72" s="186">
        <v>0</v>
      </c>
      <c r="W72" s="186">
        <v>0</v>
      </c>
      <c r="X72" s="338">
        <f t="shared" si="9"/>
        <v>0</v>
      </c>
      <c r="BL72" s="11" t="s">
        <v>689</v>
      </c>
    </row>
    <row r="73" spans="1:85">
      <c r="A73" s="56" t="str">
        <f>'Tech Parameters'!B13</f>
        <v>Supercritical coal</v>
      </c>
      <c r="B73" s="60">
        <f>'Tech Parameters'!J13</f>
        <v>794</v>
      </c>
      <c r="C73" s="186">
        <v>0</v>
      </c>
      <c r="D73" s="186">
        <v>0</v>
      </c>
      <c r="E73" s="186">
        <v>1</v>
      </c>
      <c r="F73" s="186">
        <v>2</v>
      </c>
      <c r="G73" s="186">
        <v>3</v>
      </c>
      <c r="H73" s="186">
        <v>3</v>
      </c>
      <c r="I73" s="186">
        <v>2</v>
      </c>
      <c r="J73" s="186">
        <v>1</v>
      </c>
      <c r="K73" s="186">
        <v>0</v>
      </c>
      <c r="L73" s="186">
        <v>0</v>
      </c>
      <c r="M73" s="186">
        <v>0</v>
      </c>
      <c r="N73" s="186">
        <v>0</v>
      </c>
      <c r="O73" s="186">
        <v>0</v>
      </c>
      <c r="P73" s="186">
        <v>0</v>
      </c>
      <c r="Q73" s="186">
        <v>0</v>
      </c>
      <c r="R73" s="186">
        <v>0</v>
      </c>
      <c r="S73" s="186">
        <v>0</v>
      </c>
      <c r="T73" s="186">
        <v>0</v>
      </c>
      <c r="U73" s="186">
        <v>0</v>
      </c>
      <c r="V73" s="186">
        <v>0</v>
      </c>
      <c r="W73" s="186">
        <v>0</v>
      </c>
      <c r="X73" s="338">
        <f t="shared" si="9"/>
        <v>9.5280000000000005</v>
      </c>
      <c r="BL73" s="11" t="s">
        <v>690</v>
      </c>
      <c r="BM73" t="str">
        <f>VLOOKUP($Z67,$A$40:$W$61,2,FALSE)</f>
        <v>GW</v>
      </c>
    </row>
    <row r="74" spans="1:85">
      <c r="A74" s="56" t="str">
        <f>'Tech Parameters'!B14</f>
        <v xml:space="preserve">Wind 30% </v>
      </c>
      <c r="B74" s="60">
        <f>'Tech Parameters'!J14</f>
        <v>1</v>
      </c>
      <c r="C74" s="186">
        <v>100</v>
      </c>
      <c r="D74" s="186">
        <v>200</v>
      </c>
      <c r="E74" s="186">
        <v>200</v>
      </c>
      <c r="F74" s="186">
        <v>400</v>
      </c>
      <c r="G74" s="186">
        <v>400</v>
      </c>
      <c r="H74" s="186">
        <v>800</v>
      </c>
      <c r="I74" s="186">
        <v>800</v>
      </c>
      <c r="J74" s="186">
        <v>1000</v>
      </c>
      <c r="K74" s="186">
        <v>1000</v>
      </c>
      <c r="L74" s="186">
        <v>1500</v>
      </c>
      <c r="M74" s="186">
        <v>1500</v>
      </c>
      <c r="N74" s="186">
        <v>2000</v>
      </c>
      <c r="O74" s="186">
        <v>0</v>
      </c>
      <c r="P74" s="186">
        <v>0</v>
      </c>
      <c r="Q74" s="186">
        <v>0</v>
      </c>
      <c r="R74" s="186">
        <v>0</v>
      </c>
      <c r="S74" s="186">
        <v>0</v>
      </c>
      <c r="T74" s="186">
        <v>0</v>
      </c>
      <c r="U74" s="186">
        <v>0</v>
      </c>
      <c r="V74" s="186">
        <v>0</v>
      </c>
      <c r="W74" s="186">
        <v>0</v>
      </c>
      <c r="X74" s="338">
        <f t="shared" si="9"/>
        <v>9.9</v>
      </c>
      <c r="BL74" s="11" t="s">
        <v>691</v>
      </c>
      <c r="BM74" t="str">
        <f>VLOOKUP($Z68,$A$40:$W$61,2,FALSE)</f>
        <v>percent</v>
      </c>
    </row>
    <row r="75" spans="1:85">
      <c r="A75" s="56" t="str">
        <f>'Tech Parameters'!B15</f>
        <v>Wind 25%</v>
      </c>
      <c r="B75" s="60">
        <f>'Tech Parameters'!J15</f>
        <v>1</v>
      </c>
      <c r="C75" s="186">
        <v>0</v>
      </c>
      <c r="D75" s="186">
        <v>0</v>
      </c>
      <c r="E75" s="186">
        <v>0</v>
      </c>
      <c r="F75" s="186">
        <v>0</v>
      </c>
      <c r="G75" s="186">
        <v>0</v>
      </c>
      <c r="H75" s="186">
        <v>0</v>
      </c>
      <c r="I75" s="186">
        <v>0</v>
      </c>
      <c r="J75" s="186">
        <v>0</v>
      </c>
      <c r="K75" s="186">
        <v>0</v>
      </c>
      <c r="L75" s="186">
        <v>0</v>
      </c>
      <c r="M75" s="186">
        <v>0</v>
      </c>
      <c r="N75" s="186">
        <v>0</v>
      </c>
      <c r="O75" s="186">
        <v>1000</v>
      </c>
      <c r="P75" s="186">
        <v>1000</v>
      </c>
      <c r="Q75" s="186">
        <v>1000</v>
      </c>
      <c r="R75" s="186">
        <v>1000</v>
      </c>
      <c r="S75" s="186">
        <v>1000</v>
      </c>
      <c r="T75" s="186">
        <v>1000</v>
      </c>
      <c r="U75" s="186">
        <v>1000</v>
      </c>
      <c r="V75" s="186">
        <v>1000</v>
      </c>
      <c r="W75" s="186">
        <v>1000</v>
      </c>
      <c r="X75" s="338">
        <f t="shared" si="9"/>
        <v>9</v>
      </c>
    </row>
    <row r="76" spans="1:85">
      <c r="A76" s="56" t="str">
        <f>'Tech Parameters'!B16</f>
        <v>solar thermal central reciever</v>
      </c>
      <c r="B76" s="60">
        <f>'Tech Parameters'!J16</f>
        <v>100</v>
      </c>
      <c r="C76" s="186">
        <v>0</v>
      </c>
      <c r="D76" s="186">
        <v>0</v>
      </c>
      <c r="E76" s="186">
        <v>0</v>
      </c>
      <c r="F76" s="186">
        <v>0</v>
      </c>
      <c r="G76" s="186">
        <v>0</v>
      </c>
      <c r="H76" s="186">
        <v>1</v>
      </c>
      <c r="I76" s="186">
        <v>2</v>
      </c>
      <c r="J76" s="186">
        <v>4</v>
      </c>
      <c r="K76" s="186">
        <v>8</v>
      </c>
      <c r="L76" s="186">
        <v>12</v>
      </c>
      <c r="M76" s="186">
        <v>16</v>
      </c>
      <c r="N76" s="186">
        <v>20</v>
      </c>
      <c r="O76" s="186">
        <v>20</v>
      </c>
      <c r="P76" s="186">
        <v>30</v>
      </c>
      <c r="Q76" s="186">
        <v>30</v>
      </c>
      <c r="R76" s="186">
        <v>30</v>
      </c>
      <c r="S76" s="186">
        <v>30</v>
      </c>
      <c r="T76" s="186">
        <v>30</v>
      </c>
      <c r="U76" s="186">
        <v>30</v>
      </c>
      <c r="V76" s="186">
        <v>30</v>
      </c>
      <c r="W76" s="186">
        <v>30</v>
      </c>
      <c r="X76" s="338">
        <f t="shared" si="9"/>
        <v>32.299999999999997</v>
      </c>
    </row>
    <row r="77" spans="1:85">
      <c r="A77" s="56" t="str">
        <f>'Tech Parameters'!B17</f>
        <v>solar thermal trough</v>
      </c>
      <c r="B77" s="60">
        <f>'Tech Parameters'!J17</f>
        <v>100</v>
      </c>
      <c r="C77" s="186">
        <v>0</v>
      </c>
      <c r="D77" s="186">
        <v>0</v>
      </c>
      <c r="E77" s="186">
        <v>0</v>
      </c>
      <c r="F77" s="186">
        <v>0</v>
      </c>
      <c r="G77" s="186">
        <v>0</v>
      </c>
      <c r="H77" s="186">
        <v>0</v>
      </c>
      <c r="I77" s="186">
        <v>0</v>
      </c>
      <c r="J77" s="186">
        <v>0</v>
      </c>
      <c r="K77" s="186">
        <v>0</v>
      </c>
      <c r="L77" s="186">
        <v>0</v>
      </c>
      <c r="M77" s="186">
        <v>0</v>
      </c>
      <c r="N77" s="186">
        <v>0</v>
      </c>
      <c r="O77" s="186">
        <v>0</v>
      </c>
      <c r="P77" s="186">
        <v>0</v>
      </c>
      <c r="Q77" s="186">
        <v>0</v>
      </c>
      <c r="R77" s="186">
        <v>0</v>
      </c>
      <c r="S77" s="186">
        <v>0</v>
      </c>
      <c r="T77" s="186">
        <v>0</v>
      </c>
      <c r="U77" s="186">
        <v>0</v>
      </c>
      <c r="V77" s="186">
        <v>0</v>
      </c>
      <c r="W77" s="186">
        <v>0</v>
      </c>
      <c r="X77" s="338">
        <f t="shared" si="9"/>
        <v>0</v>
      </c>
    </row>
    <row r="78" spans="1:85">
      <c r="A78" s="56" t="str">
        <f>'Tech Parameters'!B18</f>
        <v>solar PV</v>
      </c>
      <c r="B78" s="60">
        <f>'Tech Parameters'!J18</f>
        <v>5</v>
      </c>
      <c r="C78" s="186">
        <v>0</v>
      </c>
      <c r="D78" s="186">
        <v>0</v>
      </c>
      <c r="E78" s="186">
        <v>0</v>
      </c>
      <c r="F78" s="186">
        <v>0</v>
      </c>
      <c r="G78" s="186">
        <v>0</v>
      </c>
      <c r="H78" s="186">
        <v>0</v>
      </c>
      <c r="I78" s="186">
        <v>0</v>
      </c>
      <c r="J78" s="186">
        <v>0</v>
      </c>
      <c r="K78" s="186">
        <v>0</v>
      </c>
      <c r="L78" s="186">
        <v>0</v>
      </c>
      <c r="M78" s="186">
        <v>0</v>
      </c>
      <c r="N78" s="186">
        <v>0</v>
      </c>
      <c r="O78" s="186">
        <v>0</v>
      </c>
      <c r="P78" s="186">
        <v>0</v>
      </c>
      <c r="Q78" s="186">
        <v>0</v>
      </c>
      <c r="R78" s="186">
        <v>0</v>
      </c>
      <c r="S78" s="186">
        <v>0</v>
      </c>
      <c r="T78" s="186">
        <v>0</v>
      </c>
      <c r="U78" s="186">
        <v>0</v>
      </c>
      <c r="V78" s="186">
        <v>0</v>
      </c>
      <c r="W78" s="186">
        <v>0</v>
      </c>
      <c r="X78" s="338">
        <f t="shared" si="9"/>
        <v>0</v>
      </c>
    </row>
    <row r="79" spans="1:85">
      <c r="A79" s="56" t="str">
        <f>'Tech Parameters'!B19</f>
        <v>combined cycle gas</v>
      </c>
      <c r="B79" s="60">
        <f>'Tech Parameters'!J19</f>
        <v>387</v>
      </c>
      <c r="C79" s="186">
        <v>0</v>
      </c>
      <c r="D79" s="186">
        <v>0</v>
      </c>
      <c r="E79" s="186">
        <v>0</v>
      </c>
      <c r="F79" s="186">
        <v>0</v>
      </c>
      <c r="G79" s="186">
        <v>0</v>
      </c>
      <c r="H79" s="186">
        <v>0</v>
      </c>
      <c r="I79" s="186">
        <v>0</v>
      </c>
      <c r="J79" s="186">
        <v>0</v>
      </c>
      <c r="K79" s="186">
        <v>0</v>
      </c>
      <c r="L79" s="186">
        <v>0</v>
      </c>
      <c r="M79" s="186">
        <v>0</v>
      </c>
      <c r="N79" s="186">
        <v>0</v>
      </c>
      <c r="O79" s="186">
        <v>0</v>
      </c>
      <c r="P79" s="186">
        <v>0</v>
      </c>
      <c r="Q79" s="186">
        <v>0</v>
      </c>
      <c r="R79" s="186">
        <v>0</v>
      </c>
      <c r="S79" s="186">
        <v>0</v>
      </c>
      <c r="T79" s="186">
        <v>2</v>
      </c>
      <c r="U79" s="186">
        <v>3</v>
      </c>
      <c r="V79" s="186">
        <v>3</v>
      </c>
      <c r="W79" s="186">
        <v>0</v>
      </c>
      <c r="X79" s="338">
        <f t="shared" si="9"/>
        <v>3.0960000000000001</v>
      </c>
    </row>
    <row r="80" spans="1:85">
      <c r="A80" s="56" t="str">
        <f>'Tech Parameters'!B20</f>
        <v>PBMR</v>
      </c>
      <c r="B80" s="60">
        <f>'Tech Parameters'!J20</f>
        <v>165</v>
      </c>
      <c r="C80" s="186">
        <v>0</v>
      </c>
      <c r="D80" s="186">
        <v>0</v>
      </c>
      <c r="E80" s="186">
        <v>0</v>
      </c>
      <c r="F80" s="186">
        <v>0</v>
      </c>
      <c r="G80" s="186">
        <v>0</v>
      </c>
      <c r="H80" s="186">
        <v>0</v>
      </c>
      <c r="I80" s="186">
        <v>0</v>
      </c>
      <c r="J80" s="186">
        <v>0</v>
      </c>
      <c r="K80" s="186">
        <v>0</v>
      </c>
      <c r="L80" s="186">
        <v>0</v>
      </c>
      <c r="M80" s="186">
        <v>0</v>
      </c>
      <c r="N80" s="186">
        <v>0</v>
      </c>
      <c r="O80" s="186">
        <v>0</v>
      </c>
      <c r="P80" s="186">
        <v>0</v>
      </c>
      <c r="Q80" s="186">
        <v>0</v>
      </c>
      <c r="R80" s="186">
        <v>0</v>
      </c>
      <c r="S80" s="186">
        <v>0</v>
      </c>
      <c r="T80" s="186">
        <v>0</v>
      </c>
      <c r="U80" s="186">
        <v>0</v>
      </c>
      <c r="V80" s="186">
        <v>0</v>
      </c>
      <c r="W80" s="186">
        <v>0</v>
      </c>
      <c r="X80" s="338">
        <f t="shared" si="9"/>
        <v>0</v>
      </c>
    </row>
    <row r="81" spans="1:25">
      <c r="A81" s="56" t="str">
        <f>'Tech Parameters'!B21</f>
        <v>IGCC</v>
      </c>
      <c r="B81" s="60">
        <f>'Tech Parameters'!J21</f>
        <v>550</v>
      </c>
      <c r="C81" s="186">
        <v>0</v>
      </c>
      <c r="D81" s="186">
        <v>0</v>
      </c>
      <c r="E81" s="186">
        <v>0</v>
      </c>
      <c r="F81" s="186">
        <v>0</v>
      </c>
      <c r="G81" s="186">
        <v>0</v>
      </c>
      <c r="H81" s="186">
        <v>0</v>
      </c>
      <c r="I81" s="186">
        <v>0</v>
      </c>
      <c r="J81" s="186">
        <v>0</v>
      </c>
      <c r="K81" s="186">
        <v>0</v>
      </c>
      <c r="L81" s="186">
        <v>0</v>
      </c>
      <c r="M81" s="186">
        <v>0</v>
      </c>
      <c r="N81" s="186">
        <v>0</v>
      </c>
      <c r="O81" s="186">
        <v>0</v>
      </c>
      <c r="P81" s="186">
        <v>0</v>
      </c>
      <c r="Q81" s="186">
        <v>0</v>
      </c>
      <c r="R81" s="186">
        <v>0</v>
      </c>
      <c r="S81" s="186">
        <v>0</v>
      </c>
      <c r="T81" s="186">
        <v>0</v>
      </c>
      <c r="U81" s="186">
        <v>0</v>
      </c>
      <c r="V81" s="186">
        <v>1</v>
      </c>
      <c r="W81" s="186">
        <v>1</v>
      </c>
      <c r="X81" s="338">
        <f t="shared" si="9"/>
        <v>1.1000000000000001</v>
      </c>
    </row>
    <row r="82" spans="1:25">
      <c r="A82" s="56" t="str">
        <f>'Tech Parameters'!B22</f>
        <v>-</v>
      </c>
      <c r="B82" s="60">
        <f>'Tech Parameters'!J22</f>
        <v>0</v>
      </c>
      <c r="C82" s="186"/>
      <c r="D82" s="186"/>
      <c r="E82" s="186"/>
      <c r="F82" s="186"/>
      <c r="G82" s="186"/>
      <c r="H82" s="186"/>
      <c r="I82" s="186"/>
      <c r="J82" s="186"/>
      <c r="K82" s="186"/>
      <c r="L82" s="186"/>
      <c r="M82" s="186"/>
      <c r="N82" s="186"/>
      <c r="O82" s="186"/>
      <c r="P82" s="186"/>
      <c r="Q82" s="186"/>
      <c r="R82" s="186"/>
      <c r="S82" s="186"/>
      <c r="T82" s="186"/>
      <c r="U82" s="186"/>
      <c r="V82" s="186"/>
      <c r="W82" s="186"/>
      <c r="X82" s="338">
        <f t="shared" si="9"/>
        <v>0</v>
      </c>
    </row>
    <row r="83" spans="1:25">
      <c r="A83" s="56" t="str">
        <f>'Tech Parameters'!B23</f>
        <v>-</v>
      </c>
      <c r="B83" s="60">
        <f>'Tech Parameters'!J23</f>
        <v>0</v>
      </c>
      <c r="C83" s="186"/>
      <c r="D83" s="186"/>
      <c r="E83" s="186"/>
      <c r="F83" s="186"/>
      <c r="G83" s="186"/>
      <c r="H83" s="186"/>
      <c r="I83" s="186"/>
      <c r="J83" s="186"/>
      <c r="K83" s="186"/>
      <c r="L83" s="186"/>
      <c r="M83" s="186"/>
      <c r="N83" s="186"/>
      <c r="O83" s="186"/>
      <c r="P83" s="186"/>
      <c r="Q83" s="186"/>
      <c r="R83" s="186"/>
      <c r="S83" s="186"/>
      <c r="T83" s="186"/>
      <c r="U83" s="186"/>
      <c r="V83" s="186"/>
      <c r="W83" s="186"/>
      <c r="X83" s="338">
        <f t="shared" si="9"/>
        <v>0</v>
      </c>
    </row>
    <row r="84" spans="1:25">
      <c r="A84" s="56" t="str">
        <f>'Tech Parameters'!B24</f>
        <v>-</v>
      </c>
      <c r="B84" s="60">
        <f>'Tech Parameters'!J24</f>
        <v>0</v>
      </c>
      <c r="C84" s="186"/>
      <c r="D84" s="186"/>
      <c r="E84" s="186"/>
      <c r="F84" s="186"/>
      <c r="G84" s="186"/>
      <c r="H84" s="186"/>
      <c r="I84" s="186"/>
      <c r="J84" s="186"/>
      <c r="K84" s="186"/>
      <c r="L84" s="186"/>
      <c r="M84" s="186"/>
      <c r="N84" s="186"/>
      <c r="O84" s="186"/>
      <c r="P84" s="186"/>
      <c r="Q84" s="186"/>
      <c r="R84" s="186"/>
      <c r="S84" s="186"/>
      <c r="T84" s="186"/>
      <c r="U84" s="186"/>
      <c r="V84" s="186"/>
      <c r="W84" s="186"/>
      <c r="X84" s="338">
        <f t="shared" si="9"/>
        <v>0</v>
      </c>
    </row>
    <row r="85" spans="1:25">
      <c r="A85" s="56" t="str">
        <f>'Tech Parameters'!B25</f>
        <v>Pumped storage</v>
      </c>
      <c r="B85" s="60">
        <f>'Tech Parameters'!J25</f>
        <v>333</v>
      </c>
      <c r="C85" s="186">
        <v>0</v>
      </c>
      <c r="D85" s="186">
        <v>0</v>
      </c>
      <c r="E85" s="186">
        <v>0</v>
      </c>
      <c r="F85" s="186">
        <v>2</v>
      </c>
      <c r="G85" s="186">
        <v>2</v>
      </c>
      <c r="H85" s="186">
        <v>2</v>
      </c>
      <c r="I85" s="186">
        <v>2</v>
      </c>
      <c r="J85" s="186">
        <v>0</v>
      </c>
      <c r="K85" s="186">
        <v>0</v>
      </c>
      <c r="L85" s="186">
        <v>0</v>
      </c>
      <c r="M85" s="186">
        <v>0</v>
      </c>
      <c r="N85" s="186">
        <v>0</v>
      </c>
      <c r="O85" s="186">
        <v>0</v>
      </c>
      <c r="P85" s="186">
        <v>0</v>
      </c>
      <c r="Q85" s="186">
        <v>0</v>
      </c>
      <c r="R85" s="186">
        <v>0</v>
      </c>
      <c r="S85" s="186">
        <v>0</v>
      </c>
      <c r="T85" s="186">
        <v>0</v>
      </c>
      <c r="U85" s="186">
        <v>0</v>
      </c>
      <c r="V85" s="186">
        <v>0</v>
      </c>
      <c r="W85" s="186">
        <v>0</v>
      </c>
      <c r="X85" s="338">
        <f t="shared" si="9"/>
        <v>2.6640000000000001</v>
      </c>
    </row>
    <row r="86" spans="1:25">
      <c r="A86" s="56" t="s">
        <v>248</v>
      </c>
      <c r="B86" s="56">
        <v>1</v>
      </c>
      <c r="C86" s="186">
        <v>0</v>
      </c>
      <c r="D86" s="186">
        <f>C86</f>
        <v>0</v>
      </c>
      <c r="E86" s="186">
        <f t="shared" ref="E86" si="12">D86</f>
        <v>0</v>
      </c>
      <c r="F86" s="186">
        <f t="shared" ref="F86" si="13">E86</f>
        <v>0</v>
      </c>
      <c r="G86" s="186">
        <f t="shared" ref="G86" si="14">F86</f>
        <v>0</v>
      </c>
      <c r="H86" s="186">
        <f t="shared" ref="H86" si="15">G86</f>
        <v>0</v>
      </c>
      <c r="I86" s="186">
        <f t="shared" ref="I86" si="16">H86</f>
        <v>0</v>
      </c>
      <c r="J86" s="186">
        <f t="shared" ref="J86" si="17">I86</f>
        <v>0</v>
      </c>
      <c r="K86" s="186">
        <f t="shared" ref="K86" si="18">J86</f>
        <v>0</v>
      </c>
      <c r="L86" s="186">
        <f t="shared" ref="L86" si="19">K86</f>
        <v>0</v>
      </c>
      <c r="M86" s="186">
        <f t="shared" ref="M86" si="20">L86</f>
        <v>0</v>
      </c>
      <c r="N86" s="186">
        <f t="shared" ref="N86" si="21">M86</f>
        <v>0</v>
      </c>
      <c r="O86" s="186">
        <f t="shared" ref="O86" si="22">N86</f>
        <v>0</v>
      </c>
      <c r="P86" s="186">
        <f t="shared" ref="P86" si="23">O86</f>
        <v>0</v>
      </c>
      <c r="Q86" s="186">
        <f t="shared" ref="Q86" si="24">P86</f>
        <v>0</v>
      </c>
      <c r="R86" s="186">
        <f t="shared" ref="R86" si="25">Q86</f>
        <v>0</v>
      </c>
      <c r="S86" s="186">
        <f t="shared" ref="S86" si="26">R86</f>
        <v>0</v>
      </c>
      <c r="T86" s="186">
        <f t="shared" ref="T86" si="27">S86</f>
        <v>0</v>
      </c>
      <c r="U86" s="186">
        <f t="shared" ref="U86" si="28">T86</f>
        <v>0</v>
      </c>
      <c r="V86" s="186">
        <f t="shared" ref="V86" si="29">U86</f>
        <v>0</v>
      </c>
      <c r="W86" s="186">
        <f t="shared" ref="W86" si="30">V86</f>
        <v>0</v>
      </c>
      <c r="X86" s="338">
        <f t="shared" si="9"/>
        <v>0</v>
      </c>
    </row>
    <row r="87" spans="1:25">
      <c r="A87" s="91" t="s">
        <v>350</v>
      </c>
      <c r="B87" s="91"/>
      <c r="C87" s="34" t="s">
        <v>349</v>
      </c>
      <c r="D87" s="58"/>
      <c r="E87" s="87">
        <f ca="1">'Alt scen Calcs'!BE581/1000</f>
        <v>705.0989169107645</v>
      </c>
      <c r="F87" s="58"/>
      <c r="G87" s="34" t="s">
        <v>351</v>
      </c>
      <c r="H87" s="58"/>
      <c r="I87" s="85">
        <f ca="1">'Alt scen Calcs'!BC581/1000</f>
        <v>1008.5879015295272</v>
      </c>
      <c r="K87" s="313" t="s">
        <v>649</v>
      </c>
      <c r="L87" s="313"/>
      <c r="M87" s="313"/>
      <c r="O87" s="181" t="s">
        <v>349</v>
      </c>
      <c r="P87" s="58"/>
      <c r="Q87" s="85">
        <f ca="1">'Alt scen Calcs'!BE582/1000</f>
        <v>1229.208851020147</v>
      </c>
      <c r="R87" s="58"/>
      <c r="S87" s="181" t="s">
        <v>351</v>
      </c>
      <c r="T87" s="58"/>
      <c r="U87" s="317">
        <f ca="1">'Alt scen Calcs'!BC582/1000</f>
        <v>1652.1092313417701</v>
      </c>
      <c r="W87" s="21"/>
    </row>
    <row r="88" spans="1:25">
      <c r="A88" s="57" t="s">
        <v>305</v>
      </c>
      <c r="B88" s="56" t="s">
        <v>338</v>
      </c>
      <c r="C88" s="21"/>
      <c r="D88" s="21"/>
      <c r="X88" s="11" t="s">
        <v>732</v>
      </c>
    </row>
    <row r="89" spans="1:25">
      <c r="A89" s="56" t="s">
        <v>304</v>
      </c>
      <c r="B89" s="327">
        <v>2.9999999999999997E-4</v>
      </c>
      <c r="C89" s="327">
        <f>'Alt scen Calcs'!I35</f>
        <v>2.2169999999999999E-2</v>
      </c>
      <c r="D89" s="327">
        <f>'Alt scen Calcs'!J35</f>
        <v>5.4799999999999996E-3</v>
      </c>
      <c r="E89" s="327">
        <f>'Alt scen Calcs'!K35</f>
        <v>6.9300000000000004E-3</v>
      </c>
      <c r="F89" s="327">
        <f>'Alt scen Calcs'!L35</f>
        <v>6.2E-4</v>
      </c>
      <c r="G89" s="327">
        <f>'Alt scen Calcs'!M35</f>
        <v>2.0000000000000002E-5</v>
      </c>
      <c r="H89" s="327">
        <f>'Alt scen Calcs'!N35</f>
        <v>0</v>
      </c>
      <c r="I89" s="327">
        <f>'Alt scen Calcs'!O35</f>
        <v>0</v>
      </c>
      <c r="J89" s="327">
        <f>'Alt scen Calcs'!P35</f>
        <v>0</v>
      </c>
      <c r="K89" s="327">
        <f>'Alt scen Calcs'!Q35</f>
        <v>0</v>
      </c>
      <c r="L89" s="327">
        <f>'Alt scen Calcs'!R35</f>
        <v>0</v>
      </c>
      <c r="M89" s="327">
        <f>'Alt scen Calcs'!S35</f>
        <v>0</v>
      </c>
      <c r="N89" s="327">
        <f>'Alt scen Calcs'!T35</f>
        <v>0</v>
      </c>
      <c r="O89" s="327">
        <f>'Alt scen Calcs'!U35</f>
        <v>0</v>
      </c>
      <c r="P89" s="327">
        <f>'Alt scen Calcs'!V35</f>
        <v>0</v>
      </c>
      <c r="Q89" s="327">
        <f>'Alt scen Calcs'!W35</f>
        <v>0</v>
      </c>
      <c r="R89" s="327">
        <f>'Alt scen Calcs'!X35</f>
        <v>0</v>
      </c>
      <c r="S89" s="327">
        <f>'Alt scen Calcs'!Y35</f>
        <v>0</v>
      </c>
      <c r="T89" s="327">
        <f>'Alt scen Calcs'!Z35</f>
        <v>0</v>
      </c>
      <c r="U89" s="327">
        <f>'Alt scen Calcs'!AA35</f>
        <v>0</v>
      </c>
      <c r="V89" s="327">
        <f>'Alt scen Calcs'!AB35</f>
        <v>0</v>
      </c>
      <c r="W89" s="327">
        <f>'Alt scen Calcs'!AC35</f>
        <v>0</v>
      </c>
      <c r="X89" s="344" t="str">
        <f>'Alt scen Calcs'!C5</f>
        <v>19/11/2009 11:21:49 AM</v>
      </c>
      <c r="Y89" s="344"/>
    </row>
    <row r="90" spans="1:25">
      <c r="A90" s="187" t="s">
        <v>355</v>
      </c>
      <c r="B90" s="70">
        <v>0.15</v>
      </c>
      <c r="C90" s="89">
        <f ca="1">VALUE(VLOOKUP($A90,$A$99:$W$102,C$6-2007,FALSE))</f>
        <v>0.154</v>
      </c>
      <c r="D90" s="89">
        <f t="shared" ref="D90:W90" ca="1" si="31">VALUE(VLOOKUP($A90,$A$99:$W$102,D$6-2007,FALSE))</f>
        <v>0.17100000000000001</v>
      </c>
      <c r="E90" s="89">
        <f t="shared" ca="1" si="31"/>
        <v>0.16600000000000001</v>
      </c>
      <c r="F90" s="89">
        <f t="shared" ca="1" si="31"/>
        <v>0.19400000000000001</v>
      </c>
      <c r="G90" s="89">
        <f t="shared" ca="1" si="31"/>
        <v>0.23200000000000001</v>
      </c>
      <c r="H90" s="89">
        <f t="shared" ca="1" si="31"/>
        <v>0.27300000000000002</v>
      </c>
      <c r="I90" s="89">
        <f t="shared" ca="1" si="31"/>
        <v>0.29299999999999998</v>
      </c>
      <c r="J90" s="89">
        <f t="shared" ca="1" si="31"/>
        <v>0.28699999999999998</v>
      </c>
      <c r="K90" s="89">
        <f t="shared" ca="1" si="31"/>
        <v>0.27100000000000002</v>
      </c>
      <c r="L90" s="89">
        <f t="shared" ca="1" si="31"/>
        <v>0.26500000000000001</v>
      </c>
      <c r="M90" s="89">
        <f t="shared" ca="1" si="31"/>
        <v>0.248</v>
      </c>
      <c r="N90" s="89">
        <f t="shared" ca="1" si="31"/>
        <v>0.24099999999999999</v>
      </c>
      <c r="O90" s="89">
        <f t="shared" ca="1" si="31"/>
        <v>0.247</v>
      </c>
      <c r="P90" s="89">
        <f t="shared" ca="1" si="31"/>
        <v>0.26900000000000002</v>
      </c>
      <c r="Q90" s="89">
        <f t="shared" ca="1" si="31"/>
        <v>0.26800000000000002</v>
      </c>
      <c r="R90" s="89">
        <f t="shared" ca="1" si="31"/>
        <v>0.25800000000000001</v>
      </c>
      <c r="S90" s="89">
        <f t="shared" ca="1" si="31"/>
        <v>0.252</v>
      </c>
      <c r="T90" s="89">
        <f t="shared" ca="1" si="31"/>
        <v>0.254</v>
      </c>
      <c r="U90" s="89">
        <f t="shared" ca="1" si="31"/>
        <v>0.255</v>
      </c>
      <c r="V90" s="89">
        <f t="shared" ca="1" si="31"/>
        <v>0.24399999999999999</v>
      </c>
      <c r="W90" s="89">
        <f t="shared" ca="1" si="31"/>
        <v>0.25</v>
      </c>
    </row>
    <row r="91" spans="1:25">
      <c r="A91" s="339" t="s">
        <v>722</v>
      </c>
      <c r="B91" s="70">
        <v>0.1</v>
      </c>
      <c r="C91" s="89">
        <f ca="1">(SUM('Alt scen Calcs'!I$173:I$192)+SUM('Alt scen Calcs'!I$195:I$214))/('Alt scen Calcs'!I$266+'Alt scen Calcs'!I$267+'Alt scen Calcs'!I$268-'Alt scen Calcs'!I$269)-1</f>
        <v>0.1713279120478608</v>
      </c>
      <c r="D91" s="89">
        <f ca="1">(SUM('Alt scen Calcs'!J$173:J$192)+SUM('Alt scen Calcs'!J$195:J$214))/('Alt scen Calcs'!J$266+'Alt scen Calcs'!J$267+'Alt scen Calcs'!J$268-'Alt scen Calcs'!J$269)-1</f>
        <v>0.16444788966964929</v>
      </c>
      <c r="E91" s="89">
        <f ca="1">(SUM('Alt scen Calcs'!K$173:K$192)+SUM('Alt scen Calcs'!K$195:K$214))/('Alt scen Calcs'!K$266+'Alt scen Calcs'!K$267+'Alt scen Calcs'!K$268-'Alt scen Calcs'!K$269)-1</f>
        <v>0.16268598660909328</v>
      </c>
      <c r="F91" s="89">
        <f ca="1">(SUM('Alt scen Calcs'!L$173:L$192)+SUM('Alt scen Calcs'!L$195:L$214))/('Alt scen Calcs'!L$266+'Alt scen Calcs'!L$267+'Alt scen Calcs'!L$268-'Alt scen Calcs'!L$269)-1</f>
        <v>0.17810289952069236</v>
      </c>
      <c r="G91" s="89">
        <f ca="1">(SUM('Alt scen Calcs'!M$173:M$192)+SUM('Alt scen Calcs'!M$195:M$214))/('Alt scen Calcs'!M$266+'Alt scen Calcs'!M$267+'Alt scen Calcs'!M$268-'Alt scen Calcs'!M$269)-1</f>
        <v>0.20712444881430248</v>
      </c>
      <c r="H91" s="89">
        <f ca="1">(SUM('Alt scen Calcs'!N$173:N$192)+SUM('Alt scen Calcs'!N$195:N$214))/('Alt scen Calcs'!N$266+'Alt scen Calcs'!N$267+'Alt scen Calcs'!N$268-'Alt scen Calcs'!N$269)-1</f>
        <v>0.23993258457103228</v>
      </c>
      <c r="I91" s="89">
        <f ca="1">(SUM('Alt scen Calcs'!O$173:O$192)+SUM('Alt scen Calcs'!O$195:O$214))/('Alt scen Calcs'!O$266+'Alt scen Calcs'!O$267+'Alt scen Calcs'!O$268-'Alt scen Calcs'!O$269)-1</f>
        <v>0.24984304373373312</v>
      </c>
      <c r="J91" s="89">
        <f ca="1">(SUM('Alt scen Calcs'!P$173:P$192)+SUM('Alt scen Calcs'!P$195:P$214))/('Alt scen Calcs'!P$266+'Alt scen Calcs'!P$267+'Alt scen Calcs'!P$268-'Alt scen Calcs'!P$269)-1</f>
        <v>0.24865574306703353</v>
      </c>
      <c r="K91" s="89">
        <f ca="1">(SUM('Alt scen Calcs'!Q$173:Q$192)+SUM('Alt scen Calcs'!Q$195:Q$214))/('Alt scen Calcs'!Q$266+'Alt scen Calcs'!Q$267+'Alt scen Calcs'!Q$268-'Alt scen Calcs'!Q$269)-1</f>
        <v>0.2334121858853595</v>
      </c>
      <c r="L91" s="89">
        <f ca="1">(SUM('Alt scen Calcs'!R$173:R$192)+SUM('Alt scen Calcs'!R$195:R$214))/('Alt scen Calcs'!R$266+'Alt scen Calcs'!R$267+'Alt scen Calcs'!R$268-'Alt scen Calcs'!R$269)-1</f>
        <v>0.22775626567010709</v>
      </c>
      <c r="M91" s="89">
        <f ca="1">(SUM('Alt scen Calcs'!S$173:S$192)+SUM('Alt scen Calcs'!S$195:S$214))/('Alt scen Calcs'!S$266+'Alt scen Calcs'!S$267+'Alt scen Calcs'!S$268-'Alt scen Calcs'!S$269)-1</f>
        <v>0.20980304009416306</v>
      </c>
      <c r="N91" s="89">
        <f ca="1">(SUM('Alt scen Calcs'!T$173:T$192)+SUM('Alt scen Calcs'!T$195:T$214))/('Alt scen Calcs'!T$266+'Alt scen Calcs'!T$267+'Alt scen Calcs'!T$268-'Alt scen Calcs'!T$269)-1</f>
        <v>0.20086645389847413</v>
      </c>
      <c r="O91" s="89">
        <f ca="1">(SUM('Alt scen Calcs'!U$173:U$192)+SUM('Alt scen Calcs'!U$195:U$214))/('Alt scen Calcs'!U$266+'Alt scen Calcs'!U$267+'Alt scen Calcs'!U$268-'Alt scen Calcs'!U$269)-1</f>
        <v>0.20197773604483937</v>
      </c>
      <c r="P91" s="89">
        <f ca="1">(SUM('Alt scen Calcs'!V$173:V$192)+SUM('Alt scen Calcs'!V$195:V$214))/('Alt scen Calcs'!V$266+'Alt scen Calcs'!V$267+'Alt scen Calcs'!V$268-'Alt scen Calcs'!V$269)-1</f>
        <v>0.21487021315637178</v>
      </c>
      <c r="Q91" s="89">
        <f ca="1">(SUM('Alt scen Calcs'!W$173:W$192)+SUM('Alt scen Calcs'!W$195:W$214))/('Alt scen Calcs'!W$266+'Alt scen Calcs'!W$267+'Alt scen Calcs'!W$268-'Alt scen Calcs'!W$269)-1</f>
        <v>0.20311805152660201</v>
      </c>
      <c r="R91" s="89">
        <f ca="1">(SUM('Alt scen Calcs'!X$173:X$192)+SUM('Alt scen Calcs'!X$195:X$214))/('Alt scen Calcs'!X$266+'Alt scen Calcs'!X$267+'Alt scen Calcs'!X$268-'Alt scen Calcs'!X$269)-1</f>
        <v>0.18272740605777593</v>
      </c>
      <c r="S91" s="89">
        <f ca="1">(SUM('Alt scen Calcs'!Y$173:Y$192)+SUM('Alt scen Calcs'!Y$195:Y$214))/('Alt scen Calcs'!Y$266+'Alt scen Calcs'!Y$267+'Alt scen Calcs'!Y$268-'Alt scen Calcs'!Y$269)-1</f>
        <v>0.15664169656943083</v>
      </c>
      <c r="T91" s="89">
        <f ca="1">(SUM('Alt scen Calcs'!Z$173:Z$192)+SUM('Alt scen Calcs'!Z$195:Z$214))/('Alt scen Calcs'!Z$266+'Alt scen Calcs'!Z$267+'Alt scen Calcs'!Z$268-'Alt scen Calcs'!Z$269)-1</f>
        <v>0.15141937080735102</v>
      </c>
      <c r="U91" s="89">
        <f ca="1">(SUM('Alt scen Calcs'!AA$173:AA$192)+SUM('Alt scen Calcs'!AA$195:AA$214))/('Alt scen Calcs'!AA$266+'Alt scen Calcs'!AA$267+'Alt scen Calcs'!AA$268-'Alt scen Calcs'!AA$269)-1</f>
        <v>0.14719192031490591</v>
      </c>
      <c r="V91" s="89">
        <f ca="1">(SUM('Alt scen Calcs'!AB$173:AB$192)+SUM('Alt scen Calcs'!AB$195:AB$214))/('Alt scen Calcs'!AB$266+'Alt scen Calcs'!AB$267+'Alt scen Calcs'!AB$268-'Alt scen Calcs'!AB$269)-1</f>
        <v>0.12376716922331488</v>
      </c>
      <c r="W91" s="89">
        <f ca="1">(SUM('Alt scen Calcs'!AC$173:AC$192)+SUM('Alt scen Calcs'!AC$195:AC$214))/('Alt scen Calcs'!AC$266+'Alt scen Calcs'!AC$267+'Alt scen Calcs'!AC$268-'Alt scen Calcs'!AC$269)-1</f>
        <v>0.11876326350951194</v>
      </c>
    </row>
    <row r="92" spans="1:25">
      <c r="A92" s="56" t="s">
        <v>303</v>
      </c>
      <c r="B92" s="56">
        <v>0</v>
      </c>
      <c r="C92" s="56">
        <f ca="1">'Alt scen Calcs'!I364</f>
        <v>0</v>
      </c>
      <c r="D92" s="56">
        <f ca="1">'Alt scen Calcs'!J364</f>
        <v>0</v>
      </c>
      <c r="E92" s="56">
        <f ca="1">'Alt scen Calcs'!K364</f>
        <v>0</v>
      </c>
      <c r="F92" s="56">
        <f ca="1">'Alt scen Calcs'!L364</f>
        <v>0</v>
      </c>
      <c r="G92" s="56">
        <f ca="1">'Alt scen Calcs'!M364</f>
        <v>0</v>
      </c>
      <c r="H92" s="56">
        <f ca="1">'Alt scen Calcs'!N364</f>
        <v>0</v>
      </c>
      <c r="I92" s="56">
        <f ca="1">'Alt scen Calcs'!O364</f>
        <v>0</v>
      </c>
      <c r="J92" s="56">
        <f ca="1">'Alt scen Calcs'!P364</f>
        <v>0</v>
      </c>
      <c r="K92" s="56">
        <f ca="1">'Alt scen Calcs'!Q364</f>
        <v>0</v>
      </c>
      <c r="L92" s="56">
        <f ca="1">'Alt scen Calcs'!R364</f>
        <v>0</v>
      </c>
      <c r="M92" s="56">
        <f ca="1">'Alt scen Calcs'!S364</f>
        <v>0</v>
      </c>
      <c r="N92" s="56">
        <f ca="1">'Alt scen Calcs'!T364</f>
        <v>0</v>
      </c>
      <c r="O92" s="56">
        <f ca="1">'Alt scen Calcs'!U364</f>
        <v>0</v>
      </c>
      <c r="P92" s="56">
        <f ca="1">'Alt scen Calcs'!V364</f>
        <v>0</v>
      </c>
      <c r="Q92" s="56">
        <f ca="1">'Alt scen Calcs'!W364</f>
        <v>0</v>
      </c>
      <c r="R92" s="56">
        <f ca="1">'Alt scen Calcs'!X364</f>
        <v>0</v>
      </c>
      <c r="S92" s="56">
        <f ca="1">'Alt scen Calcs'!Y364</f>
        <v>0</v>
      </c>
      <c r="T92" s="56">
        <f ca="1">'Alt scen Calcs'!Z364</f>
        <v>0</v>
      </c>
      <c r="U92" s="56">
        <f ca="1">'Alt scen Calcs'!AA364</f>
        <v>0</v>
      </c>
      <c r="V92" s="56">
        <f ca="1">'Alt scen Calcs'!AB364</f>
        <v>0</v>
      </c>
      <c r="W92" s="56">
        <f ca="1">'Alt scen Calcs'!AC364</f>
        <v>0</v>
      </c>
    </row>
    <row r="93" spans="1:25">
      <c r="A93" s="57" t="s">
        <v>339</v>
      </c>
      <c r="B93" s="21"/>
      <c r="C93" s="21"/>
      <c r="D93" s="21"/>
      <c r="E93" s="21"/>
      <c r="F93" s="21"/>
      <c r="G93" s="21"/>
      <c r="H93" s="21"/>
      <c r="I93" s="21"/>
      <c r="J93" s="21"/>
      <c r="K93" s="21"/>
      <c r="L93" s="21"/>
      <c r="M93" s="21"/>
      <c r="N93" s="21"/>
      <c r="O93" s="21"/>
      <c r="P93" s="21"/>
    </row>
    <row r="94" spans="1:25">
      <c r="A94" s="187" t="s">
        <v>697</v>
      </c>
      <c r="B94" s="90" t="str">
        <f>VLOOKUP($A94,$A$99:$W$114,2,FALSE)</f>
        <v>kg/kWh</v>
      </c>
      <c r="C94" s="90">
        <f t="shared" ref="C94:L96" ca="1" si="32">VLOOKUP($A94,$A$99:$W$121,C$6-2007,FALSE)</f>
        <v>0.96177880045855879</v>
      </c>
      <c r="D94" s="90">
        <f t="shared" ca="1" si="32"/>
        <v>0.96102504869828576</v>
      </c>
      <c r="E94" s="90">
        <f t="shared" ca="1" si="32"/>
        <v>0.95943829848351569</v>
      </c>
      <c r="F94" s="90">
        <f t="shared" ca="1" si="32"/>
        <v>0.95751920816280767</v>
      </c>
      <c r="G94" s="90">
        <f t="shared" ca="1" si="32"/>
        <v>0.95546667311422395</v>
      </c>
      <c r="H94" s="90">
        <f t="shared" ca="1" si="32"/>
        <v>0.94777355733293767</v>
      </c>
      <c r="I94" s="90">
        <f t="shared" ca="1" si="32"/>
        <v>0.93873204923794695</v>
      </c>
      <c r="J94" s="90">
        <f t="shared" ca="1" si="32"/>
        <v>0.92372010484513811</v>
      </c>
      <c r="K94" s="90">
        <f t="shared" ca="1" si="32"/>
        <v>0.90313704021843044</v>
      </c>
      <c r="L94" s="90">
        <f t="shared" ca="1" si="32"/>
        <v>0.87367067193931236</v>
      </c>
      <c r="M94" s="90">
        <f t="shared" ref="M94:W96" ca="1" si="33">VLOOKUP($A94,$A$99:$W$121,M$6-2007,FALSE)</f>
        <v>0.83816238035214718</v>
      </c>
      <c r="N94" s="90">
        <f t="shared" ca="1" si="33"/>
        <v>0.79533503709947062</v>
      </c>
      <c r="O94" s="90">
        <f t="shared" ca="1" si="33"/>
        <v>0.7651170189565587</v>
      </c>
      <c r="P94" s="90">
        <f t="shared" ca="1" si="33"/>
        <v>0.72232209067014286</v>
      </c>
      <c r="Q94" s="90">
        <f t="shared" ca="1" si="33"/>
        <v>0.68214949027027505</v>
      </c>
      <c r="R94" s="90">
        <f t="shared" ca="1" si="33"/>
        <v>0.64424510593611894</v>
      </c>
      <c r="S94" s="90">
        <f t="shared" ca="1" si="33"/>
        <v>0.6085513582982135</v>
      </c>
      <c r="T94" s="90">
        <f t="shared" ca="1" si="33"/>
        <v>0.5717680562525147</v>
      </c>
      <c r="U94" s="90">
        <f t="shared" ca="1" si="33"/>
        <v>0.53520389518575451</v>
      </c>
      <c r="V94" s="90">
        <f t="shared" ca="1" si="33"/>
        <v>0.49899279881892639</v>
      </c>
      <c r="W94" s="90">
        <f t="shared" ca="1" si="33"/>
        <v>0.46951562986554118</v>
      </c>
    </row>
    <row r="95" spans="1:25">
      <c r="A95" s="187" t="s">
        <v>341</v>
      </c>
      <c r="B95" s="90" t="str">
        <f>VLOOKUP($A95,$A$99:$W$113,2,FALSE)</f>
        <v>percent</v>
      </c>
      <c r="C95" s="90" t="str">
        <f t="shared" ca="1" si="32"/>
        <v>1.3%</v>
      </c>
      <c r="D95" s="90" t="str">
        <f t="shared" ca="1" si="32"/>
        <v>1.4%</v>
      </c>
      <c r="E95" s="90" t="str">
        <f t="shared" ca="1" si="32"/>
        <v>1.6%</v>
      </c>
      <c r="F95" s="90" t="str">
        <f t="shared" ca="1" si="32"/>
        <v>2.0%</v>
      </c>
      <c r="G95" s="90" t="str">
        <f t="shared" ca="1" si="32"/>
        <v>2.3%</v>
      </c>
      <c r="H95" s="90" t="str">
        <f t="shared" ca="1" si="32"/>
        <v>3.1%</v>
      </c>
      <c r="I95" s="90" t="str">
        <f t="shared" ca="1" si="32"/>
        <v>4.1%</v>
      </c>
      <c r="J95" s="90" t="str">
        <f t="shared" ca="1" si="32"/>
        <v>5.5%</v>
      </c>
      <c r="K95" s="90" t="str">
        <f t="shared" ca="1" si="32"/>
        <v>7.6%</v>
      </c>
      <c r="L95" s="90" t="str">
        <f t="shared" ca="1" si="32"/>
        <v>10.5%</v>
      </c>
      <c r="M95" s="90" t="str">
        <f t="shared" ca="1" si="33"/>
        <v>13.9%</v>
      </c>
      <c r="N95" s="90" t="str">
        <f t="shared" ca="1" si="33"/>
        <v>18.1%</v>
      </c>
      <c r="O95" s="90" t="str">
        <f t="shared" ca="1" si="33"/>
        <v>21.2%</v>
      </c>
      <c r="P95" s="90" t="str">
        <f t="shared" ca="1" si="33"/>
        <v>25.5%</v>
      </c>
      <c r="Q95" s="90" t="str">
        <f t="shared" ca="1" si="33"/>
        <v>29.5%</v>
      </c>
      <c r="R95" s="90" t="str">
        <f t="shared" ca="1" si="33"/>
        <v>33.3%</v>
      </c>
      <c r="S95" s="90" t="str">
        <f t="shared" ca="1" si="33"/>
        <v>36.7%</v>
      </c>
      <c r="T95" s="90" t="str">
        <f t="shared" ca="1" si="33"/>
        <v>39.9%</v>
      </c>
      <c r="U95" s="90" t="str">
        <f t="shared" ca="1" si="33"/>
        <v>42.8%</v>
      </c>
      <c r="V95" s="90" t="str">
        <f t="shared" ca="1" si="33"/>
        <v>45.5%</v>
      </c>
      <c r="W95" s="90" t="str">
        <f t="shared" ca="1" si="33"/>
        <v>48.4%</v>
      </c>
    </row>
    <row r="96" spans="1:25">
      <c r="A96" s="187" t="s">
        <v>289</v>
      </c>
      <c r="B96" s="90" t="str">
        <f>VLOOKUP($A96,$A$99:$W$113,2,FALSE)</f>
        <v>Mt CO2-eq</v>
      </c>
      <c r="C96" s="90">
        <f t="shared" ca="1" si="32"/>
        <v>235.99719359076568</v>
      </c>
      <c r="D96" s="90">
        <f t="shared" ca="1" si="32"/>
        <v>240.61223271830576</v>
      </c>
      <c r="E96" s="90">
        <f t="shared" ca="1" si="32"/>
        <v>245.94370237257172</v>
      </c>
      <c r="F96" s="90">
        <f t="shared" ca="1" si="32"/>
        <v>252.03726263855805</v>
      </c>
      <c r="G96" s="90">
        <f t="shared" ca="1" si="32"/>
        <v>259.54553051647986</v>
      </c>
      <c r="H96" s="90">
        <f t="shared" ca="1" si="32"/>
        <v>265.34315015229953</v>
      </c>
      <c r="I96" s="90">
        <f t="shared" ca="1" si="32"/>
        <v>271.05838016721037</v>
      </c>
      <c r="J96" s="90">
        <f t="shared" ca="1" si="32"/>
        <v>274.70492799235382</v>
      </c>
      <c r="K96" s="90">
        <f t="shared" ca="1" si="32"/>
        <v>276.81469963138107</v>
      </c>
      <c r="L96" s="90">
        <f t="shared" ca="1" si="32"/>
        <v>276.11946322980771</v>
      </c>
      <c r="M96" s="90">
        <f t="shared" ca="1" si="33"/>
        <v>272.93586801804241</v>
      </c>
      <c r="N96" s="90">
        <f t="shared" ca="1" si="33"/>
        <v>267.01756033867656</v>
      </c>
      <c r="O96" s="90">
        <f t="shared" ca="1" si="33"/>
        <v>264.7098873260955</v>
      </c>
      <c r="P96" s="90">
        <f t="shared" ca="1" si="33"/>
        <v>257.8150253708103</v>
      </c>
      <c r="Q96" s="90">
        <f t="shared" ca="1" si="33"/>
        <v>251.20654868022288</v>
      </c>
      <c r="R96" s="90">
        <f t="shared" ca="1" si="33"/>
        <v>244.8708237650898</v>
      </c>
      <c r="S96" s="90">
        <f t="shared" ca="1" si="33"/>
        <v>239.08072086545238</v>
      </c>
      <c r="T96" s="90">
        <f t="shared" ca="1" si="33"/>
        <v>232.24683091927332</v>
      </c>
      <c r="U96" s="90">
        <f t="shared" ca="1" si="33"/>
        <v>224.74813490585819</v>
      </c>
      <c r="V96" s="90">
        <f t="shared" ca="1" si="33"/>
        <v>216.5433000446466</v>
      </c>
      <c r="W96" s="90">
        <f t="shared" ca="1" si="33"/>
        <v>208.54825066514221</v>
      </c>
    </row>
    <row r="98" spans="1:23">
      <c r="A98" s="57" t="s">
        <v>340</v>
      </c>
      <c r="B98" s="4" t="s">
        <v>16</v>
      </c>
    </row>
    <row r="99" spans="1:23">
      <c r="A99" s="58" t="str">
        <f>'Alt scen Calcs'!C44</f>
        <v>Reserve (AF) - domestic capacity only</v>
      </c>
      <c r="B99" s="58" t="s">
        <v>362</v>
      </c>
      <c r="C99" s="84" t="str">
        <f ca="1">TEXT('Alt scen Calcs'!I44,"#0.0%")</f>
        <v>11.6%</v>
      </c>
      <c r="D99" s="84" t="str">
        <f ca="1">TEXT('Alt scen Calcs'!J44,"#0.0%")</f>
        <v>13.3%</v>
      </c>
      <c r="E99" s="84" t="str">
        <f ca="1">TEXT('Alt scen Calcs'!K44,"#0.0%")</f>
        <v>12.9%</v>
      </c>
      <c r="F99" s="84" t="str">
        <f ca="1">TEXT('Alt scen Calcs'!L44,"#0.0%")</f>
        <v>15.8%</v>
      </c>
      <c r="G99" s="84" t="str">
        <f ca="1">TEXT('Alt scen Calcs'!M44,"#0.0%")</f>
        <v>19.7%</v>
      </c>
      <c r="H99" s="84" t="str">
        <f ca="1">TEXT('Alt scen Calcs'!N44,"#0.0%")</f>
        <v>23.9%</v>
      </c>
      <c r="I99" s="84" t="str">
        <f ca="1">TEXT('Alt scen Calcs'!O44,"#0.0%")</f>
        <v>26.0%</v>
      </c>
      <c r="J99" s="84" t="str">
        <f ca="1">TEXT('Alt scen Calcs'!P44,"#0.0%")</f>
        <v>25.5%</v>
      </c>
      <c r="K99" s="84" t="str">
        <f ca="1">TEXT('Alt scen Calcs'!Q44,"#0.0%")</f>
        <v>24.0%</v>
      </c>
      <c r="L99" s="84" t="str">
        <f ca="1">TEXT('Alt scen Calcs'!R44,"#0.0%")</f>
        <v>23.4%</v>
      </c>
      <c r="M99" s="84" t="str">
        <f ca="1">TEXT('Alt scen Calcs'!S44,"#0.0%")</f>
        <v>21.9%</v>
      </c>
      <c r="N99" s="84" t="str">
        <f ca="1">TEXT('Alt scen Calcs'!T44,"#0.0%")</f>
        <v>21.3%</v>
      </c>
      <c r="O99" s="84" t="str">
        <f ca="1">TEXT('Alt scen Calcs'!U44,"#0.0%")</f>
        <v>22.0%</v>
      </c>
      <c r="P99" s="84" t="str">
        <f ca="1">TEXT('Alt scen Calcs'!V44,"#0.0%")</f>
        <v>24.2%</v>
      </c>
      <c r="Q99" s="84" t="str">
        <f ca="1">TEXT('Alt scen Calcs'!W44,"#0.0%")</f>
        <v>24.1%</v>
      </c>
      <c r="R99" s="84" t="str">
        <f ca="1">TEXT('Alt scen Calcs'!X44,"#0.0%")</f>
        <v>23.2%</v>
      </c>
      <c r="S99" s="84" t="str">
        <f ca="1">TEXT('Alt scen Calcs'!Y44,"#0.0%")</f>
        <v>22.8%</v>
      </c>
      <c r="T99" s="84" t="str">
        <f ca="1">TEXT('Alt scen Calcs'!Z44,"#0.0%")</f>
        <v>23.0%</v>
      </c>
      <c r="U99" s="84" t="str">
        <f ca="1">TEXT('Alt scen Calcs'!AA44,"#0.0%")</f>
        <v>23.2%</v>
      </c>
      <c r="V99" s="84" t="str">
        <f ca="1">TEXT('Alt scen Calcs'!AB44,"#0.0%")</f>
        <v>22.2%</v>
      </c>
      <c r="W99" s="84" t="str">
        <f ca="1">TEXT('Alt scen Calcs'!AC44,"#0.0%")</f>
        <v>22.8%</v>
      </c>
    </row>
    <row r="100" spans="1:23">
      <c r="A100" s="58" t="str">
        <f>'Alt scen Calcs'!C45</f>
        <v>Reserve (AF) - including interruptible supply</v>
      </c>
      <c r="B100" s="58" t="s">
        <v>362</v>
      </c>
      <c r="C100" s="84" t="str">
        <f ca="1">TEXT('Alt scen Calcs'!I45,"#0.0%")</f>
        <v>19.4%</v>
      </c>
      <c r="D100" s="84" t="str">
        <f ca="1">TEXT('Alt scen Calcs'!J45,"#0.0%")</f>
        <v>21.1%</v>
      </c>
      <c r="E100" s="84" t="str">
        <f ca="1">TEXT('Alt scen Calcs'!K45,"#0.0%")</f>
        <v>20.4%</v>
      </c>
      <c r="F100" s="84" t="str">
        <f ca="1">TEXT('Alt scen Calcs'!L45,"#0.0%")</f>
        <v>21.6%</v>
      </c>
      <c r="G100" s="84" t="str">
        <f ca="1">TEXT('Alt scen Calcs'!M45,"#0.0%")</f>
        <v>23.8%</v>
      </c>
      <c r="H100" s="84" t="str">
        <f ca="1">TEXT('Alt scen Calcs'!N45,"#0.0%")</f>
        <v>28.1%</v>
      </c>
      <c r="I100" s="84" t="str">
        <f ca="1">TEXT('Alt scen Calcs'!O45,"#0.0%")</f>
        <v>30.1%</v>
      </c>
      <c r="J100" s="84" t="str">
        <f ca="1">TEXT('Alt scen Calcs'!P45,"#0.0%")</f>
        <v>29.5%</v>
      </c>
      <c r="K100" s="84" t="str">
        <f ca="1">TEXT('Alt scen Calcs'!Q45,"#0.0%")</f>
        <v>27.7%</v>
      </c>
      <c r="L100" s="84" t="str">
        <f ca="1">TEXT('Alt scen Calcs'!R45,"#0.0%")</f>
        <v>27.0%</v>
      </c>
      <c r="M100" s="84" t="str">
        <f ca="1">TEXT('Alt scen Calcs'!S45,"#0.0%")</f>
        <v>25.3%</v>
      </c>
      <c r="N100" s="84" t="str">
        <f ca="1">TEXT('Alt scen Calcs'!T45,"#0.0%")</f>
        <v>24.6%</v>
      </c>
      <c r="O100" s="84" t="str">
        <f ca="1">TEXT('Alt scen Calcs'!U45,"#0.0%")</f>
        <v>25.2%</v>
      </c>
      <c r="P100" s="84" t="str">
        <f ca="1">TEXT('Alt scen Calcs'!V45,"#0.0%")</f>
        <v>27.4%</v>
      </c>
      <c r="Q100" s="84" t="str">
        <f ca="1">TEXT('Alt scen Calcs'!W45,"#0.0%")</f>
        <v>27.2%</v>
      </c>
      <c r="R100" s="84" t="str">
        <f ca="1">TEXT('Alt scen Calcs'!X45,"#0.0%")</f>
        <v>25.3%</v>
      </c>
      <c r="S100" s="84" t="str">
        <f ca="1">TEXT('Alt scen Calcs'!Y45,"#0.0%")</f>
        <v>24.8%</v>
      </c>
      <c r="T100" s="84" t="str">
        <f ca="1">TEXT('Alt scen Calcs'!Z45,"#0.0%")</f>
        <v>25.0%</v>
      </c>
      <c r="U100" s="84" t="str">
        <f ca="1">TEXT('Alt scen Calcs'!AA45,"#0.0%")</f>
        <v>25.1%</v>
      </c>
      <c r="V100" s="84" t="str">
        <f ca="1">TEXT('Alt scen Calcs'!AB45,"#0.0%")</f>
        <v>24.0%</v>
      </c>
      <c r="W100" s="84" t="str">
        <f ca="1">TEXT('Alt scen Calcs'!AC45,"#0.0%")</f>
        <v>24.6%</v>
      </c>
    </row>
    <row r="101" spans="1:23">
      <c r="A101" s="58" t="str">
        <f>'Alt scen Calcs'!C46</f>
        <v>Reserve (AF) - including imported capacity</v>
      </c>
      <c r="B101" s="58" t="s">
        <v>362</v>
      </c>
      <c r="C101" s="84" t="str">
        <f ca="1">TEXT('Alt scen Calcs'!I46,"#0.0%")</f>
        <v>15.4%</v>
      </c>
      <c r="D101" s="84" t="str">
        <f ca="1">TEXT('Alt scen Calcs'!J46,"#0.0%")</f>
        <v>17.1%</v>
      </c>
      <c r="E101" s="84" t="str">
        <f ca="1">TEXT('Alt scen Calcs'!K46,"#0.0%")</f>
        <v>16.6%</v>
      </c>
      <c r="F101" s="84" t="str">
        <f ca="1">TEXT('Alt scen Calcs'!L46,"#0.0%")</f>
        <v>19.4%</v>
      </c>
      <c r="G101" s="84" t="str">
        <f ca="1">TEXT('Alt scen Calcs'!M46,"#0.0%")</f>
        <v>23.2%</v>
      </c>
      <c r="H101" s="84" t="str">
        <f ca="1">TEXT('Alt scen Calcs'!N46,"#0.0%")</f>
        <v>27.3%</v>
      </c>
      <c r="I101" s="84" t="str">
        <f ca="1">TEXT('Alt scen Calcs'!O46,"#0.0%")</f>
        <v>29.3%</v>
      </c>
      <c r="J101" s="84" t="str">
        <f ca="1">TEXT('Alt scen Calcs'!P46,"#0.0%")</f>
        <v>28.7%</v>
      </c>
      <c r="K101" s="84" t="str">
        <f ca="1">TEXT('Alt scen Calcs'!Q46,"#0.0%")</f>
        <v>27.1%</v>
      </c>
      <c r="L101" s="84" t="str">
        <f ca="1">TEXT('Alt scen Calcs'!R46,"#0.0%")</f>
        <v>26.5%</v>
      </c>
      <c r="M101" s="84" t="str">
        <f ca="1">TEXT('Alt scen Calcs'!S46,"#0.0%")</f>
        <v>24.8%</v>
      </c>
      <c r="N101" s="84" t="str">
        <f ca="1">TEXT('Alt scen Calcs'!T46,"#0.0%")</f>
        <v>24.1%</v>
      </c>
      <c r="O101" s="84" t="str">
        <f ca="1">TEXT('Alt scen Calcs'!U46,"#0.0%")</f>
        <v>24.7%</v>
      </c>
      <c r="P101" s="84" t="str">
        <f ca="1">TEXT('Alt scen Calcs'!V46,"#0.0%")</f>
        <v>26.9%</v>
      </c>
      <c r="Q101" s="84" t="str">
        <f ca="1">TEXT('Alt scen Calcs'!W46,"#0.0%")</f>
        <v>26.8%</v>
      </c>
      <c r="R101" s="84" t="str">
        <f ca="1">TEXT('Alt scen Calcs'!X46,"#0.0%")</f>
        <v>25.8%</v>
      </c>
      <c r="S101" s="84" t="str">
        <f ca="1">TEXT('Alt scen Calcs'!Y46,"#0.0%")</f>
        <v>25.2%</v>
      </c>
      <c r="T101" s="84" t="str">
        <f ca="1">TEXT('Alt scen Calcs'!Z46,"#0.0%")</f>
        <v>25.4%</v>
      </c>
      <c r="U101" s="84" t="str">
        <f ca="1">TEXT('Alt scen Calcs'!AA46,"#0.0%")</f>
        <v>25.5%</v>
      </c>
      <c r="V101" s="84" t="str">
        <f ca="1">TEXT('Alt scen Calcs'!AB46,"#0.0%")</f>
        <v>24.4%</v>
      </c>
      <c r="W101" s="84" t="str">
        <f ca="1">TEXT('Alt scen Calcs'!AC46,"#0.0%")</f>
        <v>25.0%</v>
      </c>
    </row>
    <row r="102" spans="1:23">
      <c r="A102" s="58" t="str">
        <f>'Alt scen Calcs'!C47</f>
        <v>Reserve (AF) - including interruptible supply and imported capacity</v>
      </c>
      <c r="B102" s="58" t="s">
        <v>362</v>
      </c>
      <c r="C102" s="84" t="str">
        <f ca="1">TEXT('Alt scen Calcs'!I47,"#0.0%")</f>
        <v>23.5%</v>
      </c>
      <c r="D102" s="84" t="str">
        <f ca="1">TEXT('Alt scen Calcs'!J47,"#0.0%")</f>
        <v>25.1%</v>
      </c>
      <c r="E102" s="84" t="str">
        <f ca="1">TEXT('Alt scen Calcs'!K47,"#0.0%")</f>
        <v>24.4%</v>
      </c>
      <c r="F102" s="84" t="str">
        <f ca="1">TEXT('Alt scen Calcs'!L47,"#0.0%")</f>
        <v>25.4%</v>
      </c>
      <c r="G102" s="84" t="str">
        <f ca="1">TEXT('Alt scen Calcs'!M47,"#0.0%")</f>
        <v>27.5%</v>
      </c>
      <c r="H102" s="84" t="str">
        <f ca="1">TEXT('Alt scen Calcs'!N47,"#0.0%")</f>
        <v>31.6%</v>
      </c>
      <c r="I102" s="84" t="str">
        <f ca="1">TEXT('Alt scen Calcs'!O47,"#0.0%")</f>
        <v>33.6%</v>
      </c>
      <c r="J102" s="84" t="str">
        <f ca="1">TEXT('Alt scen Calcs'!P47,"#0.0%")</f>
        <v>32.8%</v>
      </c>
      <c r="K102" s="84" t="str">
        <f ca="1">TEXT('Alt scen Calcs'!Q47,"#0.0%")</f>
        <v>31.0%</v>
      </c>
      <c r="L102" s="84" t="str">
        <f ca="1">TEXT('Alt scen Calcs'!R47,"#0.0%")</f>
        <v>30.1%</v>
      </c>
      <c r="M102" s="84" t="str">
        <f ca="1">TEXT('Alt scen Calcs'!S47,"#0.0%")</f>
        <v>28.4%</v>
      </c>
      <c r="N102" s="84" t="str">
        <f ca="1">TEXT('Alt scen Calcs'!T47,"#0.0%")</f>
        <v>27.5%</v>
      </c>
      <c r="O102" s="84" t="str">
        <f ca="1">TEXT('Alt scen Calcs'!U47,"#0.0%")</f>
        <v>28.0%</v>
      </c>
      <c r="P102" s="84" t="str">
        <f ca="1">TEXT('Alt scen Calcs'!V47,"#0.0%")</f>
        <v>30.1%</v>
      </c>
      <c r="Q102" s="84" t="str">
        <f ca="1">TEXT('Alt scen Calcs'!W47,"#0.0%")</f>
        <v>29.9%</v>
      </c>
      <c r="R102" s="84" t="str">
        <f ca="1">TEXT('Alt scen Calcs'!X47,"#0.0%")</f>
        <v>27.9%</v>
      </c>
      <c r="S102" s="84" t="str">
        <f ca="1">TEXT('Alt scen Calcs'!Y47,"#0.0%")</f>
        <v>27.3%</v>
      </c>
      <c r="T102" s="84" t="str">
        <f ca="1">TEXT('Alt scen Calcs'!Z47,"#0.0%")</f>
        <v>27.4%</v>
      </c>
      <c r="U102" s="84" t="str">
        <f ca="1">TEXT('Alt scen Calcs'!AA47,"#0.0%")</f>
        <v>27.5%</v>
      </c>
      <c r="V102" s="84" t="str">
        <f ca="1">TEXT('Alt scen Calcs'!AB47,"#0.0%")</f>
        <v>26.3%</v>
      </c>
      <c r="W102" s="84" t="str">
        <f ca="1">TEXT('Alt scen Calcs'!AC47,"#0.0%")</f>
        <v>26.8%</v>
      </c>
    </row>
    <row r="103" spans="1:23">
      <c r="A103" s="58" t="s">
        <v>352</v>
      </c>
      <c r="B103" s="58" t="s">
        <v>363</v>
      </c>
      <c r="C103" s="85">
        <f>'Alt scen Calcs'!I266/1000</f>
        <v>245.37574905814773</v>
      </c>
      <c r="D103" s="85">
        <f>'Alt scen Calcs'!J266/1000</f>
        <v>250.37040714413894</v>
      </c>
      <c r="E103" s="85">
        <f>'Alt scen Calcs'!K266/1000</f>
        <v>256.34134343116108</v>
      </c>
      <c r="F103" s="85">
        <f>'Alt scen Calcs'!L266/1000</f>
        <v>263.21901481448293</v>
      </c>
      <c r="G103" s="85">
        <f>'Alt scen Calcs'!M266/1000</f>
        <v>271.64268291066992</v>
      </c>
      <c r="H103" s="85">
        <f>'Alt scen Calcs'!N266/1000</f>
        <v>279.96471108455785</v>
      </c>
      <c r="I103" s="85">
        <f>'Alt scen Calcs'!O266/1000</f>
        <v>288.74946837838633</v>
      </c>
      <c r="J103" s="85">
        <f>'Alt scen Calcs'!P266/1000</f>
        <v>297.38978999315833</v>
      </c>
      <c r="K103" s="85">
        <f>'Alt scen Calcs'!Q266/1000</f>
        <v>306.50353966706024</v>
      </c>
      <c r="L103" s="85">
        <f>'Alt scen Calcs'!R266/1000</f>
        <v>316.04524690853737</v>
      </c>
      <c r="M103" s="85">
        <f>'Alt scen Calcs'!S266/1000</f>
        <v>325.63602759571552</v>
      </c>
      <c r="N103" s="85">
        <f>'Alt scen Calcs'!T266/1000</f>
        <v>335.72965842479454</v>
      </c>
      <c r="O103" s="85">
        <f>'Alt scen Calcs'!U266/1000</f>
        <v>345.97307440252484</v>
      </c>
      <c r="P103" s="85">
        <f>'Alt scen Calcs'!V266/1000</f>
        <v>356.9252951015514</v>
      </c>
      <c r="Q103" s="85">
        <f>'Alt scen Calcs'!W266/1000</f>
        <v>368.25732814180088</v>
      </c>
      <c r="R103" s="85">
        <f>'Alt scen Calcs'!X266/1000</f>
        <v>380.08953658915385</v>
      </c>
      <c r="S103" s="85">
        <f>'Alt scen Calcs'!Y266/1000</f>
        <v>392.86860115476674</v>
      </c>
      <c r="T103" s="85">
        <f>'Alt scen Calcs'!Z266/1000</f>
        <v>406.19063688424069</v>
      </c>
      <c r="U103" s="85">
        <f>'Alt scen Calcs'!AA266/1000</f>
        <v>419.92993124210039</v>
      </c>
      <c r="V103" s="85">
        <f>'Alt scen Calcs'!AB266/1000</f>
        <v>433.96077169287054</v>
      </c>
      <c r="W103" s="85">
        <f>'Alt scen Calcs'!AC266/1000</f>
        <v>444.17744032262732</v>
      </c>
    </row>
    <row r="104" spans="1:23">
      <c r="A104" s="58" t="s">
        <v>343</v>
      </c>
      <c r="B104" s="58" t="s">
        <v>362</v>
      </c>
      <c r="C104" s="84" t="str">
        <f ca="1">TEXT('Alt scen Calcs'!I421,"#0.0%")</f>
        <v>93.2%</v>
      </c>
      <c r="D104" s="84" t="str">
        <f ca="1">TEXT('Alt scen Calcs'!J421,"#0.0%")</f>
        <v>93.0%</v>
      </c>
      <c r="E104" s="84" t="str">
        <f ca="1">TEXT('Alt scen Calcs'!K421,"#0.0%")</f>
        <v>93.0%</v>
      </c>
      <c r="F104" s="84" t="str">
        <f ca="1">TEXT('Alt scen Calcs'!L421,"#0.0%")</f>
        <v>92.8%</v>
      </c>
      <c r="G104" s="84" t="str">
        <f ca="1">TEXT('Alt scen Calcs'!M421,"#0.0%")</f>
        <v>92.6%</v>
      </c>
      <c r="H104" s="84" t="str">
        <f ca="1">TEXT('Alt scen Calcs'!N421,"#0.0%")</f>
        <v>91.9%</v>
      </c>
      <c r="I104" s="84" t="str">
        <f ca="1">TEXT('Alt scen Calcs'!O421,"#0.0%")</f>
        <v>91.1%</v>
      </c>
      <c r="J104" s="84" t="str">
        <f ca="1">TEXT('Alt scen Calcs'!P421,"#0.0%")</f>
        <v>89.8%</v>
      </c>
      <c r="K104" s="84" t="str">
        <f ca="1">TEXT('Alt scen Calcs'!Q421,"#0.0%")</f>
        <v>87.9%</v>
      </c>
      <c r="L104" s="84" t="str">
        <f ca="1">TEXT('Alt scen Calcs'!R421,"#0.0%")</f>
        <v>85.1%</v>
      </c>
      <c r="M104" s="84" t="str">
        <f ca="1">TEXT('Alt scen Calcs'!S421,"#0.0%")</f>
        <v>81.8%</v>
      </c>
      <c r="N104" s="84" t="str">
        <f ca="1">TEXT('Alt scen Calcs'!T421,"#0.0%")</f>
        <v>77.7%</v>
      </c>
      <c r="O104" s="84" t="str">
        <f ca="1">TEXT('Alt scen Calcs'!U421,"#0.0%")</f>
        <v>74.8%</v>
      </c>
      <c r="P104" s="84" t="str">
        <f ca="1">TEXT('Alt scen Calcs'!V421,"#0.0%")</f>
        <v>70.6%</v>
      </c>
      <c r="Q104" s="84" t="str">
        <f ca="1">TEXT('Alt scen Calcs'!W421,"#0.0%")</f>
        <v>66.7%</v>
      </c>
      <c r="R104" s="84" t="str">
        <f ca="1">TEXT('Alt scen Calcs'!X421,"#0.0%")</f>
        <v>63.1%</v>
      </c>
      <c r="S104" s="84" t="str">
        <f ca="1">TEXT('Alt scen Calcs'!Y421,"#0.0%")</f>
        <v>59.7%</v>
      </c>
      <c r="T104" s="84" t="str">
        <f ca="1">TEXT('Alt scen Calcs'!Z421,"#0.0%")</f>
        <v>55.8%</v>
      </c>
      <c r="U104" s="84" t="str">
        <f ca="1">TEXT('Alt scen Calcs'!AA421,"#0.0%")</f>
        <v>51.7%</v>
      </c>
      <c r="V104" s="84" t="str">
        <f ca="1">TEXT('Alt scen Calcs'!AB421,"#0.0%")</f>
        <v>47.9%</v>
      </c>
      <c r="W104" s="84" t="str">
        <f ca="1">TEXT('Alt scen Calcs'!AC421,"#0.0%")</f>
        <v>45.1%</v>
      </c>
    </row>
    <row r="105" spans="1:23">
      <c r="A105" s="58" t="s">
        <v>341</v>
      </c>
      <c r="B105" s="58" t="s">
        <v>362</v>
      </c>
      <c r="C105" s="84" t="str">
        <f ca="1">TEXT('Alt scen Calcs'!I422,"#0.0%")</f>
        <v>1.3%</v>
      </c>
      <c r="D105" s="84" t="str">
        <f ca="1">TEXT('Alt scen Calcs'!J422,"#0.0%")</f>
        <v>1.4%</v>
      </c>
      <c r="E105" s="84" t="str">
        <f ca="1">TEXT('Alt scen Calcs'!K422,"#0.0%")</f>
        <v>1.6%</v>
      </c>
      <c r="F105" s="84" t="str">
        <f ca="1">TEXT('Alt scen Calcs'!L422,"#0.0%")</f>
        <v>2.0%</v>
      </c>
      <c r="G105" s="84" t="str">
        <f ca="1">TEXT('Alt scen Calcs'!M422,"#0.0%")</f>
        <v>2.3%</v>
      </c>
      <c r="H105" s="84" t="str">
        <f ca="1">TEXT('Alt scen Calcs'!N422,"#0.0%")</f>
        <v>3.1%</v>
      </c>
      <c r="I105" s="84" t="str">
        <f ca="1">TEXT('Alt scen Calcs'!O422,"#0.0%")</f>
        <v>4.1%</v>
      </c>
      <c r="J105" s="84" t="str">
        <f ca="1">TEXT('Alt scen Calcs'!P422,"#0.0%")</f>
        <v>5.5%</v>
      </c>
      <c r="K105" s="84" t="str">
        <f ca="1">TEXT('Alt scen Calcs'!Q422,"#0.0%")</f>
        <v>7.6%</v>
      </c>
      <c r="L105" s="84" t="str">
        <f ca="1">TEXT('Alt scen Calcs'!R422,"#0.0%")</f>
        <v>10.5%</v>
      </c>
      <c r="M105" s="84" t="str">
        <f ca="1">TEXT('Alt scen Calcs'!S422,"#0.0%")</f>
        <v>13.9%</v>
      </c>
      <c r="N105" s="84" t="str">
        <f ca="1">TEXT('Alt scen Calcs'!T422,"#0.0%")</f>
        <v>18.1%</v>
      </c>
      <c r="O105" s="84" t="str">
        <f ca="1">TEXT('Alt scen Calcs'!U422,"#0.0%")</f>
        <v>21.2%</v>
      </c>
      <c r="P105" s="84" t="str">
        <f ca="1">TEXT('Alt scen Calcs'!V422,"#0.0%")</f>
        <v>25.5%</v>
      </c>
      <c r="Q105" s="84" t="str">
        <f ca="1">TEXT('Alt scen Calcs'!W422,"#0.0%")</f>
        <v>29.5%</v>
      </c>
      <c r="R105" s="84" t="str">
        <f ca="1">TEXT('Alt scen Calcs'!X422,"#0.0%")</f>
        <v>33.3%</v>
      </c>
      <c r="S105" s="84" t="str">
        <f ca="1">TEXT('Alt scen Calcs'!Y422,"#0.0%")</f>
        <v>36.7%</v>
      </c>
      <c r="T105" s="84" t="str">
        <f ca="1">TEXT('Alt scen Calcs'!Z422,"#0.0%")</f>
        <v>39.9%</v>
      </c>
      <c r="U105" s="84" t="str">
        <f ca="1">TEXT('Alt scen Calcs'!AA422,"#0.0%")</f>
        <v>42.8%</v>
      </c>
      <c r="V105" s="84" t="str">
        <f ca="1">TEXT('Alt scen Calcs'!AB422,"#0.0%")</f>
        <v>45.5%</v>
      </c>
      <c r="W105" s="84" t="str">
        <f ca="1">TEXT('Alt scen Calcs'!AC422,"#0.0%")</f>
        <v>48.4%</v>
      </c>
    </row>
    <row r="106" spans="1:23">
      <c r="A106" s="58" t="s">
        <v>342</v>
      </c>
      <c r="B106" s="58" t="s">
        <v>362</v>
      </c>
      <c r="C106" s="84" t="str">
        <f ca="1">TEXT('Alt scen Calcs'!I423,"#0.0%")</f>
        <v>5.3%</v>
      </c>
      <c r="D106" s="84" t="str">
        <f ca="1">TEXT('Alt scen Calcs'!J423,"#0.0%")</f>
        <v>5.2%</v>
      </c>
      <c r="E106" s="84" t="str">
        <f ca="1">TEXT('Alt scen Calcs'!K423,"#0.0%")</f>
        <v>5.1%</v>
      </c>
      <c r="F106" s="84" t="str">
        <f ca="1">TEXT('Alt scen Calcs'!L423,"#0.0%")</f>
        <v>4.9%</v>
      </c>
      <c r="G106" s="84" t="str">
        <f ca="1">TEXT('Alt scen Calcs'!M423,"#0.0%")</f>
        <v>4.8%</v>
      </c>
      <c r="H106" s="84" t="str">
        <f ca="1">TEXT('Alt scen Calcs'!N423,"#0.0%")</f>
        <v>4.6%</v>
      </c>
      <c r="I106" s="84" t="str">
        <f ca="1">TEXT('Alt scen Calcs'!O423,"#0.0%")</f>
        <v>4.5%</v>
      </c>
      <c r="J106" s="84" t="str">
        <f ca="1">TEXT('Alt scen Calcs'!P423,"#0.0%")</f>
        <v>4.3%</v>
      </c>
      <c r="K106" s="84" t="str">
        <f ca="1">TEXT('Alt scen Calcs'!Q423,"#0.0%")</f>
        <v>4.2%</v>
      </c>
      <c r="L106" s="84" t="str">
        <f ca="1">TEXT('Alt scen Calcs'!R423,"#0.0%")</f>
        <v>4.1%</v>
      </c>
      <c r="M106" s="84" t="str">
        <f ca="1">TEXT('Alt scen Calcs'!S423,"#0.0%")</f>
        <v>4.0%</v>
      </c>
      <c r="N106" s="84" t="str">
        <f ca="1">TEXT('Alt scen Calcs'!T423,"#0.0%")</f>
        <v>3.9%</v>
      </c>
      <c r="O106" s="84" t="str">
        <f ca="1">TEXT('Alt scen Calcs'!U423,"#0.0%")</f>
        <v>3.7%</v>
      </c>
      <c r="P106" s="84" t="str">
        <f ca="1">TEXT('Alt scen Calcs'!V423,"#0.0%")</f>
        <v>3.6%</v>
      </c>
      <c r="Q106" s="84" t="str">
        <f ca="1">TEXT('Alt scen Calcs'!W423,"#0.0%")</f>
        <v>3.5%</v>
      </c>
      <c r="R106" s="84" t="str">
        <f ca="1">TEXT('Alt scen Calcs'!X423,"#0.0%")</f>
        <v>3.4%</v>
      </c>
      <c r="S106" s="84" t="str">
        <f ca="1">TEXT('Alt scen Calcs'!Y423,"#0.0%")</f>
        <v>3.3%</v>
      </c>
      <c r="T106" s="84" t="str">
        <f ca="1">TEXT('Alt scen Calcs'!Z423,"#0.0%")</f>
        <v>3.2%</v>
      </c>
      <c r="U106" s="84" t="str">
        <f ca="1">TEXT('Alt scen Calcs'!AA423,"#0.0%")</f>
        <v>3.1%</v>
      </c>
      <c r="V106" s="84" t="str">
        <f ca="1">TEXT('Alt scen Calcs'!AB423,"#0.0%")</f>
        <v>3.0%</v>
      </c>
      <c r="W106" s="84" t="str">
        <f ca="1">TEXT('Alt scen Calcs'!AC423,"#0.0%")</f>
        <v>2.9%</v>
      </c>
    </row>
    <row r="107" spans="1:23">
      <c r="A107" s="58" t="s">
        <v>345</v>
      </c>
      <c r="B107" s="58" t="s">
        <v>362</v>
      </c>
      <c r="C107" s="84" t="str">
        <f ca="1">TEXT('Alt scen Calcs'!I424,"#0.0%")</f>
        <v>0.3%</v>
      </c>
      <c r="D107" s="84" t="str">
        <f ca="1">TEXT('Alt scen Calcs'!J424,"#0.0%")</f>
        <v>0.4%</v>
      </c>
      <c r="E107" s="84" t="str">
        <f ca="1">TEXT('Alt scen Calcs'!K424,"#0.0%")</f>
        <v>0.4%</v>
      </c>
      <c r="F107" s="84" t="str">
        <f ca="1">TEXT('Alt scen Calcs'!L424,"#0.0%")</f>
        <v>0.4%</v>
      </c>
      <c r="G107" s="84" t="str">
        <f ca="1">TEXT('Alt scen Calcs'!M424,"#0.0%")</f>
        <v>0.3%</v>
      </c>
      <c r="H107" s="84" t="str">
        <f ca="1">TEXT('Alt scen Calcs'!N424,"#0.0%")</f>
        <v>0.3%</v>
      </c>
      <c r="I107" s="84" t="str">
        <f ca="1">TEXT('Alt scen Calcs'!O424,"#0.0%")</f>
        <v>0.3%</v>
      </c>
      <c r="J107" s="84" t="str">
        <f ca="1">TEXT('Alt scen Calcs'!P424,"#0.0%")</f>
        <v>0.3%</v>
      </c>
      <c r="K107" s="84" t="str">
        <f ca="1">TEXT('Alt scen Calcs'!Q424,"#0.0%")</f>
        <v>0.3%</v>
      </c>
      <c r="L107" s="84" t="str">
        <f ca="1">TEXT('Alt scen Calcs'!R424,"#0.0%")</f>
        <v>0.3%</v>
      </c>
      <c r="M107" s="84" t="str">
        <f ca="1">TEXT('Alt scen Calcs'!S424,"#0.0%")</f>
        <v>0.3%</v>
      </c>
      <c r="N107" s="84" t="str">
        <f ca="1">TEXT('Alt scen Calcs'!T424,"#0.0%")</f>
        <v>0.3%</v>
      </c>
      <c r="O107" s="84" t="str">
        <f ca="1">TEXT('Alt scen Calcs'!U424,"#0.0%")</f>
        <v>0.3%</v>
      </c>
      <c r="P107" s="84" t="str">
        <f ca="1">TEXT('Alt scen Calcs'!V424,"#0.0%")</f>
        <v>0.3%</v>
      </c>
      <c r="Q107" s="84" t="str">
        <f ca="1">TEXT('Alt scen Calcs'!W424,"#0.0%")</f>
        <v>0.3%</v>
      </c>
      <c r="R107" s="84" t="str">
        <f ca="1">TEXT('Alt scen Calcs'!X424,"#0.0%")</f>
        <v>0.2%</v>
      </c>
      <c r="S107" s="84" t="str">
        <f ca="1">TEXT('Alt scen Calcs'!Y424,"#0.0%")</f>
        <v>0.3%</v>
      </c>
      <c r="T107" s="84" t="str">
        <f ca="1">TEXT('Alt scen Calcs'!Z424,"#0.0%")</f>
        <v>0.3%</v>
      </c>
      <c r="U107" s="84" t="str">
        <f ca="1">TEXT('Alt scen Calcs'!AA424,"#0.0%")</f>
        <v>0.3%</v>
      </c>
      <c r="V107" s="84" t="str">
        <f ca="1">TEXT('Alt scen Calcs'!AB424,"#0.0%")</f>
        <v>0.3%</v>
      </c>
      <c r="W107" s="84" t="str">
        <f ca="1">TEXT('Alt scen Calcs'!AC424,"#0.0%")</f>
        <v>0.4%</v>
      </c>
    </row>
    <row r="108" spans="1:23">
      <c r="A108" s="58" t="s">
        <v>346</v>
      </c>
      <c r="B108" s="58" t="s">
        <v>362</v>
      </c>
      <c r="C108" s="84" t="str">
        <f ca="1">TEXT('Alt scen Calcs'!I425,"#0.0%")</f>
        <v>0.0%</v>
      </c>
      <c r="D108" s="84" t="str">
        <f ca="1">TEXT('Alt scen Calcs'!J425,"#0.0%")</f>
        <v>0.0%</v>
      </c>
      <c r="E108" s="84" t="str">
        <f ca="1">TEXT('Alt scen Calcs'!K425,"#0.0%")</f>
        <v>0.0%</v>
      </c>
      <c r="F108" s="84" t="str">
        <f ca="1">TEXT('Alt scen Calcs'!L425,"#0.0%")</f>
        <v>0.0%</v>
      </c>
      <c r="G108" s="84" t="str">
        <f ca="1">TEXT('Alt scen Calcs'!M425,"#0.0%")</f>
        <v>0.0%</v>
      </c>
      <c r="H108" s="84" t="str">
        <f ca="1">TEXT('Alt scen Calcs'!N425,"#0.0%")</f>
        <v>0.0%</v>
      </c>
      <c r="I108" s="84" t="str">
        <f ca="1">TEXT('Alt scen Calcs'!O425,"#0.0%")</f>
        <v>0.0%</v>
      </c>
      <c r="J108" s="84" t="str">
        <f ca="1">TEXT('Alt scen Calcs'!P425,"#0.0%")</f>
        <v>0.0%</v>
      </c>
      <c r="K108" s="84" t="str">
        <f ca="1">TEXT('Alt scen Calcs'!Q425,"#0.0%")</f>
        <v>0.0%</v>
      </c>
      <c r="L108" s="84" t="str">
        <f ca="1">TEXT('Alt scen Calcs'!R425,"#0.0%")</f>
        <v>0.0%</v>
      </c>
      <c r="M108" s="84" t="str">
        <f ca="1">TEXT('Alt scen Calcs'!S425,"#0.0%")</f>
        <v>0.0%</v>
      </c>
      <c r="N108" s="84" t="str">
        <f ca="1">TEXT('Alt scen Calcs'!T425,"#0.0%")</f>
        <v>0.0%</v>
      </c>
      <c r="O108" s="84" t="str">
        <f ca="1">TEXT('Alt scen Calcs'!U425,"#0.0%")</f>
        <v>0.0%</v>
      </c>
      <c r="P108" s="84" t="str">
        <f ca="1">TEXT('Alt scen Calcs'!V425,"#0.0%")</f>
        <v>0.0%</v>
      </c>
      <c r="Q108" s="84" t="str">
        <f ca="1">TEXT('Alt scen Calcs'!W425,"#0.0%")</f>
        <v>0.0%</v>
      </c>
      <c r="R108" s="84" t="str">
        <f ca="1">TEXT('Alt scen Calcs'!X425,"#0.0%")</f>
        <v>0.0%</v>
      </c>
      <c r="S108" s="84" t="str">
        <f ca="1">TEXT('Alt scen Calcs'!Y425,"#0.0%")</f>
        <v>0.0%</v>
      </c>
      <c r="T108" s="84" t="str">
        <f ca="1">TEXT('Alt scen Calcs'!Z425,"#0.0%")</f>
        <v>0.9%</v>
      </c>
      <c r="U108" s="84" t="str">
        <f ca="1">TEXT('Alt scen Calcs'!AA425,"#0.0%")</f>
        <v>2.1%</v>
      </c>
      <c r="V108" s="84" t="str">
        <f ca="1">TEXT('Alt scen Calcs'!AB425,"#0.0%")</f>
        <v>3.3%</v>
      </c>
      <c r="W108" s="84" t="str">
        <f ca="1">TEXT('Alt scen Calcs'!AC425,"#0.0%")</f>
        <v>3.2%</v>
      </c>
    </row>
    <row r="109" spans="1:23">
      <c r="A109" s="58" t="s">
        <v>289</v>
      </c>
      <c r="B109" s="58" t="s">
        <v>364</v>
      </c>
      <c r="C109" s="85">
        <f ca="1">'Alt scen Calcs'!I780</f>
        <v>235.99719359076568</v>
      </c>
      <c r="D109" s="85">
        <f ca="1">'Alt scen Calcs'!J780</f>
        <v>240.61223271830576</v>
      </c>
      <c r="E109" s="85">
        <f ca="1">'Alt scen Calcs'!K780</f>
        <v>245.94370237257172</v>
      </c>
      <c r="F109" s="85">
        <f ca="1">'Alt scen Calcs'!L780</f>
        <v>252.03726263855805</v>
      </c>
      <c r="G109" s="85">
        <f ca="1">'Alt scen Calcs'!M780</f>
        <v>259.54553051647986</v>
      </c>
      <c r="H109" s="85">
        <f ca="1">'Alt scen Calcs'!N780</f>
        <v>265.34315015229953</v>
      </c>
      <c r="I109" s="85">
        <f ca="1">'Alt scen Calcs'!O780</f>
        <v>271.05838016721037</v>
      </c>
      <c r="J109" s="85">
        <f ca="1">'Alt scen Calcs'!P780</f>
        <v>274.70492799235382</v>
      </c>
      <c r="K109" s="85">
        <f ca="1">'Alt scen Calcs'!Q780</f>
        <v>276.81469963138107</v>
      </c>
      <c r="L109" s="85">
        <f ca="1">'Alt scen Calcs'!R780</f>
        <v>276.11946322980771</v>
      </c>
      <c r="M109" s="85">
        <f ca="1">'Alt scen Calcs'!S780</f>
        <v>272.93586801804241</v>
      </c>
      <c r="N109" s="85">
        <f ca="1">'Alt scen Calcs'!T780</f>
        <v>267.01756033867656</v>
      </c>
      <c r="O109" s="85">
        <f ca="1">'Alt scen Calcs'!U780</f>
        <v>264.7098873260955</v>
      </c>
      <c r="P109" s="85">
        <f ca="1">'Alt scen Calcs'!V780</f>
        <v>257.8150253708103</v>
      </c>
      <c r="Q109" s="85">
        <f ca="1">'Alt scen Calcs'!W780</f>
        <v>251.20654868022288</v>
      </c>
      <c r="R109" s="85">
        <f ca="1">'Alt scen Calcs'!X780</f>
        <v>244.8708237650898</v>
      </c>
      <c r="S109" s="85">
        <f ca="1">'Alt scen Calcs'!Y780</f>
        <v>239.08072086545238</v>
      </c>
      <c r="T109" s="85">
        <f ca="1">'Alt scen Calcs'!Z780</f>
        <v>232.24683091927332</v>
      </c>
      <c r="U109" s="85">
        <f ca="1">'Alt scen Calcs'!AA780</f>
        <v>224.74813490585819</v>
      </c>
      <c r="V109" s="85">
        <f ca="1">'Alt scen Calcs'!AB780</f>
        <v>216.5433000446466</v>
      </c>
      <c r="W109" s="85">
        <f ca="1">'Alt scen Calcs'!AC780</f>
        <v>208.54825066514221</v>
      </c>
    </row>
    <row r="110" spans="1:23">
      <c r="A110" s="58" t="s">
        <v>347</v>
      </c>
      <c r="B110" s="58" t="s">
        <v>365</v>
      </c>
      <c r="C110" s="58">
        <f ca="1">'Alt scen Calcs'!I581</f>
        <v>28383.57491097118</v>
      </c>
      <c r="D110" s="58">
        <f ca="1">'Alt scen Calcs'!J581</f>
        <v>30670.294354820267</v>
      </c>
      <c r="E110" s="58">
        <f ca="1">'Alt scen Calcs'!K581</f>
        <v>33511.001514841184</v>
      </c>
      <c r="F110" s="58">
        <f ca="1">'Alt scen Calcs'!L581</f>
        <v>39597.982478935868</v>
      </c>
      <c r="G110" s="58">
        <f ca="1">'Alt scen Calcs'!M581</f>
        <v>47674.901098444621</v>
      </c>
      <c r="H110" s="58">
        <f ca="1">'Alt scen Calcs'!N581</f>
        <v>57007.826182334953</v>
      </c>
      <c r="I110" s="58">
        <f ca="1">'Alt scen Calcs'!O581</f>
        <v>65055.513879009872</v>
      </c>
      <c r="J110" s="58">
        <f ca="1">'Alt scen Calcs'!P581</f>
        <v>71652.291536504054</v>
      </c>
      <c r="K110" s="58">
        <f ca="1">'Alt scen Calcs'!Q581</f>
        <v>78536.376848937056</v>
      </c>
      <c r="L110" s="58">
        <f ca="1">'Alt scen Calcs'!R581</f>
        <v>88133.903476070263</v>
      </c>
      <c r="M110" s="58">
        <f ca="1">'Alt scen Calcs'!S581</f>
        <v>99291.573177823608</v>
      </c>
      <c r="N110" s="58">
        <f ca="1">'Alt scen Calcs'!T581</f>
        <v>112887.63530065515</v>
      </c>
      <c r="O110" s="58">
        <f ca="1">'Alt scen Calcs'!U581</f>
        <v>125134.94694293146</v>
      </c>
      <c r="P110" s="58">
        <f ca="1">'Alt scen Calcs'!V581</f>
        <v>141977.68459939744</v>
      </c>
      <c r="Q110" s="58">
        <f ca="1">'Alt scen Calcs'!W581</f>
        <v>158230.54058106741</v>
      </c>
      <c r="R110" s="58">
        <f ca="1">'Alt scen Calcs'!X581</f>
        <v>173963.80020396379</v>
      </c>
      <c r="S110" s="58">
        <f ca="1">'Alt scen Calcs'!Y581</f>
        <v>190607.10541922136</v>
      </c>
      <c r="T110" s="58">
        <f ca="1">'Alt scen Calcs'!Z581</f>
        <v>208653.1558620189</v>
      </c>
      <c r="U110" s="58">
        <f ca="1">'Alt scen Calcs'!AA581</f>
        <v>227856.28681618723</v>
      </c>
      <c r="V110" s="58">
        <f ca="1">'Alt scen Calcs'!AB581</f>
        <v>249985.7275178156</v>
      </c>
      <c r="W110" s="58">
        <f ca="1">'Alt scen Calcs'!AC581</f>
        <v>266773.35483349935</v>
      </c>
    </row>
    <row r="111" spans="1:23">
      <c r="A111" s="58" t="s">
        <v>348</v>
      </c>
      <c r="B111" s="58" t="s">
        <v>366</v>
      </c>
      <c r="C111" s="86">
        <f ca="1">'Alt scen Calcs'!I605</f>
        <v>0.11213531685831545</v>
      </c>
      <c r="D111" s="86">
        <f ca="1">'Alt scen Calcs'!J605</f>
        <v>0.11882478129616292</v>
      </c>
      <c r="E111" s="86">
        <f ca="1">'Alt scen Calcs'!K605</f>
        <v>0.1268949691092762</v>
      </c>
      <c r="F111" s="86">
        <f ca="1">'Alt scen Calcs'!L605</f>
        <v>0.14518051558366465</v>
      </c>
      <c r="G111" s="86">
        <f ca="1">'Alt scen Calcs'!M605</f>
        <v>0.16848553004438802</v>
      </c>
      <c r="H111" s="86">
        <f ca="1">'Alt scen Calcs'!N605</f>
        <v>0.1945187059306244</v>
      </c>
      <c r="I111" s="86">
        <f ca="1">'Alt scen Calcs'!O605</f>
        <v>0.21424951956301871</v>
      </c>
      <c r="J111" s="86">
        <f ca="1">'Alt scen Calcs'!P605</f>
        <v>0.22944592022538995</v>
      </c>
      <c r="K111" s="86">
        <f ca="1">'Alt scen Calcs'!Q605</f>
        <v>0.24435882027107403</v>
      </c>
      <c r="L111" s="86">
        <f ca="1">'Alt scen Calcs'!R605</f>
        <v>0.266314274598487</v>
      </c>
      <c r="M111" s="86">
        <f ca="1">'Alt scen Calcs'!S605</f>
        <v>0.29157930763711365</v>
      </c>
      <c r="N111" s="86">
        <f ca="1">'Alt scen Calcs'!T605</f>
        <v>0.32196220212016691</v>
      </c>
      <c r="O111" s="86">
        <f ca="1">'Alt scen Calcs'!U605</f>
        <v>0.34676167569557836</v>
      </c>
      <c r="P111" s="86">
        <f ca="1">'Alt scen Calcs'!V605</f>
        <v>0.38184570652813377</v>
      </c>
      <c r="Q111" s="86">
        <f ca="1">'Alt scen Calcs'!W605</f>
        <v>0.41297116575118181</v>
      </c>
      <c r="R111" s="86">
        <f ca="1">'Alt scen Calcs'!X605</f>
        <v>0.44043279825337994</v>
      </c>
      <c r="S111" s="86">
        <f ca="1">'Alt scen Calcs'!Y605</f>
        <v>0.46744601657030288</v>
      </c>
      <c r="T111" s="86">
        <f ca="1">'Alt scen Calcs'!Z605</f>
        <v>0.49551332361631439</v>
      </c>
      <c r="U111" s="86">
        <f ca="1">'Alt scen Calcs'!AA605</f>
        <v>0.52401939341596682</v>
      </c>
      <c r="V111" s="86">
        <f ca="1">'Alt scen Calcs'!AB605</f>
        <v>0.55694095727485204</v>
      </c>
      <c r="W111" s="86">
        <f ca="1">'Alt scen Calcs'!AC605</f>
        <v>0.58111484366678268</v>
      </c>
    </row>
    <row r="112" spans="1:23">
      <c r="A112" s="58" t="s">
        <v>367</v>
      </c>
      <c r="B112" s="58" t="s">
        <v>365</v>
      </c>
      <c r="C112" s="85">
        <f>'Alt scen Calcs'!I630</f>
        <v>33427.064258967213</v>
      </c>
      <c r="D112" s="85">
        <f>'Alt scen Calcs'!J630</f>
        <v>42617.782990041684</v>
      </c>
      <c r="E112" s="85">
        <f>'Alt scen Calcs'!K630</f>
        <v>53894.381441770187</v>
      </c>
      <c r="F112" s="85">
        <f>'Alt scen Calcs'!L630</f>
        <v>52945.570853313962</v>
      </c>
      <c r="G112" s="85">
        <f>'Alt scen Calcs'!M630</f>
        <v>50996.235211250219</v>
      </c>
      <c r="H112" s="85">
        <f>'Alt scen Calcs'!N630</f>
        <v>45220.007786200084</v>
      </c>
      <c r="I112" s="85">
        <f>'Alt scen Calcs'!O630</f>
        <v>50700.0555433427</v>
      </c>
      <c r="J112" s="85">
        <f>'Alt scen Calcs'!P630</f>
        <v>67939.359066869569</v>
      </c>
      <c r="K112" s="85">
        <f>'Alt scen Calcs'!Q630</f>
        <v>91045.647119786794</v>
      </c>
      <c r="L112" s="85">
        <f>'Alt scen Calcs'!R630</f>
        <v>106974.96863559779</v>
      </c>
      <c r="M112" s="85">
        <f>'Alt scen Calcs'!S630</f>
        <v>122091.13741165452</v>
      </c>
      <c r="N112" s="85">
        <f ca="1">'Alt scen Calcs'!T630</f>
        <v>119204.0754393215</v>
      </c>
      <c r="O112" s="85">
        <f ca="1">'Alt scen Calcs'!U630</f>
        <v>143309.35510049993</v>
      </c>
      <c r="P112" s="85">
        <f ca="1">'Alt scen Calcs'!V630</f>
        <v>140590.27404597591</v>
      </c>
      <c r="Q112" s="85">
        <f ca="1">'Alt scen Calcs'!W630</f>
        <v>138238.0884680587</v>
      </c>
      <c r="R112" s="85">
        <f ca="1">'Alt scen Calcs'!X630</f>
        <v>139720.56772488618</v>
      </c>
      <c r="S112" s="85">
        <f ca="1">'Alt scen Calcs'!Y630</f>
        <v>133526.64218155234</v>
      </c>
      <c r="T112" s="85">
        <f ca="1">'Alt scen Calcs'!Z630</f>
        <v>128232.19353374555</v>
      </c>
      <c r="U112" s="85">
        <f ca="1">'Alt scen Calcs'!AA630</f>
        <v>115891.85941335843</v>
      </c>
      <c r="V112" s="85">
        <f ca="1">'Alt scen Calcs'!AB630</f>
        <v>81419.126757513179</v>
      </c>
      <c r="W112" s="85">
        <f ca="1">'Alt scen Calcs'!AC630</f>
        <v>2357.520179482151</v>
      </c>
    </row>
    <row r="113" spans="1:85">
      <c r="A113" s="58" t="s">
        <v>368</v>
      </c>
      <c r="B113" s="58" t="s">
        <v>365</v>
      </c>
      <c r="C113" s="58">
        <f>'Alt scen Calcs'!I654</f>
        <v>30261.850759686524</v>
      </c>
      <c r="D113" s="58">
        <f>'Alt scen Calcs'!J654</f>
        <v>37031.699102564562</v>
      </c>
      <c r="E113" s="58">
        <f>'Alt scen Calcs'!K654</f>
        <v>45910.058002359598</v>
      </c>
      <c r="F113" s="58">
        <f>'Alt scen Calcs'!L654</f>
        <v>44140.835629698391</v>
      </c>
      <c r="G113" s="58">
        <f>'Alt scen Calcs'!M654</f>
        <v>42999.68486678577</v>
      </c>
      <c r="H113" s="58">
        <f>'Alt scen Calcs'!N654</f>
        <v>39300.68806390011</v>
      </c>
      <c r="I113" s="58">
        <f>'Alt scen Calcs'!O654</f>
        <v>46365.786709174892</v>
      </c>
      <c r="J113" s="58">
        <f>'Alt scen Calcs'!P654</f>
        <v>63487.203875082014</v>
      </c>
      <c r="K113" s="58">
        <f>'Alt scen Calcs'!Q654</f>
        <v>85178.259693686035</v>
      </c>
      <c r="L113" s="58">
        <f>'Alt scen Calcs'!R654</f>
        <v>99869.257223097724</v>
      </c>
      <c r="M113" s="58">
        <f>'Alt scen Calcs'!S654</f>
        <v>113895.21996764264</v>
      </c>
      <c r="N113" s="58">
        <f ca="1">'Alt scen Calcs'!T654</f>
        <v>110638.08888726502</v>
      </c>
      <c r="O113" s="58">
        <f ca="1">'Alt scen Calcs'!U654</f>
        <v>133187.83919508572</v>
      </c>
      <c r="P113" s="58">
        <f ca="1">'Alt scen Calcs'!V654</f>
        <v>130678.21434934318</v>
      </c>
      <c r="Q113" s="58">
        <f ca="1">'Alt scen Calcs'!W654</f>
        <v>128395.58673604917</v>
      </c>
      <c r="R113" s="58">
        <f ca="1">'Alt scen Calcs'!X654</f>
        <v>129805.73018156372</v>
      </c>
      <c r="S113" s="58">
        <f ca="1">'Alt scen Calcs'!Y654</f>
        <v>123426.10805292756</v>
      </c>
      <c r="T113" s="58">
        <f ca="1">'Alt scen Calcs'!Z654</f>
        <v>118413.29797998513</v>
      </c>
      <c r="U113" s="58">
        <f ca="1">'Alt scen Calcs'!AA654</f>
        <v>106823.10852865299</v>
      </c>
      <c r="V113" s="58">
        <f ca="1">'Alt scen Calcs'!AB654</f>
        <v>75791.79040483071</v>
      </c>
      <c r="W113" s="58">
        <f ca="1">'Alt scen Calcs'!AC654</f>
        <v>2290.8849519130799</v>
      </c>
    </row>
    <row r="114" spans="1:85">
      <c r="A114" s="58" t="s">
        <v>697</v>
      </c>
      <c r="B114" s="58" t="s">
        <v>698</v>
      </c>
      <c r="C114" s="58">
        <f ca="1">C109/C103</f>
        <v>0.96177880045855879</v>
      </c>
      <c r="D114" s="58">
        <f t="shared" ref="D114:W114" ca="1" si="34">D109/D103</f>
        <v>0.96102504869828576</v>
      </c>
      <c r="E114" s="58">
        <f t="shared" ca="1" si="34"/>
        <v>0.95943829848351569</v>
      </c>
      <c r="F114" s="58">
        <f t="shared" ca="1" si="34"/>
        <v>0.95751920816280767</v>
      </c>
      <c r="G114" s="58">
        <f t="shared" ca="1" si="34"/>
        <v>0.95546667311422395</v>
      </c>
      <c r="H114" s="58">
        <f t="shared" ca="1" si="34"/>
        <v>0.94777355733293767</v>
      </c>
      <c r="I114" s="58">
        <f t="shared" ca="1" si="34"/>
        <v>0.93873204923794695</v>
      </c>
      <c r="J114" s="58">
        <f t="shared" ca="1" si="34"/>
        <v>0.92372010484513811</v>
      </c>
      <c r="K114" s="58">
        <f t="shared" ca="1" si="34"/>
        <v>0.90313704021843044</v>
      </c>
      <c r="L114" s="58">
        <f t="shared" ca="1" si="34"/>
        <v>0.87367067193931236</v>
      </c>
      <c r="M114" s="58">
        <f t="shared" ca="1" si="34"/>
        <v>0.83816238035214718</v>
      </c>
      <c r="N114" s="58">
        <f t="shared" ca="1" si="34"/>
        <v>0.79533503709947062</v>
      </c>
      <c r="O114" s="58">
        <f t="shared" ca="1" si="34"/>
        <v>0.7651170189565587</v>
      </c>
      <c r="P114" s="58">
        <f t="shared" ca="1" si="34"/>
        <v>0.72232209067014286</v>
      </c>
      <c r="Q114" s="58">
        <f t="shared" ca="1" si="34"/>
        <v>0.68214949027027505</v>
      </c>
      <c r="R114" s="58">
        <f t="shared" ca="1" si="34"/>
        <v>0.64424510593611894</v>
      </c>
      <c r="S114" s="58">
        <f t="shared" ca="1" si="34"/>
        <v>0.6085513582982135</v>
      </c>
      <c r="T114" s="58">
        <f t="shared" ca="1" si="34"/>
        <v>0.5717680562525147</v>
      </c>
      <c r="U114" s="58">
        <f t="shared" ca="1" si="34"/>
        <v>0.53520389518575451</v>
      </c>
      <c r="V114" s="58">
        <f t="shared" ca="1" si="34"/>
        <v>0.49899279881892639</v>
      </c>
      <c r="W114" s="58">
        <f t="shared" ca="1" si="34"/>
        <v>0.46951562986554118</v>
      </c>
    </row>
    <row r="115" spans="1:85">
      <c r="A115" s="58" t="s">
        <v>710</v>
      </c>
      <c r="B115" s="58" t="s">
        <v>28</v>
      </c>
      <c r="C115" s="336">
        <f>'Alt scen Calcs'!I$38</f>
        <v>38.824652367661919</v>
      </c>
      <c r="D115" s="336">
        <f>'Alt scen Calcs'!J$38</f>
        <v>39.571914629237234</v>
      </c>
      <c r="E115" s="336">
        <f>'Alt scen Calcs'!K$38</f>
        <v>40.465240113533476</v>
      </c>
      <c r="F115" s="336">
        <f>'Alt scen Calcs'!L$38</f>
        <v>41.494224317014336</v>
      </c>
      <c r="G115" s="336">
        <f>'Alt scen Calcs'!M$38</f>
        <v>42.754508637571043</v>
      </c>
      <c r="H115" s="336">
        <f>'Alt scen Calcs'!N$38</f>
        <v>43.999586376036262</v>
      </c>
      <c r="I115" s="336">
        <f>'Alt scen Calcs'!O$38</f>
        <v>45.313894080339054</v>
      </c>
      <c r="J115" s="336">
        <f>'Alt scen Calcs'!P$38</f>
        <v>46.606592431143419</v>
      </c>
      <c r="K115" s="336">
        <f>'Alt scen Calcs'!Q$38</f>
        <v>47.970121440637108</v>
      </c>
      <c r="L115" s="336">
        <f>'Alt scen Calcs'!R$38</f>
        <v>49.397678164200236</v>
      </c>
      <c r="M115" s="336">
        <f>'Alt scen Calcs'!S$38</f>
        <v>50.832576878623705</v>
      </c>
      <c r="N115" s="336">
        <f>'Alt scen Calcs'!T$38</f>
        <v>52.342708157078782</v>
      </c>
      <c r="O115" s="336">
        <f>'Alt scen Calcs'!U$38</f>
        <v>53.875249135458155</v>
      </c>
      <c r="P115" s="336">
        <f>'Alt scen Calcs'!V$38</f>
        <v>55.513836015265028</v>
      </c>
      <c r="Q115" s="336">
        <f>'Alt scen Calcs'!W$38</f>
        <v>57.209247491308531</v>
      </c>
      <c r="R115" s="336">
        <f>'Alt scen Calcs'!X$38</f>
        <v>58.979491358170705</v>
      </c>
      <c r="S115" s="336">
        <f>'Alt scen Calcs'!Y$38</f>
        <v>60.891396542411499</v>
      </c>
      <c r="T115" s="336">
        <f>'Alt scen Calcs'!Z$38</f>
        <v>62.884536888877911</v>
      </c>
      <c r="U115" s="336">
        <f>'Alt scen Calcs'!AA$38</f>
        <v>64.940104256562037</v>
      </c>
      <c r="V115" s="336">
        <f>'Alt scen Calcs'!AB$38</f>
        <v>67.039290504455948</v>
      </c>
      <c r="W115" s="336">
        <f>'Alt scen Calcs'!AC$38</f>
        <v>68.567829750705968</v>
      </c>
    </row>
    <row r="122" spans="1:85">
      <c r="B122" s="11" t="s">
        <v>724</v>
      </c>
    </row>
    <row r="123" spans="1:85">
      <c r="AG123" s="4" t="s">
        <v>333</v>
      </c>
      <c r="AO123" s="4" t="s">
        <v>262</v>
      </c>
      <c r="AQ123" s="319" t="s">
        <v>101</v>
      </c>
      <c r="AR123" s="319"/>
      <c r="AU123" s="4" t="s">
        <v>725</v>
      </c>
      <c r="AW123" s="21"/>
      <c r="AX123" s="4" t="s">
        <v>726</v>
      </c>
      <c r="AY123" s="324" t="s">
        <v>348</v>
      </c>
      <c r="AZ123" s="324"/>
      <c r="BA123" s="324"/>
      <c r="BB123" s="324"/>
    </row>
    <row r="125" spans="1:85">
      <c r="BB125" s="11" t="s">
        <v>730</v>
      </c>
    </row>
    <row r="126" spans="1:85" ht="15.75">
      <c r="D126" s="32" t="s">
        <v>331</v>
      </c>
      <c r="Y126" s="32" t="s">
        <v>332</v>
      </c>
      <c r="AF126" s="11"/>
      <c r="AH126" s="4" t="s">
        <v>654</v>
      </c>
      <c r="AO126" s="4" t="s">
        <v>655</v>
      </c>
      <c r="AU126" s="4" t="s">
        <v>271</v>
      </c>
      <c r="BB126" s="4" t="s">
        <v>729</v>
      </c>
      <c r="BL126" s="11" t="s">
        <v>727</v>
      </c>
    </row>
    <row r="127" spans="1:85">
      <c r="A127" s="4"/>
      <c r="J127" s="11"/>
      <c r="BM127">
        <v>2010</v>
      </c>
      <c r="BN127">
        <v>2011</v>
      </c>
      <c r="BO127">
        <v>2012</v>
      </c>
      <c r="BP127">
        <v>2013</v>
      </c>
      <c r="BQ127">
        <v>2014</v>
      </c>
      <c r="BR127">
        <v>2015</v>
      </c>
      <c r="BS127">
        <v>2016</v>
      </c>
      <c r="BT127">
        <v>2017</v>
      </c>
      <c r="BU127">
        <v>2018</v>
      </c>
      <c r="BV127">
        <v>2019</v>
      </c>
      <c r="BW127">
        <v>2020</v>
      </c>
      <c r="BX127">
        <v>2021</v>
      </c>
      <c r="BY127">
        <v>2022</v>
      </c>
      <c r="BZ127">
        <v>2023</v>
      </c>
      <c r="CA127">
        <v>2024</v>
      </c>
      <c r="CB127">
        <v>2025</v>
      </c>
      <c r="CC127">
        <v>2026</v>
      </c>
      <c r="CD127">
        <v>2027</v>
      </c>
      <c r="CE127">
        <v>2028</v>
      </c>
      <c r="CF127">
        <v>2029</v>
      </c>
      <c r="CG127">
        <v>2030</v>
      </c>
    </row>
    <row r="128" spans="1:85">
      <c r="BL128" s="11" t="str">
        <f>AY123&amp;" - "&amp;BM132&amp; " reference"</f>
        <v>Average cost (R/kWh) - R / kWh reference</v>
      </c>
      <c r="BM128">
        <f ca="1">VALUE(VLOOKUP($AY$123,$A$40:$W$61,C$6-2007,FALSE))*IF($BM$132="percent",100,1)</f>
        <v>0.11213531685831545</v>
      </c>
      <c r="BN128">
        <f t="shared" ref="BN128:CG128" ca="1" si="35">VALUE(VLOOKUP($AY$123,$A$40:$W$61,D$6-2007,FALSE))*IF($BM$132="percent",100,1)</f>
        <v>0.11738717550437631</v>
      </c>
      <c r="BO128">
        <f t="shared" ca="1" si="35"/>
        <v>0.12412266262515818</v>
      </c>
      <c r="BP128">
        <f t="shared" ca="1" si="35"/>
        <v>0.13991373488358169</v>
      </c>
      <c r="BQ128">
        <f t="shared" ca="1" si="35"/>
        <v>0.16133825436935464</v>
      </c>
      <c r="BR128">
        <f t="shared" ca="1" si="35"/>
        <v>0.17910195098757228</v>
      </c>
      <c r="BS128">
        <f t="shared" ca="1" si="35"/>
        <v>0.18958927150392835</v>
      </c>
      <c r="BT128">
        <f t="shared" ca="1" si="35"/>
        <v>0.19951484024610688</v>
      </c>
      <c r="BU128">
        <f t="shared" ca="1" si="35"/>
        <v>0.21443150843935896</v>
      </c>
      <c r="BV128">
        <f t="shared" ca="1" si="35"/>
        <v>0.22832938247221654</v>
      </c>
      <c r="BW128">
        <f t="shared" ca="1" si="35"/>
        <v>0.24063617274836691</v>
      </c>
      <c r="BX128">
        <f t="shared" ca="1" si="35"/>
        <v>0.25720924663182743</v>
      </c>
      <c r="BY128">
        <f t="shared" ca="1" si="35"/>
        <v>0.27349843720432687</v>
      </c>
      <c r="BZ128">
        <f t="shared" ca="1" si="35"/>
        <v>0.2864678847559835</v>
      </c>
      <c r="CA128">
        <f t="shared" ca="1" si="35"/>
        <v>0.30062533612241965</v>
      </c>
      <c r="CB128">
        <f t="shared" ca="1" si="35"/>
        <v>0.31335625851087034</v>
      </c>
      <c r="CC128">
        <f t="shared" ca="1" si="35"/>
        <v>0.33193359951048179</v>
      </c>
      <c r="CD128">
        <f t="shared" ca="1" si="35"/>
        <v>0.34675757500063115</v>
      </c>
      <c r="CE128">
        <f t="shared" ca="1" si="35"/>
        <v>0.3604307712213598</v>
      </c>
      <c r="CF128">
        <f t="shared" ca="1" si="35"/>
        <v>0.37977339786638209</v>
      </c>
      <c r="CG128">
        <f t="shared" ca="1" si="35"/>
        <v>0.39690952391183165</v>
      </c>
    </row>
    <row r="129" spans="64:85">
      <c r="BL129" s="11" t="str">
        <f>AY123&amp;" - "&amp;BM132&amp; " scenario"</f>
        <v>Average cost (R/kWh) - R / kWh scenario</v>
      </c>
      <c r="BM129">
        <f ca="1">VALUE(VLOOKUP($AY$123,$A$99:$W$117,C$6-2007,FALSE))*IF($BM$132="percent",100,1)</f>
        <v>0.11213531685831545</v>
      </c>
      <c r="BN129">
        <f t="shared" ref="BN129:CG129" ca="1" si="36">VALUE(VLOOKUP($AY$123,$A$99:$W$117,D$6-2007,FALSE))*IF($BM$132="percent",100,1)</f>
        <v>0.11882478129616292</v>
      </c>
      <c r="BO129">
        <f t="shared" ca="1" si="36"/>
        <v>0.1268949691092762</v>
      </c>
      <c r="BP129">
        <f t="shared" ca="1" si="36"/>
        <v>0.14518051558366465</v>
      </c>
      <c r="BQ129">
        <f t="shared" ca="1" si="36"/>
        <v>0.16848553004438802</v>
      </c>
      <c r="BR129">
        <f t="shared" ca="1" si="36"/>
        <v>0.1945187059306244</v>
      </c>
      <c r="BS129">
        <f t="shared" ca="1" si="36"/>
        <v>0.21424951956301871</v>
      </c>
      <c r="BT129">
        <f t="shared" ca="1" si="36"/>
        <v>0.22944592022538995</v>
      </c>
      <c r="BU129">
        <f t="shared" ca="1" si="36"/>
        <v>0.24435882027107403</v>
      </c>
      <c r="BV129">
        <f t="shared" ca="1" si="36"/>
        <v>0.266314274598487</v>
      </c>
      <c r="BW129">
        <f t="shared" ca="1" si="36"/>
        <v>0.29157930763711365</v>
      </c>
      <c r="BX129">
        <f t="shared" ca="1" si="36"/>
        <v>0.32196220212016691</v>
      </c>
      <c r="BY129">
        <f t="shared" ca="1" si="36"/>
        <v>0.34676167569557836</v>
      </c>
      <c r="BZ129">
        <f t="shared" ca="1" si="36"/>
        <v>0.38184570652813377</v>
      </c>
      <c r="CA129">
        <f t="shared" ca="1" si="36"/>
        <v>0.41297116575118181</v>
      </c>
      <c r="CB129">
        <f t="shared" ca="1" si="36"/>
        <v>0.44043279825337994</v>
      </c>
      <c r="CC129">
        <f t="shared" ca="1" si="36"/>
        <v>0.46744601657030288</v>
      </c>
      <c r="CD129">
        <f t="shared" ca="1" si="36"/>
        <v>0.49551332361631439</v>
      </c>
      <c r="CE129">
        <f t="shared" ca="1" si="36"/>
        <v>0.52401939341596682</v>
      </c>
      <c r="CF129">
        <f t="shared" ca="1" si="36"/>
        <v>0.55694095727485204</v>
      </c>
      <c r="CG129">
        <f t="shared" ca="1" si="36"/>
        <v>0.58111484366678268</v>
      </c>
    </row>
    <row r="132" spans="64:85">
      <c r="BL132" s="11" t="s">
        <v>728</v>
      </c>
      <c r="BM132" t="str">
        <f>VLOOKUP($AY$123,$A$40:$W$61,2,FALSE)</f>
        <v>R / kWh</v>
      </c>
    </row>
    <row r="134" spans="64:85">
      <c r="BL134" s="11" t="s">
        <v>731</v>
      </c>
    </row>
    <row r="136" spans="64:85">
      <c r="BM136">
        <f>BM127</f>
        <v>2010</v>
      </c>
      <c r="BN136">
        <f t="shared" ref="BN136:CG136" si="37">BN127</f>
        <v>2011</v>
      </c>
      <c r="BO136">
        <f t="shared" si="37"/>
        <v>2012</v>
      </c>
      <c r="BP136">
        <f t="shared" si="37"/>
        <v>2013</v>
      </c>
      <c r="BQ136">
        <f t="shared" si="37"/>
        <v>2014</v>
      </c>
      <c r="BR136">
        <f t="shared" si="37"/>
        <v>2015</v>
      </c>
      <c r="BS136">
        <f t="shared" si="37"/>
        <v>2016</v>
      </c>
      <c r="BT136">
        <f t="shared" si="37"/>
        <v>2017</v>
      </c>
      <c r="BU136">
        <f t="shared" si="37"/>
        <v>2018</v>
      </c>
      <c r="BV136">
        <f t="shared" si="37"/>
        <v>2019</v>
      </c>
      <c r="BW136">
        <f t="shared" si="37"/>
        <v>2020</v>
      </c>
      <c r="BX136">
        <f t="shared" si="37"/>
        <v>2021</v>
      </c>
      <c r="BY136">
        <f t="shared" si="37"/>
        <v>2022</v>
      </c>
      <c r="BZ136">
        <f t="shared" si="37"/>
        <v>2023</v>
      </c>
      <c r="CA136">
        <f t="shared" si="37"/>
        <v>2024</v>
      </c>
      <c r="CB136">
        <f t="shared" si="37"/>
        <v>2025</v>
      </c>
      <c r="CC136">
        <f t="shared" si="37"/>
        <v>2026</v>
      </c>
      <c r="CD136">
        <f t="shared" si="37"/>
        <v>2027</v>
      </c>
      <c r="CE136">
        <f t="shared" si="37"/>
        <v>2028</v>
      </c>
      <c r="CF136">
        <f t="shared" si="37"/>
        <v>2029</v>
      </c>
      <c r="CG136">
        <f t="shared" si="37"/>
        <v>2030</v>
      </c>
    </row>
    <row r="137" spans="64:85">
      <c r="BL137" s="11" t="str">
        <f>"Scenario / reference - "&amp;AY123&amp;" "&amp;BM132</f>
        <v>Scenario / reference - Average cost (R/kWh) R / kWh</v>
      </c>
      <c r="BM137">
        <f ca="1">BM129/BM128</f>
        <v>1</v>
      </c>
      <c r="BN137">
        <f t="shared" ref="BN137:CG137" ca="1" si="38">BN129/BN128</f>
        <v>1.0122467022961381</v>
      </c>
      <c r="BO137">
        <f t="shared" ca="1" si="38"/>
        <v>1.0223352160313397</v>
      </c>
      <c r="BP137">
        <f t="shared" ca="1" si="38"/>
        <v>1.0376430570198509</v>
      </c>
      <c r="BQ137">
        <f t="shared" ca="1" si="38"/>
        <v>1.0442999442566856</v>
      </c>
      <c r="BR137">
        <f t="shared" ca="1" si="38"/>
        <v>1.0860780960678751</v>
      </c>
      <c r="BS137">
        <f t="shared" ca="1" si="38"/>
        <v>1.1300719595759372</v>
      </c>
      <c r="BT137">
        <f t="shared" ca="1" si="38"/>
        <v>1.1500193165699468</v>
      </c>
      <c r="BU137">
        <f t="shared" ca="1" si="38"/>
        <v>1.1395658317638448</v>
      </c>
      <c r="BV137">
        <f t="shared" ca="1" si="38"/>
        <v>1.1663600703290673</v>
      </c>
      <c r="BW137">
        <f t="shared" ca="1" si="38"/>
        <v>1.2117018996226221</v>
      </c>
      <c r="BX137">
        <f t="shared" ca="1" si="38"/>
        <v>1.2517520514378229</v>
      </c>
      <c r="BY137">
        <f t="shared" ca="1" si="38"/>
        <v>1.2678744318985544</v>
      </c>
      <c r="BZ137">
        <f t="shared" ca="1" si="38"/>
        <v>1.3329442036875936</v>
      </c>
      <c r="CA137">
        <f t="shared" ca="1" si="38"/>
        <v>1.3737071235506679</v>
      </c>
      <c r="CB137">
        <f t="shared" ca="1" si="38"/>
        <v>1.405533753646415</v>
      </c>
      <c r="CC137">
        <f t="shared" ca="1" si="38"/>
        <v>1.4082515818213874</v>
      </c>
      <c r="CD137">
        <f t="shared" ca="1" si="38"/>
        <v>1.4289906244021129</v>
      </c>
      <c r="CE137">
        <f t="shared" ca="1" si="38"/>
        <v>1.453869744917363</v>
      </c>
      <c r="CF137">
        <f t="shared" ca="1" si="38"/>
        <v>1.4665086085645311</v>
      </c>
      <c r="CG137">
        <f t="shared" ca="1" si="38"/>
        <v>1.4640990166712902</v>
      </c>
    </row>
  </sheetData>
  <mergeCells count="2">
    <mergeCell ref="X30:Y30"/>
    <mergeCell ref="X89:Y89"/>
  </mergeCells>
  <conditionalFormatting sqref="C36:W36">
    <cfRule type="colorScale" priority="20">
      <colorScale>
        <cfvo type="min" val="0"/>
        <cfvo type="percentile" val="50"/>
        <cfvo type="max" val="0"/>
        <color rgb="FF63BE7B"/>
        <color rgb="FFFFEB84"/>
        <color rgb="FFF8696B"/>
      </colorScale>
    </cfRule>
  </conditionalFormatting>
  <conditionalFormatting sqref="C92:W92">
    <cfRule type="cellIs" dxfId="7" priority="14" operator="greaterThan">
      <formula>0</formula>
    </cfRule>
  </conditionalFormatting>
  <conditionalFormatting sqref="C32:W32">
    <cfRule type="cellIs" dxfId="6" priority="9" operator="lessThan">
      <formula>$B$32</formula>
    </cfRule>
  </conditionalFormatting>
  <conditionalFormatting sqref="C91:W91">
    <cfRule type="cellIs" dxfId="5" priority="8" operator="lessThan">
      <formula>$B$91</formula>
    </cfRule>
  </conditionalFormatting>
  <conditionalFormatting sqref="C31:W31">
    <cfRule type="cellIs" dxfId="4" priority="7" operator="lessThan">
      <formula>$B$31</formula>
    </cfRule>
  </conditionalFormatting>
  <conditionalFormatting sqref="C90:W90">
    <cfRule type="cellIs" dxfId="3" priority="6" operator="lessThan">
      <formula>$B$90</formula>
    </cfRule>
  </conditionalFormatting>
  <conditionalFormatting sqref="C89:W89">
    <cfRule type="cellIs" dxfId="2" priority="4" operator="greaterThan">
      <formula>$B$89</formula>
    </cfRule>
  </conditionalFormatting>
  <conditionalFormatting sqref="C33:W33">
    <cfRule type="cellIs" dxfId="1" priority="2" operator="greaterThan">
      <formula>$B$33</formula>
    </cfRule>
  </conditionalFormatting>
  <conditionalFormatting sqref="C30:W30">
    <cfRule type="cellIs" dxfId="0" priority="1" operator="greaterThan">
      <formula>$B$30</formula>
    </cfRule>
  </conditionalFormatting>
  <dataValidations count="8">
    <dataValidation type="list" allowBlank="1" showInputMessage="1" showErrorMessage="1" sqref="A94:A96">
      <formula1>$A$99:$A$114</formula1>
    </dataValidation>
    <dataValidation type="list" allowBlank="1" showInputMessage="1" showErrorMessage="1" sqref="A35:A37">
      <formula1>$A$40:$A$55</formula1>
    </dataValidation>
    <dataValidation type="list" allowBlank="1" showInputMessage="1" showErrorMessage="1" sqref="AQ123 AX63:AX64 AX4:AX5">
      <formula1>plant_descriptions</formula1>
    </dataValidation>
    <dataValidation type="list" allowBlank="1" showInputMessage="1" showErrorMessage="1" sqref="A90">
      <formula1>$A$99:$A$102</formula1>
    </dataValidation>
    <dataValidation type="list" allowBlank="1" showInputMessage="1" showErrorMessage="1" sqref="BO21:BO22">
      <formula1>$A$40:$A$54</formula1>
    </dataValidation>
    <dataValidation type="list" allowBlank="1" showInputMessage="1" showErrorMessage="1" sqref="A31">
      <formula1>$A$40:$A$43</formula1>
    </dataValidation>
    <dataValidation type="list" allowBlank="1" showInputMessage="1" showErrorMessage="1" sqref="Z8:Z9">
      <formula1>$A$40:$A$56</formula1>
    </dataValidation>
    <dataValidation type="list" allowBlank="1" showInputMessage="1" showErrorMessage="1" sqref="Z67:Z68 AY123">
      <formula1>$A$99:$A$115</formula1>
    </dataValidation>
  </dataValidations>
  <pageMargins left="0.7" right="0.7" top="0.75" bottom="0.75" header="0.3" footer="0.3"/>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sheetPr codeName="Sheet21">
    <tabColor theme="5" tint="0.39997558519241921"/>
  </sheetPr>
  <dimension ref="A1:BA130"/>
  <sheetViews>
    <sheetView workbookViewId="0">
      <selection activeCell="AL119" sqref="AL119"/>
    </sheetView>
  </sheetViews>
  <sheetFormatPr defaultRowHeight="12.75"/>
  <cols>
    <col min="1" max="1" width="15.28515625" customWidth="1"/>
    <col min="2" max="22" width="4.85546875" customWidth="1"/>
  </cols>
  <sheetData>
    <row r="1" spans="1:32">
      <c r="Y1" s="4" t="s">
        <v>274</v>
      </c>
      <c r="AB1" s="11" t="s">
        <v>272</v>
      </c>
      <c r="AD1" s="69" t="s">
        <v>59</v>
      </c>
      <c r="AE1" s="69"/>
      <c r="AF1" s="69"/>
    </row>
    <row r="2" spans="1:32">
      <c r="AB2" s="11" t="s">
        <v>273</v>
      </c>
      <c r="AD2" s="69" t="s">
        <v>101</v>
      </c>
      <c r="AE2" s="69"/>
      <c r="AF2" s="69"/>
    </row>
    <row r="4" spans="1:32">
      <c r="D4" s="4" t="s">
        <v>666</v>
      </c>
    </row>
    <row r="5" spans="1:32" ht="20.25" thickBot="1">
      <c r="A5" s="283" t="s">
        <v>656</v>
      </c>
      <c r="B5" s="283"/>
      <c r="C5" s="283"/>
      <c r="D5" s="283"/>
      <c r="E5" s="283"/>
      <c r="Y5" s="32" t="str">
        <f>AD1</f>
        <v>Existing coal Large</v>
      </c>
      <c r="AF5" s="32" t="str">
        <f>AD2</f>
        <v>Supercritical coal</v>
      </c>
    </row>
    <row r="6" spans="1:32" ht="13.5" thickTop="1">
      <c r="A6" s="4"/>
      <c r="I6" s="4"/>
    </row>
    <row r="36" spans="1:22">
      <c r="A36" s="4" t="s">
        <v>645</v>
      </c>
      <c r="B36" s="4"/>
      <c r="C36" s="4"/>
      <c r="D36" s="315" t="s">
        <v>591</v>
      </c>
    </row>
    <row r="37" spans="1:22">
      <c r="B37" s="313">
        <v>2010</v>
      </c>
      <c r="C37" s="313">
        <v>2011</v>
      </c>
      <c r="D37" s="313">
        <v>2012</v>
      </c>
      <c r="E37" s="313">
        <v>2013</v>
      </c>
      <c r="F37" s="313">
        <v>2014</v>
      </c>
      <c r="G37" s="313">
        <v>2015</v>
      </c>
      <c r="H37" s="313">
        <v>2016</v>
      </c>
      <c r="I37" s="313">
        <v>2017</v>
      </c>
      <c r="J37" s="313">
        <v>2018</v>
      </c>
      <c r="K37" s="313">
        <v>2019</v>
      </c>
      <c r="L37" s="313">
        <v>2020</v>
      </c>
      <c r="M37" s="313">
        <v>2021</v>
      </c>
      <c r="N37" s="313">
        <v>2022</v>
      </c>
      <c r="O37" s="313">
        <v>2023</v>
      </c>
      <c r="P37" s="313">
        <v>2024</v>
      </c>
      <c r="Q37" s="313">
        <v>2025</v>
      </c>
      <c r="R37" s="313">
        <v>2026</v>
      </c>
      <c r="S37" s="313">
        <v>2027</v>
      </c>
      <c r="T37" s="313">
        <v>2028</v>
      </c>
      <c r="U37" s="313">
        <v>2029</v>
      </c>
      <c r="V37" s="313">
        <v>2030</v>
      </c>
    </row>
    <row r="38" spans="1:22">
      <c r="A38" s="4" t="s">
        <v>644</v>
      </c>
      <c r="B38" s="314">
        <v>0</v>
      </c>
      <c r="C38" s="314">
        <v>0</v>
      </c>
      <c r="D38" s="314">
        <v>100</v>
      </c>
      <c r="E38" s="314">
        <v>100</v>
      </c>
      <c r="F38" s="314">
        <v>100</v>
      </c>
      <c r="G38" s="314">
        <v>100</v>
      </c>
      <c r="H38" s="314">
        <v>300</v>
      </c>
      <c r="I38" s="314">
        <v>300</v>
      </c>
      <c r="J38" s="314">
        <v>300</v>
      </c>
      <c r="K38" s="314">
        <v>300</v>
      </c>
      <c r="L38" s="314">
        <v>500</v>
      </c>
      <c r="M38" s="314">
        <v>500</v>
      </c>
      <c r="N38" s="314">
        <v>500</v>
      </c>
      <c r="O38" s="314">
        <v>500</v>
      </c>
      <c r="P38" s="314">
        <v>500</v>
      </c>
      <c r="Q38" s="314">
        <v>500</v>
      </c>
      <c r="R38" s="314">
        <v>500</v>
      </c>
      <c r="S38" s="314">
        <v>500</v>
      </c>
      <c r="T38" s="314">
        <v>500</v>
      </c>
      <c r="U38" s="314">
        <v>500</v>
      </c>
      <c r="V38" s="314">
        <v>500</v>
      </c>
    </row>
    <row r="41" spans="1:22">
      <c r="B41" s="11" t="s">
        <v>705</v>
      </c>
    </row>
    <row r="61" spans="25:32">
      <c r="Y61" s="4" t="s">
        <v>274</v>
      </c>
      <c r="AB61" s="11" t="s">
        <v>272</v>
      </c>
      <c r="AD61" s="69" t="s">
        <v>108</v>
      </c>
      <c r="AE61" s="69"/>
      <c r="AF61" s="69"/>
    </row>
    <row r="62" spans="25:32">
      <c r="AB62" s="11" t="s">
        <v>273</v>
      </c>
      <c r="AD62" s="69" t="s">
        <v>60</v>
      </c>
      <c r="AE62" s="69"/>
      <c r="AF62" s="69"/>
    </row>
    <row r="65" spans="1:32" ht="20.25" thickBot="1">
      <c r="A65" s="283" t="s">
        <v>657</v>
      </c>
      <c r="B65" s="283"/>
      <c r="C65" s="283"/>
      <c r="D65" s="283"/>
      <c r="E65" s="283"/>
      <c r="Y65" s="32" t="str">
        <f>AD61</f>
        <v xml:space="preserve">Wind 30% </v>
      </c>
      <c r="AF65" s="32" t="str">
        <f>AD62</f>
        <v>Existing coal Small</v>
      </c>
    </row>
    <row r="66" spans="1:32" ht="13.5" thickTop="1">
      <c r="A66" s="4"/>
    </row>
    <row r="97" spans="1:22">
      <c r="B97" s="11" t="s">
        <v>645</v>
      </c>
      <c r="E97" s="315" t="s">
        <v>591</v>
      </c>
    </row>
    <row r="98" spans="1:22">
      <c r="B98" s="313">
        <v>2010</v>
      </c>
      <c r="C98" s="313">
        <v>2011</v>
      </c>
      <c r="D98" s="313">
        <v>2012</v>
      </c>
      <c r="E98" s="313">
        <v>2013</v>
      </c>
      <c r="F98" s="313">
        <v>2014</v>
      </c>
      <c r="G98" s="313">
        <v>2015</v>
      </c>
      <c r="H98" s="313">
        <v>2016</v>
      </c>
      <c r="I98" s="313">
        <v>2017</v>
      </c>
      <c r="J98" s="313">
        <v>2018</v>
      </c>
      <c r="K98" s="313">
        <v>2019</v>
      </c>
      <c r="L98" s="313">
        <v>2020</v>
      </c>
      <c r="M98" s="313">
        <v>2021</v>
      </c>
      <c r="N98" s="313">
        <v>2022</v>
      </c>
      <c r="O98" s="313">
        <v>2023</v>
      </c>
      <c r="P98" s="313">
        <v>2024</v>
      </c>
      <c r="Q98" s="313">
        <v>2025</v>
      </c>
      <c r="R98" s="313">
        <v>2026</v>
      </c>
      <c r="S98" s="313">
        <v>2027</v>
      </c>
      <c r="T98" s="313">
        <v>2028</v>
      </c>
      <c r="U98" s="313">
        <v>2029</v>
      </c>
      <c r="V98" s="313">
        <v>2030</v>
      </c>
    </row>
    <row r="99" spans="1:22">
      <c r="A99" s="4" t="s">
        <v>644</v>
      </c>
      <c r="B99" s="314">
        <v>0</v>
      </c>
      <c r="C99" s="314">
        <v>0</v>
      </c>
      <c r="D99" s="314">
        <v>100</v>
      </c>
      <c r="E99" s="314">
        <v>100</v>
      </c>
      <c r="F99" s="314">
        <v>100</v>
      </c>
      <c r="G99" s="314">
        <v>100</v>
      </c>
      <c r="H99" s="314">
        <v>300</v>
      </c>
      <c r="I99" s="314">
        <v>300</v>
      </c>
      <c r="J99" s="314">
        <v>300</v>
      </c>
      <c r="K99" s="314">
        <v>300</v>
      </c>
      <c r="L99" s="314">
        <v>500</v>
      </c>
      <c r="M99" s="314">
        <v>500</v>
      </c>
      <c r="N99" s="314">
        <v>500</v>
      </c>
      <c r="O99" s="314">
        <v>500</v>
      </c>
      <c r="P99" s="314">
        <v>500</v>
      </c>
      <c r="Q99" s="314">
        <v>500</v>
      </c>
      <c r="R99" s="314">
        <v>500</v>
      </c>
      <c r="S99" s="314">
        <v>500</v>
      </c>
      <c r="T99" s="314">
        <v>500</v>
      </c>
      <c r="U99" s="314">
        <v>500</v>
      </c>
      <c r="V99" s="314">
        <v>500</v>
      </c>
    </row>
    <row r="122" spans="1:53">
      <c r="AQ122" s="4" t="s">
        <v>279</v>
      </c>
      <c r="AW122" s="4" t="s">
        <v>256</v>
      </c>
      <c r="AY122" s="69" t="s">
        <v>59</v>
      </c>
      <c r="AZ122" s="69"/>
      <c r="BA122" s="69"/>
    </row>
    <row r="124" spans="1:53" ht="14.25">
      <c r="AG124" s="320"/>
      <c r="AR124" s="4" t="str">
        <f>AY122&amp;" reference"</f>
        <v>Existing coal Large reference</v>
      </c>
      <c r="AY124" s="4" t="str">
        <f>AY122&amp;" scenario"</f>
        <v>Existing coal Large scenario</v>
      </c>
    </row>
    <row r="125" spans="1:53" ht="14.25">
      <c r="A125" s="321" t="s">
        <v>671</v>
      </c>
      <c r="M125" s="321" t="s">
        <v>672</v>
      </c>
      <c r="Z125" s="4" t="s">
        <v>674</v>
      </c>
      <c r="AG125" s="4" t="s">
        <v>673</v>
      </c>
    </row>
    <row r="127" spans="1:53">
      <c r="B127" s="11"/>
      <c r="I127" s="11"/>
    </row>
    <row r="130" spans="25:25">
      <c r="Y130" s="11"/>
    </row>
  </sheetData>
  <dataValidations count="3">
    <dataValidation type="list" allowBlank="1" showInputMessage="1" showErrorMessage="1" sqref="E97 D36">
      <formula1>yorn</formula1>
    </dataValidation>
    <dataValidation type="list" allowBlank="1" showInputMessage="1" showErrorMessage="1" sqref="AY122">
      <formula1>plant_descriptions</formula1>
    </dataValidation>
    <dataValidation type="list" allowBlank="1" showInputMessage="1" showErrorMessage="1" sqref="AD61:AD62 AD1:AD2">
      <formula1>'Tech Parameters'!B6:B25</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sheetPr codeName="Sheet22">
    <tabColor theme="5" tint="0.39997558519241921"/>
  </sheetPr>
  <dimension ref="A1:AT124"/>
  <sheetViews>
    <sheetView topLeftCell="A114" workbookViewId="0">
      <selection activeCell="A120" sqref="A120"/>
    </sheetView>
  </sheetViews>
  <sheetFormatPr defaultRowHeight="12.75"/>
  <sheetData>
    <row r="1" spans="1:28">
      <c r="R1" s="4" t="s">
        <v>288</v>
      </c>
      <c r="V1" s="11" t="s">
        <v>272</v>
      </c>
      <c r="X1" s="69" t="s">
        <v>59</v>
      </c>
      <c r="Y1" s="69"/>
      <c r="Z1" s="69"/>
    </row>
    <row r="2" spans="1:28">
      <c r="V2" s="11" t="s">
        <v>273</v>
      </c>
      <c r="X2" s="69" t="s">
        <v>101</v>
      </c>
      <c r="Y2" s="69"/>
      <c r="Z2" s="69"/>
    </row>
    <row r="5" spans="1:28" ht="20.25" thickBot="1">
      <c r="A5" s="283" t="s">
        <v>604</v>
      </c>
      <c r="B5" s="283"/>
      <c r="C5" s="283"/>
      <c r="D5" s="283"/>
      <c r="E5" s="283"/>
    </row>
    <row r="6" spans="1:28" ht="15.75" thickTop="1">
      <c r="U6" s="64" t="str">
        <f>X1</f>
        <v>Existing coal Large</v>
      </c>
      <c r="AB6" s="64" t="str">
        <f>X2</f>
        <v>Supercritical coal</v>
      </c>
    </row>
    <row r="62" spans="18:26">
      <c r="R62" s="4" t="s">
        <v>288</v>
      </c>
      <c r="V62" s="11" t="s">
        <v>272</v>
      </c>
      <c r="X62" s="69" t="s">
        <v>60</v>
      </c>
      <c r="Y62" s="69"/>
      <c r="Z62" s="69"/>
    </row>
    <row r="63" spans="18:26">
      <c r="V63" s="11" t="s">
        <v>273</v>
      </c>
      <c r="X63" s="69" t="s">
        <v>108</v>
      </c>
      <c r="Y63" s="69"/>
      <c r="Z63" s="69"/>
    </row>
    <row r="65" spans="21:28" ht="15">
      <c r="U65" s="64" t="str">
        <f>X62</f>
        <v>Existing coal Small</v>
      </c>
      <c r="AB65" s="64" t="str">
        <f>X63</f>
        <v xml:space="preserve">Wind 30% </v>
      </c>
    </row>
    <row r="122" spans="18:46">
      <c r="R122" s="4" t="s">
        <v>296</v>
      </c>
      <c r="Z122" s="4" t="s">
        <v>297</v>
      </c>
      <c r="AI122" s="4" t="s">
        <v>298</v>
      </c>
      <c r="AP122" s="11" t="s">
        <v>256</v>
      </c>
      <c r="AR122" s="69" t="s">
        <v>101</v>
      </c>
      <c r="AS122" s="69"/>
      <c r="AT122" s="69"/>
    </row>
    <row r="124" spans="18:46" ht="15">
      <c r="AK124" s="64" t="str">
        <f>AR122&amp;" reference"</f>
        <v>Supercritical coal reference</v>
      </c>
      <c r="AR124" s="64" t="str">
        <f>AR122&amp;" scenario"</f>
        <v>Supercritical coal scenario</v>
      </c>
    </row>
  </sheetData>
  <dataValidations count="2">
    <dataValidation type="list" allowBlank="1" showInputMessage="1" showErrorMessage="1" sqref="AR122">
      <formula1>plant_descriptions</formula1>
    </dataValidation>
    <dataValidation type="list" allowBlank="1" showInputMessage="1" showErrorMessage="1" sqref="X1:X2 X62:X63">
      <formula1>'Tech Parameters'!B6:B25</formula1>
    </dataValidation>
  </dataValidation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sheetPr codeName="Sheet29">
    <tabColor theme="5" tint="0.39997558519241921"/>
  </sheetPr>
  <dimension ref="A3:DF304"/>
  <sheetViews>
    <sheetView zoomScaleNormal="100" workbookViewId="0">
      <pane xSplit="1" ySplit="5" topLeftCell="B6" activePane="bottomRight" state="frozen"/>
      <selection pane="topRight" activeCell="B1" sqref="B1"/>
      <selection pane="bottomLeft" activeCell="A6" sqref="A6"/>
      <selection pane="bottomRight" activeCell="CO208" sqref="CO208"/>
    </sheetView>
  </sheetViews>
  <sheetFormatPr defaultRowHeight="12.75" outlineLevelCol="1"/>
  <cols>
    <col min="1" max="1" width="26.140625" customWidth="1"/>
    <col min="2" max="41" width="5.5703125" customWidth="1" outlineLevel="1"/>
    <col min="42" max="67" width="5.5703125" customWidth="1"/>
    <col min="76" max="101" width="5.85546875" customWidth="1"/>
  </cols>
  <sheetData>
    <row r="3" spans="1:67">
      <c r="B3" s="4">
        <v>2005</v>
      </c>
      <c r="C3" s="4">
        <v>2006</v>
      </c>
      <c r="D3" s="4">
        <v>2007</v>
      </c>
      <c r="E3" s="4">
        <v>2008</v>
      </c>
      <c r="F3" s="4">
        <v>2009</v>
      </c>
      <c r="G3" s="4">
        <v>2010</v>
      </c>
      <c r="H3" s="4">
        <v>2011</v>
      </c>
      <c r="I3" s="4">
        <v>2012</v>
      </c>
      <c r="J3" s="4">
        <v>2013</v>
      </c>
      <c r="K3" s="4">
        <v>2014</v>
      </c>
      <c r="L3" s="4">
        <v>2015</v>
      </c>
      <c r="M3" s="4">
        <v>2016</v>
      </c>
      <c r="N3" s="4">
        <v>2017</v>
      </c>
      <c r="O3" s="4">
        <v>2018</v>
      </c>
      <c r="P3" s="4">
        <v>2019</v>
      </c>
      <c r="Q3" s="4">
        <v>2020</v>
      </c>
      <c r="R3" s="4">
        <v>2021</v>
      </c>
      <c r="S3" s="4">
        <v>2022</v>
      </c>
      <c r="T3" s="4">
        <v>2023</v>
      </c>
      <c r="U3" s="4">
        <v>2024</v>
      </c>
      <c r="V3" s="4">
        <v>2025</v>
      </c>
      <c r="W3" s="4">
        <v>2026</v>
      </c>
      <c r="X3" s="4">
        <v>2027</v>
      </c>
      <c r="Y3" s="4">
        <v>2028</v>
      </c>
      <c r="Z3" s="4">
        <v>2029</v>
      </c>
      <c r="AA3" s="4">
        <v>2030</v>
      </c>
      <c r="AP3" s="4">
        <v>2005</v>
      </c>
      <c r="AQ3" s="4">
        <v>2006</v>
      </c>
      <c r="AR3" s="4">
        <v>2007</v>
      </c>
      <c r="AS3" s="4">
        <v>2008</v>
      </c>
      <c r="AT3" s="4">
        <v>2009</v>
      </c>
      <c r="AU3" s="4">
        <v>2010</v>
      </c>
      <c r="AV3" s="4">
        <v>2011</v>
      </c>
      <c r="AW3" s="4">
        <v>2012</v>
      </c>
      <c r="AX3" s="4">
        <v>2013</v>
      </c>
      <c r="AY3" s="4">
        <v>2014</v>
      </c>
      <c r="AZ3" s="4">
        <v>2015</v>
      </c>
      <c r="BA3" s="4">
        <v>2016</v>
      </c>
      <c r="BB3" s="4">
        <v>2017</v>
      </c>
      <c r="BC3" s="4">
        <v>2018</v>
      </c>
      <c r="BD3" s="4">
        <v>2019</v>
      </c>
      <c r="BE3" s="4">
        <v>2020</v>
      </c>
      <c r="BF3" s="4">
        <v>2021</v>
      </c>
      <c r="BG3" s="4">
        <v>2022</v>
      </c>
      <c r="BH3" s="4">
        <v>2023</v>
      </c>
      <c r="BI3" s="4">
        <v>2024</v>
      </c>
      <c r="BJ3" s="4">
        <v>2025</v>
      </c>
      <c r="BK3" s="4">
        <v>2026</v>
      </c>
      <c r="BL3" s="4">
        <v>2027</v>
      </c>
      <c r="BM3" s="4">
        <v>2028</v>
      </c>
      <c r="BN3" s="4">
        <v>2029</v>
      </c>
      <c r="BO3" s="4">
        <v>2030</v>
      </c>
    </row>
    <row r="4" spans="1:67" ht="20.25" thickBot="1">
      <c r="A4" s="283" t="s">
        <v>206</v>
      </c>
      <c r="B4" s="283"/>
      <c r="C4" s="283"/>
      <c r="D4" s="283"/>
    </row>
    <row r="5" spans="1:67" ht="15.75" thickTop="1">
      <c r="A5" s="64"/>
    </row>
    <row r="6" spans="1:67">
      <c r="A6" s="4" t="s">
        <v>207</v>
      </c>
    </row>
    <row r="7" spans="1:67">
      <c r="B7" s="4" t="s">
        <v>208</v>
      </c>
      <c r="AP7" s="4" t="s">
        <v>209</v>
      </c>
    </row>
    <row r="8" spans="1:67">
      <c r="B8" s="4">
        <v>2005</v>
      </c>
      <c r="C8" s="4">
        <v>2006</v>
      </c>
      <c r="D8" s="4">
        <v>2007</v>
      </c>
      <c r="E8" s="4">
        <v>2008</v>
      </c>
      <c r="F8" s="4">
        <v>2009</v>
      </c>
      <c r="G8" s="4">
        <v>2010</v>
      </c>
      <c r="H8" s="4">
        <v>2011</v>
      </c>
      <c r="I8" s="4">
        <v>2012</v>
      </c>
      <c r="J8" s="4">
        <v>2013</v>
      </c>
      <c r="K8" s="4">
        <v>2014</v>
      </c>
      <c r="L8" s="4">
        <v>2015</v>
      </c>
      <c r="M8" s="4">
        <v>2016</v>
      </c>
      <c r="N8" s="4">
        <v>2017</v>
      </c>
      <c r="O8" s="4">
        <v>2018</v>
      </c>
      <c r="P8" s="4">
        <v>2019</v>
      </c>
      <c r="Q8" s="4">
        <v>2020</v>
      </c>
      <c r="R8" s="4">
        <v>2021</v>
      </c>
      <c r="S8" s="4">
        <v>2022</v>
      </c>
      <c r="T8" s="4">
        <v>2023</v>
      </c>
      <c r="U8" s="4">
        <v>2024</v>
      </c>
      <c r="V8" s="4">
        <v>2025</v>
      </c>
      <c r="W8" s="4">
        <v>2026</v>
      </c>
      <c r="X8" s="4">
        <v>2027</v>
      </c>
      <c r="Y8" s="4">
        <v>2028</v>
      </c>
      <c r="Z8" s="4">
        <v>2029</v>
      </c>
      <c r="AA8" s="4">
        <v>2030</v>
      </c>
      <c r="AP8" s="4">
        <v>2005</v>
      </c>
      <c r="AQ8" s="4">
        <v>2006</v>
      </c>
      <c r="AR8" s="4">
        <v>2007</v>
      </c>
      <c r="AS8" s="4">
        <v>2008</v>
      </c>
      <c r="AT8" s="4">
        <v>2009</v>
      </c>
      <c r="AU8" s="4">
        <v>2010</v>
      </c>
      <c r="AV8" s="4">
        <v>2011</v>
      </c>
      <c r="AW8" s="4">
        <v>2012</v>
      </c>
      <c r="AX8" s="4">
        <v>2013</v>
      </c>
      <c r="AY8" s="4">
        <v>2014</v>
      </c>
      <c r="AZ8" s="4">
        <v>2015</v>
      </c>
      <c r="BA8" s="4">
        <v>2016</v>
      </c>
      <c r="BB8" s="4">
        <v>2017</v>
      </c>
      <c r="BC8" s="4">
        <v>2018</v>
      </c>
      <c r="BD8" s="4">
        <v>2019</v>
      </c>
      <c r="BE8" s="4">
        <v>2020</v>
      </c>
      <c r="BF8" s="4">
        <v>2021</v>
      </c>
      <c r="BG8" s="4">
        <v>2022</v>
      </c>
      <c r="BH8" s="4">
        <v>2023</v>
      </c>
      <c r="BI8" s="4">
        <v>2024</v>
      </c>
      <c r="BJ8" s="4">
        <v>2025</v>
      </c>
      <c r="BK8" s="4">
        <v>2026</v>
      </c>
      <c r="BL8" s="4">
        <v>2027</v>
      </c>
      <c r="BM8" s="4">
        <v>2028</v>
      </c>
      <c r="BN8" s="4">
        <v>2029</v>
      </c>
      <c r="BO8" s="4">
        <v>2030</v>
      </c>
    </row>
    <row r="9" spans="1:67">
      <c r="A9" t="str">
        <f>'Tech Parameters'!B6</f>
        <v>Existing coal Large</v>
      </c>
      <c r="B9">
        <f>'Ref scen Calcs'!D8</f>
        <v>30.471</v>
      </c>
      <c r="C9">
        <f>'Ref scen Calcs'!E8</f>
        <v>30.471</v>
      </c>
      <c r="D9">
        <f>'Ref scen Calcs'!F8</f>
        <v>30.471</v>
      </c>
      <c r="E9">
        <f>'Ref scen Calcs'!G8</f>
        <v>30.471</v>
      </c>
      <c r="F9">
        <f>'Ref scen Calcs'!H8</f>
        <v>30.471</v>
      </c>
      <c r="G9">
        <f ca="1">'Ref scen Calcs'!I8</f>
        <v>30.471</v>
      </c>
      <c r="H9">
        <f ca="1">'Ref scen Calcs'!J8</f>
        <v>30.471</v>
      </c>
      <c r="I9">
        <f ca="1">'Ref scen Calcs'!K8</f>
        <v>30.471</v>
      </c>
      <c r="J9">
        <f ca="1">'Ref scen Calcs'!L8</f>
        <v>30.471</v>
      </c>
      <c r="K9">
        <f ca="1">'Ref scen Calcs'!M8</f>
        <v>30.471</v>
      </c>
      <c r="L9">
        <f ca="1">'Ref scen Calcs'!N8</f>
        <v>30.471</v>
      </c>
      <c r="M9">
        <f ca="1">'Ref scen Calcs'!O8</f>
        <v>30.471</v>
      </c>
      <c r="N9">
        <f ca="1">'Ref scen Calcs'!P8</f>
        <v>30.471</v>
      </c>
      <c r="O9">
        <f ca="1">'Ref scen Calcs'!Q8</f>
        <v>30.471</v>
      </c>
      <c r="P9">
        <f ca="1">'Ref scen Calcs'!R8</f>
        <v>30.471</v>
      </c>
      <c r="Q9">
        <f ca="1">'Ref scen Calcs'!S8</f>
        <v>30.471</v>
      </c>
      <c r="R9">
        <f ca="1">'Ref scen Calcs'!T8</f>
        <v>30.471</v>
      </c>
      <c r="S9">
        <f ca="1">'Ref scen Calcs'!U8</f>
        <v>30.471</v>
      </c>
      <c r="T9">
        <f ca="1">'Ref scen Calcs'!V8</f>
        <v>30.471</v>
      </c>
      <c r="U9">
        <f ca="1">'Ref scen Calcs'!W8</f>
        <v>29.331</v>
      </c>
      <c r="V9">
        <f ca="1">'Ref scen Calcs'!X8</f>
        <v>28.190999999999999</v>
      </c>
      <c r="W9">
        <f ca="1">'Ref scen Calcs'!Y8</f>
        <v>26.765999999999998</v>
      </c>
      <c r="X9">
        <f ca="1">'Ref scen Calcs'!Z8</f>
        <v>25.340999999999998</v>
      </c>
      <c r="Y9">
        <f ca="1">'Ref scen Calcs'!AA8</f>
        <v>23.615999999999996</v>
      </c>
      <c r="Z9">
        <f ca="1">'Ref scen Calcs'!AB8</f>
        <v>20.165999999999997</v>
      </c>
      <c r="AA9">
        <f ca="1">'Ref scen Calcs'!AC8</f>
        <v>18.440999999999995</v>
      </c>
      <c r="AP9">
        <f>'Alt scen Calcs'!D8</f>
        <v>30.471</v>
      </c>
      <c r="AQ9">
        <f>'Alt scen Calcs'!E8</f>
        <v>30.471</v>
      </c>
      <c r="AR9">
        <f>'Alt scen Calcs'!F8</f>
        <v>30.471</v>
      </c>
      <c r="AS9">
        <f>'Alt scen Calcs'!G8</f>
        <v>30.471</v>
      </c>
      <c r="AT9">
        <f>'Alt scen Calcs'!H8</f>
        <v>30.471</v>
      </c>
      <c r="AU9">
        <f ca="1">'Alt scen Calcs'!I8</f>
        <v>30.471</v>
      </c>
      <c r="AV9">
        <f ca="1">'Alt scen Calcs'!J8</f>
        <v>30.471</v>
      </c>
      <c r="AW9">
        <f ca="1">'Alt scen Calcs'!K8</f>
        <v>30.471</v>
      </c>
      <c r="AX9">
        <f ca="1">'Alt scen Calcs'!L8</f>
        <v>30.471</v>
      </c>
      <c r="AY9">
        <f ca="1">'Alt scen Calcs'!M8</f>
        <v>30.471</v>
      </c>
      <c r="AZ9">
        <f ca="1">'Alt scen Calcs'!N8</f>
        <v>30.471</v>
      </c>
      <c r="BA9">
        <f ca="1">'Alt scen Calcs'!O8</f>
        <v>30.471</v>
      </c>
      <c r="BB9">
        <f ca="1">'Alt scen Calcs'!P8</f>
        <v>30.471</v>
      </c>
      <c r="BC9">
        <f ca="1">'Alt scen Calcs'!Q8</f>
        <v>30.471</v>
      </c>
      <c r="BD9">
        <f ca="1">'Alt scen Calcs'!R8</f>
        <v>30.471</v>
      </c>
      <c r="BE9">
        <f ca="1">'Alt scen Calcs'!S8</f>
        <v>30.471</v>
      </c>
      <c r="BF9">
        <f ca="1">'Alt scen Calcs'!T8</f>
        <v>30.471</v>
      </c>
      <c r="BG9">
        <f ca="1">'Alt scen Calcs'!U8</f>
        <v>30.471</v>
      </c>
      <c r="BH9">
        <f ca="1">'Alt scen Calcs'!V8</f>
        <v>30.471</v>
      </c>
      <c r="BI9">
        <f ca="1">'Alt scen Calcs'!W8</f>
        <v>29.331</v>
      </c>
      <c r="BJ9">
        <f ca="1">'Alt scen Calcs'!X8</f>
        <v>28.190999999999999</v>
      </c>
      <c r="BK9">
        <f ca="1">'Alt scen Calcs'!Y8</f>
        <v>26.765999999999998</v>
      </c>
      <c r="BL9">
        <f ca="1">'Alt scen Calcs'!Z8</f>
        <v>25.340999999999998</v>
      </c>
      <c r="BM9">
        <f ca="1">'Alt scen Calcs'!AA8</f>
        <v>23.615999999999996</v>
      </c>
      <c r="BN9">
        <f ca="1">'Alt scen Calcs'!AB8</f>
        <v>20.165999999999997</v>
      </c>
      <c r="BO9">
        <f ca="1">'Alt scen Calcs'!AC8</f>
        <v>18.440999999999995</v>
      </c>
    </row>
    <row r="10" spans="1:67">
      <c r="A10" t="str">
        <f>'Tech Parameters'!B7</f>
        <v>Existing coal Small</v>
      </c>
      <c r="B10">
        <f>'Ref scen Calcs'!D9</f>
        <v>5.434444444444444</v>
      </c>
      <c r="C10">
        <f>'Ref scen Calcs'!E9</f>
        <v>5.434444444444444</v>
      </c>
      <c r="D10">
        <f>'Ref scen Calcs'!F9</f>
        <v>5.434444444444444</v>
      </c>
      <c r="E10">
        <f>'Ref scen Calcs'!G9</f>
        <v>5.434444444444444</v>
      </c>
      <c r="F10">
        <f>'Ref scen Calcs'!H9</f>
        <v>5.434444444444444</v>
      </c>
      <c r="G10">
        <f ca="1">'Ref scen Calcs'!I9</f>
        <v>6.1174444444444438</v>
      </c>
      <c r="H10">
        <f ca="1">'Ref scen Calcs'!J9</f>
        <v>6.5214444444444437</v>
      </c>
      <c r="I10">
        <f ca="1">'Ref scen Calcs'!K9</f>
        <v>6.5214444444444437</v>
      </c>
      <c r="J10">
        <f ca="1">'Ref scen Calcs'!L9</f>
        <v>6.5214444444444437</v>
      </c>
      <c r="K10">
        <f ca="1">'Ref scen Calcs'!M9</f>
        <v>6.5214444444444437</v>
      </c>
      <c r="L10">
        <f ca="1">'Ref scen Calcs'!N9</f>
        <v>6.5214444444444437</v>
      </c>
      <c r="M10">
        <f ca="1">'Ref scen Calcs'!O9</f>
        <v>6.4839444444444441</v>
      </c>
      <c r="N10">
        <f ca="1">'Ref scen Calcs'!P9</f>
        <v>6.4464444444444444</v>
      </c>
      <c r="O10">
        <f ca="1">'Ref scen Calcs'!Q9</f>
        <v>6.3964444444444446</v>
      </c>
      <c r="P10">
        <f ca="1">'Ref scen Calcs'!R9</f>
        <v>6.3464444444444448</v>
      </c>
      <c r="Q10">
        <f ca="1">'Ref scen Calcs'!S9</f>
        <v>5.3964444444444446</v>
      </c>
      <c r="R10">
        <f ca="1">'Ref scen Calcs'!T9</f>
        <v>4.4464444444444444</v>
      </c>
      <c r="S10">
        <f ca="1">'Ref scen Calcs'!U9</f>
        <v>4.4464444444444444</v>
      </c>
      <c r="T10">
        <f ca="1">'Ref scen Calcs'!V9</f>
        <v>4.4464444444444444</v>
      </c>
      <c r="U10">
        <f ca="1">'Ref scen Calcs'!W9</f>
        <v>4.4464444444444444</v>
      </c>
      <c r="V10">
        <f ca="1">'Ref scen Calcs'!X9</f>
        <v>4.0087222222222225</v>
      </c>
      <c r="W10">
        <f ca="1">'Ref scen Calcs'!Y9</f>
        <v>3.5710000000000002</v>
      </c>
      <c r="X10">
        <f ca="1">'Ref scen Calcs'!Z9</f>
        <v>3.5710000000000002</v>
      </c>
      <c r="Y10">
        <f ca="1">'Ref scen Calcs'!AA9</f>
        <v>3.5710000000000002</v>
      </c>
      <c r="Z10">
        <f ca="1">'Ref scen Calcs'!AB9</f>
        <v>3.5710000000000002</v>
      </c>
      <c r="AA10">
        <f ca="1">'Ref scen Calcs'!AC9</f>
        <v>3.5710000000000002</v>
      </c>
      <c r="AP10">
        <f>'Alt scen Calcs'!D9</f>
        <v>5.434444444444444</v>
      </c>
      <c r="AQ10">
        <f>'Alt scen Calcs'!E9</f>
        <v>5.434444444444444</v>
      </c>
      <c r="AR10">
        <f>'Alt scen Calcs'!F9</f>
        <v>5.434444444444444</v>
      </c>
      <c r="AS10">
        <f>'Alt scen Calcs'!G9</f>
        <v>5.434444444444444</v>
      </c>
      <c r="AT10">
        <f>'Alt scen Calcs'!H9</f>
        <v>5.434444444444444</v>
      </c>
      <c r="AU10">
        <f ca="1">'Alt scen Calcs'!I9</f>
        <v>6.1174444444444438</v>
      </c>
      <c r="AV10">
        <f ca="1">'Alt scen Calcs'!J9</f>
        <v>6.5214444444444437</v>
      </c>
      <c r="AW10">
        <f ca="1">'Alt scen Calcs'!K9</f>
        <v>6.5214444444444437</v>
      </c>
      <c r="AX10">
        <f ca="1">'Alt scen Calcs'!L9</f>
        <v>6.5214444444444437</v>
      </c>
      <c r="AY10">
        <f ca="1">'Alt scen Calcs'!M9</f>
        <v>6.5214444444444437</v>
      </c>
      <c r="AZ10">
        <f ca="1">'Alt scen Calcs'!N9</f>
        <v>6.5214444444444437</v>
      </c>
      <c r="BA10">
        <f ca="1">'Alt scen Calcs'!O9</f>
        <v>6.4839444444444441</v>
      </c>
      <c r="BB10">
        <f ca="1">'Alt scen Calcs'!P9</f>
        <v>6.4464444444444444</v>
      </c>
      <c r="BC10">
        <f ca="1">'Alt scen Calcs'!Q9</f>
        <v>6.3964444444444446</v>
      </c>
      <c r="BD10">
        <f ca="1">'Alt scen Calcs'!R9</f>
        <v>6.3464444444444448</v>
      </c>
      <c r="BE10">
        <f ca="1">'Alt scen Calcs'!S9</f>
        <v>5.3964444444444446</v>
      </c>
      <c r="BF10">
        <f ca="1">'Alt scen Calcs'!T9</f>
        <v>4.4464444444444444</v>
      </c>
      <c r="BG10">
        <f ca="1">'Alt scen Calcs'!U9</f>
        <v>4.4464444444444444</v>
      </c>
      <c r="BH10">
        <f ca="1">'Alt scen Calcs'!V9</f>
        <v>4.4464444444444444</v>
      </c>
      <c r="BI10">
        <f ca="1">'Alt scen Calcs'!W9</f>
        <v>4.4464444444444444</v>
      </c>
      <c r="BJ10">
        <f ca="1">'Alt scen Calcs'!X9</f>
        <v>4.0087222222222225</v>
      </c>
      <c r="BK10">
        <f ca="1">'Alt scen Calcs'!Y9</f>
        <v>3.5710000000000002</v>
      </c>
      <c r="BL10">
        <f ca="1">'Alt scen Calcs'!Z9</f>
        <v>3.5710000000000002</v>
      </c>
      <c r="BM10">
        <f ca="1">'Alt scen Calcs'!AA9</f>
        <v>3.5710000000000002</v>
      </c>
      <c r="BN10">
        <f ca="1">'Alt scen Calcs'!AB9</f>
        <v>3.5710000000000002</v>
      </c>
      <c r="BO10">
        <f ca="1">'Alt scen Calcs'!AC9</f>
        <v>3.5710000000000002</v>
      </c>
    </row>
    <row r="11" spans="1:67">
      <c r="A11" t="str">
        <f>'Tech Parameters'!B8</f>
        <v>OCGT liquid fuels</v>
      </c>
      <c r="B11">
        <f>'Ref scen Calcs'!D10</f>
        <v>2.4</v>
      </c>
      <c r="C11">
        <f>'Ref scen Calcs'!E10</f>
        <v>2.4</v>
      </c>
      <c r="D11">
        <f>'Ref scen Calcs'!F10</f>
        <v>2.4</v>
      </c>
      <c r="E11">
        <f>'Ref scen Calcs'!G10</f>
        <v>2.4</v>
      </c>
      <c r="F11">
        <f>'Ref scen Calcs'!H10</f>
        <v>2.4</v>
      </c>
      <c r="G11">
        <f ca="1">'Ref scen Calcs'!I10</f>
        <v>2.4</v>
      </c>
      <c r="H11">
        <f ca="1">'Ref scen Calcs'!J10</f>
        <v>3.48</v>
      </c>
      <c r="I11">
        <f ca="1">'Ref scen Calcs'!K10</f>
        <v>3.48</v>
      </c>
      <c r="J11">
        <f ca="1">'Ref scen Calcs'!L10</f>
        <v>3.48</v>
      </c>
      <c r="K11">
        <f ca="1">'Ref scen Calcs'!M10</f>
        <v>3.48</v>
      </c>
      <c r="L11">
        <f ca="1">'Ref scen Calcs'!N10</f>
        <v>3.48</v>
      </c>
      <c r="M11">
        <f ca="1">'Ref scen Calcs'!O10</f>
        <v>3.48</v>
      </c>
      <c r="N11">
        <f ca="1">'Ref scen Calcs'!P10</f>
        <v>3.48</v>
      </c>
      <c r="O11">
        <f ca="1">'Ref scen Calcs'!Q10</f>
        <v>3.48</v>
      </c>
      <c r="P11">
        <f ca="1">'Ref scen Calcs'!R10</f>
        <v>3.48</v>
      </c>
      <c r="Q11">
        <f ca="1">'Ref scen Calcs'!S10</f>
        <v>3.48</v>
      </c>
      <c r="R11">
        <f ca="1">'Ref scen Calcs'!T10</f>
        <v>3.48</v>
      </c>
      <c r="S11">
        <f ca="1">'Ref scen Calcs'!U10</f>
        <v>3.48</v>
      </c>
      <c r="T11">
        <f ca="1">'Ref scen Calcs'!V10</f>
        <v>4.2</v>
      </c>
      <c r="U11">
        <f ca="1">'Ref scen Calcs'!W10</f>
        <v>4.2</v>
      </c>
      <c r="V11">
        <f ca="1">'Ref scen Calcs'!X10</f>
        <v>4.2</v>
      </c>
      <c r="W11">
        <f ca="1">'Ref scen Calcs'!Y10</f>
        <v>4.92</v>
      </c>
      <c r="X11">
        <f ca="1">'Ref scen Calcs'!Z10</f>
        <v>4.92</v>
      </c>
      <c r="Y11">
        <f ca="1">'Ref scen Calcs'!AA10</f>
        <v>4.92</v>
      </c>
      <c r="Z11">
        <f ca="1">'Ref scen Calcs'!AB10</f>
        <v>5.64</v>
      </c>
      <c r="AA11">
        <f ca="1">'Ref scen Calcs'!AC10</f>
        <v>5.4689999999999994</v>
      </c>
      <c r="AP11">
        <f>'Alt scen Calcs'!D10</f>
        <v>2.4</v>
      </c>
      <c r="AQ11">
        <f>'Alt scen Calcs'!E10</f>
        <v>2.4</v>
      </c>
      <c r="AR11">
        <f>'Alt scen Calcs'!F10</f>
        <v>2.4</v>
      </c>
      <c r="AS11">
        <f>'Alt scen Calcs'!G10</f>
        <v>2.4</v>
      </c>
      <c r="AT11">
        <f>'Alt scen Calcs'!H10</f>
        <v>2.4</v>
      </c>
      <c r="AU11">
        <f ca="1">'Alt scen Calcs'!I10</f>
        <v>2.4</v>
      </c>
      <c r="AV11">
        <f ca="1">'Alt scen Calcs'!J10</f>
        <v>3.48</v>
      </c>
      <c r="AW11">
        <f ca="1">'Alt scen Calcs'!K10</f>
        <v>3.48</v>
      </c>
      <c r="AX11">
        <f ca="1">'Alt scen Calcs'!L10</f>
        <v>3.48</v>
      </c>
      <c r="AY11">
        <f ca="1">'Alt scen Calcs'!M10</f>
        <v>3.48</v>
      </c>
      <c r="AZ11">
        <f ca="1">'Alt scen Calcs'!N10</f>
        <v>3.48</v>
      </c>
      <c r="BA11">
        <f ca="1">'Alt scen Calcs'!O10</f>
        <v>3.48</v>
      </c>
      <c r="BB11">
        <f ca="1">'Alt scen Calcs'!P10</f>
        <v>3.48</v>
      </c>
      <c r="BC11">
        <f ca="1">'Alt scen Calcs'!Q10</f>
        <v>3.48</v>
      </c>
      <c r="BD11">
        <f ca="1">'Alt scen Calcs'!R10</f>
        <v>3.48</v>
      </c>
      <c r="BE11">
        <f ca="1">'Alt scen Calcs'!S10</f>
        <v>3.48</v>
      </c>
      <c r="BF11">
        <f ca="1">'Alt scen Calcs'!T10</f>
        <v>3.48</v>
      </c>
      <c r="BG11">
        <f ca="1">'Alt scen Calcs'!U10</f>
        <v>3.48</v>
      </c>
      <c r="BH11">
        <f ca="1">'Alt scen Calcs'!V10</f>
        <v>3.48</v>
      </c>
      <c r="BI11">
        <f ca="1">'Alt scen Calcs'!W10</f>
        <v>3.48</v>
      </c>
      <c r="BJ11">
        <f ca="1">'Alt scen Calcs'!X10</f>
        <v>3.48</v>
      </c>
      <c r="BK11">
        <f ca="1">'Alt scen Calcs'!Y10</f>
        <v>4.2</v>
      </c>
      <c r="BL11">
        <f ca="1">'Alt scen Calcs'!Z10</f>
        <v>4.2</v>
      </c>
      <c r="BM11">
        <f ca="1">'Alt scen Calcs'!AA10</f>
        <v>4.2</v>
      </c>
      <c r="BN11">
        <f ca="1">'Alt scen Calcs'!AB10</f>
        <v>5.16</v>
      </c>
      <c r="BO11">
        <f ca="1">'Alt scen Calcs'!AC10</f>
        <v>5.9489999999999998</v>
      </c>
    </row>
    <row r="12" spans="1:67">
      <c r="A12" t="str">
        <f>'Tech Parameters'!B9</f>
        <v>PWR nuclear</v>
      </c>
      <c r="B12">
        <f>'Ref scen Calcs'!D11</f>
        <v>1.8</v>
      </c>
      <c r="C12">
        <f>'Ref scen Calcs'!E11</f>
        <v>1.8</v>
      </c>
      <c r="D12">
        <f>'Ref scen Calcs'!F11</f>
        <v>1.8</v>
      </c>
      <c r="E12">
        <f>'Ref scen Calcs'!G11</f>
        <v>1.8</v>
      </c>
      <c r="F12">
        <f>'Ref scen Calcs'!H11</f>
        <v>1.8</v>
      </c>
      <c r="G12">
        <f ca="1">'Ref scen Calcs'!I11</f>
        <v>1.8</v>
      </c>
      <c r="H12">
        <f ca="1">'Ref scen Calcs'!J11</f>
        <v>1.8</v>
      </c>
      <c r="I12">
        <f ca="1">'Ref scen Calcs'!K11</f>
        <v>1.8</v>
      </c>
      <c r="J12">
        <f ca="1">'Ref scen Calcs'!L11</f>
        <v>1.8</v>
      </c>
      <c r="K12">
        <f ca="1">'Ref scen Calcs'!M11</f>
        <v>1.8</v>
      </c>
      <c r="L12">
        <f ca="1">'Ref scen Calcs'!N11</f>
        <v>1.8</v>
      </c>
      <c r="M12">
        <f ca="1">'Ref scen Calcs'!O11</f>
        <v>1.8</v>
      </c>
      <c r="N12">
        <f ca="1">'Ref scen Calcs'!P11</f>
        <v>1.8</v>
      </c>
      <c r="O12">
        <f ca="1">'Ref scen Calcs'!Q11</f>
        <v>1.8</v>
      </c>
      <c r="P12">
        <f ca="1">'Ref scen Calcs'!R11</f>
        <v>1.8</v>
      </c>
      <c r="Q12">
        <f ca="1">'Ref scen Calcs'!S11</f>
        <v>1.8</v>
      </c>
      <c r="R12">
        <f ca="1">'Ref scen Calcs'!T11</f>
        <v>1.8</v>
      </c>
      <c r="S12">
        <f ca="1">'Ref scen Calcs'!U11</f>
        <v>1.8</v>
      </c>
      <c r="T12">
        <f ca="1">'Ref scen Calcs'!V11</f>
        <v>1.8</v>
      </c>
      <c r="U12">
        <f ca="1">'Ref scen Calcs'!W11</f>
        <v>1.8</v>
      </c>
      <c r="V12">
        <f ca="1">'Ref scen Calcs'!X11</f>
        <v>1.8</v>
      </c>
      <c r="W12">
        <f ca="1">'Ref scen Calcs'!Y11</f>
        <v>1.8</v>
      </c>
      <c r="X12">
        <f ca="1">'Ref scen Calcs'!Z11</f>
        <v>1.8</v>
      </c>
      <c r="Y12">
        <f ca="1">'Ref scen Calcs'!AA11</f>
        <v>1.8</v>
      </c>
      <c r="Z12">
        <f ca="1">'Ref scen Calcs'!AB11</f>
        <v>1.8</v>
      </c>
      <c r="AA12">
        <f ca="1">'Ref scen Calcs'!AC11</f>
        <v>1.8</v>
      </c>
      <c r="AP12">
        <f>'Alt scen Calcs'!D11</f>
        <v>1.8</v>
      </c>
      <c r="AQ12">
        <f>'Alt scen Calcs'!E11</f>
        <v>1.8</v>
      </c>
      <c r="AR12">
        <f>'Alt scen Calcs'!F11</f>
        <v>1.8</v>
      </c>
      <c r="AS12">
        <f>'Alt scen Calcs'!G11</f>
        <v>1.8</v>
      </c>
      <c r="AT12">
        <f>'Alt scen Calcs'!H11</f>
        <v>1.8</v>
      </c>
      <c r="AU12">
        <f ca="1">'Alt scen Calcs'!I11</f>
        <v>1.8</v>
      </c>
      <c r="AV12">
        <f ca="1">'Alt scen Calcs'!J11</f>
        <v>1.8</v>
      </c>
      <c r="AW12">
        <f ca="1">'Alt scen Calcs'!K11</f>
        <v>1.8</v>
      </c>
      <c r="AX12">
        <f ca="1">'Alt scen Calcs'!L11</f>
        <v>1.8</v>
      </c>
      <c r="AY12">
        <f ca="1">'Alt scen Calcs'!M11</f>
        <v>1.8</v>
      </c>
      <c r="AZ12">
        <f ca="1">'Alt scen Calcs'!N11</f>
        <v>1.8</v>
      </c>
      <c r="BA12">
        <f ca="1">'Alt scen Calcs'!O11</f>
        <v>1.8</v>
      </c>
      <c r="BB12">
        <f ca="1">'Alt scen Calcs'!P11</f>
        <v>1.8</v>
      </c>
      <c r="BC12">
        <f ca="1">'Alt scen Calcs'!Q11</f>
        <v>1.8</v>
      </c>
      <c r="BD12">
        <f ca="1">'Alt scen Calcs'!R11</f>
        <v>1.8</v>
      </c>
      <c r="BE12">
        <f ca="1">'Alt scen Calcs'!S11</f>
        <v>1.8</v>
      </c>
      <c r="BF12">
        <f ca="1">'Alt scen Calcs'!T11</f>
        <v>1.8</v>
      </c>
      <c r="BG12">
        <f ca="1">'Alt scen Calcs'!U11</f>
        <v>1.8</v>
      </c>
      <c r="BH12">
        <f ca="1">'Alt scen Calcs'!V11</f>
        <v>1.8</v>
      </c>
      <c r="BI12">
        <f ca="1">'Alt scen Calcs'!W11</f>
        <v>1.8</v>
      </c>
      <c r="BJ12">
        <f ca="1">'Alt scen Calcs'!X11</f>
        <v>1.8</v>
      </c>
      <c r="BK12">
        <f ca="1">'Alt scen Calcs'!Y11</f>
        <v>1.8</v>
      </c>
      <c r="BL12">
        <f ca="1">'Alt scen Calcs'!Z11</f>
        <v>1.8</v>
      </c>
      <c r="BM12">
        <f ca="1">'Alt scen Calcs'!AA11</f>
        <v>1.8</v>
      </c>
      <c r="BN12">
        <f ca="1">'Alt scen Calcs'!AB11</f>
        <v>1.8</v>
      </c>
      <c r="BO12">
        <f ca="1">'Alt scen Calcs'!AC11</f>
        <v>1.8</v>
      </c>
    </row>
    <row r="13" spans="1:67">
      <c r="A13" t="str">
        <f>'Tech Parameters'!B10</f>
        <v>Hydro</v>
      </c>
      <c r="B13">
        <f>'Ref scen Calcs'!D12</f>
        <v>0.66500000000000004</v>
      </c>
      <c r="C13">
        <f>'Ref scen Calcs'!E12</f>
        <v>0.66500000000000004</v>
      </c>
      <c r="D13">
        <f>'Ref scen Calcs'!F12</f>
        <v>0.66500000000000004</v>
      </c>
      <c r="E13">
        <f>'Ref scen Calcs'!G12</f>
        <v>0.66500000000000004</v>
      </c>
      <c r="F13">
        <f>'Ref scen Calcs'!H12</f>
        <v>0.66500000000000004</v>
      </c>
      <c r="G13">
        <f ca="1">'Ref scen Calcs'!I12</f>
        <v>0.66500000000000004</v>
      </c>
      <c r="H13">
        <f ca="1">'Ref scen Calcs'!J12</f>
        <v>0.66500000000000004</v>
      </c>
      <c r="I13">
        <f ca="1">'Ref scen Calcs'!K12</f>
        <v>0.66500000000000004</v>
      </c>
      <c r="J13">
        <f ca="1">'Ref scen Calcs'!L12</f>
        <v>0.66500000000000004</v>
      </c>
      <c r="K13">
        <f ca="1">'Ref scen Calcs'!M12</f>
        <v>0.66500000000000004</v>
      </c>
      <c r="L13">
        <f ca="1">'Ref scen Calcs'!N12</f>
        <v>0.66500000000000004</v>
      </c>
      <c r="M13">
        <f ca="1">'Ref scen Calcs'!O12</f>
        <v>0.66500000000000004</v>
      </c>
      <c r="N13">
        <f ca="1">'Ref scen Calcs'!P12</f>
        <v>0.66500000000000004</v>
      </c>
      <c r="O13">
        <f ca="1">'Ref scen Calcs'!Q12</f>
        <v>0.66500000000000004</v>
      </c>
      <c r="P13">
        <f ca="1">'Ref scen Calcs'!R12</f>
        <v>0.66500000000000004</v>
      </c>
      <c r="Q13">
        <f ca="1">'Ref scen Calcs'!S12</f>
        <v>0.66500000000000004</v>
      </c>
      <c r="R13">
        <f ca="1">'Ref scen Calcs'!T12</f>
        <v>0.66500000000000004</v>
      </c>
      <c r="S13">
        <f ca="1">'Ref scen Calcs'!U12</f>
        <v>0.66500000000000004</v>
      </c>
      <c r="T13">
        <f ca="1">'Ref scen Calcs'!V12</f>
        <v>0.66500000000000004</v>
      </c>
      <c r="U13">
        <f ca="1">'Ref scen Calcs'!W12</f>
        <v>0.66500000000000004</v>
      </c>
      <c r="V13">
        <f ca="1">'Ref scen Calcs'!X12</f>
        <v>0.66500000000000004</v>
      </c>
      <c r="W13">
        <f ca="1">'Ref scen Calcs'!Y12</f>
        <v>0.66500000000000004</v>
      </c>
      <c r="X13">
        <f ca="1">'Ref scen Calcs'!Z12</f>
        <v>0.66500000000000004</v>
      </c>
      <c r="Y13">
        <f ca="1">'Ref scen Calcs'!AA12</f>
        <v>0.66500000000000004</v>
      </c>
      <c r="Z13">
        <f ca="1">'Ref scen Calcs'!AB12</f>
        <v>0.66500000000000004</v>
      </c>
      <c r="AA13">
        <f ca="1">'Ref scen Calcs'!AC12</f>
        <v>0.66500000000000004</v>
      </c>
      <c r="AP13">
        <f>'Alt scen Calcs'!D12</f>
        <v>0.66500000000000004</v>
      </c>
      <c r="AQ13">
        <f>'Alt scen Calcs'!E12</f>
        <v>0.66500000000000004</v>
      </c>
      <c r="AR13">
        <f>'Alt scen Calcs'!F12</f>
        <v>0.66500000000000004</v>
      </c>
      <c r="AS13">
        <f>'Alt scen Calcs'!G12</f>
        <v>0.66500000000000004</v>
      </c>
      <c r="AT13">
        <f>'Alt scen Calcs'!H12</f>
        <v>0.66500000000000004</v>
      </c>
      <c r="AU13">
        <f ca="1">'Alt scen Calcs'!I12</f>
        <v>0.66500000000000004</v>
      </c>
      <c r="AV13">
        <f ca="1">'Alt scen Calcs'!J12</f>
        <v>0.66500000000000004</v>
      </c>
      <c r="AW13">
        <f ca="1">'Alt scen Calcs'!K12</f>
        <v>0.66500000000000004</v>
      </c>
      <c r="AX13">
        <f ca="1">'Alt scen Calcs'!L12</f>
        <v>0.66500000000000004</v>
      </c>
      <c r="AY13">
        <f ca="1">'Alt scen Calcs'!M12</f>
        <v>0.66500000000000004</v>
      </c>
      <c r="AZ13">
        <f ca="1">'Alt scen Calcs'!N12</f>
        <v>0.66500000000000004</v>
      </c>
      <c r="BA13">
        <f ca="1">'Alt scen Calcs'!O12</f>
        <v>0.66500000000000004</v>
      </c>
      <c r="BB13">
        <f ca="1">'Alt scen Calcs'!P12</f>
        <v>0.66500000000000004</v>
      </c>
      <c r="BC13">
        <f ca="1">'Alt scen Calcs'!Q12</f>
        <v>0.66500000000000004</v>
      </c>
      <c r="BD13">
        <f ca="1">'Alt scen Calcs'!R12</f>
        <v>0.66500000000000004</v>
      </c>
      <c r="BE13">
        <f ca="1">'Alt scen Calcs'!S12</f>
        <v>0.66500000000000004</v>
      </c>
      <c r="BF13">
        <f ca="1">'Alt scen Calcs'!T12</f>
        <v>0.66500000000000004</v>
      </c>
      <c r="BG13">
        <f ca="1">'Alt scen Calcs'!U12</f>
        <v>0.66500000000000004</v>
      </c>
      <c r="BH13">
        <f ca="1">'Alt scen Calcs'!V12</f>
        <v>0.66500000000000004</v>
      </c>
      <c r="BI13">
        <f ca="1">'Alt scen Calcs'!W12</f>
        <v>0.66500000000000004</v>
      </c>
      <c r="BJ13">
        <f ca="1">'Alt scen Calcs'!X12</f>
        <v>0.66500000000000004</v>
      </c>
      <c r="BK13">
        <f ca="1">'Alt scen Calcs'!Y12</f>
        <v>0.66500000000000004</v>
      </c>
      <c r="BL13">
        <f ca="1">'Alt scen Calcs'!Z12</f>
        <v>0.66500000000000004</v>
      </c>
      <c r="BM13">
        <f ca="1">'Alt scen Calcs'!AA12</f>
        <v>0.66500000000000004</v>
      </c>
      <c r="BN13">
        <f ca="1">'Alt scen Calcs'!AB12</f>
        <v>0.66500000000000004</v>
      </c>
      <c r="BO13">
        <f ca="1">'Alt scen Calcs'!AC12</f>
        <v>0.66500000000000004</v>
      </c>
    </row>
    <row r="14" spans="1:67">
      <c r="A14" t="str">
        <f>'Tech Parameters'!B11</f>
        <v>Landfill gas</v>
      </c>
      <c r="B14">
        <f>'Ref scen Calcs'!D13</f>
        <v>7.0000000000000007E-2</v>
      </c>
      <c r="C14">
        <f>'Ref scen Calcs'!E13</f>
        <v>7.0000000000000007E-2</v>
      </c>
      <c r="D14">
        <f>'Ref scen Calcs'!F13</f>
        <v>7.0000000000000007E-2</v>
      </c>
      <c r="E14">
        <f>'Ref scen Calcs'!G13</f>
        <v>7.0000000000000007E-2</v>
      </c>
      <c r="F14">
        <f>'Ref scen Calcs'!H13</f>
        <v>7.0000000000000007E-2</v>
      </c>
      <c r="G14">
        <f ca="1">'Ref scen Calcs'!I13</f>
        <v>7.0000000000000007E-2</v>
      </c>
      <c r="H14">
        <f ca="1">'Ref scen Calcs'!J13</f>
        <v>7.0000000000000007E-2</v>
      </c>
      <c r="I14">
        <f ca="1">'Ref scen Calcs'!K13</f>
        <v>7.0000000000000007E-2</v>
      </c>
      <c r="J14">
        <f ca="1">'Ref scen Calcs'!L13</f>
        <v>7.0000000000000007E-2</v>
      </c>
      <c r="K14">
        <f ca="1">'Ref scen Calcs'!M13</f>
        <v>7.0000000000000007E-2</v>
      </c>
      <c r="L14">
        <f ca="1">'Ref scen Calcs'!N13</f>
        <v>7.0000000000000007E-2</v>
      </c>
      <c r="M14">
        <f ca="1">'Ref scen Calcs'!O13</f>
        <v>7.0000000000000007E-2</v>
      </c>
      <c r="N14">
        <f ca="1">'Ref scen Calcs'!P13</f>
        <v>7.0000000000000007E-2</v>
      </c>
      <c r="O14">
        <f ca="1">'Ref scen Calcs'!Q13</f>
        <v>7.0000000000000007E-2</v>
      </c>
      <c r="P14">
        <f ca="1">'Ref scen Calcs'!R13</f>
        <v>7.0000000000000007E-2</v>
      </c>
      <c r="Q14">
        <f ca="1">'Ref scen Calcs'!S13</f>
        <v>7.0000000000000007E-2</v>
      </c>
      <c r="R14">
        <f ca="1">'Ref scen Calcs'!T13</f>
        <v>7.0000000000000007E-2</v>
      </c>
      <c r="S14">
        <f ca="1">'Ref scen Calcs'!U13</f>
        <v>7.0000000000000007E-2</v>
      </c>
      <c r="T14">
        <f ca="1">'Ref scen Calcs'!V13</f>
        <v>7.0000000000000007E-2</v>
      </c>
      <c r="U14">
        <f ca="1">'Ref scen Calcs'!W13</f>
        <v>7.0000000000000007E-2</v>
      </c>
      <c r="V14">
        <f ca="1">'Ref scen Calcs'!X13</f>
        <v>7.0000000000000007E-2</v>
      </c>
      <c r="W14">
        <f ca="1">'Ref scen Calcs'!Y13</f>
        <v>7.0000000000000007E-2</v>
      </c>
      <c r="X14">
        <f ca="1">'Ref scen Calcs'!Z13</f>
        <v>7.0000000000000007E-2</v>
      </c>
      <c r="Y14">
        <f ca="1">'Ref scen Calcs'!AA13</f>
        <v>7.0000000000000007E-2</v>
      </c>
      <c r="Z14">
        <f ca="1">'Ref scen Calcs'!AB13</f>
        <v>7.0000000000000007E-2</v>
      </c>
      <c r="AA14">
        <f ca="1">'Ref scen Calcs'!AC13</f>
        <v>7.0000000000000007E-2</v>
      </c>
      <c r="AP14">
        <f>'Alt scen Calcs'!D13</f>
        <v>7.0000000000000007E-2</v>
      </c>
      <c r="AQ14">
        <f>'Alt scen Calcs'!E13</f>
        <v>7.0000000000000007E-2</v>
      </c>
      <c r="AR14">
        <f>'Alt scen Calcs'!F13</f>
        <v>7.0000000000000007E-2</v>
      </c>
      <c r="AS14">
        <f>'Alt scen Calcs'!G13</f>
        <v>7.0000000000000007E-2</v>
      </c>
      <c r="AT14">
        <f>'Alt scen Calcs'!H13</f>
        <v>7.0000000000000007E-2</v>
      </c>
      <c r="AU14">
        <f ca="1">'Alt scen Calcs'!I13</f>
        <v>7.0000000000000007E-2</v>
      </c>
      <c r="AV14">
        <f ca="1">'Alt scen Calcs'!J13</f>
        <v>7.0000000000000007E-2</v>
      </c>
      <c r="AW14">
        <f ca="1">'Alt scen Calcs'!K13</f>
        <v>7.0000000000000007E-2</v>
      </c>
      <c r="AX14">
        <f ca="1">'Alt scen Calcs'!L13</f>
        <v>7.0000000000000007E-2</v>
      </c>
      <c r="AY14">
        <f ca="1">'Alt scen Calcs'!M13</f>
        <v>7.0000000000000007E-2</v>
      </c>
      <c r="AZ14">
        <f ca="1">'Alt scen Calcs'!N13</f>
        <v>7.0000000000000007E-2</v>
      </c>
      <c r="BA14">
        <f ca="1">'Alt scen Calcs'!O13</f>
        <v>7.0000000000000007E-2</v>
      </c>
      <c r="BB14">
        <f ca="1">'Alt scen Calcs'!P13</f>
        <v>7.0000000000000007E-2</v>
      </c>
      <c r="BC14">
        <f ca="1">'Alt scen Calcs'!Q13</f>
        <v>7.0000000000000007E-2</v>
      </c>
      <c r="BD14">
        <f ca="1">'Alt scen Calcs'!R13</f>
        <v>7.0000000000000007E-2</v>
      </c>
      <c r="BE14">
        <f ca="1">'Alt scen Calcs'!S13</f>
        <v>7.0000000000000007E-2</v>
      </c>
      <c r="BF14">
        <f ca="1">'Alt scen Calcs'!T13</f>
        <v>7.0000000000000007E-2</v>
      </c>
      <c r="BG14">
        <f ca="1">'Alt scen Calcs'!U13</f>
        <v>7.0000000000000007E-2</v>
      </c>
      <c r="BH14">
        <f ca="1">'Alt scen Calcs'!V13</f>
        <v>7.0000000000000007E-2</v>
      </c>
      <c r="BI14">
        <f ca="1">'Alt scen Calcs'!W13</f>
        <v>7.0000000000000007E-2</v>
      </c>
      <c r="BJ14">
        <f ca="1">'Alt scen Calcs'!X13</f>
        <v>7.0000000000000007E-2</v>
      </c>
      <c r="BK14">
        <f ca="1">'Alt scen Calcs'!Y13</f>
        <v>7.0000000000000007E-2</v>
      </c>
      <c r="BL14">
        <f ca="1">'Alt scen Calcs'!Z13</f>
        <v>7.0000000000000007E-2</v>
      </c>
      <c r="BM14">
        <f ca="1">'Alt scen Calcs'!AA13</f>
        <v>7.0000000000000007E-2</v>
      </c>
      <c r="BN14">
        <f ca="1">'Alt scen Calcs'!AB13</f>
        <v>7.0000000000000007E-2</v>
      </c>
      <c r="BO14">
        <f ca="1">'Alt scen Calcs'!AC13</f>
        <v>7.0000000000000007E-2</v>
      </c>
    </row>
    <row r="15" spans="1:67">
      <c r="A15" t="str">
        <f>'Tech Parameters'!B12</f>
        <v>Biomass</v>
      </c>
      <c r="B15">
        <f>'Ref scen Calcs'!D14</f>
        <v>0.19</v>
      </c>
      <c r="C15">
        <f>'Ref scen Calcs'!E14</f>
        <v>0.19</v>
      </c>
      <c r="D15">
        <f>'Ref scen Calcs'!F14</f>
        <v>0.19</v>
      </c>
      <c r="E15">
        <f>'Ref scen Calcs'!G14</f>
        <v>0.19</v>
      </c>
      <c r="F15">
        <f>'Ref scen Calcs'!H14</f>
        <v>0.19</v>
      </c>
      <c r="G15">
        <f ca="1">'Ref scen Calcs'!I14</f>
        <v>0.19</v>
      </c>
      <c r="H15">
        <f ca="1">'Ref scen Calcs'!J14</f>
        <v>0.19</v>
      </c>
      <c r="I15">
        <f ca="1">'Ref scen Calcs'!K14</f>
        <v>0.19</v>
      </c>
      <c r="J15">
        <f ca="1">'Ref scen Calcs'!L14</f>
        <v>0.19</v>
      </c>
      <c r="K15">
        <f ca="1">'Ref scen Calcs'!M14</f>
        <v>0.19</v>
      </c>
      <c r="L15">
        <f ca="1">'Ref scen Calcs'!N14</f>
        <v>0.19</v>
      </c>
      <c r="M15">
        <f ca="1">'Ref scen Calcs'!O14</f>
        <v>0.19</v>
      </c>
      <c r="N15">
        <f ca="1">'Ref scen Calcs'!P14</f>
        <v>0.19</v>
      </c>
      <c r="O15">
        <f ca="1">'Ref scen Calcs'!Q14</f>
        <v>0.19</v>
      </c>
      <c r="P15">
        <f ca="1">'Ref scen Calcs'!R14</f>
        <v>0.19</v>
      </c>
      <c r="Q15">
        <f ca="1">'Ref scen Calcs'!S14</f>
        <v>0.19</v>
      </c>
      <c r="R15">
        <f ca="1">'Ref scen Calcs'!T14</f>
        <v>0.19</v>
      </c>
      <c r="S15">
        <f ca="1">'Ref scen Calcs'!U14</f>
        <v>0.19</v>
      </c>
      <c r="T15">
        <f ca="1">'Ref scen Calcs'!V14</f>
        <v>0.19</v>
      </c>
      <c r="U15">
        <f ca="1">'Ref scen Calcs'!W14</f>
        <v>0.19</v>
      </c>
      <c r="V15">
        <f ca="1">'Ref scen Calcs'!X14</f>
        <v>0.19</v>
      </c>
      <c r="W15">
        <f ca="1">'Ref scen Calcs'!Y14</f>
        <v>0.19</v>
      </c>
      <c r="X15">
        <f ca="1">'Ref scen Calcs'!Z14</f>
        <v>0.19</v>
      </c>
      <c r="Y15">
        <f ca="1">'Ref scen Calcs'!AA14</f>
        <v>0.19</v>
      </c>
      <c r="Z15">
        <f ca="1">'Ref scen Calcs'!AB14</f>
        <v>0.19</v>
      </c>
      <c r="AA15">
        <f ca="1">'Ref scen Calcs'!AC14</f>
        <v>0.19</v>
      </c>
      <c r="AP15">
        <f>'Alt scen Calcs'!D14</f>
        <v>0.19</v>
      </c>
      <c r="AQ15">
        <f>'Alt scen Calcs'!E14</f>
        <v>0.19</v>
      </c>
      <c r="AR15">
        <f>'Alt scen Calcs'!F14</f>
        <v>0.19</v>
      </c>
      <c r="AS15">
        <f>'Alt scen Calcs'!G14</f>
        <v>0.19</v>
      </c>
      <c r="AT15">
        <f>'Alt scen Calcs'!H14</f>
        <v>0.19</v>
      </c>
      <c r="AU15">
        <f ca="1">'Alt scen Calcs'!I14</f>
        <v>0.19</v>
      </c>
      <c r="AV15">
        <f ca="1">'Alt scen Calcs'!J14</f>
        <v>0.19</v>
      </c>
      <c r="AW15">
        <f ca="1">'Alt scen Calcs'!K14</f>
        <v>0.19</v>
      </c>
      <c r="AX15">
        <f ca="1">'Alt scen Calcs'!L14</f>
        <v>0.19</v>
      </c>
      <c r="AY15">
        <f ca="1">'Alt scen Calcs'!M14</f>
        <v>0.19</v>
      </c>
      <c r="AZ15">
        <f ca="1">'Alt scen Calcs'!N14</f>
        <v>0.19</v>
      </c>
      <c r="BA15">
        <f ca="1">'Alt scen Calcs'!O14</f>
        <v>0.19</v>
      </c>
      <c r="BB15">
        <f ca="1">'Alt scen Calcs'!P14</f>
        <v>0.19</v>
      </c>
      <c r="BC15">
        <f ca="1">'Alt scen Calcs'!Q14</f>
        <v>0.19</v>
      </c>
      <c r="BD15">
        <f ca="1">'Alt scen Calcs'!R14</f>
        <v>0.19</v>
      </c>
      <c r="BE15">
        <f ca="1">'Alt scen Calcs'!S14</f>
        <v>0.19</v>
      </c>
      <c r="BF15">
        <f ca="1">'Alt scen Calcs'!T14</f>
        <v>0.19</v>
      </c>
      <c r="BG15">
        <f ca="1">'Alt scen Calcs'!U14</f>
        <v>0.19</v>
      </c>
      <c r="BH15">
        <f ca="1">'Alt scen Calcs'!V14</f>
        <v>0.19</v>
      </c>
      <c r="BI15">
        <f ca="1">'Alt scen Calcs'!W14</f>
        <v>0.19</v>
      </c>
      <c r="BJ15">
        <f ca="1">'Alt scen Calcs'!X14</f>
        <v>0.19</v>
      </c>
      <c r="BK15">
        <f ca="1">'Alt scen Calcs'!Y14</f>
        <v>0.19</v>
      </c>
      <c r="BL15">
        <f ca="1">'Alt scen Calcs'!Z14</f>
        <v>0.19</v>
      </c>
      <c r="BM15">
        <f ca="1">'Alt scen Calcs'!AA14</f>
        <v>0.19</v>
      </c>
      <c r="BN15">
        <f ca="1">'Alt scen Calcs'!AB14</f>
        <v>0.19</v>
      </c>
      <c r="BO15">
        <f ca="1">'Alt scen Calcs'!AC14</f>
        <v>0.19</v>
      </c>
    </row>
    <row r="16" spans="1:67">
      <c r="A16" t="str">
        <f>'Tech Parameters'!B13</f>
        <v>Supercritical coal</v>
      </c>
      <c r="B16">
        <f>'Ref scen Calcs'!D15</f>
        <v>0</v>
      </c>
      <c r="C16">
        <f>'Ref scen Calcs'!E15</f>
        <v>0</v>
      </c>
      <c r="D16">
        <f>'Ref scen Calcs'!F15</f>
        <v>0</v>
      </c>
      <c r="E16">
        <f>'Ref scen Calcs'!G15</f>
        <v>0</v>
      </c>
      <c r="F16">
        <f>'Ref scen Calcs'!H15</f>
        <v>0</v>
      </c>
      <c r="G16">
        <f ca="1">'Ref scen Calcs'!I15</f>
        <v>0</v>
      </c>
      <c r="H16">
        <f ca="1">'Ref scen Calcs'!J15</f>
        <v>0</v>
      </c>
      <c r="I16">
        <f ca="1">'Ref scen Calcs'!K15</f>
        <v>0.79400000000000004</v>
      </c>
      <c r="J16">
        <f ca="1">'Ref scen Calcs'!L15</f>
        <v>2.3820000000000001</v>
      </c>
      <c r="K16">
        <f ca="1">'Ref scen Calcs'!M15</f>
        <v>4.7640000000000002</v>
      </c>
      <c r="L16">
        <f ca="1">'Ref scen Calcs'!N15</f>
        <v>7.1460000000000008</v>
      </c>
      <c r="M16">
        <f ca="1">'Ref scen Calcs'!O15</f>
        <v>8.7340000000000018</v>
      </c>
      <c r="N16">
        <f ca="1">'Ref scen Calcs'!P15</f>
        <v>10.322000000000003</v>
      </c>
      <c r="O16">
        <f ca="1">'Ref scen Calcs'!Q15</f>
        <v>12.704000000000002</v>
      </c>
      <c r="P16">
        <f ca="1">'Ref scen Calcs'!R15</f>
        <v>15.086000000000002</v>
      </c>
      <c r="Q16">
        <f ca="1">'Ref scen Calcs'!S15</f>
        <v>17.468000000000004</v>
      </c>
      <c r="R16">
        <f ca="1">'Ref scen Calcs'!T15</f>
        <v>20.644000000000005</v>
      </c>
      <c r="S16">
        <f ca="1">'Ref scen Calcs'!U15</f>
        <v>23.820000000000007</v>
      </c>
      <c r="T16">
        <f ca="1">'Ref scen Calcs'!V15</f>
        <v>26.202000000000009</v>
      </c>
      <c r="U16">
        <f ca="1">'Ref scen Calcs'!W15</f>
        <v>29.378000000000007</v>
      </c>
      <c r="V16">
        <f ca="1">'Ref scen Calcs'!X15</f>
        <v>32.554000000000009</v>
      </c>
      <c r="W16">
        <f ca="1">'Ref scen Calcs'!Y15</f>
        <v>36.524000000000008</v>
      </c>
      <c r="X16">
        <f ca="1">'Ref scen Calcs'!Z15</f>
        <v>40.494000000000007</v>
      </c>
      <c r="Y16">
        <f ca="1">'Ref scen Calcs'!AA15</f>
        <v>44.464000000000006</v>
      </c>
      <c r="Z16">
        <f ca="1">'Ref scen Calcs'!AB15</f>
        <v>49.228000000000009</v>
      </c>
      <c r="AA16">
        <f ca="1">'Ref scen Calcs'!AC15</f>
        <v>53.992000000000012</v>
      </c>
      <c r="AP16">
        <f>'Alt scen Calcs'!D15</f>
        <v>0</v>
      </c>
      <c r="AQ16">
        <f>'Alt scen Calcs'!E15</f>
        <v>0</v>
      </c>
      <c r="AR16">
        <f>'Alt scen Calcs'!F15</f>
        <v>0</v>
      </c>
      <c r="AS16">
        <f>'Alt scen Calcs'!G15</f>
        <v>0</v>
      </c>
      <c r="AT16">
        <f>'Alt scen Calcs'!H15</f>
        <v>0</v>
      </c>
      <c r="AU16">
        <f ca="1">'Alt scen Calcs'!I15</f>
        <v>0</v>
      </c>
      <c r="AV16">
        <f ca="1">'Alt scen Calcs'!J15</f>
        <v>0</v>
      </c>
      <c r="AW16">
        <f ca="1">'Alt scen Calcs'!K15</f>
        <v>0.79400000000000004</v>
      </c>
      <c r="AX16">
        <f ca="1">'Alt scen Calcs'!L15</f>
        <v>2.3820000000000001</v>
      </c>
      <c r="AY16">
        <f ca="1">'Alt scen Calcs'!M15</f>
        <v>4.7640000000000002</v>
      </c>
      <c r="AZ16">
        <f ca="1">'Alt scen Calcs'!N15</f>
        <v>7.1460000000000008</v>
      </c>
      <c r="BA16">
        <f ca="1">'Alt scen Calcs'!O15</f>
        <v>8.7340000000000018</v>
      </c>
      <c r="BB16">
        <f ca="1">'Alt scen Calcs'!P15</f>
        <v>9.5280000000000022</v>
      </c>
      <c r="BC16">
        <f ca="1">'Alt scen Calcs'!Q15</f>
        <v>9.5280000000000022</v>
      </c>
      <c r="BD16">
        <f ca="1">'Alt scen Calcs'!R15</f>
        <v>9.5280000000000022</v>
      </c>
      <c r="BE16">
        <f ca="1">'Alt scen Calcs'!S15</f>
        <v>9.5280000000000022</v>
      </c>
      <c r="BF16">
        <f ca="1">'Alt scen Calcs'!T15</f>
        <v>9.5280000000000022</v>
      </c>
      <c r="BG16">
        <f ca="1">'Alt scen Calcs'!U15</f>
        <v>9.5280000000000022</v>
      </c>
      <c r="BH16">
        <f ca="1">'Alt scen Calcs'!V15</f>
        <v>9.5280000000000022</v>
      </c>
      <c r="BI16">
        <f ca="1">'Alt scen Calcs'!W15</f>
        <v>9.5280000000000022</v>
      </c>
      <c r="BJ16">
        <f ca="1">'Alt scen Calcs'!X15</f>
        <v>9.5280000000000022</v>
      </c>
      <c r="BK16">
        <f ca="1">'Alt scen Calcs'!Y15</f>
        <v>9.5280000000000022</v>
      </c>
      <c r="BL16">
        <f ca="1">'Alt scen Calcs'!Z15</f>
        <v>9.5280000000000022</v>
      </c>
      <c r="BM16">
        <f ca="1">'Alt scen Calcs'!AA15</f>
        <v>9.5280000000000022</v>
      </c>
      <c r="BN16">
        <f ca="1">'Alt scen Calcs'!AB15</f>
        <v>9.5280000000000022</v>
      </c>
      <c r="BO16">
        <f ca="1">'Alt scen Calcs'!AC15</f>
        <v>9.5280000000000022</v>
      </c>
    </row>
    <row r="17" spans="1:67">
      <c r="A17" t="str">
        <f>'Tech Parameters'!B14</f>
        <v xml:space="preserve">Wind 30% </v>
      </c>
      <c r="B17">
        <f>'Ref scen Calcs'!D16</f>
        <v>0</v>
      </c>
      <c r="C17">
        <f>'Ref scen Calcs'!E16</f>
        <v>0</v>
      </c>
      <c r="D17">
        <f>'Ref scen Calcs'!F16</f>
        <v>0</v>
      </c>
      <c r="E17">
        <f>'Ref scen Calcs'!G16</f>
        <v>0</v>
      </c>
      <c r="F17">
        <f>'Ref scen Calcs'!H16</f>
        <v>0</v>
      </c>
      <c r="G17">
        <f ca="1">'Ref scen Calcs'!I16</f>
        <v>0.1</v>
      </c>
      <c r="H17">
        <f ca="1">'Ref scen Calcs'!J16</f>
        <v>0.1</v>
      </c>
      <c r="I17">
        <f ca="1">'Ref scen Calcs'!K16</f>
        <v>0.1</v>
      </c>
      <c r="J17">
        <f ca="1">'Ref scen Calcs'!L16</f>
        <v>0.1</v>
      </c>
      <c r="K17">
        <f ca="1">'Ref scen Calcs'!M16</f>
        <v>0.1</v>
      </c>
      <c r="L17">
        <f ca="1">'Ref scen Calcs'!N16</f>
        <v>0.1</v>
      </c>
      <c r="M17">
        <f ca="1">'Ref scen Calcs'!O16</f>
        <v>0.1</v>
      </c>
      <c r="N17">
        <f ca="1">'Ref scen Calcs'!P16</f>
        <v>0.1</v>
      </c>
      <c r="O17">
        <f ca="1">'Ref scen Calcs'!Q16</f>
        <v>0.1</v>
      </c>
      <c r="P17">
        <f ca="1">'Ref scen Calcs'!R16</f>
        <v>0.1</v>
      </c>
      <c r="Q17">
        <f ca="1">'Ref scen Calcs'!S16</f>
        <v>0.1</v>
      </c>
      <c r="R17">
        <f ca="1">'Ref scen Calcs'!T16</f>
        <v>0.1</v>
      </c>
      <c r="S17">
        <f ca="1">'Ref scen Calcs'!U16</f>
        <v>0.1</v>
      </c>
      <c r="T17">
        <f ca="1">'Ref scen Calcs'!V16</f>
        <v>0.1</v>
      </c>
      <c r="U17">
        <f ca="1">'Ref scen Calcs'!W16</f>
        <v>0.1</v>
      </c>
      <c r="V17">
        <f ca="1">'Ref scen Calcs'!X16</f>
        <v>0.1</v>
      </c>
      <c r="W17">
        <f ca="1">'Ref scen Calcs'!Y16</f>
        <v>0.1</v>
      </c>
      <c r="X17">
        <f ca="1">'Ref scen Calcs'!Z16</f>
        <v>0.1</v>
      </c>
      <c r="Y17">
        <f ca="1">'Ref scen Calcs'!AA16</f>
        <v>0.1</v>
      </c>
      <c r="Z17">
        <f ca="1">'Ref scen Calcs'!AB16</f>
        <v>0.1</v>
      </c>
      <c r="AA17">
        <f ca="1">'Ref scen Calcs'!AC16</f>
        <v>0</v>
      </c>
      <c r="AP17">
        <f>'Alt scen Calcs'!D16</f>
        <v>0</v>
      </c>
      <c r="AQ17">
        <f>'Alt scen Calcs'!E16</f>
        <v>0</v>
      </c>
      <c r="AR17">
        <f>'Alt scen Calcs'!F16</f>
        <v>0</v>
      </c>
      <c r="AS17">
        <f>'Alt scen Calcs'!G16</f>
        <v>0</v>
      </c>
      <c r="AT17">
        <f>'Alt scen Calcs'!H16</f>
        <v>0</v>
      </c>
      <c r="AU17">
        <f ca="1">'Alt scen Calcs'!I16</f>
        <v>0.1</v>
      </c>
      <c r="AV17">
        <f ca="1">'Alt scen Calcs'!J16</f>
        <v>0.30000000000000004</v>
      </c>
      <c r="AW17">
        <f ca="1">'Alt scen Calcs'!K16</f>
        <v>0.5</v>
      </c>
      <c r="AX17">
        <f ca="1">'Alt scen Calcs'!L16</f>
        <v>0.9</v>
      </c>
      <c r="AY17">
        <f ca="1">'Alt scen Calcs'!M16</f>
        <v>1.3</v>
      </c>
      <c r="AZ17">
        <f ca="1">'Alt scen Calcs'!N16</f>
        <v>2.1</v>
      </c>
      <c r="BA17">
        <f ca="1">'Alt scen Calcs'!O16</f>
        <v>2.9000000000000004</v>
      </c>
      <c r="BB17">
        <f ca="1">'Alt scen Calcs'!P16</f>
        <v>3.9000000000000004</v>
      </c>
      <c r="BC17">
        <f ca="1">'Alt scen Calcs'!Q16</f>
        <v>4.9000000000000004</v>
      </c>
      <c r="BD17">
        <f ca="1">'Alt scen Calcs'!R16</f>
        <v>6.4</v>
      </c>
      <c r="BE17">
        <f ca="1">'Alt scen Calcs'!S16</f>
        <v>7.9</v>
      </c>
      <c r="BF17">
        <f ca="1">'Alt scen Calcs'!T16</f>
        <v>9.9</v>
      </c>
      <c r="BG17">
        <f ca="1">'Alt scen Calcs'!U16</f>
        <v>9.9</v>
      </c>
      <c r="BH17">
        <f ca="1">'Alt scen Calcs'!V16</f>
        <v>9.9</v>
      </c>
      <c r="BI17">
        <f ca="1">'Alt scen Calcs'!W16</f>
        <v>9.9</v>
      </c>
      <c r="BJ17">
        <f ca="1">'Alt scen Calcs'!X16</f>
        <v>9.9</v>
      </c>
      <c r="BK17">
        <f ca="1">'Alt scen Calcs'!Y16</f>
        <v>9.9</v>
      </c>
      <c r="BL17">
        <f ca="1">'Alt scen Calcs'!Z16</f>
        <v>9.9</v>
      </c>
      <c r="BM17">
        <f ca="1">'Alt scen Calcs'!AA16</f>
        <v>9.9</v>
      </c>
      <c r="BN17">
        <f ca="1">'Alt scen Calcs'!AB16</f>
        <v>9.9</v>
      </c>
      <c r="BO17">
        <f ca="1">'Alt scen Calcs'!AC16</f>
        <v>9.8000000000000007</v>
      </c>
    </row>
    <row r="18" spans="1:67">
      <c r="A18" t="str">
        <f>'Tech Parameters'!B15</f>
        <v>Wind 25%</v>
      </c>
      <c r="B18">
        <f>'Ref scen Calcs'!D17</f>
        <v>0</v>
      </c>
      <c r="C18">
        <f>'Ref scen Calcs'!E17</f>
        <v>0</v>
      </c>
      <c r="D18">
        <f>'Ref scen Calcs'!F17</f>
        <v>0</v>
      </c>
      <c r="E18">
        <f>'Ref scen Calcs'!G17</f>
        <v>0</v>
      </c>
      <c r="F18">
        <f>'Ref scen Calcs'!H17</f>
        <v>0</v>
      </c>
      <c r="G18">
        <f ca="1">'Ref scen Calcs'!I17</f>
        <v>0</v>
      </c>
      <c r="H18">
        <f ca="1">'Ref scen Calcs'!J17</f>
        <v>0</v>
      </c>
      <c r="I18">
        <f ca="1">'Ref scen Calcs'!K17</f>
        <v>0</v>
      </c>
      <c r="J18">
        <f ca="1">'Ref scen Calcs'!L17</f>
        <v>0</v>
      </c>
      <c r="K18">
        <f ca="1">'Ref scen Calcs'!M17</f>
        <v>0</v>
      </c>
      <c r="L18">
        <f ca="1">'Ref scen Calcs'!N17</f>
        <v>0</v>
      </c>
      <c r="M18">
        <f ca="1">'Ref scen Calcs'!O17</f>
        <v>0</v>
      </c>
      <c r="N18">
        <f ca="1">'Ref scen Calcs'!P17</f>
        <v>0</v>
      </c>
      <c r="O18">
        <f ca="1">'Ref scen Calcs'!Q17</f>
        <v>0</v>
      </c>
      <c r="P18">
        <f ca="1">'Ref scen Calcs'!R17</f>
        <v>0</v>
      </c>
      <c r="Q18">
        <f ca="1">'Ref scen Calcs'!S17</f>
        <v>0</v>
      </c>
      <c r="R18">
        <f ca="1">'Ref scen Calcs'!T17</f>
        <v>0</v>
      </c>
      <c r="S18">
        <f ca="1">'Ref scen Calcs'!U17</f>
        <v>0</v>
      </c>
      <c r="T18">
        <f ca="1">'Ref scen Calcs'!V17</f>
        <v>0</v>
      </c>
      <c r="U18">
        <f ca="1">'Ref scen Calcs'!W17</f>
        <v>0</v>
      </c>
      <c r="V18">
        <f ca="1">'Ref scen Calcs'!X17</f>
        <v>0</v>
      </c>
      <c r="W18">
        <f ca="1">'Ref scen Calcs'!Y17</f>
        <v>0</v>
      </c>
      <c r="X18">
        <f ca="1">'Ref scen Calcs'!Z17</f>
        <v>0</v>
      </c>
      <c r="Y18">
        <f ca="1">'Ref scen Calcs'!AA17</f>
        <v>0</v>
      </c>
      <c r="Z18">
        <f ca="1">'Ref scen Calcs'!AB17</f>
        <v>0</v>
      </c>
      <c r="AA18">
        <f ca="1">'Ref scen Calcs'!AC17</f>
        <v>0</v>
      </c>
      <c r="AP18">
        <f>'Alt scen Calcs'!D17</f>
        <v>0</v>
      </c>
      <c r="AQ18">
        <f>'Alt scen Calcs'!E17</f>
        <v>0</v>
      </c>
      <c r="AR18">
        <f>'Alt scen Calcs'!F17</f>
        <v>0</v>
      </c>
      <c r="AS18">
        <f>'Alt scen Calcs'!G17</f>
        <v>0</v>
      </c>
      <c r="AT18">
        <f>'Alt scen Calcs'!H17</f>
        <v>0</v>
      </c>
      <c r="AU18">
        <f ca="1">'Alt scen Calcs'!I17</f>
        <v>0</v>
      </c>
      <c r="AV18">
        <f ca="1">'Alt scen Calcs'!J17</f>
        <v>0</v>
      </c>
      <c r="AW18">
        <f ca="1">'Alt scen Calcs'!K17</f>
        <v>0</v>
      </c>
      <c r="AX18">
        <f ca="1">'Alt scen Calcs'!L17</f>
        <v>0</v>
      </c>
      <c r="AY18">
        <f ca="1">'Alt scen Calcs'!M17</f>
        <v>0</v>
      </c>
      <c r="AZ18">
        <f ca="1">'Alt scen Calcs'!N17</f>
        <v>0</v>
      </c>
      <c r="BA18">
        <f ca="1">'Alt scen Calcs'!O17</f>
        <v>0</v>
      </c>
      <c r="BB18">
        <f ca="1">'Alt scen Calcs'!P17</f>
        <v>0</v>
      </c>
      <c r="BC18">
        <f ca="1">'Alt scen Calcs'!Q17</f>
        <v>0</v>
      </c>
      <c r="BD18">
        <f ca="1">'Alt scen Calcs'!R17</f>
        <v>0</v>
      </c>
      <c r="BE18">
        <f ca="1">'Alt scen Calcs'!S17</f>
        <v>0</v>
      </c>
      <c r="BF18">
        <f ca="1">'Alt scen Calcs'!T17</f>
        <v>0</v>
      </c>
      <c r="BG18">
        <f ca="1">'Alt scen Calcs'!U17</f>
        <v>1</v>
      </c>
      <c r="BH18">
        <f ca="1">'Alt scen Calcs'!V17</f>
        <v>2</v>
      </c>
      <c r="BI18">
        <f ca="1">'Alt scen Calcs'!W17</f>
        <v>3</v>
      </c>
      <c r="BJ18">
        <f ca="1">'Alt scen Calcs'!X17</f>
        <v>4</v>
      </c>
      <c r="BK18">
        <f ca="1">'Alt scen Calcs'!Y17</f>
        <v>5</v>
      </c>
      <c r="BL18">
        <f ca="1">'Alt scen Calcs'!Z17</f>
        <v>6</v>
      </c>
      <c r="BM18">
        <f ca="1">'Alt scen Calcs'!AA17</f>
        <v>7</v>
      </c>
      <c r="BN18">
        <f ca="1">'Alt scen Calcs'!AB17</f>
        <v>8</v>
      </c>
      <c r="BO18">
        <f ca="1">'Alt scen Calcs'!AC17</f>
        <v>9</v>
      </c>
    </row>
    <row r="19" spans="1:67">
      <c r="A19" t="str">
        <f>'Tech Parameters'!B16</f>
        <v>solar thermal central reciever</v>
      </c>
      <c r="B19">
        <f>'Ref scen Calcs'!D18</f>
        <v>0</v>
      </c>
      <c r="C19">
        <f>'Ref scen Calcs'!E18</f>
        <v>0</v>
      </c>
      <c r="D19">
        <f>'Ref scen Calcs'!F18</f>
        <v>0</v>
      </c>
      <c r="E19">
        <f>'Ref scen Calcs'!G18</f>
        <v>0</v>
      </c>
      <c r="F19">
        <f>'Ref scen Calcs'!H18</f>
        <v>0</v>
      </c>
      <c r="G19">
        <f ca="1">'Ref scen Calcs'!I18</f>
        <v>0</v>
      </c>
      <c r="H19">
        <f ca="1">'Ref scen Calcs'!J18</f>
        <v>0</v>
      </c>
      <c r="I19">
        <f ca="1">'Ref scen Calcs'!K18</f>
        <v>0</v>
      </c>
      <c r="J19">
        <f ca="1">'Ref scen Calcs'!L18</f>
        <v>0</v>
      </c>
      <c r="K19">
        <f ca="1">'Ref scen Calcs'!M18</f>
        <v>0</v>
      </c>
      <c r="L19">
        <f ca="1">'Ref scen Calcs'!N18</f>
        <v>0</v>
      </c>
      <c r="M19">
        <f ca="1">'Ref scen Calcs'!O18</f>
        <v>0</v>
      </c>
      <c r="N19">
        <f ca="1">'Ref scen Calcs'!P18</f>
        <v>0</v>
      </c>
      <c r="O19">
        <f ca="1">'Ref scen Calcs'!Q18</f>
        <v>0</v>
      </c>
      <c r="P19">
        <f ca="1">'Ref scen Calcs'!R18</f>
        <v>0</v>
      </c>
      <c r="Q19">
        <f ca="1">'Ref scen Calcs'!S18</f>
        <v>0</v>
      </c>
      <c r="R19">
        <f ca="1">'Ref scen Calcs'!T18</f>
        <v>0</v>
      </c>
      <c r="S19">
        <f ca="1">'Ref scen Calcs'!U18</f>
        <v>0</v>
      </c>
      <c r="T19">
        <f ca="1">'Ref scen Calcs'!V18</f>
        <v>0</v>
      </c>
      <c r="U19">
        <f ca="1">'Ref scen Calcs'!W18</f>
        <v>0</v>
      </c>
      <c r="V19">
        <f ca="1">'Ref scen Calcs'!X18</f>
        <v>0</v>
      </c>
      <c r="W19">
        <f ca="1">'Ref scen Calcs'!Y18</f>
        <v>0</v>
      </c>
      <c r="X19">
        <f ca="1">'Ref scen Calcs'!Z18</f>
        <v>0</v>
      </c>
      <c r="Y19">
        <f ca="1">'Ref scen Calcs'!AA18</f>
        <v>0</v>
      </c>
      <c r="Z19">
        <f ca="1">'Ref scen Calcs'!AB18</f>
        <v>0</v>
      </c>
      <c r="AA19">
        <f ca="1">'Ref scen Calcs'!AC18</f>
        <v>0</v>
      </c>
      <c r="AP19">
        <f>'Alt scen Calcs'!D18</f>
        <v>0</v>
      </c>
      <c r="AQ19">
        <f>'Alt scen Calcs'!E18</f>
        <v>0</v>
      </c>
      <c r="AR19">
        <f>'Alt scen Calcs'!F18</f>
        <v>0</v>
      </c>
      <c r="AS19">
        <f>'Alt scen Calcs'!G18</f>
        <v>0</v>
      </c>
      <c r="AT19">
        <f>'Alt scen Calcs'!H18</f>
        <v>0</v>
      </c>
      <c r="AU19">
        <f ca="1">'Alt scen Calcs'!I18</f>
        <v>0</v>
      </c>
      <c r="AV19">
        <f ca="1">'Alt scen Calcs'!J18</f>
        <v>0</v>
      </c>
      <c r="AW19">
        <f ca="1">'Alt scen Calcs'!K18</f>
        <v>0</v>
      </c>
      <c r="AX19">
        <f ca="1">'Alt scen Calcs'!L18</f>
        <v>0</v>
      </c>
      <c r="AY19">
        <f ca="1">'Alt scen Calcs'!M18</f>
        <v>0</v>
      </c>
      <c r="AZ19">
        <f ca="1">'Alt scen Calcs'!N18</f>
        <v>0.1</v>
      </c>
      <c r="BA19">
        <f ca="1">'Alt scen Calcs'!O18</f>
        <v>0.30000000000000004</v>
      </c>
      <c r="BB19">
        <f ca="1">'Alt scen Calcs'!P18</f>
        <v>0.70000000000000007</v>
      </c>
      <c r="BC19">
        <f ca="1">'Alt scen Calcs'!Q18</f>
        <v>1.5</v>
      </c>
      <c r="BD19">
        <f ca="1">'Alt scen Calcs'!R18</f>
        <v>2.7</v>
      </c>
      <c r="BE19">
        <f ca="1">'Alt scen Calcs'!S18</f>
        <v>4.3000000000000007</v>
      </c>
      <c r="BF19">
        <f ca="1">'Alt scen Calcs'!T18</f>
        <v>6.3000000000000007</v>
      </c>
      <c r="BG19">
        <f ca="1">'Alt scen Calcs'!U18</f>
        <v>8.3000000000000007</v>
      </c>
      <c r="BH19">
        <f ca="1">'Alt scen Calcs'!V18</f>
        <v>11.3</v>
      </c>
      <c r="BI19">
        <f ca="1">'Alt scen Calcs'!W18</f>
        <v>14.3</v>
      </c>
      <c r="BJ19">
        <f ca="1">'Alt scen Calcs'!X18</f>
        <v>17.3</v>
      </c>
      <c r="BK19">
        <f ca="1">'Alt scen Calcs'!Y18</f>
        <v>20.3</v>
      </c>
      <c r="BL19">
        <f ca="1">'Alt scen Calcs'!Z18</f>
        <v>23.3</v>
      </c>
      <c r="BM19">
        <f ca="1">'Alt scen Calcs'!AA18</f>
        <v>26.3</v>
      </c>
      <c r="BN19">
        <f ca="1">'Alt scen Calcs'!AB18</f>
        <v>29.3</v>
      </c>
      <c r="BO19">
        <f ca="1">'Alt scen Calcs'!AC18</f>
        <v>32.299999999999997</v>
      </c>
    </row>
    <row r="20" spans="1:67">
      <c r="A20" t="str">
        <f>'Tech Parameters'!B17</f>
        <v>solar thermal trough</v>
      </c>
      <c r="B20">
        <f>'Ref scen Calcs'!D19</f>
        <v>0</v>
      </c>
      <c r="C20">
        <f>'Ref scen Calcs'!E19</f>
        <v>0</v>
      </c>
      <c r="D20">
        <f>'Ref scen Calcs'!F19</f>
        <v>0</v>
      </c>
      <c r="E20">
        <f>'Ref scen Calcs'!G19</f>
        <v>0</v>
      </c>
      <c r="F20">
        <f>'Ref scen Calcs'!H19</f>
        <v>0</v>
      </c>
      <c r="G20">
        <f ca="1">'Ref scen Calcs'!I19</f>
        <v>0</v>
      </c>
      <c r="H20">
        <f ca="1">'Ref scen Calcs'!J19</f>
        <v>0</v>
      </c>
      <c r="I20">
        <f ca="1">'Ref scen Calcs'!K19</f>
        <v>0</v>
      </c>
      <c r="J20">
        <f ca="1">'Ref scen Calcs'!L19</f>
        <v>0</v>
      </c>
      <c r="K20">
        <f ca="1">'Ref scen Calcs'!M19</f>
        <v>0</v>
      </c>
      <c r="L20">
        <f ca="1">'Ref scen Calcs'!N19</f>
        <v>0</v>
      </c>
      <c r="M20">
        <f ca="1">'Ref scen Calcs'!O19</f>
        <v>0</v>
      </c>
      <c r="N20">
        <f ca="1">'Ref scen Calcs'!P19</f>
        <v>0</v>
      </c>
      <c r="O20">
        <f ca="1">'Ref scen Calcs'!Q19</f>
        <v>0</v>
      </c>
      <c r="P20">
        <f ca="1">'Ref scen Calcs'!R19</f>
        <v>0</v>
      </c>
      <c r="Q20">
        <f ca="1">'Ref scen Calcs'!S19</f>
        <v>0</v>
      </c>
      <c r="R20">
        <f ca="1">'Ref scen Calcs'!T19</f>
        <v>0</v>
      </c>
      <c r="S20">
        <f ca="1">'Ref scen Calcs'!U19</f>
        <v>0</v>
      </c>
      <c r="T20">
        <f ca="1">'Ref scen Calcs'!V19</f>
        <v>0</v>
      </c>
      <c r="U20">
        <f ca="1">'Ref scen Calcs'!W19</f>
        <v>0</v>
      </c>
      <c r="V20">
        <f ca="1">'Ref scen Calcs'!X19</f>
        <v>0</v>
      </c>
      <c r="W20">
        <f ca="1">'Ref scen Calcs'!Y19</f>
        <v>0</v>
      </c>
      <c r="X20">
        <f ca="1">'Ref scen Calcs'!Z19</f>
        <v>0</v>
      </c>
      <c r="Y20">
        <f ca="1">'Ref scen Calcs'!AA19</f>
        <v>0</v>
      </c>
      <c r="Z20">
        <f ca="1">'Ref scen Calcs'!AB19</f>
        <v>0</v>
      </c>
      <c r="AA20">
        <f ca="1">'Ref scen Calcs'!AC19</f>
        <v>0</v>
      </c>
      <c r="AP20">
        <f>'Alt scen Calcs'!D19</f>
        <v>0</v>
      </c>
      <c r="AQ20">
        <f>'Alt scen Calcs'!E19</f>
        <v>0</v>
      </c>
      <c r="AR20">
        <f>'Alt scen Calcs'!F19</f>
        <v>0</v>
      </c>
      <c r="AS20">
        <f>'Alt scen Calcs'!G19</f>
        <v>0</v>
      </c>
      <c r="AT20">
        <f>'Alt scen Calcs'!H19</f>
        <v>0</v>
      </c>
      <c r="AU20">
        <f ca="1">'Alt scen Calcs'!I19</f>
        <v>0</v>
      </c>
      <c r="AV20">
        <f ca="1">'Alt scen Calcs'!J19</f>
        <v>0</v>
      </c>
      <c r="AW20">
        <f ca="1">'Alt scen Calcs'!K19</f>
        <v>0</v>
      </c>
      <c r="AX20">
        <f ca="1">'Alt scen Calcs'!L19</f>
        <v>0</v>
      </c>
      <c r="AY20">
        <f ca="1">'Alt scen Calcs'!M19</f>
        <v>0</v>
      </c>
      <c r="AZ20">
        <f ca="1">'Alt scen Calcs'!N19</f>
        <v>0</v>
      </c>
      <c r="BA20">
        <f ca="1">'Alt scen Calcs'!O19</f>
        <v>0</v>
      </c>
      <c r="BB20">
        <f ca="1">'Alt scen Calcs'!P19</f>
        <v>0</v>
      </c>
      <c r="BC20">
        <f ca="1">'Alt scen Calcs'!Q19</f>
        <v>0</v>
      </c>
      <c r="BD20">
        <f ca="1">'Alt scen Calcs'!R19</f>
        <v>0</v>
      </c>
      <c r="BE20">
        <f ca="1">'Alt scen Calcs'!S19</f>
        <v>0</v>
      </c>
      <c r="BF20">
        <f ca="1">'Alt scen Calcs'!T19</f>
        <v>0</v>
      </c>
      <c r="BG20">
        <f ca="1">'Alt scen Calcs'!U19</f>
        <v>0</v>
      </c>
      <c r="BH20">
        <f ca="1">'Alt scen Calcs'!V19</f>
        <v>0</v>
      </c>
      <c r="BI20">
        <f ca="1">'Alt scen Calcs'!W19</f>
        <v>0</v>
      </c>
      <c r="BJ20">
        <f ca="1">'Alt scen Calcs'!X19</f>
        <v>0</v>
      </c>
      <c r="BK20">
        <f ca="1">'Alt scen Calcs'!Y19</f>
        <v>0</v>
      </c>
      <c r="BL20">
        <f ca="1">'Alt scen Calcs'!Z19</f>
        <v>0</v>
      </c>
      <c r="BM20">
        <f ca="1">'Alt scen Calcs'!AA19</f>
        <v>0</v>
      </c>
      <c r="BN20">
        <f ca="1">'Alt scen Calcs'!AB19</f>
        <v>0</v>
      </c>
      <c r="BO20">
        <f ca="1">'Alt scen Calcs'!AC19</f>
        <v>0</v>
      </c>
    </row>
    <row r="21" spans="1:67">
      <c r="A21" t="str">
        <f>'Tech Parameters'!B18</f>
        <v>solar PV</v>
      </c>
      <c r="B21">
        <f>'Ref scen Calcs'!D20</f>
        <v>0</v>
      </c>
      <c r="C21">
        <f>'Ref scen Calcs'!E20</f>
        <v>0</v>
      </c>
      <c r="D21">
        <f>'Ref scen Calcs'!F20</f>
        <v>0</v>
      </c>
      <c r="E21">
        <f>'Ref scen Calcs'!G20</f>
        <v>0</v>
      </c>
      <c r="F21">
        <f>'Ref scen Calcs'!H20</f>
        <v>0</v>
      </c>
      <c r="G21">
        <f ca="1">'Ref scen Calcs'!I20</f>
        <v>0</v>
      </c>
      <c r="H21">
        <f ca="1">'Ref scen Calcs'!J20</f>
        <v>0</v>
      </c>
      <c r="I21">
        <f ca="1">'Ref scen Calcs'!K20</f>
        <v>0</v>
      </c>
      <c r="J21">
        <f ca="1">'Ref scen Calcs'!L20</f>
        <v>0</v>
      </c>
      <c r="K21">
        <f ca="1">'Ref scen Calcs'!M20</f>
        <v>0</v>
      </c>
      <c r="L21">
        <f ca="1">'Ref scen Calcs'!N20</f>
        <v>0</v>
      </c>
      <c r="M21">
        <f ca="1">'Ref scen Calcs'!O20</f>
        <v>0</v>
      </c>
      <c r="N21">
        <f ca="1">'Ref scen Calcs'!P20</f>
        <v>0</v>
      </c>
      <c r="O21">
        <f ca="1">'Ref scen Calcs'!Q20</f>
        <v>0</v>
      </c>
      <c r="P21">
        <f ca="1">'Ref scen Calcs'!R20</f>
        <v>0</v>
      </c>
      <c r="Q21">
        <f ca="1">'Ref scen Calcs'!S20</f>
        <v>0</v>
      </c>
      <c r="R21">
        <f ca="1">'Ref scen Calcs'!T20</f>
        <v>0</v>
      </c>
      <c r="S21">
        <f ca="1">'Ref scen Calcs'!U20</f>
        <v>0</v>
      </c>
      <c r="T21">
        <f ca="1">'Ref scen Calcs'!V20</f>
        <v>0</v>
      </c>
      <c r="U21">
        <f ca="1">'Ref scen Calcs'!W20</f>
        <v>0</v>
      </c>
      <c r="V21">
        <f ca="1">'Ref scen Calcs'!X20</f>
        <v>0</v>
      </c>
      <c r="W21">
        <f ca="1">'Ref scen Calcs'!Y20</f>
        <v>0</v>
      </c>
      <c r="X21">
        <f ca="1">'Ref scen Calcs'!Z20</f>
        <v>0</v>
      </c>
      <c r="Y21">
        <f ca="1">'Ref scen Calcs'!AA20</f>
        <v>0</v>
      </c>
      <c r="Z21">
        <f ca="1">'Ref scen Calcs'!AB20</f>
        <v>0</v>
      </c>
      <c r="AA21">
        <f ca="1">'Ref scen Calcs'!AC20</f>
        <v>0</v>
      </c>
      <c r="AP21">
        <f>'Alt scen Calcs'!D20</f>
        <v>0</v>
      </c>
      <c r="AQ21">
        <f>'Alt scen Calcs'!E20</f>
        <v>0</v>
      </c>
      <c r="AR21">
        <f>'Alt scen Calcs'!F20</f>
        <v>0</v>
      </c>
      <c r="AS21">
        <f>'Alt scen Calcs'!G20</f>
        <v>0</v>
      </c>
      <c r="AT21">
        <f>'Alt scen Calcs'!H20</f>
        <v>0</v>
      </c>
      <c r="AU21">
        <f ca="1">'Alt scen Calcs'!I20</f>
        <v>0</v>
      </c>
      <c r="AV21">
        <f ca="1">'Alt scen Calcs'!J20</f>
        <v>0</v>
      </c>
      <c r="AW21">
        <f ca="1">'Alt scen Calcs'!K20</f>
        <v>0</v>
      </c>
      <c r="AX21">
        <f ca="1">'Alt scen Calcs'!L20</f>
        <v>0</v>
      </c>
      <c r="AY21">
        <f ca="1">'Alt scen Calcs'!M20</f>
        <v>0</v>
      </c>
      <c r="AZ21">
        <f ca="1">'Alt scen Calcs'!N20</f>
        <v>0</v>
      </c>
      <c r="BA21">
        <f ca="1">'Alt scen Calcs'!O20</f>
        <v>0</v>
      </c>
      <c r="BB21">
        <f ca="1">'Alt scen Calcs'!P20</f>
        <v>0</v>
      </c>
      <c r="BC21">
        <f ca="1">'Alt scen Calcs'!Q20</f>
        <v>0</v>
      </c>
      <c r="BD21">
        <f ca="1">'Alt scen Calcs'!R20</f>
        <v>0</v>
      </c>
      <c r="BE21">
        <f ca="1">'Alt scen Calcs'!S20</f>
        <v>0</v>
      </c>
      <c r="BF21">
        <f ca="1">'Alt scen Calcs'!T20</f>
        <v>0</v>
      </c>
      <c r="BG21">
        <f ca="1">'Alt scen Calcs'!U20</f>
        <v>0</v>
      </c>
      <c r="BH21">
        <f ca="1">'Alt scen Calcs'!V20</f>
        <v>0</v>
      </c>
      <c r="BI21">
        <f ca="1">'Alt scen Calcs'!W20</f>
        <v>0</v>
      </c>
      <c r="BJ21">
        <f ca="1">'Alt scen Calcs'!X20</f>
        <v>0</v>
      </c>
      <c r="BK21">
        <f ca="1">'Alt scen Calcs'!Y20</f>
        <v>0</v>
      </c>
      <c r="BL21">
        <f ca="1">'Alt scen Calcs'!Z20</f>
        <v>0</v>
      </c>
      <c r="BM21">
        <f ca="1">'Alt scen Calcs'!AA20</f>
        <v>0</v>
      </c>
      <c r="BN21">
        <f ca="1">'Alt scen Calcs'!AB20</f>
        <v>0</v>
      </c>
      <c r="BO21">
        <f ca="1">'Alt scen Calcs'!AC20</f>
        <v>0</v>
      </c>
    </row>
    <row r="22" spans="1:67">
      <c r="A22" t="str">
        <f>'Tech Parameters'!B19</f>
        <v>combined cycle gas</v>
      </c>
      <c r="B22">
        <f>'Ref scen Calcs'!D21</f>
        <v>0</v>
      </c>
      <c r="C22">
        <f>'Ref scen Calcs'!E21</f>
        <v>0</v>
      </c>
      <c r="D22">
        <f>'Ref scen Calcs'!F21</f>
        <v>0</v>
      </c>
      <c r="E22">
        <f>'Ref scen Calcs'!G21</f>
        <v>0</v>
      </c>
      <c r="F22">
        <f>'Ref scen Calcs'!H21</f>
        <v>0</v>
      </c>
      <c r="G22">
        <f ca="1">'Ref scen Calcs'!I21</f>
        <v>0</v>
      </c>
      <c r="H22">
        <f ca="1">'Ref scen Calcs'!J21</f>
        <v>0</v>
      </c>
      <c r="I22">
        <f ca="1">'Ref scen Calcs'!K21</f>
        <v>0</v>
      </c>
      <c r="J22">
        <f ca="1">'Ref scen Calcs'!L21</f>
        <v>0</v>
      </c>
      <c r="K22">
        <f ca="1">'Ref scen Calcs'!M21</f>
        <v>0</v>
      </c>
      <c r="L22">
        <f ca="1">'Ref scen Calcs'!N21</f>
        <v>0</v>
      </c>
      <c r="M22">
        <f ca="1">'Ref scen Calcs'!O21</f>
        <v>0</v>
      </c>
      <c r="N22">
        <f ca="1">'Ref scen Calcs'!P21</f>
        <v>0</v>
      </c>
      <c r="O22">
        <f ca="1">'Ref scen Calcs'!Q21</f>
        <v>0</v>
      </c>
      <c r="P22">
        <f ca="1">'Ref scen Calcs'!R21</f>
        <v>0</v>
      </c>
      <c r="Q22">
        <f ca="1">'Ref scen Calcs'!S21</f>
        <v>0</v>
      </c>
      <c r="R22">
        <f ca="1">'Ref scen Calcs'!T21</f>
        <v>0</v>
      </c>
      <c r="S22">
        <f ca="1">'Ref scen Calcs'!U21</f>
        <v>0</v>
      </c>
      <c r="T22">
        <f ca="1">'Ref scen Calcs'!V21</f>
        <v>0</v>
      </c>
      <c r="U22">
        <f ca="1">'Ref scen Calcs'!W21</f>
        <v>0</v>
      </c>
      <c r="V22">
        <f ca="1">'Ref scen Calcs'!X21</f>
        <v>0</v>
      </c>
      <c r="W22">
        <f ca="1">'Ref scen Calcs'!Y21</f>
        <v>0</v>
      </c>
      <c r="X22">
        <f ca="1">'Ref scen Calcs'!Z21</f>
        <v>0</v>
      </c>
      <c r="Y22">
        <f ca="1">'Ref scen Calcs'!AA21</f>
        <v>0</v>
      </c>
      <c r="Z22">
        <f ca="1">'Ref scen Calcs'!AB21</f>
        <v>0</v>
      </c>
      <c r="AA22">
        <f ca="1">'Ref scen Calcs'!AC21</f>
        <v>0</v>
      </c>
      <c r="AP22">
        <f>'Alt scen Calcs'!D21</f>
        <v>0</v>
      </c>
      <c r="AQ22">
        <f>'Alt scen Calcs'!E21</f>
        <v>0</v>
      </c>
      <c r="AR22">
        <f>'Alt scen Calcs'!F21</f>
        <v>0</v>
      </c>
      <c r="AS22">
        <f>'Alt scen Calcs'!G21</f>
        <v>0</v>
      </c>
      <c r="AT22">
        <f>'Alt scen Calcs'!H21</f>
        <v>0</v>
      </c>
      <c r="AU22">
        <f ca="1">'Alt scen Calcs'!I21</f>
        <v>0</v>
      </c>
      <c r="AV22">
        <f ca="1">'Alt scen Calcs'!J21</f>
        <v>0</v>
      </c>
      <c r="AW22">
        <f ca="1">'Alt scen Calcs'!K21</f>
        <v>0</v>
      </c>
      <c r="AX22">
        <f ca="1">'Alt scen Calcs'!L21</f>
        <v>0</v>
      </c>
      <c r="AY22">
        <f ca="1">'Alt scen Calcs'!M21</f>
        <v>0</v>
      </c>
      <c r="AZ22">
        <f ca="1">'Alt scen Calcs'!N21</f>
        <v>0</v>
      </c>
      <c r="BA22">
        <f ca="1">'Alt scen Calcs'!O21</f>
        <v>0</v>
      </c>
      <c r="BB22">
        <f ca="1">'Alt scen Calcs'!P21</f>
        <v>0</v>
      </c>
      <c r="BC22">
        <f ca="1">'Alt scen Calcs'!Q21</f>
        <v>0</v>
      </c>
      <c r="BD22">
        <f ca="1">'Alt scen Calcs'!R21</f>
        <v>0</v>
      </c>
      <c r="BE22">
        <f ca="1">'Alt scen Calcs'!S21</f>
        <v>0</v>
      </c>
      <c r="BF22">
        <f ca="1">'Alt scen Calcs'!T21</f>
        <v>0</v>
      </c>
      <c r="BG22">
        <f ca="1">'Alt scen Calcs'!U21</f>
        <v>0</v>
      </c>
      <c r="BH22">
        <f ca="1">'Alt scen Calcs'!V21</f>
        <v>0</v>
      </c>
      <c r="BI22">
        <f ca="1">'Alt scen Calcs'!W21</f>
        <v>0</v>
      </c>
      <c r="BJ22">
        <f ca="1">'Alt scen Calcs'!X21</f>
        <v>0</v>
      </c>
      <c r="BK22">
        <f ca="1">'Alt scen Calcs'!Y21</f>
        <v>0</v>
      </c>
      <c r="BL22">
        <f ca="1">'Alt scen Calcs'!Z21</f>
        <v>0.77400000000000002</v>
      </c>
      <c r="BM22">
        <f ca="1">'Alt scen Calcs'!AA21</f>
        <v>1.9350000000000001</v>
      </c>
      <c r="BN22">
        <f ca="1">'Alt scen Calcs'!AB21</f>
        <v>3.0960000000000001</v>
      </c>
      <c r="BO22">
        <f ca="1">'Alt scen Calcs'!AC21</f>
        <v>3.0960000000000001</v>
      </c>
    </row>
    <row r="23" spans="1:67">
      <c r="A23" t="str">
        <f>'Tech Parameters'!B20</f>
        <v>PBMR</v>
      </c>
      <c r="B23">
        <f>'Ref scen Calcs'!D22</f>
        <v>0</v>
      </c>
      <c r="C23">
        <f>'Ref scen Calcs'!E22</f>
        <v>0</v>
      </c>
      <c r="D23">
        <f>'Ref scen Calcs'!F22</f>
        <v>0</v>
      </c>
      <c r="E23">
        <f>'Ref scen Calcs'!G22</f>
        <v>0</v>
      </c>
      <c r="F23">
        <f>'Ref scen Calcs'!H22</f>
        <v>0</v>
      </c>
      <c r="G23">
        <f ca="1">'Ref scen Calcs'!I22</f>
        <v>0</v>
      </c>
      <c r="H23">
        <f ca="1">'Ref scen Calcs'!J22</f>
        <v>0</v>
      </c>
      <c r="I23">
        <f ca="1">'Ref scen Calcs'!K22</f>
        <v>0</v>
      </c>
      <c r="J23">
        <f ca="1">'Ref scen Calcs'!L22</f>
        <v>0</v>
      </c>
      <c r="K23">
        <f ca="1">'Ref scen Calcs'!M22</f>
        <v>0</v>
      </c>
      <c r="L23">
        <f ca="1">'Ref scen Calcs'!N22</f>
        <v>0</v>
      </c>
      <c r="M23">
        <f ca="1">'Ref scen Calcs'!O22</f>
        <v>0</v>
      </c>
      <c r="N23">
        <f ca="1">'Ref scen Calcs'!P22</f>
        <v>0</v>
      </c>
      <c r="O23">
        <f ca="1">'Ref scen Calcs'!Q22</f>
        <v>0</v>
      </c>
      <c r="P23">
        <f ca="1">'Ref scen Calcs'!R22</f>
        <v>0</v>
      </c>
      <c r="Q23">
        <f ca="1">'Ref scen Calcs'!S22</f>
        <v>0</v>
      </c>
      <c r="R23">
        <f ca="1">'Ref scen Calcs'!T22</f>
        <v>0</v>
      </c>
      <c r="S23">
        <f ca="1">'Ref scen Calcs'!U22</f>
        <v>0</v>
      </c>
      <c r="T23">
        <f ca="1">'Ref scen Calcs'!V22</f>
        <v>0</v>
      </c>
      <c r="U23">
        <f ca="1">'Ref scen Calcs'!W22</f>
        <v>0</v>
      </c>
      <c r="V23">
        <f ca="1">'Ref scen Calcs'!X22</f>
        <v>0</v>
      </c>
      <c r="W23">
        <f ca="1">'Ref scen Calcs'!Y22</f>
        <v>0</v>
      </c>
      <c r="X23">
        <f ca="1">'Ref scen Calcs'!Z22</f>
        <v>0</v>
      </c>
      <c r="Y23">
        <f ca="1">'Ref scen Calcs'!AA22</f>
        <v>0</v>
      </c>
      <c r="Z23">
        <f ca="1">'Ref scen Calcs'!AB22</f>
        <v>0</v>
      </c>
      <c r="AA23">
        <f ca="1">'Ref scen Calcs'!AC22</f>
        <v>0</v>
      </c>
      <c r="AP23">
        <f>'Alt scen Calcs'!D22</f>
        <v>0</v>
      </c>
      <c r="AQ23">
        <f>'Alt scen Calcs'!E22</f>
        <v>0</v>
      </c>
      <c r="AR23">
        <f>'Alt scen Calcs'!F22</f>
        <v>0</v>
      </c>
      <c r="AS23">
        <f>'Alt scen Calcs'!G22</f>
        <v>0</v>
      </c>
      <c r="AT23">
        <f>'Alt scen Calcs'!H22</f>
        <v>0</v>
      </c>
      <c r="AU23">
        <f ca="1">'Alt scen Calcs'!I22</f>
        <v>0</v>
      </c>
      <c r="AV23">
        <f ca="1">'Alt scen Calcs'!J22</f>
        <v>0</v>
      </c>
      <c r="AW23">
        <f ca="1">'Alt scen Calcs'!K22</f>
        <v>0</v>
      </c>
      <c r="AX23">
        <f ca="1">'Alt scen Calcs'!L22</f>
        <v>0</v>
      </c>
      <c r="AY23">
        <f ca="1">'Alt scen Calcs'!M22</f>
        <v>0</v>
      </c>
      <c r="AZ23">
        <f ca="1">'Alt scen Calcs'!N22</f>
        <v>0</v>
      </c>
      <c r="BA23">
        <f ca="1">'Alt scen Calcs'!O22</f>
        <v>0</v>
      </c>
      <c r="BB23">
        <f ca="1">'Alt scen Calcs'!P22</f>
        <v>0</v>
      </c>
      <c r="BC23">
        <f ca="1">'Alt scen Calcs'!Q22</f>
        <v>0</v>
      </c>
      <c r="BD23">
        <f ca="1">'Alt scen Calcs'!R22</f>
        <v>0</v>
      </c>
      <c r="BE23">
        <f ca="1">'Alt scen Calcs'!S22</f>
        <v>0</v>
      </c>
      <c r="BF23">
        <f ca="1">'Alt scen Calcs'!T22</f>
        <v>0</v>
      </c>
      <c r="BG23">
        <f ca="1">'Alt scen Calcs'!U22</f>
        <v>0</v>
      </c>
      <c r="BH23">
        <f ca="1">'Alt scen Calcs'!V22</f>
        <v>0</v>
      </c>
      <c r="BI23">
        <f ca="1">'Alt scen Calcs'!W22</f>
        <v>0</v>
      </c>
      <c r="BJ23">
        <f ca="1">'Alt scen Calcs'!X22</f>
        <v>0</v>
      </c>
      <c r="BK23">
        <f ca="1">'Alt scen Calcs'!Y22</f>
        <v>0</v>
      </c>
      <c r="BL23">
        <f ca="1">'Alt scen Calcs'!Z22</f>
        <v>0</v>
      </c>
      <c r="BM23">
        <f ca="1">'Alt scen Calcs'!AA22</f>
        <v>0</v>
      </c>
      <c r="BN23">
        <f ca="1">'Alt scen Calcs'!AB22</f>
        <v>0</v>
      </c>
      <c r="BO23">
        <f ca="1">'Alt scen Calcs'!AC22</f>
        <v>0</v>
      </c>
    </row>
    <row r="24" spans="1:67">
      <c r="A24" t="str">
        <f>'Tech Parameters'!B21</f>
        <v>IGCC</v>
      </c>
      <c r="B24">
        <f>'Ref scen Calcs'!D23</f>
        <v>0</v>
      </c>
      <c r="C24">
        <f>'Ref scen Calcs'!E23</f>
        <v>0</v>
      </c>
      <c r="D24">
        <f>'Ref scen Calcs'!F23</f>
        <v>0</v>
      </c>
      <c r="E24">
        <f>'Ref scen Calcs'!G23</f>
        <v>0</v>
      </c>
      <c r="F24">
        <f>'Ref scen Calcs'!H23</f>
        <v>0</v>
      </c>
      <c r="G24">
        <f ca="1">'Ref scen Calcs'!I23</f>
        <v>0</v>
      </c>
      <c r="H24">
        <f ca="1">'Ref scen Calcs'!J23</f>
        <v>0</v>
      </c>
      <c r="I24">
        <f ca="1">'Ref scen Calcs'!K23</f>
        <v>0</v>
      </c>
      <c r="J24">
        <f ca="1">'Ref scen Calcs'!L23</f>
        <v>0</v>
      </c>
      <c r="K24">
        <f ca="1">'Ref scen Calcs'!M23</f>
        <v>0</v>
      </c>
      <c r="L24">
        <f ca="1">'Ref scen Calcs'!N23</f>
        <v>0</v>
      </c>
      <c r="M24">
        <f ca="1">'Ref scen Calcs'!O23</f>
        <v>0</v>
      </c>
      <c r="N24">
        <f ca="1">'Ref scen Calcs'!P23</f>
        <v>0</v>
      </c>
      <c r="O24">
        <f ca="1">'Ref scen Calcs'!Q23</f>
        <v>0</v>
      </c>
      <c r="P24">
        <f ca="1">'Ref scen Calcs'!R23</f>
        <v>0</v>
      </c>
      <c r="Q24">
        <f ca="1">'Ref scen Calcs'!S23</f>
        <v>0</v>
      </c>
      <c r="R24">
        <f ca="1">'Ref scen Calcs'!T23</f>
        <v>0</v>
      </c>
      <c r="S24">
        <f ca="1">'Ref scen Calcs'!U23</f>
        <v>0</v>
      </c>
      <c r="T24">
        <f ca="1">'Ref scen Calcs'!V23</f>
        <v>0</v>
      </c>
      <c r="U24">
        <f ca="1">'Ref scen Calcs'!W23</f>
        <v>0</v>
      </c>
      <c r="V24">
        <f ca="1">'Ref scen Calcs'!X23</f>
        <v>0</v>
      </c>
      <c r="W24">
        <f ca="1">'Ref scen Calcs'!Y23</f>
        <v>0</v>
      </c>
      <c r="X24">
        <f ca="1">'Ref scen Calcs'!Z23</f>
        <v>0</v>
      </c>
      <c r="Y24">
        <f ca="1">'Ref scen Calcs'!AA23</f>
        <v>0</v>
      </c>
      <c r="Z24">
        <f ca="1">'Ref scen Calcs'!AB23</f>
        <v>0</v>
      </c>
      <c r="AA24">
        <f ca="1">'Ref scen Calcs'!AC23</f>
        <v>0</v>
      </c>
      <c r="AP24">
        <f>'Alt scen Calcs'!D23</f>
        <v>0</v>
      </c>
      <c r="AQ24">
        <f>'Alt scen Calcs'!E23</f>
        <v>0</v>
      </c>
      <c r="AR24">
        <f>'Alt scen Calcs'!F23</f>
        <v>0</v>
      </c>
      <c r="AS24">
        <f>'Alt scen Calcs'!G23</f>
        <v>0</v>
      </c>
      <c r="AT24">
        <f>'Alt scen Calcs'!H23</f>
        <v>0</v>
      </c>
      <c r="AU24">
        <f ca="1">'Alt scen Calcs'!I23</f>
        <v>0</v>
      </c>
      <c r="AV24">
        <f ca="1">'Alt scen Calcs'!J23</f>
        <v>0</v>
      </c>
      <c r="AW24">
        <f ca="1">'Alt scen Calcs'!K23</f>
        <v>0</v>
      </c>
      <c r="AX24">
        <f ca="1">'Alt scen Calcs'!L23</f>
        <v>0</v>
      </c>
      <c r="AY24">
        <f ca="1">'Alt scen Calcs'!M23</f>
        <v>0</v>
      </c>
      <c r="AZ24">
        <f ca="1">'Alt scen Calcs'!N23</f>
        <v>0</v>
      </c>
      <c r="BA24">
        <f ca="1">'Alt scen Calcs'!O23</f>
        <v>0</v>
      </c>
      <c r="BB24">
        <f ca="1">'Alt scen Calcs'!P23</f>
        <v>0</v>
      </c>
      <c r="BC24">
        <f ca="1">'Alt scen Calcs'!Q23</f>
        <v>0</v>
      </c>
      <c r="BD24">
        <f ca="1">'Alt scen Calcs'!R23</f>
        <v>0</v>
      </c>
      <c r="BE24">
        <f ca="1">'Alt scen Calcs'!S23</f>
        <v>0</v>
      </c>
      <c r="BF24">
        <f ca="1">'Alt scen Calcs'!T23</f>
        <v>0</v>
      </c>
      <c r="BG24">
        <f ca="1">'Alt scen Calcs'!U23</f>
        <v>0</v>
      </c>
      <c r="BH24">
        <f ca="1">'Alt scen Calcs'!V23</f>
        <v>0</v>
      </c>
      <c r="BI24">
        <f ca="1">'Alt scen Calcs'!W23</f>
        <v>0</v>
      </c>
      <c r="BJ24">
        <f ca="1">'Alt scen Calcs'!X23</f>
        <v>0</v>
      </c>
      <c r="BK24">
        <f ca="1">'Alt scen Calcs'!Y23</f>
        <v>0</v>
      </c>
      <c r="BL24">
        <f ca="1">'Alt scen Calcs'!Z23</f>
        <v>0</v>
      </c>
      <c r="BM24">
        <f ca="1">'Alt scen Calcs'!AA23</f>
        <v>0</v>
      </c>
      <c r="BN24">
        <f ca="1">'Alt scen Calcs'!AB23</f>
        <v>0.55000000000000004</v>
      </c>
      <c r="BO24">
        <f ca="1">'Alt scen Calcs'!AC23</f>
        <v>1.1000000000000001</v>
      </c>
    </row>
    <row r="25" spans="1:67">
      <c r="A25" t="str">
        <f>'Tech Parameters'!B22</f>
        <v>-</v>
      </c>
      <c r="B25">
        <f>'Ref scen Calcs'!D24</f>
        <v>0</v>
      </c>
      <c r="C25">
        <f>'Ref scen Calcs'!E24</f>
        <v>0</v>
      </c>
      <c r="D25">
        <f>'Ref scen Calcs'!F24</f>
        <v>0</v>
      </c>
      <c r="E25">
        <f>'Ref scen Calcs'!G24</f>
        <v>0</v>
      </c>
      <c r="F25">
        <f>'Ref scen Calcs'!H24</f>
        <v>0</v>
      </c>
      <c r="G25">
        <f ca="1">'Ref scen Calcs'!I24</f>
        <v>0</v>
      </c>
      <c r="H25">
        <f ca="1">'Ref scen Calcs'!J24</f>
        <v>0</v>
      </c>
      <c r="I25">
        <f ca="1">'Ref scen Calcs'!K24</f>
        <v>0</v>
      </c>
      <c r="J25">
        <f ca="1">'Ref scen Calcs'!L24</f>
        <v>0</v>
      </c>
      <c r="K25">
        <f ca="1">'Ref scen Calcs'!M24</f>
        <v>0</v>
      </c>
      <c r="L25">
        <f ca="1">'Ref scen Calcs'!N24</f>
        <v>0</v>
      </c>
      <c r="M25">
        <f ca="1">'Ref scen Calcs'!O24</f>
        <v>0</v>
      </c>
      <c r="N25">
        <f ca="1">'Ref scen Calcs'!P24</f>
        <v>0</v>
      </c>
      <c r="O25">
        <f ca="1">'Ref scen Calcs'!Q24</f>
        <v>0</v>
      </c>
      <c r="P25">
        <f ca="1">'Ref scen Calcs'!R24</f>
        <v>0</v>
      </c>
      <c r="Q25">
        <f ca="1">'Ref scen Calcs'!S24</f>
        <v>0</v>
      </c>
      <c r="R25">
        <f ca="1">'Ref scen Calcs'!T24</f>
        <v>0</v>
      </c>
      <c r="S25">
        <f ca="1">'Ref scen Calcs'!U24</f>
        <v>0</v>
      </c>
      <c r="T25">
        <f ca="1">'Ref scen Calcs'!V24</f>
        <v>0</v>
      </c>
      <c r="U25">
        <f ca="1">'Ref scen Calcs'!W24</f>
        <v>0</v>
      </c>
      <c r="V25">
        <f ca="1">'Ref scen Calcs'!X24</f>
        <v>0</v>
      </c>
      <c r="W25">
        <f ca="1">'Ref scen Calcs'!Y24</f>
        <v>0</v>
      </c>
      <c r="X25">
        <f ca="1">'Ref scen Calcs'!Z24</f>
        <v>0</v>
      </c>
      <c r="Y25">
        <f ca="1">'Ref scen Calcs'!AA24</f>
        <v>0</v>
      </c>
      <c r="Z25">
        <f ca="1">'Ref scen Calcs'!AB24</f>
        <v>0</v>
      </c>
      <c r="AA25">
        <f ca="1">'Ref scen Calcs'!AC24</f>
        <v>0</v>
      </c>
      <c r="AP25">
        <f>'Alt scen Calcs'!D24</f>
        <v>0</v>
      </c>
      <c r="AQ25">
        <f>'Alt scen Calcs'!E24</f>
        <v>0</v>
      </c>
      <c r="AR25">
        <f>'Alt scen Calcs'!F24</f>
        <v>0</v>
      </c>
      <c r="AS25">
        <f>'Alt scen Calcs'!G24</f>
        <v>0</v>
      </c>
      <c r="AT25">
        <f>'Alt scen Calcs'!H24</f>
        <v>0</v>
      </c>
      <c r="AU25">
        <f ca="1">'Alt scen Calcs'!I24</f>
        <v>0</v>
      </c>
      <c r="AV25">
        <f ca="1">'Alt scen Calcs'!J24</f>
        <v>0</v>
      </c>
      <c r="AW25">
        <f ca="1">'Alt scen Calcs'!K24</f>
        <v>0</v>
      </c>
      <c r="AX25">
        <f ca="1">'Alt scen Calcs'!L24</f>
        <v>0</v>
      </c>
      <c r="AY25">
        <f ca="1">'Alt scen Calcs'!M24</f>
        <v>0</v>
      </c>
      <c r="AZ25">
        <f ca="1">'Alt scen Calcs'!N24</f>
        <v>0</v>
      </c>
      <c r="BA25">
        <f ca="1">'Alt scen Calcs'!O24</f>
        <v>0</v>
      </c>
      <c r="BB25">
        <f ca="1">'Alt scen Calcs'!P24</f>
        <v>0</v>
      </c>
      <c r="BC25">
        <f ca="1">'Alt scen Calcs'!Q24</f>
        <v>0</v>
      </c>
      <c r="BD25">
        <f ca="1">'Alt scen Calcs'!R24</f>
        <v>0</v>
      </c>
      <c r="BE25">
        <f ca="1">'Alt scen Calcs'!S24</f>
        <v>0</v>
      </c>
      <c r="BF25">
        <f ca="1">'Alt scen Calcs'!T24</f>
        <v>0</v>
      </c>
      <c r="BG25">
        <f ca="1">'Alt scen Calcs'!U24</f>
        <v>0</v>
      </c>
      <c r="BH25">
        <f ca="1">'Alt scen Calcs'!V24</f>
        <v>0</v>
      </c>
      <c r="BI25">
        <f ca="1">'Alt scen Calcs'!W24</f>
        <v>0</v>
      </c>
      <c r="BJ25">
        <f ca="1">'Alt scen Calcs'!X24</f>
        <v>0</v>
      </c>
      <c r="BK25">
        <f ca="1">'Alt scen Calcs'!Y24</f>
        <v>0</v>
      </c>
      <c r="BL25">
        <f ca="1">'Alt scen Calcs'!Z24</f>
        <v>0</v>
      </c>
      <c r="BM25">
        <f ca="1">'Alt scen Calcs'!AA24</f>
        <v>0</v>
      </c>
      <c r="BN25">
        <f ca="1">'Alt scen Calcs'!AB24</f>
        <v>0</v>
      </c>
      <c r="BO25">
        <f ca="1">'Alt scen Calcs'!AC24</f>
        <v>0</v>
      </c>
    </row>
    <row r="26" spans="1:67">
      <c r="A26" t="str">
        <f>'Tech Parameters'!B23</f>
        <v>-</v>
      </c>
      <c r="B26">
        <f>'Ref scen Calcs'!D25</f>
        <v>0</v>
      </c>
      <c r="C26">
        <f>'Ref scen Calcs'!E25</f>
        <v>0</v>
      </c>
      <c r="D26">
        <f>'Ref scen Calcs'!F25</f>
        <v>0</v>
      </c>
      <c r="E26">
        <f>'Ref scen Calcs'!G25</f>
        <v>0</v>
      </c>
      <c r="F26">
        <f>'Ref scen Calcs'!H25</f>
        <v>0</v>
      </c>
      <c r="G26">
        <f ca="1">'Ref scen Calcs'!I25</f>
        <v>0</v>
      </c>
      <c r="H26">
        <f ca="1">'Ref scen Calcs'!J25</f>
        <v>0</v>
      </c>
      <c r="I26">
        <f ca="1">'Ref scen Calcs'!K25</f>
        <v>0</v>
      </c>
      <c r="J26">
        <f ca="1">'Ref scen Calcs'!L25</f>
        <v>0</v>
      </c>
      <c r="K26">
        <f ca="1">'Ref scen Calcs'!M25</f>
        <v>0</v>
      </c>
      <c r="L26">
        <f ca="1">'Ref scen Calcs'!N25</f>
        <v>0</v>
      </c>
      <c r="M26">
        <f ca="1">'Ref scen Calcs'!O25</f>
        <v>0</v>
      </c>
      <c r="N26">
        <f ca="1">'Ref scen Calcs'!P25</f>
        <v>0</v>
      </c>
      <c r="O26">
        <f ca="1">'Ref scen Calcs'!Q25</f>
        <v>0</v>
      </c>
      <c r="P26">
        <f ca="1">'Ref scen Calcs'!R25</f>
        <v>0</v>
      </c>
      <c r="Q26">
        <f ca="1">'Ref scen Calcs'!S25</f>
        <v>0</v>
      </c>
      <c r="R26">
        <f ca="1">'Ref scen Calcs'!T25</f>
        <v>0</v>
      </c>
      <c r="S26">
        <f ca="1">'Ref scen Calcs'!U25</f>
        <v>0</v>
      </c>
      <c r="T26">
        <f ca="1">'Ref scen Calcs'!V25</f>
        <v>0</v>
      </c>
      <c r="U26">
        <f ca="1">'Ref scen Calcs'!W25</f>
        <v>0</v>
      </c>
      <c r="V26">
        <f ca="1">'Ref scen Calcs'!X25</f>
        <v>0</v>
      </c>
      <c r="W26">
        <f ca="1">'Ref scen Calcs'!Y25</f>
        <v>0</v>
      </c>
      <c r="X26">
        <f ca="1">'Ref scen Calcs'!Z25</f>
        <v>0</v>
      </c>
      <c r="Y26">
        <f ca="1">'Ref scen Calcs'!AA25</f>
        <v>0</v>
      </c>
      <c r="Z26">
        <f ca="1">'Ref scen Calcs'!AB25</f>
        <v>0</v>
      </c>
      <c r="AA26">
        <f ca="1">'Ref scen Calcs'!AC25</f>
        <v>0</v>
      </c>
      <c r="AP26">
        <f>'Alt scen Calcs'!D25</f>
        <v>0</v>
      </c>
      <c r="AQ26">
        <f>'Alt scen Calcs'!E25</f>
        <v>0</v>
      </c>
      <c r="AR26">
        <f>'Alt scen Calcs'!F25</f>
        <v>0</v>
      </c>
      <c r="AS26">
        <f>'Alt scen Calcs'!G25</f>
        <v>0</v>
      </c>
      <c r="AT26">
        <f>'Alt scen Calcs'!H25</f>
        <v>0</v>
      </c>
      <c r="AU26">
        <f ca="1">'Alt scen Calcs'!I25</f>
        <v>0</v>
      </c>
      <c r="AV26">
        <f ca="1">'Alt scen Calcs'!J25</f>
        <v>0</v>
      </c>
      <c r="AW26">
        <f ca="1">'Alt scen Calcs'!K25</f>
        <v>0</v>
      </c>
      <c r="AX26">
        <f ca="1">'Alt scen Calcs'!L25</f>
        <v>0</v>
      </c>
      <c r="AY26">
        <f ca="1">'Alt scen Calcs'!M25</f>
        <v>0</v>
      </c>
      <c r="AZ26">
        <f ca="1">'Alt scen Calcs'!N25</f>
        <v>0</v>
      </c>
      <c r="BA26">
        <f ca="1">'Alt scen Calcs'!O25</f>
        <v>0</v>
      </c>
      <c r="BB26">
        <f ca="1">'Alt scen Calcs'!P25</f>
        <v>0</v>
      </c>
      <c r="BC26">
        <f ca="1">'Alt scen Calcs'!Q25</f>
        <v>0</v>
      </c>
      <c r="BD26">
        <f ca="1">'Alt scen Calcs'!R25</f>
        <v>0</v>
      </c>
      <c r="BE26">
        <f ca="1">'Alt scen Calcs'!S25</f>
        <v>0</v>
      </c>
      <c r="BF26">
        <f ca="1">'Alt scen Calcs'!T25</f>
        <v>0</v>
      </c>
      <c r="BG26">
        <f ca="1">'Alt scen Calcs'!U25</f>
        <v>0</v>
      </c>
      <c r="BH26">
        <f ca="1">'Alt scen Calcs'!V25</f>
        <v>0</v>
      </c>
      <c r="BI26">
        <f ca="1">'Alt scen Calcs'!W25</f>
        <v>0</v>
      </c>
      <c r="BJ26">
        <f ca="1">'Alt scen Calcs'!X25</f>
        <v>0</v>
      </c>
      <c r="BK26">
        <f ca="1">'Alt scen Calcs'!Y25</f>
        <v>0</v>
      </c>
      <c r="BL26">
        <f ca="1">'Alt scen Calcs'!Z25</f>
        <v>0</v>
      </c>
      <c r="BM26">
        <f ca="1">'Alt scen Calcs'!AA25</f>
        <v>0</v>
      </c>
      <c r="BN26">
        <f ca="1">'Alt scen Calcs'!AB25</f>
        <v>0</v>
      </c>
      <c r="BO26">
        <f ca="1">'Alt scen Calcs'!AC25</f>
        <v>0</v>
      </c>
    </row>
    <row r="27" spans="1:67">
      <c r="A27" t="str">
        <f>'Tech Parameters'!B24</f>
        <v>-</v>
      </c>
      <c r="B27">
        <f>'Ref scen Calcs'!D26</f>
        <v>0</v>
      </c>
      <c r="C27">
        <f>'Ref scen Calcs'!E26</f>
        <v>0</v>
      </c>
      <c r="D27">
        <f>'Ref scen Calcs'!F26</f>
        <v>0</v>
      </c>
      <c r="E27">
        <f>'Ref scen Calcs'!G26</f>
        <v>0</v>
      </c>
      <c r="F27">
        <f>'Ref scen Calcs'!H26</f>
        <v>0</v>
      </c>
      <c r="G27">
        <f ca="1">'Ref scen Calcs'!I26</f>
        <v>0</v>
      </c>
      <c r="H27">
        <f ca="1">'Ref scen Calcs'!J26</f>
        <v>0</v>
      </c>
      <c r="I27">
        <f ca="1">'Ref scen Calcs'!K26</f>
        <v>0</v>
      </c>
      <c r="J27">
        <f ca="1">'Ref scen Calcs'!L26</f>
        <v>0</v>
      </c>
      <c r="K27">
        <f ca="1">'Ref scen Calcs'!M26</f>
        <v>0</v>
      </c>
      <c r="L27">
        <f ca="1">'Ref scen Calcs'!N26</f>
        <v>0</v>
      </c>
      <c r="M27">
        <f ca="1">'Ref scen Calcs'!O26</f>
        <v>0</v>
      </c>
      <c r="N27">
        <f ca="1">'Ref scen Calcs'!P26</f>
        <v>0</v>
      </c>
      <c r="O27">
        <f ca="1">'Ref scen Calcs'!Q26</f>
        <v>0</v>
      </c>
      <c r="P27">
        <f ca="1">'Ref scen Calcs'!R26</f>
        <v>0</v>
      </c>
      <c r="Q27">
        <f ca="1">'Ref scen Calcs'!S26</f>
        <v>0</v>
      </c>
      <c r="R27">
        <f ca="1">'Ref scen Calcs'!T26</f>
        <v>0</v>
      </c>
      <c r="S27">
        <f ca="1">'Ref scen Calcs'!U26</f>
        <v>0</v>
      </c>
      <c r="T27">
        <f ca="1">'Ref scen Calcs'!V26</f>
        <v>0</v>
      </c>
      <c r="U27">
        <f ca="1">'Ref scen Calcs'!W26</f>
        <v>0</v>
      </c>
      <c r="V27">
        <f ca="1">'Ref scen Calcs'!X26</f>
        <v>0</v>
      </c>
      <c r="W27">
        <f ca="1">'Ref scen Calcs'!Y26</f>
        <v>0</v>
      </c>
      <c r="X27">
        <f ca="1">'Ref scen Calcs'!Z26</f>
        <v>0</v>
      </c>
      <c r="Y27">
        <f ca="1">'Ref scen Calcs'!AA26</f>
        <v>0</v>
      </c>
      <c r="Z27">
        <f ca="1">'Ref scen Calcs'!AB26</f>
        <v>0</v>
      </c>
      <c r="AA27">
        <f ca="1">'Ref scen Calcs'!AC26</f>
        <v>0</v>
      </c>
      <c r="AP27">
        <f>'Alt scen Calcs'!D26</f>
        <v>0</v>
      </c>
      <c r="AQ27">
        <f>'Alt scen Calcs'!E26</f>
        <v>0</v>
      </c>
      <c r="AR27">
        <f>'Alt scen Calcs'!F26</f>
        <v>0</v>
      </c>
      <c r="AS27">
        <f>'Alt scen Calcs'!G26</f>
        <v>0</v>
      </c>
      <c r="AT27">
        <f>'Alt scen Calcs'!H26</f>
        <v>0</v>
      </c>
      <c r="AU27">
        <f ca="1">'Alt scen Calcs'!I26</f>
        <v>0</v>
      </c>
      <c r="AV27">
        <f ca="1">'Alt scen Calcs'!J26</f>
        <v>0</v>
      </c>
      <c r="AW27">
        <f ca="1">'Alt scen Calcs'!K26</f>
        <v>0</v>
      </c>
      <c r="AX27">
        <f ca="1">'Alt scen Calcs'!L26</f>
        <v>0</v>
      </c>
      <c r="AY27">
        <f ca="1">'Alt scen Calcs'!M26</f>
        <v>0</v>
      </c>
      <c r="AZ27">
        <f ca="1">'Alt scen Calcs'!N26</f>
        <v>0</v>
      </c>
      <c r="BA27">
        <f ca="1">'Alt scen Calcs'!O26</f>
        <v>0</v>
      </c>
      <c r="BB27">
        <f ca="1">'Alt scen Calcs'!P26</f>
        <v>0</v>
      </c>
      <c r="BC27">
        <f ca="1">'Alt scen Calcs'!Q26</f>
        <v>0</v>
      </c>
      <c r="BD27">
        <f ca="1">'Alt scen Calcs'!R26</f>
        <v>0</v>
      </c>
      <c r="BE27">
        <f ca="1">'Alt scen Calcs'!S26</f>
        <v>0</v>
      </c>
      <c r="BF27">
        <f ca="1">'Alt scen Calcs'!T26</f>
        <v>0</v>
      </c>
      <c r="BG27">
        <f ca="1">'Alt scen Calcs'!U26</f>
        <v>0</v>
      </c>
      <c r="BH27">
        <f ca="1">'Alt scen Calcs'!V26</f>
        <v>0</v>
      </c>
      <c r="BI27">
        <f ca="1">'Alt scen Calcs'!W26</f>
        <v>0</v>
      </c>
      <c r="BJ27">
        <f ca="1">'Alt scen Calcs'!X26</f>
        <v>0</v>
      </c>
      <c r="BK27">
        <f ca="1">'Alt scen Calcs'!Y26</f>
        <v>0</v>
      </c>
      <c r="BL27">
        <f ca="1">'Alt scen Calcs'!Z26</f>
        <v>0</v>
      </c>
      <c r="BM27">
        <f ca="1">'Alt scen Calcs'!AA26</f>
        <v>0</v>
      </c>
      <c r="BN27">
        <f ca="1">'Alt scen Calcs'!AB26</f>
        <v>0</v>
      </c>
      <c r="BO27">
        <f ca="1">'Alt scen Calcs'!AC26</f>
        <v>0</v>
      </c>
    </row>
    <row r="28" spans="1:67">
      <c r="A28" t="str">
        <f>'Tech Parameters'!B25</f>
        <v>Pumped storage</v>
      </c>
      <c r="B28">
        <f>'Ref scen Calcs'!D27</f>
        <v>1.5799999999999998</v>
      </c>
      <c r="C28">
        <f>'Ref scen Calcs'!E27</f>
        <v>1.5799999999999998</v>
      </c>
      <c r="D28">
        <f>'Ref scen Calcs'!F27</f>
        <v>1.5799999999999998</v>
      </c>
      <c r="E28">
        <f>'Ref scen Calcs'!G27</f>
        <v>1.5799999999999998</v>
      </c>
      <c r="F28">
        <f>'Ref scen Calcs'!H27</f>
        <v>1.5799999999999998</v>
      </c>
      <c r="G28">
        <f ca="1">'Ref scen Calcs'!I27</f>
        <v>1.5799999999999998</v>
      </c>
      <c r="H28">
        <f ca="1">'Ref scen Calcs'!J27</f>
        <v>1.5799999999999998</v>
      </c>
      <c r="I28">
        <f ca="1">'Ref scen Calcs'!K27</f>
        <v>1.5799999999999998</v>
      </c>
      <c r="J28">
        <f ca="1">'Ref scen Calcs'!L27</f>
        <v>2.246</v>
      </c>
      <c r="K28">
        <f ca="1">'Ref scen Calcs'!M27</f>
        <v>2.9119999999999999</v>
      </c>
      <c r="L28">
        <f ca="1">'Ref scen Calcs'!N27</f>
        <v>2.9119999999999999</v>
      </c>
      <c r="M28">
        <f ca="1">'Ref scen Calcs'!O27</f>
        <v>2.9119999999999999</v>
      </c>
      <c r="N28">
        <f ca="1">'Ref scen Calcs'!P27</f>
        <v>2.9119999999999999</v>
      </c>
      <c r="O28">
        <f ca="1">'Ref scen Calcs'!Q27</f>
        <v>2.9119999999999999</v>
      </c>
      <c r="P28">
        <f ca="1">'Ref scen Calcs'!R27</f>
        <v>2.9119999999999999</v>
      </c>
      <c r="Q28">
        <f ca="1">'Ref scen Calcs'!S27</f>
        <v>2.9119999999999999</v>
      </c>
      <c r="R28">
        <f ca="1">'Ref scen Calcs'!T27</f>
        <v>2.9119999999999999</v>
      </c>
      <c r="S28">
        <f ca="1">'Ref scen Calcs'!U27</f>
        <v>2.9119999999999999</v>
      </c>
      <c r="T28">
        <f ca="1">'Ref scen Calcs'!V27</f>
        <v>2.9119999999999999</v>
      </c>
      <c r="U28">
        <f ca="1">'Ref scen Calcs'!W27</f>
        <v>2.9119999999999999</v>
      </c>
      <c r="V28">
        <f ca="1">'Ref scen Calcs'!X27</f>
        <v>2.9119999999999999</v>
      </c>
      <c r="W28">
        <f ca="1">'Ref scen Calcs'!Y27</f>
        <v>2.9119999999999999</v>
      </c>
      <c r="X28">
        <f ca="1">'Ref scen Calcs'!Z27</f>
        <v>2.9119999999999999</v>
      </c>
      <c r="Y28">
        <f ca="1">'Ref scen Calcs'!AA27</f>
        <v>2.9119999999999999</v>
      </c>
      <c r="Z28">
        <f ca="1">'Ref scen Calcs'!AB27</f>
        <v>2.9119999999999999</v>
      </c>
      <c r="AA28">
        <f ca="1">'Ref scen Calcs'!AC27</f>
        <v>2.9119999999999999</v>
      </c>
      <c r="AP28">
        <f>'Alt scen Calcs'!D27</f>
        <v>1.5799999999999998</v>
      </c>
      <c r="AQ28">
        <f>'Alt scen Calcs'!E27</f>
        <v>1.5799999999999998</v>
      </c>
      <c r="AR28">
        <f>'Alt scen Calcs'!F27</f>
        <v>1.5799999999999998</v>
      </c>
      <c r="AS28">
        <f>'Alt scen Calcs'!G27</f>
        <v>1.5799999999999998</v>
      </c>
      <c r="AT28">
        <f>'Alt scen Calcs'!H27</f>
        <v>1.5799999999999998</v>
      </c>
      <c r="AU28">
        <f ca="1">'Alt scen Calcs'!I27</f>
        <v>1.5799999999999998</v>
      </c>
      <c r="AV28">
        <f ca="1">'Alt scen Calcs'!J27</f>
        <v>1.5799999999999998</v>
      </c>
      <c r="AW28">
        <f ca="1">'Alt scen Calcs'!K27</f>
        <v>1.5799999999999998</v>
      </c>
      <c r="AX28">
        <f ca="1">'Alt scen Calcs'!L27</f>
        <v>2.246</v>
      </c>
      <c r="AY28">
        <f ca="1">'Alt scen Calcs'!M27</f>
        <v>2.9119999999999999</v>
      </c>
      <c r="AZ28">
        <f ca="1">'Alt scen Calcs'!N27</f>
        <v>3.5779999999999998</v>
      </c>
      <c r="BA28">
        <f ca="1">'Alt scen Calcs'!O27</f>
        <v>4.2439999999999998</v>
      </c>
      <c r="BB28">
        <f ca="1">'Alt scen Calcs'!P27</f>
        <v>4.2439999999999998</v>
      </c>
      <c r="BC28">
        <f ca="1">'Alt scen Calcs'!Q27</f>
        <v>4.2439999999999998</v>
      </c>
      <c r="BD28">
        <f ca="1">'Alt scen Calcs'!R27</f>
        <v>4.2439999999999998</v>
      </c>
      <c r="BE28">
        <f ca="1">'Alt scen Calcs'!S27</f>
        <v>4.2439999999999998</v>
      </c>
      <c r="BF28">
        <f ca="1">'Alt scen Calcs'!T27</f>
        <v>4.2439999999999998</v>
      </c>
      <c r="BG28">
        <f ca="1">'Alt scen Calcs'!U27</f>
        <v>4.2439999999999998</v>
      </c>
      <c r="BH28">
        <f ca="1">'Alt scen Calcs'!V27</f>
        <v>4.2439999999999998</v>
      </c>
      <c r="BI28">
        <f ca="1">'Alt scen Calcs'!W27</f>
        <v>4.2439999999999998</v>
      </c>
      <c r="BJ28">
        <f ca="1">'Alt scen Calcs'!X27</f>
        <v>4.2439999999999998</v>
      </c>
      <c r="BK28">
        <f ca="1">'Alt scen Calcs'!Y27</f>
        <v>4.2439999999999998</v>
      </c>
      <c r="BL28">
        <f ca="1">'Alt scen Calcs'!Z27</f>
        <v>4.2439999999999998</v>
      </c>
      <c r="BM28">
        <f ca="1">'Alt scen Calcs'!AA27</f>
        <v>4.2439999999999998</v>
      </c>
      <c r="BN28">
        <f ca="1">'Alt scen Calcs'!AB27</f>
        <v>4.2439999999999998</v>
      </c>
      <c r="BO28">
        <f ca="1">'Alt scen Calcs'!AC27</f>
        <v>4.2439999999999998</v>
      </c>
    </row>
    <row r="35" spans="1:67">
      <c r="A35" s="4" t="s">
        <v>210</v>
      </c>
    </row>
    <row r="36" spans="1:67">
      <c r="B36" s="4" t="s">
        <v>208</v>
      </c>
      <c r="AP36" s="4" t="s">
        <v>209</v>
      </c>
    </row>
    <row r="37" spans="1:67">
      <c r="B37" s="4">
        <v>2005</v>
      </c>
      <c r="C37" s="4">
        <v>2006</v>
      </c>
      <c r="D37" s="4">
        <v>2007</v>
      </c>
      <c r="E37" s="4">
        <v>2008</v>
      </c>
      <c r="F37" s="4">
        <v>2009</v>
      </c>
      <c r="G37" s="4">
        <v>2010</v>
      </c>
      <c r="H37" s="4">
        <v>2011</v>
      </c>
      <c r="I37" s="4">
        <v>2012</v>
      </c>
      <c r="J37" s="4">
        <v>2013</v>
      </c>
      <c r="K37" s="4">
        <v>2014</v>
      </c>
      <c r="L37" s="4">
        <v>2015</v>
      </c>
      <c r="M37" s="4">
        <v>2016</v>
      </c>
      <c r="N37" s="4">
        <v>2017</v>
      </c>
      <c r="O37" s="4">
        <v>2018</v>
      </c>
      <c r="P37" s="4">
        <v>2019</v>
      </c>
      <c r="Q37" s="4">
        <v>2020</v>
      </c>
      <c r="R37" s="4">
        <v>2021</v>
      </c>
      <c r="S37" s="4">
        <v>2022</v>
      </c>
      <c r="T37" s="4">
        <v>2023</v>
      </c>
      <c r="U37" s="4">
        <v>2024</v>
      </c>
      <c r="V37" s="4">
        <v>2025</v>
      </c>
      <c r="W37" s="4">
        <v>2026</v>
      </c>
      <c r="X37" s="4">
        <v>2027</v>
      </c>
      <c r="Y37" s="4">
        <v>2028</v>
      </c>
      <c r="Z37" s="4">
        <v>2029</v>
      </c>
      <c r="AA37" s="4">
        <v>2030</v>
      </c>
      <c r="AP37" s="4">
        <v>2005</v>
      </c>
      <c r="AQ37" s="4">
        <v>2006</v>
      </c>
      <c r="AR37" s="4">
        <v>2007</v>
      </c>
      <c r="AS37" s="4">
        <v>2008</v>
      </c>
      <c r="AT37" s="4">
        <v>2009</v>
      </c>
      <c r="AU37" s="4">
        <v>2010</v>
      </c>
      <c r="AV37" s="4">
        <v>2011</v>
      </c>
      <c r="AW37" s="4">
        <v>2012</v>
      </c>
      <c r="AX37" s="4">
        <v>2013</v>
      </c>
      <c r="AY37" s="4">
        <v>2014</v>
      </c>
      <c r="AZ37" s="4">
        <v>2015</v>
      </c>
      <c r="BA37" s="4">
        <v>2016</v>
      </c>
      <c r="BB37" s="4">
        <v>2017</v>
      </c>
      <c r="BC37" s="4">
        <v>2018</v>
      </c>
      <c r="BD37" s="4">
        <v>2019</v>
      </c>
      <c r="BE37" s="4">
        <v>2020</v>
      </c>
      <c r="BF37" s="4">
        <v>2021</v>
      </c>
      <c r="BG37" s="4">
        <v>2022</v>
      </c>
      <c r="BH37" s="4">
        <v>2023</v>
      </c>
      <c r="BI37" s="4">
        <v>2024</v>
      </c>
      <c r="BJ37" s="4">
        <v>2025</v>
      </c>
      <c r="BK37" s="4">
        <v>2026</v>
      </c>
      <c r="BL37" s="4">
        <v>2027</v>
      </c>
      <c r="BM37" s="4">
        <v>2028</v>
      </c>
      <c r="BN37" s="4">
        <v>2029</v>
      </c>
      <c r="BO37" s="4">
        <v>2030</v>
      </c>
    </row>
    <row r="38" spans="1:67">
      <c r="A38" t="str">
        <f>A9</f>
        <v>Existing coal Large</v>
      </c>
      <c r="B38">
        <f>'Ref scen Calcs'!D367</f>
        <v>205861.53782111834</v>
      </c>
      <c r="C38">
        <f>'Ref scen Calcs'!E367</f>
        <v>205861.53782111834</v>
      </c>
      <c r="D38">
        <f>'Ref scen Calcs'!F367</f>
        <v>212643.1167461767</v>
      </c>
      <c r="E38">
        <f>'Ref scen Calcs'!G367</f>
        <v>215005.43490868001</v>
      </c>
      <c r="F38">
        <f>'Ref scen Calcs'!H367</f>
        <v>215005.43490868001</v>
      </c>
      <c r="G38">
        <f ca="1">'Ref scen Calcs'!I367</f>
        <v>220081.30595977066</v>
      </c>
      <c r="H38">
        <f ca="1">'Ref scen Calcs'!J367</f>
        <v>223929.15444342568</v>
      </c>
      <c r="I38">
        <f ca="1">'Ref scen Calcs'!K367</f>
        <v>228206.35414744783</v>
      </c>
      <c r="J38">
        <f ca="1">'Ref scen Calcs'!L367</f>
        <v>232179.28100439603</v>
      </c>
      <c r="K38">
        <f ca="1">'Ref scen Calcs'!M367</f>
        <v>232379.04948696808</v>
      </c>
      <c r="L38">
        <f ca="1">'Ref scen Calcs'!N367</f>
        <v>232379.04948696808</v>
      </c>
      <c r="M38">
        <f ca="1">'Ref scen Calcs'!O367</f>
        <v>232379.04948696808</v>
      </c>
      <c r="N38">
        <f ca="1">'Ref scen Calcs'!P367</f>
        <v>232379.04948696808</v>
      </c>
      <c r="O38">
        <f ca="1">'Ref scen Calcs'!Q367</f>
        <v>232379.04948696808</v>
      </c>
      <c r="P38">
        <f ca="1">'Ref scen Calcs'!R367</f>
        <v>232379.04948696808</v>
      </c>
      <c r="Q38">
        <f ca="1">'Ref scen Calcs'!S367</f>
        <v>232379.04948696808</v>
      </c>
      <c r="R38">
        <f ca="1">'Ref scen Calcs'!T367</f>
        <v>232379.04948696808</v>
      </c>
      <c r="S38">
        <f ca="1">'Ref scen Calcs'!U367</f>
        <v>232379.04948696808</v>
      </c>
      <c r="T38">
        <f ca="1">'Ref scen Calcs'!V367</f>
        <v>232379.04948696808</v>
      </c>
      <c r="U38">
        <f ca="1">'Ref scen Calcs'!W367</f>
        <v>223685.13998563425</v>
      </c>
      <c r="V38">
        <f ca="1">'Ref scen Calcs'!X367</f>
        <v>214991.23048430041</v>
      </c>
      <c r="W38">
        <f ca="1">'Ref scen Calcs'!Y367</f>
        <v>204123.84360763311</v>
      </c>
      <c r="X38">
        <f ca="1">'Ref scen Calcs'!Z367</f>
        <v>193256.45673096576</v>
      </c>
      <c r="Y38">
        <f ca="1">'Ref scen Calcs'!AA367</f>
        <v>180101.19893289483</v>
      </c>
      <c r="Z38">
        <f ca="1">'Ref scen Calcs'!AB367</f>
        <v>153790.68333675293</v>
      </c>
      <c r="AA38">
        <f ca="1">'Ref scen Calcs'!AC367</f>
        <v>140635.42553868194</v>
      </c>
      <c r="AP38">
        <f>'Alt scen Calcs'!D367</f>
        <v>205861.53782111834</v>
      </c>
      <c r="AQ38">
        <f>'Alt scen Calcs'!E367</f>
        <v>205861.53782111834</v>
      </c>
      <c r="AR38">
        <f>'Alt scen Calcs'!F367</f>
        <v>212643.1167461767</v>
      </c>
      <c r="AS38">
        <f>'Alt scen Calcs'!G367</f>
        <v>215005.43490868001</v>
      </c>
      <c r="AT38">
        <f>'Alt scen Calcs'!H367</f>
        <v>215005.43490868001</v>
      </c>
      <c r="AU38">
        <f ca="1">'Alt scen Calcs'!I367</f>
        <v>220081.30595977066</v>
      </c>
      <c r="AV38">
        <f ca="1">'Alt scen Calcs'!J367</f>
        <v>223403.5544434257</v>
      </c>
      <c r="AW38">
        <f ca="1">'Alt scen Calcs'!K367</f>
        <v>227155.15414744781</v>
      </c>
      <c r="AX38">
        <f ca="1">'Alt scen Calcs'!L367</f>
        <v>230076.88100439601</v>
      </c>
      <c r="AY38">
        <f ca="1">'Alt scen Calcs'!M367</f>
        <v>232379.04948696808</v>
      </c>
      <c r="AZ38">
        <f ca="1">'Alt scen Calcs'!N367</f>
        <v>232379.04948696808</v>
      </c>
      <c r="BA38">
        <f ca="1">'Alt scen Calcs'!O367</f>
        <v>232379.04948696808</v>
      </c>
      <c r="BB38">
        <f ca="1">'Alt scen Calcs'!P367</f>
        <v>232379.04948696808</v>
      </c>
      <c r="BC38">
        <f ca="1">'Alt scen Calcs'!Q367</f>
        <v>232379.04948696808</v>
      </c>
      <c r="BD38">
        <f ca="1">'Alt scen Calcs'!R367</f>
        <v>232379.04948696808</v>
      </c>
      <c r="BE38">
        <f ca="1">'Alt scen Calcs'!S367</f>
        <v>232379.04948696808</v>
      </c>
      <c r="BF38">
        <f ca="1">'Alt scen Calcs'!T367</f>
        <v>232379.04948696808</v>
      </c>
      <c r="BG38">
        <f ca="1">'Alt scen Calcs'!U367</f>
        <v>232379.04948696808</v>
      </c>
      <c r="BH38">
        <f ca="1">'Alt scen Calcs'!V367</f>
        <v>226946.67778472271</v>
      </c>
      <c r="BI38">
        <f ca="1">'Alt scen Calcs'!W367</f>
        <v>220320.71082497219</v>
      </c>
      <c r="BJ38">
        <f ca="1">'Alt scen Calcs'!X367</f>
        <v>214991.23048430041</v>
      </c>
      <c r="BK38">
        <f ca="1">'Alt scen Calcs'!Y367</f>
        <v>204123.84360763311</v>
      </c>
      <c r="BL38">
        <f ca="1">'Alt scen Calcs'!Z367</f>
        <v>193256.45673096576</v>
      </c>
      <c r="BM38">
        <f ca="1">'Alt scen Calcs'!AA367</f>
        <v>180101.19893289483</v>
      </c>
      <c r="BN38">
        <f ca="1">'Alt scen Calcs'!AB367</f>
        <v>153790.68333675293</v>
      </c>
      <c r="BO38">
        <f ca="1">'Alt scen Calcs'!AC367</f>
        <v>140635.42553868194</v>
      </c>
    </row>
    <row r="39" spans="1:67">
      <c r="A39" t="str">
        <f t="shared" ref="A39:A57" si="0">A10</f>
        <v>Existing coal Small</v>
      </c>
      <c r="B39">
        <f>'Ref scen Calcs'!D368</f>
        <v>11481.108051601606</v>
      </c>
      <c r="C39">
        <f>'Ref scen Calcs'!E368</f>
        <v>11481.108051601606</v>
      </c>
      <c r="D39">
        <f>'Ref scen Calcs'!F368</f>
        <v>11481.108051601606</v>
      </c>
      <c r="E39">
        <f>'Ref scen Calcs'!G368</f>
        <v>11481.108051601606</v>
      </c>
      <c r="F39">
        <f>'Ref scen Calcs'!H368</f>
        <v>11481.108051601606</v>
      </c>
      <c r="G39">
        <f ca="1">'Ref scen Calcs'!I368</f>
        <v>12924.051645819456</v>
      </c>
      <c r="H39">
        <f ca="1">'Ref scen Calcs'!J368</f>
        <v>13777.564401403659</v>
      </c>
      <c r="I39">
        <f ca="1">'Ref scen Calcs'!K368</f>
        <v>13777.564401403659</v>
      </c>
      <c r="J39">
        <f ca="1">'Ref scen Calcs'!L368</f>
        <v>13777.564401403659</v>
      </c>
      <c r="K39">
        <f ca="1">'Ref scen Calcs'!M368</f>
        <v>13777.564401403659</v>
      </c>
      <c r="L39">
        <f ca="1">'Ref scen Calcs'!N368</f>
        <v>13777.564401403659</v>
      </c>
      <c r="M39">
        <f ca="1">'Ref scen Calcs'!O368</f>
        <v>13698.339826318494</v>
      </c>
      <c r="N39">
        <f ca="1">'Ref scen Calcs'!P368</f>
        <v>13619.115251233326</v>
      </c>
      <c r="O39">
        <f ca="1">'Ref scen Calcs'!Q368</f>
        <v>13513.482484453105</v>
      </c>
      <c r="P39">
        <f ca="1">'Ref scen Calcs'!R368</f>
        <v>13407.84971767288</v>
      </c>
      <c r="Q39">
        <f ca="1">'Ref scen Calcs'!S368</f>
        <v>11400.827148848637</v>
      </c>
      <c r="R39">
        <f ca="1">'Ref scen Calcs'!T368</f>
        <v>9393.8045800243945</v>
      </c>
      <c r="S39">
        <f ca="1">'Ref scen Calcs'!U368</f>
        <v>9393.8045800243945</v>
      </c>
      <c r="T39">
        <f ca="1">'Ref scen Calcs'!V368</f>
        <v>9393.8045800243945</v>
      </c>
      <c r="U39">
        <f ca="1">'Ref scen Calcs'!W368</f>
        <v>9393.8045800243945</v>
      </c>
      <c r="V39">
        <f ca="1">'Ref scen Calcs'!X368</f>
        <v>8469.0483917339716</v>
      </c>
      <c r="W39">
        <f ca="1">'Ref scen Calcs'!Y368</f>
        <v>7544.2922034435505</v>
      </c>
      <c r="X39">
        <f ca="1">'Ref scen Calcs'!Z368</f>
        <v>7544.2922034435505</v>
      </c>
      <c r="Y39">
        <f ca="1">'Ref scen Calcs'!AA368</f>
        <v>7544.2922034435505</v>
      </c>
      <c r="Z39">
        <f ca="1">'Ref scen Calcs'!AB368</f>
        <v>7544.2922034435505</v>
      </c>
      <c r="AA39">
        <f ca="1">'Ref scen Calcs'!AC368</f>
        <v>7544.2922034435505</v>
      </c>
      <c r="AP39">
        <f>'Alt scen Calcs'!D368</f>
        <v>11481.108051601606</v>
      </c>
      <c r="AQ39">
        <f>'Alt scen Calcs'!E368</f>
        <v>11481.108051601606</v>
      </c>
      <c r="AR39">
        <f>'Alt scen Calcs'!F368</f>
        <v>11481.108051601606</v>
      </c>
      <c r="AS39">
        <f>'Alt scen Calcs'!G368</f>
        <v>11481.108051601606</v>
      </c>
      <c r="AT39">
        <f>'Alt scen Calcs'!H368</f>
        <v>11481.108051601606</v>
      </c>
      <c r="AU39">
        <f ca="1">'Alt scen Calcs'!I368</f>
        <v>12924.051645819456</v>
      </c>
      <c r="AV39">
        <f ca="1">'Alt scen Calcs'!J368</f>
        <v>13777.564401403659</v>
      </c>
      <c r="AW39">
        <f ca="1">'Alt scen Calcs'!K368</f>
        <v>13777.564401403659</v>
      </c>
      <c r="AX39">
        <f ca="1">'Alt scen Calcs'!L368</f>
        <v>13777.564401403659</v>
      </c>
      <c r="AY39">
        <f ca="1">'Alt scen Calcs'!M368</f>
        <v>13777.564401403659</v>
      </c>
      <c r="AZ39">
        <f ca="1">'Alt scen Calcs'!N368</f>
        <v>13777.564401403659</v>
      </c>
      <c r="BA39">
        <f ca="1">'Alt scen Calcs'!O368</f>
        <v>13698.339826318494</v>
      </c>
      <c r="BB39">
        <f ca="1">'Alt scen Calcs'!P368</f>
        <v>13619.115251233326</v>
      </c>
      <c r="BC39">
        <f ca="1">'Alt scen Calcs'!Q368</f>
        <v>13513.482484453105</v>
      </c>
      <c r="BD39">
        <f ca="1">'Alt scen Calcs'!R368</f>
        <v>13407.84971767288</v>
      </c>
      <c r="BE39">
        <f ca="1">'Alt scen Calcs'!S368</f>
        <v>11400.827148848637</v>
      </c>
      <c r="BF39">
        <f ca="1">'Alt scen Calcs'!T368</f>
        <v>9393.8045800243945</v>
      </c>
      <c r="BG39">
        <f ca="1">'Alt scen Calcs'!U368</f>
        <v>9393.8045800243945</v>
      </c>
      <c r="BH39">
        <f ca="1">'Alt scen Calcs'!V368</f>
        <v>9393.8045800243945</v>
      </c>
      <c r="BI39">
        <f ca="1">'Alt scen Calcs'!W368</f>
        <v>9393.8045800243945</v>
      </c>
      <c r="BJ39">
        <f ca="1">'Alt scen Calcs'!X368</f>
        <v>8469.0483917339716</v>
      </c>
      <c r="BK39">
        <f ca="1">'Alt scen Calcs'!Y368</f>
        <v>7544.2922034435505</v>
      </c>
      <c r="BL39">
        <f ca="1">'Alt scen Calcs'!Z368</f>
        <v>7544.2922034435505</v>
      </c>
      <c r="BM39">
        <f ca="1">'Alt scen Calcs'!AA368</f>
        <v>7544.2922034435505</v>
      </c>
      <c r="BN39">
        <f ca="1">'Alt scen Calcs'!AB368</f>
        <v>7544.2922034435505</v>
      </c>
      <c r="BO39">
        <f ca="1">'Alt scen Calcs'!AC368</f>
        <v>7544.2922034435505</v>
      </c>
    </row>
    <row r="40" spans="1:67">
      <c r="A40" t="str">
        <f t="shared" si="0"/>
        <v>OCGT liquid fuels</v>
      </c>
      <c r="B40">
        <f>'Ref scen Calcs'!D369</f>
        <v>651.77077055999985</v>
      </c>
      <c r="C40">
        <f>'Ref scen Calcs'!E369</f>
        <v>651.77077055999985</v>
      </c>
      <c r="D40">
        <f>'Ref scen Calcs'!F369</f>
        <v>651.77077055999985</v>
      </c>
      <c r="E40">
        <f>'Ref scen Calcs'!G369</f>
        <v>651.77077055999985</v>
      </c>
      <c r="F40">
        <f>'Ref scen Calcs'!H369</f>
        <v>651.77077055999985</v>
      </c>
      <c r="G40">
        <f ca="1">'Ref scen Calcs'!I369</f>
        <v>651.77077055999985</v>
      </c>
      <c r="H40">
        <f ca="1">'Ref scen Calcs'!J369</f>
        <v>945.06761731199981</v>
      </c>
      <c r="I40">
        <f ca="1">'Ref scen Calcs'!K369</f>
        <v>945.06761731199981</v>
      </c>
      <c r="J40">
        <f ca="1">'Ref scen Calcs'!L369</f>
        <v>945.06761731199981</v>
      </c>
      <c r="K40">
        <f ca="1">'Ref scen Calcs'!M369</f>
        <v>945.06761731199981</v>
      </c>
      <c r="L40">
        <f ca="1">'Ref scen Calcs'!N369</f>
        <v>945.06761731199981</v>
      </c>
      <c r="M40">
        <f ca="1">'Ref scen Calcs'!O369</f>
        <v>945.06761731199981</v>
      </c>
      <c r="N40">
        <f ca="1">'Ref scen Calcs'!P369</f>
        <v>945.06761731199981</v>
      </c>
      <c r="O40">
        <f ca="1">'Ref scen Calcs'!Q369</f>
        <v>945.06761731199981</v>
      </c>
      <c r="P40">
        <f ca="1">'Ref scen Calcs'!R369</f>
        <v>945.06761731199981</v>
      </c>
      <c r="Q40">
        <f ca="1">'Ref scen Calcs'!S369</f>
        <v>945.06761731199981</v>
      </c>
      <c r="R40">
        <f ca="1">'Ref scen Calcs'!T369</f>
        <v>945.06761731199981</v>
      </c>
      <c r="S40">
        <f ca="1">'Ref scen Calcs'!U369</f>
        <v>945.06761731199981</v>
      </c>
      <c r="T40">
        <f ca="1">'Ref scen Calcs'!V369</f>
        <v>1140.59884848</v>
      </c>
      <c r="U40">
        <f ca="1">'Ref scen Calcs'!W369</f>
        <v>1140.59884848</v>
      </c>
      <c r="V40">
        <f ca="1">'Ref scen Calcs'!X369</f>
        <v>1140.59884848</v>
      </c>
      <c r="W40">
        <f ca="1">'Ref scen Calcs'!Y369</f>
        <v>1336.1300796479998</v>
      </c>
      <c r="X40">
        <f ca="1">'Ref scen Calcs'!Z369</f>
        <v>1336.1300796479998</v>
      </c>
      <c r="Y40">
        <f ca="1">'Ref scen Calcs'!AA369</f>
        <v>1336.1300796479998</v>
      </c>
      <c r="Z40">
        <f ca="1">'Ref scen Calcs'!AB369</f>
        <v>1531.6613108159995</v>
      </c>
      <c r="AA40">
        <f ca="1">'Ref scen Calcs'!AC369</f>
        <v>1485.2226434135996</v>
      </c>
      <c r="AP40">
        <f>'Alt scen Calcs'!D369</f>
        <v>651.77077055999985</v>
      </c>
      <c r="AQ40">
        <f>'Alt scen Calcs'!E369</f>
        <v>651.77077055999985</v>
      </c>
      <c r="AR40">
        <f>'Alt scen Calcs'!F369</f>
        <v>651.77077055999985</v>
      </c>
      <c r="AS40">
        <f>'Alt scen Calcs'!G369</f>
        <v>651.77077055999985</v>
      </c>
      <c r="AT40">
        <f>'Alt scen Calcs'!H369</f>
        <v>651.77077055999985</v>
      </c>
      <c r="AU40">
        <f ca="1">'Alt scen Calcs'!I369</f>
        <v>651.77077055999985</v>
      </c>
      <c r="AV40">
        <f ca="1">'Alt scen Calcs'!J369</f>
        <v>945.06761731199981</v>
      </c>
      <c r="AW40">
        <f ca="1">'Alt scen Calcs'!K369</f>
        <v>945.06761731199981</v>
      </c>
      <c r="AX40">
        <f ca="1">'Alt scen Calcs'!L369</f>
        <v>945.06761731199981</v>
      </c>
      <c r="AY40">
        <f ca="1">'Alt scen Calcs'!M369</f>
        <v>945.06761731199981</v>
      </c>
      <c r="AZ40">
        <f ca="1">'Alt scen Calcs'!N369</f>
        <v>945.06761731199981</v>
      </c>
      <c r="BA40">
        <f ca="1">'Alt scen Calcs'!O369</f>
        <v>945.06761731199981</v>
      </c>
      <c r="BB40">
        <f ca="1">'Alt scen Calcs'!P369</f>
        <v>945.06761731199981</v>
      </c>
      <c r="BC40">
        <f ca="1">'Alt scen Calcs'!Q369</f>
        <v>945.06761731199981</v>
      </c>
      <c r="BD40">
        <f ca="1">'Alt scen Calcs'!R369</f>
        <v>945.06761731199981</v>
      </c>
      <c r="BE40">
        <f ca="1">'Alt scen Calcs'!S369</f>
        <v>945.06761731199981</v>
      </c>
      <c r="BF40">
        <f ca="1">'Alt scen Calcs'!T369</f>
        <v>945.06761731199981</v>
      </c>
      <c r="BG40">
        <f ca="1">'Alt scen Calcs'!U369</f>
        <v>945.06761731199981</v>
      </c>
      <c r="BH40">
        <f ca="1">'Alt scen Calcs'!V369</f>
        <v>945.06761731199981</v>
      </c>
      <c r="BI40">
        <f ca="1">'Alt scen Calcs'!W369</f>
        <v>945.06761731199981</v>
      </c>
      <c r="BJ40">
        <f ca="1">'Alt scen Calcs'!X369</f>
        <v>945.06761731199981</v>
      </c>
      <c r="BK40">
        <f ca="1">'Alt scen Calcs'!Y369</f>
        <v>1140.59884848</v>
      </c>
      <c r="BL40">
        <f ca="1">'Alt scen Calcs'!Z369</f>
        <v>1140.59884848</v>
      </c>
      <c r="BM40">
        <f ca="1">'Alt scen Calcs'!AA369</f>
        <v>1140.59884848</v>
      </c>
      <c r="BN40">
        <f ca="1">'Alt scen Calcs'!AB369</f>
        <v>1401.3071567039999</v>
      </c>
      <c r="BO40">
        <f ca="1">'Alt scen Calcs'!AC369</f>
        <v>1615.5767975255997</v>
      </c>
    </row>
    <row r="41" spans="1:67">
      <c r="A41" t="str">
        <f t="shared" si="0"/>
        <v>PWR nuclear</v>
      </c>
      <c r="B41">
        <f>'Ref scen Calcs'!D370</f>
        <v>13197.815999999999</v>
      </c>
      <c r="C41">
        <f>'Ref scen Calcs'!E370</f>
        <v>13197.815999999999</v>
      </c>
      <c r="D41">
        <f>'Ref scen Calcs'!F370</f>
        <v>13197.815999999999</v>
      </c>
      <c r="E41">
        <f>'Ref scen Calcs'!G370</f>
        <v>13197.815999999999</v>
      </c>
      <c r="F41">
        <f>'Ref scen Calcs'!H370</f>
        <v>13197.815999999999</v>
      </c>
      <c r="G41">
        <f ca="1">'Ref scen Calcs'!I370</f>
        <v>13197.815999999999</v>
      </c>
      <c r="H41">
        <f ca="1">'Ref scen Calcs'!J370</f>
        <v>13197.815999999999</v>
      </c>
      <c r="I41">
        <f ca="1">'Ref scen Calcs'!K370</f>
        <v>13197.815999999999</v>
      </c>
      <c r="J41">
        <f ca="1">'Ref scen Calcs'!L370</f>
        <v>13197.815999999999</v>
      </c>
      <c r="K41">
        <f ca="1">'Ref scen Calcs'!M370</f>
        <v>13197.815999999999</v>
      </c>
      <c r="L41">
        <f ca="1">'Ref scen Calcs'!N370</f>
        <v>13197.815999999999</v>
      </c>
      <c r="M41">
        <f ca="1">'Ref scen Calcs'!O370</f>
        <v>13197.815999999999</v>
      </c>
      <c r="N41">
        <f ca="1">'Ref scen Calcs'!P370</f>
        <v>13197.815999999999</v>
      </c>
      <c r="O41">
        <f ca="1">'Ref scen Calcs'!Q370</f>
        <v>13197.815999999999</v>
      </c>
      <c r="P41">
        <f ca="1">'Ref scen Calcs'!R370</f>
        <v>13197.815999999999</v>
      </c>
      <c r="Q41">
        <f ca="1">'Ref scen Calcs'!S370</f>
        <v>13197.815999999999</v>
      </c>
      <c r="R41">
        <f ca="1">'Ref scen Calcs'!T370</f>
        <v>13197.815999999999</v>
      </c>
      <c r="S41">
        <f ca="1">'Ref scen Calcs'!U370</f>
        <v>13197.815999999999</v>
      </c>
      <c r="T41">
        <f ca="1">'Ref scen Calcs'!V370</f>
        <v>13197.815999999999</v>
      </c>
      <c r="U41">
        <f ca="1">'Ref scen Calcs'!W370</f>
        <v>13197.815999999999</v>
      </c>
      <c r="V41">
        <f ca="1">'Ref scen Calcs'!X370</f>
        <v>13197.815999999999</v>
      </c>
      <c r="W41">
        <f ca="1">'Ref scen Calcs'!Y370</f>
        <v>13197.815999999999</v>
      </c>
      <c r="X41">
        <f ca="1">'Ref scen Calcs'!Z370</f>
        <v>13197.815999999999</v>
      </c>
      <c r="Y41">
        <f ca="1">'Ref scen Calcs'!AA370</f>
        <v>13197.815999999999</v>
      </c>
      <c r="Z41">
        <f ca="1">'Ref scen Calcs'!AB370</f>
        <v>13197.815999999999</v>
      </c>
      <c r="AA41">
        <f ca="1">'Ref scen Calcs'!AC370</f>
        <v>13197.815999999999</v>
      </c>
      <c r="AP41">
        <f>'Alt scen Calcs'!D370</f>
        <v>13197.815999999999</v>
      </c>
      <c r="AQ41">
        <f>'Alt scen Calcs'!E370</f>
        <v>13197.815999999999</v>
      </c>
      <c r="AR41">
        <f>'Alt scen Calcs'!F370</f>
        <v>13197.815999999999</v>
      </c>
      <c r="AS41">
        <f>'Alt scen Calcs'!G370</f>
        <v>13197.815999999999</v>
      </c>
      <c r="AT41">
        <f>'Alt scen Calcs'!H370</f>
        <v>13197.815999999999</v>
      </c>
      <c r="AU41">
        <f ca="1">'Alt scen Calcs'!I370</f>
        <v>13197.815999999999</v>
      </c>
      <c r="AV41">
        <f ca="1">'Alt scen Calcs'!J370</f>
        <v>13197.815999999999</v>
      </c>
      <c r="AW41">
        <f ca="1">'Alt scen Calcs'!K370</f>
        <v>13197.815999999999</v>
      </c>
      <c r="AX41">
        <f ca="1">'Alt scen Calcs'!L370</f>
        <v>13197.815999999999</v>
      </c>
      <c r="AY41">
        <f ca="1">'Alt scen Calcs'!M370</f>
        <v>13197.815999999999</v>
      </c>
      <c r="AZ41">
        <f ca="1">'Alt scen Calcs'!N370</f>
        <v>13197.815999999999</v>
      </c>
      <c r="BA41">
        <f ca="1">'Alt scen Calcs'!O370</f>
        <v>13197.815999999999</v>
      </c>
      <c r="BB41">
        <f ca="1">'Alt scen Calcs'!P370</f>
        <v>13197.815999999999</v>
      </c>
      <c r="BC41">
        <f ca="1">'Alt scen Calcs'!Q370</f>
        <v>13197.815999999999</v>
      </c>
      <c r="BD41">
        <f ca="1">'Alt scen Calcs'!R370</f>
        <v>13197.815999999999</v>
      </c>
      <c r="BE41">
        <f ca="1">'Alt scen Calcs'!S370</f>
        <v>13197.815999999999</v>
      </c>
      <c r="BF41">
        <f ca="1">'Alt scen Calcs'!T370</f>
        <v>13197.815999999999</v>
      </c>
      <c r="BG41">
        <f ca="1">'Alt scen Calcs'!U370</f>
        <v>13197.815999999999</v>
      </c>
      <c r="BH41">
        <f ca="1">'Alt scen Calcs'!V370</f>
        <v>13197.815999999999</v>
      </c>
      <c r="BI41">
        <f ca="1">'Alt scen Calcs'!W370</f>
        <v>13197.815999999999</v>
      </c>
      <c r="BJ41">
        <f ca="1">'Alt scen Calcs'!X370</f>
        <v>13197.815999999999</v>
      </c>
      <c r="BK41">
        <f ca="1">'Alt scen Calcs'!Y370</f>
        <v>13197.815999999999</v>
      </c>
      <c r="BL41">
        <f ca="1">'Alt scen Calcs'!Z370</f>
        <v>13197.815999999999</v>
      </c>
      <c r="BM41">
        <f ca="1">'Alt scen Calcs'!AA370</f>
        <v>13197.815999999999</v>
      </c>
      <c r="BN41">
        <f ca="1">'Alt scen Calcs'!AB370</f>
        <v>13197.815999999999</v>
      </c>
      <c r="BO41">
        <f ca="1">'Alt scen Calcs'!AC370</f>
        <v>13197.815999999999</v>
      </c>
    </row>
    <row r="42" spans="1:67">
      <c r="A42" t="str">
        <f t="shared" si="0"/>
        <v>Hydro</v>
      </c>
      <c r="B42">
        <f>'Ref scen Calcs'!D371</f>
        <v>878.42652000000021</v>
      </c>
      <c r="C42">
        <f>'Ref scen Calcs'!E371</f>
        <v>878.42652000000021</v>
      </c>
      <c r="D42">
        <f>'Ref scen Calcs'!F371</f>
        <v>878.42652000000021</v>
      </c>
      <c r="E42">
        <f>'Ref scen Calcs'!G371</f>
        <v>878.42652000000021</v>
      </c>
      <c r="F42">
        <f>'Ref scen Calcs'!H371</f>
        <v>878.42652000000021</v>
      </c>
      <c r="G42">
        <f ca="1">'Ref scen Calcs'!I371</f>
        <v>878.42652000000021</v>
      </c>
      <c r="H42">
        <f ca="1">'Ref scen Calcs'!J371</f>
        <v>878.42652000000021</v>
      </c>
      <c r="I42">
        <f ca="1">'Ref scen Calcs'!K371</f>
        <v>878.42652000000021</v>
      </c>
      <c r="J42">
        <f ca="1">'Ref scen Calcs'!L371</f>
        <v>878.42652000000021</v>
      </c>
      <c r="K42">
        <f ca="1">'Ref scen Calcs'!M371</f>
        <v>878.42652000000021</v>
      </c>
      <c r="L42">
        <f ca="1">'Ref scen Calcs'!N371</f>
        <v>878.42652000000021</v>
      </c>
      <c r="M42">
        <f ca="1">'Ref scen Calcs'!O371</f>
        <v>878.42652000000021</v>
      </c>
      <c r="N42">
        <f ca="1">'Ref scen Calcs'!P371</f>
        <v>878.42652000000021</v>
      </c>
      <c r="O42">
        <f ca="1">'Ref scen Calcs'!Q371</f>
        <v>878.42652000000021</v>
      </c>
      <c r="P42">
        <f ca="1">'Ref scen Calcs'!R371</f>
        <v>878.42652000000021</v>
      </c>
      <c r="Q42">
        <f ca="1">'Ref scen Calcs'!S371</f>
        <v>878.42652000000021</v>
      </c>
      <c r="R42">
        <f ca="1">'Ref scen Calcs'!T371</f>
        <v>878.42652000000021</v>
      </c>
      <c r="S42">
        <f ca="1">'Ref scen Calcs'!U371</f>
        <v>878.42652000000021</v>
      </c>
      <c r="T42">
        <f ca="1">'Ref scen Calcs'!V371</f>
        <v>878.42652000000021</v>
      </c>
      <c r="U42">
        <f ca="1">'Ref scen Calcs'!W371</f>
        <v>878.42652000000021</v>
      </c>
      <c r="V42">
        <f ca="1">'Ref scen Calcs'!X371</f>
        <v>878.42652000000021</v>
      </c>
      <c r="W42">
        <f ca="1">'Ref scen Calcs'!Y371</f>
        <v>878.42652000000021</v>
      </c>
      <c r="X42">
        <f ca="1">'Ref scen Calcs'!Z371</f>
        <v>878.42652000000021</v>
      </c>
      <c r="Y42">
        <f ca="1">'Ref scen Calcs'!AA371</f>
        <v>878.42652000000021</v>
      </c>
      <c r="Z42">
        <f ca="1">'Ref scen Calcs'!AB371</f>
        <v>878.42652000000021</v>
      </c>
      <c r="AA42">
        <f ca="1">'Ref scen Calcs'!AC371</f>
        <v>878.42652000000021</v>
      </c>
      <c r="AP42">
        <f>'Alt scen Calcs'!D371</f>
        <v>878.42652000000021</v>
      </c>
      <c r="AQ42">
        <f>'Alt scen Calcs'!E371</f>
        <v>878.42652000000021</v>
      </c>
      <c r="AR42">
        <f>'Alt scen Calcs'!F371</f>
        <v>878.42652000000021</v>
      </c>
      <c r="AS42">
        <f>'Alt scen Calcs'!G371</f>
        <v>878.42652000000021</v>
      </c>
      <c r="AT42">
        <f>'Alt scen Calcs'!H371</f>
        <v>878.42652000000021</v>
      </c>
      <c r="AU42">
        <f ca="1">'Alt scen Calcs'!I371</f>
        <v>878.42652000000021</v>
      </c>
      <c r="AV42">
        <f ca="1">'Alt scen Calcs'!J371</f>
        <v>878.42652000000021</v>
      </c>
      <c r="AW42">
        <f ca="1">'Alt scen Calcs'!K371</f>
        <v>878.42652000000021</v>
      </c>
      <c r="AX42">
        <f ca="1">'Alt scen Calcs'!L371</f>
        <v>878.42652000000021</v>
      </c>
      <c r="AY42">
        <f ca="1">'Alt scen Calcs'!M371</f>
        <v>878.42652000000021</v>
      </c>
      <c r="AZ42">
        <f ca="1">'Alt scen Calcs'!N371</f>
        <v>878.42652000000021</v>
      </c>
      <c r="BA42">
        <f ca="1">'Alt scen Calcs'!O371</f>
        <v>878.42652000000021</v>
      </c>
      <c r="BB42">
        <f ca="1">'Alt scen Calcs'!P371</f>
        <v>878.42652000000021</v>
      </c>
      <c r="BC42">
        <f ca="1">'Alt scen Calcs'!Q371</f>
        <v>878.42652000000021</v>
      </c>
      <c r="BD42">
        <f ca="1">'Alt scen Calcs'!R371</f>
        <v>878.42652000000021</v>
      </c>
      <c r="BE42">
        <f ca="1">'Alt scen Calcs'!S371</f>
        <v>878.42652000000021</v>
      </c>
      <c r="BF42">
        <f ca="1">'Alt scen Calcs'!T371</f>
        <v>878.42652000000021</v>
      </c>
      <c r="BG42">
        <f ca="1">'Alt scen Calcs'!U371</f>
        <v>878.42652000000021</v>
      </c>
      <c r="BH42">
        <f ca="1">'Alt scen Calcs'!V371</f>
        <v>878.42652000000021</v>
      </c>
      <c r="BI42">
        <f ca="1">'Alt scen Calcs'!W371</f>
        <v>878.42652000000021</v>
      </c>
      <c r="BJ42">
        <f ca="1">'Alt scen Calcs'!X371</f>
        <v>878.42652000000021</v>
      </c>
      <c r="BK42">
        <f ca="1">'Alt scen Calcs'!Y371</f>
        <v>878.42652000000021</v>
      </c>
      <c r="BL42">
        <f ca="1">'Alt scen Calcs'!Z371</f>
        <v>878.42652000000021</v>
      </c>
      <c r="BM42">
        <f ca="1">'Alt scen Calcs'!AA371</f>
        <v>878.42652000000021</v>
      </c>
      <c r="BN42">
        <f ca="1">'Alt scen Calcs'!AB371</f>
        <v>878.42652000000021</v>
      </c>
      <c r="BO42">
        <f ca="1">'Alt scen Calcs'!AC371</f>
        <v>878.42652000000021</v>
      </c>
    </row>
    <row r="43" spans="1:67">
      <c r="A43" t="str">
        <f t="shared" si="0"/>
        <v>Landfill gas</v>
      </c>
      <c r="B43">
        <f>'Ref scen Calcs'!D372</f>
        <v>524.66925000000003</v>
      </c>
      <c r="C43">
        <f>'Ref scen Calcs'!E372</f>
        <v>524.66925000000003</v>
      </c>
      <c r="D43">
        <f>'Ref scen Calcs'!F372</f>
        <v>524.66925000000003</v>
      </c>
      <c r="E43">
        <f>'Ref scen Calcs'!G372</f>
        <v>524.66925000000003</v>
      </c>
      <c r="F43">
        <f>'Ref scen Calcs'!H372</f>
        <v>524.66925000000003</v>
      </c>
      <c r="G43">
        <f ca="1">'Ref scen Calcs'!I372</f>
        <v>524.66925000000003</v>
      </c>
      <c r="H43">
        <f ca="1">'Ref scen Calcs'!J372</f>
        <v>524.66925000000003</v>
      </c>
      <c r="I43">
        <f ca="1">'Ref scen Calcs'!K372</f>
        <v>524.66925000000003</v>
      </c>
      <c r="J43">
        <f ca="1">'Ref scen Calcs'!L372</f>
        <v>524.66925000000003</v>
      </c>
      <c r="K43">
        <f ca="1">'Ref scen Calcs'!M372</f>
        <v>524.66925000000003</v>
      </c>
      <c r="L43">
        <f ca="1">'Ref scen Calcs'!N372</f>
        <v>524.66925000000003</v>
      </c>
      <c r="M43">
        <f ca="1">'Ref scen Calcs'!O372</f>
        <v>524.66925000000003</v>
      </c>
      <c r="N43">
        <f ca="1">'Ref scen Calcs'!P372</f>
        <v>524.66925000000003</v>
      </c>
      <c r="O43">
        <f ca="1">'Ref scen Calcs'!Q372</f>
        <v>524.66925000000003</v>
      </c>
      <c r="P43">
        <f ca="1">'Ref scen Calcs'!R372</f>
        <v>524.66925000000003</v>
      </c>
      <c r="Q43">
        <f ca="1">'Ref scen Calcs'!S372</f>
        <v>524.66925000000003</v>
      </c>
      <c r="R43">
        <f ca="1">'Ref scen Calcs'!T372</f>
        <v>524.66925000000003</v>
      </c>
      <c r="S43">
        <f ca="1">'Ref scen Calcs'!U372</f>
        <v>524.66925000000003</v>
      </c>
      <c r="T43">
        <f ca="1">'Ref scen Calcs'!V372</f>
        <v>524.66925000000003</v>
      </c>
      <c r="U43">
        <f ca="1">'Ref scen Calcs'!W372</f>
        <v>524.66925000000003</v>
      </c>
      <c r="V43">
        <f ca="1">'Ref scen Calcs'!X372</f>
        <v>524.66925000000003</v>
      </c>
      <c r="W43">
        <f ca="1">'Ref scen Calcs'!Y372</f>
        <v>524.66925000000003</v>
      </c>
      <c r="X43">
        <f ca="1">'Ref scen Calcs'!Z372</f>
        <v>524.66925000000003</v>
      </c>
      <c r="Y43">
        <f ca="1">'Ref scen Calcs'!AA372</f>
        <v>524.66925000000003</v>
      </c>
      <c r="Z43">
        <f ca="1">'Ref scen Calcs'!AB372</f>
        <v>524.66925000000003</v>
      </c>
      <c r="AA43">
        <f ca="1">'Ref scen Calcs'!AC372</f>
        <v>524.66925000000003</v>
      </c>
      <c r="AP43">
        <f>'Alt scen Calcs'!D372</f>
        <v>524.66925000000003</v>
      </c>
      <c r="AQ43">
        <f>'Alt scen Calcs'!E372</f>
        <v>524.66925000000003</v>
      </c>
      <c r="AR43">
        <f>'Alt scen Calcs'!F372</f>
        <v>524.66925000000003</v>
      </c>
      <c r="AS43">
        <f>'Alt scen Calcs'!G372</f>
        <v>524.66925000000003</v>
      </c>
      <c r="AT43">
        <f>'Alt scen Calcs'!H372</f>
        <v>524.66925000000003</v>
      </c>
      <c r="AU43">
        <f ca="1">'Alt scen Calcs'!I372</f>
        <v>524.66925000000003</v>
      </c>
      <c r="AV43">
        <f ca="1">'Alt scen Calcs'!J372</f>
        <v>524.66925000000003</v>
      </c>
      <c r="AW43">
        <f ca="1">'Alt scen Calcs'!K372</f>
        <v>524.66925000000003</v>
      </c>
      <c r="AX43">
        <f ca="1">'Alt scen Calcs'!L372</f>
        <v>524.66925000000003</v>
      </c>
      <c r="AY43">
        <f ca="1">'Alt scen Calcs'!M372</f>
        <v>524.66925000000003</v>
      </c>
      <c r="AZ43">
        <f ca="1">'Alt scen Calcs'!N372</f>
        <v>524.66925000000003</v>
      </c>
      <c r="BA43">
        <f ca="1">'Alt scen Calcs'!O372</f>
        <v>524.66925000000003</v>
      </c>
      <c r="BB43">
        <f ca="1">'Alt scen Calcs'!P372</f>
        <v>524.66925000000003</v>
      </c>
      <c r="BC43">
        <f ca="1">'Alt scen Calcs'!Q372</f>
        <v>524.66925000000003</v>
      </c>
      <c r="BD43">
        <f ca="1">'Alt scen Calcs'!R372</f>
        <v>524.66925000000003</v>
      </c>
      <c r="BE43">
        <f ca="1">'Alt scen Calcs'!S372</f>
        <v>524.66925000000003</v>
      </c>
      <c r="BF43">
        <f ca="1">'Alt scen Calcs'!T372</f>
        <v>524.66925000000003</v>
      </c>
      <c r="BG43">
        <f ca="1">'Alt scen Calcs'!U372</f>
        <v>524.66925000000003</v>
      </c>
      <c r="BH43">
        <f ca="1">'Alt scen Calcs'!V372</f>
        <v>524.66925000000003</v>
      </c>
      <c r="BI43">
        <f ca="1">'Alt scen Calcs'!W372</f>
        <v>524.66925000000003</v>
      </c>
      <c r="BJ43">
        <f ca="1">'Alt scen Calcs'!X372</f>
        <v>524.66925000000003</v>
      </c>
      <c r="BK43">
        <f ca="1">'Alt scen Calcs'!Y372</f>
        <v>524.66925000000003</v>
      </c>
      <c r="BL43">
        <f ca="1">'Alt scen Calcs'!Z372</f>
        <v>524.66925000000003</v>
      </c>
      <c r="BM43">
        <f ca="1">'Alt scen Calcs'!AA372</f>
        <v>524.66925000000003</v>
      </c>
      <c r="BN43">
        <f ca="1">'Alt scen Calcs'!AB372</f>
        <v>524.66925000000003</v>
      </c>
      <c r="BO43">
        <f ca="1">'Alt scen Calcs'!AC372</f>
        <v>524.66925000000003</v>
      </c>
    </row>
    <row r="44" spans="1:67">
      <c r="A44" t="str">
        <f t="shared" si="0"/>
        <v>Biomass</v>
      </c>
      <c r="B44">
        <f>'Ref scen Calcs'!D373</f>
        <v>1502.121000000029</v>
      </c>
      <c r="C44">
        <f>'Ref scen Calcs'!E373</f>
        <v>1502.1209999999999</v>
      </c>
      <c r="D44">
        <f>'Ref scen Calcs'!F373</f>
        <v>1502.1209999999999</v>
      </c>
      <c r="E44">
        <f>'Ref scen Calcs'!G373</f>
        <v>1502.1209999999999</v>
      </c>
      <c r="F44">
        <f>'Ref scen Calcs'!H373</f>
        <v>1502.1209999999999</v>
      </c>
      <c r="G44">
        <f ca="1">'Ref scen Calcs'!I373</f>
        <v>1502.1209999999999</v>
      </c>
      <c r="H44">
        <f ca="1">'Ref scen Calcs'!J373</f>
        <v>1502.1209999999999</v>
      </c>
      <c r="I44">
        <f ca="1">'Ref scen Calcs'!K373</f>
        <v>1502.1209999999999</v>
      </c>
      <c r="J44">
        <f ca="1">'Ref scen Calcs'!L373</f>
        <v>1502.1209999999999</v>
      </c>
      <c r="K44">
        <f ca="1">'Ref scen Calcs'!M373</f>
        <v>1502.1209999999999</v>
      </c>
      <c r="L44">
        <f ca="1">'Ref scen Calcs'!N373</f>
        <v>1502.1209999999999</v>
      </c>
      <c r="M44">
        <f ca="1">'Ref scen Calcs'!O373</f>
        <v>1502.1209999999999</v>
      </c>
      <c r="N44">
        <f ca="1">'Ref scen Calcs'!P373</f>
        <v>1502.1209999999999</v>
      </c>
      <c r="O44">
        <f ca="1">'Ref scen Calcs'!Q373</f>
        <v>1502.1209999999999</v>
      </c>
      <c r="P44">
        <f ca="1">'Ref scen Calcs'!R373</f>
        <v>1502.1209999999999</v>
      </c>
      <c r="Q44">
        <f ca="1">'Ref scen Calcs'!S373</f>
        <v>1502.1209999999999</v>
      </c>
      <c r="R44">
        <f ca="1">'Ref scen Calcs'!T373</f>
        <v>1502.1209999999999</v>
      </c>
      <c r="S44">
        <f ca="1">'Ref scen Calcs'!U373</f>
        <v>1502.1209999999999</v>
      </c>
      <c r="T44">
        <f ca="1">'Ref scen Calcs'!V373</f>
        <v>1502.1209999999999</v>
      </c>
      <c r="U44">
        <f ca="1">'Ref scen Calcs'!W373</f>
        <v>1502.1209999999999</v>
      </c>
      <c r="V44">
        <f ca="1">'Ref scen Calcs'!X373</f>
        <v>1502.1209999999999</v>
      </c>
      <c r="W44">
        <f ca="1">'Ref scen Calcs'!Y373</f>
        <v>1502.1209999999999</v>
      </c>
      <c r="X44">
        <f ca="1">'Ref scen Calcs'!Z373</f>
        <v>1502.1209999999999</v>
      </c>
      <c r="Y44">
        <f ca="1">'Ref scen Calcs'!AA373</f>
        <v>1502.1209999999999</v>
      </c>
      <c r="Z44">
        <f ca="1">'Ref scen Calcs'!AB373</f>
        <v>1502.1209999999999</v>
      </c>
      <c r="AA44">
        <f ca="1">'Ref scen Calcs'!AC373</f>
        <v>1502.1209999999999</v>
      </c>
      <c r="AP44">
        <f>'Alt scen Calcs'!D373</f>
        <v>1502.121000000029</v>
      </c>
      <c r="AQ44">
        <f>'Alt scen Calcs'!E373</f>
        <v>1502.1209999999999</v>
      </c>
      <c r="AR44">
        <f>'Alt scen Calcs'!F373</f>
        <v>1502.1209999999999</v>
      </c>
      <c r="AS44">
        <f>'Alt scen Calcs'!G373</f>
        <v>1502.1209999999999</v>
      </c>
      <c r="AT44">
        <f>'Alt scen Calcs'!H373</f>
        <v>1502.1209999999999</v>
      </c>
      <c r="AU44">
        <f ca="1">'Alt scen Calcs'!I373</f>
        <v>1502.1209999999999</v>
      </c>
      <c r="AV44">
        <f ca="1">'Alt scen Calcs'!J373</f>
        <v>1502.1209999999999</v>
      </c>
      <c r="AW44">
        <f ca="1">'Alt scen Calcs'!K373</f>
        <v>1502.1209999999999</v>
      </c>
      <c r="AX44">
        <f ca="1">'Alt scen Calcs'!L373</f>
        <v>1502.1209999999999</v>
      </c>
      <c r="AY44">
        <f ca="1">'Alt scen Calcs'!M373</f>
        <v>1502.1209999999999</v>
      </c>
      <c r="AZ44">
        <f ca="1">'Alt scen Calcs'!N373</f>
        <v>1502.1209999999999</v>
      </c>
      <c r="BA44">
        <f ca="1">'Alt scen Calcs'!O373</f>
        <v>1502.1209999999999</v>
      </c>
      <c r="BB44">
        <f ca="1">'Alt scen Calcs'!P373</f>
        <v>1502.1209999999999</v>
      </c>
      <c r="BC44">
        <f ca="1">'Alt scen Calcs'!Q373</f>
        <v>1502.1209999999999</v>
      </c>
      <c r="BD44">
        <f ca="1">'Alt scen Calcs'!R373</f>
        <v>1502.1209999999999</v>
      </c>
      <c r="BE44">
        <f ca="1">'Alt scen Calcs'!S373</f>
        <v>1502.1209999999999</v>
      </c>
      <c r="BF44">
        <f ca="1">'Alt scen Calcs'!T373</f>
        <v>1502.1209999999999</v>
      </c>
      <c r="BG44">
        <f ca="1">'Alt scen Calcs'!U373</f>
        <v>1502.1209999999999</v>
      </c>
      <c r="BH44">
        <f ca="1">'Alt scen Calcs'!V373</f>
        <v>1502.1209999999999</v>
      </c>
      <c r="BI44">
        <f ca="1">'Alt scen Calcs'!W373</f>
        <v>1502.1209999999999</v>
      </c>
      <c r="BJ44">
        <f ca="1">'Alt scen Calcs'!X373</f>
        <v>1502.1209999999999</v>
      </c>
      <c r="BK44">
        <f ca="1">'Alt scen Calcs'!Y373</f>
        <v>1502.1209999999999</v>
      </c>
      <c r="BL44">
        <f ca="1">'Alt scen Calcs'!Z373</f>
        <v>1502.1209999999999</v>
      </c>
      <c r="BM44">
        <f ca="1">'Alt scen Calcs'!AA373</f>
        <v>1502.1209999999999</v>
      </c>
      <c r="BN44">
        <f ca="1">'Alt scen Calcs'!AB373</f>
        <v>1502.1209999999999</v>
      </c>
      <c r="BO44">
        <f ca="1">'Alt scen Calcs'!AC373</f>
        <v>1502.1209999999999</v>
      </c>
    </row>
    <row r="45" spans="1:67">
      <c r="A45" t="str">
        <f t="shared" si="0"/>
        <v>Supercritical coal</v>
      </c>
      <c r="B45">
        <f>'Ref scen Calcs'!D374</f>
        <v>0</v>
      </c>
      <c r="C45">
        <f>'Ref scen Calcs'!E374</f>
        <v>0</v>
      </c>
      <c r="D45">
        <f>'Ref scen Calcs'!F374</f>
        <v>0</v>
      </c>
      <c r="E45">
        <f>'Ref scen Calcs'!G374</f>
        <v>0</v>
      </c>
      <c r="F45">
        <f>'Ref scen Calcs'!H374</f>
        <v>0</v>
      </c>
      <c r="G45">
        <f ca="1">'Ref scen Calcs'!I374</f>
        <v>0</v>
      </c>
      <c r="H45">
        <f ca="1">'Ref scen Calcs'!J374</f>
        <v>0</v>
      </c>
      <c r="I45">
        <f ca="1">'Ref scen Calcs'!K374</f>
        <v>1693.7365830000003</v>
      </c>
      <c r="J45">
        <f ca="1">'Ref scen Calcs'!L374</f>
        <v>5081.2097490000015</v>
      </c>
      <c r="K45">
        <f ca="1">'Ref scen Calcs'!M374</f>
        <v>13787.838002241275</v>
      </c>
      <c r="L45">
        <f ca="1">'Ref scen Calcs'!N374</f>
        <v>22109.866176129231</v>
      </c>
      <c r="M45">
        <f ca="1">'Ref scen Calcs'!O374</f>
        <v>30973.848045042821</v>
      </c>
      <c r="N45">
        <f ca="1">'Ref scen Calcs'!P374</f>
        <v>39693.39423489997</v>
      </c>
      <c r="O45">
        <f ca="1">'Ref scen Calcs'!Q374</f>
        <v>48912.77667558215</v>
      </c>
      <c r="P45">
        <f ca="1">'Ref scen Calcs'!R374</f>
        <v>58560.11668383942</v>
      </c>
      <c r="Q45">
        <f ca="1">'Ref scen Calcs'!S374</f>
        <v>70157.919939841871</v>
      </c>
      <c r="R45">
        <f ca="1">'Ref scen Calcs'!T374</f>
        <v>82258.573337745125</v>
      </c>
      <c r="S45">
        <f ca="1">'Ref scen Calcs'!U374</f>
        <v>92501.989315475454</v>
      </c>
      <c r="T45">
        <f ca="1">'Ref scen Calcs'!V374</f>
        <v>103258.67878333401</v>
      </c>
      <c r="U45">
        <f ca="1">'Ref scen Calcs'!W374</f>
        <v>123284.62132491726</v>
      </c>
      <c r="V45">
        <f ca="1">'Ref scen Calcs'!X374</f>
        <v>144735.49546189455</v>
      </c>
      <c r="W45">
        <f ca="1">'Ref scen Calcs'!Y374</f>
        <v>169111.17186129716</v>
      </c>
      <c r="X45">
        <f ca="1">'Ref scen Calcs'!Z374</f>
        <v>193300.59446743844</v>
      </c>
      <c r="Y45">
        <f ca="1">'Ref scen Calcs'!AA374</f>
        <v>220195.14662336902</v>
      </c>
      <c r="Z45">
        <f ca="1">'Ref scen Calcs'!AB374</f>
        <v>260340.97143911308</v>
      </c>
      <c r="AA45">
        <f ca="1">'Ref scen Calcs'!AC374</f>
        <v>284022.13653434324</v>
      </c>
      <c r="AP45">
        <f>'Alt scen Calcs'!D374</f>
        <v>0</v>
      </c>
      <c r="AQ45">
        <f>'Alt scen Calcs'!E374</f>
        <v>0</v>
      </c>
      <c r="AR45">
        <f>'Alt scen Calcs'!F374</f>
        <v>0</v>
      </c>
      <c r="AS45">
        <f>'Alt scen Calcs'!G374</f>
        <v>0</v>
      </c>
      <c r="AT45">
        <f>'Alt scen Calcs'!H374</f>
        <v>0</v>
      </c>
      <c r="AU45">
        <f ca="1">'Alt scen Calcs'!I374</f>
        <v>0</v>
      </c>
      <c r="AV45">
        <f ca="1">'Alt scen Calcs'!J374</f>
        <v>0</v>
      </c>
      <c r="AW45">
        <f ca="1">'Alt scen Calcs'!K374</f>
        <v>1693.7365830000003</v>
      </c>
      <c r="AX45">
        <f ca="1">'Alt scen Calcs'!L374</f>
        <v>5081.2097490000015</v>
      </c>
      <c r="AY45">
        <f ca="1">'Alt scen Calcs'!M374</f>
        <v>10634.23800224124</v>
      </c>
      <c r="AZ45">
        <f ca="1">'Alt scen Calcs'!N374</f>
        <v>16810.994815755548</v>
      </c>
      <c r="BA45">
        <f ca="1">'Alt scen Calcs'!O374</f>
        <v>23004.105324295513</v>
      </c>
      <c r="BB45">
        <f ca="1">'Alt scen Calcs'!P374</f>
        <v>26993.251514152627</v>
      </c>
      <c r="BC45">
        <f ca="1">'Alt scen Calcs'!Q374</f>
        <v>29379.83395483479</v>
      </c>
      <c r="BD45">
        <f ca="1">'Alt scen Calcs'!R374</f>
        <v>28777.973963092143</v>
      </c>
      <c r="BE45">
        <f ca="1">'Alt scen Calcs'!S374</f>
        <v>28024.177219094479</v>
      </c>
      <c r="BF45">
        <f ca="1">'Alt scen Calcs'!T374</f>
        <v>24356.830616997791</v>
      </c>
      <c r="BG45">
        <f ca="1">'Alt scen Calcs'!U374</f>
        <v>21898.246594728091</v>
      </c>
      <c r="BH45">
        <f ca="1">'Alt scen Calcs'!V374</f>
        <v>20324.83899600001</v>
      </c>
      <c r="BI45">
        <f ca="1">'Alt scen Calcs'!W374</f>
        <v>20324.83899600001</v>
      </c>
      <c r="BJ45">
        <f ca="1">'Alt scen Calcs'!X374</f>
        <v>20453.283972315145</v>
      </c>
      <c r="BK45">
        <f ca="1">'Alt scen Calcs'!Y374</f>
        <v>26870.960371717756</v>
      </c>
      <c r="BL45">
        <f ca="1">'Alt scen Calcs'!Z374</f>
        <v>29502.873213153161</v>
      </c>
      <c r="BM45">
        <f ca="1">'Alt scen Calcs'!AA374</f>
        <v>33040.160722025088</v>
      </c>
      <c r="BN45">
        <f ca="1">'Alt scen Calcs'!AB374</f>
        <v>45633.727661654295</v>
      </c>
      <c r="BO45">
        <f ca="1">'Alt scen Calcs'!AC374</f>
        <v>46966.368296660425</v>
      </c>
    </row>
    <row r="46" spans="1:67">
      <c r="A46" t="str">
        <f t="shared" si="0"/>
        <v xml:space="preserve">Wind 30% </v>
      </c>
      <c r="B46">
        <f>'Ref scen Calcs'!D375</f>
        <v>0</v>
      </c>
      <c r="C46">
        <f>'Ref scen Calcs'!E375</f>
        <v>0</v>
      </c>
      <c r="D46">
        <f>'Ref scen Calcs'!F375</f>
        <v>0</v>
      </c>
      <c r="E46">
        <f>'Ref scen Calcs'!G375</f>
        <v>0</v>
      </c>
      <c r="F46">
        <f>'Ref scen Calcs'!H375</f>
        <v>0</v>
      </c>
      <c r="G46">
        <f ca="1">'Ref scen Calcs'!I375</f>
        <v>262.8</v>
      </c>
      <c r="H46">
        <f ca="1">'Ref scen Calcs'!J375</f>
        <v>262.8</v>
      </c>
      <c r="I46">
        <f ca="1">'Ref scen Calcs'!K375</f>
        <v>262.8</v>
      </c>
      <c r="J46">
        <f ca="1">'Ref scen Calcs'!L375</f>
        <v>262.8</v>
      </c>
      <c r="K46">
        <f ca="1">'Ref scen Calcs'!M375</f>
        <v>262.8</v>
      </c>
      <c r="L46">
        <f ca="1">'Ref scen Calcs'!N375</f>
        <v>262.8</v>
      </c>
      <c r="M46">
        <f ca="1">'Ref scen Calcs'!O375</f>
        <v>262.8</v>
      </c>
      <c r="N46">
        <f ca="1">'Ref scen Calcs'!P375</f>
        <v>262.8</v>
      </c>
      <c r="O46">
        <f ca="1">'Ref scen Calcs'!Q375</f>
        <v>262.8</v>
      </c>
      <c r="P46">
        <f ca="1">'Ref scen Calcs'!R375</f>
        <v>262.8</v>
      </c>
      <c r="Q46">
        <f ca="1">'Ref scen Calcs'!S375</f>
        <v>262.8</v>
      </c>
      <c r="R46">
        <f ca="1">'Ref scen Calcs'!T375</f>
        <v>262.8</v>
      </c>
      <c r="S46">
        <f ca="1">'Ref scen Calcs'!U375</f>
        <v>262.8</v>
      </c>
      <c r="T46">
        <f ca="1">'Ref scen Calcs'!V375</f>
        <v>262.8</v>
      </c>
      <c r="U46">
        <f ca="1">'Ref scen Calcs'!W375</f>
        <v>262.8</v>
      </c>
      <c r="V46">
        <f ca="1">'Ref scen Calcs'!X375</f>
        <v>262.8</v>
      </c>
      <c r="W46">
        <f ca="1">'Ref scen Calcs'!Y375</f>
        <v>262.8</v>
      </c>
      <c r="X46">
        <f ca="1">'Ref scen Calcs'!Z375</f>
        <v>262.8</v>
      </c>
      <c r="Y46">
        <f ca="1">'Ref scen Calcs'!AA375</f>
        <v>262.8</v>
      </c>
      <c r="Z46">
        <f ca="1">'Ref scen Calcs'!AB375</f>
        <v>262.8</v>
      </c>
      <c r="AA46">
        <f ca="1">'Ref scen Calcs'!AC375</f>
        <v>0</v>
      </c>
      <c r="AP46">
        <f>'Alt scen Calcs'!D375</f>
        <v>0</v>
      </c>
      <c r="AQ46">
        <f>'Alt scen Calcs'!E375</f>
        <v>0</v>
      </c>
      <c r="AR46">
        <f>'Alt scen Calcs'!F375</f>
        <v>0</v>
      </c>
      <c r="AS46">
        <f>'Alt scen Calcs'!G375</f>
        <v>0</v>
      </c>
      <c r="AT46">
        <f>'Alt scen Calcs'!H375</f>
        <v>0</v>
      </c>
      <c r="AU46">
        <f ca="1">'Alt scen Calcs'!I375</f>
        <v>262.8</v>
      </c>
      <c r="AV46">
        <f ca="1">'Alt scen Calcs'!J375</f>
        <v>788.40000000000009</v>
      </c>
      <c r="AW46">
        <f ca="1">'Alt scen Calcs'!K375</f>
        <v>1314</v>
      </c>
      <c r="AX46">
        <f ca="1">'Alt scen Calcs'!L375</f>
        <v>2365.2000000000003</v>
      </c>
      <c r="AY46">
        <f ca="1">'Alt scen Calcs'!M375</f>
        <v>3416.4</v>
      </c>
      <c r="AZ46">
        <f ca="1">'Alt scen Calcs'!N375</f>
        <v>5518.8</v>
      </c>
      <c r="BA46">
        <f ca="1">'Alt scen Calcs'!O375</f>
        <v>7621.2000000000007</v>
      </c>
      <c r="BB46">
        <f ca="1">'Alt scen Calcs'!P375</f>
        <v>10249.200000000001</v>
      </c>
      <c r="BC46">
        <f ca="1">'Alt scen Calcs'!Q375</f>
        <v>12877.199999999999</v>
      </c>
      <c r="BD46">
        <f ca="1">'Alt scen Calcs'!R375</f>
        <v>16819.2</v>
      </c>
      <c r="BE46">
        <f ca="1">'Alt scen Calcs'!S375</f>
        <v>20761.2</v>
      </c>
      <c r="BF46">
        <f ca="1">'Alt scen Calcs'!T375</f>
        <v>26017.200000000001</v>
      </c>
      <c r="BG46">
        <f ca="1">'Alt scen Calcs'!U375</f>
        <v>26017.200000000001</v>
      </c>
      <c r="BH46">
        <f ca="1">'Alt scen Calcs'!V375</f>
        <v>26017.200000000001</v>
      </c>
      <c r="BI46">
        <f ca="1">'Alt scen Calcs'!W375</f>
        <v>26017.200000000001</v>
      </c>
      <c r="BJ46">
        <f ca="1">'Alt scen Calcs'!X375</f>
        <v>26017.200000000001</v>
      </c>
      <c r="BK46">
        <f ca="1">'Alt scen Calcs'!Y375</f>
        <v>26017.200000000001</v>
      </c>
      <c r="BL46">
        <f ca="1">'Alt scen Calcs'!Z375</f>
        <v>26017.200000000001</v>
      </c>
      <c r="BM46">
        <f ca="1">'Alt scen Calcs'!AA375</f>
        <v>26017.200000000001</v>
      </c>
      <c r="BN46">
        <f ca="1">'Alt scen Calcs'!AB375</f>
        <v>26017.200000000001</v>
      </c>
      <c r="BO46">
        <f ca="1">'Alt scen Calcs'!AC375</f>
        <v>25754.399999999998</v>
      </c>
    </row>
    <row r="47" spans="1:67">
      <c r="A47" t="str">
        <f t="shared" si="0"/>
        <v>Wind 25%</v>
      </c>
      <c r="B47">
        <f>'Ref scen Calcs'!D376</f>
        <v>0</v>
      </c>
      <c r="C47">
        <f>'Ref scen Calcs'!E376</f>
        <v>0</v>
      </c>
      <c r="D47">
        <f>'Ref scen Calcs'!F376</f>
        <v>0</v>
      </c>
      <c r="E47">
        <f>'Ref scen Calcs'!G376</f>
        <v>0</v>
      </c>
      <c r="F47">
        <f>'Ref scen Calcs'!H376</f>
        <v>0</v>
      </c>
      <c r="G47">
        <f ca="1">'Ref scen Calcs'!I376</f>
        <v>0</v>
      </c>
      <c r="H47">
        <f ca="1">'Ref scen Calcs'!J376</f>
        <v>0</v>
      </c>
      <c r="I47">
        <f ca="1">'Ref scen Calcs'!K376</f>
        <v>0</v>
      </c>
      <c r="J47">
        <f ca="1">'Ref scen Calcs'!L376</f>
        <v>0</v>
      </c>
      <c r="K47">
        <f ca="1">'Ref scen Calcs'!M376</f>
        <v>0</v>
      </c>
      <c r="L47">
        <f ca="1">'Ref scen Calcs'!N376</f>
        <v>0</v>
      </c>
      <c r="M47">
        <f ca="1">'Ref scen Calcs'!O376</f>
        <v>0</v>
      </c>
      <c r="N47">
        <f ca="1">'Ref scen Calcs'!P376</f>
        <v>0</v>
      </c>
      <c r="O47">
        <f ca="1">'Ref scen Calcs'!Q376</f>
        <v>0</v>
      </c>
      <c r="P47">
        <f ca="1">'Ref scen Calcs'!R376</f>
        <v>0</v>
      </c>
      <c r="Q47">
        <f ca="1">'Ref scen Calcs'!S376</f>
        <v>0</v>
      </c>
      <c r="R47">
        <f ca="1">'Ref scen Calcs'!T376</f>
        <v>0</v>
      </c>
      <c r="S47">
        <f ca="1">'Ref scen Calcs'!U376</f>
        <v>0</v>
      </c>
      <c r="T47">
        <f ca="1">'Ref scen Calcs'!V376</f>
        <v>0</v>
      </c>
      <c r="U47">
        <f ca="1">'Ref scen Calcs'!W376</f>
        <v>0</v>
      </c>
      <c r="V47">
        <f ca="1">'Ref scen Calcs'!X376</f>
        <v>0</v>
      </c>
      <c r="W47">
        <f ca="1">'Ref scen Calcs'!Y376</f>
        <v>0</v>
      </c>
      <c r="X47">
        <f ca="1">'Ref scen Calcs'!Z376</f>
        <v>0</v>
      </c>
      <c r="Y47">
        <f ca="1">'Ref scen Calcs'!AA376</f>
        <v>0</v>
      </c>
      <c r="Z47">
        <f ca="1">'Ref scen Calcs'!AB376</f>
        <v>0</v>
      </c>
      <c r="AA47">
        <f ca="1">'Ref scen Calcs'!AC376</f>
        <v>0</v>
      </c>
      <c r="AP47">
        <f>'Alt scen Calcs'!D376</f>
        <v>0</v>
      </c>
      <c r="AQ47">
        <f>'Alt scen Calcs'!E376</f>
        <v>0</v>
      </c>
      <c r="AR47">
        <f>'Alt scen Calcs'!F376</f>
        <v>0</v>
      </c>
      <c r="AS47">
        <f>'Alt scen Calcs'!G376</f>
        <v>0</v>
      </c>
      <c r="AT47">
        <f>'Alt scen Calcs'!H376</f>
        <v>0</v>
      </c>
      <c r="AU47">
        <f ca="1">'Alt scen Calcs'!I376</f>
        <v>0</v>
      </c>
      <c r="AV47">
        <f ca="1">'Alt scen Calcs'!J376</f>
        <v>0</v>
      </c>
      <c r="AW47">
        <f ca="1">'Alt scen Calcs'!K376</f>
        <v>0</v>
      </c>
      <c r="AX47">
        <f ca="1">'Alt scen Calcs'!L376</f>
        <v>0</v>
      </c>
      <c r="AY47">
        <f ca="1">'Alt scen Calcs'!M376</f>
        <v>0</v>
      </c>
      <c r="AZ47">
        <f ca="1">'Alt scen Calcs'!N376</f>
        <v>0</v>
      </c>
      <c r="BA47">
        <f ca="1">'Alt scen Calcs'!O376</f>
        <v>0</v>
      </c>
      <c r="BB47">
        <f ca="1">'Alt scen Calcs'!P376</f>
        <v>0</v>
      </c>
      <c r="BC47">
        <f ca="1">'Alt scen Calcs'!Q376</f>
        <v>0</v>
      </c>
      <c r="BD47">
        <f ca="1">'Alt scen Calcs'!R376</f>
        <v>0</v>
      </c>
      <c r="BE47">
        <f ca="1">'Alt scen Calcs'!S376</f>
        <v>0</v>
      </c>
      <c r="BF47">
        <f ca="1">'Alt scen Calcs'!T376</f>
        <v>0</v>
      </c>
      <c r="BG47">
        <f ca="1">'Alt scen Calcs'!U376</f>
        <v>2190</v>
      </c>
      <c r="BH47">
        <f ca="1">'Alt scen Calcs'!V376</f>
        <v>4380</v>
      </c>
      <c r="BI47">
        <f ca="1">'Alt scen Calcs'!W376</f>
        <v>6570</v>
      </c>
      <c r="BJ47">
        <f ca="1">'Alt scen Calcs'!X376</f>
        <v>8760</v>
      </c>
      <c r="BK47">
        <f ca="1">'Alt scen Calcs'!Y376</f>
        <v>10950</v>
      </c>
      <c r="BL47">
        <f ca="1">'Alt scen Calcs'!Z376</f>
        <v>13140</v>
      </c>
      <c r="BM47">
        <f ca="1">'Alt scen Calcs'!AA376</f>
        <v>15330</v>
      </c>
      <c r="BN47">
        <f ca="1">'Alt scen Calcs'!AB376</f>
        <v>17520</v>
      </c>
      <c r="BO47">
        <f ca="1">'Alt scen Calcs'!AC376</f>
        <v>19710</v>
      </c>
    </row>
    <row r="48" spans="1:67">
      <c r="A48" t="str">
        <f t="shared" si="0"/>
        <v>solar thermal central reciever</v>
      </c>
      <c r="B48">
        <f>'Ref scen Calcs'!D377</f>
        <v>0</v>
      </c>
      <c r="C48">
        <f>'Ref scen Calcs'!E377</f>
        <v>0</v>
      </c>
      <c r="D48">
        <f>'Ref scen Calcs'!F377</f>
        <v>0</v>
      </c>
      <c r="E48">
        <f>'Ref scen Calcs'!G377</f>
        <v>0</v>
      </c>
      <c r="F48">
        <f>'Ref scen Calcs'!H377</f>
        <v>0</v>
      </c>
      <c r="G48">
        <f ca="1">'Ref scen Calcs'!I377</f>
        <v>0</v>
      </c>
      <c r="H48">
        <f ca="1">'Ref scen Calcs'!J377</f>
        <v>0</v>
      </c>
      <c r="I48">
        <f ca="1">'Ref scen Calcs'!K377</f>
        <v>0</v>
      </c>
      <c r="J48">
        <f ca="1">'Ref scen Calcs'!L377</f>
        <v>0</v>
      </c>
      <c r="K48">
        <f ca="1">'Ref scen Calcs'!M377</f>
        <v>0</v>
      </c>
      <c r="L48">
        <f ca="1">'Ref scen Calcs'!N377</f>
        <v>0</v>
      </c>
      <c r="M48">
        <f ca="1">'Ref scen Calcs'!O377</f>
        <v>0</v>
      </c>
      <c r="N48">
        <f ca="1">'Ref scen Calcs'!P377</f>
        <v>0</v>
      </c>
      <c r="O48">
        <f ca="1">'Ref scen Calcs'!Q377</f>
        <v>0</v>
      </c>
      <c r="P48">
        <f ca="1">'Ref scen Calcs'!R377</f>
        <v>0</v>
      </c>
      <c r="Q48">
        <f ca="1">'Ref scen Calcs'!S377</f>
        <v>0</v>
      </c>
      <c r="R48">
        <f ca="1">'Ref scen Calcs'!T377</f>
        <v>0</v>
      </c>
      <c r="S48">
        <f ca="1">'Ref scen Calcs'!U377</f>
        <v>0</v>
      </c>
      <c r="T48">
        <f ca="1">'Ref scen Calcs'!V377</f>
        <v>0</v>
      </c>
      <c r="U48">
        <f ca="1">'Ref scen Calcs'!W377</f>
        <v>0</v>
      </c>
      <c r="V48">
        <f ca="1">'Ref scen Calcs'!X377</f>
        <v>0</v>
      </c>
      <c r="W48">
        <f ca="1">'Ref scen Calcs'!Y377</f>
        <v>0</v>
      </c>
      <c r="X48">
        <f ca="1">'Ref scen Calcs'!Z377</f>
        <v>0</v>
      </c>
      <c r="Y48">
        <f ca="1">'Ref scen Calcs'!AA377</f>
        <v>0</v>
      </c>
      <c r="Z48">
        <f ca="1">'Ref scen Calcs'!AB377</f>
        <v>0</v>
      </c>
      <c r="AA48">
        <f ca="1">'Ref scen Calcs'!AC377</f>
        <v>0</v>
      </c>
      <c r="AP48">
        <f>'Alt scen Calcs'!D377</f>
        <v>0</v>
      </c>
      <c r="AQ48">
        <f>'Alt scen Calcs'!E377</f>
        <v>0</v>
      </c>
      <c r="AR48">
        <f>'Alt scen Calcs'!F377</f>
        <v>0</v>
      </c>
      <c r="AS48">
        <f>'Alt scen Calcs'!G377</f>
        <v>0</v>
      </c>
      <c r="AT48">
        <f>'Alt scen Calcs'!H377</f>
        <v>0</v>
      </c>
      <c r="AU48">
        <f ca="1">'Alt scen Calcs'!I377</f>
        <v>0</v>
      </c>
      <c r="AV48">
        <f ca="1">'Alt scen Calcs'!J377</f>
        <v>0</v>
      </c>
      <c r="AW48">
        <f ca="1">'Alt scen Calcs'!K377</f>
        <v>0</v>
      </c>
      <c r="AX48">
        <f ca="1">'Alt scen Calcs'!L377</f>
        <v>0</v>
      </c>
      <c r="AY48">
        <f ca="1">'Alt scen Calcs'!M377</f>
        <v>0</v>
      </c>
      <c r="AZ48">
        <f ca="1">'Alt scen Calcs'!N377</f>
        <v>525.6</v>
      </c>
      <c r="BA48">
        <f ca="1">'Alt scen Calcs'!O377</f>
        <v>1576.8000000000002</v>
      </c>
      <c r="BB48">
        <f ca="1">'Alt scen Calcs'!P377</f>
        <v>3679.2000000000003</v>
      </c>
      <c r="BC48">
        <f ca="1">'Alt scen Calcs'!Q377</f>
        <v>7883.9999999999991</v>
      </c>
      <c r="BD48">
        <f ca="1">'Alt scen Calcs'!R377</f>
        <v>14191.2</v>
      </c>
      <c r="BE48">
        <f ca="1">'Alt scen Calcs'!S377</f>
        <v>22600.800000000003</v>
      </c>
      <c r="BF48">
        <f ca="1">'Alt scen Calcs'!T377</f>
        <v>33112.800000000003</v>
      </c>
      <c r="BG48">
        <f ca="1">'Alt scen Calcs'!U377</f>
        <v>43624.800000000003</v>
      </c>
      <c r="BH48">
        <f ca="1">'Alt scen Calcs'!V377</f>
        <v>59392.800000000003</v>
      </c>
      <c r="BI48">
        <f ca="1">'Alt scen Calcs'!W377</f>
        <v>75160.800000000003</v>
      </c>
      <c r="BJ48">
        <f ca="1">'Alt scen Calcs'!X377</f>
        <v>90928.8</v>
      </c>
      <c r="BK48">
        <f ca="1">'Alt scen Calcs'!Y377</f>
        <v>106696.8</v>
      </c>
      <c r="BL48">
        <f ca="1">'Alt scen Calcs'!Z377</f>
        <v>122464.8</v>
      </c>
      <c r="BM48">
        <f ca="1">'Alt scen Calcs'!AA377</f>
        <v>138232.79999999999</v>
      </c>
      <c r="BN48">
        <f ca="1">'Alt scen Calcs'!AB377</f>
        <v>154000.79999999999</v>
      </c>
      <c r="BO48">
        <f ca="1">'Alt scen Calcs'!AC377</f>
        <v>169768.8</v>
      </c>
    </row>
    <row r="49" spans="1:78">
      <c r="A49" t="str">
        <f t="shared" si="0"/>
        <v>solar thermal trough</v>
      </c>
      <c r="B49">
        <f>'Ref scen Calcs'!D378</f>
        <v>0</v>
      </c>
      <c r="C49">
        <f>'Ref scen Calcs'!E378</f>
        <v>0</v>
      </c>
      <c r="D49">
        <f>'Ref scen Calcs'!F378</f>
        <v>0</v>
      </c>
      <c r="E49">
        <f>'Ref scen Calcs'!G378</f>
        <v>0</v>
      </c>
      <c r="F49">
        <f>'Ref scen Calcs'!H378</f>
        <v>0</v>
      </c>
      <c r="G49">
        <f ca="1">'Ref scen Calcs'!I378</f>
        <v>0</v>
      </c>
      <c r="H49">
        <f ca="1">'Ref scen Calcs'!J378</f>
        <v>0</v>
      </c>
      <c r="I49">
        <f ca="1">'Ref scen Calcs'!K378</f>
        <v>0</v>
      </c>
      <c r="J49">
        <f ca="1">'Ref scen Calcs'!L378</f>
        <v>0</v>
      </c>
      <c r="K49">
        <f ca="1">'Ref scen Calcs'!M378</f>
        <v>0</v>
      </c>
      <c r="L49">
        <f ca="1">'Ref scen Calcs'!N378</f>
        <v>0</v>
      </c>
      <c r="M49">
        <f ca="1">'Ref scen Calcs'!O378</f>
        <v>0</v>
      </c>
      <c r="N49">
        <f ca="1">'Ref scen Calcs'!P378</f>
        <v>0</v>
      </c>
      <c r="O49">
        <f ca="1">'Ref scen Calcs'!Q378</f>
        <v>0</v>
      </c>
      <c r="P49">
        <f ca="1">'Ref scen Calcs'!R378</f>
        <v>0</v>
      </c>
      <c r="Q49">
        <f ca="1">'Ref scen Calcs'!S378</f>
        <v>0</v>
      </c>
      <c r="R49">
        <f ca="1">'Ref scen Calcs'!T378</f>
        <v>0</v>
      </c>
      <c r="S49">
        <f ca="1">'Ref scen Calcs'!U378</f>
        <v>0</v>
      </c>
      <c r="T49">
        <f ca="1">'Ref scen Calcs'!V378</f>
        <v>0</v>
      </c>
      <c r="U49">
        <f ca="1">'Ref scen Calcs'!W378</f>
        <v>0</v>
      </c>
      <c r="V49">
        <f ca="1">'Ref scen Calcs'!X378</f>
        <v>0</v>
      </c>
      <c r="W49">
        <f ca="1">'Ref scen Calcs'!Y378</f>
        <v>0</v>
      </c>
      <c r="X49">
        <f ca="1">'Ref scen Calcs'!Z378</f>
        <v>0</v>
      </c>
      <c r="Y49">
        <f ca="1">'Ref scen Calcs'!AA378</f>
        <v>0</v>
      </c>
      <c r="Z49">
        <f ca="1">'Ref scen Calcs'!AB378</f>
        <v>0</v>
      </c>
      <c r="AA49">
        <f ca="1">'Ref scen Calcs'!AC378</f>
        <v>0</v>
      </c>
      <c r="AP49">
        <f>'Alt scen Calcs'!D378</f>
        <v>0</v>
      </c>
      <c r="AQ49">
        <f>'Alt scen Calcs'!E378</f>
        <v>0</v>
      </c>
      <c r="AR49">
        <f>'Alt scen Calcs'!F378</f>
        <v>0</v>
      </c>
      <c r="AS49">
        <f>'Alt scen Calcs'!G378</f>
        <v>0</v>
      </c>
      <c r="AT49">
        <f>'Alt scen Calcs'!H378</f>
        <v>0</v>
      </c>
      <c r="AU49">
        <f ca="1">'Alt scen Calcs'!I378</f>
        <v>0</v>
      </c>
      <c r="AV49">
        <f ca="1">'Alt scen Calcs'!J378</f>
        <v>0</v>
      </c>
      <c r="AW49">
        <f ca="1">'Alt scen Calcs'!K378</f>
        <v>0</v>
      </c>
      <c r="AX49">
        <f ca="1">'Alt scen Calcs'!L378</f>
        <v>0</v>
      </c>
      <c r="AY49">
        <f ca="1">'Alt scen Calcs'!M378</f>
        <v>0</v>
      </c>
      <c r="AZ49">
        <f ca="1">'Alt scen Calcs'!N378</f>
        <v>0</v>
      </c>
      <c r="BA49">
        <f ca="1">'Alt scen Calcs'!O378</f>
        <v>0</v>
      </c>
      <c r="BB49">
        <f ca="1">'Alt scen Calcs'!P378</f>
        <v>0</v>
      </c>
      <c r="BC49">
        <f ca="1">'Alt scen Calcs'!Q378</f>
        <v>0</v>
      </c>
      <c r="BD49">
        <f ca="1">'Alt scen Calcs'!R378</f>
        <v>0</v>
      </c>
      <c r="BE49">
        <f ca="1">'Alt scen Calcs'!S378</f>
        <v>0</v>
      </c>
      <c r="BF49">
        <f ca="1">'Alt scen Calcs'!T378</f>
        <v>0</v>
      </c>
      <c r="BG49">
        <f ca="1">'Alt scen Calcs'!U378</f>
        <v>0</v>
      </c>
      <c r="BH49">
        <f ca="1">'Alt scen Calcs'!V378</f>
        <v>0</v>
      </c>
      <c r="BI49">
        <f ca="1">'Alt scen Calcs'!W378</f>
        <v>0</v>
      </c>
      <c r="BJ49">
        <f ca="1">'Alt scen Calcs'!X378</f>
        <v>0</v>
      </c>
      <c r="BK49">
        <f ca="1">'Alt scen Calcs'!Y378</f>
        <v>0</v>
      </c>
      <c r="BL49">
        <f ca="1">'Alt scen Calcs'!Z378</f>
        <v>0</v>
      </c>
      <c r="BM49">
        <f ca="1">'Alt scen Calcs'!AA378</f>
        <v>0</v>
      </c>
      <c r="BN49">
        <f ca="1">'Alt scen Calcs'!AB378</f>
        <v>0</v>
      </c>
      <c r="BO49">
        <f ca="1">'Alt scen Calcs'!AC378</f>
        <v>0</v>
      </c>
    </row>
    <row r="50" spans="1:78">
      <c r="A50" t="str">
        <f t="shared" si="0"/>
        <v>solar PV</v>
      </c>
      <c r="B50">
        <f>'Ref scen Calcs'!D379</f>
        <v>0</v>
      </c>
      <c r="C50">
        <f>'Ref scen Calcs'!E379</f>
        <v>0</v>
      </c>
      <c r="D50">
        <f>'Ref scen Calcs'!F379</f>
        <v>0</v>
      </c>
      <c r="E50">
        <f>'Ref scen Calcs'!G379</f>
        <v>0</v>
      </c>
      <c r="F50">
        <f>'Ref scen Calcs'!H379</f>
        <v>0</v>
      </c>
      <c r="G50">
        <f ca="1">'Ref scen Calcs'!I379</f>
        <v>0</v>
      </c>
      <c r="H50">
        <f ca="1">'Ref scen Calcs'!J379</f>
        <v>0</v>
      </c>
      <c r="I50">
        <f ca="1">'Ref scen Calcs'!K379</f>
        <v>0</v>
      </c>
      <c r="J50">
        <f ca="1">'Ref scen Calcs'!L379</f>
        <v>0</v>
      </c>
      <c r="K50">
        <f ca="1">'Ref scen Calcs'!M379</f>
        <v>0</v>
      </c>
      <c r="L50">
        <f ca="1">'Ref scen Calcs'!N379</f>
        <v>0</v>
      </c>
      <c r="M50">
        <f ca="1">'Ref scen Calcs'!O379</f>
        <v>0</v>
      </c>
      <c r="N50">
        <f ca="1">'Ref scen Calcs'!P379</f>
        <v>0</v>
      </c>
      <c r="O50">
        <f ca="1">'Ref scen Calcs'!Q379</f>
        <v>0</v>
      </c>
      <c r="P50">
        <f ca="1">'Ref scen Calcs'!R379</f>
        <v>0</v>
      </c>
      <c r="Q50">
        <f ca="1">'Ref scen Calcs'!S379</f>
        <v>0</v>
      </c>
      <c r="R50">
        <f ca="1">'Ref scen Calcs'!T379</f>
        <v>0</v>
      </c>
      <c r="S50">
        <f ca="1">'Ref scen Calcs'!U379</f>
        <v>0</v>
      </c>
      <c r="T50">
        <f ca="1">'Ref scen Calcs'!V379</f>
        <v>0</v>
      </c>
      <c r="U50">
        <f ca="1">'Ref scen Calcs'!W379</f>
        <v>0</v>
      </c>
      <c r="V50">
        <f ca="1">'Ref scen Calcs'!X379</f>
        <v>0</v>
      </c>
      <c r="W50">
        <f ca="1">'Ref scen Calcs'!Y379</f>
        <v>0</v>
      </c>
      <c r="X50">
        <f ca="1">'Ref scen Calcs'!Z379</f>
        <v>0</v>
      </c>
      <c r="Y50">
        <f ca="1">'Ref scen Calcs'!AA379</f>
        <v>0</v>
      </c>
      <c r="Z50">
        <f ca="1">'Ref scen Calcs'!AB379</f>
        <v>0</v>
      </c>
      <c r="AA50">
        <f ca="1">'Ref scen Calcs'!AC379</f>
        <v>0</v>
      </c>
      <c r="AP50">
        <f>'Alt scen Calcs'!D379</f>
        <v>0</v>
      </c>
      <c r="AQ50">
        <f>'Alt scen Calcs'!E379</f>
        <v>0</v>
      </c>
      <c r="AR50">
        <f>'Alt scen Calcs'!F379</f>
        <v>0</v>
      </c>
      <c r="AS50">
        <f>'Alt scen Calcs'!G379</f>
        <v>0</v>
      </c>
      <c r="AT50">
        <f>'Alt scen Calcs'!H379</f>
        <v>0</v>
      </c>
      <c r="AU50">
        <f ca="1">'Alt scen Calcs'!I379</f>
        <v>0</v>
      </c>
      <c r="AV50">
        <f ca="1">'Alt scen Calcs'!J379</f>
        <v>0</v>
      </c>
      <c r="AW50">
        <f ca="1">'Alt scen Calcs'!K379</f>
        <v>0</v>
      </c>
      <c r="AX50">
        <f ca="1">'Alt scen Calcs'!L379</f>
        <v>0</v>
      </c>
      <c r="AY50">
        <f ca="1">'Alt scen Calcs'!M379</f>
        <v>0</v>
      </c>
      <c r="AZ50">
        <f ca="1">'Alt scen Calcs'!N379</f>
        <v>0</v>
      </c>
      <c r="BA50">
        <f ca="1">'Alt scen Calcs'!O379</f>
        <v>0</v>
      </c>
      <c r="BB50">
        <f ca="1">'Alt scen Calcs'!P379</f>
        <v>0</v>
      </c>
      <c r="BC50">
        <f ca="1">'Alt scen Calcs'!Q379</f>
        <v>0</v>
      </c>
      <c r="BD50">
        <f ca="1">'Alt scen Calcs'!R379</f>
        <v>0</v>
      </c>
      <c r="BE50">
        <f ca="1">'Alt scen Calcs'!S379</f>
        <v>0</v>
      </c>
      <c r="BF50">
        <f ca="1">'Alt scen Calcs'!T379</f>
        <v>0</v>
      </c>
      <c r="BG50">
        <f ca="1">'Alt scen Calcs'!U379</f>
        <v>0</v>
      </c>
      <c r="BH50">
        <f ca="1">'Alt scen Calcs'!V379</f>
        <v>0</v>
      </c>
      <c r="BI50">
        <f ca="1">'Alt scen Calcs'!W379</f>
        <v>0</v>
      </c>
      <c r="BJ50">
        <f ca="1">'Alt scen Calcs'!X379</f>
        <v>0</v>
      </c>
      <c r="BK50">
        <f ca="1">'Alt scen Calcs'!Y379</f>
        <v>0</v>
      </c>
      <c r="BL50">
        <f ca="1">'Alt scen Calcs'!Z379</f>
        <v>0</v>
      </c>
      <c r="BM50">
        <f ca="1">'Alt scen Calcs'!AA379</f>
        <v>0</v>
      </c>
      <c r="BN50">
        <f ca="1">'Alt scen Calcs'!AB379</f>
        <v>0</v>
      </c>
      <c r="BO50">
        <f ca="1">'Alt scen Calcs'!AC379</f>
        <v>0</v>
      </c>
    </row>
    <row r="51" spans="1:78">
      <c r="A51" t="str">
        <f t="shared" si="0"/>
        <v>combined cycle gas</v>
      </c>
      <c r="B51">
        <f>'Ref scen Calcs'!D380</f>
        <v>0</v>
      </c>
      <c r="C51">
        <f>'Ref scen Calcs'!E380</f>
        <v>0</v>
      </c>
      <c r="D51">
        <f>'Ref scen Calcs'!F380</f>
        <v>0</v>
      </c>
      <c r="E51">
        <f>'Ref scen Calcs'!G380</f>
        <v>0</v>
      </c>
      <c r="F51">
        <f>'Ref scen Calcs'!H380</f>
        <v>0</v>
      </c>
      <c r="G51">
        <f ca="1">'Ref scen Calcs'!I380</f>
        <v>0</v>
      </c>
      <c r="H51">
        <f ca="1">'Ref scen Calcs'!J380</f>
        <v>0</v>
      </c>
      <c r="I51">
        <f ca="1">'Ref scen Calcs'!K380</f>
        <v>0</v>
      </c>
      <c r="J51">
        <f ca="1">'Ref scen Calcs'!L380</f>
        <v>0</v>
      </c>
      <c r="K51">
        <f ca="1">'Ref scen Calcs'!M380</f>
        <v>0</v>
      </c>
      <c r="L51">
        <f ca="1">'Ref scen Calcs'!N380</f>
        <v>0</v>
      </c>
      <c r="M51">
        <f ca="1">'Ref scen Calcs'!O380</f>
        <v>0</v>
      </c>
      <c r="N51">
        <f ca="1">'Ref scen Calcs'!P380</f>
        <v>0</v>
      </c>
      <c r="O51">
        <f ca="1">'Ref scen Calcs'!Q380</f>
        <v>0</v>
      </c>
      <c r="P51">
        <f ca="1">'Ref scen Calcs'!R380</f>
        <v>0</v>
      </c>
      <c r="Q51">
        <f ca="1">'Ref scen Calcs'!S380</f>
        <v>0</v>
      </c>
      <c r="R51">
        <f ca="1">'Ref scen Calcs'!T380</f>
        <v>0</v>
      </c>
      <c r="S51">
        <f ca="1">'Ref scen Calcs'!U380</f>
        <v>0</v>
      </c>
      <c r="T51">
        <f ca="1">'Ref scen Calcs'!V380</f>
        <v>0</v>
      </c>
      <c r="U51">
        <f ca="1">'Ref scen Calcs'!W380</f>
        <v>0</v>
      </c>
      <c r="V51">
        <f ca="1">'Ref scen Calcs'!X380</f>
        <v>0</v>
      </c>
      <c r="W51">
        <f ca="1">'Ref scen Calcs'!Y380</f>
        <v>0</v>
      </c>
      <c r="X51">
        <f ca="1">'Ref scen Calcs'!Z380</f>
        <v>0</v>
      </c>
      <c r="Y51">
        <f ca="1">'Ref scen Calcs'!AA380</f>
        <v>0</v>
      </c>
      <c r="Z51">
        <f ca="1">'Ref scen Calcs'!AB380</f>
        <v>0</v>
      </c>
      <c r="AA51">
        <f ca="1">'Ref scen Calcs'!AC380</f>
        <v>0</v>
      </c>
      <c r="AP51">
        <f>'Alt scen Calcs'!D380</f>
        <v>0</v>
      </c>
      <c r="AQ51">
        <f>'Alt scen Calcs'!E380</f>
        <v>0</v>
      </c>
      <c r="AR51">
        <f>'Alt scen Calcs'!F380</f>
        <v>0</v>
      </c>
      <c r="AS51">
        <f>'Alt scen Calcs'!G380</f>
        <v>0</v>
      </c>
      <c r="AT51">
        <f>'Alt scen Calcs'!H380</f>
        <v>0</v>
      </c>
      <c r="AU51">
        <f ca="1">'Alt scen Calcs'!I380</f>
        <v>0</v>
      </c>
      <c r="AV51">
        <f ca="1">'Alt scen Calcs'!J380</f>
        <v>0</v>
      </c>
      <c r="AW51">
        <f ca="1">'Alt scen Calcs'!K380</f>
        <v>0</v>
      </c>
      <c r="AX51">
        <f ca="1">'Alt scen Calcs'!L380</f>
        <v>0</v>
      </c>
      <c r="AY51">
        <f ca="1">'Alt scen Calcs'!M380</f>
        <v>0</v>
      </c>
      <c r="AZ51">
        <f ca="1">'Alt scen Calcs'!N380</f>
        <v>0</v>
      </c>
      <c r="BA51">
        <f ca="1">'Alt scen Calcs'!O380</f>
        <v>0</v>
      </c>
      <c r="BB51">
        <f ca="1">'Alt scen Calcs'!P380</f>
        <v>0</v>
      </c>
      <c r="BC51">
        <f ca="1">'Alt scen Calcs'!Q380</f>
        <v>0</v>
      </c>
      <c r="BD51">
        <f ca="1">'Alt scen Calcs'!R380</f>
        <v>0</v>
      </c>
      <c r="BE51">
        <f ca="1">'Alt scen Calcs'!S380</f>
        <v>0</v>
      </c>
      <c r="BF51">
        <f ca="1">'Alt scen Calcs'!T380</f>
        <v>0</v>
      </c>
      <c r="BG51">
        <f ca="1">'Alt scen Calcs'!U380</f>
        <v>0</v>
      </c>
      <c r="BH51">
        <f ca="1">'Alt scen Calcs'!V380</f>
        <v>0</v>
      </c>
      <c r="BI51">
        <f ca="1">'Alt scen Calcs'!W380</f>
        <v>0</v>
      </c>
      <c r="BJ51">
        <f ca="1">'Alt scen Calcs'!X380</f>
        <v>0</v>
      </c>
      <c r="BK51">
        <f ca="1">'Alt scen Calcs'!Y380</f>
        <v>0</v>
      </c>
      <c r="BL51">
        <f ca="1">'Alt scen Calcs'!Z380</f>
        <v>3599.5097647058824</v>
      </c>
      <c r="BM51">
        <f ca="1">'Alt scen Calcs'!AA380</f>
        <v>8998.7744117647071</v>
      </c>
      <c r="BN51">
        <f ca="1">'Alt scen Calcs'!AB380</f>
        <v>14398.03905882353</v>
      </c>
      <c r="BO51">
        <f ca="1">'Alt scen Calcs'!AC380</f>
        <v>14398.03905882353</v>
      </c>
    </row>
    <row r="52" spans="1:78">
      <c r="A52" t="str">
        <f t="shared" si="0"/>
        <v>PBMR</v>
      </c>
      <c r="B52">
        <f>'Ref scen Calcs'!D381</f>
        <v>0</v>
      </c>
      <c r="C52">
        <f>'Ref scen Calcs'!E381</f>
        <v>0</v>
      </c>
      <c r="D52">
        <f>'Ref scen Calcs'!F381</f>
        <v>0</v>
      </c>
      <c r="E52">
        <f>'Ref scen Calcs'!G381</f>
        <v>0</v>
      </c>
      <c r="F52">
        <f>'Ref scen Calcs'!H381</f>
        <v>0</v>
      </c>
      <c r="G52">
        <f ca="1">'Ref scen Calcs'!I381</f>
        <v>0</v>
      </c>
      <c r="H52">
        <f ca="1">'Ref scen Calcs'!J381</f>
        <v>0</v>
      </c>
      <c r="I52">
        <f ca="1">'Ref scen Calcs'!K381</f>
        <v>0</v>
      </c>
      <c r="J52">
        <f ca="1">'Ref scen Calcs'!L381</f>
        <v>0</v>
      </c>
      <c r="K52">
        <f ca="1">'Ref scen Calcs'!M381</f>
        <v>0</v>
      </c>
      <c r="L52">
        <f ca="1">'Ref scen Calcs'!N381</f>
        <v>0</v>
      </c>
      <c r="M52">
        <f ca="1">'Ref scen Calcs'!O381</f>
        <v>0</v>
      </c>
      <c r="N52">
        <f ca="1">'Ref scen Calcs'!P381</f>
        <v>0</v>
      </c>
      <c r="O52">
        <f ca="1">'Ref scen Calcs'!Q381</f>
        <v>0</v>
      </c>
      <c r="P52">
        <f ca="1">'Ref scen Calcs'!R381</f>
        <v>0</v>
      </c>
      <c r="Q52">
        <f ca="1">'Ref scen Calcs'!S381</f>
        <v>0</v>
      </c>
      <c r="R52">
        <f ca="1">'Ref scen Calcs'!T381</f>
        <v>0</v>
      </c>
      <c r="S52">
        <f ca="1">'Ref scen Calcs'!U381</f>
        <v>0</v>
      </c>
      <c r="T52">
        <f ca="1">'Ref scen Calcs'!V381</f>
        <v>0</v>
      </c>
      <c r="U52">
        <f ca="1">'Ref scen Calcs'!W381</f>
        <v>0</v>
      </c>
      <c r="V52">
        <f ca="1">'Ref scen Calcs'!X381</f>
        <v>0</v>
      </c>
      <c r="W52">
        <f ca="1">'Ref scen Calcs'!Y381</f>
        <v>0</v>
      </c>
      <c r="X52">
        <f ca="1">'Ref scen Calcs'!Z381</f>
        <v>0</v>
      </c>
      <c r="Y52">
        <f ca="1">'Ref scen Calcs'!AA381</f>
        <v>0</v>
      </c>
      <c r="Z52">
        <f ca="1">'Ref scen Calcs'!AB381</f>
        <v>0</v>
      </c>
      <c r="AA52">
        <f ca="1">'Ref scen Calcs'!AC381</f>
        <v>0</v>
      </c>
      <c r="AP52">
        <f>'Alt scen Calcs'!D381</f>
        <v>0</v>
      </c>
      <c r="AQ52">
        <f>'Alt scen Calcs'!E381</f>
        <v>0</v>
      </c>
      <c r="AR52">
        <f>'Alt scen Calcs'!F381</f>
        <v>0</v>
      </c>
      <c r="AS52">
        <f>'Alt scen Calcs'!G381</f>
        <v>0</v>
      </c>
      <c r="AT52">
        <f>'Alt scen Calcs'!H381</f>
        <v>0</v>
      </c>
      <c r="AU52">
        <f ca="1">'Alt scen Calcs'!I381</f>
        <v>0</v>
      </c>
      <c r="AV52">
        <f ca="1">'Alt scen Calcs'!J381</f>
        <v>0</v>
      </c>
      <c r="AW52">
        <f ca="1">'Alt scen Calcs'!K381</f>
        <v>0</v>
      </c>
      <c r="AX52">
        <f ca="1">'Alt scen Calcs'!L381</f>
        <v>0</v>
      </c>
      <c r="AY52">
        <f ca="1">'Alt scen Calcs'!M381</f>
        <v>0</v>
      </c>
      <c r="AZ52">
        <f ca="1">'Alt scen Calcs'!N381</f>
        <v>0</v>
      </c>
      <c r="BA52">
        <f ca="1">'Alt scen Calcs'!O381</f>
        <v>0</v>
      </c>
      <c r="BB52">
        <f ca="1">'Alt scen Calcs'!P381</f>
        <v>0</v>
      </c>
      <c r="BC52">
        <f ca="1">'Alt scen Calcs'!Q381</f>
        <v>0</v>
      </c>
      <c r="BD52">
        <f ca="1">'Alt scen Calcs'!R381</f>
        <v>0</v>
      </c>
      <c r="BE52">
        <f ca="1">'Alt scen Calcs'!S381</f>
        <v>0</v>
      </c>
      <c r="BF52">
        <f ca="1">'Alt scen Calcs'!T381</f>
        <v>0</v>
      </c>
      <c r="BG52">
        <f ca="1">'Alt scen Calcs'!U381</f>
        <v>0</v>
      </c>
      <c r="BH52">
        <f ca="1">'Alt scen Calcs'!V381</f>
        <v>0</v>
      </c>
      <c r="BI52">
        <f ca="1">'Alt scen Calcs'!W381</f>
        <v>0</v>
      </c>
      <c r="BJ52">
        <f ca="1">'Alt scen Calcs'!X381</f>
        <v>0</v>
      </c>
      <c r="BK52">
        <f ca="1">'Alt scen Calcs'!Y381</f>
        <v>0</v>
      </c>
      <c r="BL52">
        <f ca="1">'Alt scen Calcs'!Z381</f>
        <v>0</v>
      </c>
      <c r="BM52">
        <f ca="1">'Alt scen Calcs'!AA381</f>
        <v>0</v>
      </c>
      <c r="BN52">
        <f ca="1">'Alt scen Calcs'!AB381</f>
        <v>0</v>
      </c>
      <c r="BO52">
        <f ca="1">'Alt scen Calcs'!AC381</f>
        <v>0</v>
      </c>
    </row>
    <row r="53" spans="1:78">
      <c r="A53" t="str">
        <f t="shared" si="0"/>
        <v>IGCC</v>
      </c>
      <c r="B53">
        <f>'Ref scen Calcs'!D382</f>
        <v>0</v>
      </c>
      <c r="C53">
        <f>'Ref scen Calcs'!E382</f>
        <v>2.9103830456733704E-11</v>
      </c>
      <c r="D53">
        <f>'Ref scen Calcs'!F382</f>
        <v>0</v>
      </c>
      <c r="E53">
        <f>'Ref scen Calcs'!G382</f>
        <v>2.9103830456733704E-11</v>
      </c>
      <c r="F53">
        <f>'Ref scen Calcs'!H382</f>
        <v>2.9103830456733704E-11</v>
      </c>
      <c r="G53">
        <f ca="1">'Ref scen Calcs'!I382</f>
        <v>0</v>
      </c>
      <c r="H53">
        <f ca="1">'Ref scen Calcs'!J382</f>
        <v>0</v>
      </c>
      <c r="I53">
        <f ca="1">'Ref scen Calcs'!K382</f>
        <v>0</v>
      </c>
      <c r="J53">
        <f ca="1">'Ref scen Calcs'!L382</f>
        <v>0</v>
      </c>
      <c r="K53">
        <f ca="1">'Ref scen Calcs'!M382</f>
        <v>0</v>
      </c>
      <c r="L53">
        <f ca="1">'Ref scen Calcs'!N382</f>
        <v>0</v>
      </c>
      <c r="M53">
        <f ca="1">'Ref scen Calcs'!O382</f>
        <v>0</v>
      </c>
      <c r="N53">
        <f ca="1">'Ref scen Calcs'!P382</f>
        <v>0</v>
      </c>
      <c r="O53">
        <f ca="1">'Ref scen Calcs'!Q382</f>
        <v>0</v>
      </c>
      <c r="P53">
        <f ca="1">'Ref scen Calcs'!R382</f>
        <v>0</v>
      </c>
      <c r="Q53">
        <f ca="1">'Ref scen Calcs'!S382</f>
        <v>0</v>
      </c>
      <c r="R53">
        <f ca="1">'Ref scen Calcs'!T382</f>
        <v>0</v>
      </c>
      <c r="S53">
        <f ca="1">'Ref scen Calcs'!U382</f>
        <v>0</v>
      </c>
      <c r="T53">
        <f ca="1">'Ref scen Calcs'!V382</f>
        <v>0</v>
      </c>
      <c r="U53">
        <f ca="1">'Ref scen Calcs'!W382</f>
        <v>0</v>
      </c>
      <c r="V53">
        <f ca="1">'Ref scen Calcs'!X382</f>
        <v>0</v>
      </c>
      <c r="W53">
        <f ca="1">'Ref scen Calcs'!Y382</f>
        <v>0</v>
      </c>
      <c r="X53">
        <f ca="1">'Ref scen Calcs'!Z382</f>
        <v>0</v>
      </c>
      <c r="Y53">
        <f ca="1">'Ref scen Calcs'!AA382</f>
        <v>0</v>
      </c>
      <c r="Z53">
        <f ca="1">'Ref scen Calcs'!AB382</f>
        <v>0</v>
      </c>
      <c r="AA53">
        <f ca="1">'Ref scen Calcs'!AC382</f>
        <v>0</v>
      </c>
      <c r="AP53">
        <f>'Alt scen Calcs'!D382</f>
        <v>0</v>
      </c>
      <c r="AQ53">
        <f>'Alt scen Calcs'!E382</f>
        <v>2.9103830456733704E-11</v>
      </c>
      <c r="AR53">
        <f>'Alt scen Calcs'!F382</f>
        <v>0</v>
      </c>
      <c r="AS53">
        <f>'Alt scen Calcs'!G382</f>
        <v>2.9103830456733704E-11</v>
      </c>
      <c r="AT53">
        <f>'Alt scen Calcs'!H382</f>
        <v>2.9103830456733704E-11</v>
      </c>
      <c r="AU53">
        <f ca="1">'Alt scen Calcs'!I382</f>
        <v>0</v>
      </c>
      <c r="AV53">
        <f ca="1">'Alt scen Calcs'!J382</f>
        <v>0</v>
      </c>
      <c r="AW53">
        <f ca="1">'Alt scen Calcs'!K382</f>
        <v>0</v>
      </c>
      <c r="AX53">
        <f ca="1">'Alt scen Calcs'!L382</f>
        <v>0</v>
      </c>
      <c r="AY53">
        <f ca="1">'Alt scen Calcs'!M382</f>
        <v>0</v>
      </c>
      <c r="AZ53">
        <f ca="1">'Alt scen Calcs'!N382</f>
        <v>0</v>
      </c>
      <c r="BA53">
        <f ca="1">'Alt scen Calcs'!O382</f>
        <v>0</v>
      </c>
      <c r="BB53">
        <f ca="1">'Alt scen Calcs'!P382</f>
        <v>0</v>
      </c>
      <c r="BC53">
        <f ca="1">'Alt scen Calcs'!Q382</f>
        <v>0</v>
      </c>
      <c r="BD53">
        <f ca="1">'Alt scen Calcs'!R382</f>
        <v>0</v>
      </c>
      <c r="BE53">
        <f ca="1">'Alt scen Calcs'!S382</f>
        <v>0</v>
      </c>
      <c r="BF53">
        <f ca="1">'Alt scen Calcs'!T382</f>
        <v>0</v>
      </c>
      <c r="BG53">
        <f ca="1">'Alt scen Calcs'!U382</f>
        <v>0</v>
      </c>
      <c r="BH53">
        <f ca="1">'Alt scen Calcs'!V382</f>
        <v>0</v>
      </c>
      <c r="BI53">
        <f ca="1">'Alt scen Calcs'!W382</f>
        <v>0</v>
      </c>
      <c r="BJ53">
        <f ca="1">'Alt scen Calcs'!X382</f>
        <v>0</v>
      </c>
      <c r="BK53">
        <f ca="1">'Alt scen Calcs'!Y382</f>
        <v>0</v>
      </c>
      <c r="BL53">
        <f ca="1">'Alt scen Calcs'!Z382</f>
        <v>0</v>
      </c>
      <c r="BM53">
        <f ca="1">'Alt scen Calcs'!AA382</f>
        <v>0</v>
      </c>
      <c r="BN53">
        <f ca="1">'Alt scen Calcs'!AB382</f>
        <v>4129.8161520000003</v>
      </c>
      <c r="BO53">
        <f ca="1">'Alt scen Calcs'!AC382</f>
        <v>8259.6323040000007</v>
      </c>
    </row>
    <row r="54" spans="1:78">
      <c r="A54" t="str">
        <f t="shared" si="0"/>
        <v>-</v>
      </c>
      <c r="B54">
        <f>'Ref scen Calcs'!D383</f>
        <v>0</v>
      </c>
      <c r="C54">
        <f>'Ref scen Calcs'!E383</f>
        <v>0</v>
      </c>
      <c r="D54">
        <f>'Ref scen Calcs'!F383</f>
        <v>0</v>
      </c>
      <c r="E54">
        <f>'Ref scen Calcs'!G383</f>
        <v>0</v>
      </c>
      <c r="F54">
        <f>'Ref scen Calcs'!H383</f>
        <v>0</v>
      </c>
      <c r="G54">
        <f ca="1">'Ref scen Calcs'!I383</f>
        <v>0</v>
      </c>
      <c r="H54">
        <f ca="1">'Ref scen Calcs'!J383</f>
        <v>0</v>
      </c>
      <c r="I54">
        <f ca="1">'Ref scen Calcs'!K383</f>
        <v>0</v>
      </c>
      <c r="J54">
        <f ca="1">'Ref scen Calcs'!L383</f>
        <v>0</v>
      </c>
      <c r="K54">
        <f ca="1">'Ref scen Calcs'!M383</f>
        <v>0</v>
      </c>
      <c r="L54">
        <f ca="1">'Ref scen Calcs'!N383</f>
        <v>0</v>
      </c>
      <c r="M54">
        <f ca="1">'Ref scen Calcs'!O383</f>
        <v>0</v>
      </c>
      <c r="N54">
        <f ca="1">'Ref scen Calcs'!P383</f>
        <v>0</v>
      </c>
      <c r="O54">
        <f ca="1">'Ref scen Calcs'!Q383</f>
        <v>0</v>
      </c>
      <c r="P54">
        <f ca="1">'Ref scen Calcs'!R383</f>
        <v>0</v>
      </c>
      <c r="Q54">
        <f ca="1">'Ref scen Calcs'!S383</f>
        <v>0</v>
      </c>
      <c r="R54">
        <f ca="1">'Ref scen Calcs'!T383</f>
        <v>0</v>
      </c>
      <c r="S54">
        <f ca="1">'Ref scen Calcs'!U383</f>
        <v>0</v>
      </c>
      <c r="T54">
        <f ca="1">'Ref scen Calcs'!V383</f>
        <v>0</v>
      </c>
      <c r="U54">
        <f ca="1">'Ref scen Calcs'!W383</f>
        <v>0</v>
      </c>
      <c r="V54">
        <f ca="1">'Ref scen Calcs'!X383</f>
        <v>0</v>
      </c>
      <c r="W54">
        <f ca="1">'Ref scen Calcs'!Y383</f>
        <v>0</v>
      </c>
      <c r="X54">
        <f ca="1">'Ref scen Calcs'!Z383</f>
        <v>0</v>
      </c>
      <c r="Y54">
        <f ca="1">'Ref scen Calcs'!AA383</f>
        <v>0</v>
      </c>
      <c r="Z54">
        <f ca="1">'Ref scen Calcs'!AB383</f>
        <v>0</v>
      </c>
      <c r="AA54">
        <f ca="1">'Ref scen Calcs'!AC383</f>
        <v>0</v>
      </c>
      <c r="AP54">
        <f>'Alt scen Calcs'!D383</f>
        <v>0</v>
      </c>
      <c r="AQ54">
        <f>'Alt scen Calcs'!E383</f>
        <v>0</v>
      </c>
      <c r="AR54">
        <f>'Alt scen Calcs'!F383</f>
        <v>0</v>
      </c>
      <c r="AS54">
        <f>'Alt scen Calcs'!G383</f>
        <v>0</v>
      </c>
      <c r="AT54">
        <f>'Alt scen Calcs'!H383</f>
        <v>0</v>
      </c>
      <c r="AU54">
        <f ca="1">'Alt scen Calcs'!I383</f>
        <v>0</v>
      </c>
      <c r="AV54">
        <f ca="1">'Alt scen Calcs'!J383</f>
        <v>0</v>
      </c>
      <c r="AW54">
        <f ca="1">'Alt scen Calcs'!K383</f>
        <v>0</v>
      </c>
      <c r="AX54">
        <f ca="1">'Alt scen Calcs'!L383</f>
        <v>0</v>
      </c>
      <c r="AY54">
        <f ca="1">'Alt scen Calcs'!M383</f>
        <v>0</v>
      </c>
      <c r="AZ54">
        <f ca="1">'Alt scen Calcs'!N383</f>
        <v>0</v>
      </c>
      <c r="BA54">
        <f ca="1">'Alt scen Calcs'!O383</f>
        <v>0</v>
      </c>
      <c r="BB54">
        <f ca="1">'Alt scen Calcs'!P383</f>
        <v>0</v>
      </c>
      <c r="BC54">
        <f ca="1">'Alt scen Calcs'!Q383</f>
        <v>0</v>
      </c>
      <c r="BD54">
        <f ca="1">'Alt scen Calcs'!R383</f>
        <v>0</v>
      </c>
      <c r="BE54">
        <f ca="1">'Alt scen Calcs'!S383</f>
        <v>0</v>
      </c>
      <c r="BF54">
        <f ca="1">'Alt scen Calcs'!T383</f>
        <v>0</v>
      </c>
      <c r="BG54">
        <f ca="1">'Alt scen Calcs'!U383</f>
        <v>0</v>
      </c>
      <c r="BH54">
        <f ca="1">'Alt scen Calcs'!V383</f>
        <v>0</v>
      </c>
      <c r="BI54">
        <f ca="1">'Alt scen Calcs'!W383</f>
        <v>0</v>
      </c>
      <c r="BJ54">
        <f ca="1">'Alt scen Calcs'!X383</f>
        <v>0</v>
      </c>
      <c r="BK54">
        <f ca="1">'Alt scen Calcs'!Y383</f>
        <v>0</v>
      </c>
      <c r="BL54">
        <f ca="1">'Alt scen Calcs'!Z383</f>
        <v>0</v>
      </c>
      <c r="BM54">
        <f ca="1">'Alt scen Calcs'!AA383</f>
        <v>0</v>
      </c>
      <c r="BN54">
        <f ca="1">'Alt scen Calcs'!AB383</f>
        <v>0</v>
      </c>
      <c r="BO54">
        <f ca="1">'Alt scen Calcs'!AC383</f>
        <v>0</v>
      </c>
    </row>
    <row r="55" spans="1:78">
      <c r="A55" t="str">
        <f t="shared" si="0"/>
        <v>-</v>
      </c>
      <c r="B55">
        <f>'Ref scen Calcs'!D384</f>
        <v>0</v>
      </c>
      <c r="C55">
        <f>'Ref scen Calcs'!E384</f>
        <v>0</v>
      </c>
      <c r="D55">
        <f>'Ref scen Calcs'!F384</f>
        <v>0</v>
      </c>
      <c r="E55">
        <f>'Ref scen Calcs'!G384</f>
        <v>0</v>
      </c>
      <c r="F55">
        <f>'Ref scen Calcs'!H384</f>
        <v>0</v>
      </c>
      <c r="G55">
        <f ca="1">'Ref scen Calcs'!I384</f>
        <v>0</v>
      </c>
      <c r="H55">
        <f ca="1">'Ref scen Calcs'!J384</f>
        <v>0</v>
      </c>
      <c r="I55">
        <f ca="1">'Ref scen Calcs'!K384</f>
        <v>0</v>
      </c>
      <c r="J55">
        <f ca="1">'Ref scen Calcs'!L384</f>
        <v>0</v>
      </c>
      <c r="K55">
        <f ca="1">'Ref scen Calcs'!M384</f>
        <v>0</v>
      </c>
      <c r="L55">
        <f ca="1">'Ref scen Calcs'!N384</f>
        <v>0</v>
      </c>
      <c r="M55">
        <f ca="1">'Ref scen Calcs'!O384</f>
        <v>0</v>
      </c>
      <c r="N55">
        <f ca="1">'Ref scen Calcs'!P384</f>
        <v>0</v>
      </c>
      <c r="O55">
        <f ca="1">'Ref scen Calcs'!Q384</f>
        <v>0</v>
      </c>
      <c r="P55">
        <f ca="1">'Ref scen Calcs'!R384</f>
        <v>0</v>
      </c>
      <c r="Q55">
        <f ca="1">'Ref scen Calcs'!S384</f>
        <v>0</v>
      </c>
      <c r="R55">
        <f ca="1">'Ref scen Calcs'!T384</f>
        <v>0</v>
      </c>
      <c r="S55">
        <f ca="1">'Ref scen Calcs'!U384</f>
        <v>0</v>
      </c>
      <c r="T55">
        <f ca="1">'Ref scen Calcs'!V384</f>
        <v>0</v>
      </c>
      <c r="U55">
        <f ca="1">'Ref scen Calcs'!W384</f>
        <v>0</v>
      </c>
      <c r="V55">
        <f ca="1">'Ref scen Calcs'!X384</f>
        <v>0</v>
      </c>
      <c r="W55">
        <f ca="1">'Ref scen Calcs'!Y384</f>
        <v>0</v>
      </c>
      <c r="X55">
        <f ca="1">'Ref scen Calcs'!Z384</f>
        <v>0</v>
      </c>
      <c r="Y55">
        <f ca="1">'Ref scen Calcs'!AA384</f>
        <v>0</v>
      </c>
      <c r="Z55">
        <f ca="1">'Ref scen Calcs'!AB384</f>
        <v>0</v>
      </c>
      <c r="AA55">
        <f ca="1">'Ref scen Calcs'!AC384</f>
        <v>0</v>
      </c>
      <c r="AP55">
        <f>'Alt scen Calcs'!D384</f>
        <v>0</v>
      </c>
      <c r="AQ55">
        <f>'Alt scen Calcs'!E384</f>
        <v>0</v>
      </c>
      <c r="AR55">
        <f>'Alt scen Calcs'!F384</f>
        <v>0</v>
      </c>
      <c r="AS55">
        <f>'Alt scen Calcs'!G384</f>
        <v>0</v>
      </c>
      <c r="AT55">
        <f>'Alt scen Calcs'!H384</f>
        <v>0</v>
      </c>
      <c r="AU55">
        <f ca="1">'Alt scen Calcs'!I384</f>
        <v>0</v>
      </c>
      <c r="AV55">
        <f ca="1">'Alt scen Calcs'!J384</f>
        <v>0</v>
      </c>
      <c r="AW55">
        <f ca="1">'Alt scen Calcs'!K384</f>
        <v>0</v>
      </c>
      <c r="AX55">
        <f ca="1">'Alt scen Calcs'!L384</f>
        <v>0</v>
      </c>
      <c r="AY55">
        <f ca="1">'Alt scen Calcs'!M384</f>
        <v>0</v>
      </c>
      <c r="AZ55">
        <f ca="1">'Alt scen Calcs'!N384</f>
        <v>0</v>
      </c>
      <c r="BA55">
        <f ca="1">'Alt scen Calcs'!O384</f>
        <v>0</v>
      </c>
      <c r="BB55">
        <f ca="1">'Alt scen Calcs'!P384</f>
        <v>0</v>
      </c>
      <c r="BC55">
        <f ca="1">'Alt scen Calcs'!Q384</f>
        <v>0</v>
      </c>
      <c r="BD55">
        <f ca="1">'Alt scen Calcs'!R384</f>
        <v>0</v>
      </c>
      <c r="BE55">
        <f ca="1">'Alt scen Calcs'!S384</f>
        <v>0</v>
      </c>
      <c r="BF55">
        <f ca="1">'Alt scen Calcs'!T384</f>
        <v>0</v>
      </c>
      <c r="BG55">
        <f ca="1">'Alt scen Calcs'!U384</f>
        <v>0</v>
      </c>
      <c r="BH55">
        <f ca="1">'Alt scen Calcs'!V384</f>
        <v>0</v>
      </c>
      <c r="BI55">
        <f ca="1">'Alt scen Calcs'!W384</f>
        <v>0</v>
      </c>
      <c r="BJ55">
        <f ca="1">'Alt scen Calcs'!X384</f>
        <v>0</v>
      </c>
      <c r="BK55">
        <f ca="1">'Alt scen Calcs'!Y384</f>
        <v>0</v>
      </c>
      <c r="BL55">
        <f ca="1">'Alt scen Calcs'!Z384</f>
        <v>0</v>
      </c>
      <c r="BM55">
        <f ca="1">'Alt scen Calcs'!AA384</f>
        <v>0</v>
      </c>
      <c r="BN55">
        <f ca="1">'Alt scen Calcs'!AB384</f>
        <v>0</v>
      </c>
      <c r="BO55">
        <f ca="1">'Alt scen Calcs'!AC384</f>
        <v>0</v>
      </c>
    </row>
    <row r="56" spans="1:78">
      <c r="A56" t="str">
        <f t="shared" si="0"/>
        <v>-</v>
      </c>
      <c r="B56">
        <f>'Ref scen Calcs'!D385</f>
        <v>0</v>
      </c>
      <c r="C56">
        <f>'Ref scen Calcs'!E385</f>
        <v>0</v>
      </c>
      <c r="D56">
        <f>'Ref scen Calcs'!F385</f>
        <v>0</v>
      </c>
      <c r="E56">
        <f>'Ref scen Calcs'!G385</f>
        <v>0</v>
      </c>
      <c r="F56">
        <f>'Ref scen Calcs'!H385</f>
        <v>0</v>
      </c>
      <c r="G56">
        <f ca="1">'Ref scen Calcs'!I385</f>
        <v>0</v>
      </c>
      <c r="H56">
        <f ca="1">'Ref scen Calcs'!J385</f>
        <v>0</v>
      </c>
      <c r="I56">
        <f ca="1">'Ref scen Calcs'!K385</f>
        <v>0</v>
      </c>
      <c r="J56">
        <f ca="1">'Ref scen Calcs'!L385</f>
        <v>0</v>
      </c>
      <c r="K56">
        <f ca="1">'Ref scen Calcs'!M385</f>
        <v>0</v>
      </c>
      <c r="L56">
        <f ca="1">'Ref scen Calcs'!N385</f>
        <v>0</v>
      </c>
      <c r="M56">
        <f ca="1">'Ref scen Calcs'!O385</f>
        <v>0</v>
      </c>
      <c r="N56">
        <f ca="1">'Ref scen Calcs'!P385</f>
        <v>0</v>
      </c>
      <c r="O56">
        <f ca="1">'Ref scen Calcs'!Q385</f>
        <v>0</v>
      </c>
      <c r="P56">
        <f ca="1">'Ref scen Calcs'!R385</f>
        <v>0</v>
      </c>
      <c r="Q56">
        <f ca="1">'Ref scen Calcs'!S385</f>
        <v>0</v>
      </c>
      <c r="R56">
        <f ca="1">'Ref scen Calcs'!T385</f>
        <v>0</v>
      </c>
      <c r="S56">
        <f ca="1">'Ref scen Calcs'!U385</f>
        <v>0</v>
      </c>
      <c r="T56">
        <f ca="1">'Ref scen Calcs'!V385</f>
        <v>0</v>
      </c>
      <c r="U56">
        <f ca="1">'Ref scen Calcs'!W385</f>
        <v>0</v>
      </c>
      <c r="V56">
        <f ca="1">'Ref scen Calcs'!X385</f>
        <v>0</v>
      </c>
      <c r="W56">
        <f ca="1">'Ref scen Calcs'!Y385</f>
        <v>0</v>
      </c>
      <c r="X56">
        <f ca="1">'Ref scen Calcs'!Z385</f>
        <v>0</v>
      </c>
      <c r="Y56">
        <f ca="1">'Ref scen Calcs'!AA385</f>
        <v>0</v>
      </c>
      <c r="Z56">
        <f ca="1">'Ref scen Calcs'!AB385</f>
        <v>0</v>
      </c>
      <c r="AA56">
        <f ca="1">'Ref scen Calcs'!AC385</f>
        <v>0</v>
      </c>
      <c r="AP56">
        <f>'Alt scen Calcs'!D385</f>
        <v>0</v>
      </c>
      <c r="AQ56">
        <f>'Alt scen Calcs'!E385</f>
        <v>0</v>
      </c>
      <c r="AR56">
        <f>'Alt scen Calcs'!F385</f>
        <v>0</v>
      </c>
      <c r="AS56">
        <f>'Alt scen Calcs'!G385</f>
        <v>0</v>
      </c>
      <c r="AT56">
        <f>'Alt scen Calcs'!H385</f>
        <v>0</v>
      </c>
      <c r="AU56">
        <f ca="1">'Alt scen Calcs'!I385</f>
        <v>0</v>
      </c>
      <c r="AV56">
        <f ca="1">'Alt scen Calcs'!J385</f>
        <v>0</v>
      </c>
      <c r="AW56">
        <f ca="1">'Alt scen Calcs'!K385</f>
        <v>0</v>
      </c>
      <c r="AX56">
        <f ca="1">'Alt scen Calcs'!L385</f>
        <v>0</v>
      </c>
      <c r="AY56">
        <f ca="1">'Alt scen Calcs'!M385</f>
        <v>0</v>
      </c>
      <c r="AZ56">
        <f ca="1">'Alt scen Calcs'!N385</f>
        <v>0</v>
      </c>
      <c r="BA56">
        <f ca="1">'Alt scen Calcs'!O385</f>
        <v>0</v>
      </c>
      <c r="BB56">
        <f ca="1">'Alt scen Calcs'!P385</f>
        <v>0</v>
      </c>
      <c r="BC56">
        <f ca="1">'Alt scen Calcs'!Q385</f>
        <v>0</v>
      </c>
      <c r="BD56">
        <f ca="1">'Alt scen Calcs'!R385</f>
        <v>0</v>
      </c>
      <c r="BE56">
        <f ca="1">'Alt scen Calcs'!S385</f>
        <v>0</v>
      </c>
      <c r="BF56">
        <f ca="1">'Alt scen Calcs'!T385</f>
        <v>0</v>
      </c>
      <c r="BG56">
        <f ca="1">'Alt scen Calcs'!U385</f>
        <v>0</v>
      </c>
      <c r="BH56">
        <f ca="1">'Alt scen Calcs'!V385</f>
        <v>0</v>
      </c>
      <c r="BI56">
        <f ca="1">'Alt scen Calcs'!W385</f>
        <v>0</v>
      </c>
      <c r="BJ56">
        <f ca="1">'Alt scen Calcs'!X385</f>
        <v>0</v>
      </c>
      <c r="BK56">
        <f ca="1">'Alt scen Calcs'!Y385</f>
        <v>0</v>
      </c>
      <c r="BL56">
        <f ca="1">'Alt scen Calcs'!Z385</f>
        <v>0</v>
      </c>
      <c r="BM56">
        <f ca="1">'Alt scen Calcs'!AA385</f>
        <v>0</v>
      </c>
      <c r="BN56">
        <f ca="1">'Alt scen Calcs'!AB385</f>
        <v>0</v>
      </c>
      <c r="BO56">
        <f ca="1">'Alt scen Calcs'!AC385</f>
        <v>0</v>
      </c>
    </row>
    <row r="57" spans="1:78">
      <c r="A57" t="str">
        <f t="shared" si="0"/>
        <v>Pumped storage</v>
      </c>
      <c r="B57">
        <f>'Ref scen Calcs'!D386</f>
        <v>3096.0000000000005</v>
      </c>
      <c r="C57">
        <f>'Ref scen Calcs'!E386</f>
        <v>3096.0000000000005</v>
      </c>
      <c r="D57">
        <f>'Ref scen Calcs'!F386</f>
        <v>3096.0000000000005</v>
      </c>
      <c r="E57">
        <f>'Ref scen Calcs'!G386</f>
        <v>3096.0000000000005</v>
      </c>
      <c r="F57">
        <f>'Ref scen Calcs'!H386</f>
        <v>3096.0000000000005</v>
      </c>
      <c r="G57">
        <f ca="1">'Ref scen Calcs'!I386</f>
        <v>3096.0000000000005</v>
      </c>
      <c r="H57">
        <f ca="1">'Ref scen Calcs'!J386</f>
        <v>3096.0000000000005</v>
      </c>
      <c r="I57">
        <f ca="1">'Ref scen Calcs'!K386</f>
        <v>3096.0000000000005</v>
      </c>
      <c r="J57">
        <f ca="1">'Ref scen Calcs'!L386</f>
        <v>4401.0227848101276</v>
      </c>
      <c r="K57">
        <f ca="1">'Ref scen Calcs'!M386</f>
        <v>5706.0455696202544</v>
      </c>
      <c r="L57">
        <f ca="1">'Ref scen Calcs'!N386</f>
        <v>5706.0455696202544</v>
      </c>
      <c r="M57">
        <f ca="1">'Ref scen Calcs'!O386</f>
        <v>5706.0455696202544</v>
      </c>
      <c r="N57">
        <f ca="1">'Ref scen Calcs'!P386</f>
        <v>5706.0455696202544</v>
      </c>
      <c r="O57">
        <f ca="1">'Ref scen Calcs'!Q386</f>
        <v>5706.0455696202544</v>
      </c>
      <c r="P57">
        <f ca="1">'Ref scen Calcs'!R386</f>
        <v>5706.0455696202544</v>
      </c>
      <c r="Q57">
        <f ca="1">'Ref scen Calcs'!S386</f>
        <v>5706.0455696202544</v>
      </c>
      <c r="R57">
        <f ca="1">'Ref scen Calcs'!T386</f>
        <v>5706.0455696202544</v>
      </c>
      <c r="S57">
        <f ca="1">'Ref scen Calcs'!U386</f>
        <v>5706.0455696202544</v>
      </c>
      <c r="T57">
        <f ca="1">'Ref scen Calcs'!V386</f>
        <v>5706.0455696202544</v>
      </c>
      <c r="U57">
        <f ca="1">'Ref scen Calcs'!W386</f>
        <v>5706.0455696202544</v>
      </c>
      <c r="V57">
        <f ca="1">'Ref scen Calcs'!X386</f>
        <v>5706.0455696202544</v>
      </c>
      <c r="W57">
        <f ca="1">'Ref scen Calcs'!Y386</f>
        <v>5706.0455696202544</v>
      </c>
      <c r="X57">
        <f ca="1">'Ref scen Calcs'!Z386</f>
        <v>5706.0455696202544</v>
      </c>
      <c r="Y57">
        <f ca="1">'Ref scen Calcs'!AA386</f>
        <v>5706.0455696202544</v>
      </c>
      <c r="Z57">
        <f ca="1">'Ref scen Calcs'!AB386</f>
        <v>5706.0455696202544</v>
      </c>
      <c r="AA57">
        <f ca="1">'Ref scen Calcs'!AC386</f>
        <v>5706.0455696202544</v>
      </c>
      <c r="AP57">
        <f>'Alt scen Calcs'!D386</f>
        <v>3096.0000000000005</v>
      </c>
      <c r="AQ57">
        <f>'Alt scen Calcs'!E386</f>
        <v>3096.0000000000005</v>
      </c>
      <c r="AR57">
        <f>'Alt scen Calcs'!F386</f>
        <v>3096.0000000000005</v>
      </c>
      <c r="AS57">
        <f>'Alt scen Calcs'!G386</f>
        <v>3096.0000000000005</v>
      </c>
      <c r="AT57">
        <f>'Alt scen Calcs'!H386</f>
        <v>3096.0000000000005</v>
      </c>
      <c r="AU57">
        <f ca="1">'Alt scen Calcs'!I386</f>
        <v>3096.0000000000005</v>
      </c>
      <c r="AV57">
        <f ca="1">'Alt scen Calcs'!J386</f>
        <v>3096.0000000000005</v>
      </c>
      <c r="AW57">
        <f ca="1">'Alt scen Calcs'!K386</f>
        <v>3096.0000000000005</v>
      </c>
      <c r="AX57">
        <f ca="1">'Alt scen Calcs'!L386</f>
        <v>4401.0227848101276</v>
      </c>
      <c r="AY57">
        <f ca="1">'Alt scen Calcs'!M386</f>
        <v>5706.0455696202544</v>
      </c>
      <c r="AZ57">
        <f ca="1">'Alt scen Calcs'!N386</f>
        <v>7011.0683544303811</v>
      </c>
      <c r="BA57">
        <f ca="1">'Alt scen Calcs'!O386</f>
        <v>8316.0911392405087</v>
      </c>
      <c r="BB57">
        <f ca="1">'Alt scen Calcs'!P386</f>
        <v>8316.0911392405087</v>
      </c>
      <c r="BC57">
        <f ca="1">'Alt scen Calcs'!Q386</f>
        <v>8316.0911392405087</v>
      </c>
      <c r="BD57">
        <f ca="1">'Alt scen Calcs'!R386</f>
        <v>8316.0911392405087</v>
      </c>
      <c r="BE57">
        <f ca="1">'Alt scen Calcs'!S386</f>
        <v>8316.0911392405087</v>
      </c>
      <c r="BF57">
        <f ca="1">'Alt scen Calcs'!T386</f>
        <v>8316.0911392405087</v>
      </c>
      <c r="BG57">
        <f ca="1">'Alt scen Calcs'!U386</f>
        <v>8316.0911392405087</v>
      </c>
      <c r="BH57">
        <f ca="1">'Alt scen Calcs'!V386</f>
        <v>8316.0911392405087</v>
      </c>
      <c r="BI57">
        <f ca="1">'Alt scen Calcs'!W386</f>
        <v>8316.0911392405087</v>
      </c>
      <c r="BJ57">
        <f ca="1">'Alt scen Calcs'!X386</f>
        <v>8316.0911392405087</v>
      </c>
      <c r="BK57">
        <f ca="1">'Alt scen Calcs'!Y386</f>
        <v>8316.0911392405087</v>
      </c>
      <c r="BL57">
        <f ca="1">'Alt scen Calcs'!Z386</f>
        <v>8316.0911392405087</v>
      </c>
      <c r="BM57">
        <f ca="1">'Alt scen Calcs'!AA386</f>
        <v>8316.0911392405087</v>
      </c>
      <c r="BN57">
        <f ca="1">'Alt scen Calcs'!AB386</f>
        <v>8316.0911392405087</v>
      </c>
      <c r="BO57">
        <f ca="1">'Alt scen Calcs'!AC386</f>
        <v>8316.0911392405087</v>
      </c>
    </row>
    <row r="62" spans="1:78">
      <c r="A62" s="4" t="s">
        <v>268</v>
      </c>
      <c r="G62" t="str">
        <f>'Ref scen Calcs'!H427</f>
        <v>techology 1:</v>
      </c>
      <c r="I62" t="str">
        <f>'Ref scen Calcs'!J427</f>
        <v>Supercritical coal</v>
      </c>
      <c r="BX62" s="11" t="s">
        <v>262</v>
      </c>
      <c r="BZ62" t="str">
        <f>'Investment Plan'!AQ123</f>
        <v>Supercritical coal</v>
      </c>
    </row>
    <row r="63" spans="1:78">
      <c r="G63" t="str">
        <f>'Ref scen Calcs'!H428</f>
        <v>techology 2:</v>
      </c>
      <c r="I63" t="str">
        <f>'Ref scen Calcs'!J428</f>
        <v>Existing coal Large</v>
      </c>
    </row>
    <row r="64" spans="1:78">
      <c r="B64" s="4" t="s">
        <v>208</v>
      </c>
      <c r="AP64" s="4" t="s">
        <v>209</v>
      </c>
      <c r="BX64" s="4" t="s">
        <v>271</v>
      </c>
    </row>
    <row r="65" spans="1:101">
      <c r="B65" s="4">
        <v>2005</v>
      </c>
      <c r="C65" s="4">
        <v>2006</v>
      </c>
      <c r="D65" s="4">
        <v>2007</v>
      </c>
      <c r="E65" s="4">
        <v>2008</v>
      </c>
      <c r="F65" s="4">
        <v>2009</v>
      </c>
      <c r="G65" s="4">
        <v>2010</v>
      </c>
      <c r="H65" s="4">
        <v>2011</v>
      </c>
      <c r="I65" s="4">
        <v>2012</v>
      </c>
      <c r="J65" s="4">
        <v>2013</v>
      </c>
      <c r="K65" s="4">
        <v>2014</v>
      </c>
      <c r="L65" s="4">
        <v>2015</v>
      </c>
      <c r="M65" s="4">
        <v>2016</v>
      </c>
      <c r="N65" s="4">
        <v>2017</v>
      </c>
      <c r="O65" s="4">
        <v>2018</v>
      </c>
      <c r="P65" s="4">
        <v>2019</v>
      </c>
      <c r="Q65" s="4">
        <v>2020</v>
      </c>
      <c r="R65" s="4">
        <v>2021</v>
      </c>
      <c r="S65" s="4">
        <v>2022</v>
      </c>
      <c r="T65" s="4">
        <v>2023</v>
      </c>
      <c r="U65" s="4">
        <v>2024</v>
      </c>
      <c r="V65" s="4">
        <v>2025</v>
      </c>
      <c r="W65" s="4">
        <v>2026</v>
      </c>
      <c r="X65" s="4">
        <v>2027</v>
      </c>
      <c r="Y65" s="4">
        <v>2028</v>
      </c>
      <c r="Z65" s="4">
        <v>2029</v>
      </c>
      <c r="AA65" s="4">
        <v>2030</v>
      </c>
      <c r="AP65" s="4">
        <v>2005</v>
      </c>
      <c r="AQ65" s="4">
        <v>2006</v>
      </c>
      <c r="AR65" s="4">
        <v>2007</v>
      </c>
      <c r="AS65" s="4">
        <v>2008</v>
      </c>
      <c r="AT65" s="4">
        <v>2009</v>
      </c>
      <c r="AU65" s="4">
        <v>2010</v>
      </c>
      <c r="AV65" s="4">
        <v>2011</v>
      </c>
      <c r="AW65" s="4">
        <v>2012</v>
      </c>
      <c r="AX65" s="4">
        <v>2013</v>
      </c>
      <c r="AY65" s="4">
        <v>2014</v>
      </c>
      <c r="AZ65" s="4">
        <v>2015</v>
      </c>
      <c r="BA65" s="4">
        <v>2016</v>
      </c>
      <c r="BB65" s="4">
        <v>2017</v>
      </c>
      <c r="BC65" s="4">
        <v>2018</v>
      </c>
      <c r="BD65" s="4">
        <v>2019</v>
      </c>
      <c r="BE65" s="4">
        <v>2020</v>
      </c>
      <c r="BF65" s="4">
        <v>2021</v>
      </c>
      <c r="BG65" s="4">
        <v>2022</v>
      </c>
      <c r="BH65" s="4">
        <v>2023</v>
      </c>
      <c r="BI65" s="4">
        <v>2024</v>
      </c>
      <c r="BJ65" s="4">
        <v>2025</v>
      </c>
      <c r="BK65" s="4">
        <v>2026</v>
      </c>
      <c r="BL65" s="4">
        <v>2027</v>
      </c>
      <c r="BM65" s="4">
        <v>2028</v>
      </c>
      <c r="BN65" s="4">
        <v>2029</v>
      </c>
      <c r="BO65" s="4">
        <v>2030</v>
      </c>
      <c r="BX65" s="4">
        <v>2005</v>
      </c>
      <c r="BY65" s="4">
        <v>2006</v>
      </c>
      <c r="BZ65" s="4">
        <v>2007</v>
      </c>
      <c r="CA65" s="4">
        <v>2008</v>
      </c>
      <c r="CB65" s="4">
        <v>2009</v>
      </c>
      <c r="CC65" s="4">
        <v>2010</v>
      </c>
      <c r="CD65" s="4">
        <v>2011</v>
      </c>
      <c r="CE65" s="4">
        <v>2012</v>
      </c>
      <c r="CF65" s="4">
        <v>2013</v>
      </c>
      <c r="CG65" s="4">
        <v>2014</v>
      </c>
      <c r="CH65" s="4">
        <v>2015</v>
      </c>
      <c r="CI65" s="4">
        <v>2016</v>
      </c>
      <c r="CJ65" s="4">
        <v>2017</v>
      </c>
      <c r="CK65" s="4">
        <v>2018</v>
      </c>
      <c r="CL65" s="4">
        <v>2019</v>
      </c>
      <c r="CM65" s="4">
        <v>2020</v>
      </c>
      <c r="CN65" s="4">
        <v>2021</v>
      </c>
      <c r="CO65" s="4">
        <v>2022</v>
      </c>
      <c r="CP65" s="4">
        <v>2023</v>
      </c>
      <c r="CQ65" s="4">
        <v>2024</v>
      </c>
      <c r="CR65" s="4">
        <v>2025</v>
      </c>
      <c r="CS65" s="4">
        <v>2026</v>
      </c>
      <c r="CT65" s="4">
        <v>2027</v>
      </c>
      <c r="CU65" s="4">
        <v>2028</v>
      </c>
      <c r="CV65" s="4">
        <v>2029</v>
      </c>
      <c r="CW65" s="4">
        <v>2030</v>
      </c>
    </row>
    <row r="66" spans="1:101">
      <c r="A66" t="str">
        <f>'Ref scen Calcs'!C430</f>
        <v>Supercritical coal capacity</v>
      </c>
      <c r="B66">
        <f>'Ref scen Calcs'!D430</f>
        <v>0</v>
      </c>
      <c r="C66">
        <f>'Ref scen Calcs'!E430</f>
        <v>0</v>
      </c>
      <c r="D66">
        <f>'Ref scen Calcs'!F430</f>
        <v>0</v>
      </c>
      <c r="E66">
        <f>'Ref scen Calcs'!G430</f>
        <v>0</v>
      </c>
      <c r="F66">
        <f>'Ref scen Calcs'!H430</f>
        <v>0</v>
      </c>
      <c r="G66">
        <f ca="1">'Ref scen Calcs'!I430</f>
        <v>0</v>
      </c>
      <c r="H66">
        <f ca="1">'Ref scen Calcs'!J430</f>
        <v>0</v>
      </c>
      <c r="I66">
        <f ca="1">'Ref scen Calcs'!K430</f>
        <v>0.79400000000000004</v>
      </c>
      <c r="J66">
        <f ca="1">'Ref scen Calcs'!L430</f>
        <v>2.3820000000000001</v>
      </c>
      <c r="K66">
        <f ca="1">'Ref scen Calcs'!M430</f>
        <v>4.7640000000000002</v>
      </c>
      <c r="L66">
        <f ca="1">'Ref scen Calcs'!N430</f>
        <v>7.1460000000000008</v>
      </c>
      <c r="M66">
        <f ca="1">'Ref scen Calcs'!O430</f>
        <v>8.7340000000000018</v>
      </c>
      <c r="N66">
        <f ca="1">'Ref scen Calcs'!P430</f>
        <v>10.322000000000003</v>
      </c>
      <c r="O66">
        <f ca="1">'Ref scen Calcs'!Q430</f>
        <v>12.704000000000002</v>
      </c>
      <c r="P66">
        <f ca="1">'Ref scen Calcs'!R430</f>
        <v>15.086000000000002</v>
      </c>
      <c r="Q66">
        <f ca="1">'Ref scen Calcs'!S430</f>
        <v>17.468000000000004</v>
      </c>
      <c r="R66">
        <f ca="1">'Ref scen Calcs'!T430</f>
        <v>20.644000000000005</v>
      </c>
      <c r="S66">
        <f ca="1">'Ref scen Calcs'!U430</f>
        <v>23.820000000000007</v>
      </c>
      <c r="T66">
        <f ca="1">'Ref scen Calcs'!V430</f>
        <v>26.202000000000009</v>
      </c>
      <c r="U66">
        <f ca="1">'Ref scen Calcs'!W430</f>
        <v>29.378000000000007</v>
      </c>
      <c r="V66">
        <f ca="1">'Ref scen Calcs'!X430</f>
        <v>32.554000000000009</v>
      </c>
      <c r="W66">
        <f ca="1">'Ref scen Calcs'!Y430</f>
        <v>36.524000000000008</v>
      </c>
      <c r="X66">
        <f ca="1">'Ref scen Calcs'!Z430</f>
        <v>40.494000000000007</v>
      </c>
      <c r="Y66">
        <f ca="1">'Ref scen Calcs'!AA430</f>
        <v>44.464000000000006</v>
      </c>
      <c r="Z66">
        <f ca="1">'Ref scen Calcs'!AB430</f>
        <v>49.228000000000009</v>
      </c>
      <c r="AA66">
        <f ca="1">'Ref scen Calcs'!AC430</f>
        <v>53.992000000000012</v>
      </c>
      <c r="AO66" t="str">
        <f>'Alt scen Calcs'!C430</f>
        <v>OCGT liquid fuels capacity</v>
      </c>
      <c r="AP66">
        <f>'Alt scen Calcs'!D430</f>
        <v>2.4</v>
      </c>
      <c r="AQ66">
        <f>'Alt scen Calcs'!E430</f>
        <v>2.4</v>
      </c>
      <c r="AR66">
        <f>'Alt scen Calcs'!F430</f>
        <v>2.4</v>
      </c>
      <c r="AS66">
        <f>'Alt scen Calcs'!G430</f>
        <v>2.4</v>
      </c>
      <c r="AT66">
        <f>'Alt scen Calcs'!H430</f>
        <v>2.4</v>
      </c>
      <c r="AU66">
        <f ca="1">'Alt scen Calcs'!I430</f>
        <v>2.4</v>
      </c>
      <c r="AV66">
        <f ca="1">'Alt scen Calcs'!J430</f>
        <v>3.48</v>
      </c>
      <c r="AW66">
        <f ca="1">'Alt scen Calcs'!K430</f>
        <v>3.48</v>
      </c>
      <c r="AX66">
        <f ca="1">'Alt scen Calcs'!L430</f>
        <v>3.48</v>
      </c>
      <c r="AY66">
        <f ca="1">'Alt scen Calcs'!M430</f>
        <v>3.48</v>
      </c>
      <c r="AZ66">
        <f ca="1">'Alt scen Calcs'!N430</f>
        <v>3.48</v>
      </c>
      <c r="BA66">
        <f ca="1">'Alt scen Calcs'!O430</f>
        <v>3.48</v>
      </c>
      <c r="BB66">
        <f ca="1">'Alt scen Calcs'!P430</f>
        <v>3.48</v>
      </c>
      <c r="BC66">
        <f ca="1">'Alt scen Calcs'!Q430</f>
        <v>3.48</v>
      </c>
      <c r="BD66">
        <f ca="1">'Alt scen Calcs'!R430</f>
        <v>3.48</v>
      </c>
      <c r="BE66">
        <f ca="1">'Alt scen Calcs'!S430</f>
        <v>3.48</v>
      </c>
      <c r="BF66">
        <f ca="1">'Alt scen Calcs'!T430</f>
        <v>3.48</v>
      </c>
      <c r="BG66">
        <f ca="1">'Alt scen Calcs'!U430</f>
        <v>3.48</v>
      </c>
      <c r="BH66">
        <f ca="1">'Alt scen Calcs'!V430</f>
        <v>3.48</v>
      </c>
      <c r="BI66">
        <f ca="1">'Alt scen Calcs'!W430</f>
        <v>3.48</v>
      </c>
      <c r="BJ66">
        <f ca="1">'Alt scen Calcs'!X430</f>
        <v>3.48</v>
      </c>
      <c r="BK66">
        <f ca="1">'Alt scen Calcs'!Y430</f>
        <v>4.2</v>
      </c>
      <c r="BL66">
        <f ca="1">'Alt scen Calcs'!Z430</f>
        <v>4.2</v>
      </c>
      <c r="BM66">
        <f ca="1">'Alt scen Calcs'!AA430</f>
        <v>4.2</v>
      </c>
      <c r="BN66">
        <f ca="1">'Alt scen Calcs'!AB430</f>
        <v>5.16</v>
      </c>
      <c r="BO66">
        <f ca="1">'Alt scen Calcs'!AC430</f>
        <v>5.9489999999999998</v>
      </c>
      <c r="BW66" t="str">
        <f>'Ref scen Calcs'!C440&amp;" reference"</f>
        <v>Supercritical coal capacity reference</v>
      </c>
      <c r="BX66">
        <f>'Ref scen Calcs'!D440</f>
        <v>0</v>
      </c>
      <c r="BY66">
        <f>'Ref scen Calcs'!E440</f>
        <v>0</v>
      </c>
      <c r="BZ66">
        <f>'Ref scen Calcs'!F440</f>
        <v>0</v>
      </c>
      <c r="CA66">
        <f>'Ref scen Calcs'!G440</f>
        <v>0</v>
      </c>
      <c r="CB66">
        <f>'Ref scen Calcs'!H440</f>
        <v>0</v>
      </c>
      <c r="CC66">
        <f ca="1">'Ref scen Calcs'!I440</f>
        <v>0</v>
      </c>
      <c r="CD66">
        <f ca="1">'Ref scen Calcs'!J440</f>
        <v>0</v>
      </c>
      <c r="CE66">
        <f ca="1">'Ref scen Calcs'!K440</f>
        <v>0.79400000000000004</v>
      </c>
      <c r="CF66">
        <f ca="1">'Ref scen Calcs'!L440</f>
        <v>2.3820000000000001</v>
      </c>
      <c r="CG66">
        <f ca="1">'Ref scen Calcs'!M440</f>
        <v>4.7640000000000002</v>
      </c>
      <c r="CH66">
        <f ca="1">'Ref scen Calcs'!N440</f>
        <v>7.1460000000000008</v>
      </c>
      <c r="CI66">
        <f ca="1">'Ref scen Calcs'!O440</f>
        <v>8.7340000000000018</v>
      </c>
      <c r="CJ66">
        <f ca="1">'Ref scen Calcs'!P440</f>
        <v>10.322000000000003</v>
      </c>
      <c r="CK66">
        <f ca="1">'Ref scen Calcs'!Q440</f>
        <v>12.704000000000002</v>
      </c>
      <c r="CL66">
        <f ca="1">'Ref scen Calcs'!R440</f>
        <v>15.086000000000002</v>
      </c>
      <c r="CM66">
        <f ca="1">'Ref scen Calcs'!S440</f>
        <v>17.468000000000004</v>
      </c>
      <c r="CN66">
        <f ca="1">'Ref scen Calcs'!T440</f>
        <v>20.644000000000005</v>
      </c>
      <c r="CO66">
        <f ca="1">'Ref scen Calcs'!U440</f>
        <v>23.820000000000007</v>
      </c>
      <c r="CP66">
        <f ca="1">'Ref scen Calcs'!V440</f>
        <v>26.202000000000009</v>
      </c>
      <c r="CQ66">
        <f ca="1">'Ref scen Calcs'!W440</f>
        <v>29.378000000000007</v>
      </c>
      <c r="CR66">
        <f ca="1">'Ref scen Calcs'!X440</f>
        <v>32.554000000000009</v>
      </c>
      <c r="CS66">
        <f ca="1">'Ref scen Calcs'!Y440</f>
        <v>36.524000000000008</v>
      </c>
      <c r="CT66">
        <f ca="1">'Ref scen Calcs'!Z440</f>
        <v>40.494000000000007</v>
      </c>
      <c r="CU66">
        <f ca="1">'Ref scen Calcs'!AA440</f>
        <v>44.464000000000006</v>
      </c>
      <c r="CV66">
        <f ca="1">'Ref scen Calcs'!AB440</f>
        <v>49.228000000000009</v>
      </c>
      <c r="CW66">
        <f ca="1">'Ref scen Calcs'!AC440</f>
        <v>53.992000000000012</v>
      </c>
    </row>
    <row r="67" spans="1:101">
      <c r="A67" t="str">
        <f>'Ref scen Calcs'!C431</f>
        <v>Existing coal Large capacity</v>
      </c>
      <c r="B67">
        <f>'Ref scen Calcs'!D431</f>
        <v>30.471</v>
      </c>
      <c r="C67">
        <f>'Ref scen Calcs'!E431</f>
        <v>30.471</v>
      </c>
      <c r="D67">
        <f>'Ref scen Calcs'!F431</f>
        <v>30.471</v>
      </c>
      <c r="E67">
        <f>'Ref scen Calcs'!G431</f>
        <v>30.471</v>
      </c>
      <c r="F67">
        <f>'Ref scen Calcs'!H431</f>
        <v>30.471</v>
      </c>
      <c r="G67">
        <f ca="1">'Ref scen Calcs'!I431</f>
        <v>30.471</v>
      </c>
      <c r="H67">
        <f ca="1">'Ref scen Calcs'!J431</f>
        <v>30.471</v>
      </c>
      <c r="I67">
        <f ca="1">'Ref scen Calcs'!K431</f>
        <v>30.471</v>
      </c>
      <c r="J67">
        <f ca="1">'Ref scen Calcs'!L431</f>
        <v>30.471</v>
      </c>
      <c r="K67">
        <f ca="1">'Ref scen Calcs'!M431</f>
        <v>30.471</v>
      </c>
      <c r="L67">
        <f ca="1">'Ref scen Calcs'!N431</f>
        <v>30.471</v>
      </c>
      <c r="M67">
        <f ca="1">'Ref scen Calcs'!O431</f>
        <v>30.471</v>
      </c>
      <c r="N67">
        <f ca="1">'Ref scen Calcs'!P431</f>
        <v>30.471</v>
      </c>
      <c r="O67">
        <f ca="1">'Ref scen Calcs'!Q431</f>
        <v>30.471</v>
      </c>
      <c r="P67">
        <f ca="1">'Ref scen Calcs'!R431</f>
        <v>30.471</v>
      </c>
      <c r="Q67">
        <f ca="1">'Ref scen Calcs'!S431</f>
        <v>30.471</v>
      </c>
      <c r="R67">
        <f ca="1">'Ref scen Calcs'!T431</f>
        <v>30.471</v>
      </c>
      <c r="S67">
        <f ca="1">'Ref scen Calcs'!U431</f>
        <v>30.471</v>
      </c>
      <c r="T67">
        <f ca="1">'Ref scen Calcs'!V431</f>
        <v>30.471</v>
      </c>
      <c r="U67">
        <f ca="1">'Ref scen Calcs'!W431</f>
        <v>29.331</v>
      </c>
      <c r="V67">
        <f ca="1">'Ref scen Calcs'!X431</f>
        <v>28.190999999999999</v>
      </c>
      <c r="W67">
        <f ca="1">'Ref scen Calcs'!Y431</f>
        <v>26.765999999999998</v>
      </c>
      <c r="X67">
        <f ca="1">'Ref scen Calcs'!Z431</f>
        <v>25.340999999999998</v>
      </c>
      <c r="Y67">
        <f ca="1">'Ref scen Calcs'!AA431</f>
        <v>23.615999999999996</v>
      </c>
      <c r="Z67">
        <f ca="1">'Ref scen Calcs'!AB431</f>
        <v>20.165999999999997</v>
      </c>
      <c r="AA67">
        <f ca="1">'Ref scen Calcs'!AC431</f>
        <v>18.440999999999995</v>
      </c>
      <c r="AO67" t="str">
        <f>'Alt scen Calcs'!C431</f>
        <v>Existing coal Small capacity</v>
      </c>
      <c r="AP67">
        <f>'Alt scen Calcs'!D431</f>
        <v>5.434444444444444</v>
      </c>
      <c r="AQ67">
        <f>'Alt scen Calcs'!E431</f>
        <v>5.434444444444444</v>
      </c>
      <c r="AR67">
        <f>'Alt scen Calcs'!F431</f>
        <v>5.434444444444444</v>
      </c>
      <c r="AS67">
        <f>'Alt scen Calcs'!G431</f>
        <v>5.434444444444444</v>
      </c>
      <c r="AT67">
        <f>'Alt scen Calcs'!H431</f>
        <v>5.434444444444444</v>
      </c>
      <c r="AU67">
        <f ca="1">'Alt scen Calcs'!I431</f>
        <v>6.1174444444444438</v>
      </c>
      <c r="AV67">
        <f ca="1">'Alt scen Calcs'!J431</f>
        <v>6.5214444444444437</v>
      </c>
      <c r="AW67">
        <f ca="1">'Alt scen Calcs'!K431</f>
        <v>6.5214444444444437</v>
      </c>
      <c r="AX67">
        <f ca="1">'Alt scen Calcs'!L431</f>
        <v>6.5214444444444437</v>
      </c>
      <c r="AY67">
        <f ca="1">'Alt scen Calcs'!M431</f>
        <v>6.5214444444444437</v>
      </c>
      <c r="AZ67">
        <f ca="1">'Alt scen Calcs'!N431</f>
        <v>6.5214444444444437</v>
      </c>
      <c r="BA67">
        <f ca="1">'Alt scen Calcs'!O431</f>
        <v>6.4839444444444441</v>
      </c>
      <c r="BB67">
        <f ca="1">'Alt scen Calcs'!P431</f>
        <v>6.4464444444444444</v>
      </c>
      <c r="BC67">
        <f ca="1">'Alt scen Calcs'!Q431</f>
        <v>6.3964444444444446</v>
      </c>
      <c r="BD67">
        <f ca="1">'Alt scen Calcs'!R431</f>
        <v>6.3464444444444448</v>
      </c>
      <c r="BE67">
        <f ca="1">'Alt scen Calcs'!S431</f>
        <v>5.3964444444444446</v>
      </c>
      <c r="BF67">
        <f ca="1">'Alt scen Calcs'!T431</f>
        <v>4.4464444444444444</v>
      </c>
      <c r="BG67">
        <f ca="1">'Alt scen Calcs'!U431</f>
        <v>4.4464444444444444</v>
      </c>
      <c r="BH67">
        <f ca="1">'Alt scen Calcs'!V431</f>
        <v>4.4464444444444444</v>
      </c>
      <c r="BI67">
        <f ca="1">'Alt scen Calcs'!W431</f>
        <v>4.4464444444444444</v>
      </c>
      <c r="BJ67">
        <f ca="1">'Alt scen Calcs'!X431</f>
        <v>4.0087222222222225</v>
      </c>
      <c r="BK67">
        <f ca="1">'Alt scen Calcs'!Y431</f>
        <v>3.5710000000000002</v>
      </c>
      <c r="BL67">
        <f ca="1">'Alt scen Calcs'!Z431</f>
        <v>3.5710000000000002</v>
      </c>
      <c r="BM67">
        <f ca="1">'Alt scen Calcs'!AA431</f>
        <v>3.5710000000000002</v>
      </c>
      <c r="BN67">
        <f ca="1">'Alt scen Calcs'!AB431</f>
        <v>3.5710000000000002</v>
      </c>
      <c r="BO67">
        <f ca="1">'Alt scen Calcs'!AC431</f>
        <v>3.5710000000000002</v>
      </c>
      <c r="BW67" t="str">
        <f>'Alt scen Calcs'!C440&amp;" scenario"</f>
        <v>Supercritical coal capacity scenario</v>
      </c>
      <c r="BX67">
        <f>'Alt scen Calcs'!D440</f>
        <v>0</v>
      </c>
      <c r="BY67">
        <f>'Alt scen Calcs'!E440</f>
        <v>0</v>
      </c>
      <c r="BZ67">
        <f>'Alt scen Calcs'!F440</f>
        <v>0</v>
      </c>
      <c r="CA67">
        <f>'Alt scen Calcs'!G440</f>
        <v>0</v>
      </c>
      <c r="CB67">
        <f>'Alt scen Calcs'!H440</f>
        <v>0</v>
      </c>
      <c r="CC67">
        <f ca="1">'Alt scen Calcs'!I440</f>
        <v>0</v>
      </c>
      <c r="CD67">
        <f ca="1">'Alt scen Calcs'!J440</f>
        <v>0</v>
      </c>
      <c r="CE67">
        <f ca="1">'Alt scen Calcs'!K440</f>
        <v>0.79400000000000004</v>
      </c>
      <c r="CF67">
        <f ca="1">'Alt scen Calcs'!L440</f>
        <v>2.3820000000000001</v>
      </c>
      <c r="CG67">
        <f ca="1">'Alt scen Calcs'!M440</f>
        <v>4.7640000000000002</v>
      </c>
      <c r="CH67">
        <f ca="1">'Alt scen Calcs'!N440</f>
        <v>7.1460000000000008</v>
      </c>
      <c r="CI67">
        <f ca="1">'Alt scen Calcs'!O440</f>
        <v>8.7340000000000018</v>
      </c>
      <c r="CJ67">
        <f ca="1">'Alt scen Calcs'!P440</f>
        <v>9.5280000000000022</v>
      </c>
      <c r="CK67">
        <f ca="1">'Alt scen Calcs'!Q440</f>
        <v>9.5280000000000022</v>
      </c>
      <c r="CL67">
        <f ca="1">'Alt scen Calcs'!R440</f>
        <v>9.5280000000000022</v>
      </c>
      <c r="CM67">
        <f ca="1">'Alt scen Calcs'!S440</f>
        <v>9.5280000000000022</v>
      </c>
      <c r="CN67">
        <f ca="1">'Alt scen Calcs'!T440</f>
        <v>9.5280000000000022</v>
      </c>
      <c r="CO67">
        <f ca="1">'Alt scen Calcs'!U440</f>
        <v>9.5280000000000022</v>
      </c>
      <c r="CP67">
        <f ca="1">'Alt scen Calcs'!V440</f>
        <v>9.5280000000000022</v>
      </c>
      <c r="CQ67">
        <f ca="1">'Alt scen Calcs'!W440</f>
        <v>9.5280000000000022</v>
      </c>
      <c r="CR67">
        <f ca="1">'Alt scen Calcs'!X440</f>
        <v>9.5280000000000022</v>
      </c>
      <c r="CS67">
        <f ca="1">'Alt scen Calcs'!Y440</f>
        <v>9.5280000000000022</v>
      </c>
      <c r="CT67">
        <f ca="1">'Alt scen Calcs'!Z440</f>
        <v>9.5280000000000022</v>
      </c>
      <c r="CU67">
        <f ca="1">'Alt scen Calcs'!AA440</f>
        <v>9.5280000000000022</v>
      </c>
      <c r="CV67">
        <f ca="1">'Alt scen Calcs'!AB440</f>
        <v>9.5280000000000022</v>
      </c>
      <c r="CW67">
        <f ca="1">'Alt scen Calcs'!AC440</f>
        <v>9.5280000000000022</v>
      </c>
    </row>
    <row r="68" spans="1:101">
      <c r="A68" t="str">
        <f>'Ref scen Calcs'!C432</f>
        <v>Supercritical coal output</v>
      </c>
      <c r="B68">
        <f>'Ref scen Calcs'!D432</f>
        <v>0</v>
      </c>
      <c r="C68">
        <f>'Ref scen Calcs'!E432</f>
        <v>0</v>
      </c>
      <c r="D68">
        <f>'Ref scen Calcs'!F432</f>
        <v>0</v>
      </c>
      <c r="E68">
        <f>'Ref scen Calcs'!G432</f>
        <v>0</v>
      </c>
      <c r="F68">
        <f>'Ref scen Calcs'!H432</f>
        <v>0</v>
      </c>
      <c r="G68">
        <f ca="1">'Ref scen Calcs'!I432</f>
        <v>0</v>
      </c>
      <c r="H68">
        <f ca="1">'Ref scen Calcs'!J432</f>
        <v>0</v>
      </c>
      <c r="I68">
        <f ca="1">'Ref scen Calcs'!K432</f>
        <v>1693.7365830000003</v>
      </c>
      <c r="J68">
        <f ca="1">'Ref scen Calcs'!L432</f>
        <v>5081.2097490000015</v>
      </c>
      <c r="K68">
        <f ca="1">'Ref scen Calcs'!M432</f>
        <v>13787.838002241275</v>
      </c>
      <c r="L68">
        <f ca="1">'Ref scen Calcs'!N432</f>
        <v>22109.866176129231</v>
      </c>
      <c r="M68">
        <f ca="1">'Ref scen Calcs'!O432</f>
        <v>30973.848045042821</v>
      </c>
      <c r="N68">
        <f ca="1">'Ref scen Calcs'!P432</f>
        <v>39693.39423489997</v>
      </c>
      <c r="O68">
        <f ca="1">'Ref scen Calcs'!Q432</f>
        <v>48912.77667558215</v>
      </c>
      <c r="P68">
        <f ca="1">'Ref scen Calcs'!R432</f>
        <v>58560.11668383942</v>
      </c>
      <c r="Q68">
        <f ca="1">'Ref scen Calcs'!S432</f>
        <v>70157.919939841871</v>
      </c>
      <c r="R68">
        <f ca="1">'Ref scen Calcs'!T432</f>
        <v>82258.573337745125</v>
      </c>
      <c r="S68">
        <f ca="1">'Ref scen Calcs'!U432</f>
        <v>92501.989315475454</v>
      </c>
      <c r="T68">
        <f ca="1">'Ref scen Calcs'!V432</f>
        <v>103258.67878333401</v>
      </c>
      <c r="U68">
        <f ca="1">'Ref scen Calcs'!W432</f>
        <v>123284.62132491726</v>
      </c>
      <c r="V68">
        <f ca="1">'Ref scen Calcs'!X432</f>
        <v>144735.49546189455</v>
      </c>
      <c r="W68">
        <f ca="1">'Ref scen Calcs'!Y432</f>
        <v>169111.17186129716</v>
      </c>
      <c r="X68">
        <f ca="1">'Ref scen Calcs'!Z432</f>
        <v>193300.59446743844</v>
      </c>
      <c r="Y68">
        <f ca="1">'Ref scen Calcs'!AA432</f>
        <v>220195.14662336902</v>
      </c>
      <c r="Z68">
        <f ca="1">'Ref scen Calcs'!AB432</f>
        <v>260340.97143911308</v>
      </c>
      <c r="AA68">
        <f ca="1">'Ref scen Calcs'!AC432</f>
        <v>284022.13653434324</v>
      </c>
      <c r="AO68" t="str">
        <f>'Alt scen Calcs'!C432</f>
        <v>OCGT liquid fuels output</v>
      </c>
      <c r="AP68">
        <f>'Alt scen Calcs'!D432</f>
        <v>651.77077055999985</v>
      </c>
      <c r="AQ68">
        <f>'Alt scen Calcs'!E432</f>
        <v>651.77077055999985</v>
      </c>
      <c r="AR68">
        <f>'Alt scen Calcs'!F432</f>
        <v>651.77077055999985</v>
      </c>
      <c r="AS68">
        <f>'Alt scen Calcs'!G432</f>
        <v>651.77077055999985</v>
      </c>
      <c r="AT68">
        <f>'Alt scen Calcs'!H432</f>
        <v>651.77077055999985</v>
      </c>
      <c r="AU68">
        <f ca="1">'Alt scen Calcs'!I432</f>
        <v>651.77077055999985</v>
      </c>
      <c r="AV68">
        <f ca="1">'Alt scen Calcs'!J432</f>
        <v>945.06761731199981</v>
      </c>
      <c r="AW68">
        <f ca="1">'Alt scen Calcs'!K432</f>
        <v>945.06761731199981</v>
      </c>
      <c r="AX68">
        <f ca="1">'Alt scen Calcs'!L432</f>
        <v>945.06761731199981</v>
      </c>
      <c r="AY68">
        <f ca="1">'Alt scen Calcs'!M432</f>
        <v>945.06761731199981</v>
      </c>
      <c r="AZ68">
        <f ca="1">'Alt scen Calcs'!N432</f>
        <v>945.06761731199981</v>
      </c>
      <c r="BA68">
        <f ca="1">'Alt scen Calcs'!O432</f>
        <v>945.06761731199981</v>
      </c>
      <c r="BB68">
        <f ca="1">'Alt scen Calcs'!P432</f>
        <v>945.06761731199981</v>
      </c>
      <c r="BC68">
        <f ca="1">'Alt scen Calcs'!Q432</f>
        <v>945.06761731199981</v>
      </c>
      <c r="BD68">
        <f ca="1">'Alt scen Calcs'!R432</f>
        <v>945.06761731199981</v>
      </c>
      <c r="BE68">
        <f ca="1">'Alt scen Calcs'!S432</f>
        <v>945.06761731199981</v>
      </c>
      <c r="BF68">
        <f ca="1">'Alt scen Calcs'!T432</f>
        <v>945.06761731199981</v>
      </c>
      <c r="BG68">
        <f ca="1">'Alt scen Calcs'!U432</f>
        <v>945.06761731199981</v>
      </c>
      <c r="BH68">
        <f ca="1">'Alt scen Calcs'!V432</f>
        <v>945.06761731199981</v>
      </c>
      <c r="BI68">
        <f ca="1">'Alt scen Calcs'!W432</f>
        <v>945.06761731199981</v>
      </c>
      <c r="BJ68">
        <f ca="1">'Alt scen Calcs'!X432</f>
        <v>945.06761731199981</v>
      </c>
      <c r="BK68">
        <f ca="1">'Alt scen Calcs'!Y432</f>
        <v>1140.59884848</v>
      </c>
      <c r="BL68">
        <f ca="1">'Alt scen Calcs'!Z432</f>
        <v>1140.59884848</v>
      </c>
      <c r="BM68">
        <f ca="1">'Alt scen Calcs'!AA432</f>
        <v>1140.59884848</v>
      </c>
      <c r="BN68">
        <f ca="1">'Alt scen Calcs'!AB432</f>
        <v>1401.3071567039999</v>
      </c>
      <c r="BO68">
        <f ca="1">'Alt scen Calcs'!AC432</f>
        <v>1615.5767975255997</v>
      </c>
      <c r="BW68" t="str">
        <f>'Ref scen Calcs'!C441&amp;" reference"</f>
        <v>Supercritical coal output reference</v>
      </c>
      <c r="BX68">
        <f>'Ref scen Calcs'!D441</f>
        <v>0</v>
      </c>
      <c r="BY68">
        <f>'Ref scen Calcs'!E441</f>
        <v>0</v>
      </c>
      <c r="BZ68">
        <f>'Ref scen Calcs'!F441</f>
        <v>0</v>
      </c>
      <c r="CA68">
        <f>'Ref scen Calcs'!G441</f>
        <v>0</v>
      </c>
      <c r="CB68">
        <f>'Ref scen Calcs'!H441</f>
        <v>0</v>
      </c>
      <c r="CC68">
        <f ca="1">'Ref scen Calcs'!I441</f>
        <v>0</v>
      </c>
      <c r="CD68">
        <f ca="1">'Ref scen Calcs'!J441</f>
        <v>0</v>
      </c>
      <c r="CE68">
        <f ca="1">'Ref scen Calcs'!K441</f>
        <v>1693.7365830000003</v>
      </c>
      <c r="CF68">
        <f ca="1">'Ref scen Calcs'!L441</f>
        <v>5081.2097490000015</v>
      </c>
      <c r="CG68">
        <f ca="1">'Ref scen Calcs'!M441</f>
        <v>13787.838002241275</v>
      </c>
      <c r="CH68">
        <f ca="1">'Ref scen Calcs'!N441</f>
        <v>22109.866176129231</v>
      </c>
      <c r="CI68">
        <f ca="1">'Ref scen Calcs'!O441</f>
        <v>30973.848045042821</v>
      </c>
      <c r="CJ68">
        <f ca="1">'Ref scen Calcs'!P441</f>
        <v>39693.39423489997</v>
      </c>
      <c r="CK68">
        <f ca="1">'Ref scen Calcs'!Q441</f>
        <v>48912.77667558215</v>
      </c>
      <c r="CL68">
        <f ca="1">'Ref scen Calcs'!R441</f>
        <v>58560.11668383942</v>
      </c>
      <c r="CM68">
        <f ca="1">'Ref scen Calcs'!S441</f>
        <v>70157.919939841871</v>
      </c>
      <c r="CN68">
        <f ca="1">'Ref scen Calcs'!T441</f>
        <v>82258.573337745125</v>
      </c>
      <c r="CO68">
        <f ca="1">'Ref scen Calcs'!U441</f>
        <v>92501.989315475454</v>
      </c>
      <c r="CP68">
        <f ca="1">'Ref scen Calcs'!V441</f>
        <v>103258.67878333401</v>
      </c>
      <c r="CQ68">
        <f ca="1">'Ref scen Calcs'!W441</f>
        <v>123284.62132491726</v>
      </c>
      <c r="CR68">
        <f ca="1">'Ref scen Calcs'!X441</f>
        <v>144735.49546189455</v>
      </c>
      <c r="CS68">
        <f ca="1">'Ref scen Calcs'!Y441</f>
        <v>169111.17186129716</v>
      </c>
      <c r="CT68">
        <f ca="1">'Ref scen Calcs'!Z441</f>
        <v>193300.59446743844</v>
      </c>
      <c r="CU68">
        <f ca="1">'Ref scen Calcs'!AA441</f>
        <v>220195.14662336902</v>
      </c>
      <c r="CV68">
        <f ca="1">'Ref scen Calcs'!AB441</f>
        <v>260340.97143911308</v>
      </c>
      <c r="CW68">
        <f ca="1">'Ref scen Calcs'!AC441</f>
        <v>284022.13653434324</v>
      </c>
    </row>
    <row r="69" spans="1:101">
      <c r="A69" t="str">
        <f>'Ref scen Calcs'!C433</f>
        <v>Existing coal Large output</v>
      </c>
      <c r="B69">
        <f>'Ref scen Calcs'!D433</f>
        <v>205861.53782111834</v>
      </c>
      <c r="C69">
        <f>'Ref scen Calcs'!E433</f>
        <v>205861.53782111834</v>
      </c>
      <c r="D69">
        <f>'Ref scen Calcs'!F433</f>
        <v>212643.1167461767</v>
      </c>
      <c r="E69">
        <f>'Ref scen Calcs'!G433</f>
        <v>215005.43490868001</v>
      </c>
      <c r="F69">
        <f>'Ref scen Calcs'!H433</f>
        <v>215005.43490868001</v>
      </c>
      <c r="G69">
        <f ca="1">'Ref scen Calcs'!I433</f>
        <v>220081.30595977066</v>
      </c>
      <c r="H69">
        <f ca="1">'Ref scen Calcs'!J433</f>
        <v>223929.15444342568</v>
      </c>
      <c r="I69">
        <f ca="1">'Ref scen Calcs'!K433</f>
        <v>228206.35414744783</v>
      </c>
      <c r="J69">
        <f ca="1">'Ref scen Calcs'!L433</f>
        <v>232179.28100439603</v>
      </c>
      <c r="K69">
        <f ca="1">'Ref scen Calcs'!M433</f>
        <v>232379.04948696808</v>
      </c>
      <c r="L69">
        <f ca="1">'Ref scen Calcs'!N433</f>
        <v>232379.04948696808</v>
      </c>
      <c r="M69">
        <f ca="1">'Ref scen Calcs'!O433</f>
        <v>232379.04948696808</v>
      </c>
      <c r="N69">
        <f ca="1">'Ref scen Calcs'!P433</f>
        <v>232379.04948696808</v>
      </c>
      <c r="O69">
        <f ca="1">'Ref scen Calcs'!Q433</f>
        <v>232379.04948696808</v>
      </c>
      <c r="P69">
        <f ca="1">'Ref scen Calcs'!R433</f>
        <v>232379.04948696808</v>
      </c>
      <c r="Q69">
        <f ca="1">'Ref scen Calcs'!S433</f>
        <v>232379.04948696808</v>
      </c>
      <c r="R69">
        <f ca="1">'Ref scen Calcs'!T433</f>
        <v>232379.04948696808</v>
      </c>
      <c r="S69">
        <f ca="1">'Ref scen Calcs'!U433</f>
        <v>232379.04948696808</v>
      </c>
      <c r="T69">
        <f ca="1">'Ref scen Calcs'!V433</f>
        <v>232379.04948696808</v>
      </c>
      <c r="U69">
        <f ca="1">'Ref scen Calcs'!W433</f>
        <v>223685.13998563425</v>
      </c>
      <c r="V69">
        <f ca="1">'Ref scen Calcs'!X433</f>
        <v>214991.23048430041</v>
      </c>
      <c r="W69">
        <f ca="1">'Ref scen Calcs'!Y433</f>
        <v>204123.84360763311</v>
      </c>
      <c r="X69">
        <f ca="1">'Ref scen Calcs'!Z433</f>
        <v>193256.45673096576</v>
      </c>
      <c r="Y69">
        <f ca="1">'Ref scen Calcs'!AA433</f>
        <v>180101.19893289483</v>
      </c>
      <c r="Z69">
        <f ca="1">'Ref scen Calcs'!AB433</f>
        <v>153790.68333675293</v>
      </c>
      <c r="AA69">
        <f ca="1">'Ref scen Calcs'!AC433</f>
        <v>140635.42553868194</v>
      </c>
      <c r="AO69" t="str">
        <f>'Alt scen Calcs'!C433</f>
        <v>Existing coal Small output</v>
      </c>
      <c r="AP69">
        <f>'Alt scen Calcs'!D433</f>
        <v>11481.108051601606</v>
      </c>
      <c r="AQ69">
        <f>'Alt scen Calcs'!E433</f>
        <v>11481.108051601606</v>
      </c>
      <c r="AR69">
        <f>'Alt scen Calcs'!F433</f>
        <v>11481.108051601606</v>
      </c>
      <c r="AS69">
        <f>'Alt scen Calcs'!G433</f>
        <v>11481.108051601606</v>
      </c>
      <c r="AT69">
        <f>'Alt scen Calcs'!H433</f>
        <v>11481.108051601606</v>
      </c>
      <c r="AU69">
        <f ca="1">'Alt scen Calcs'!I433</f>
        <v>12924.051645819456</v>
      </c>
      <c r="AV69">
        <f ca="1">'Alt scen Calcs'!J433</f>
        <v>13777.564401403659</v>
      </c>
      <c r="AW69">
        <f ca="1">'Alt scen Calcs'!K433</f>
        <v>13777.564401403659</v>
      </c>
      <c r="AX69">
        <f ca="1">'Alt scen Calcs'!L433</f>
        <v>13777.564401403659</v>
      </c>
      <c r="AY69">
        <f ca="1">'Alt scen Calcs'!M433</f>
        <v>13777.564401403659</v>
      </c>
      <c r="AZ69">
        <f ca="1">'Alt scen Calcs'!N433</f>
        <v>13777.564401403659</v>
      </c>
      <c r="BA69">
        <f ca="1">'Alt scen Calcs'!O433</f>
        <v>13698.339826318494</v>
      </c>
      <c r="BB69">
        <f ca="1">'Alt scen Calcs'!P433</f>
        <v>13619.115251233326</v>
      </c>
      <c r="BC69">
        <f ca="1">'Alt scen Calcs'!Q433</f>
        <v>13513.482484453105</v>
      </c>
      <c r="BD69">
        <f ca="1">'Alt scen Calcs'!R433</f>
        <v>13407.84971767288</v>
      </c>
      <c r="BE69">
        <f ca="1">'Alt scen Calcs'!S433</f>
        <v>11400.827148848637</v>
      </c>
      <c r="BF69">
        <f ca="1">'Alt scen Calcs'!T433</f>
        <v>9393.8045800243945</v>
      </c>
      <c r="BG69">
        <f ca="1">'Alt scen Calcs'!U433</f>
        <v>9393.8045800243945</v>
      </c>
      <c r="BH69">
        <f ca="1">'Alt scen Calcs'!V433</f>
        <v>9393.8045800243945</v>
      </c>
      <c r="BI69">
        <f ca="1">'Alt scen Calcs'!W433</f>
        <v>9393.8045800243945</v>
      </c>
      <c r="BJ69">
        <f ca="1">'Alt scen Calcs'!X433</f>
        <v>8469.0483917339716</v>
      </c>
      <c r="BK69">
        <f ca="1">'Alt scen Calcs'!Y433</f>
        <v>7544.2922034435505</v>
      </c>
      <c r="BL69">
        <f ca="1">'Alt scen Calcs'!Z433</f>
        <v>7544.2922034435505</v>
      </c>
      <c r="BM69">
        <f ca="1">'Alt scen Calcs'!AA433</f>
        <v>7544.2922034435505</v>
      </c>
      <c r="BN69">
        <f ca="1">'Alt scen Calcs'!AB433</f>
        <v>7544.2922034435505</v>
      </c>
      <c r="BO69">
        <f ca="1">'Alt scen Calcs'!AC433</f>
        <v>7544.2922034435505</v>
      </c>
      <c r="BW69" t="str">
        <f>'Alt scen Calcs'!C441&amp;" scenario"</f>
        <v>Supercritical coal output scenario</v>
      </c>
      <c r="BX69">
        <f>'Alt scen Calcs'!D441</f>
        <v>0</v>
      </c>
      <c r="BY69">
        <f>'Alt scen Calcs'!E441</f>
        <v>0</v>
      </c>
      <c r="BZ69">
        <f>'Alt scen Calcs'!F441</f>
        <v>0</v>
      </c>
      <c r="CA69">
        <f>'Alt scen Calcs'!G441</f>
        <v>0</v>
      </c>
      <c r="CB69">
        <f>'Alt scen Calcs'!H441</f>
        <v>0</v>
      </c>
      <c r="CC69">
        <f ca="1">'Alt scen Calcs'!I441</f>
        <v>0</v>
      </c>
      <c r="CD69">
        <f ca="1">'Alt scen Calcs'!J441</f>
        <v>0</v>
      </c>
      <c r="CE69">
        <f ca="1">'Alt scen Calcs'!K441</f>
        <v>1693.7365830000003</v>
      </c>
      <c r="CF69">
        <f ca="1">'Alt scen Calcs'!L441</f>
        <v>5081.2097490000015</v>
      </c>
      <c r="CG69">
        <f ca="1">'Alt scen Calcs'!M441</f>
        <v>10634.23800224124</v>
      </c>
      <c r="CH69">
        <f ca="1">'Alt scen Calcs'!N441</f>
        <v>16810.994815755548</v>
      </c>
      <c r="CI69">
        <f ca="1">'Alt scen Calcs'!O441</f>
        <v>23004.105324295513</v>
      </c>
      <c r="CJ69">
        <f ca="1">'Alt scen Calcs'!P441</f>
        <v>26993.251514152627</v>
      </c>
      <c r="CK69">
        <f ca="1">'Alt scen Calcs'!Q441</f>
        <v>29379.83395483479</v>
      </c>
      <c r="CL69">
        <f ca="1">'Alt scen Calcs'!R441</f>
        <v>28777.973963092143</v>
      </c>
      <c r="CM69">
        <f ca="1">'Alt scen Calcs'!S441</f>
        <v>28024.177219094479</v>
      </c>
      <c r="CN69">
        <f ca="1">'Alt scen Calcs'!T441</f>
        <v>24356.830616997791</v>
      </c>
      <c r="CO69">
        <f ca="1">'Alt scen Calcs'!U441</f>
        <v>21898.246594728091</v>
      </c>
      <c r="CP69">
        <f ca="1">'Alt scen Calcs'!V441</f>
        <v>20324.83899600001</v>
      </c>
      <c r="CQ69">
        <f ca="1">'Alt scen Calcs'!W441</f>
        <v>20324.83899600001</v>
      </c>
      <c r="CR69">
        <f ca="1">'Alt scen Calcs'!X441</f>
        <v>20453.283972315145</v>
      </c>
      <c r="CS69">
        <f ca="1">'Alt scen Calcs'!Y441</f>
        <v>26870.960371717756</v>
      </c>
      <c r="CT69">
        <f ca="1">'Alt scen Calcs'!Z441</f>
        <v>29502.873213153161</v>
      </c>
      <c r="CU69">
        <f ca="1">'Alt scen Calcs'!AA441</f>
        <v>33040.160722025088</v>
      </c>
      <c r="CV69">
        <f ca="1">'Alt scen Calcs'!AB441</f>
        <v>45633.727661654295</v>
      </c>
      <c r="CW69">
        <f ca="1">'Alt scen Calcs'!AC441</f>
        <v>46966.368296660425</v>
      </c>
    </row>
    <row r="71" spans="1:101">
      <c r="B71" s="4" t="s">
        <v>208</v>
      </c>
    </row>
    <row r="72" spans="1:101">
      <c r="B72" s="4">
        <v>2005</v>
      </c>
      <c r="C72" s="4">
        <v>2006</v>
      </c>
      <c r="D72" s="4">
        <v>2007</v>
      </c>
      <c r="E72" s="4">
        <v>2008</v>
      </c>
      <c r="F72" s="4">
        <v>2009</v>
      </c>
      <c r="G72" s="4">
        <v>2010</v>
      </c>
      <c r="H72" s="4">
        <v>2011</v>
      </c>
      <c r="I72" s="4">
        <v>2012</v>
      </c>
      <c r="J72" s="4">
        <v>2013</v>
      </c>
      <c r="K72" s="4">
        <v>2014</v>
      </c>
      <c r="L72" s="4">
        <v>2015</v>
      </c>
      <c r="M72" s="4">
        <v>2016</v>
      </c>
      <c r="N72" s="4">
        <v>2017</v>
      </c>
      <c r="O72" s="4">
        <v>2018</v>
      </c>
      <c r="P72" s="4">
        <v>2019</v>
      </c>
      <c r="Q72" s="4">
        <v>2020</v>
      </c>
      <c r="R72" s="4">
        <v>2021</v>
      </c>
      <c r="S72" s="4">
        <v>2022</v>
      </c>
      <c r="T72" s="4">
        <v>2023</v>
      </c>
      <c r="U72" s="4">
        <v>2024</v>
      </c>
      <c r="V72" s="4">
        <v>2025</v>
      </c>
      <c r="W72" s="4">
        <v>2026</v>
      </c>
      <c r="X72" s="4">
        <v>2027</v>
      </c>
      <c r="Y72" s="4">
        <v>2028</v>
      </c>
      <c r="Z72" s="4">
        <v>2029</v>
      </c>
      <c r="AA72" s="4">
        <v>2030</v>
      </c>
      <c r="AP72" s="4">
        <v>2005</v>
      </c>
      <c r="AQ72" s="4">
        <v>2006</v>
      </c>
      <c r="AR72" s="4">
        <v>2007</v>
      </c>
      <c r="AS72" s="4">
        <v>2008</v>
      </c>
      <c r="AT72" s="4">
        <v>2009</v>
      </c>
      <c r="AU72" s="4">
        <v>2010</v>
      </c>
      <c r="AV72" s="4">
        <v>2011</v>
      </c>
      <c r="AW72" s="4">
        <v>2012</v>
      </c>
      <c r="AX72" s="4">
        <v>2013</v>
      </c>
      <c r="AY72" s="4">
        <v>2014</v>
      </c>
      <c r="AZ72" s="4">
        <v>2015</v>
      </c>
      <c r="BA72" s="4">
        <v>2016</v>
      </c>
      <c r="BB72" s="4">
        <v>2017</v>
      </c>
      <c r="BC72" s="4">
        <v>2018</v>
      </c>
      <c r="BD72" s="4">
        <v>2019</v>
      </c>
      <c r="BE72" s="4">
        <v>2020</v>
      </c>
      <c r="BF72" s="4">
        <v>2021</v>
      </c>
      <c r="BG72" s="4">
        <v>2022</v>
      </c>
      <c r="BH72" s="4">
        <v>2023</v>
      </c>
      <c r="BI72" s="4">
        <v>2024</v>
      </c>
      <c r="BJ72" s="4">
        <v>2025</v>
      </c>
      <c r="BK72" s="4">
        <v>2026</v>
      </c>
      <c r="BL72" s="4">
        <v>2027</v>
      </c>
      <c r="BM72" s="4">
        <v>2028</v>
      </c>
      <c r="BN72" s="4">
        <v>2029</v>
      </c>
      <c r="BO72" s="4">
        <v>2030</v>
      </c>
      <c r="BX72" s="4">
        <v>2005</v>
      </c>
      <c r="BY72" s="4">
        <v>2006</v>
      </c>
      <c r="BZ72" s="4">
        <v>2007</v>
      </c>
      <c r="CA72" s="4">
        <v>2008</v>
      </c>
      <c r="CB72" s="4">
        <v>2009</v>
      </c>
      <c r="CC72" s="4">
        <v>2010</v>
      </c>
      <c r="CD72" s="4">
        <v>2011</v>
      </c>
      <c r="CE72" s="4">
        <v>2012</v>
      </c>
      <c r="CF72" s="4">
        <v>2013</v>
      </c>
      <c r="CG72" s="4">
        <v>2014</v>
      </c>
      <c r="CH72" s="4">
        <v>2015</v>
      </c>
      <c r="CI72" s="4">
        <v>2016</v>
      </c>
      <c r="CJ72" s="4">
        <v>2017</v>
      </c>
      <c r="CK72" s="4">
        <v>2018</v>
      </c>
      <c r="CL72" s="4">
        <v>2019</v>
      </c>
      <c r="CM72" s="4">
        <v>2020</v>
      </c>
      <c r="CN72" s="4">
        <v>2021</v>
      </c>
      <c r="CO72" s="4">
        <v>2022</v>
      </c>
      <c r="CP72" s="4">
        <v>2023</v>
      </c>
      <c r="CQ72" s="4">
        <v>2024</v>
      </c>
      <c r="CR72" s="4">
        <v>2025</v>
      </c>
      <c r="CS72" s="4">
        <v>2026</v>
      </c>
      <c r="CT72" s="4">
        <v>2027</v>
      </c>
      <c r="CU72" s="4">
        <v>2028</v>
      </c>
      <c r="CV72" s="4">
        <v>2029</v>
      </c>
      <c r="CW72" s="4">
        <v>2030</v>
      </c>
    </row>
    <row r="73" spans="1:101">
      <c r="A73" t="str">
        <f>'Ref scen Calcs'!C434</f>
        <v>Supercritical coal capacity utilisation</v>
      </c>
      <c r="B73" s="26">
        <f>'Ref scen Calcs'!D434</f>
        <v>0</v>
      </c>
      <c r="C73" s="26">
        <f>'Ref scen Calcs'!E434</f>
        <v>0</v>
      </c>
      <c r="D73" s="26">
        <f>'Ref scen Calcs'!F434</f>
        <v>0</v>
      </c>
      <c r="E73" s="26">
        <f>'Ref scen Calcs'!G434</f>
        <v>0</v>
      </c>
      <c r="F73" s="26">
        <f>'Ref scen Calcs'!H434</f>
        <v>0</v>
      </c>
      <c r="G73" s="26">
        <f ca="1">'Ref scen Calcs'!I434</f>
        <v>0</v>
      </c>
      <c r="H73" s="26">
        <f ca="1">'Ref scen Calcs'!J434</f>
        <v>0</v>
      </c>
      <c r="I73" s="26">
        <f ca="1">'Ref scen Calcs'!K434</f>
        <v>0.24351250000000005</v>
      </c>
      <c r="J73" s="26">
        <f ca="1">'Ref scen Calcs'!L434</f>
        <v>0.24351250000000005</v>
      </c>
      <c r="K73" s="26">
        <f ca="1">'Ref scen Calcs'!M434</f>
        <v>0.3303849936702129</v>
      </c>
      <c r="L73" s="26">
        <f ca="1">'Ref scen Calcs'!N434</f>
        <v>0.35319861825386922</v>
      </c>
      <c r="M73" s="26">
        <f ca="1">'Ref scen Calcs'!O434</f>
        <v>0.40483482967736983</v>
      </c>
      <c r="N73" s="26">
        <f ca="1">'Ref scen Calcs'!P434</f>
        <v>0.43898560235861828</v>
      </c>
      <c r="O73" s="26">
        <f ca="1">'Ref scen Calcs'!Q434</f>
        <v>0.43951907316055977</v>
      </c>
      <c r="P73" s="26">
        <f ca="1">'Ref scen Calcs'!R434</f>
        <v>0.44312241992060902</v>
      </c>
      <c r="Q73" s="26">
        <f ca="1">'Ref scen Calcs'!S434</f>
        <v>0.45848952200031956</v>
      </c>
      <c r="R73" s="26">
        <f ca="1">'Ref scen Calcs'!T434</f>
        <v>0.4548657284400362</v>
      </c>
      <c r="S73" s="26">
        <f ca="1">'Ref scen Calcs'!U434</f>
        <v>0.44330763314027305</v>
      </c>
      <c r="T73" s="26">
        <f ca="1">'Ref scen Calcs'!V434</f>
        <v>0.44987101782521904</v>
      </c>
      <c r="U73" s="26">
        <f ca="1">'Ref scen Calcs'!W434</f>
        <v>0.4790519065027275</v>
      </c>
      <c r="V73" s="26">
        <f ca="1">'Ref scen Calcs'!X434</f>
        <v>0.5075356894252504</v>
      </c>
      <c r="W73" s="26">
        <f ca="1">'Ref scen Calcs'!Y434</f>
        <v>0.5285546023072123</v>
      </c>
      <c r="X73" s="26">
        <f ca="1">'Ref scen Calcs'!Z434</f>
        <v>0.54492709802049255</v>
      </c>
      <c r="Y73" s="26">
        <f ca="1">'Ref scen Calcs'!AA434</f>
        <v>0.56532098468292691</v>
      </c>
      <c r="Z73" s="26">
        <f ca="1">'Ref scen Calcs'!AB434</f>
        <v>0.60370701586633002</v>
      </c>
      <c r="AA73" s="26">
        <f ca="1">'Ref scen Calcs'!AC434</f>
        <v>0.60050782200767261</v>
      </c>
      <c r="AO73" s="26" t="str">
        <f>'Alt scen Calcs'!C434</f>
        <v>OCGT liquid fuels capacity utilisation</v>
      </c>
      <c r="AP73" s="26">
        <f>'Alt scen Calcs'!D434</f>
        <v>3.1001273333333329E-2</v>
      </c>
      <c r="AQ73" s="26">
        <f>'Alt scen Calcs'!E434</f>
        <v>3.1001273333333329E-2</v>
      </c>
      <c r="AR73" s="26">
        <f>'Alt scen Calcs'!F434</f>
        <v>3.1001273333333329E-2</v>
      </c>
      <c r="AS73" s="26">
        <f>'Alt scen Calcs'!G434</f>
        <v>3.1001273333333329E-2</v>
      </c>
      <c r="AT73" s="26">
        <f>'Alt scen Calcs'!H434</f>
        <v>3.1001273333333329E-2</v>
      </c>
      <c r="AU73" s="26">
        <f ca="1">'Alt scen Calcs'!I434</f>
        <v>3.1001273333333329E-2</v>
      </c>
      <c r="AV73" s="26">
        <f ca="1">'Alt scen Calcs'!J434</f>
        <v>3.1001273333333329E-2</v>
      </c>
      <c r="AW73" s="26">
        <f ca="1">'Alt scen Calcs'!K434</f>
        <v>3.1001273333333329E-2</v>
      </c>
      <c r="AX73" s="26">
        <f ca="1">'Alt scen Calcs'!L434</f>
        <v>3.1001273333333329E-2</v>
      </c>
      <c r="AY73" s="26">
        <f ca="1">'Alt scen Calcs'!M434</f>
        <v>3.1001273333333329E-2</v>
      </c>
      <c r="AZ73" s="26">
        <f ca="1">'Alt scen Calcs'!N434</f>
        <v>3.1001273333333329E-2</v>
      </c>
      <c r="BA73" s="26">
        <f ca="1">'Alt scen Calcs'!O434</f>
        <v>3.1001273333333329E-2</v>
      </c>
      <c r="BB73" s="26">
        <f ca="1">'Alt scen Calcs'!P434</f>
        <v>3.1001273333333329E-2</v>
      </c>
      <c r="BC73" s="26">
        <f ca="1">'Alt scen Calcs'!Q434</f>
        <v>3.1001273333333329E-2</v>
      </c>
      <c r="BD73" s="26">
        <f ca="1">'Alt scen Calcs'!R434</f>
        <v>3.1001273333333329E-2</v>
      </c>
      <c r="BE73" s="26">
        <f ca="1">'Alt scen Calcs'!S434</f>
        <v>3.1001273333333329E-2</v>
      </c>
      <c r="BF73" s="26">
        <f ca="1">'Alt scen Calcs'!T434</f>
        <v>3.1001273333333329E-2</v>
      </c>
      <c r="BG73" s="26">
        <f ca="1">'Alt scen Calcs'!U434</f>
        <v>3.1001273333333329E-2</v>
      </c>
      <c r="BH73" s="26">
        <f ca="1">'Alt scen Calcs'!V434</f>
        <v>3.1001273333333329E-2</v>
      </c>
      <c r="BI73" s="26">
        <f ca="1">'Alt scen Calcs'!W434</f>
        <v>3.1001273333333329E-2</v>
      </c>
      <c r="BJ73" s="26">
        <f ca="1">'Alt scen Calcs'!X434</f>
        <v>3.1001273333333329E-2</v>
      </c>
      <c r="BK73" s="26">
        <f ca="1">'Alt scen Calcs'!Y434</f>
        <v>3.1001273333333336E-2</v>
      </c>
      <c r="BL73" s="26">
        <f ca="1">'Alt scen Calcs'!Z434</f>
        <v>3.1001273333333336E-2</v>
      </c>
      <c r="BM73" s="26">
        <f ca="1">'Alt scen Calcs'!AA434</f>
        <v>3.1001273333333336E-2</v>
      </c>
      <c r="BN73" s="26">
        <f ca="1">'Alt scen Calcs'!AB434</f>
        <v>3.1001273333333329E-2</v>
      </c>
      <c r="BO73" s="26">
        <f ca="1">'Alt scen Calcs'!AC434</f>
        <v>3.1001273333333329E-2</v>
      </c>
      <c r="BW73" t="str">
        <f>"Reference "&amp;'Ref scen Calcs'!C442</f>
        <v>Reference Supercritical coal capacity utilisation</v>
      </c>
      <c r="BX73" s="26">
        <f>'Ref scen Calcs'!D442</f>
        <v>0</v>
      </c>
      <c r="BY73" s="26">
        <f>'Ref scen Calcs'!E442</f>
        <v>0</v>
      </c>
      <c r="BZ73" s="26">
        <f>'Ref scen Calcs'!F442</f>
        <v>0</v>
      </c>
      <c r="CA73" s="26">
        <f>'Ref scen Calcs'!G442</f>
        <v>0</v>
      </c>
      <c r="CB73" s="26">
        <f>'Ref scen Calcs'!H442</f>
        <v>0</v>
      </c>
      <c r="CC73" s="26">
        <f ca="1">'Ref scen Calcs'!I442</f>
        <v>0</v>
      </c>
      <c r="CD73" s="26">
        <f ca="1">'Ref scen Calcs'!J442</f>
        <v>0</v>
      </c>
      <c r="CE73" s="26">
        <f ca="1">'Ref scen Calcs'!K442</f>
        <v>0.24351250000000005</v>
      </c>
      <c r="CF73" s="26">
        <f ca="1">'Ref scen Calcs'!L442</f>
        <v>0.24351250000000005</v>
      </c>
      <c r="CG73" s="26">
        <f ca="1">'Ref scen Calcs'!M442</f>
        <v>0.3303849936702129</v>
      </c>
      <c r="CH73" s="26">
        <f ca="1">'Ref scen Calcs'!N442</f>
        <v>0.35319861825386922</v>
      </c>
      <c r="CI73" s="26">
        <f ca="1">'Ref scen Calcs'!O442</f>
        <v>0.40483482967736983</v>
      </c>
      <c r="CJ73" s="26">
        <f ca="1">'Ref scen Calcs'!P442</f>
        <v>0.43898560235861828</v>
      </c>
      <c r="CK73" s="26">
        <f ca="1">'Ref scen Calcs'!Q442</f>
        <v>0.43951907316055977</v>
      </c>
      <c r="CL73" s="26">
        <f ca="1">'Ref scen Calcs'!R442</f>
        <v>0.44312241992060902</v>
      </c>
      <c r="CM73" s="26">
        <f ca="1">'Ref scen Calcs'!S442</f>
        <v>0.45848952200031956</v>
      </c>
      <c r="CN73" s="26">
        <f ca="1">'Ref scen Calcs'!T442</f>
        <v>0.4548657284400362</v>
      </c>
      <c r="CO73" s="26">
        <f ca="1">'Ref scen Calcs'!U442</f>
        <v>0.44330763314027305</v>
      </c>
      <c r="CP73" s="26">
        <f ca="1">'Ref scen Calcs'!V442</f>
        <v>0.44987101782521904</v>
      </c>
      <c r="CQ73" s="26">
        <f ca="1">'Ref scen Calcs'!W442</f>
        <v>0.4790519065027275</v>
      </c>
      <c r="CR73" s="26">
        <f ca="1">'Ref scen Calcs'!X442</f>
        <v>0.5075356894252504</v>
      </c>
      <c r="CS73" s="26">
        <f ca="1">'Ref scen Calcs'!Y442</f>
        <v>0.5285546023072123</v>
      </c>
      <c r="CT73" s="26">
        <f ca="1">'Ref scen Calcs'!Z442</f>
        <v>0.54492709802049255</v>
      </c>
      <c r="CU73" s="26">
        <f ca="1">'Ref scen Calcs'!AA442</f>
        <v>0.56532098468292691</v>
      </c>
      <c r="CV73" s="26">
        <f ca="1">'Ref scen Calcs'!AB442</f>
        <v>0.60370701586633002</v>
      </c>
      <c r="CW73" s="26">
        <f ca="1">'Ref scen Calcs'!AC442</f>
        <v>0.60050782200767261</v>
      </c>
    </row>
    <row r="74" spans="1:101">
      <c r="A74" t="str">
        <f>'Ref scen Calcs'!C435</f>
        <v>Existing coal Large capacity utilisation</v>
      </c>
      <c r="B74" s="26">
        <f>'Ref scen Calcs'!D435</f>
        <v>0.77123086050198464</v>
      </c>
      <c r="C74" s="26">
        <f>'Ref scen Calcs'!E435</f>
        <v>0.77123086050198464</v>
      </c>
      <c r="D74" s="26">
        <f>'Ref scen Calcs'!F435</f>
        <v>0.79663707773562631</v>
      </c>
      <c r="E74" s="26">
        <f>'Ref scen Calcs'!G435</f>
        <v>0.80548716546221288</v>
      </c>
      <c r="F74" s="26">
        <f>'Ref scen Calcs'!H435</f>
        <v>0.80548716546221288</v>
      </c>
      <c r="G74" s="26">
        <f ca="1">'Ref scen Calcs'!I435</f>
        <v>0.82450319167071895</v>
      </c>
      <c r="H74" s="26">
        <f ca="1">'Ref scen Calcs'!J435</f>
        <v>0.83891860665566464</v>
      </c>
      <c r="I74" s="26">
        <f ca="1">'Ref scen Calcs'!K435</f>
        <v>0.85494252468904797</v>
      </c>
      <c r="J74" s="26">
        <f ca="1">'Ref scen Calcs'!L435</f>
        <v>0.86982652794204074</v>
      </c>
      <c r="K74" s="26">
        <f ca="1">'Ref scen Calcs'!M435</f>
        <v>0.87057493204096037</v>
      </c>
      <c r="L74" s="26">
        <f ca="1">'Ref scen Calcs'!N435</f>
        <v>0.87057493204096037</v>
      </c>
      <c r="M74" s="26">
        <f ca="1">'Ref scen Calcs'!O435</f>
        <v>0.87057493204096037</v>
      </c>
      <c r="N74" s="26">
        <f ca="1">'Ref scen Calcs'!P435</f>
        <v>0.87057493204096037</v>
      </c>
      <c r="O74" s="26">
        <f ca="1">'Ref scen Calcs'!Q435</f>
        <v>0.87057493204096037</v>
      </c>
      <c r="P74" s="26">
        <f ca="1">'Ref scen Calcs'!R435</f>
        <v>0.87057493204096037</v>
      </c>
      <c r="Q74" s="26">
        <f ca="1">'Ref scen Calcs'!S435</f>
        <v>0.87057493204096037</v>
      </c>
      <c r="R74" s="26">
        <f ca="1">'Ref scen Calcs'!T435</f>
        <v>0.87057493204096037</v>
      </c>
      <c r="S74" s="26">
        <f ca="1">'Ref scen Calcs'!U435</f>
        <v>0.87057493204096037</v>
      </c>
      <c r="T74" s="26">
        <f ca="1">'Ref scen Calcs'!V435</f>
        <v>0.87057493204096037</v>
      </c>
      <c r="U74" s="26">
        <f ca="1">'Ref scen Calcs'!W435</f>
        <v>0.87057493204096037</v>
      </c>
      <c r="V74" s="26">
        <f ca="1">'Ref scen Calcs'!X435</f>
        <v>0.87057493204096048</v>
      </c>
      <c r="W74" s="26">
        <f ca="1">'Ref scen Calcs'!Y435</f>
        <v>0.87057493204096048</v>
      </c>
      <c r="X74" s="26">
        <f ca="1">'Ref scen Calcs'!Z435</f>
        <v>0.87057493204096037</v>
      </c>
      <c r="Y74" s="26">
        <f ca="1">'Ref scen Calcs'!AA435</f>
        <v>0.87057493204096048</v>
      </c>
      <c r="Z74" s="26">
        <f ca="1">'Ref scen Calcs'!AB435</f>
        <v>0.87057493204096048</v>
      </c>
      <c r="AA74" s="26">
        <f ca="1">'Ref scen Calcs'!AC435</f>
        <v>0.87057493204096037</v>
      </c>
      <c r="AO74" s="26" t="str">
        <f>'Alt scen Calcs'!C435</f>
        <v>Existing coal Small capacity utilisation</v>
      </c>
      <c r="AP74" s="26">
        <f>'Alt scen Calcs'!D435</f>
        <v>0.24117070041146876</v>
      </c>
      <c r="AQ74" s="26">
        <f>'Alt scen Calcs'!E435</f>
        <v>0.24117070041146876</v>
      </c>
      <c r="AR74" s="26">
        <f>'Alt scen Calcs'!F435</f>
        <v>0.24117070041146876</v>
      </c>
      <c r="AS74" s="26">
        <f>'Alt scen Calcs'!G435</f>
        <v>0.24117070041146876</v>
      </c>
      <c r="AT74" s="26">
        <f>'Alt scen Calcs'!H435</f>
        <v>0.24117070041146876</v>
      </c>
      <c r="AU74" s="26">
        <f ca="1">'Alt scen Calcs'!I435</f>
        <v>0.24117070041146876</v>
      </c>
      <c r="AV74" s="26">
        <f ca="1">'Alt scen Calcs'!J435</f>
        <v>0.24117070041146876</v>
      </c>
      <c r="AW74" s="26">
        <f ca="1">'Alt scen Calcs'!K435</f>
        <v>0.24117070041146876</v>
      </c>
      <c r="AX74" s="26">
        <f ca="1">'Alt scen Calcs'!L435</f>
        <v>0.24117070041146876</v>
      </c>
      <c r="AY74" s="26">
        <f ca="1">'Alt scen Calcs'!M435</f>
        <v>0.24117070041146876</v>
      </c>
      <c r="AZ74" s="26">
        <f ca="1">'Alt scen Calcs'!N435</f>
        <v>0.24117070041146876</v>
      </c>
      <c r="BA74" s="26">
        <f ca="1">'Alt scen Calcs'!O435</f>
        <v>0.24117070041146876</v>
      </c>
      <c r="BB74" s="26">
        <f ca="1">'Alt scen Calcs'!P435</f>
        <v>0.24117070041146876</v>
      </c>
      <c r="BC74" s="26">
        <f ca="1">'Alt scen Calcs'!Q435</f>
        <v>0.24117070041146882</v>
      </c>
      <c r="BD74" s="26">
        <f ca="1">'Alt scen Calcs'!R435</f>
        <v>0.24117070041146876</v>
      </c>
      <c r="BE74" s="26">
        <f ca="1">'Alt scen Calcs'!S435</f>
        <v>0.24117070041146876</v>
      </c>
      <c r="BF74" s="26">
        <f ca="1">'Alt scen Calcs'!T435</f>
        <v>0.24117070041146882</v>
      </c>
      <c r="BG74" s="26">
        <f ca="1">'Alt scen Calcs'!U435</f>
        <v>0.24117070041146882</v>
      </c>
      <c r="BH74" s="26">
        <f ca="1">'Alt scen Calcs'!V435</f>
        <v>0.24117070041146882</v>
      </c>
      <c r="BI74" s="26">
        <f ca="1">'Alt scen Calcs'!W435</f>
        <v>0.24117070041146882</v>
      </c>
      <c r="BJ74" s="26">
        <f ca="1">'Alt scen Calcs'!X435</f>
        <v>0.24117070041146876</v>
      </c>
      <c r="BK74" s="26">
        <f ca="1">'Alt scen Calcs'!Y435</f>
        <v>0.24117070041146876</v>
      </c>
      <c r="BL74" s="26">
        <f ca="1">'Alt scen Calcs'!Z435</f>
        <v>0.24117070041146876</v>
      </c>
      <c r="BM74" s="26">
        <f ca="1">'Alt scen Calcs'!AA435</f>
        <v>0.24117070041146876</v>
      </c>
      <c r="BN74" s="26">
        <f ca="1">'Alt scen Calcs'!AB435</f>
        <v>0.24117070041146876</v>
      </c>
      <c r="BO74" s="26">
        <f ca="1">'Alt scen Calcs'!AC435</f>
        <v>0.24117070041146876</v>
      </c>
      <c r="BW74" t="str">
        <f>"Scenario "&amp;'Alt scen Calcs'!C442</f>
        <v>Scenario Supercritical coal capacity utilisation</v>
      </c>
      <c r="BX74">
        <f>'Alt scen Calcs'!D442</f>
        <v>0</v>
      </c>
      <c r="BY74">
        <f>'Alt scen Calcs'!E442</f>
        <v>0</v>
      </c>
      <c r="BZ74">
        <f>'Alt scen Calcs'!F442</f>
        <v>0</v>
      </c>
      <c r="CA74">
        <f>'Alt scen Calcs'!G442</f>
        <v>0</v>
      </c>
      <c r="CB74">
        <f>'Alt scen Calcs'!H442</f>
        <v>0</v>
      </c>
      <c r="CC74">
        <f ca="1">'Alt scen Calcs'!I442</f>
        <v>0</v>
      </c>
      <c r="CD74">
        <f ca="1">'Alt scen Calcs'!J442</f>
        <v>0</v>
      </c>
      <c r="CE74">
        <f ca="1">'Alt scen Calcs'!K442</f>
        <v>0.24351250000000005</v>
      </c>
      <c r="CF74">
        <f ca="1">'Alt scen Calcs'!L442</f>
        <v>0.24351250000000005</v>
      </c>
      <c r="CG74">
        <f ca="1">'Alt scen Calcs'!M442</f>
        <v>0.25481824304048917</v>
      </c>
      <c r="CH74">
        <f ca="1">'Alt scen Calcs'!N442</f>
        <v>0.26855070460843994</v>
      </c>
      <c r="CI74">
        <f ca="1">'Alt scen Calcs'!O442</f>
        <v>0.30066858490745124</v>
      </c>
      <c r="CJ74">
        <f ca="1">'Alt scen Calcs'!P442</f>
        <v>0.32340694854378516</v>
      </c>
      <c r="CK74">
        <f ca="1">'Alt scen Calcs'!Q442</f>
        <v>0.35200066368716171</v>
      </c>
      <c r="CL74">
        <f ca="1">'Alt scen Calcs'!R442</f>
        <v>0.34478976124074751</v>
      </c>
      <c r="CM74">
        <f ca="1">'Alt scen Calcs'!S442</f>
        <v>0.33575850005049374</v>
      </c>
      <c r="CN74">
        <f ca="1">'Alt scen Calcs'!T442</f>
        <v>0.2918199114290132</v>
      </c>
      <c r="CO74">
        <f ca="1">'Alt scen Calcs'!U442</f>
        <v>0.26236354319698069</v>
      </c>
      <c r="CP74">
        <f ca="1">'Alt scen Calcs'!V442</f>
        <v>0.24351250000000005</v>
      </c>
      <c r="CQ74">
        <f ca="1">'Alt scen Calcs'!W442</f>
        <v>0.24351250000000005</v>
      </c>
      <c r="CR74">
        <f ca="1">'Alt scen Calcs'!X442</f>
        <v>0.24505140307820375</v>
      </c>
      <c r="CS74">
        <f ca="1">'Alt scen Calcs'!Y442</f>
        <v>0.32194177473217306</v>
      </c>
      <c r="CT74">
        <f ca="1">'Alt scen Calcs'!Z442</f>
        <v>0.35347480069740561</v>
      </c>
      <c r="CU74">
        <f ca="1">'Alt scen Calcs'!AA442</f>
        <v>0.39585514745802181</v>
      </c>
      <c r="CV74">
        <f ca="1">'Alt scen Calcs'!AB442</f>
        <v>0.54673904720207356</v>
      </c>
      <c r="CW74">
        <f ca="1">'Alt scen Calcs'!AC442</f>
        <v>0.56270545425188068</v>
      </c>
    </row>
    <row r="107" spans="1:67">
      <c r="A107" s="4" t="s">
        <v>251</v>
      </c>
    </row>
    <row r="108" spans="1:67">
      <c r="B108" s="4" t="s">
        <v>208</v>
      </c>
      <c r="AP108" s="4" t="s">
        <v>209</v>
      </c>
    </row>
    <row r="109" spans="1:67">
      <c r="B109" s="4">
        <v>2005</v>
      </c>
      <c r="C109" s="4">
        <v>2006</v>
      </c>
      <c r="D109" s="4">
        <v>2007</v>
      </c>
      <c r="E109" s="4">
        <v>2008</v>
      </c>
      <c r="F109" s="4">
        <v>2009</v>
      </c>
      <c r="G109" s="4">
        <v>2010</v>
      </c>
      <c r="H109" s="4">
        <v>2011</v>
      </c>
      <c r="I109" s="4">
        <v>2012</v>
      </c>
      <c r="J109" s="4">
        <v>2013</v>
      </c>
      <c r="K109" s="4">
        <v>2014</v>
      </c>
      <c r="L109" s="4">
        <v>2015</v>
      </c>
      <c r="M109" s="4">
        <v>2016</v>
      </c>
      <c r="N109" s="4">
        <v>2017</v>
      </c>
      <c r="O109" s="4">
        <v>2018</v>
      </c>
      <c r="P109" s="4">
        <v>2019</v>
      </c>
      <c r="Q109" s="4">
        <v>2020</v>
      </c>
      <c r="R109" s="4">
        <v>2021</v>
      </c>
      <c r="S109" s="4">
        <v>2022</v>
      </c>
      <c r="T109" s="4">
        <v>2023</v>
      </c>
      <c r="U109" s="4">
        <v>2024</v>
      </c>
      <c r="V109" s="4">
        <v>2025</v>
      </c>
      <c r="W109" s="4">
        <v>2026</v>
      </c>
      <c r="X109" s="4">
        <v>2027</v>
      </c>
      <c r="Y109" s="4">
        <v>2028</v>
      </c>
      <c r="Z109" s="4">
        <v>2029</v>
      </c>
      <c r="AA109" s="4">
        <v>2030</v>
      </c>
      <c r="AP109" s="4">
        <v>2005</v>
      </c>
      <c r="AQ109" s="4">
        <v>2006</v>
      </c>
      <c r="AR109" s="4">
        <v>2007</v>
      </c>
      <c r="AS109" s="4">
        <v>2008</v>
      </c>
      <c r="AT109" s="4">
        <v>2009</v>
      </c>
      <c r="AU109" s="4">
        <v>2010</v>
      </c>
      <c r="AV109" s="4">
        <v>2011</v>
      </c>
      <c r="AW109" s="4">
        <v>2012</v>
      </c>
      <c r="AX109" s="4">
        <v>2013</v>
      </c>
      <c r="AY109" s="4">
        <v>2014</v>
      </c>
      <c r="AZ109" s="4">
        <v>2015</v>
      </c>
      <c r="BA109" s="4">
        <v>2016</v>
      </c>
      <c r="BB109" s="4">
        <v>2017</v>
      </c>
      <c r="BC109" s="4">
        <v>2018</v>
      </c>
      <c r="BD109" s="4">
        <v>2019</v>
      </c>
      <c r="BE109" s="4">
        <v>2020</v>
      </c>
      <c r="BF109" s="4">
        <v>2021</v>
      </c>
      <c r="BG109" s="4">
        <v>2022</v>
      </c>
      <c r="BH109" s="4">
        <v>2023</v>
      </c>
      <c r="BI109" s="4">
        <v>2024</v>
      </c>
      <c r="BJ109" s="4">
        <v>2025</v>
      </c>
      <c r="BK109" s="4">
        <v>2026</v>
      </c>
      <c r="BL109" s="4">
        <v>2027</v>
      </c>
      <c r="BM109" s="4">
        <v>2028</v>
      </c>
      <c r="BN109" s="4">
        <v>2029</v>
      </c>
      <c r="BO109" s="4">
        <v>2030</v>
      </c>
    </row>
    <row r="110" spans="1:67">
      <c r="A110" t="str">
        <f>A9</f>
        <v>Existing coal Large</v>
      </c>
      <c r="B110">
        <f ca="1">'Ref scen Calcs'!D561</f>
        <v>16255.848534235311</v>
      </c>
      <c r="C110">
        <f ca="1">'Ref scen Calcs'!E561</f>
        <v>17848.075230169379</v>
      </c>
      <c r="D110">
        <f ca="1">'Ref scen Calcs'!F561</f>
        <v>19881.448596266746</v>
      </c>
      <c r="E110">
        <f ca="1">'Ref scen Calcs'!G561</f>
        <v>20778.472732023358</v>
      </c>
      <c r="F110">
        <f ca="1">'Ref scen Calcs'!H561</f>
        <v>20778.472732023358</v>
      </c>
      <c r="G110">
        <f ca="1">'Ref scen Calcs'!I561</f>
        <v>21202.080907823816</v>
      </c>
      <c r="H110">
        <f ca="1">'Ref scen Calcs'!J561</f>
        <v>21544.21256869131</v>
      </c>
      <c r="I110">
        <f ca="1">'Ref scen Calcs'!K561</f>
        <v>21918.855286541409</v>
      </c>
      <c r="J110">
        <f ca="1">'Ref scen Calcs'!L561</f>
        <v>22275.182280814239</v>
      </c>
      <c r="K110">
        <f ca="1">'Ref scen Calcs'!M561</f>
        <v>22369.252860877034</v>
      </c>
      <c r="L110">
        <f ca="1">'Ref scen Calcs'!N561</f>
        <v>22449.36221189766</v>
      </c>
      <c r="M110">
        <f ca="1">'Ref scen Calcs'!O561</f>
        <v>22529.47156291829</v>
      </c>
      <c r="N110">
        <f ca="1">'Ref scen Calcs'!P561</f>
        <v>22609.580913938917</v>
      </c>
      <c r="O110">
        <f ca="1">'Ref scen Calcs'!Q561</f>
        <v>22689.690264959547</v>
      </c>
      <c r="P110">
        <f ca="1">'Ref scen Calcs'!R561</f>
        <v>22769.799615980173</v>
      </c>
      <c r="Q110">
        <f ca="1">'Ref scen Calcs'!S561</f>
        <v>22849.908967000803</v>
      </c>
      <c r="R110">
        <f ca="1">'Ref scen Calcs'!T561</f>
        <v>22930.01831802143</v>
      </c>
      <c r="S110">
        <f ca="1">'Ref scen Calcs'!U561</f>
        <v>23010.127669042056</v>
      </c>
      <c r="T110">
        <f ca="1">'Ref scen Calcs'!V561</f>
        <v>23090.237020062686</v>
      </c>
      <c r="U110">
        <f ca="1">'Ref scen Calcs'!W561</f>
        <v>22303.482964466039</v>
      </c>
      <c r="V110">
        <f ca="1">'Ref scen Calcs'!X561</f>
        <v>21510.734707158685</v>
      </c>
      <c r="W110">
        <f ca="1">'Ref scen Calcs'!Y561</f>
        <v>20493.777846058623</v>
      </c>
      <c r="X110">
        <f ca="1">'Ref scen Calcs'!Z561</f>
        <v>19469.328232820168</v>
      </c>
      <c r="Y110">
        <f ca="1">'Ref scen Calcs'!AA561</f>
        <v>18206.109075327888</v>
      </c>
      <c r="Z110">
        <f ca="1">'Ref scen Calcs'!AB561</f>
        <v>15599.443102709989</v>
      </c>
      <c r="AA110">
        <f ca="1">'Ref scen Calcs'!AC561</f>
        <v>14313.548511114688</v>
      </c>
      <c r="AP110">
        <f ca="1">'Alt scen Calcs'!D561</f>
        <v>16255.848534235311</v>
      </c>
      <c r="AQ110">
        <f ca="1">'Alt scen Calcs'!E561</f>
        <v>17848.075230169379</v>
      </c>
      <c r="AR110">
        <f ca="1">'Alt scen Calcs'!F561</f>
        <v>19881.448596266746</v>
      </c>
      <c r="AS110">
        <f ca="1">'Alt scen Calcs'!G561</f>
        <v>20778.472732023358</v>
      </c>
      <c r="AT110">
        <f ca="1">'Alt scen Calcs'!H561</f>
        <v>20778.472732023358</v>
      </c>
      <c r="AU110">
        <f ca="1">'Alt scen Calcs'!I561</f>
        <v>21202.080907823816</v>
      </c>
      <c r="AV110">
        <f ca="1">'Alt scen Calcs'!J561</f>
        <v>21507.842323700119</v>
      </c>
      <c r="AW110">
        <f ca="1">'Alt scen Calcs'!K561</f>
        <v>21845.752410405974</v>
      </c>
      <c r="AX110">
        <f ca="1">'Alt scen Calcs'!L561</f>
        <v>22128.25175623727</v>
      </c>
      <c r="AY110">
        <f ca="1">'Alt scen Calcs'!M561</f>
        <v>22369.252860877034</v>
      </c>
      <c r="AZ110">
        <f ca="1">'Alt scen Calcs'!N561</f>
        <v>22449.36221189766</v>
      </c>
      <c r="BA110">
        <f ca="1">'Alt scen Calcs'!O561</f>
        <v>22529.47156291829</v>
      </c>
      <c r="BB110">
        <f ca="1">'Alt scen Calcs'!P561</f>
        <v>22609.580913938917</v>
      </c>
      <c r="BC110">
        <f ca="1">'Alt scen Calcs'!Q561</f>
        <v>22689.690264959547</v>
      </c>
      <c r="BD110">
        <f ca="1">'Alt scen Calcs'!R561</f>
        <v>22769.799615980173</v>
      </c>
      <c r="BE110">
        <f ca="1">'Alt scen Calcs'!S561</f>
        <v>22849.908967000803</v>
      </c>
      <c r="BF110">
        <f ca="1">'Alt scen Calcs'!T561</f>
        <v>22930.01831802143</v>
      </c>
      <c r="BG110">
        <f ca="1">'Alt scen Calcs'!U561</f>
        <v>23010.127669042056</v>
      </c>
      <c r="BH110">
        <f ca="1">'Alt scen Calcs'!V561</f>
        <v>22691.857287580668</v>
      </c>
      <c r="BI110">
        <f ca="1">'Alt scen Calcs'!W561</f>
        <v>22055.59472370577</v>
      </c>
      <c r="BJ110">
        <f ca="1">'Alt scen Calcs'!X561</f>
        <v>21510.734707158685</v>
      </c>
      <c r="BK110">
        <f ca="1">'Alt scen Calcs'!Y561</f>
        <v>20493.777846058623</v>
      </c>
      <c r="BL110">
        <f ca="1">'Alt scen Calcs'!Z561</f>
        <v>19469.328232820168</v>
      </c>
      <c r="BM110">
        <f ca="1">'Alt scen Calcs'!AA561</f>
        <v>18206.109075327888</v>
      </c>
      <c r="BN110">
        <f ca="1">'Alt scen Calcs'!AB561</f>
        <v>15599.443102709989</v>
      </c>
      <c r="BO110">
        <f ca="1">'Alt scen Calcs'!AC561</f>
        <v>14313.548511114688</v>
      </c>
    </row>
    <row r="111" spans="1:67">
      <c r="A111" t="str">
        <f t="shared" ref="A111:A129" si="1">A10</f>
        <v>Existing coal Small</v>
      </c>
      <c r="B111">
        <f ca="1">'Ref scen Calcs'!D562</f>
        <v>2346.7001846771027</v>
      </c>
      <c r="C111">
        <f ca="1">'Ref scen Calcs'!E562</f>
        <v>2456.5429896070436</v>
      </c>
      <c r="D111">
        <f ca="1">'Ref scen Calcs'!F562</f>
        <v>2566.3857945369841</v>
      </c>
      <c r="E111">
        <f ca="1">'Ref scen Calcs'!G562</f>
        <v>2680.9661728977972</v>
      </c>
      <c r="F111">
        <f ca="1">'Ref scen Calcs'!H562</f>
        <v>2680.9661728977972</v>
      </c>
      <c r="G111">
        <f ca="1">'Ref scen Calcs'!I562</f>
        <v>3024.8324517331271</v>
      </c>
      <c r="H111">
        <f ca="1">'Ref scen Calcs'!J562</f>
        <v>3231.974476853894</v>
      </c>
      <c r="I111">
        <f ca="1">'Ref scen Calcs'!K562</f>
        <v>3239.3546044048408</v>
      </c>
      <c r="J111">
        <f ca="1">'Ref scen Calcs'!L562</f>
        <v>3246.7347319557866</v>
      </c>
      <c r="K111">
        <f ca="1">'Ref scen Calcs'!M562</f>
        <v>3254.1148595067334</v>
      </c>
      <c r="L111">
        <f ca="1">'Ref scen Calcs'!N562</f>
        <v>3261.4949870576793</v>
      </c>
      <c r="M111">
        <f ca="1">'Ref scen Calcs'!O562</f>
        <v>3250.078233359066</v>
      </c>
      <c r="N111">
        <f ca="1">'Ref scen Calcs'!P562</f>
        <v>3238.5766043585108</v>
      </c>
      <c r="O111">
        <f ca="1">'Ref scen Calcs'!Q562</f>
        <v>3220.6961812055124</v>
      </c>
      <c r="P111">
        <f ca="1">'Ref scen Calcs'!R562</f>
        <v>3202.7025909832582</v>
      </c>
      <c r="Q111">
        <f ca="1">'Ref scen Calcs'!S562</f>
        <v>2729.3966692090917</v>
      </c>
      <c r="R111">
        <f ca="1">'Ref scen Calcs'!T562</f>
        <v>2253.9405731190573</v>
      </c>
      <c r="S111">
        <f ca="1">'Ref scen Calcs'!U562</f>
        <v>2258.9724839829387</v>
      </c>
      <c r="T111">
        <f ca="1">'Ref scen Calcs'!V562</f>
        <v>2264.0043948468197</v>
      </c>
      <c r="U111">
        <f ca="1">'Ref scen Calcs'!W562</f>
        <v>2269.0363057107006</v>
      </c>
      <c r="V111">
        <f ca="1">'Ref scen Calcs'!X562</f>
        <v>2050.2016630437815</v>
      </c>
      <c r="W111">
        <f ca="1">'Ref scen Calcs'!Y562</f>
        <v>1830.3763055561185</v>
      </c>
      <c r="X111">
        <f ca="1">'Ref scen Calcs'!Z562</f>
        <v>1834.4175015992557</v>
      </c>
      <c r="Y111">
        <f ca="1">'Ref scen Calcs'!AA562</f>
        <v>1838.458697642393</v>
      </c>
      <c r="Z111">
        <f ca="1">'Ref scen Calcs'!AB562</f>
        <v>1842.4998936855307</v>
      </c>
      <c r="AA111">
        <f ca="1">'Ref scen Calcs'!AC562</f>
        <v>1846.5410897286679</v>
      </c>
      <c r="AP111">
        <f ca="1">'Alt scen Calcs'!D562</f>
        <v>2346.7001846771027</v>
      </c>
      <c r="AQ111">
        <f ca="1">'Alt scen Calcs'!E562</f>
        <v>2456.5429896070436</v>
      </c>
      <c r="AR111">
        <f ca="1">'Alt scen Calcs'!F562</f>
        <v>2566.3857945369841</v>
      </c>
      <c r="AS111">
        <f ca="1">'Alt scen Calcs'!G562</f>
        <v>2680.9661728977972</v>
      </c>
      <c r="AT111">
        <f ca="1">'Alt scen Calcs'!H562</f>
        <v>2680.9661728977972</v>
      </c>
      <c r="AU111">
        <f ca="1">'Alt scen Calcs'!I562</f>
        <v>3024.8324517331271</v>
      </c>
      <c r="AV111">
        <f ca="1">'Alt scen Calcs'!J562</f>
        <v>3231.974476853894</v>
      </c>
      <c r="AW111">
        <f ca="1">'Alt scen Calcs'!K562</f>
        <v>3239.3546044048408</v>
      </c>
      <c r="AX111">
        <f ca="1">'Alt scen Calcs'!L562</f>
        <v>3246.7347319557866</v>
      </c>
      <c r="AY111">
        <f ca="1">'Alt scen Calcs'!M562</f>
        <v>3254.1148595067334</v>
      </c>
      <c r="AZ111">
        <f ca="1">'Alt scen Calcs'!N562</f>
        <v>3261.4949870576793</v>
      </c>
      <c r="BA111">
        <f ca="1">'Alt scen Calcs'!O562</f>
        <v>3250.078233359066</v>
      </c>
      <c r="BB111">
        <f ca="1">'Alt scen Calcs'!P562</f>
        <v>3238.5766043585108</v>
      </c>
      <c r="BC111">
        <f ca="1">'Alt scen Calcs'!Q562</f>
        <v>3220.6961812055124</v>
      </c>
      <c r="BD111">
        <f ca="1">'Alt scen Calcs'!R562</f>
        <v>3202.7025909832582</v>
      </c>
      <c r="BE111">
        <f ca="1">'Alt scen Calcs'!S562</f>
        <v>2729.3966692090917</v>
      </c>
      <c r="BF111">
        <f ca="1">'Alt scen Calcs'!T562</f>
        <v>2253.9405731190573</v>
      </c>
      <c r="BG111">
        <f ca="1">'Alt scen Calcs'!U562</f>
        <v>2258.9724839829387</v>
      </c>
      <c r="BH111">
        <f ca="1">'Alt scen Calcs'!V562</f>
        <v>2264.0043948468197</v>
      </c>
      <c r="BI111">
        <f ca="1">'Alt scen Calcs'!W562</f>
        <v>2269.0363057107006</v>
      </c>
      <c r="BJ111">
        <f ca="1">'Alt scen Calcs'!X562</f>
        <v>2050.2016630437815</v>
      </c>
      <c r="BK111">
        <f ca="1">'Alt scen Calcs'!Y562</f>
        <v>1830.3763055561185</v>
      </c>
      <c r="BL111">
        <f ca="1">'Alt scen Calcs'!Z562</f>
        <v>1834.4175015992557</v>
      </c>
      <c r="BM111">
        <f ca="1">'Alt scen Calcs'!AA562</f>
        <v>1838.458697642393</v>
      </c>
      <c r="BN111">
        <f ca="1">'Alt scen Calcs'!AB562</f>
        <v>1842.4998936855307</v>
      </c>
      <c r="BO111">
        <f ca="1">'Alt scen Calcs'!AC562</f>
        <v>1846.5410897286679</v>
      </c>
    </row>
    <row r="112" spans="1:67">
      <c r="A112" t="str">
        <f t="shared" si="1"/>
        <v>OCGT liquid fuels</v>
      </c>
      <c r="B112">
        <f ca="1">'Ref scen Calcs'!D563</f>
        <v>1203.429722858983</v>
      </c>
      <c r="C112">
        <f ca="1">'Ref scen Calcs'!E563</f>
        <v>1333.4299474905283</v>
      </c>
      <c r="D112">
        <f ca="1">'Ref scen Calcs'!F563</f>
        <v>1333.1218239168195</v>
      </c>
      <c r="E112">
        <f ca="1">'Ref scen Calcs'!G563</f>
        <v>1771.1195126279106</v>
      </c>
      <c r="F112">
        <f ca="1">'Ref scen Calcs'!H563</f>
        <v>1291.5694060722121</v>
      </c>
      <c r="G112">
        <f ca="1">'Ref scen Calcs'!I563</f>
        <v>1344.4644260844339</v>
      </c>
      <c r="H112">
        <f ca="1">'Ref scen Calcs'!J563</f>
        <v>2707.0090326218919</v>
      </c>
      <c r="I112">
        <f ca="1">'Ref scen Calcs'!K563</f>
        <v>2783.7068116396131</v>
      </c>
      <c r="J112">
        <f ca="1">'Ref scen Calcs'!L563</f>
        <v>2860.4045906573351</v>
      </c>
      <c r="K112">
        <f ca="1">'Ref scen Calcs'!M563</f>
        <v>2937.1023696750563</v>
      </c>
      <c r="L112">
        <f ca="1">'Ref scen Calcs'!N563</f>
        <v>3013.8001486927778</v>
      </c>
      <c r="M112">
        <f ca="1">'Ref scen Calcs'!O563</f>
        <v>3090.4979277104985</v>
      </c>
      <c r="N112">
        <f ca="1">'Ref scen Calcs'!P563</f>
        <v>3167.1957067282201</v>
      </c>
      <c r="O112">
        <f ca="1">'Ref scen Calcs'!Q563</f>
        <v>3243.8934857459412</v>
      </c>
      <c r="P112">
        <f ca="1">'Ref scen Calcs'!R563</f>
        <v>3320.5912647636628</v>
      </c>
      <c r="Q112">
        <f ca="1">'Ref scen Calcs'!S563</f>
        <v>3397.2890437813844</v>
      </c>
      <c r="R112">
        <f ca="1">'Ref scen Calcs'!T563</f>
        <v>3473.9868227991051</v>
      </c>
      <c r="S112">
        <f ca="1">'Ref scen Calcs'!U563</f>
        <v>3550.6846018168262</v>
      </c>
      <c r="T112">
        <f ca="1">'Ref scen Calcs'!V563</f>
        <v>4690.9041772287037</v>
      </c>
      <c r="U112">
        <f ca="1">'Ref scen Calcs'!W563</f>
        <v>4783.4704622500922</v>
      </c>
      <c r="V112">
        <f ca="1">'Ref scen Calcs'!X563</f>
        <v>4876.0367472714797</v>
      </c>
      <c r="W112">
        <f ca="1">'Ref scen Calcs'!Y563</f>
        <v>6079.7303466980229</v>
      </c>
      <c r="X112">
        <f ca="1">'Ref scen Calcs'!Z563</f>
        <v>6188.1651377230755</v>
      </c>
      <c r="Y112">
        <f ca="1">'Ref scen Calcs'!AA563</f>
        <v>6296.59992874813</v>
      </c>
      <c r="Z112">
        <f ca="1">'Ref scen Calcs'!AB563</f>
        <v>7563.7675521893389</v>
      </c>
      <c r="AA112">
        <f ca="1">'Ref scen Calcs'!AC563</f>
        <v>7516.9023553421284</v>
      </c>
      <c r="AP112">
        <f ca="1">'Alt scen Calcs'!D563</f>
        <v>1203.429722858983</v>
      </c>
      <c r="AQ112">
        <f ca="1">'Alt scen Calcs'!E563</f>
        <v>1333.4299474905283</v>
      </c>
      <c r="AR112">
        <f ca="1">'Alt scen Calcs'!F563</f>
        <v>1333.1218239168195</v>
      </c>
      <c r="AS112">
        <f ca="1">'Alt scen Calcs'!G563</f>
        <v>1771.1195126279106</v>
      </c>
      <c r="AT112">
        <f ca="1">'Alt scen Calcs'!H563</f>
        <v>1291.5694060722121</v>
      </c>
      <c r="AU112">
        <f ca="1">'Alt scen Calcs'!I563</f>
        <v>1344.4644260844339</v>
      </c>
      <c r="AV112">
        <f ca="1">'Alt scen Calcs'!J563</f>
        <v>2707.0090326218919</v>
      </c>
      <c r="AW112">
        <f ca="1">'Alt scen Calcs'!K563</f>
        <v>2783.7068116396131</v>
      </c>
      <c r="AX112">
        <f ca="1">'Alt scen Calcs'!L563</f>
        <v>2860.4045906573351</v>
      </c>
      <c r="AY112">
        <f ca="1">'Alt scen Calcs'!M563</f>
        <v>2937.1023696750563</v>
      </c>
      <c r="AZ112">
        <f ca="1">'Alt scen Calcs'!N563</f>
        <v>3013.8001486927778</v>
      </c>
      <c r="BA112">
        <f ca="1">'Alt scen Calcs'!O563</f>
        <v>3090.4979277104985</v>
      </c>
      <c r="BB112">
        <f ca="1">'Alt scen Calcs'!P563</f>
        <v>3167.1957067282201</v>
      </c>
      <c r="BC112">
        <f ca="1">'Alt scen Calcs'!Q563</f>
        <v>3243.8934857459412</v>
      </c>
      <c r="BD112">
        <f ca="1">'Alt scen Calcs'!R563</f>
        <v>3320.5912647636628</v>
      </c>
      <c r="BE112">
        <f ca="1">'Alt scen Calcs'!S563</f>
        <v>3397.2890437813844</v>
      </c>
      <c r="BF112">
        <f ca="1">'Alt scen Calcs'!T563</f>
        <v>3473.9868227991051</v>
      </c>
      <c r="BG112">
        <f ca="1">'Alt scen Calcs'!U563</f>
        <v>3550.6846018168262</v>
      </c>
      <c r="BH112">
        <f ca="1">'Alt scen Calcs'!V563</f>
        <v>3627.3823808345478</v>
      </c>
      <c r="BI112">
        <f ca="1">'Alt scen Calcs'!W563</f>
        <v>3704.0801598522694</v>
      </c>
      <c r="BJ112">
        <f ca="1">'Alt scen Calcs'!X563</f>
        <v>3780.777938869991</v>
      </c>
      <c r="BK112">
        <f ca="1">'Alt scen Calcs'!Y563</f>
        <v>4968.6030322928682</v>
      </c>
      <c r="BL112">
        <f ca="1">'Alt scen Calcs'!Z563</f>
        <v>5061.1693173142557</v>
      </c>
      <c r="BM112">
        <f ca="1">'Alt scen Calcs'!AA563</f>
        <v>5153.7356023356433</v>
      </c>
      <c r="BN112">
        <f ca="1">'Alt scen Calcs'!AB563</f>
        <v>6791.2789972452374</v>
      </c>
      <c r="BO112">
        <f ca="1">'Alt scen Calcs'!AC563</f>
        <v>8299.9699142886748</v>
      </c>
    </row>
    <row r="113" spans="1:67">
      <c r="A113" t="str">
        <f t="shared" si="1"/>
        <v>PWR nuclear</v>
      </c>
      <c r="B113">
        <f ca="1">'Ref scen Calcs'!D564</f>
        <v>1841.3944454507421</v>
      </c>
      <c r="C113">
        <f ca="1">'Ref scen Calcs'!E564</f>
        <v>1914.0285561278479</v>
      </c>
      <c r="D113">
        <f ca="1">'Ref scen Calcs'!F564</f>
        <v>1986.6626668049537</v>
      </c>
      <c r="E113">
        <f ca="1">'Ref scen Calcs'!G564</f>
        <v>2059.2967774820595</v>
      </c>
      <c r="F113">
        <f ca="1">'Ref scen Calcs'!H564</f>
        <v>2168.8768214349784</v>
      </c>
      <c r="G113">
        <f ca="1">'Ref scen Calcs'!I564</f>
        <v>2172.6932566352129</v>
      </c>
      <c r="H113">
        <f ca="1">'Ref scen Calcs'!J564</f>
        <v>2176.5287740114481</v>
      </c>
      <c r="I113">
        <f ca="1">'Ref scen Calcs'!K564</f>
        <v>2180.3834689745649</v>
      </c>
      <c r="J113">
        <f ca="1">'Ref scen Calcs'!L564</f>
        <v>2184.257437412497</v>
      </c>
      <c r="K113">
        <f ca="1">'Ref scen Calcs'!M564</f>
        <v>2188.1507756926189</v>
      </c>
      <c r="L113">
        <f ca="1">'Ref scen Calcs'!N564</f>
        <v>2192.0635806641412</v>
      </c>
      <c r="M113">
        <f ca="1">'Ref scen Calcs'!O564</f>
        <v>2195.9959496605215</v>
      </c>
      <c r="N113">
        <f ca="1">'Ref scen Calcs'!P564</f>
        <v>2199.9479805018836</v>
      </c>
      <c r="O113">
        <f ca="1">'Ref scen Calcs'!Q564</f>
        <v>2203.9197714974525</v>
      </c>
      <c r="P113">
        <f ca="1">'Ref scen Calcs'!R564</f>
        <v>2207.9114214479987</v>
      </c>
      <c r="Q113">
        <f ca="1">'Ref scen Calcs'!S564</f>
        <v>2211.9230296482983</v>
      </c>
      <c r="R113">
        <f ca="1">'Ref scen Calcs'!T564</f>
        <v>2215.9546958895994</v>
      </c>
      <c r="S113">
        <f ca="1">'Ref scen Calcs'!U564</f>
        <v>2220.0065204621064</v>
      </c>
      <c r="T113">
        <f ca="1">'Ref scen Calcs'!V564</f>
        <v>2224.0786041574765</v>
      </c>
      <c r="U113">
        <f ca="1">'Ref scen Calcs'!W564</f>
        <v>2228.1710482713233</v>
      </c>
      <c r="V113">
        <f ca="1">'Ref scen Calcs'!X564</f>
        <v>2232.2839546057394</v>
      </c>
      <c r="W113">
        <f ca="1">'Ref scen Calcs'!Y564</f>
        <v>2236.4174254718273</v>
      </c>
      <c r="X113">
        <f ca="1">'Ref scen Calcs'!Z564</f>
        <v>2240.5715636922455</v>
      </c>
      <c r="Y113">
        <f ca="1">'Ref scen Calcs'!AA564</f>
        <v>2244.7464726037661</v>
      </c>
      <c r="Z113">
        <f ca="1">'Ref scen Calcs'!AB564</f>
        <v>2248.9422560598446</v>
      </c>
      <c r="AA113">
        <f ca="1">'Ref scen Calcs'!AC564</f>
        <v>2253.1590184332031</v>
      </c>
      <c r="AP113">
        <f ca="1">'Alt scen Calcs'!D564</f>
        <v>1841.3944454507421</v>
      </c>
      <c r="AQ113">
        <f ca="1">'Alt scen Calcs'!E564</f>
        <v>1914.0285561278479</v>
      </c>
      <c r="AR113">
        <f ca="1">'Alt scen Calcs'!F564</f>
        <v>1986.6626668049537</v>
      </c>
      <c r="AS113">
        <f ca="1">'Alt scen Calcs'!G564</f>
        <v>2059.2967774820595</v>
      </c>
      <c r="AT113">
        <f ca="1">'Alt scen Calcs'!H564</f>
        <v>2168.8768214349784</v>
      </c>
      <c r="AU113">
        <f ca="1">'Alt scen Calcs'!I564</f>
        <v>2172.6932566352129</v>
      </c>
      <c r="AV113">
        <f ca="1">'Alt scen Calcs'!J564</f>
        <v>2176.5287740114481</v>
      </c>
      <c r="AW113">
        <f ca="1">'Alt scen Calcs'!K564</f>
        <v>2180.3834689745649</v>
      </c>
      <c r="AX113">
        <f ca="1">'Alt scen Calcs'!L564</f>
        <v>2184.257437412497</v>
      </c>
      <c r="AY113">
        <f ca="1">'Alt scen Calcs'!M564</f>
        <v>2188.1507756926189</v>
      </c>
      <c r="AZ113">
        <f ca="1">'Alt scen Calcs'!N564</f>
        <v>2192.0635806641412</v>
      </c>
      <c r="BA113">
        <f ca="1">'Alt scen Calcs'!O564</f>
        <v>2195.9959496605215</v>
      </c>
      <c r="BB113">
        <f ca="1">'Alt scen Calcs'!P564</f>
        <v>2199.9479805018836</v>
      </c>
      <c r="BC113">
        <f ca="1">'Alt scen Calcs'!Q564</f>
        <v>2203.9197714974525</v>
      </c>
      <c r="BD113">
        <f ca="1">'Alt scen Calcs'!R564</f>
        <v>2207.9114214479987</v>
      </c>
      <c r="BE113">
        <f ca="1">'Alt scen Calcs'!S564</f>
        <v>2211.9230296482983</v>
      </c>
      <c r="BF113">
        <f ca="1">'Alt scen Calcs'!T564</f>
        <v>2215.9546958895994</v>
      </c>
      <c r="BG113">
        <f ca="1">'Alt scen Calcs'!U564</f>
        <v>2220.0065204621064</v>
      </c>
      <c r="BH113">
        <f ca="1">'Alt scen Calcs'!V564</f>
        <v>2224.0786041574765</v>
      </c>
      <c r="BI113">
        <f ca="1">'Alt scen Calcs'!W564</f>
        <v>2228.1710482713233</v>
      </c>
      <c r="BJ113">
        <f ca="1">'Alt scen Calcs'!X564</f>
        <v>2232.2839546057394</v>
      </c>
      <c r="BK113">
        <f ca="1">'Alt scen Calcs'!Y564</f>
        <v>2236.4174254718273</v>
      </c>
      <c r="BL113">
        <f ca="1">'Alt scen Calcs'!Z564</f>
        <v>2240.5715636922455</v>
      </c>
      <c r="BM113">
        <f ca="1">'Alt scen Calcs'!AA564</f>
        <v>2244.7464726037661</v>
      </c>
      <c r="BN113">
        <f ca="1">'Alt scen Calcs'!AB564</f>
        <v>2248.9422560598446</v>
      </c>
      <c r="BO113">
        <f ca="1">'Alt scen Calcs'!AC564</f>
        <v>2253.1590184332031</v>
      </c>
    </row>
    <row r="114" spans="1:67">
      <c r="A114" t="str">
        <f t="shared" si="1"/>
        <v>Hydro</v>
      </c>
      <c r="B114">
        <f ca="1">'Ref scen Calcs'!D565</f>
        <v>86.627408640520088</v>
      </c>
      <c r="C114">
        <f ca="1">'Ref scen Calcs'!E565</f>
        <v>86.627408640520088</v>
      </c>
      <c r="D114">
        <f ca="1">'Ref scen Calcs'!F565</f>
        <v>86.627408640520088</v>
      </c>
      <c r="E114">
        <f ca="1">'Ref scen Calcs'!G565</f>
        <v>86.627408640520088</v>
      </c>
      <c r="F114">
        <f ca="1">'Ref scen Calcs'!H565</f>
        <v>86.627408640520088</v>
      </c>
      <c r="G114">
        <f ca="1">'Ref scen Calcs'!I565</f>
        <v>86.627408640520088</v>
      </c>
      <c r="H114">
        <f ca="1">'Ref scen Calcs'!J565</f>
        <v>86.627408640520088</v>
      </c>
      <c r="I114">
        <f ca="1">'Ref scen Calcs'!K565</f>
        <v>86.627408640520088</v>
      </c>
      <c r="J114">
        <f ca="1">'Ref scen Calcs'!L565</f>
        <v>86.627408640520088</v>
      </c>
      <c r="K114">
        <f ca="1">'Ref scen Calcs'!M565</f>
        <v>86.627408640520088</v>
      </c>
      <c r="L114">
        <f ca="1">'Ref scen Calcs'!N565</f>
        <v>86.627408640520088</v>
      </c>
      <c r="M114">
        <f ca="1">'Ref scen Calcs'!O565</f>
        <v>86.627408640520088</v>
      </c>
      <c r="N114">
        <f ca="1">'Ref scen Calcs'!P565</f>
        <v>86.627408640520088</v>
      </c>
      <c r="O114">
        <f ca="1">'Ref scen Calcs'!Q565</f>
        <v>86.627408640520088</v>
      </c>
      <c r="P114">
        <f ca="1">'Ref scen Calcs'!R565</f>
        <v>86.627408640520088</v>
      </c>
      <c r="Q114">
        <f ca="1">'Ref scen Calcs'!S565</f>
        <v>86.627408640520088</v>
      </c>
      <c r="R114">
        <f ca="1">'Ref scen Calcs'!T565</f>
        <v>86.627408640520088</v>
      </c>
      <c r="S114">
        <f ca="1">'Ref scen Calcs'!U565</f>
        <v>86.627408640520088</v>
      </c>
      <c r="T114">
        <f ca="1">'Ref scen Calcs'!V565</f>
        <v>86.627408640520088</v>
      </c>
      <c r="U114">
        <f ca="1">'Ref scen Calcs'!W565</f>
        <v>86.627408640520088</v>
      </c>
      <c r="V114">
        <f ca="1">'Ref scen Calcs'!X565</f>
        <v>86.627408640520088</v>
      </c>
      <c r="W114">
        <f ca="1">'Ref scen Calcs'!Y565</f>
        <v>86.627408640520088</v>
      </c>
      <c r="X114">
        <f ca="1">'Ref scen Calcs'!Z565</f>
        <v>86.627408640520088</v>
      </c>
      <c r="Y114">
        <f ca="1">'Ref scen Calcs'!AA565</f>
        <v>86.627408640520088</v>
      </c>
      <c r="Z114">
        <f ca="1">'Ref scen Calcs'!AB565</f>
        <v>86.627408640520088</v>
      </c>
      <c r="AA114">
        <f ca="1">'Ref scen Calcs'!AC565</f>
        <v>86.627408640520088</v>
      </c>
      <c r="AP114">
        <f ca="1">'Alt scen Calcs'!D565</f>
        <v>86.627408640520088</v>
      </c>
      <c r="AQ114">
        <f ca="1">'Alt scen Calcs'!E565</f>
        <v>86.627408640520088</v>
      </c>
      <c r="AR114">
        <f ca="1">'Alt scen Calcs'!F565</f>
        <v>86.627408640520088</v>
      </c>
      <c r="AS114">
        <f ca="1">'Alt scen Calcs'!G565</f>
        <v>86.627408640520088</v>
      </c>
      <c r="AT114">
        <f ca="1">'Alt scen Calcs'!H565</f>
        <v>86.627408640520088</v>
      </c>
      <c r="AU114">
        <f ca="1">'Alt scen Calcs'!I565</f>
        <v>86.627408640520088</v>
      </c>
      <c r="AV114">
        <f ca="1">'Alt scen Calcs'!J565</f>
        <v>86.627408640520088</v>
      </c>
      <c r="AW114">
        <f ca="1">'Alt scen Calcs'!K565</f>
        <v>86.627408640520088</v>
      </c>
      <c r="AX114">
        <f ca="1">'Alt scen Calcs'!L565</f>
        <v>86.627408640520088</v>
      </c>
      <c r="AY114">
        <f ca="1">'Alt scen Calcs'!M565</f>
        <v>86.627408640520088</v>
      </c>
      <c r="AZ114">
        <f ca="1">'Alt scen Calcs'!N565</f>
        <v>86.627408640520088</v>
      </c>
      <c r="BA114">
        <f ca="1">'Alt scen Calcs'!O565</f>
        <v>86.627408640520088</v>
      </c>
      <c r="BB114">
        <f ca="1">'Alt scen Calcs'!P565</f>
        <v>86.627408640520088</v>
      </c>
      <c r="BC114">
        <f ca="1">'Alt scen Calcs'!Q565</f>
        <v>86.627408640520088</v>
      </c>
      <c r="BD114">
        <f ca="1">'Alt scen Calcs'!R565</f>
        <v>86.627408640520088</v>
      </c>
      <c r="BE114">
        <f ca="1">'Alt scen Calcs'!S565</f>
        <v>86.627408640520088</v>
      </c>
      <c r="BF114">
        <f ca="1">'Alt scen Calcs'!T565</f>
        <v>86.627408640520088</v>
      </c>
      <c r="BG114">
        <f ca="1">'Alt scen Calcs'!U565</f>
        <v>86.627408640520088</v>
      </c>
      <c r="BH114">
        <f ca="1">'Alt scen Calcs'!V565</f>
        <v>86.627408640520088</v>
      </c>
      <c r="BI114">
        <f ca="1">'Alt scen Calcs'!W565</f>
        <v>86.627408640520088</v>
      </c>
      <c r="BJ114">
        <f ca="1">'Alt scen Calcs'!X565</f>
        <v>86.627408640520088</v>
      </c>
      <c r="BK114">
        <f ca="1">'Alt scen Calcs'!Y565</f>
        <v>86.627408640520088</v>
      </c>
      <c r="BL114">
        <f ca="1">'Alt scen Calcs'!Z565</f>
        <v>86.627408640520088</v>
      </c>
      <c r="BM114">
        <f ca="1">'Alt scen Calcs'!AA565</f>
        <v>86.627408640520088</v>
      </c>
      <c r="BN114">
        <f ca="1">'Alt scen Calcs'!AB565</f>
        <v>86.627408640520088</v>
      </c>
      <c r="BO114">
        <f ca="1">'Alt scen Calcs'!AC565</f>
        <v>86.627408640520088</v>
      </c>
    </row>
    <row r="115" spans="1:67">
      <c r="A115" t="str">
        <f t="shared" si="1"/>
        <v>Landfill gas</v>
      </c>
      <c r="B115">
        <f ca="1">'Ref scen Calcs'!D566</f>
        <v>66.755984508378774</v>
      </c>
      <c r="C115">
        <f ca="1">'Ref scen Calcs'!E566</f>
        <v>66.755984508378774</v>
      </c>
      <c r="D115">
        <f ca="1">'Ref scen Calcs'!F566</f>
        <v>66.755984508378774</v>
      </c>
      <c r="E115">
        <f ca="1">'Ref scen Calcs'!G566</f>
        <v>66.755984508378774</v>
      </c>
      <c r="F115">
        <f ca="1">'Ref scen Calcs'!H566</f>
        <v>66.755984508378774</v>
      </c>
      <c r="G115">
        <f ca="1">'Ref scen Calcs'!I566</f>
        <v>66.755984508378774</v>
      </c>
      <c r="H115">
        <f ca="1">'Ref scen Calcs'!J566</f>
        <v>66.755984508378774</v>
      </c>
      <c r="I115">
        <f ca="1">'Ref scen Calcs'!K566</f>
        <v>66.755984508378774</v>
      </c>
      <c r="J115">
        <f ca="1">'Ref scen Calcs'!L566</f>
        <v>66.755984508378774</v>
      </c>
      <c r="K115">
        <f ca="1">'Ref scen Calcs'!M566</f>
        <v>66.755984508378774</v>
      </c>
      <c r="L115">
        <f ca="1">'Ref scen Calcs'!N566</f>
        <v>66.755984508378774</v>
      </c>
      <c r="M115">
        <f ca="1">'Ref scen Calcs'!O566</f>
        <v>66.755984508378774</v>
      </c>
      <c r="N115">
        <f ca="1">'Ref scen Calcs'!P566</f>
        <v>66.755984508378774</v>
      </c>
      <c r="O115">
        <f ca="1">'Ref scen Calcs'!Q566</f>
        <v>66.755984508378774</v>
      </c>
      <c r="P115">
        <f ca="1">'Ref scen Calcs'!R566</f>
        <v>66.755984508378774</v>
      </c>
      <c r="Q115">
        <f ca="1">'Ref scen Calcs'!S566</f>
        <v>66.755984508378774</v>
      </c>
      <c r="R115">
        <f ca="1">'Ref scen Calcs'!T566</f>
        <v>66.755984508378774</v>
      </c>
      <c r="S115">
        <f ca="1">'Ref scen Calcs'!U566</f>
        <v>66.755984508378774</v>
      </c>
      <c r="T115">
        <f ca="1">'Ref scen Calcs'!V566</f>
        <v>66.755984508378774</v>
      </c>
      <c r="U115">
        <f ca="1">'Ref scen Calcs'!W566</f>
        <v>66.755984508378774</v>
      </c>
      <c r="V115">
        <f ca="1">'Ref scen Calcs'!X566</f>
        <v>66.755984508378774</v>
      </c>
      <c r="W115">
        <f ca="1">'Ref scen Calcs'!Y566</f>
        <v>66.755984508378774</v>
      </c>
      <c r="X115">
        <f ca="1">'Ref scen Calcs'!Z566</f>
        <v>66.755984508378774</v>
      </c>
      <c r="Y115">
        <f ca="1">'Ref scen Calcs'!AA566</f>
        <v>66.755984508378774</v>
      </c>
      <c r="Z115">
        <f ca="1">'Ref scen Calcs'!AB566</f>
        <v>66.755984508378774</v>
      </c>
      <c r="AA115">
        <f ca="1">'Ref scen Calcs'!AC566</f>
        <v>66.755984508378774</v>
      </c>
      <c r="AP115">
        <f ca="1">'Alt scen Calcs'!D566</f>
        <v>66.755984508378774</v>
      </c>
      <c r="AQ115">
        <f ca="1">'Alt scen Calcs'!E566</f>
        <v>66.755984508378774</v>
      </c>
      <c r="AR115">
        <f ca="1">'Alt scen Calcs'!F566</f>
        <v>66.755984508378774</v>
      </c>
      <c r="AS115">
        <f ca="1">'Alt scen Calcs'!G566</f>
        <v>66.755984508378774</v>
      </c>
      <c r="AT115">
        <f ca="1">'Alt scen Calcs'!H566</f>
        <v>66.755984508378774</v>
      </c>
      <c r="AU115">
        <f ca="1">'Alt scen Calcs'!I566</f>
        <v>66.755984508378774</v>
      </c>
      <c r="AV115">
        <f ca="1">'Alt scen Calcs'!J566</f>
        <v>66.755984508378774</v>
      </c>
      <c r="AW115">
        <f ca="1">'Alt scen Calcs'!K566</f>
        <v>66.755984508378774</v>
      </c>
      <c r="AX115">
        <f ca="1">'Alt scen Calcs'!L566</f>
        <v>66.755984508378774</v>
      </c>
      <c r="AY115">
        <f ca="1">'Alt scen Calcs'!M566</f>
        <v>66.755984508378774</v>
      </c>
      <c r="AZ115">
        <f ca="1">'Alt scen Calcs'!N566</f>
        <v>66.755984508378774</v>
      </c>
      <c r="BA115">
        <f ca="1">'Alt scen Calcs'!O566</f>
        <v>66.755984508378774</v>
      </c>
      <c r="BB115">
        <f ca="1">'Alt scen Calcs'!P566</f>
        <v>66.755984508378774</v>
      </c>
      <c r="BC115">
        <f ca="1">'Alt scen Calcs'!Q566</f>
        <v>66.755984508378774</v>
      </c>
      <c r="BD115">
        <f ca="1">'Alt scen Calcs'!R566</f>
        <v>66.755984508378774</v>
      </c>
      <c r="BE115">
        <f ca="1">'Alt scen Calcs'!S566</f>
        <v>66.755984508378774</v>
      </c>
      <c r="BF115">
        <f ca="1">'Alt scen Calcs'!T566</f>
        <v>66.755984508378774</v>
      </c>
      <c r="BG115">
        <f ca="1">'Alt scen Calcs'!U566</f>
        <v>66.755984508378774</v>
      </c>
      <c r="BH115">
        <f ca="1">'Alt scen Calcs'!V566</f>
        <v>66.755984508378774</v>
      </c>
      <c r="BI115">
        <f ca="1">'Alt scen Calcs'!W566</f>
        <v>66.755984508378774</v>
      </c>
      <c r="BJ115">
        <f ca="1">'Alt scen Calcs'!X566</f>
        <v>66.755984508378774</v>
      </c>
      <c r="BK115">
        <f ca="1">'Alt scen Calcs'!Y566</f>
        <v>66.755984508378774</v>
      </c>
      <c r="BL115">
        <f ca="1">'Alt scen Calcs'!Z566</f>
        <v>66.755984508378774</v>
      </c>
      <c r="BM115">
        <f ca="1">'Alt scen Calcs'!AA566</f>
        <v>66.755984508378774</v>
      </c>
      <c r="BN115">
        <f ca="1">'Alt scen Calcs'!AB566</f>
        <v>66.755984508378774</v>
      </c>
      <c r="BO115">
        <f ca="1">'Alt scen Calcs'!AC566</f>
        <v>66.755984508378774</v>
      </c>
    </row>
    <row r="116" spans="1:67">
      <c r="A116" t="str">
        <f t="shared" si="1"/>
        <v>Biomass</v>
      </c>
      <c r="B116">
        <f ca="1">'Ref scen Calcs'!D567</f>
        <v>186.22474442860573</v>
      </c>
      <c r="C116">
        <f ca="1">'Ref scen Calcs'!E567</f>
        <v>186.22474442860408</v>
      </c>
      <c r="D116">
        <f ca="1">'Ref scen Calcs'!F567</f>
        <v>186.22474442860408</v>
      </c>
      <c r="E116">
        <f ca="1">'Ref scen Calcs'!G567</f>
        <v>186.22474442860408</v>
      </c>
      <c r="F116">
        <f ca="1">'Ref scen Calcs'!H567</f>
        <v>186.22474442860408</v>
      </c>
      <c r="G116">
        <f ca="1">'Ref scen Calcs'!I567</f>
        <v>186.22474442860408</v>
      </c>
      <c r="H116">
        <f ca="1">'Ref scen Calcs'!J567</f>
        <v>186.22474442860408</v>
      </c>
      <c r="I116">
        <f ca="1">'Ref scen Calcs'!K567</f>
        <v>186.22474442860408</v>
      </c>
      <c r="J116">
        <f ca="1">'Ref scen Calcs'!L567</f>
        <v>186.22474442860408</v>
      </c>
      <c r="K116">
        <f ca="1">'Ref scen Calcs'!M567</f>
        <v>186.22474442860408</v>
      </c>
      <c r="L116">
        <f ca="1">'Ref scen Calcs'!N567</f>
        <v>186.22474442860408</v>
      </c>
      <c r="M116">
        <f ca="1">'Ref scen Calcs'!O567</f>
        <v>186.22474442860408</v>
      </c>
      <c r="N116">
        <f ca="1">'Ref scen Calcs'!P567</f>
        <v>186.22474442860408</v>
      </c>
      <c r="O116">
        <f ca="1">'Ref scen Calcs'!Q567</f>
        <v>186.22474442860408</v>
      </c>
      <c r="P116">
        <f ca="1">'Ref scen Calcs'!R567</f>
        <v>186.22474442860408</v>
      </c>
      <c r="Q116">
        <f ca="1">'Ref scen Calcs'!S567</f>
        <v>186.22474442860408</v>
      </c>
      <c r="R116">
        <f ca="1">'Ref scen Calcs'!T567</f>
        <v>186.22474442860408</v>
      </c>
      <c r="S116">
        <f ca="1">'Ref scen Calcs'!U567</f>
        <v>186.22474442860408</v>
      </c>
      <c r="T116">
        <f ca="1">'Ref scen Calcs'!V567</f>
        <v>186.22474442860408</v>
      </c>
      <c r="U116">
        <f ca="1">'Ref scen Calcs'!W567</f>
        <v>186.22474442860408</v>
      </c>
      <c r="V116">
        <f ca="1">'Ref scen Calcs'!X567</f>
        <v>186.22474442860408</v>
      </c>
      <c r="W116">
        <f ca="1">'Ref scen Calcs'!Y567</f>
        <v>186.22474442860408</v>
      </c>
      <c r="X116">
        <f ca="1">'Ref scen Calcs'!Z567</f>
        <v>186.22474442860408</v>
      </c>
      <c r="Y116">
        <f ca="1">'Ref scen Calcs'!AA567</f>
        <v>186.22474442860408</v>
      </c>
      <c r="Z116">
        <f ca="1">'Ref scen Calcs'!AB567</f>
        <v>186.22474442860408</v>
      </c>
      <c r="AA116">
        <f ca="1">'Ref scen Calcs'!AC567</f>
        <v>186.22474442860408</v>
      </c>
      <c r="AP116">
        <f ca="1">'Alt scen Calcs'!D567</f>
        <v>186.22474442860573</v>
      </c>
      <c r="AQ116">
        <f ca="1">'Alt scen Calcs'!E567</f>
        <v>186.22474442860408</v>
      </c>
      <c r="AR116">
        <f ca="1">'Alt scen Calcs'!F567</f>
        <v>186.22474442860408</v>
      </c>
      <c r="AS116">
        <f ca="1">'Alt scen Calcs'!G567</f>
        <v>186.22474442860408</v>
      </c>
      <c r="AT116">
        <f ca="1">'Alt scen Calcs'!H567</f>
        <v>186.22474442860408</v>
      </c>
      <c r="AU116">
        <f ca="1">'Alt scen Calcs'!I567</f>
        <v>186.22474442860408</v>
      </c>
      <c r="AV116">
        <f ca="1">'Alt scen Calcs'!J567</f>
        <v>186.22474442860408</v>
      </c>
      <c r="AW116">
        <f ca="1">'Alt scen Calcs'!K567</f>
        <v>186.22474442860408</v>
      </c>
      <c r="AX116">
        <f ca="1">'Alt scen Calcs'!L567</f>
        <v>186.22474442860408</v>
      </c>
      <c r="AY116">
        <f ca="1">'Alt scen Calcs'!M567</f>
        <v>186.22474442860408</v>
      </c>
      <c r="AZ116">
        <f ca="1">'Alt scen Calcs'!N567</f>
        <v>186.22474442860408</v>
      </c>
      <c r="BA116">
        <f ca="1">'Alt scen Calcs'!O567</f>
        <v>186.22474442860408</v>
      </c>
      <c r="BB116">
        <f ca="1">'Alt scen Calcs'!P567</f>
        <v>186.22474442860408</v>
      </c>
      <c r="BC116">
        <f ca="1">'Alt scen Calcs'!Q567</f>
        <v>186.22474442860408</v>
      </c>
      <c r="BD116">
        <f ca="1">'Alt scen Calcs'!R567</f>
        <v>186.22474442860408</v>
      </c>
      <c r="BE116">
        <f ca="1">'Alt scen Calcs'!S567</f>
        <v>186.22474442860408</v>
      </c>
      <c r="BF116">
        <f ca="1">'Alt scen Calcs'!T567</f>
        <v>186.22474442860408</v>
      </c>
      <c r="BG116">
        <f ca="1">'Alt scen Calcs'!U567</f>
        <v>186.22474442860408</v>
      </c>
      <c r="BH116">
        <f ca="1">'Alt scen Calcs'!V567</f>
        <v>186.22474442860408</v>
      </c>
      <c r="BI116">
        <f ca="1">'Alt scen Calcs'!W567</f>
        <v>186.22474442860408</v>
      </c>
      <c r="BJ116">
        <f ca="1">'Alt scen Calcs'!X567</f>
        <v>186.22474442860408</v>
      </c>
      <c r="BK116">
        <f ca="1">'Alt scen Calcs'!Y567</f>
        <v>186.22474442860408</v>
      </c>
      <c r="BL116">
        <f ca="1">'Alt scen Calcs'!Z567</f>
        <v>186.22474442860408</v>
      </c>
      <c r="BM116">
        <f ca="1">'Alt scen Calcs'!AA567</f>
        <v>186.22474442860408</v>
      </c>
      <c r="BN116">
        <f ca="1">'Alt scen Calcs'!AB567</f>
        <v>186.22474442860408</v>
      </c>
      <c r="BO116">
        <f ca="1">'Alt scen Calcs'!AC567</f>
        <v>186.22474442860408</v>
      </c>
    </row>
    <row r="117" spans="1:67">
      <c r="A117" t="str">
        <f t="shared" si="1"/>
        <v>Supercritical coal</v>
      </c>
      <c r="B117">
        <f ca="1">'Ref scen Calcs'!D568</f>
        <v>0</v>
      </c>
      <c r="C117">
        <f ca="1">'Ref scen Calcs'!E568</f>
        <v>0</v>
      </c>
      <c r="D117">
        <f ca="1">'Ref scen Calcs'!F568</f>
        <v>0</v>
      </c>
      <c r="E117">
        <f ca="1">'Ref scen Calcs'!G568</f>
        <v>0</v>
      </c>
      <c r="F117">
        <f ca="1">'Ref scen Calcs'!H568</f>
        <v>0</v>
      </c>
      <c r="G117">
        <f ca="1">'Ref scen Calcs'!I568</f>
        <v>0</v>
      </c>
      <c r="H117">
        <f ca="1">'Ref scen Calcs'!J568</f>
        <v>0</v>
      </c>
      <c r="I117">
        <f ca="1">'Ref scen Calcs'!K568</f>
        <v>2017.0741489649656</v>
      </c>
      <c r="J117">
        <f ca="1">'Ref scen Calcs'!L568</f>
        <v>6042.9945992936546</v>
      </c>
      <c r="K117">
        <f ca="1">'Ref scen Calcs'!M568</f>
        <v>12439.591951574404</v>
      </c>
      <c r="L117">
        <f ca="1">'Ref scen Calcs'!N568</f>
        <v>18788.423797161042</v>
      </c>
      <c r="M117">
        <f ca="1">'Ref scen Calcs'!O568</f>
        <v>23359.379437289736</v>
      </c>
      <c r="N117">
        <f ca="1">'Ref scen Calcs'!P568</f>
        <v>27912.341672893061</v>
      </c>
      <c r="O117">
        <f ca="1">'Ref scen Calcs'!Q568</f>
        <v>34328.620601601884</v>
      </c>
      <c r="P117">
        <f ca="1">'Ref scen Calcs'!R568</f>
        <v>40781.521193336659</v>
      </c>
      <c r="Q117">
        <f ca="1">'Ref scen Calcs'!S568</f>
        <v>47430.696757504877</v>
      </c>
      <c r="R117">
        <f ca="1">'Ref scen Calcs'!T568</f>
        <v>55925.865082017495</v>
      </c>
      <c r="S117">
        <f ca="1">'Ref scen Calcs'!U568</f>
        <v>64214.669569650039</v>
      </c>
      <c r="T117">
        <f ca="1">'Ref scen Calcs'!V568</f>
        <v>70756.573268164022</v>
      </c>
      <c r="U117">
        <f ca="1">'Ref scen Calcs'!W568</f>
        <v>80061.729588537331</v>
      </c>
      <c r="V117">
        <f ca="1">'Ref scen Calcs'!X568</f>
        <v>89516.683011088913</v>
      </c>
      <c r="W117">
        <f ca="1">'Ref scen Calcs'!Y568</f>
        <v>101058.7636176855</v>
      </c>
      <c r="X117">
        <f ca="1">'Ref scen Calcs'!Z568</f>
        <v>112577.76277643123</v>
      </c>
      <c r="Y117">
        <f ca="1">'Ref scen Calcs'!AA568</f>
        <v>124385.08279082377</v>
      </c>
      <c r="Z117">
        <f ca="1">'Ref scen Calcs'!AB568</f>
        <v>139386.36566762257</v>
      </c>
      <c r="AA117">
        <f ca="1">'Ref scen Calcs'!AC568</f>
        <v>152604.86670531984</v>
      </c>
      <c r="AP117">
        <f ca="1">'Alt scen Calcs'!D568</f>
        <v>0</v>
      </c>
      <c r="AQ117">
        <f ca="1">'Alt scen Calcs'!E568</f>
        <v>0</v>
      </c>
      <c r="AR117">
        <f ca="1">'Alt scen Calcs'!F568</f>
        <v>0</v>
      </c>
      <c r="AS117">
        <f ca="1">'Alt scen Calcs'!G568</f>
        <v>0</v>
      </c>
      <c r="AT117">
        <f ca="1">'Alt scen Calcs'!H568</f>
        <v>0</v>
      </c>
      <c r="AU117">
        <f ca="1">'Alt scen Calcs'!I568</f>
        <v>0</v>
      </c>
      <c r="AV117">
        <f ca="1">'Alt scen Calcs'!J568</f>
        <v>0</v>
      </c>
      <c r="AW117">
        <f ca="1">'Alt scen Calcs'!K568</f>
        <v>2017.0741489649656</v>
      </c>
      <c r="AX117">
        <f ca="1">'Alt scen Calcs'!L568</f>
        <v>6042.9945992936546</v>
      </c>
      <c r="AY117">
        <f ca="1">'Alt scen Calcs'!M568</f>
        <v>12117.693577401764</v>
      </c>
      <c r="AZ117">
        <f ca="1">'Alt scen Calcs'!N568</f>
        <v>18245.390982532655</v>
      </c>
      <c r="BA117">
        <f ca="1">'Alt scen Calcs'!O568</f>
        <v>22539.385478471664</v>
      </c>
      <c r="BB117">
        <f ca="1">'Alt scen Calcs'!P568</f>
        <v>24780.645900459003</v>
      </c>
      <c r="BC117">
        <f ca="1">'Alt scen Calcs'!Q568</f>
        <v>25039.143604425612</v>
      </c>
      <c r="BD117">
        <f ca="1">'Alt scen Calcs'!R568</f>
        <v>24988.456817764967</v>
      </c>
      <c r="BE117">
        <f ca="1">'Alt scen Calcs'!S568</f>
        <v>24921.399258460235</v>
      </c>
      <c r="BF117">
        <f ca="1">'Alt scen Calcs'!T568</f>
        <v>24548.019911287018</v>
      </c>
      <c r="BG117">
        <f ca="1">'Alt scen Calcs'!U568</f>
        <v>24298.974727744</v>
      </c>
      <c r="BH117">
        <f ca="1">'Alt scen Calcs'!V568</f>
        <v>24141.525188159027</v>
      </c>
      <c r="BI117">
        <f ca="1">'Alt scen Calcs'!W568</f>
        <v>24149.808376379449</v>
      </c>
      <c r="BJ117">
        <f ca="1">'Alt scen Calcs'!X568</f>
        <v>24171.778179177672</v>
      </c>
      <c r="BK117">
        <f ca="1">'Alt scen Calcs'!Y568</f>
        <v>24866.572684143011</v>
      </c>
      <c r="BL117">
        <f ca="1">'Alt scen Calcs'!Z568</f>
        <v>25160.115654031859</v>
      </c>
      <c r="BM117">
        <f ca="1">'Alt scen Calcs'!AA568</f>
        <v>25553.384100303501</v>
      </c>
      <c r="BN117">
        <f ca="1">'Alt scen Calcs'!AB568</f>
        <v>26929.302055259639</v>
      </c>
      <c r="BO117">
        <f ca="1">'Alt scen Calcs'!AC568</f>
        <v>27092.616339242355</v>
      </c>
    </row>
    <row r="118" spans="1:67">
      <c r="A118" t="str">
        <f t="shared" si="1"/>
        <v xml:space="preserve">Wind 30% </v>
      </c>
      <c r="B118">
        <f ca="1">'Ref scen Calcs'!D569</f>
        <v>0</v>
      </c>
      <c r="C118">
        <f ca="1">'Ref scen Calcs'!E569</f>
        <v>0</v>
      </c>
      <c r="D118">
        <f ca="1">'Ref scen Calcs'!F569</f>
        <v>0</v>
      </c>
      <c r="E118">
        <f ca="1">'Ref scen Calcs'!G569</f>
        <v>0</v>
      </c>
      <c r="F118">
        <f ca="1">'Ref scen Calcs'!H569</f>
        <v>0</v>
      </c>
      <c r="G118">
        <f ca="1">'Ref scen Calcs'!I569</f>
        <v>208.54071752916499</v>
      </c>
      <c r="H118">
        <f ca="1">'Ref scen Calcs'!J569</f>
        <v>208.54071752916499</v>
      </c>
      <c r="I118">
        <f ca="1">'Ref scen Calcs'!K569</f>
        <v>208.54071752916499</v>
      </c>
      <c r="J118">
        <f ca="1">'Ref scen Calcs'!L569</f>
        <v>208.54071752916499</v>
      </c>
      <c r="K118">
        <f ca="1">'Ref scen Calcs'!M569</f>
        <v>208.54071752916499</v>
      </c>
      <c r="L118">
        <f ca="1">'Ref scen Calcs'!N569</f>
        <v>208.54071752916499</v>
      </c>
      <c r="M118">
        <f ca="1">'Ref scen Calcs'!O569</f>
        <v>208.54071752916499</v>
      </c>
      <c r="N118">
        <f ca="1">'Ref scen Calcs'!P569</f>
        <v>208.54071752916499</v>
      </c>
      <c r="O118">
        <f ca="1">'Ref scen Calcs'!Q569</f>
        <v>208.54071752916499</v>
      </c>
      <c r="P118">
        <f ca="1">'Ref scen Calcs'!R569</f>
        <v>208.54071752916499</v>
      </c>
      <c r="Q118">
        <f ca="1">'Ref scen Calcs'!S569</f>
        <v>208.54071752916499</v>
      </c>
      <c r="R118">
        <f ca="1">'Ref scen Calcs'!T569</f>
        <v>208.54071752916499</v>
      </c>
      <c r="S118">
        <f ca="1">'Ref scen Calcs'!U569</f>
        <v>208.54071752916499</v>
      </c>
      <c r="T118">
        <f ca="1">'Ref scen Calcs'!V569</f>
        <v>208.54071752916499</v>
      </c>
      <c r="U118">
        <f ca="1">'Ref scen Calcs'!W569</f>
        <v>208.54071752916499</v>
      </c>
      <c r="V118">
        <f ca="1">'Ref scen Calcs'!X569</f>
        <v>208.54071752916499</v>
      </c>
      <c r="W118">
        <f ca="1">'Ref scen Calcs'!Y569</f>
        <v>208.54071752916499</v>
      </c>
      <c r="X118">
        <f ca="1">'Ref scen Calcs'!Z569</f>
        <v>208.54071752916499</v>
      </c>
      <c r="Y118">
        <f ca="1">'Ref scen Calcs'!AA569</f>
        <v>208.54071752916499</v>
      </c>
      <c r="Z118">
        <f ca="1">'Ref scen Calcs'!AB569</f>
        <v>208.54071752916499</v>
      </c>
      <c r="AA118">
        <f ca="1">'Ref scen Calcs'!AC569</f>
        <v>0</v>
      </c>
      <c r="AP118">
        <f ca="1">'Alt scen Calcs'!D569</f>
        <v>0</v>
      </c>
      <c r="AQ118">
        <f ca="1">'Alt scen Calcs'!E569</f>
        <v>0</v>
      </c>
      <c r="AR118">
        <f ca="1">'Alt scen Calcs'!F569</f>
        <v>0</v>
      </c>
      <c r="AS118">
        <f ca="1">'Alt scen Calcs'!G569</f>
        <v>0</v>
      </c>
      <c r="AT118">
        <f ca="1">'Alt scen Calcs'!H569</f>
        <v>0</v>
      </c>
      <c r="AU118">
        <f ca="1">'Alt scen Calcs'!I569</f>
        <v>208.54071752916499</v>
      </c>
      <c r="AV118">
        <f ca="1">'Alt scen Calcs'!J569</f>
        <v>615.97659646748639</v>
      </c>
      <c r="AW118">
        <f ca="1">'Alt scen Calcs'!K569</f>
        <v>1013.7669192857992</v>
      </c>
      <c r="AX118">
        <f ca="1">'Alt scen Calcs'!L569</f>
        <v>1791.9855639064092</v>
      </c>
      <c r="AY118">
        <f ca="1">'Alt scen Calcs'!M569</f>
        <v>2552.8422075110034</v>
      </c>
      <c r="AZ118">
        <f ca="1">'Alt scen Calcs'!N569</f>
        <v>4039.8314926881617</v>
      </c>
      <c r="BA118">
        <f ca="1">'Alt scen Calcs'!O569</f>
        <v>5492.0967758332899</v>
      </c>
      <c r="BB118">
        <f ca="1">'Alt scen Calcs'!P569</f>
        <v>7276.1767779358715</v>
      </c>
      <c r="BC118">
        <f ca="1">'Alt scen Calcs'!Q569</f>
        <v>9029.0051782096252</v>
      </c>
      <c r="BD118">
        <f ca="1">'Alt scen Calcs'!R569</f>
        <v>11611.370375877015</v>
      </c>
      <c r="BE118">
        <f ca="1">'Alt scen Calcs'!S569</f>
        <v>14146.858170801162</v>
      </c>
      <c r="BF118">
        <f ca="1">'Alt scen Calcs'!T569</f>
        <v>17465.005360375704</v>
      </c>
      <c r="BG118">
        <f ca="1">'Alt scen Calcs'!U569</f>
        <v>17465.005360375704</v>
      </c>
      <c r="BH118">
        <f ca="1">'Alt scen Calcs'!V569</f>
        <v>17465.005360375704</v>
      </c>
      <c r="BI118">
        <f ca="1">'Alt scen Calcs'!W569</f>
        <v>17465.005360375704</v>
      </c>
      <c r="BJ118">
        <f ca="1">'Alt scen Calcs'!X569</f>
        <v>17465.005360375704</v>
      </c>
      <c r="BK118">
        <f ca="1">'Alt scen Calcs'!Y569</f>
        <v>17465.005360375704</v>
      </c>
      <c r="BL118">
        <f ca="1">'Alt scen Calcs'!Z569</f>
        <v>17465.005360375704</v>
      </c>
      <c r="BM118">
        <f ca="1">'Alt scen Calcs'!AA569</f>
        <v>17465.005360375704</v>
      </c>
      <c r="BN118">
        <f ca="1">'Alt scen Calcs'!AB569</f>
        <v>17465.005360375704</v>
      </c>
      <c r="BO118">
        <f ca="1">'Alt scen Calcs'!AC569</f>
        <v>17256.464642846538</v>
      </c>
    </row>
    <row r="119" spans="1:67">
      <c r="A119" t="str">
        <f t="shared" si="1"/>
        <v>Wind 25%</v>
      </c>
      <c r="B119">
        <f ca="1">'Ref scen Calcs'!D570</f>
        <v>0</v>
      </c>
      <c r="C119">
        <f ca="1">'Ref scen Calcs'!E570</f>
        <v>0</v>
      </c>
      <c r="D119">
        <f ca="1">'Ref scen Calcs'!F570</f>
        <v>0</v>
      </c>
      <c r="E119">
        <f ca="1">'Ref scen Calcs'!G570</f>
        <v>0</v>
      </c>
      <c r="F119">
        <f ca="1">'Ref scen Calcs'!H570</f>
        <v>0</v>
      </c>
      <c r="G119">
        <f ca="1">'Ref scen Calcs'!I570</f>
        <v>0</v>
      </c>
      <c r="H119">
        <f ca="1">'Ref scen Calcs'!J570</f>
        <v>0</v>
      </c>
      <c r="I119">
        <f ca="1">'Ref scen Calcs'!K570</f>
        <v>0</v>
      </c>
      <c r="J119">
        <f ca="1">'Ref scen Calcs'!L570</f>
        <v>0</v>
      </c>
      <c r="K119">
        <f ca="1">'Ref scen Calcs'!M570</f>
        <v>0</v>
      </c>
      <c r="L119">
        <f ca="1">'Ref scen Calcs'!N570</f>
        <v>0</v>
      </c>
      <c r="M119">
        <f ca="1">'Ref scen Calcs'!O570</f>
        <v>0</v>
      </c>
      <c r="N119">
        <f ca="1">'Ref scen Calcs'!P570</f>
        <v>0</v>
      </c>
      <c r="O119">
        <f ca="1">'Ref scen Calcs'!Q570</f>
        <v>0</v>
      </c>
      <c r="P119">
        <f ca="1">'Ref scen Calcs'!R570</f>
        <v>0</v>
      </c>
      <c r="Q119">
        <f ca="1">'Ref scen Calcs'!S570</f>
        <v>0</v>
      </c>
      <c r="R119">
        <f ca="1">'Ref scen Calcs'!T570</f>
        <v>0</v>
      </c>
      <c r="S119">
        <f ca="1">'Ref scen Calcs'!U570</f>
        <v>0</v>
      </c>
      <c r="T119">
        <f ca="1">'Ref scen Calcs'!V570</f>
        <v>0</v>
      </c>
      <c r="U119">
        <f ca="1">'Ref scen Calcs'!W570</f>
        <v>0</v>
      </c>
      <c r="V119">
        <f ca="1">'Ref scen Calcs'!X570</f>
        <v>0</v>
      </c>
      <c r="W119">
        <f ca="1">'Ref scen Calcs'!Y570</f>
        <v>0</v>
      </c>
      <c r="X119">
        <f ca="1">'Ref scen Calcs'!Z570</f>
        <v>0</v>
      </c>
      <c r="Y119">
        <f ca="1">'Ref scen Calcs'!AA570</f>
        <v>0</v>
      </c>
      <c r="Z119">
        <f ca="1">'Ref scen Calcs'!AB570</f>
        <v>0</v>
      </c>
      <c r="AA119">
        <f ca="1">'Ref scen Calcs'!AC570</f>
        <v>0</v>
      </c>
      <c r="AP119">
        <f ca="1">'Alt scen Calcs'!D570</f>
        <v>0</v>
      </c>
      <c r="AQ119">
        <f ca="1">'Alt scen Calcs'!E570</f>
        <v>0</v>
      </c>
      <c r="AR119">
        <f ca="1">'Alt scen Calcs'!F570</f>
        <v>0</v>
      </c>
      <c r="AS119">
        <f ca="1">'Alt scen Calcs'!G570</f>
        <v>0</v>
      </c>
      <c r="AT119">
        <f ca="1">'Alt scen Calcs'!H570</f>
        <v>0</v>
      </c>
      <c r="AU119">
        <f ca="1">'Alt scen Calcs'!I570</f>
        <v>0</v>
      </c>
      <c r="AV119">
        <f ca="1">'Alt scen Calcs'!J570</f>
        <v>0</v>
      </c>
      <c r="AW119">
        <f ca="1">'Alt scen Calcs'!K570</f>
        <v>0</v>
      </c>
      <c r="AX119">
        <f ca="1">'Alt scen Calcs'!L570</f>
        <v>0</v>
      </c>
      <c r="AY119">
        <f ca="1">'Alt scen Calcs'!M570</f>
        <v>0</v>
      </c>
      <c r="AZ119">
        <f ca="1">'Alt scen Calcs'!N570</f>
        <v>0</v>
      </c>
      <c r="BA119">
        <f ca="1">'Alt scen Calcs'!O570</f>
        <v>0</v>
      </c>
      <c r="BB119">
        <f ca="1">'Alt scen Calcs'!P570</f>
        <v>0</v>
      </c>
      <c r="BC119">
        <f ca="1">'Alt scen Calcs'!Q570</f>
        <v>0</v>
      </c>
      <c r="BD119">
        <f ca="1">'Alt scen Calcs'!R570</f>
        <v>0</v>
      </c>
      <c r="BE119">
        <f ca="1">'Alt scen Calcs'!S570</f>
        <v>0</v>
      </c>
      <c r="BF119">
        <f ca="1">'Alt scen Calcs'!T570</f>
        <v>0</v>
      </c>
      <c r="BG119">
        <f ca="1">'Alt scen Calcs'!U570</f>
        <v>1650.801111950228</v>
      </c>
      <c r="BH119">
        <f ca="1">'Alt scen Calcs'!V570</f>
        <v>3293.3297410634132</v>
      </c>
      <c r="BI119">
        <f ca="1">'Alt scen Calcs'!W570</f>
        <v>4927.5858873395555</v>
      </c>
      <c r="BJ119">
        <f ca="1">'Alt scen Calcs'!X570</f>
        <v>6553.5695507786568</v>
      </c>
      <c r="BK119">
        <f ca="1">'Alt scen Calcs'!Y570</f>
        <v>8171.2807313807134</v>
      </c>
      <c r="BL119">
        <f ca="1">'Alt scen Calcs'!Z570</f>
        <v>9780.7194291457272</v>
      </c>
      <c r="BM119">
        <f ca="1">'Alt scen Calcs'!AA570</f>
        <v>11381.8856440737</v>
      </c>
      <c r="BN119">
        <f ca="1">'Alt scen Calcs'!AB570</f>
        <v>12974.77937616463</v>
      </c>
      <c r="BO119">
        <f ca="1">'Alt scen Calcs'!AC570</f>
        <v>14559.400625418515</v>
      </c>
    </row>
    <row r="120" spans="1:67">
      <c r="A120" t="str">
        <f t="shared" si="1"/>
        <v>solar thermal central reciever</v>
      </c>
      <c r="B120">
        <f ca="1">'Ref scen Calcs'!D571</f>
        <v>0</v>
      </c>
      <c r="C120">
        <f ca="1">'Ref scen Calcs'!E571</f>
        <v>0</v>
      </c>
      <c r="D120">
        <f ca="1">'Ref scen Calcs'!F571</f>
        <v>0</v>
      </c>
      <c r="E120">
        <f ca="1">'Ref scen Calcs'!G571</f>
        <v>0</v>
      </c>
      <c r="F120">
        <f ca="1">'Ref scen Calcs'!H571</f>
        <v>0</v>
      </c>
      <c r="G120">
        <f ca="1">'Ref scen Calcs'!I571</f>
        <v>0</v>
      </c>
      <c r="H120">
        <f ca="1">'Ref scen Calcs'!J571</f>
        <v>0</v>
      </c>
      <c r="I120">
        <f ca="1">'Ref scen Calcs'!K571</f>
        <v>0</v>
      </c>
      <c r="J120">
        <f ca="1">'Ref scen Calcs'!L571</f>
        <v>0</v>
      </c>
      <c r="K120">
        <f ca="1">'Ref scen Calcs'!M571</f>
        <v>0</v>
      </c>
      <c r="L120">
        <f ca="1">'Ref scen Calcs'!N571</f>
        <v>0</v>
      </c>
      <c r="M120">
        <f ca="1">'Ref scen Calcs'!O571</f>
        <v>0</v>
      </c>
      <c r="N120">
        <f ca="1">'Ref scen Calcs'!P571</f>
        <v>0</v>
      </c>
      <c r="O120">
        <f ca="1">'Ref scen Calcs'!Q571</f>
        <v>0</v>
      </c>
      <c r="P120">
        <f ca="1">'Ref scen Calcs'!R571</f>
        <v>0</v>
      </c>
      <c r="Q120">
        <f ca="1">'Ref scen Calcs'!S571</f>
        <v>0</v>
      </c>
      <c r="R120">
        <f ca="1">'Ref scen Calcs'!T571</f>
        <v>0</v>
      </c>
      <c r="S120">
        <f ca="1">'Ref scen Calcs'!U571</f>
        <v>0</v>
      </c>
      <c r="T120">
        <f ca="1">'Ref scen Calcs'!V571</f>
        <v>0</v>
      </c>
      <c r="U120">
        <f ca="1">'Ref scen Calcs'!W571</f>
        <v>0</v>
      </c>
      <c r="V120">
        <f ca="1">'Ref scen Calcs'!X571</f>
        <v>0</v>
      </c>
      <c r="W120">
        <f ca="1">'Ref scen Calcs'!Y571</f>
        <v>0</v>
      </c>
      <c r="X120">
        <f ca="1">'Ref scen Calcs'!Z571</f>
        <v>0</v>
      </c>
      <c r="Y120">
        <f ca="1">'Ref scen Calcs'!AA571</f>
        <v>0</v>
      </c>
      <c r="Z120">
        <f ca="1">'Ref scen Calcs'!AB571</f>
        <v>0</v>
      </c>
      <c r="AA120">
        <f ca="1">'Ref scen Calcs'!AC571</f>
        <v>0</v>
      </c>
      <c r="AP120">
        <f ca="1">'Alt scen Calcs'!D571</f>
        <v>0</v>
      </c>
      <c r="AQ120">
        <f ca="1">'Alt scen Calcs'!E571</f>
        <v>0</v>
      </c>
      <c r="AR120">
        <f ca="1">'Alt scen Calcs'!F571</f>
        <v>0</v>
      </c>
      <c r="AS120">
        <f ca="1">'Alt scen Calcs'!G571</f>
        <v>0</v>
      </c>
      <c r="AT120">
        <f ca="1">'Alt scen Calcs'!H571</f>
        <v>0</v>
      </c>
      <c r="AU120">
        <f ca="1">'Alt scen Calcs'!I571</f>
        <v>0</v>
      </c>
      <c r="AV120">
        <f ca="1">'Alt scen Calcs'!J571</f>
        <v>0</v>
      </c>
      <c r="AW120">
        <f ca="1">'Alt scen Calcs'!K571</f>
        <v>0</v>
      </c>
      <c r="AX120">
        <f ca="1">'Alt scen Calcs'!L571</f>
        <v>0</v>
      </c>
      <c r="AY120">
        <f ca="1">'Alt scen Calcs'!M571</f>
        <v>0</v>
      </c>
      <c r="AZ120">
        <f ca="1">'Alt scen Calcs'!N571</f>
        <v>637.74768271397556</v>
      </c>
      <c r="BA120">
        <f ca="1">'Alt scen Calcs'!O571</f>
        <v>1877.4622066611482</v>
      </c>
      <c r="BB120">
        <f ca="1">'Alt scen Calcs'!P571</f>
        <v>4299.6419081862487</v>
      </c>
      <c r="BC120">
        <f ca="1">'Alt scen Calcs'!Q571</f>
        <v>9029.5026184979579</v>
      </c>
      <c r="BD120">
        <f ca="1">'Alt scen Calcs'!R571</f>
        <v>15952.54564485779</v>
      </c>
      <c r="BE120">
        <f ca="1">'Alt scen Calcs'!S571</f>
        <v>24954.272294527247</v>
      </c>
      <c r="BF120">
        <f ca="1">'Alt scen Calcs'!T571</f>
        <v>35920.183874767841</v>
      </c>
      <c r="BG120">
        <f ca="1">'Alt scen Calcs'!U571</f>
        <v>46599.848723162206</v>
      </c>
      <c r="BH120">
        <f ca="1">'Alt scen Calcs'!V571</f>
        <v>62189.975897984412</v>
      </c>
      <c r="BI120">
        <f ca="1">'Alt scen Calcs'!W571</f>
        <v>77350.732975037274</v>
      </c>
      <c r="BJ120">
        <f ca="1">'Alt scen Calcs'!X571</f>
        <v>92118.923105558191</v>
      </c>
      <c r="BK120">
        <f ca="1">'Alt scen Calcs'!Y571</f>
        <v>106494.54628954711</v>
      </c>
      <c r="BL120">
        <f ca="1">'Alt scen Calcs'!Z571</f>
        <v>120477.60252700408</v>
      </c>
      <c r="BM120">
        <f ca="1">'Alt scen Calcs'!AA571</f>
        <v>134068.09181792909</v>
      </c>
      <c r="BN120">
        <f ca="1">'Alt scen Calcs'!AB571</f>
        <v>147266.01416232213</v>
      </c>
      <c r="BO120">
        <f ca="1">'Alt scen Calcs'!AC571</f>
        <v>160071.36956018317</v>
      </c>
    </row>
    <row r="121" spans="1:67">
      <c r="A121" t="str">
        <f t="shared" si="1"/>
        <v>solar thermal trough</v>
      </c>
      <c r="B121">
        <f ca="1">'Ref scen Calcs'!D572</f>
        <v>0</v>
      </c>
      <c r="C121">
        <f ca="1">'Ref scen Calcs'!E572</f>
        <v>0</v>
      </c>
      <c r="D121">
        <f ca="1">'Ref scen Calcs'!F572</f>
        <v>0</v>
      </c>
      <c r="E121">
        <f ca="1">'Ref scen Calcs'!G572</f>
        <v>0</v>
      </c>
      <c r="F121">
        <f ca="1">'Ref scen Calcs'!H572</f>
        <v>0</v>
      </c>
      <c r="G121">
        <f ca="1">'Ref scen Calcs'!I572</f>
        <v>0</v>
      </c>
      <c r="H121">
        <f ca="1">'Ref scen Calcs'!J572</f>
        <v>0</v>
      </c>
      <c r="I121">
        <f ca="1">'Ref scen Calcs'!K572</f>
        <v>0</v>
      </c>
      <c r="J121">
        <f ca="1">'Ref scen Calcs'!L572</f>
        <v>0</v>
      </c>
      <c r="K121">
        <f ca="1">'Ref scen Calcs'!M572</f>
        <v>0</v>
      </c>
      <c r="L121">
        <f ca="1">'Ref scen Calcs'!N572</f>
        <v>0</v>
      </c>
      <c r="M121">
        <f ca="1">'Ref scen Calcs'!O572</f>
        <v>0</v>
      </c>
      <c r="N121">
        <f ca="1">'Ref scen Calcs'!P572</f>
        <v>0</v>
      </c>
      <c r="O121">
        <f ca="1">'Ref scen Calcs'!Q572</f>
        <v>0</v>
      </c>
      <c r="P121">
        <f ca="1">'Ref scen Calcs'!R572</f>
        <v>0</v>
      </c>
      <c r="Q121">
        <f ca="1">'Ref scen Calcs'!S572</f>
        <v>0</v>
      </c>
      <c r="R121">
        <f ca="1">'Ref scen Calcs'!T572</f>
        <v>0</v>
      </c>
      <c r="S121">
        <f ca="1">'Ref scen Calcs'!U572</f>
        <v>0</v>
      </c>
      <c r="T121">
        <f ca="1">'Ref scen Calcs'!V572</f>
        <v>0</v>
      </c>
      <c r="U121">
        <f ca="1">'Ref scen Calcs'!W572</f>
        <v>0</v>
      </c>
      <c r="V121">
        <f ca="1">'Ref scen Calcs'!X572</f>
        <v>0</v>
      </c>
      <c r="W121">
        <f ca="1">'Ref scen Calcs'!Y572</f>
        <v>0</v>
      </c>
      <c r="X121">
        <f ca="1">'Ref scen Calcs'!Z572</f>
        <v>0</v>
      </c>
      <c r="Y121">
        <f ca="1">'Ref scen Calcs'!AA572</f>
        <v>0</v>
      </c>
      <c r="Z121">
        <f ca="1">'Ref scen Calcs'!AB572</f>
        <v>0</v>
      </c>
      <c r="AA121">
        <f ca="1">'Ref scen Calcs'!AC572</f>
        <v>0</v>
      </c>
      <c r="AP121">
        <f ca="1">'Alt scen Calcs'!D572</f>
        <v>0</v>
      </c>
      <c r="AQ121">
        <f ca="1">'Alt scen Calcs'!E572</f>
        <v>0</v>
      </c>
      <c r="AR121">
        <f ca="1">'Alt scen Calcs'!F572</f>
        <v>0</v>
      </c>
      <c r="AS121">
        <f ca="1">'Alt scen Calcs'!G572</f>
        <v>0</v>
      </c>
      <c r="AT121">
        <f ca="1">'Alt scen Calcs'!H572</f>
        <v>0</v>
      </c>
      <c r="AU121">
        <f ca="1">'Alt scen Calcs'!I572</f>
        <v>0</v>
      </c>
      <c r="AV121">
        <f ca="1">'Alt scen Calcs'!J572</f>
        <v>0</v>
      </c>
      <c r="AW121">
        <f ca="1">'Alt scen Calcs'!K572</f>
        <v>0</v>
      </c>
      <c r="AX121">
        <f ca="1">'Alt scen Calcs'!L572</f>
        <v>0</v>
      </c>
      <c r="AY121">
        <f ca="1">'Alt scen Calcs'!M572</f>
        <v>0</v>
      </c>
      <c r="AZ121">
        <f ca="1">'Alt scen Calcs'!N572</f>
        <v>0</v>
      </c>
      <c r="BA121">
        <f ca="1">'Alt scen Calcs'!O572</f>
        <v>0</v>
      </c>
      <c r="BB121">
        <f ca="1">'Alt scen Calcs'!P572</f>
        <v>0</v>
      </c>
      <c r="BC121">
        <f ca="1">'Alt scen Calcs'!Q572</f>
        <v>0</v>
      </c>
      <c r="BD121">
        <f ca="1">'Alt scen Calcs'!R572</f>
        <v>0</v>
      </c>
      <c r="BE121">
        <f ca="1">'Alt scen Calcs'!S572</f>
        <v>0</v>
      </c>
      <c r="BF121">
        <f ca="1">'Alt scen Calcs'!T572</f>
        <v>0</v>
      </c>
      <c r="BG121">
        <f ca="1">'Alt scen Calcs'!U572</f>
        <v>0</v>
      </c>
      <c r="BH121">
        <f ca="1">'Alt scen Calcs'!V572</f>
        <v>0</v>
      </c>
      <c r="BI121">
        <f ca="1">'Alt scen Calcs'!W572</f>
        <v>0</v>
      </c>
      <c r="BJ121">
        <f ca="1">'Alt scen Calcs'!X572</f>
        <v>0</v>
      </c>
      <c r="BK121">
        <f ca="1">'Alt scen Calcs'!Y572</f>
        <v>0</v>
      </c>
      <c r="BL121">
        <f ca="1">'Alt scen Calcs'!Z572</f>
        <v>0</v>
      </c>
      <c r="BM121">
        <f ca="1">'Alt scen Calcs'!AA572</f>
        <v>0</v>
      </c>
      <c r="BN121">
        <f ca="1">'Alt scen Calcs'!AB572</f>
        <v>0</v>
      </c>
      <c r="BO121">
        <f ca="1">'Alt scen Calcs'!AC572</f>
        <v>0</v>
      </c>
    </row>
    <row r="122" spans="1:67">
      <c r="A122" t="str">
        <f t="shared" si="1"/>
        <v>solar PV</v>
      </c>
      <c r="B122">
        <f ca="1">'Ref scen Calcs'!D573</f>
        <v>0</v>
      </c>
      <c r="C122">
        <f ca="1">'Ref scen Calcs'!E573</f>
        <v>0</v>
      </c>
      <c r="D122">
        <f ca="1">'Ref scen Calcs'!F573</f>
        <v>0</v>
      </c>
      <c r="E122">
        <f ca="1">'Ref scen Calcs'!G573</f>
        <v>0</v>
      </c>
      <c r="F122">
        <f ca="1">'Ref scen Calcs'!H573</f>
        <v>0</v>
      </c>
      <c r="G122">
        <f ca="1">'Ref scen Calcs'!I573</f>
        <v>0</v>
      </c>
      <c r="H122">
        <f ca="1">'Ref scen Calcs'!J573</f>
        <v>0</v>
      </c>
      <c r="I122">
        <f ca="1">'Ref scen Calcs'!K573</f>
        <v>0</v>
      </c>
      <c r="J122">
        <f ca="1">'Ref scen Calcs'!L573</f>
        <v>0</v>
      </c>
      <c r="K122">
        <f ca="1">'Ref scen Calcs'!M573</f>
        <v>0</v>
      </c>
      <c r="L122">
        <f ca="1">'Ref scen Calcs'!N573</f>
        <v>0</v>
      </c>
      <c r="M122">
        <f ca="1">'Ref scen Calcs'!O573</f>
        <v>0</v>
      </c>
      <c r="N122">
        <f ca="1">'Ref scen Calcs'!P573</f>
        <v>0</v>
      </c>
      <c r="O122">
        <f ca="1">'Ref scen Calcs'!Q573</f>
        <v>0</v>
      </c>
      <c r="P122">
        <f ca="1">'Ref scen Calcs'!R573</f>
        <v>0</v>
      </c>
      <c r="Q122">
        <f ca="1">'Ref scen Calcs'!S573</f>
        <v>0</v>
      </c>
      <c r="R122">
        <f ca="1">'Ref scen Calcs'!T573</f>
        <v>0</v>
      </c>
      <c r="S122">
        <f ca="1">'Ref scen Calcs'!U573</f>
        <v>0</v>
      </c>
      <c r="T122">
        <f ca="1">'Ref scen Calcs'!V573</f>
        <v>0</v>
      </c>
      <c r="U122">
        <f ca="1">'Ref scen Calcs'!W573</f>
        <v>0</v>
      </c>
      <c r="V122">
        <f ca="1">'Ref scen Calcs'!X573</f>
        <v>0</v>
      </c>
      <c r="W122">
        <f ca="1">'Ref scen Calcs'!Y573</f>
        <v>0</v>
      </c>
      <c r="X122">
        <f ca="1">'Ref scen Calcs'!Z573</f>
        <v>0</v>
      </c>
      <c r="Y122">
        <f ca="1">'Ref scen Calcs'!AA573</f>
        <v>0</v>
      </c>
      <c r="Z122">
        <f ca="1">'Ref scen Calcs'!AB573</f>
        <v>0</v>
      </c>
      <c r="AA122">
        <f ca="1">'Ref scen Calcs'!AC573</f>
        <v>0</v>
      </c>
      <c r="AP122">
        <f ca="1">'Alt scen Calcs'!D573</f>
        <v>0</v>
      </c>
      <c r="AQ122">
        <f ca="1">'Alt scen Calcs'!E573</f>
        <v>0</v>
      </c>
      <c r="AR122">
        <f ca="1">'Alt scen Calcs'!F573</f>
        <v>0</v>
      </c>
      <c r="AS122">
        <f ca="1">'Alt scen Calcs'!G573</f>
        <v>0</v>
      </c>
      <c r="AT122">
        <f ca="1">'Alt scen Calcs'!H573</f>
        <v>0</v>
      </c>
      <c r="AU122">
        <f ca="1">'Alt scen Calcs'!I573</f>
        <v>0</v>
      </c>
      <c r="AV122">
        <f ca="1">'Alt scen Calcs'!J573</f>
        <v>0</v>
      </c>
      <c r="AW122">
        <f ca="1">'Alt scen Calcs'!K573</f>
        <v>0</v>
      </c>
      <c r="AX122">
        <f ca="1">'Alt scen Calcs'!L573</f>
        <v>0</v>
      </c>
      <c r="AY122">
        <f ca="1">'Alt scen Calcs'!M573</f>
        <v>0</v>
      </c>
      <c r="AZ122">
        <f ca="1">'Alt scen Calcs'!N573</f>
        <v>0</v>
      </c>
      <c r="BA122">
        <f ca="1">'Alt scen Calcs'!O573</f>
        <v>0</v>
      </c>
      <c r="BB122">
        <f ca="1">'Alt scen Calcs'!P573</f>
        <v>0</v>
      </c>
      <c r="BC122">
        <f ca="1">'Alt scen Calcs'!Q573</f>
        <v>0</v>
      </c>
      <c r="BD122">
        <f ca="1">'Alt scen Calcs'!R573</f>
        <v>0</v>
      </c>
      <c r="BE122">
        <f ca="1">'Alt scen Calcs'!S573</f>
        <v>0</v>
      </c>
      <c r="BF122">
        <f ca="1">'Alt scen Calcs'!T573</f>
        <v>0</v>
      </c>
      <c r="BG122">
        <f ca="1">'Alt scen Calcs'!U573</f>
        <v>0</v>
      </c>
      <c r="BH122">
        <f ca="1">'Alt scen Calcs'!V573</f>
        <v>0</v>
      </c>
      <c r="BI122">
        <f ca="1">'Alt scen Calcs'!W573</f>
        <v>0</v>
      </c>
      <c r="BJ122">
        <f ca="1">'Alt scen Calcs'!X573</f>
        <v>0</v>
      </c>
      <c r="BK122">
        <f ca="1">'Alt scen Calcs'!Y573</f>
        <v>0</v>
      </c>
      <c r="BL122">
        <f ca="1">'Alt scen Calcs'!Z573</f>
        <v>0</v>
      </c>
      <c r="BM122">
        <f ca="1">'Alt scen Calcs'!AA573</f>
        <v>0</v>
      </c>
      <c r="BN122">
        <f ca="1">'Alt scen Calcs'!AB573</f>
        <v>0</v>
      </c>
      <c r="BO122">
        <f ca="1">'Alt scen Calcs'!AC573</f>
        <v>0</v>
      </c>
    </row>
    <row r="123" spans="1:67">
      <c r="A123" t="str">
        <f t="shared" si="1"/>
        <v>combined cycle gas</v>
      </c>
      <c r="B123">
        <f ca="1">'Ref scen Calcs'!D574</f>
        <v>0</v>
      </c>
      <c r="C123">
        <f ca="1">'Ref scen Calcs'!E574</f>
        <v>0</v>
      </c>
      <c r="D123">
        <f ca="1">'Ref scen Calcs'!F574</f>
        <v>0</v>
      </c>
      <c r="E123">
        <f ca="1">'Ref scen Calcs'!G574</f>
        <v>0</v>
      </c>
      <c r="F123">
        <f ca="1">'Ref scen Calcs'!H574</f>
        <v>0</v>
      </c>
      <c r="G123">
        <f ca="1">'Ref scen Calcs'!I574</f>
        <v>0</v>
      </c>
      <c r="H123">
        <f ca="1">'Ref scen Calcs'!J574</f>
        <v>0</v>
      </c>
      <c r="I123">
        <f ca="1">'Ref scen Calcs'!K574</f>
        <v>0</v>
      </c>
      <c r="J123">
        <f ca="1">'Ref scen Calcs'!L574</f>
        <v>0</v>
      </c>
      <c r="K123">
        <f ca="1">'Ref scen Calcs'!M574</f>
        <v>0</v>
      </c>
      <c r="L123">
        <f ca="1">'Ref scen Calcs'!N574</f>
        <v>0</v>
      </c>
      <c r="M123">
        <f ca="1">'Ref scen Calcs'!O574</f>
        <v>0</v>
      </c>
      <c r="N123">
        <f ca="1">'Ref scen Calcs'!P574</f>
        <v>0</v>
      </c>
      <c r="O123">
        <f ca="1">'Ref scen Calcs'!Q574</f>
        <v>0</v>
      </c>
      <c r="P123">
        <f ca="1">'Ref scen Calcs'!R574</f>
        <v>0</v>
      </c>
      <c r="Q123">
        <f ca="1">'Ref scen Calcs'!S574</f>
        <v>0</v>
      </c>
      <c r="R123">
        <f ca="1">'Ref scen Calcs'!T574</f>
        <v>0</v>
      </c>
      <c r="S123">
        <f ca="1">'Ref scen Calcs'!U574</f>
        <v>0</v>
      </c>
      <c r="T123">
        <f ca="1">'Ref scen Calcs'!V574</f>
        <v>0</v>
      </c>
      <c r="U123">
        <f ca="1">'Ref scen Calcs'!W574</f>
        <v>0</v>
      </c>
      <c r="V123">
        <f ca="1">'Ref scen Calcs'!X574</f>
        <v>0</v>
      </c>
      <c r="W123">
        <f ca="1">'Ref scen Calcs'!Y574</f>
        <v>0</v>
      </c>
      <c r="X123">
        <f ca="1">'Ref scen Calcs'!Z574</f>
        <v>0</v>
      </c>
      <c r="Y123">
        <f ca="1">'Ref scen Calcs'!AA574</f>
        <v>0</v>
      </c>
      <c r="Z123">
        <f ca="1">'Ref scen Calcs'!AB574</f>
        <v>0</v>
      </c>
      <c r="AA123">
        <f ca="1">'Ref scen Calcs'!AC574</f>
        <v>0</v>
      </c>
      <c r="AP123">
        <f ca="1">'Alt scen Calcs'!D574</f>
        <v>0</v>
      </c>
      <c r="AQ123">
        <f ca="1">'Alt scen Calcs'!E574</f>
        <v>0</v>
      </c>
      <c r="AR123">
        <f ca="1">'Alt scen Calcs'!F574</f>
        <v>0</v>
      </c>
      <c r="AS123">
        <f ca="1">'Alt scen Calcs'!G574</f>
        <v>0</v>
      </c>
      <c r="AT123">
        <f ca="1">'Alt scen Calcs'!H574</f>
        <v>0</v>
      </c>
      <c r="AU123">
        <f ca="1">'Alt scen Calcs'!I574</f>
        <v>0</v>
      </c>
      <c r="AV123">
        <f ca="1">'Alt scen Calcs'!J574</f>
        <v>0</v>
      </c>
      <c r="AW123">
        <f ca="1">'Alt scen Calcs'!K574</f>
        <v>0</v>
      </c>
      <c r="AX123">
        <f ca="1">'Alt scen Calcs'!L574</f>
        <v>0</v>
      </c>
      <c r="AY123">
        <f ca="1">'Alt scen Calcs'!M574</f>
        <v>0</v>
      </c>
      <c r="AZ123">
        <f ca="1">'Alt scen Calcs'!N574</f>
        <v>0</v>
      </c>
      <c r="BA123">
        <f ca="1">'Alt scen Calcs'!O574</f>
        <v>0</v>
      </c>
      <c r="BB123">
        <f ca="1">'Alt scen Calcs'!P574</f>
        <v>0</v>
      </c>
      <c r="BC123">
        <f ca="1">'Alt scen Calcs'!Q574</f>
        <v>0</v>
      </c>
      <c r="BD123">
        <f ca="1">'Alt scen Calcs'!R574</f>
        <v>0</v>
      </c>
      <c r="BE123">
        <f ca="1">'Alt scen Calcs'!S574</f>
        <v>0</v>
      </c>
      <c r="BF123">
        <f ca="1">'Alt scen Calcs'!T574</f>
        <v>0</v>
      </c>
      <c r="BG123">
        <f ca="1">'Alt scen Calcs'!U574</f>
        <v>0</v>
      </c>
      <c r="BH123">
        <f ca="1">'Alt scen Calcs'!V574</f>
        <v>0</v>
      </c>
      <c r="BI123">
        <f ca="1">'Alt scen Calcs'!W574</f>
        <v>0</v>
      </c>
      <c r="BJ123">
        <f ca="1">'Alt scen Calcs'!X574</f>
        <v>0</v>
      </c>
      <c r="BK123">
        <f ca="1">'Alt scen Calcs'!Y574</f>
        <v>0</v>
      </c>
      <c r="BL123">
        <f ca="1">'Alt scen Calcs'!Z574</f>
        <v>3083.7005316401996</v>
      </c>
      <c r="BM123">
        <f ca="1">'Alt scen Calcs'!AA574</f>
        <v>7864.3443012001862</v>
      </c>
      <c r="BN123">
        <f ca="1">'Alt scen Calcs'!AB574</f>
        <v>12831.618231303542</v>
      </c>
      <c r="BO123">
        <f ca="1">'Alt scen Calcs'!AC574</f>
        <v>13083.915738853018</v>
      </c>
    </row>
    <row r="124" spans="1:67">
      <c r="A124" t="str">
        <f t="shared" si="1"/>
        <v>PBMR</v>
      </c>
      <c r="B124">
        <f ca="1">'Ref scen Calcs'!D575</f>
        <v>0</v>
      </c>
      <c r="C124">
        <f ca="1">'Ref scen Calcs'!E575</f>
        <v>0</v>
      </c>
      <c r="D124">
        <f ca="1">'Ref scen Calcs'!F575</f>
        <v>0</v>
      </c>
      <c r="E124">
        <f ca="1">'Ref scen Calcs'!G575</f>
        <v>0</v>
      </c>
      <c r="F124">
        <f ca="1">'Ref scen Calcs'!H575</f>
        <v>0</v>
      </c>
      <c r="G124">
        <f ca="1">'Ref scen Calcs'!I575</f>
        <v>0</v>
      </c>
      <c r="H124">
        <f ca="1">'Ref scen Calcs'!J575</f>
        <v>0</v>
      </c>
      <c r="I124">
        <f ca="1">'Ref scen Calcs'!K575</f>
        <v>0</v>
      </c>
      <c r="J124">
        <f ca="1">'Ref scen Calcs'!L575</f>
        <v>0</v>
      </c>
      <c r="K124">
        <f ca="1">'Ref scen Calcs'!M575</f>
        <v>0</v>
      </c>
      <c r="L124">
        <f ca="1">'Ref scen Calcs'!N575</f>
        <v>0</v>
      </c>
      <c r="M124">
        <f ca="1">'Ref scen Calcs'!O575</f>
        <v>0</v>
      </c>
      <c r="N124">
        <f ca="1">'Ref scen Calcs'!P575</f>
        <v>0</v>
      </c>
      <c r="O124">
        <f ca="1">'Ref scen Calcs'!Q575</f>
        <v>0</v>
      </c>
      <c r="P124">
        <f ca="1">'Ref scen Calcs'!R575</f>
        <v>0</v>
      </c>
      <c r="Q124">
        <f ca="1">'Ref scen Calcs'!S575</f>
        <v>0</v>
      </c>
      <c r="R124">
        <f ca="1">'Ref scen Calcs'!T575</f>
        <v>0</v>
      </c>
      <c r="S124">
        <f ca="1">'Ref scen Calcs'!U575</f>
        <v>0</v>
      </c>
      <c r="T124">
        <f ca="1">'Ref scen Calcs'!V575</f>
        <v>0</v>
      </c>
      <c r="U124">
        <f ca="1">'Ref scen Calcs'!W575</f>
        <v>0</v>
      </c>
      <c r="V124">
        <f ca="1">'Ref scen Calcs'!X575</f>
        <v>0</v>
      </c>
      <c r="W124">
        <f ca="1">'Ref scen Calcs'!Y575</f>
        <v>0</v>
      </c>
      <c r="X124">
        <f ca="1">'Ref scen Calcs'!Z575</f>
        <v>0</v>
      </c>
      <c r="Y124">
        <f ca="1">'Ref scen Calcs'!AA575</f>
        <v>0</v>
      </c>
      <c r="Z124">
        <f ca="1">'Ref scen Calcs'!AB575</f>
        <v>0</v>
      </c>
      <c r="AA124">
        <f ca="1">'Ref scen Calcs'!AC575</f>
        <v>0</v>
      </c>
      <c r="AP124">
        <f ca="1">'Alt scen Calcs'!D575</f>
        <v>0</v>
      </c>
      <c r="AQ124">
        <f ca="1">'Alt scen Calcs'!E575</f>
        <v>0</v>
      </c>
      <c r="AR124">
        <f ca="1">'Alt scen Calcs'!F575</f>
        <v>0</v>
      </c>
      <c r="AS124">
        <f ca="1">'Alt scen Calcs'!G575</f>
        <v>0</v>
      </c>
      <c r="AT124">
        <f ca="1">'Alt scen Calcs'!H575</f>
        <v>0</v>
      </c>
      <c r="AU124">
        <f ca="1">'Alt scen Calcs'!I575</f>
        <v>0</v>
      </c>
      <c r="AV124">
        <f ca="1">'Alt scen Calcs'!J575</f>
        <v>0</v>
      </c>
      <c r="AW124">
        <f ca="1">'Alt scen Calcs'!K575</f>
        <v>0</v>
      </c>
      <c r="AX124">
        <f ca="1">'Alt scen Calcs'!L575</f>
        <v>0</v>
      </c>
      <c r="AY124">
        <f ca="1">'Alt scen Calcs'!M575</f>
        <v>0</v>
      </c>
      <c r="AZ124">
        <f ca="1">'Alt scen Calcs'!N575</f>
        <v>0</v>
      </c>
      <c r="BA124">
        <f ca="1">'Alt scen Calcs'!O575</f>
        <v>0</v>
      </c>
      <c r="BB124">
        <f ca="1">'Alt scen Calcs'!P575</f>
        <v>0</v>
      </c>
      <c r="BC124">
        <f ca="1">'Alt scen Calcs'!Q575</f>
        <v>0</v>
      </c>
      <c r="BD124">
        <f ca="1">'Alt scen Calcs'!R575</f>
        <v>0</v>
      </c>
      <c r="BE124">
        <f ca="1">'Alt scen Calcs'!S575</f>
        <v>0</v>
      </c>
      <c r="BF124">
        <f ca="1">'Alt scen Calcs'!T575</f>
        <v>0</v>
      </c>
      <c r="BG124">
        <f ca="1">'Alt scen Calcs'!U575</f>
        <v>0</v>
      </c>
      <c r="BH124">
        <f ca="1">'Alt scen Calcs'!V575</f>
        <v>0</v>
      </c>
      <c r="BI124">
        <f ca="1">'Alt scen Calcs'!W575</f>
        <v>0</v>
      </c>
      <c r="BJ124">
        <f ca="1">'Alt scen Calcs'!X575</f>
        <v>0</v>
      </c>
      <c r="BK124">
        <f ca="1">'Alt scen Calcs'!Y575</f>
        <v>0</v>
      </c>
      <c r="BL124">
        <f ca="1">'Alt scen Calcs'!Z575</f>
        <v>0</v>
      </c>
      <c r="BM124">
        <f ca="1">'Alt scen Calcs'!AA575</f>
        <v>0</v>
      </c>
      <c r="BN124">
        <f ca="1">'Alt scen Calcs'!AB575</f>
        <v>0</v>
      </c>
      <c r="BO124">
        <f ca="1">'Alt scen Calcs'!AC575</f>
        <v>0</v>
      </c>
    </row>
    <row r="125" spans="1:67">
      <c r="A125" t="str">
        <f t="shared" si="1"/>
        <v>IGCC</v>
      </c>
      <c r="B125">
        <f ca="1">'Ref scen Calcs'!D576</f>
        <v>0</v>
      </c>
      <c r="C125">
        <f ca="1">'Ref scen Calcs'!E576</f>
        <v>2.274066347231097E-12</v>
      </c>
      <c r="D125">
        <f ca="1">'Ref scen Calcs'!F576</f>
        <v>0</v>
      </c>
      <c r="E125">
        <f ca="1">'Ref scen Calcs'!G576</f>
        <v>2.686426941512535E-12</v>
      </c>
      <c r="F125">
        <f ca="1">'Ref scen Calcs'!H576</f>
        <v>2.686426941512535E-12</v>
      </c>
      <c r="G125">
        <f ca="1">'Ref scen Calcs'!I576</f>
        <v>0</v>
      </c>
      <c r="H125">
        <f ca="1">'Ref scen Calcs'!J576</f>
        <v>0</v>
      </c>
      <c r="I125">
        <f ca="1">'Ref scen Calcs'!K576</f>
        <v>0</v>
      </c>
      <c r="J125">
        <f ca="1">'Ref scen Calcs'!L576</f>
        <v>0</v>
      </c>
      <c r="K125">
        <f ca="1">'Ref scen Calcs'!M576</f>
        <v>0</v>
      </c>
      <c r="L125">
        <f ca="1">'Ref scen Calcs'!N576</f>
        <v>0</v>
      </c>
      <c r="M125">
        <f ca="1">'Ref scen Calcs'!O576</f>
        <v>0</v>
      </c>
      <c r="N125">
        <f ca="1">'Ref scen Calcs'!P576</f>
        <v>0</v>
      </c>
      <c r="O125">
        <f ca="1">'Ref scen Calcs'!Q576</f>
        <v>0</v>
      </c>
      <c r="P125">
        <f ca="1">'Ref scen Calcs'!R576</f>
        <v>0</v>
      </c>
      <c r="Q125">
        <f ca="1">'Ref scen Calcs'!S576</f>
        <v>0</v>
      </c>
      <c r="R125">
        <f ca="1">'Ref scen Calcs'!T576</f>
        <v>0</v>
      </c>
      <c r="S125">
        <f ca="1">'Ref scen Calcs'!U576</f>
        <v>0</v>
      </c>
      <c r="T125">
        <f ca="1">'Ref scen Calcs'!V576</f>
        <v>0</v>
      </c>
      <c r="U125">
        <f ca="1">'Ref scen Calcs'!W576</f>
        <v>0</v>
      </c>
      <c r="V125">
        <f ca="1">'Ref scen Calcs'!X576</f>
        <v>0</v>
      </c>
      <c r="W125">
        <f ca="1">'Ref scen Calcs'!Y576</f>
        <v>0</v>
      </c>
      <c r="X125">
        <f ca="1">'Ref scen Calcs'!Z576</f>
        <v>0</v>
      </c>
      <c r="Y125">
        <f ca="1">'Ref scen Calcs'!AA576</f>
        <v>0</v>
      </c>
      <c r="Z125">
        <f ca="1">'Ref scen Calcs'!AB576</f>
        <v>0</v>
      </c>
      <c r="AA125">
        <f ca="1">'Ref scen Calcs'!AC576</f>
        <v>0</v>
      </c>
      <c r="AP125">
        <f ca="1">'Alt scen Calcs'!D576</f>
        <v>0</v>
      </c>
      <c r="AQ125">
        <f ca="1">'Alt scen Calcs'!E576</f>
        <v>2.274066347231097E-12</v>
      </c>
      <c r="AR125">
        <f ca="1">'Alt scen Calcs'!F576</f>
        <v>0</v>
      </c>
      <c r="AS125">
        <f ca="1">'Alt scen Calcs'!G576</f>
        <v>2.686426941512535E-12</v>
      </c>
      <c r="AT125">
        <f ca="1">'Alt scen Calcs'!H576</f>
        <v>2.686426941512535E-12</v>
      </c>
      <c r="AU125">
        <f ca="1">'Alt scen Calcs'!I576</f>
        <v>0</v>
      </c>
      <c r="AV125">
        <f ca="1">'Alt scen Calcs'!J576</f>
        <v>0</v>
      </c>
      <c r="AW125">
        <f ca="1">'Alt scen Calcs'!K576</f>
        <v>0</v>
      </c>
      <c r="AX125">
        <f ca="1">'Alt scen Calcs'!L576</f>
        <v>0</v>
      </c>
      <c r="AY125">
        <f ca="1">'Alt scen Calcs'!M576</f>
        <v>0</v>
      </c>
      <c r="AZ125">
        <f ca="1">'Alt scen Calcs'!N576</f>
        <v>0</v>
      </c>
      <c r="BA125">
        <f ca="1">'Alt scen Calcs'!O576</f>
        <v>0</v>
      </c>
      <c r="BB125">
        <f ca="1">'Alt scen Calcs'!P576</f>
        <v>0</v>
      </c>
      <c r="BC125">
        <f ca="1">'Alt scen Calcs'!Q576</f>
        <v>0</v>
      </c>
      <c r="BD125">
        <f ca="1">'Alt scen Calcs'!R576</f>
        <v>0</v>
      </c>
      <c r="BE125">
        <f ca="1">'Alt scen Calcs'!S576</f>
        <v>0</v>
      </c>
      <c r="BF125">
        <f ca="1">'Alt scen Calcs'!T576</f>
        <v>0</v>
      </c>
      <c r="BG125">
        <f ca="1">'Alt scen Calcs'!U576</f>
        <v>0</v>
      </c>
      <c r="BH125">
        <f ca="1">'Alt scen Calcs'!V576</f>
        <v>0</v>
      </c>
      <c r="BI125">
        <f ca="1">'Alt scen Calcs'!W576</f>
        <v>0</v>
      </c>
      <c r="BJ125">
        <f ca="1">'Alt scen Calcs'!X576</f>
        <v>0</v>
      </c>
      <c r="BK125">
        <f ca="1">'Alt scen Calcs'!Y576</f>
        <v>0</v>
      </c>
      <c r="BL125">
        <f ca="1">'Alt scen Calcs'!Z576</f>
        <v>0</v>
      </c>
      <c r="BM125">
        <f ca="1">'Alt scen Calcs'!AA576</f>
        <v>0</v>
      </c>
      <c r="BN125">
        <f ca="1">'Alt scen Calcs'!AB576</f>
        <v>1956.3183382939712</v>
      </c>
      <c r="BO125">
        <f ca="1">'Alt scen Calcs'!AC576</f>
        <v>3915.8436489951246</v>
      </c>
    </row>
    <row r="126" spans="1:67">
      <c r="A126" t="str">
        <f t="shared" si="1"/>
        <v>-</v>
      </c>
      <c r="B126">
        <f ca="1">'Ref scen Calcs'!D577</f>
        <v>0</v>
      </c>
      <c r="C126">
        <f ca="1">'Ref scen Calcs'!E577</f>
        <v>0</v>
      </c>
      <c r="D126">
        <f ca="1">'Ref scen Calcs'!F577</f>
        <v>0</v>
      </c>
      <c r="E126">
        <f ca="1">'Ref scen Calcs'!G577</f>
        <v>0</v>
      </c>
      <c r="F126">
        <f ca="1">'Ref scen Calcs'!H577</f>
        <v>0</v>
      </c>
      <c r="G126">
        <f ca="1">'Ref scen Calcs'!I577</f>
        <v>0</v>
      </c>
      <c r="H126">
        <f ca="1">'Ref scen Calcs'!J577</f>
        <v>0</v>
      </c>
      <c r="I126">
        <f ca="1">'Ref scen Calcs'!K577</f>
        <v>0</v>
      </c>
      <c r="J126">
        <f ca="1">'Ref scen Calcs'!L577</f>
        <v>0</v>
      </c>
      <c r="K126">
        <f ca="1">'Ref scen Calcs'!M577</f>
        <v>0</v>
      </c>
      <c r="L126">
        <f ca="1">'Ref scen Calcs'!N577</f>
        <v>0</v>
      </c>
      <c r="M126">
        <f ca="1">'Ref scen Calcs'!O577</f>
        <v>0</v>
      </c>
      <c r="N126">
        <f ca="1">'Ref scen Calcs'!P577</f>
        <v>0</v>
      </c>
      <c r="O126">
        <f ca="1">'Ref scen Calcs'!Q577</f>
        <v>0</v>
      </c>
      <c r="P126">
        <f ca="1">'Ref scen Calcs'!R577</f>
        <v>0</v>
      </c>
      <c r="Q126">
        <f ca="1">'Ref scen Calcs'!S577</f>
        <v>0</v>
      </c>
      <c r="R126">
        <f ca="1">'Ref scen Calcs'!T577</f>
        <v>0</v>
      </c>
      <c r="S126">
        <f ca="1">'Ref scen Calcs'!U577</f>
        <v>0</v>
      </c>
      <c r="T126">
        <f ca="1">'Ref scen Calcs'!V577</f>
        <v>0</v>
      </c>
      <c r="U126">
        <f ca="1">'Ref scen Calcs'!W577</f>
        <v>0</v>
      </c>
      <c r="V126">
        <f ca="1">'Ref scen Calcs'!X577</f>
        <v>0</v>
      </c>
      <c r="W126">
        <f ca="1">'Ref scen Calcs'!Y577</f>
        <v>0</v>
      </c>
      <c r="X126">
        <f ca="1">'Ref scen Calcs'!Z577</f>
        <v>0</v>
      </c>
      <c r="Y126">
        <f ca="1">'Ref scen Calcs'!AA577</f>
        <v>0</v>
      </c>
      <c r="Z126">
        <f ca="1">'Ref scen Calcs'!AB577</f>
        <v>0</v>
      </c>
      <c r="AA126">
        <f ca="1">'Ref scen Calcs'!AC577</f>
        <v>0</v>
      </c>
      <c r="AP126">
        <f ca="1">'Alt scen Calcs'!D577</f>
        <v>0</v>
      </c>
      <c r="AQ126">
        <f ca="1">'Alt scen Calcs'!E577</f>
        <v>0</v>
      </c>
      <c r="AR126">
        <f ca="1">'Alt scen Calcs'!F577</f>
        <v>0</v>
      </c>
      <c r="AS126">
        <f ca="1">'Alt scen Calcs'!G577</f>
        <v>0</v>
      </c>
      <c r="AT126">
        <f ca="1">'Alt scen Calcs'!H577</f>
        <v>0</v>
      </c>
      <c r="AU126">
        <f ca="1">'Alt scen Calcs'!I577</f>
        <v>0</v>
      </c>
      <c r="AV126">
        <f ca="1">'Alt scen Calcs'!J577</f>
        <v>0</v>
      </c>
      <c r="AW126">
        <f ca="1">'Alt scen Calcs'!K577</f>
        <v>0</v>
      </c>
      <c r="AX126">
        <f ca="1">'Alt scen Calcs'!L577</f>
        <v>0</v>
      </c>
      <c r="AY126">
        <f ca="1">'Alt scen Calcs'!M577</f>
        <v>0</v>
      </c>
      <c r="AZ126">
        <f ca="1">'Alt scen Calcs'!N577</f>
        <v>0</v>
      </c>
      <c r="BA126">
        <f ca="1">'Alt scen Calcs'!O577</f>
        <v>0</v>
      </c>
      <c r="BB126">
        <f ca="1">'Alt scen Calcs'!P577</f>
        <v>0</v>
      </c>
      <c r="BC126">
        <f ca="1">'Alt scen Calcs'!Q577</f>
        <v>0</v>
      </c>
      <c r="BD126">
        <f ca="1">'Alt scen Calcs'!R577</f>
        <v>0</v>
      </c>
      <c r="BE126">
        <f ca="1">'Alt scen Calcs'!S577</f>
        <v>0</v>
      </c>
      <c r="BF126">
        <f ca="1">'Alt scen Calcs'!T577</f>
        <v>0</v>
      </c>
      <c r="BG126">
        <f ca="1">'Alt scen Calcs'!U577</f>
        <v>0</v>
      </c>
      <c r="BH126">
        <f ca="1">'Alt scen Calcs'!V577</f>
        <v>0</v>
      </c>
      <c r="BI126">
        <f ca="1">'Alt scen Calcs'!W577</f>
        <v>0</v>
      </c>
      <c r="BJ126">
        <f ca="1">'Alt scen Calcs'!X577</f>
        <v>0</v>
      </c>
      <c r="BK126">
        <f ca="1">'Alt scen Calcs'!Y577</f>
        <v>0</v>
      </c>
      <c r="BL126">
        <f ca="1">'Alt scen Calcs'!Z577</f>
        <v>0</v>
      </c>
      <c r="BM126">
        <f ca="1">'Alt scen Calcs'!AA577</f>
        <v>0</v>
      </c>
      <c r="BN126">
        <f ca="1">'Alt scen Calcs'!AB577</f>
        <v>0</v>
      </c>
      <c r="BO126">
        <f ca="1">'Alt scen Calcs'!AC577</f>
        <v>0</v>
      </c>
    </row>
    <row r="127" spans="1:67">
      <c r="A127" t="str">
        <f t="shared" si="1"/>
        <v>-</v>
      </c>
      <c r="B127">
        <f ca="1">'Ref scen Calcs'!D578</f>
        <v>0</v>
      </c>
      <c r="C127">
        <f ca="1">'Ref scen Calcs'!E578</f>
        <v>0</v>
      </c>
      <c r="D127">
        <f ca="1">'Ref scen Calcs'!F578</f>
        <v>0</v>
      </c>
      <c r="E127">
        <f ca="1">'Ref scen Calcs'!G578</f>
        <v>0</v>
      </c>
      <c r="F127">
        <f ca="1">'Ref scen Calcs'!H578</f>
        <v>0</v>
      </c>
      <c r="G127">
        <f ca="1">'Ref scen Calcs'!I578</f>
        <v>0</v>
      </c>
      <c r="H127">
        <f ca="1">'Ref scen Calcs'!J578</f>
        <v>0</v>
      </c>
      <c r="I127">
        <f ca="1">'Ref scen Calcs'!K578</f>
        <v>0</v>
      </c>
      <c r="J127">
        <f ca="1">'Ref scen Calcs'!L578</f>
        <v>0</v>
      </c>
      <c r="K127">
        <f ca="1">'Ref scen Calcs'!M578</f>
        <v>0</v>
      </c>
      <c r="L127">
        <f ca="1">'Ref scen Calcs'!N578</f>
        <v>0</v>
      </c>
      <c r="M127">
        <f ca="1">'Ref scen Calcs'!O578</f>
        <v>0</v>
      </c>
      <c r="N127">
        <f ca="1">'Ref scen Calcs'!P578</f>
        <v>0</v>
      </c>
      <c r="O127">
        <f ca="1">'Ref scen Calcs'!Q578</f>
        <v>0</v>
      </c>
      <c r="P127">
        <f ca="1">'Ref scen Calcs'!R578</f>
        <v>0</v>
      </c>
      <c r="Q127">
        <f ca="1">'Ref scen Calcs'!S578</f>
        <v>0</v>
      </c>
      <c r="R127">
        <f ca="1">'Ref scen Calcs'!T578</f>
        <v>0</v>
      </c>
      <c r="S127">
        <f ca="1">'Ref scen Calcs'!U578</f>
        <v>0</v>
      </c>
      <c r="T127">
        <f ca="1">'Ref scen Calcs'!V578</f>
        <v>0</v>
      </c>
      <c r="U127">
        <f ca="1">'Ref scen Calcs'!W578</f>
        <v>0</v>
      </c>
      <c r="V127">
        <f ca="1">'Ref scen Calcs'!X578</f>
        <v>0</v>
      </c>
      <c r="W127">
        <f ca="1">'Ref scen Calcs'!Y578</f>
        <v>0</v>
      </c>
      <c r="X127">
        <f ca="1">'Ref scen Calcs'!Z578</f>
        <v>0</v>
      </c>
      <c r="Y127">
        <f ca="1">'Ref scen Calcs'!AA578</f>
        <v>0</v>
      </c>
      <c r="Z127">
        <f ca="1">'Ref scen Calcs'!AB578</f>
        <v>0</v>
      </c>
      <c r="AA127">
        <f ca="1">'Ref scen Calcs'!AC578</f>
        <v>0</v>
      </c>
      <c r="AP127">
        <f ca="1">'Alt scen Calcs'!D578</f>
        <v>0</v>
      </c>
      <c r="AQ127">
        <f ca="1">'Alt scen Calcs'!E578</f>
        <v>0</v>
      </c>
      <c r="AR127">
        <f ca="1">'Alt scen Calcs'!F578</f>
        <v>0</v>
      </c>
      <c r="AS127">
        <f ca="1">'Alt scen Calcs'!G578</f>
        <v>0</v>
      </c>
      <c r="AT127">
        <f ca="1">'Alt scen Calcs'!H578</f>
        <v>0</v>
      </c>
      <c r="AU127">
        <f ca="1">'Alt scen Calcs'!I578</f>
        <v>0</v>
      </c>
      <c r="AV127">
        <f ca="1">'Alt scen Calcs'!J578</f>
        <v>0</v>
      </c>
      <c r="AW127">
        <f ca="1">'Alt scen Calcs'!K578</f>
        <v>0</v>
      </c>
      <c r="AX127">
        <f ca="1">'Alt scen Calcs'!L578</f>
        <v>0</v>
      </c>
      <c r="AY127">
        <f ca="1">'Alt scen Calcs'!M578</f>
        <v>0</v>
      </c>
      <c r="AZ127">
        <f ca="1">'Alt scen Calcs'!N578</f>
        <v>0</v>
      </c>
      <c r="BA127">
        <f ca="1">'Alt scen Calcs'!O578</f>
        <v>0</v>
      </c>
      <c r="BB127">
        <f ca="1">'Alt scen Calcs'!P578</f>
        <v>0</v>
      </c>
      <c r="BC127">
        <f ca="1">'Alt scen Calcs'!Q578</f>
        <v>0</v>
      </c>
      <c r="BD127">
        <f ca="1">'Alt scen Calcs'!R578</f>
        <v>0</v>
      </c>
      <c r="BE127">
        <f ca="1">'Alt scen Calcs'!S578</f>
        <v>0</v>
      </c>
      <c r="BF127">
        <f ca="1">'Alt scen Calcs'!T578</f>
        <v>0</v>
      </c>
      <c r="BG127">
        <f ca="1">'Alt scen Calcs'!U578</f>
        <v>0</v>
      </c>
      <c r="BH127">
        <f ca="1">'Alt scen Calcs'!V578</f>
        <v>0</v>
      </c>
      <c r="BI127">
        <f ca="1">'Alt scen Calcs'!W578</f>
        <v>0</v>
      </c>
      <c r="BJ127">
        <f ca="1">'Alt scen Calcs'!X578</f>
        <v>0</v>
      </c>
      <c r="BK127">
        <f ca="1">'Alt scen Calcs'!Y578</f>
        <v>0</v>
      </c>
      <c r="BL127">
        <f ca="1">'Alt scen Calcs'!Z578</f>
        <v>0</v>
      </c>
      <c r="BM127">
        <f ca="1">'Alt scen Calcs'!AA578</f>
        <v>0</v>
      </c>
      <c r="BN127">
        <f ca="1">'Alt scen Calcs'!AB578</f>
        <v>0</v>
      </c>
      <c r="BO127">
        <f ca="1">'Alt scen Calcs'!AC578</f>
        <v>0</v>
      </c>
    </row>
    <row r="128" spans="1:67">
      <c r="A128" t="str">
        <f t="shared" si="1"/>
        <v>-</v>
      </c>
      <c r="B128">
        <f ca="1">'Ref scen Calcs'!D579</f>
        <v>0</v>
      </c>
      <c r="C128">
        <f ca="1">'Ref scen Calcs'!E579</f>
        <v>0</v>
      </c>
      <c r="D128">
        <f ca="1">'Ref scen Calcs'!F579</f>
        <v>0</v>
      </c>
      <c r="E128">
        <f ca="1">'Ref scen Calcs'!G579</f>
        <v>0</v>
      </c>
      <c r="F128">
        <f ca="1">'Ref scen Calcs'!H579</f>
        <v>0</v>
      </c>
      <c r="G128">
        <f ca="1">'Ref scen Calcs'!I579</f>
        <v>0</v>
      </c>
      <c r="H128">
        <f ca="1">'Ref scen Calcs'!J579</f>
        <v>0</v>
      </c>
      <c r="I128">
        <f ca="1">'Ref scen Calcs'!K579</f>
        <v>0</v>
      </c>
      <c r="J128">
        <f ca="1">'Ref scen Calcs'!L579</f>
        <v>0</v>
      </c>
      <c r="K128">
        <f ca="1">'Ref scen Calcs'!M579</f>
        <v>0</v>
      </c>
      <c r="L128">
        <f ca="1">'Ref scen Calcs'!N579</f>
        <v>0</v>
      </c>
      <c r="M128">
        <f ca="1">'Ref scen Calcs'!O579</f>
        <v>0</v>
      </c>
      <c r="N128">
        <f ca="1">'Ref scen Calcs'!P579</f>
        <v>0</v>
      </c>
      <c r="O128">
        <f ca="1">'Ref scen Calcs'!Q579</f>
        <v>0</v>
      </c>
      <c r="P128">
        <f ca="1">'Ref scen Calcs'!R579</f>
        <v>0</v>
      </c>
      <c r="Q128">
        <f ca="1">'Ref scen Calcs'!S579</f>
        <v>0</v>
      </c>
      <c r="R128">
        <f ca="1">'Ref scen Calcs'!T579</f>
        <v>0</v>
      </c>
      <c r="S128">
        <f ca="1">'Ref scen Calcs'!U579</f>
        <v>0</v>
      </c>
      <c r="T128">
        <f ca="1">'Ref scen Calcs'!V579</f>
        <v>0</v>
      </c>
      <c r="U128">
        <f ca="1">'Ref scen Calcs'!W579</f>
        <v>0</v>
      </c>
      <c r="V128">
        <f ca="1">'Ref scen Calcs'!X579</f>
        <v>0</v>
      </c>
      <c r="W128">
        <f ca="1">'Ref scen Calcs'!Y579</f>
        <v>0</v>
      </c>
      <c r="X128">
        <f ca="1">'Ref scen Calcs'!Z579</f>
        <v>0</v>
      </c>
      <c r="Y128">
        <f ca="1">'Ref scen Calcs'!AA579</f>
        <v>0</v>
      </c>
      <c r="Z128">
        <f ca="1">'Ref scen Calcs'!AB579</f>
        <v>0</v>
      </c>
      <c r="AA128">
        <f ca="1">'Ref scen Calcs'!AC579</f>
        <v>0</v>
      </c>
      <c r="AP128">
        <f ca="1">'Alt scen Calcs'!D579</f>
        <v>0</v>
      </c>
      <c r="AQ128">
        <f ca="1">'Alt scen Calcs'!E579</f>
        <v>0</v>
      </c>
      <c r="AR128">
        <f ca="1">'Alt scen Calcs'!F579</f>
        <v>0</v>
      </c>
      <c r="AS128">
        <f ca="1">'Alt scen Calcs'!G579</f>
        <v>0</v>
      </c>
      <c r="AT128">
        <f ca="1">'Alt scen Calcs'!H579</f>
        <v>0</v>
      </c>
      <c r="AU128">
        <f ca="1">'Alt scen Calcs'!I579</f>
        <v>0</v>
      </c>
      <c r="AV128">
        <f ca="1">'Alt scen Calcs'!J579</f>
        <v>0</v>
      </c>
      <c r="AW128">
        <f ca="1">'Alt scen Calcs'!K579</f>
        <v>0</v>
      </c>
      <c r="AX128">
        <f ca="1">'Alt scen Calcs'!L579</f>
        <v>0</v>
      </c>
      <c r="AY128">
        <f ca="1">'Alt scen Calcs'!M579</f>
        <v>0</v>
      </c>
      <c r="AZ128">
        <f ca="1">'Alt scen Calcs'!N579</f>
        <v>0</v>
      </c>
      <c r="BA128">
        <f ca="1">'Alt scen Calcs'!O579</f>
        <v>0</v>
      </c>
      <c r="BB128">
        <f ca="1">'Alt scen Calcs'!P579</f>
        <v>0</v>
      </c>
      <c r="BC128">
        <f ca="1">'Alt scen Calcs'!Q579</f>
        <v>0</v>
      </c>
      <c r="BD128">
        <f ca="1">'Alt scen Calcs'!R579</f>
        <v>0</v>
      </c>
      <c r="BE128">
        <f ca="1">'Alt scen Calcs'!S579</f>
        <v>0</v>
      </c>
      <c r="BF128">
        <f ca="1">'Alt scen Calcs'!T579</f>
        <v>0</v>
      </c>
      <c r="BG128">
        <f ca="1">'Alt scen Calcs'!U579</f>
        <v>0</v>
      </c>
      <c r="BH128">
        <f ca="1">'Alt scen Calcs'!V579</f>
        <v>0</v>
      </c>
      <c r="BI128">
        <f ca="1">'Alt scen Calcs'!W579</f>
        <v>0</v>
      </c>
      <c r="BJ128">
        <f ca="1">'Alt scen Calcs'!X579</f>
        <v>0</v>
      </c>
      <c r="BK128">
        <f ca="1">'Alt scen Calcs'!Y579</f>
        <v>0</v>
      </c>
      <c r="BL128">
        <f ca="1">'Alt scen Calcs'!Z579</f>
        <v>0</v>
      </c>
      <c r="BM128">
        <f ca="1">'Alt scen Calcs'!AA579</f>
        <v>0</v>
      </c>
      <c r="BN128">
        <f ca="1">'Alt scen Calcs'!AB579</f>
        <v>0</v>
      </c>
      <c r="BO128">
        <f ca="1">'Alt scen Calcs'!AC579</f>
        <v>0</v>
      </c>
    </row>
    <row r="129" spans="1:67">
      <c r="A129" t="str">
        <f t="shared" si="1"/>
        <v>Pumped storage</v>
      </c>
      <c r="B129">
        <f ca="1">'Ref scen Calcs'!D580</f>
        <v>91.355013587921817</v>
      </c>
      <c r="C129">
        <f ca="1">'Ref scen Calcs'!E580</f>
        <v>91.355013587921817</v>
      </c>
      <c r="D129">
        <f ca="1">'Ref scen Calcs'!F580</f>
        <v>91.355013587921817</v>
      </c>
      <c r="E129">
        <f ca="1">'Ref scen Calcs'!G580</f>
        <v>91.355013587921817</v>
      </c>
      <c r="F129">
        <f ca="1">'Ref scen Calcs'!H580</f>
        <v>91.355013587921817</v>
      </c>
      <c r="G129">
        <f ca="1">'Ref scen Calcs'!I580</f>
        <v>91.355013587921817</v>
      </c>
      <c r="H129">
        <f ca="1">'Ref scen Calcs'!J580</f>
        <v>91.355013587921817</v>
      </c>
      <c r="I129">
        <f ca="1">'Ref scen Calcs'!K580</f>
        <v>91.355013587921817</v>
      </c>
      <c r="J129">
        <f ca="1">'Ref scen Calcs'!L580</f>
        <v>1003.7456618954134</v>
      </c>
      <c r="K129">
        <f ca="1">'Ref scen Calcs'!M580</f>
        <v>1916.136310202905</v>
      </c>
      <c r="L129">
        <f ca="1">'Ref scen Calcs'!N580</f>
        <v>1916.136310202905</v>
      </c>
      <c r="M129">
        <f ca="1">'Ref scen Calcs'!O580</f>
        <v>1916.136310202905</v>
      </c>
      <c r="N129">
        <f ca="1">'Ref scen Calcs'!P580</f>
        <v>1916.136310202905</v>
      </c>
      <c r="O129">
        <f ca="1">'Ref scen Calcs'!Q580</f>
        <v>1916.136310202905</v>
      </c>
      <c r="P129">
        <f ca="1">'Ref scen Calcs'!R580</f>
        <v>1916.136310202905</v>
      </c>
      <c r="Q129">
        <f ca="1">'Ref scen Calcs'!S580</f>
        <v>1916.136310202905</v>
      </c>
      <c r="R129">
        <f ca="1">'Ref scen Calcs'!T580</f>
        <v>1916.136310202905</v>
      </c>
      <c r="S129">
        <f ca="1">'Ref scen Calcs'!U580</f>
        <v>1916.136310202905</v>
      </c>
      <c r="T129">
        <f ca="1">'Ref scen Calcs'!V580</f>
        <v>1916.136310202905</v>
      </c>
      <c r="U129">
        <f ca="1">'Ref scen Calcs'!W580</f>
        <v>1916.136310202905</v>
      </c>
      <c r="V129">
        <f ca="1">'Ref scen Calcs'!X580</f>
        <v>1916.136310202905</v>
      </c>
      <c r="W129">
        <f ca="1">'Ref scen Calcs'!Y580</f>
        <v>1916.136310202905</v>
      </c>
      <c r="X129">
        <f ca="1">'Ref scen Calcs'!Z580</f>
        <v>1916.136310202905</v>
      </c>
      <c r="Y129">
        <f ca="1">'Ref scen Calcs'!AA580</f>
        <v>1916.136310202905</v>
      </c>
      <c r="Z129">
        <f ca="1">'Ref scen Calcs'!AB580</f>
        <v>1916.136310202905</v>
      </c>
      <c r="AA129">
        <f ca="1">'Ref scen Calcs'!AC580</f>
        <v>1916.136310202905</v>
      </c>
      <c r="AP129">
        <f ca="1">'Alt scen Calcs'!D580</f>
        <v>91.355013587921817</v>
      </c>
      <c r="AQ129">
        <f ca="1">'Alt scen Calcs'!E580</f>
        <v>91.355013587921817</v>
      </c>
      <c r="AR129">
        <f ca="1">'Alt scen Calcs'!F580</f>
        <v>91.355013587921817</v>
      </c>
      <c r="AS129">
        <f ca="1">'Alt scen Calcs'!G580</f>
        <v>91.355013587921817</v>
      </c>
      <c r="AT129">
        <f ca="1">'Alt scen Calcs'!H580</f>
        <v>91.355013587921817</v>
      </c>
      <c r="AU129">
        <f ca="1">'Alt scen Calcs'!I580</f>
        <v>91.355013587921817</v>
      </c>
      <c r="AV129">
        <f ca="1">'Alt scen Calcs'!J580</f>
        <v>91.355013587921817</v>
      </c>
      <c r="AW129">
        <f ca="1">'Alt scen Calcs'!K580</f>
        <v>91.355013587921817</v>
      </c>
      <c r="AX129">
        <f ca="1">'Alt scen Calcs'!L580</f>
        <v>1003.7456618954134</v>
      </c>
      <c r="AY129">
        <f ca="1">'Alt scen Calcs'!M580</f>
        <v>1916.136310202905</v>
      </c>
      <c r="AZ129">
        <f ca="1">'Alt scen Calcs'!N580</f>
        <v>2828.5269585103965</v>
      </c>
      <c r="BA129">
        <f ca="1">'Alt scen Calcs'!O580</f>
        <v>3740.9176068178881</v>
      </c>
      <c r="BB129">
        <f ca="1">'Alt scen Calcs'!P580</f>
        <v>3740.9176068178881</v>
      </c>
      <c r="BC129">
        <f ca="1">'Alt scen Calcs'!Q580</f>
        <v>3740.9176068178881</v>
      </c>
      <c r="BD129">
        <f ca="1">'Alt scen Calcs'!R580</f>
        <v>3740.9176068178881</v>
      </c>
      <c r="BE129">
        <f ca="1">'Alt scen Calcs'!S580</f>
        <v>3740.9176068178881</v>
      </c>
      <c r="BF129">
        <f ca="1">'Alt scen Calcs'!T580</f>
        <v>3740.9176068178881</v>
      </c>
      <c r="BG129">
        <f ca="1">'Alt scen Calcs'!U580</f>
        <v>3740.9176068178881</v>
      </c>
      <c r="BH129">
        <f ca="1">'Alt scen Calcs'!V580</f>
        <v>3740.9176068178881</v>
      </c>
      <c r="BI129">
        <f ca="1">'Alt scen Calcs'!W580</f>
        <v>3740.9176068178881</v>
      </c>
      <c r="BJ129">
        <f ca="1">'Alt scen Calcs'!X580</f>
        <v>3740.9176068178881</v>
      </c>
      <c r="BK129">
        <f ca="1">'Alt scen Calcs'!Y580</f>
        <v>3740.9176068178881</v>
      </c>
      <c r="BL129">
        <f ca="1">'Alt scen Calcs'!Z580</f>
        <v>3740.9176068178881</v>
      </c>
      <c r="BM129">
        <f ca="1">'Alt scen Calcs'!AA580</f>
        <v>3740.9176068178881</v>
      </c>
      <c r="BN129">
        <f ca="1">'Alt scen Calcs'!AB580</f>
        <v>3740.9176068178881</v>
      </c>
      <c r="BO129">
        <f ca="1">'Alt scen Calcs'!AC580</f>
        <v>3740.9176068178881</v>
      </c>
    </row>
    <row r="130" spans="1:67">
      <c r="A130" s="4" t="s">
        <v>650</v>
      </c>
      <c r="B130">
        <f>'Ref scen Calcs'!D970</f>
        <v>0</v>
      </c>
      <c r="C130">
        <f>'Ref scen Calcs'!E970</f>
        <v>0</v>
      </c>
      <c r="D130">
        <f>'Ref scen Calcs'!F970</f>
        <v>0</v>
      </c>
      <c r="E130">
        <f>'Ref scen Calcs'!G970</f>
        <v>0</v>
      </c>
      <c r="F130">
        <f>'Ref scen Calcs'!H970</f>
        <v>0</v>
      </c>
      <c r="G130">
        <f ca="1">'Ref scen Calcs'!I970</f>
        <v>0</v>
      </c>
      <c r="H130">
        <f ca="1">'Ref scen Calcs'!J970</f>
        <v>0</v>
      </c>
      <c r="I130">
        <f ca="1">'Ref scen Calcs'!K970</f>
        <v>24583.11069036174</v>
      </c>
      <c r="J130">
        <f ca="1">'Ref scen Calcs'!L970</f>
        <v>25293.9489102591</v>
      </c>
      <c r="K130">
        <f ca="1">'Ref scen Calcs'!M970</f>
        <v>26127.154671016746</v>
      </c>
      <c r="L130">
        <f ca="1">'Ref scen Calcs'!N970</f>
        <v>26904.600623528404</v>
      </c>
      <c r="M130">
        <f ca="1">'Ref scen Calcs'!O970</f>
        <v>83168.844185757815</v>
      </c>
      <c r="N130">
        <f ca="1">'Ref scen Calcs'!P970</f>
        <v>85583.406849191335</v>
      </c>
      <c r="O130">
        <f ca="1">'Ref scen Calcs'!Q970</f>
        <v>88128.326031359742</v>
      </c>
      <c r="P130">
        <f ca="1">'Ref scen Calcs'!R970</f>
        <v>90793.184922384913</v>
      </c>
      <c r="Q130">
        <f ca="1">'Ref scen Calcs'!S970</f>
        <v>155507.11452096413</v>
      </c>
      <c r="R130">
        <f ca="1">'Ref scen Calcs'!T970</f>
        <v>159927.1361011313</v>
      </c>
      <c r="S130">
        <f ca="1">'Ref scen Calcs'!U970</f>
        <v>164711.8485085991</v>
      </c>
      <c r="T130">
        <f ca="1">'Ref scen Calcs'!V970</f>
        <v>169818.8939645763</v>
      </c>
      <c r="U130">
        <f ca="1">'Ref scen Calcs'!W970</f>
        <v>174857.95503802545</v>
      </c>
      <c r="V130">
        <f ca="1">'Ref scen Calcs'!X970</f>
        <v>179994.85064997067</v>
      </c>
      <c r="W130">
        <f ca="1">'Ref scen Calcs'!Y970</f>
        <v>185501.73698433806</v>
      </c>
      <c r="X130">
        <f ca="1">'Ref scen Calcs'!Z970</f>
        <v>191406.79437025421</v>
      </c>
      <c r="Y130">
        <f ca="1">'Ref scen Calcs'!AA970</f>
        <v>197439.8733291961</v>
      </c>
      <c r="Z130">
        <f ca="1">'Ref scen Calcs'!AB970</f>
        <v>203215.82070002286</v>
      </c>
      <c r="AA130">
        <f ca="1">'Ref scen Calcs'!AC970</f>
        <v>207728.30923575407</v>
      </c>
      <c r="AP130">
        <f>'Alt scen Calcs'!D970</f>
        <v>0</v>
      </c>
      <c r="AQ130">
        <f>'Alt scen Calcs'!E970</f>
        <v>0</v>
      </c>
      <c r="AR130">
        <f>'Alt scen Calcs'!F970</f>
        <v>0</v>
      </c>
      <c r="AS130">
        <f>'Alt scen Calcs'!G970</f>
        <v>0</v>
      </c>
      <c r="AT130">
        <f>'Alt scen Calcs'!H970</f>
        <v>0</v>
      </c>
      <c r="AU130">
        <f ca="1">'Alt scen Calcs'!I970</f>
        <v>0</v>
      </c>
      <c r="AV130">
        <f ca="1">'Alt scen Calcs'!J970</f>
        <v>0</v>
      </c>
      <c r="AW130">
        <f ca="1">'Alt scen Calcs'!K970</f>
        <v>24478.761458211844</v>
      </c>
      <c r="AX130">
        <f ca="1">'Alt scen Calcs'!L970</f>
        <v>25085.250445959304</v>
      </c>
      <c r="AY130">
        <f ca="1">'Alt scen Calcs'!M970</f>
        <v>25832.544570616745</v>
      </c>
      <c r="AZ130">
        <f ca="1">'Alt scen Calcs'!N970</f>
        <v>26409.578736324453</v>
      </c>
      <c r="BA130">
        <f ca="1">'Alt scen Calcs'!O970</f>
        <v>80935.238113534142</v>
      </c>
      <c r="BB130">
        <f ca="1">'Alt scen Calcs'!P970</f>
        <v>82024.055325167647</v>
      </c>
      <c r="BC130">
        <f ca="1">'Alt scen Calcs'!Q970</f>
        <v>82654.008854736036</v>
      </c>
      <c r="BD130">
        <f ca="1">'Alt scen Calcs'!R970</f>
        <v>82446.419266861238</v>
      </c>
      <c r="BE130">
        <f ca="1">'Alt scen Calcs'!S970</f>
        <v>135826.39062892462</v>
      </c>
      <c r="BF130">
        <f ca="1">'Alt scen Calcs'!T970</f>
        <v>132881.15969909183</v>
      </c>
      <c r="BG130">
        <f ca="1">'Alt scen Calcs'!U970</f>
        <v>131732.7520290596</v>
      </c>
      <c r="BH130">
        <f ca="1">'Alt scen Calcs'!V970</f>
        <v>128301.54132022244</v>
      </c>
      <c r="BI130">
        <f ca="1">'Alt scen Calcs'!W970</f>
        <v>125012.84951799382</v>
      </c>
      <c r="BJ130">
        <f ca="1">'Alt scen Calcs'!X970</f>
        <v>121859.89195074516</v>
      </c>
      <c r="BK130">
        <f ca="1">'Alt scen Calcs'!Y970</f>
        <v>118978.57403761256</v>
      </c>
      <c r="BL130">
        <f ca="1">'Alt scen Calcs'!Z970</f>
        <v>115580.60521462141</v>
      </c>
      <c r="BM130">
        <f ca="1">'Alt scen Calcs'!AA970</f>
        <v>111853.24698395247</v>
      </c>
      <c r="BN130">
        <f ca="1">'Alt scen Calcs'!AB970</f>
        <v>107774.63017262286</v>
      </c>
      <c r="BO130">
        <f ca="1">'Alt scen Calcs'!AC970</f>
        <v>103796.03694549462</v>
      </c>
    </row>
    <row r="132" spans="1:67">
      <c r="A132" s="4" t="s">
        <v>252</v>
      </c>
      <c r="B132">
        <f ca="1">'Ref scen Calcs'!D605</f>
        <v>9.3081558925848837E-2</v>
      </c>
      <c r="C132">
        <f ca="1">'Ref scen Calcs'!E605</f>
        <v>0.10111172940856715</v>
      </c>
      <c r="D132">
        <f ca="1">'Ref scen Calcs'!F605</f>
        <v>0.1073822276448695</v>
      </c>
      <c r="E132">
        <f ca="1">'Ref scen Calcs'!G605</f>
        <v>0.11253193533162395</v>
      </c>
      <c r="F132">
        <f ca="1">'Ref scen Calcs'!H605</f>
        <v>0.11103005156183383</v>
      </c>
      <c r="G132">
        <f ca="1">'Ref scen Calcs'!I605</f>
        <v>0.11213531685831545</v>
      </c>
      <c r="H132">
        <f ca="1">'Ref scen Calcs'!J605</f>
        <v>0.11738717550437631</v>
      </c>
      <c r="I132">
        <f ca="1">'Ref scen Calcs'!K605</f>
        <v>0.12412266262515818</v>
      </c>
      <c r="J132">
        <f ca="1">'Ref scen Calcs'!L605</f>
        <v>0.13991373488358169</v>
      </c>
      <c r="K132">
        <f ca="1">'Ref scen Calcs'!M605</f>
        <v>0.16133825436935464</v>
      </c>
      <c r="L132">
        <f ca="1">'Ref scen Calcs'!N605</f>
        <v>0.17910195098757228</v>
      </c>
      <c r="M132">
        <f ca="1">'Ref scen Calcs'!O605</f>
        <v>0.18958927150392835</v>
      </c>
      <c r="N132">
        <f ca="1">'Ref scen Calcs'!P605</f>
        <v>0.19951484024610688</v>
      </c>
      <c r="O132">
        <f ca="1">'Ref scen Calcs'!Q605</f>
        <v>0.21443150843935896</v>
      </c>
      <c r="P132">
        <f ca="1">'Ref scen Calcs'!R605</f>
        <v>0.22832938247221654</v>
      </c>
      <c r="Q132">
        <f ca="1">'Ref scen Calcs'!S605</f>
        <v>0.24063617274836691</v>
      </c>
      <c r="R132">
        <f ca="1">'Ref scen Calcs'!T605</f>
        <v>0.25720924663182743</v>
      </c>
      <c r="S132">
        <f ca="1">'Ref scen Calcs'!U605</f>
        <v>0.27349843720432687</v>
      </c>
      <c r="T132">
        <f ca="1">'Ref scen Calcs'!V605</f>
        <v>0.2864678847559835</v>
      </c>
      <c r="U132">
        <f ca="1">'Ref scen Calcs'!W605</f>
        <v>0.30062533612241965</v>
      </c>
      <c r="V132">
        <f ca="1">'Ref scen Calcs'!X605</f>
        <v>0.31335625851087034</v>
      </c>
      <c r="W132">
        <f ca="1">'Ref scen Calcs'!Y605</f>
        <v>0.33193359951048179</v>
      </c>
      <c r="X132">
        <f ca="1">'Ref scen Calcs'!Z605</f>
        <v>0.34675757500063115</v>
      </c>
      <c r="Y132">
        <f ca="1">'Ref scen Calcs'!AA605</f>
        <v>0.3604307712213598</v>
      </c>
      <c r="Z132">
        <f ca="1">'Ref scen Calcs'!AB605</f>
        <v>0.37977339786638209</v>
      </c>
      <c r="AA132">
        <f ca="1">'Ref scen Calcs'!AC605</f>
        <v>0.39690952391183165</v>
      </c>
      <c r="AP132">
        <f ca="1">'Alt scen Calcs'!D605</f>
        <v>9.3081558925848837E-2</v>
      </c>
      <c r="AQ132">
        <f ca="1">'Alt scen Calcs'!E605</f>
        <v>0.10111172940856715</v>
      </c>
      <c r="AR132">
        <f ca="1">'Alt scen Calcs'!F605</f>
        <v>0.1073822276448695</v>
      </c>
      <c r="AS132">
        <f ca="1">'Alt scen Calcs'!G605</f>
        <v>0.11253193533162395</v>
      </c>
      <c r="AT132">
        <f ca="1">'Alt scen Calcs'!H605</f>
        <v>0.11103005156183383</v>
      </c>
      <c r="AU132">
        <f ca="1">'Alt scen Calcs'!I605</f>
        <v>0.11213531685831545</v>
      </c>
      <c r="AV132">
        <f ca="1">'Alt scen Calcs'!J605</f>
        <v>0.11882478129616292</v>
      </c>
      <c r="AW132">
        <f ca="1">'Alt scen Calcs'!K605</f>
        <v>0.1268949691092762</v>
      </c>
      <c r="AX132">
        <f ca="1">'Alt scen Calcs'!L605</f>
        <v>0.14518051558366465</v>
      </c>
      <c r="AY132">
        <f ca="1">'Alt scen Calcs'!M605</f>
        <v>0.16848553004438802</v>
      </c>
      <c r="AZ132">
        <f ca="1">'Alt scen Calcs'!N605</f>
        <v>0.1945187059306244</v>
      </c>
      <c r="BA132">
        <f ca="1">'Alt scen Calcs'!O605</f>
        <v>0.21424951956301871</v>
      </c>
      <c r="BB132">
        <f ca="1">'Alt scen Calcs'!P605</f>
        <v>0.22944592022538995</v>
      </c>
      <c r="BC132">
        <f ca="1">'Alt scen Calcs'!Q605</f>
        <v>0.24435882027107403</v>
      </c>
      <c r="BD132">
        <f ca="1">'Alt scen Calcs'!R605</f>
        <v>0.266314274598487</v>
      </c>
      <c r="BE132">
        <f ca="1">'Alt scen Calcs'!S605</f>
        <v>0.29157930763711365</v>
      </c>
      <c r="BF132">
        <f ca="1">'Alt scen Calcs'!T605</f>
        <v>0.32196220212016691</v>
      </c>
      <c r="BG132">
        <f ca="1">'Alt scen Calcs'!U605</f>
        <v>0.34676167569557836</v>
      </c>
      <c r="BH132">
        <f ca="1">'Alt scen Calcs'!V605</f>
        <v>0.38184570652813377</v>
      </c>
      <c r="BI132">
        <f ca="1">'Alt scen Calcs'!W605</f>
        <v>0.41297116575118181</v>
      </c>
      <c r="BJ132">
        <f ca="1">'Alt scen Calcs'!X605</f>
        <v>0.44043279825337994</v>
      </c>
      <c r="BK132">
        <f ca="1">'Alt scen Calcs'!Y605</f>
        <v>0.46744601657030288</v>
      </c>
      <c r="BL132">
        <f ca="1">'Alt scen Calcs'!Z605</f>
        <v>0.49551332361631439</v>
      </c>
      <c r="BM132">
        <f ca="1">'Alt scen Calcs'!AA605</f>
        <v>0.52401939341596682</v>
      </c>
      <c r="BN132">
        <f ca="1">'Alt scen Calcs'!AB605</f>
        <v>0.55694095727485204</v>
      </c>
      <c r="BO132">
        <f ca="1">'Alt scen Calcs'!AC605</f>
        <v>0.58111484366678268</v>
      </c>
    </row>
    <row r="133" spans="1:67">
      <c r="A133" s="11" t="s">
        <v>653</v>
      </c>
      <c r="B133">
        <f ca="1">'Ref scen Calcs'!D606</f>
        <v>9.3081558925848837E-2</v>
      </c>
      <c r="C133">
        <f ca="1">'Ref scen Calcs'!E606</f>
        <v>0.10111172940856715</v>
      </c>
      <c r="D133">
        <f ca="1">'Ref scen Calcs'!F606</f>
        <v>0.1073822276448695</v>
      </c>
      <c r="E133">
        <f ca="1">'Ref scen Calcs'!G606</f>
        <v>0.11253193533162395</v>
      </c>
      <c r="F133">
        <f ca="1">'Ref scen Calcs'!H606</f>
        <v>0.11103005156183383</v>
      </c>
      <c r="G133">
        <f ca="1">'Ref scen Calcs'!I606</f>
        <v>0.11213531685831545</v>
      </c>
      <c r="H133">
        <f ca="1">'Ref scen Calcs'!J606</f>
        <v>0.11738717550437631</v>
      </c>
      <c r="I133">
        <f ca="1">'Ref scen Calcs'!K606</f>
        <v>0.21721069135154028</v>
      </c>
      <c r="J133">
        <f ca="1">'Ref scen Calcs'!L606</f>
        <v>0.23265049352757847</v>
      </c>
      <c r="K133">
        <f ca="1">'Ref scen Calcs'!M606</f>
        <v>0.25367295044367077</v>
      </c>
      <c r="L133">
        <f ca="1">'Ref scen Calcs'!N606</f>
        <v>0.27146766156373364</v>
      </c>
      <c r="M133">
        <f ca="1">'Ref scen Calcs'!O606</f>
        <v>0.46675575835661087</v>
      </c>
      <c r="N133">
        <f ca="1">'Ref scen Calcs'!P606</f>
        <v>0.47674531975164608</v>
      </c>
      <c r="O133">
        <f ca="1">'Ref scen Calcs'!Q606</f>
        <v>0.49171959873115961</v>
      </c>
      <c r="P133">
        <f ca="1">'Ref scen Calcs'!R606</f>
        <v>0.50567568659978923</v>
      </c>
      <c r="Q133">
        <f ca="1">'Ref scen Calcs'!S606</f>
        <v>0.70214359464174836</v>
      </c>
      <c r="R133">
        <f ca="1">'Ref scen Calcs'!T606</f>
        <v>0.71803012457458693</v>
      </c>
      <c r="S133">
        <f ca="1">'Ref scen Calcs'!U606</f>
        <v>0.73449937095972107</v>
      </c>
      <c r="T133">
        <f ca="1">'Ref scen Calcs'!V606</f>
        <v>0.74762648974416923</v>
      </c>
      <c r="U133">
        <f ca="1">'Ref scen Calcs'!W606</f>
        <v>0.76129180395264029</v>
      </c>
      <c r="V133">
        <f ca="1">'Ref scen Calcs'!X606</f>
        <v>0.77322099040705206</v>
      </c>
      <c r="W133">
        <f ca="1">'Ref scen Calcs'!Y606</f>
        <v>0.79088352099262671</v>
      </c>
      <c r="X133">
        <f ca="1">'Ref scen Calcs'!Z606</f>
        <v>0.80520669364998632</v>
      </c>
      <c r="Y133">
        <f ca="1">'Ref scen Calcs'!AA606</f>
        <v>0.81826379882292377</v>
      </c>
      <c r="Z133">
        <f ca="1">'Ref scen Calcs'!AB606</f>
        <v>0.83615153070635007</v>
      </c>
      <c r="AA133">
        <f ca="1">'Ref scen Calcs'!AC606</f>
        <v>0.85295795996813228</v>
      </c>
      <c r="AP133">
        <f ca="1">'Alt scen Calcs'!D606</f>
        <v>9.3081558925848837E-2</v>
      </c>
      <c r="AQ133">
        <f ca="1">'Alt scen Calcs'!E606</f>
        <v>0.10111172940856715</v>
      </c>
      <c r="AR133">
        <f ca="1">'Alt scen Calcs'!F606</f>
        <v>0.1073822276448695</v>
      </c>
      <c r="AS133">
        <f ca="1">'Alt scen Calcs'!G606</f>
        <v>0.11253193533162395</v>
      </c>
      <c r="AT133">
        <f ca="1">'Alt scen Calcs'!H606</f>
        <v>0.11103005156183383</v>
      </c>
      <c r="AU133">
        <f ca="1">'Alt scen Calcs'!I606</f>
        <v>0.11213531685831545</v>
      </c>
      <c r="AV133">
        <f ca="1">'Alt scen Calcs'!J606</f>
        <v>0.11882478129616292</v>
      </c>
      <c r="AW133">
        <f ca="1">'Alt scen Calcs'!K606</f>
        <v>0.21958786214911746</v>
      </c>
      <c r="AX133">
        <f ca="1">'Alt scen Calcs'!L606</f>
        <v>0.23715211022808946</v>
      </c>
      <c r="AY133">
        <f ca="1">'Alt scen Calcs'!M606</f>
        <v>0.25977905901025378</v>
      </c>
      <c r="AZ133">
        <f ca="1">'Alt scen Calcs'!N606</f>
        <v>0.28463189606581712</v>
      </c>
      <c r="BA133">
        <f ca="1">'Alt scen Calcs'!O606</f>
        <v>0.48079627090822735</v>
      </c>
      <c r="BB133">
        <f ca="1">'Alt scen Calcs'!P606</f>
        <v>0.49210444029677236</v>
      </c>
      <c r="BC133">
        <f ca="1">'Alt scen Calcs'!Q606</f>
        <v>0.50152927942361591</v>
      </c>
      <c r="BD133">
        <f ca="1">'Alt scen Calcs'!R606</f>
        <v>0.5154426743891356</v>
      </c>
      <c r="BE133">
        <f ca="1">'Alt scen Calcs'!S606</f>
        <v>0.69044664019011837</v>
      </c>
      <c r="BF133">
        <f ca="1">'Alt scen Calcs'!T606</f>
        <v>0.70094711648264263</v>
      </c>
      <c r="BG133">
        <f ca="1">'Alt scen Calcs'!U606</f>
        <v>0.71180654088754902</v>
      </c>
      <c r="BH133">
        <f ca="1">'Alt scen Calcs'!V606</f>
        <v>0.72690974129037422</v>
      </c>
      <c r="BI133">
        <f ca="1">'Alt scen Calcs'!W606</f>
        <v>0.73924637159788553</v>
      </c>
      <c r="BJ133">
        <f ca="1">'Alt scen Calcs'!X606</f>
        <v>0.74895154263465102</v>
      </c>
      <c r="BK133">
        <f ca="1">'Alt scen Calcs'!Y606</f>
        <v>0.75922979015405712</v>
      </c>
      <c r="BL133">
        <f ca="1">'Alt scen Calcs'!Z606</f>
        <v>0.76999625486589318</v>
      </c>
      <c r="BM133">
        <f ca="1">'Alt scen Calcs'!AA606</f>
        <v>0.78125728425994734</v>
      </c>
      <c r="BN133">
        <f ca="1">'Alt scen Calcs'!AB606</f>
        <v>0.79705108793823576</v>
      </c>
      <c r="BO133">
        <f ca="1">'Alt scen Calcs'!AC606</f>
        <v>0.80721470217948343</v>
      </c>
    </row>
    <row r="141" spans="1:67">
      <c r="A141" s="4" t="s">
        <v>253</v>
      </c>
    </row>
    <row r="142" spans="1:67">
      <c r="B142" s="4" t="s">
        <v>208</v>
      </c>
      <c r="AP142" s="4" t="s">
        <v>209</v>
      </c>
    </row>
    <row r="143" spans="1:67">
      <c r="B143" s="4">
        <v>2005</v>
      </c>
      <c r="C143" s="4">
        <v>2006</v>
      </c>
      <c r="D143" s="4">
        <v>2007</v>
      </c>
      <c r="E143" s="4">
        <v>2008</v>
      </c>
      <c r="F143" s="4">
        <v>2009</v>
      </c>
      <c r="G143" s="4">
        <v>2010</v>
      </c>
      <c r="H143" s="4">
        <v>2011</v>
      </c>
      <c r="I143" s="4">
        <v>2012</v>
      </c>
      <c r="J143" s="4">
        <v>2013</v>
      </c>
      <c r="K143" s="4">
        <v>2014</v>
      </c>
      <c r="L143" s="4">
        <v>2015</v>
      </c>
      <c r="M143" s="4">
        <v>2016</v>
      </c>
      <c r="N143" s="4">
        <v>2017</v>
      </c>
      <c r="O143" s="4">
        <v>2018</v>
      </c>
      <c r="P143" s="4">
        <v>2019</v>
      </c>
      <c r="Q143" s="4">
        <v>2020</v>
      </c>
      <c r="R143" s="4">
        <v>2021</v>
      </c>
      <c r="S143" s="4">
        <v>2022</v>
      </c>
      <c r="T143" s="4">
        <v>2023</v>
      </c>
      <c r="U143" s="4">
        <v>2024</v>
      </c>
      <c r="V143" s="4">
        <v>2025</v>
      </c>
      <c r="W143" s="4">
        <v>2026</v>
      </c>
      <c r="X143" s="4">
        <v>2027</v>
      </c>
      <c r="Y143" s="4">
        <v>2028</v>
      </c>
      <c r="Z143" s="4">
        <v>2029</v>
      </c>
      <c r="AA143" s="4">
        <v>2030</v>
      </c>
      <c r="AP143" s="4">
        <v>2005</v>
      </c>
      <c r="AQ143" s="4">
        <v>2006</v>
      </c>
      <c r="AR143" s="4">
        <v>2007</v>
      </c>
      <c r="AS143" s="4">
        <v>2008</v>
      </c>
      <c r="AT143" s="4">
        <v>2009</v>
      </c>
      <c r="AU143" s="4">
        <v>2010</v>
      </c>
      <c r="AV143" s="4">
        <v>2011</v>
      </c>
      <c r="AW143" s="4">
        <v>2012</v>
      </c>
      <c r="AX143" s="4">
        <v>2013</v>
      </c>
      <c r="AY143" s="4">
        <v>2014</v>
      </c>
      <c r="AZ143" s="4">
        <v>2015</v>
      </c>
      <c r="BA143" s="4">
        <v>2016</v>
      </c>
      <c r="BB143" s="4">
        <v>2017</v>
      </c>
      <c r="BC143" s="4">
        <v>2018</v>
      </c>
      <c r="BD143" s="4">
        <v>2019</v>
      </c>
      <c r="BE143" s="4">
        <v>2020</v>
      </c>
      <c r="BF143" s="4">
        <v>2021</v>
      </c>
      <c r="BG143" s="4">
        <v>2022</v>
      </c>
      <c r="BH143" s="4">
        <v>2023</v>
      </c>
      <c r="BI143" s="4">
        <v>2024</v>
      </c>
      <c r="BJ143" s="4">
        <v>2025</v>
      </c>
      <c r="BK143" s="4">
        <v>2026</v>
      </c>
      <c r="BL143" s="4">
        <v>2027</v>
      </c>
      <c r="BM143" s="4">
        <v>2028</v>
      </c>
      <c r="BN143" s="4">
        <v>2029</v>
      </c>
      <c r="BO143" s="4">
        <v>2030</v>
      </c>
    </row>
    <row r="144" spans="1:67">
      <c r="A144" t="str">
        <f>A9</f>
        <v>Existing coal Large</v>
      </c>
      <c r="B144">
        <f>'Ref scen Calcs'!D610</f>
        <v>0</v>
      </c>
      <c r="C144">
        <f>'Ref scen Calcs'!E610</f>
        <v>0</v>
      </c>
      <c r="D144">
        <f>'Ref scen Calcs'!F610</f>
        <v>0</v>
      </c>
      <c r="E144">
        <f>'Ref scen Calcs'!G610</f>
        <v>0</v>
      </c>
      <c r="F144">
        <f>'Ref scen Calcs'!H610</f>
        <v>0</v>
      </c>
      <c r="G144">
        <f>'Ref scen Calcs'!I610</f>
        <v>0</v>
      </c>
      <c r="H144">
        <f>'Ref scen Calcs'!J610</f>
        <v>0</v>
      </c>
      <c r="I144">
        <f>'Ref scen Calcs'!K610</f>
        <v>0</v>
      </c>
      <c r="J144">
        <f>'Ref scen Calcs'!L610</f>
        <v>0</v>
      </c>
      <c r="K144">
        <f>'Ref scen Calcs'!M610</f>
        <v>0</v>
      </c>
      <c r="L144">
        <f>'Ref scen Calcs'!N610</f>
        <v>0</v>
      </c>
      <c r="M144">
        <f>'Ref scen Calcs'!O610</f>
        <v>0</v>
      </c>
      <c r="N144">
        <f>'Ref scen Calcs'!P610</f>
        <v>0</v>
      </c>
      <c r="O144">
        <f>'Ref scen Calcs'!Q610</f>
        <v>0</v>
      </c>
      <c r="P144">
        <f>'Ref scen Calcs'!R610</f>
        <v>0</v>
      </c>
      <c r="Q144">
        <f>'Ref scen Calcs'!S610</f>
        <v>0</v>
      </c>
      <c r="R144">
        <f>'Ref scen Calcs'!T610</f>
        <v>0</v>
      </c>
      <c r="S144">
        <f>'Ref scen Calcs'!U610</f>
        <v>0</v>
      </c>
      <c r="T144">
        <f>'Ref scen Calcs'!V610</f>
        <v>0</v>
      </c>
      <c r="U144">
        <f>'Ref scen Calcs'!W610</f>
        <v>0</v>
      </c>
      <c r="V144">
        <f>'Ref scen Calcs'!X610</f>
        <v>0</v>
      </c>
      <c r="W144">
        <f>'Ref scen Calcs'!Y610</f>
        <v>0</v>
      </c>
      <c r="X144">
        <f>'Ref scen Calcs'!Z610</f>
        <v>0</v>
      </c>
      <c r="Y144">
        <f>'Ref scen Calcs'!AA610</f>
        <v>0</v>
      </c>
      <c r="Z144">
        <f>'Ref scen Calcs'!AB610</f>
        <v>0</v>
      </c>
      <c r="AA144">
        <f>'Ref scen Calcs'!AC610</f>
        <v>0</v>
      </c>
      <c r="AP144">
        <f>'Alt scen Calcs'!D610</f>
        <v>0</v>
      </c>
      <c r="AQ144">
        <f>'Alt scen Calcs'!E610</f>
        <v>0</v>
      </c>
      <c r="AR144">
        <f>'Alt scen Calcs'!F610</f>
        <v>0</v>
      </c>
      <c r="AS144">
        <f>'Alt scen Calcs'!G610</f>
        <v>0</v>
      </c>
      <c r="AT144">
        <f>'Alt scen Calcs'!H610</f>
        <v>0</v>
      </c>
      <c r="AU144">
        <f>'Alt scen Calcs'!I610</f>
        <v>0</v>
      </c>
      <c r="AV144">
        <f>'Alt scen Calcs'!J610</f>
        <v>0</v>
      </c>
      <c r="AW144">
        <f>'Alt scen Calcs'!K610</f>
        <v>0</v>
      </c>
      <c r="AX144">
        <f>'Alt scen Calcs'!L610</f>
        <v>0</v>
      </c>
      <c r="AY144">
        <f>'Alt scen Calcs'!M610</f>
        <v>0</v>
      </c>
      <c r="AZ144">
        <f>'Alt scen Calcs'!N610</f>
        <v>0</v>
      </c>
      <c r="BA144">
        <f>'Alt scen Calcs'!O610</f>
        <v>0</v>
      </c>
      <c r="BB144">
        <f>'Alt scen Calcs'!P610</f>
        <v>0</v>
      </c>
      <c r="BC144">
        <f>'Alt scen Calcs'!Q610</f>
        <v>0</v>
      </c>
      <c r="BD144">
        <f>'Alt scen Calcs'!R610</f>
        <v>0</v>
      </c>
      <c r="BE144">
        <f>'Alt scen Calcs'!S610</f>
        <v>0</v>
      </c>
      <c r="BF144">
        <f>'Alt scen Calcs'!T610</f>
        <v>0</v>
      </c>
      <c r="BG144">
        <f>'Alt scen Calcs'!U610</f>
        <v>0</v>
      </c>
      <c r="BH144">
        <f>'Alt scen Calcs'!V610</f>
        <v>0</v>
      </c>
      <c r="BI144">
        <f>'Alt scen Calcs'!W610</f>
        <v>0</v>
      </c>
      <c r="BJ144">
        <f>'Alt scen Calcs'!X610</f>
        <v>0</v>
      </c>
      <c r="BK144">
        <f>'Alt scen Calcs'!Y610</f>
        <v>0</v>
      </c>
      <c r="BL144">
        <f>'Alt scen Calcs'!Z610</f>
        <v>0</v>
      </c>
      <c r="BM144">
        <f>'Alt scen Calcs'!AA610</f>
        <v>0</v>
      </c>
      <c r="BN144">
        <f>'Alt scen Calcs'!AB610</f>
        <v>0</v>
      </c>
      <c r="BO144">
        <f>'Alt scen Calcs'!AC610</f>
        <v>0</v>
      </c>
    </row>
    <row r="145" spans="1:67">
      <c r="A145" t="str">
        <f t="shared" ref="A145:A163" si="2">A10</f>
        <v>Existing coal Small</v>
      </c>
      <c r="B145">
        <f>'Ref scen Calcs'!D611</f>
        <v>0</v>
      </c>
      <c r="C145">
        <f>'Ref scen Calcs'!E611</f>
        <v>0</v>
      </c>
      <c r="D145">
        <f>'Ref scen Calcs'!F611</f>
        <v>0</v>
      </c>
      <c r="E145">
        <f>'Ref scen Calcs'!G611</f>
        <v>0</v>
      </c>
      <c r="F145">
        <f>'Ref scen Calcs'!H611</f>
        <v>0</v>
      </c>
      <c r="G145">
        <f>'Ref scen Calcs'!I611</f>
        <v>0</v>
      </c>
      <c r="H145">
        <f>'Ref scen Calcs'!J611</f>
        <v>0</v>
      </c>
      <c r="I145">
        <f>'Ref scen Calcs'!K611</f>
        <v>0</v>
      </c>
      <c r="J145">
        <f>'Ref scen Calcs'!L611</f>
        <v>0</v>
      </c>
      <c r="K145">
        <f>'Ref scen Calcs'!M611</f>
        <v>0</v>
      </c>
      <c r="L145">
        <f>'Ref scen Calcs'!N611</f>
        <v>0</v>
      </c>
      <c r="M145">
        <f>'Ref scen Calcs'!O611</f>
        <v>0</v>
      </c>
      <c r="N145">
        <f>'Ref scen Calcs'!P611</f>
        <v>0</v>
      </c>
      <c r="O145">
        <f>'Ref scen Calcs'!Q611</f>
        <v>0</v>
      </c>
      <c r="P145">
        <f>'Ref scen Calcs'!R611</f>
        <v>0</v>
      </c>
      <c r="Q145">
        <f>'Ref scen Calcs'!S611</f>
        <v>0</v>
      </c>
      <c r="R145">
        <f>'Ref scen Calcs'!T611</f>
        <v>0</v>
      </c>
      <c r="S145">
        <f>'Ref scen Calcs'!U611</f>
        <v>0</v>
      </c>
      <c r="T145">
        <f>'Ref scen Calcs'!V611</f>
        <v>0</v>
      </c>
      <c r="U145">
        <f>'Ref scen Calcs'!W611</f>
        <v>0</v>
      </c>
      <c r="V145">
        <f>'Ref scen Calcs'!X611</f>
        <v>0</v>
      </c>
      <c r="W145">
        <f>'Ref scen Calcs'!Y611</f>
        <v>0</v>
      </c>
      <c r="X145">
        <f>'Ref scen Calcs'!Z611</f>
        <v>0</v>
      </c>
      <c r="Y145">
        <f>'Ref scen Calcs'!AA611</f>
        <v>0</v>
      </c>
      <c r="Z145">
        <f>'Ref scen Calcs'!AB611</f>
        <v>0</v>
      </c>
      <c r="AA145">
        <f>'Ref scen Calcs'!AC611</f>
        <v>0</v>
      </c>
      <c r="AP145">
        <f>'Alt scen Calcs'!D611</f>
        <v>0</v>
      </c>
      <c r="AQ145">
        <f>'Alt scen Calcs'!E611</f>
        <v>0</v>
      </c>
      <c r="AR145">
        <f>'Alt scen Calcs'!F611</f>
        <v>0</v>
      </c>
      <c r="AS145">
        <f>'Alt scen Calcs'!G611</f>
        <v>0</v>
      </c>
      <c r="AT145">
        <f>'Alt scen Calcs'!H611</f>
        <v>0</v>
      </c>
      <c r="AU145">
        <f>'Alt scen Calcs'!I611</f>
        <v>0</v>
      </c>
      <c r="AV145">
        <f>'Alt scen Calcs'!J611</f>
        <v>0</v>
      </c>
      <c r="AW145">
        <f>'Alt scen Calcs'!K611</f>
        <v>0</v>
      </c>
      <c r="AX145">
        <f>'Alt scen Calcs'!L611</f>
        <v>0</v>
      </c>
      <c r="AY145">
        <f>'Alt scen Calcs'!M611</f>
        <v>0</v>
      </c>
      <c r="AZ145">
        <f>'Alt scen Calcs'!N611</f>
        <v>0</v>
      </c>
      <c r="BA145">
        <f>'Alt scen Calcs'!O611</f>
        <v>0</v>
      </c>
      <c r="BB145">
        <f>'Alt scen Calcs'!P611</f>
        <v>0</v>
      </c>
      <c r="BC145">
        <f>'Alt scen Calcs'!Q611</f>
        <v>0</v>
      </c>
      <c r="BD145">
        <f>'Alt scen Calcs'!R611</f>
        <v>0</v>
      </c>
      <c r="BE145">
        <f>'Alt scen Calcs'!S611</f>
        <v>0</v>
      </c>
      <c r="BF145">
        <f>'Alt scen Calcs'!T611</f>
        <v>0</v>
      </c>
      <c r="BG145">
        <f>'Alt scen Calcs'!U611</f>
        <v>0</v>
      </c>
      <c r="BH145">
        <f>'Alt scen Calcs'!V611</f>
        <v>0</v>
      </c>
      <c r="BI145">
        <f>'Alt scen Calcs'!W611</f>
        <v>0</v>
      </c>
      <c r="BJ145">
        <f>'Alt scen Calcs'!X611</f>
        <v>0</v>
      </c>
      <c r="BK145">
        <f>'Alt scen Calcs'!Y611</f>
        <v>0</v>
      </c>
      <c r="BL145">
        <f>'Alt scen Calcs'!Z611</f>
        <v>0</v>
      </c>
      <c r="BM145">
        <f>'Alt scen Calcs'!AA611</f>
        <v>0</v>
      </c>
      <c r="BN145">
        <f>'Alt scen Calcs'!AB611</f>
        <v>0</v>
      </c>
      <c r="BO145">
        <f>'Alt scen Calcs'!AC611</f>
        <v>0</v>
      </c>
    </row>
    <row r="146" spans="1:67">
      <c r="A146" t="str">
        <f t="shared" si="2"/>
        <v>OCGT liquid fuels</v>
      </c>
      <c r="B146">
        <f>'Ref scen Calcs'!D612</f>
        <v>0</v>
      </c>
      <c r="C146">
        <f>'Ref scen Calcs'!E612</f>
        <v>0</v>
      </c>
      <c r="D146">
        <f>'Ref scen Calcs'!F612</f>
        <v>0</v>
      </c>
      <c r="E146">
        <f>'Ref scen Calcs'!G612</f>
        <v>299.85406508081212</v>
      </c>
      <c r="F146">
        <f>'Ref scen Calcs'!H612</f>
        <v>1229.4016668313295</v>
      </c>
      <c r="G146">
        <f>'Ref scen Calcs'!I612</f>
        <v>4650.7365494033957</v>
      </c>
      <c r="H146">
        <f>'Ref scen Calcs'!J612</f>
        <v>0</v>
      </c>
      <c r="I146">
        <f>'Ref scen Calcs'!K612</f>
        <v>0</v>
      </c>
      <c r="J146">
        <f>'Ref scen Calcs'!L612</f>
        <v>0</v>
      </c>
      <c r="K146">
        <f>'Ref scen Calcs'!M612</f>
        <v>0</v>
      </c>
      <c r="L146">
        <f>'Ref scen Calcs'!N612</f>
        <v>0</v>
      </c>
      <c r="M146">
        <f>'Ref scen Calcs'!O612</f>
        <v>0</v>
      </c>
      <c r="N146">
        <f>'Ref scen Calcs'!P612</f>
        <v>0</v>
      </c>
      <c r="O146">
        <f>'Ref scen Calcs'!Q612</f>
        <v>0</v>
      </c>
      <c r="P146">
        <f>'Ref scen Calcs'!R612</f>
        <v>0</v>
      </c>
      <c r="Q146">
        <f>'Ref scen Calcs'!S612</f>
        <v>199.90271005387473</v>
      </c>
      <c r="R146">
        <f ca="1">'Ref scen Calcs'!T612</f>
        <v>819.6011112208862</v>
      </c>
      <c r="S146">
        <f ca="1">'Ref scen Calcs'!U612</f>
        <v>3100.4910329355966</v>
      </c>
      <c r="T146">
        <f ca="1">'Ref scen Calcs'!V612</f>
        <v>199.90271005387473</v>
      </c>
      <c r="U146">
        <f ca="1">'Ref scen Calcs'!W612</f>
        <v>819.6011112208862</v>
      </c>
      <c r="V146">
        <f ca="1">'Ref scen Calcs'!X612</f>
        <v>3100.4910329355966</v>
      </c>
      <c r="W146">
        <f ca="1">'Ref scen Calcs'!Y612</f>
        <v>199.90271005387473</v>
      </c>
      <c r="X146">
        <f ca="1">'Ref scen Calcs'!Z612</f>
        <v>819.6011112208862</v>
      </c>
      <c r="Y146">
        <f ca="1">'Ref scen Calcs'!AA612</f>
        <v>3100.4910329355966</v>
      </c>
      <c r="Z146">
        <f ca="1">'Ref scen Calcs'!AB612</f>
        <v>0</v>
      </c>
      <c r="AA146">
        <f ca="1">'Ref scen Calcs'!AC612</f>
        <v>0</v>
      </c>
      <c r="AP146">
        <f>'Alt scen Calcs'!D612</f>
        <v>0</v>
      </c>
      <c r="AQ146">
        <f>'Alt scen Calcs'!E612</f>
        <v>0</v>
      </c>
      <c r="AR146">
        <f>'Alt scen Calcs'!F612</f>
        <v>0</v>
      </c>
      <c r="AS146">
        <f>'Alt scen Calcs'!G612</f>
        <v>299.85406508081212</v>
      </c>
      <c r="AT146">
        <f>'Alt scen Calcs'!H612</f>
        <v>1229.4016668313295</v>
      </c>
      <c r="AU146">
        <f>'Alt scen Calcs'!I612</f>
        <v>4650.7365494033957</v>
      </c>
      <c r="AV146">
        <f>'Alt scen Calcs'!J612</f>
        <v>0</v>
      </c>
      <c r="AW146">
        <f>'Alt scen Calcs'!K612</f>
        <v>0</v>
      </c>
      <c r="AX146">
        <f>'Alt scen Calcs'!L612</f>
        <v>0</v>
      </c>
      <c r="AY146">
        <f>'Alt scen Calcs'!M612</f>
        <v>0</v>
      </c>
      <c r="AZ146">
        <f>'Alt scen Calcs'!N612</f>
        <v>0</v>
      </c>
      <c r="BA146">
        <f>'Alt scen Calcs'!O612</f>
        <v>0</v>
      </c>
      <c r="BB146">
        <f>'Alt scen Calcs'!P612</f>
        <v>0</v>
      </c>
      <c r="BC146">
        <f>'Alt scen Calcs'!Q612</f>
        <v>0</v>
      </c>
      <c r="BD146">
        <f>'Alt scen Calcs'!R612</f>
        <v>0</v>
      </c>
      <c r="BE146">
        <f>'Alt scen Calcs'!S612</f>
        <v>0</v>
      </c>
      <c r="BF146">
        <f ca="1">'Alt scen Calcs'!T612</f>
        <v>0</v>
      </c>
      <c r="BG146">
        <f ca="1">'Alt scen Calcs'!U612</f>
        <v>0</v>
      </c>
      <c r="BH146">
        <f ca="1">'Alt scen Calcs'!V612</f>
        <v>199.90271005387473</v>
      </c>
      <c r="BI146">
        <f ca="1">'Alt scen Calcs'!W612</f>
        <v>819.6011112208862</v>
      </c>
      <c r="BJ146">
        <f ca="1">'Alt scen Calcs'!X612</f>
        <v>3100.4910329355966</v>
      </c>
      <c r="BK146">
        <f ca="1">'Alt scen Calcs'!Y612</f>
        <v>266.53694673849964</v>
      </c>
      <c r="BL146">
        <f ca="1">'Alt scen Calcs'!Z612</f>
        <v>1359.3384283663481</v>
      </c>
      <c r="BM146">
        <f ca="1">'Alt scen Calcs'!AA612</f>
        <v>5226.7895255419771</v>
      </c>
      <c r="BN146">
        <f ca="1">'Alt scen Calcs'!AB612</f>
        <v>4133.9880439141289</v>
      </c>
      <c r="BO146">
        <f ca="1">'Alt scen Calcs'!AC612</f>
        <v>0</v>
      </c>
    </row>
    <row r="147" spans="1:67">
      <c r="A147" t="str">
        <f t="shared" si="2"/>
        <v>PWR nuclear</v>
      </c>
      <c r="B147">
        <f>'Ref scen Calcs'!D613</f>
        <v>0</v>
      </c>
      <c r="C147">
        <f>'Ref scen Calcs'!E613</f>
        <v>0</v>
      </c>
      <c r="D147">
        <f>'Ref scen Calcs'!F613</f>
        <v>0</v>
      </c>
      <c r="E147">
        <f>'Ref scen Calcs'!G613</f>
        <v>0</v>
      </c>
      <c r="F147">
        <f>'Ref scen Calcs'!H613</f>
        <v>0</v>
      </c>
      <c r="G147">
        <f>'Ref scen Calcs'!I613</f>
        <v>0</v>
      </c>
      <c r="H147">
        <f>'Ref scen Calcs'!J613</f>
        <v>0</v>
      </c>
      <c r="I147">
        <f>'Ref scen Calcs'!K613</f>
        <v>0</v>
      </c>
      <c r="J147">
        <f>'Ref scen Calcs'!L613</f>
        <v>0</v>
      </c>
      <c r="K147">
        <f>'Ref scen Calcs'!M613</f>
        <v>0</v>
      </c>
      <c r="L147">
        <f>'Ref scen Calcs'!N613</f>
        <v>0</v>
      </c>
      <c r="M147">
        <f>'Ref scen Calcs'!O613</f>
        <v>0</v>
      </c>
      <c r="N147">
        <f>'Ref scen Calcs'!P613</f>
        <v>0</v>
      </c>
      <c r="O147">
        <f>'Ref scen Calcs'!Q613</f>
        <v>0</v>
      </c>
      <c r="P147">
        <f>'Ref scen Calcs'!R613</f>
        <v>0</v>
      </c>
      <c r="Q147">
        <f>'Ref scen Calcs'!S613</f>
        <v>0</v>
      </c>
      <c r="R147">
        <f ca="1">'Ref scen Calcs'!T613</f>
        <v>0</v>
      </c>
      <c r="S147">
        <f ca="1">'Ref scen Calcs'!U613</f>
        <v>0</v>
      </c>
      <c r="T147">
        <f ca="1">'Ref scen Calcs'!V613</f>
        <v>0</v>
      </c>
      <c r="U147">
        <f ca="1">'Ref scen Calcs'!W613</f>
        <v>0</v>
      </c>
      <c r="V147">
        <f ca="1">'Ref scen Calcs'!X613</f>
        <v>0</v>
      </c>
      <c r="W147">
        <f ca="1">'Ref scen Calcs'!Y613</f>
        <v>0</v>
      </c>
      <c r="X147">
        <f ca="1">'Ref scen Calcs'!Z613</f>
        <v>0</v>
      </c>
      <c r="Y147">
        <f ca="1">'Ref scen Calcs'!AA613</f>
        <v>0</v>
      </c>
      <c r="Z147">
        <f ca="1">'Ref scen Calcs'!AB613</f>
        <v>0</v>
      </c>
      <c r="AA147">
        <f ca="1">'Ref scen Calcs'!AC613</f>
        <v>0</v>
      </c>
      <c r="AP147">
        <f>'Alt scen Calcs'!D613</f>
        <v>0</v>
      </c>
      <c r="AQ147">
        <f>'Alt scen Calcs'!E613</f>
        <v>0</v>
      </c>
      <c r="AR147">
        <f>'Alt scen Calcs'!F613</f>
        <v>0</v>
      </c>
      <c r="AS147">
        <f>'Alt scen Calcs'!G613</f>
        <v>0</v>
      </c>
      <c r="AT147">
        <f>'Alt scen Calcs'!H613</f>
        <v>0</v>
      </c>
      <c r="AU147">
        <f>'Alt scen Calcs'!I613</f>
        <v>0</v>
      </c>
      <c r="AV147">
        <f>'Alt scen Calcs'!J613</f>
        <v>0</v>
      </c>
      <c r="AW147">
        <f>'Alt scen Calcs'!K613</f>
        <v>0</v>
      </c>
      <c r="AX147">
        <f>'Alt scen Calcs'!L613</f>
        <v>0</v>
      </c>
      <c r="AY147">
        <f>'Alt scen Calcs'!M613</f>
        <v>0</v>
      </c>
      <c r="AZ147">
        <f>'Alt scen Calcs'!N613</f>
        <v>0</v>
      </c>
      <c r="BA147">
        <f>'Alt scen Calcs'!O613</f>
        <v>0</v>
      </c>
      <c r="BB147">
        <f>'Alt scen Calcs'!P613</f>
        <v>0</v>
      </c>
      <c r="BC147">
        <f>'Alt scen Calcs'!Q613</f>
        <v>0</v>
      </c>
      <c r="BD147">
        <f>'Alt scen Calcs'!R613</f>
        <v>0</v>
      </c>
      <c r="BE147">
        <f>'Alt scen Calcs'!S613</f>
        <v>0</v>
      </c>
      <c r="BF147">
        <f ca="1">'Alt scen Calcs'!T613</f>
        <v>0</v>
      </c>
      <c r="BG147">
        <f ca="1">'Alt scen Calcs'!U613</f>
        <v>0</v>
      </c>
      <c r="BH147">
        <f ca="1">'Alt scen Calcs'!V613</f>
        <v>0</v>
      </c>
      <c r="BI147">
        <f ca="1">'Alt scen Calcs'!W613</f>
        <v>0</v>
      </c>
      <c r="BJ147">
        <f ca="1">'Alt scen Calcs'!X613</f>
        <v>0</v>
      </c>
      <c r="BK147">
        <f ca="1">'Alt scen Calcs'!Y613</f>
        <v>0</v>
      </c>
      <c r="BL147">
        <f ca="1">'Alt scen Calcs'!Z613</f>
        <v>0</v>
      </c>
      <c r="BM147">
        <f ca="1">'Alt scen Calcs'!AA613</f>
        <v>0</v>
      </c>
      <c r="BN147">
        <f ca="1">'Alt scen Calcs'!AB613</f>
        <v>0</v>
      </c>
      <c r="BO147">
        <f ca="1">'Alt scen Calcs'!AC613</f>
        <v>0</v>
      </c>
    </row>
    <row r="148" spans="1:67">
      <c r="A148" t="str">
        <f t="shared" si="2"/>
        <v>Hydro</v>
      </c>
      <c r="B148">
        <f>'Ref scen Calcs'!D614</f>
        <v>0</v>
      </c>
      <c r="C148">
        <f>'Ref scen Calcs'!E614</f>
        <v>0</v>
      </c>
      <c r="D148">
        <f>'Ref scen Calcs'!F614</f>
        <v>0</v>
      </c>
      <c r="E148">
        <f>'Ref scen Calcs'!G614</f>
        <v>0</v>
      </c>
      <c r="F148">
        <f>'Ref scen Calcs'!H614</f>
        <v>0</v>
      </c>
      <c r="G148">
        <f>'Ref scen Calcs'!I614</f>
        <v>0</v>
      </c>
      <c r="H148">
        <f>'Ref scen Calcs'!J614</f>
        <v>0</v>
      </c>
      <c r="I148">
        <f>'Ref scen Calcs'!K614</f>
        <v>0</v>
      </c>
      <c r="J148">
        <f>'Ref scen Calcs'!L614</f>
        <v>0</v>
      </c>
      <c r="K148">
        <f>'Ref scen Calcs'!M614</f>
        <v>0</v>
      </c>
      <c r="L148">
        <f>'Ref scen Calcs'!N614</f>
        <v>0</v>
      </c>
      <c r="M148">
        <f>'Ref scen Calcs'!O614</f>
        <v>0</v>
      </c>
      <c r="N148">
        <f>'Ref scen Calcs'!P614</f>
        <v>0</v>
      </c>
      <c r="O148">
        <f>'Ref scen Calcs'!Q614</f>
        <v>0</v>
      </c>
      <c r="P148">
        <f>'Ref scen Calcs'!R614</f>
        <v>0</v>
      </c>
      <c r="Q148">
        <f>'Ref scen Calcs'!S614</f>
        <v>0</v>
      </c>
      <c r="R148">
        <f ca="1">'Ref scen Calcs'!T614</f>
        <v>0</v>
      </c>
      <c r="S148">
        <f ca="1">'Ref scen Calcs'!U614</f>
        <v>0</v>
      </c>
      <c r="T148">
        <f ca="1">'Ref scen Calcs'!V614</f>
        <v>0</v>
      </c>
      <c r="U148">
        <f ca="1">'Ref scen Calcs'!W614</f>
        <v>0</v>
      </c>
      <c r="V148">
        <f ca="1">'Ref scen Calcs'!X614</f>
        <v>0</v>
      </c>
      <c r="W148">
        <f ca="1">'Ref scen Calcs'!Y614</f>
        <v>0</v>
      </c>
      <c r="X148">
        <f ca="1">'Ref scen Calcs'!Z614</f>
        <v>0</v>
      </c>
      <c r="Y148">
        <f ca="1">'Ref scen Calcs'!AA614</f>
        <v>0</v>
      </c>
      <c r="Z148">
        <f ca="1">'Ref scen Calcs'!AB614</f>
        <v>0</v>
      </c>
      <c r="AA148">
        <f ca="1">'Ref scen Calcs'!AC614</f>
        <v>0</v>
      </c>
      <c r="AP148">
        <f>'Alt scen Calcs'!D614</f>
        <v>0</v>
      </c>
      <c r="AQ148">
        <f>'Alt scen Calcs'!E614</f>
        <v>0</v>
      </c>
      <c r="AR148">
        <f>'Alt scen Calcs'!F614</f>
        <v>0</v>
      </c>
      <c r="AS148">
        <f>'Alt scen Calcs'!G614</f>
        <v>0</v>
      </c>
      <c r="AT148">
        <f>'Alt scen Calcs'!H614</f>
        <v>0</v>
      </c>
      <c r="AU148">
        <f>'Alt scen Calcs'!I614</f>
        <v>0</v>
      </c>
      <c r="AV148">
        <f>'Alt scen Calcs'!J614</f>
        <v>0</v>
      </c>
      <c r="AW148">
        <f>'Alt scen Calcs'!K614</f>
        <v>0</v>
      </c>
      <c r="AX148">
        <f>'Alt scen Calcs'!L614</f>
        <v>0</v>
      </c>
      <c r="AY148">
        <f>'Alt scen Calcs'!M614</f>
        <v>0</v>
      </c>
      <c r="AZ148">
        <f>'Alt scen Calcs'!N614</f>
        <v>0</v>
      </c>
      <c r="BA148">
        <f>'Alt scen Calcs'!O614</f>
        <v>0</v>
      </c>
      <c r="BB148">
        <f>'Alt scen Calcs'!P614</f>
        <v>0</v>
      </c>
      <c r="BC148">
        <f>'Alt scen Calcs'!Q614</f>
        <v>0</v>
      </c>
      <c r="BD148">
        <f>'Alt scen Calcs'!R614</f>
        <v>0</v>
      </c>
      <c r="BE148">
        <f>'Alt scen Calcs'!S614</f>
        <v>0</v>
      </c>
      <c r="BF148">
        <f ca="1">'Alt scen Calcs'!T614</f>
        <v>0</v>
      </c>
      <c r="BG148">
        <f ca="1">'Alt scen Calcs'!U614</f>
        <v>0</v>
      </c>
      <c r="BH148">
        <f ca="1">'Alt scen Calcs'!V614</f>
        <v>0</v>
      </c>
      <c r="BI148">
        <f ca="1">'Alt scen Calcs'!W614</f>
        <v>0</v>
      </c>
      <c r="BJ148">
        <f ca="1">'Alt scen Calcs'!X614</f>
        <v>0</v>
      </c>
      <c r="BK148">
        <f ca="1">'Alt scen Calcs'!Y614</f>
        <v>0</v>
      </c>
      <c r="BL148">
        <f ca="1">'Alt scen Calcs'!Z614</f>
        <v>0</v>
      </c>
      <c r="BM148">
        <f ca="1">'Alt scen Calcs'!AA614</f>
        <v>0</v>
      </c>
      <c r="BN148">
        <f ca="1">'Alt scen Calcs'!AB614</f>
        <v>0</v>
      </c>
      <c r="BO148">
        <f ca="1">'Alt scen Calcs'!AC614</f>
        <v>0</v>
      </c>
    </row>
    <row r="149" spans="1:67">
      <c r="A149" t="str">
        <f t="shared" si="2"/>
        <v>Landfill gas</v>
      </c>
      <c r="B149">
        <f>'Ref scen Calcs'!D615</f>
        <v>0</v>
      </c>
      <c r="C149">
        <f>'Ref scen Calcs'!E615</f>
        <v>0</v>
      </c>
      <c r="D149">
        <f>'Ref scen Calcs'!F615</f>
        <v>0</v>
      </c>
      <c r="E149">
        <f>'Ref scen Calcs'!G615</f>
        <v>0</v>
      </c>
      <c r="F149">
        <f>'Ref scen Calcs'!H615</f>
        <v>0</v>
      </c>
      <c r="G149">
        <f>'Ref scen Calcs'!I615</f>
        <v>0</v>
      </c>
      <c r="H149">
        <f>'Ref scen Calcs'!J615</f>
        <v>0</v>
      </c>
      <c r="I149">
        <f>'Ref scen Calcs'!K615</f>
        <v>0</v>
      </c>
      <c r="J149">
        <f>'Ref scen Calcs'!L615</f>
        <v>0</v>
      </c>
      <c r="K149">
        <f>'Ref scen Calcs'!M615</f>
        <v>0</v>
      </c>
      <c r="L149">
        <f>'Ref scen Calcs'!N615</f>
        <v>0</v>
      </c>
      <c r="M149">
        <f>'Ref scen Calcs'!O615</f>
        <v>0</v>
      </c>
      <c r="N149">
        <f>'Ref scen Calcs'!P615</f>
        <v>0</v>
      </c>
      <c r="O149">
        <f>'Ref scen Calcs'!Q615</f>
        <v>0</v>
      </c>
      <c r="P149">
        <f>'Ref scen Calcs'!R615</f>
        <v>0</v>
      </c>
      <c r="Q149">
        <f>'Ref scen Calcs'!S615</f>
        <v>0</v>
      </c>
      <c r="R149">
        <f ca="1">'Ref scen Calcs'!T615</f>
        <v>0</v>
      </c>
      <c r="S149">
        <f ca="1">'Ref scen Calcs'!U615</f>
        <v>0</v>
      </c>
      <c r="T149">
        <f ca="1">'Ref scen Calcs'!V615</f>
        <v>0</v>
      </c>
      <c r="U149">
        <f ca="1">'Ref scen Calcs'!W615</f>
        <v>0</v>
      </c>
      <c r="V149">
        <f ca="1">'Ref scen Calcs'!X615</f>
        <v>0</v>
      </c>
      <c r="W149">
        <f ca="1">'Ref scen Calcs'!Y615</f>
        <v>0</v>
      </c>
      <c r="X149">
        <f ca="1">'Ref scen Calcs'!Z615</f>
        <v>0</v>
      </c>
      <c r="Y149">
        <f ca="1">'Ref scen Calcs'!AA615</f>
        <v>0</v>
      </c>
      <c r="Z149">
        <f ca="1">'Ref scen Calcs'!AB615</f>
        <v>0</v>
      </c>
      <c r="AA149">
        <f ca="1">'Ref scen Calcs'!AC615</f>
        <v>0</v>
      </c>
      <c r="AP149">
        <f>'Alt scen Calcs'!D615</f>
        <v>0</v>
      </c>
      <c r="AQ149">
        <f>'Alt scen Calcs'!E615</f>
        <v>0</v>
      </c>
      <c r="AR149">
        <f>'Alt scen Calcs'!F615</f>
        <v>0</v>
      </c>
      <c r="AS149">
        <f>'Alt scen Calcs'!G615</f>
        <v>0</v>
      </c>
      <c r="AT149">
        <f>'Alt scen Calcs'!H615</f>
        <v>0</v>
      </c>
      <c r="AU149">
        <f>'Alt scen Calcs'!I615</f>
        <v>0</v>
      </c>
      <c r="AV149">
        <f>'Alt scen Calcs'!J615</f>
        <v>0</v>
      </c>
      <c r="AW149">
        <f>'Alt scen Calcs'!K615</f>
        <v>0</v>
      </c>
      <c r="AX149">
        <f>'Alt scen Calcs'!L615</f>
        <v>0</v>
      </c>
      <c r="AY149">
        <f>'Alt scen Calcs'!M615</f>
        <v>0</v>
      </c>
      <c r="AZ149">
        <f>'Alt scen Calcs'!N615</f>
        <v>0</v>
      </c>
      <c r="BA149">
        <f>'Alt scen Calcs'!O615</f>
        <v>0</v>
      </c>
      <c r="BB149">
        <f>'Alt scen Calcs'!P615</f>
        <v>0</v>
      </c>
      <c r="BC149">
        <f>'Alt scen Calcs'!Q615</f>
        <v>0</v>
      </c>
      <c r="BD149">
        <f>'Alt scen Calcs'!R615</f>
        <v>0</v>
      </c>
      <c r="BE149">
        <f>'Alt scen Calcs'!S615</f>
        <v>0</v>
      </c>
      <c r="BF149">
        <f ca="1">'Alt scen Calcs'!T615</f>
        <v>0</v>
      </c>
      <c r="BG149">
        <f ca="1">'Alt scen Calcs'!U615</f>
        <v>0</v>
      </c>
      <c r="BH149">
        <f ca="1">'Alt scen Calcs'!V615</f>
        <v>0</v>
      </c>
      <c r="BI149">
        <f ca="1">'Alt scen Calcs'!W615</f>
        <v>0</v>
      </c>
      <c r="BJ149">
        <f ca="1">'Alt scen Calcs'!X615</f>
        <v>0</v>
      </c>
      <c r="BK149">
        <f ca="1">'Alt scen Calcs'!Y615</f>
        <v>0</v>
      </c>
      <c r="BL149">
        <f ca="1">'Alt scen Calcs'!Z615</f>
        <v>0</v>
      </c>
      <c r="BM149">
        <f ca="1">'Alt scen Calcs'!AA615</f>
        <v>0</v>
      </c>
      <c r="BN149">
        <f ca="1">'Alt scen Calcs'!AB615</f>
        <v>0</v>
      </c>
      <c r="BO149">
        <f ca="1">'Alt scen Calcs'!AC615</f>
        <v>0</v>
      </c>
    </row>
    <row r="150" spans="1:67">
      <c r="A150" t="str">
        <f t="shared" si="2"/>
        <v>Biomass</v>
      </c>
      <c r="B150">
        <f>'Ref scen Calcs'!D616</f>
        <v>0</v>
      </c>
      <c r="C150">
        <f>'Ref scen Calcs'!E616</f>
        <v>0</v>
      </c>
      <c r="D150">
        <f>'Ref scen Calcs'!F616</f>
        <v>0</v>
      </c>
      <c r="E150">
        <f>'Ref scen Calcs'!G616</f>
        <v>0</v>
      </c>
      <c r="F150">
        <f>'Ref scen Calcs'!H616</f>
        <v>0</v>
      </c>
      <c r="G150">
        <f>'Ref scen Calcs'!I616</f>
        <v>0</v>
      </c>
      <c r="H150">
        <f>'Ref scen Calcs'!J616</f>
        <v>0</v>
      </c>
      <c r="I150">
        <f>'Ref scen Calcs'!K616</f>
        <v>0</v>
      </c>
      <c r="J150">
        <f>'Ref scen Calcs'!L616</f>
        <v>0</v>
      </c>
      <c r="K150">
        <f>'Ref scen Calcs'!M616</f>
        <v>0</v>
      </c>
      <c r="L150">
        <f>'Ref scen Calcs'!N616</f>
        <v>0</v>
      </c>
      <c r="M150">
        <f>'Ref scen Calcs'!O616</f>
        <v>0</v>
      </c>
      <c r="N150">
        <f>'Ref scen Calcs'!P616</f>
        <v>0</v>
      </c>
      <c r="O150">
        <f>'Ref scen Calcs'!Q616</f>
        <v>0</v>
      </c>
      <c r="P150">
        <f>'Ref scen Calcs'!R616</f>
        <v>0</v>
      </c>
      <c r="Q150">
        <f>'Ref scen Calcs'!S616</f>
        <v>0</v>
      </c>
      <c r="R150">
        <f ca="1">'Ref scen Calcs'!T616</f>
        <v>0</v>
      </c>
      <c r="S150">
        <f ca="1">'Ref scen Calcs'!U616</f>
        <v>0</v>
      </c>
      <c r="T150">
        <f ca="1">'Ref scen Calcs'!V616</f>
        <v>0</v>
      </c>
      <c r="U150">
        <f ca="1">'Ref scen Calcs'!W616</f>
        <v>0</v>
      </c>
      <c r="V150">
        <f ca="1">'Ref scen Calcs'!X616</f>
        <v>0</v>
      </c>
      <c r="W150">
        <f ca="1">'Ref scen Calcs'!Y616</f>
        <v>0</v>
      </c>
      <c r="X150">
        <f ca="1">'Ref scen Calcs'!Z616</f>
        <v>0</v>
      </c>
      <c r="Y150">
        <f ca="1">'Ref scen Calcs'!AA616</f>
        <v>0</v>
      </c>
      <c r="Z150">
        <f ca="1">'Ref scen Calcs'!AB616</f>
        <v>0</v>
      </c>
      <c r="AA150">
        <f ca="1">'Ref scen Calcs'!AC616</f>
        <v>0</v>
      </c>
      <c r="AP150">
        <f>'Alt scen Calcs'!D616</f>
        <v>0</v>
      </c>
      <c r="AQ150">
        <f>'Alt scen Calcs'!E616</f>
        <v>0</v>
      </c>
      <c r="AR150">
        <f>'Alt scen Calcs'!F616</f>
        <v>0</v>
      </c>
      <c r="AS150">
        <f>'Alt scen Calcs'!G616</f>
        <v>0</v>
      </c>
      <c r="AT150">
        <f>'Alt scen Calcs'!H616</f>
        <v>0</v>
      </c>
      <c r="AU150">
        <f>'Alt scen Calcs'!I616</f>
        <v>0</v>
      </c>
      <c r="AV150">
        <f>'Alt scen Calcs'!J616</f>
        <v>0</v>
      </c>
      <c r="AW150">
        <f>'Alt scen Calcs'!K616</f>
        <v>0</v>
      </c>
      <c r="AX150">
        <f>'Alt scen Calcs'!L616</f>
        <v>0</v>
      </c>
      <c r="AY150">
        <f>'Alt scen Calcs'!M616</f>
        <v>0</v>
      </c>
      <c r="AZ150">
        <f>'Alt scen Calcs'!N616</f>
        <v>0</v>
      </c>
      <c r="BA150">
        <f>'Alt scen Calcs'!O616</f>
        <v>0</v>
      </c>
      <c r="BB150">
        <f>'Alt scen Calcs'!P616</f>
        <v>0</v>
      </c>
      <c r="BC150">
        <f>'Alt scen Calcs'!Q616</f>
        <v>0</v>
      </c>
      <c r="BD150">
        <f>'Alt scen Calcs'!R616</f>
        <v>0</v>
      </c>
      <c r="BE150">
        <f>'Alt scen Calcs'!S616</f>
        <v>0</v>
      </c>
      <c r="BF150">
        <f ca="1">'Alt scen Calcs'!T616</f>
        <v>0</v>
      </c>
      <c r="BG150">
        <f ca="1">'Alt scen Calcs'!U616</f>
        <v>0</v>
      </c>
      <c r="BH150">
        <f ca="1">'Alt scen Calcs'!V616</f>
        <v>0</v>
      </c>
      <c r="BI150">
        <f ca="1">'Alt scen Calcs'!W616</f>
        <v>0</v>
      </c>
      <c r="BJ150">
        <f ca="1">'Alt scen Calcs'!X616</f>
        <v>0</v>
      </c>
      <c r="BK150">
        <f ca="1">'Alt scen Calcs'!Y616</f>
        <v>0</v>
      </c>
      <c r="BL150">
        <f ca="1">'Alt scen Calcs'!Z616</f>
        <v>0</v>
      </c>
      <c r="BM150">
        <f ca="1">'Alt scen Calcs'!AA616</f>
        <v>0</v>
      </c>
      <c r="BN150">
        <f ca="1">'Alt scen Calcs'!AB616</f>
        <v>0</v>
      </c>
      <c r="BO150">
        <f ca="1">'Alt scen Calcs'!AC616</f>
        <v>0</v>
      </c>
    </row>
    <row r="151" spans="1:67">
      <c r="A151" t="str">
        <f t="shared" si="2"/>
        <v>Supercritical coal</v>
      </c>
      <c r="B151">
        <f>'Ref scen Calcs'!D617</f>
        <v>0</v>
      </c>
      <c r="C151">
        <f>'Ref scen Calcs'!E617</f>
        <v>663.75232174368716</v>
      </c>
      <c r="D151">
        <f>'Ref scen Calcs'!F617</f>
        <v>2053.5222759085655</v>
      </c>
      <c r="E151">
        <f>'Ref scen Calcs'!G617</f>
        <v>3813.0002183239285</v>
      </c>
      <c r="F151">
        <f>'Ref scen Calcs'!H617</f>
        <v>9740.6803993905232</v>
      </c>
      <c r="G151">
        <f>'Ref scen Calcs'!I617</f>
        <v>21245.764687606472</v>
      </c>
      <c r="H151">
        <f>'Ref scen Calcs'!J617</f>
        <v>34313.993522929261</v>
      </c>
      <c r="I151">
        <f>'Ref scen Calcs'!K617</f>
        <v>43505.386962536453</v>
      </c>
      <c r="J151">
        <f>'Ref scen Calcs'!L617</f>
        <v>41373.521424703482</v>
      </c>
      <c r="K151">
        <f>'Ref scen Calcs'!M617</f>
        <v>34708.857909120299</v>
      </c>
      <c r="L151">
        <f>'Ref scen Calcs'!N617</f>
        <v>37940.691924532643</v>
      </c>
      <c r="M151">
        <f>'Ref scen Calcs'!O617</f>
        <v>45394.067356270752</v>
      </c>
      <c r="N151">
        <f>'Ref scen Calcs'!P617</f>
        <v>47015.681989247241</v>
      </c>
      <c r="O151">
        <f>'Ref scen Calcs'!Q617</f>
        <v>51503.338923124145</v>
      </c>
      <c r="P151">
        <f>'Ref scen Calcs'!R617</f>
        <v>58477.174735643042</v>
      </c>
      <c r="Q151">
        <f>'Ref scen Calcs'!S617</f>
        <v>56640.067418795952</v>
      </c>
      <c r="R151">
        <f ca="1">'Ref scen Calcs'!T617</f>
        <v>55069.273424150328</v>
      </c>
      <c r="S151">
        <f ca="1">'Ref scen Calcs'!U617</f>
        <v>60000.483870990036</v>
      </c>
      <c r="T151">
        <f ca="1">'Ref scen Calcs'!V617</f>
        <v>67090.983809082973</v>
      </c>
      <c r="U151">
        <f ca="1">'Ref scen Calcs'!W617</f>
        <v>74288.037740997534</v>
      </c>
      <c r="V151">
        <f ca="1">'Ref scen Calcs'!X617</f>
        <v>72662.922563527696</v>
      </c>
      <c r="W151">
        <f ca="1">'Ref scen Calcs'!Y617</f>
        <v>72909.761059705561</v>
      </c>
      <c r="X151">
        <f ca="1">'Ref scen Calcs'!Z617</f>
        <v>77194.778554316377</v>
      </c>
      <c r="Y151">
        <f ca="1">'Ref scen Calcs'!AA617</f>
        <v>51550.631258786714</v>
      </c>
      <c r="Z151">
        <f ca="1">'Ref scen Calcs'!AB617</f>
        <v>11797.18765209939</v>
      </c>
      <c r="AA151">
        <f ca="1">'Ref scen Calcs'!AC617</f>
        <v>0</v>
      </c>
      <c r="AP151">
        <f>'Alt scen Calcs'!D617</f>
        <v>0</v>
      </c>
      <c r="AQ151">
        <f>'Alt scen Calcs'!E617</f>
        <v>663.75232174368716</v>
      </c>
      <c r="AR151">
        <f>'Alt scen Calcs'!F617</f>
        <v>2053.5222759085655</v>
      </c>
      <c r="AS151">
        <f>'Alt scen Calcs'!G617</f>
        <v>3813.0002183239285</v>
      </c>
      <c r="AT151">
        <f>'Alt scen Calcs'!H617</f>
        <v>9740.6803993905232</v>
      </c>
      <c r="AU151">
        <f>'Alt scen Calcs'!I617</f>
        <v>21245.764687606472</v>
      </c>
      <c r="AV151">
        <f>'Alt scen Calcs'!J617</f>
        <v>33660.51600492774</v>
      </c>
      <c r="AW151">
        <f>'Alt scen Calcs'!K617</f>
        <v>40832.294020975503</v>
      </c>
      <c r="AX151">
        <f>'Alt scen Calcs'!L617</f>
        <v>36903.242010993425</v>
      </c>
      <c r="AY151">
        <f>'Alt scen Calcs'!M617</f>
        <v>24748.18368680634</v>
      </c>
      <c r="AZ151">
        <f>'Alt scen Calcs'!N617</f>
        <v>10987.519325964422</v>
      </c>
      <c r="BA151">
        <f>'Alt scen Calcs'!O617</f>
        <v>2044.9075927566316</v>
      </c>
      <c r="BB151">
        <f>'Alt scen Calcs'!P617</f>
        <v>0</v>
      </c>
      <c r="BC151">
        <f>'Alt scen Calcs'!Q617</f>
        <v>0</v>
      </c>
      <c r="BD151">
        <f>'Alt scen Calcs'!R617</f>
        <v>0</v>
      </c>
      <c r="BE151">
        <f>'Alt scen Calcs'!S617</f>
        <v>0</v>
      </c>
      <c r="BF151">
        <f ca="1">'Alt scen Calcs'!T617</f>
        <v>0</v>
      </c>
      <c r="BG151">
        <f ca="1">'Alt scen Calcs'!U617</f>
        <v>0</v>
      </c>
      <c r="BH151">
        <f ca="1">'Alt scen Calcs'!V617</f>
        <v>0</v>
      </c>
      <c r="BI151">
        <f ca="1">'Alt scen Calcs'!W617</f>
        <v>0</v>
      </c>
      <c r="BJ151">
        <f ca="1">'Alt scen Calcs'!X617</f>
        <v>0</v>
      </c>
      <c r="BK151">
        <f ca="1">'Alt scen Calcs'!Y617</f>
        <v>0</v>
      </c>
      <c r="BL151">
        <f ca="1">'Alt scen Calcs'!Z617</f>
        <v>0</v>
      </c>
      <c r="BM151">
        <f ca="1">'Alt scen Calcs'!AA617</f>
        <v>0</v>
      </c>
      <c r="BN151">
        <f ca="1">'Alt scen Calcs'!AB617</f>
        <v>0</v>
      </c>
      <c r="BO151">
        <f ca="1">'Alt scen Calcs'!AC617</f>
        <v>0</v>
      </c>
    </row>
    <row r="152" spans="1:67">
      <c r="A152" t="str">
        <f t="shared" si="2"/>
        <v xml:space="preserve">Wind 30% </v>
      </c>
      <c r="B152">
        <f>'Ref scen Calcs'!D618</f>
        <v>0</v>
      </c>
      <c r="C152">
        <f>'Ref scen Calcs'!E618</f>
        <v>0</v>
      </c>
      <c r="D152">
        <f>'Ref scen Calcs'!F618</f>
        <v>75.703206024444654</v>
      </c>
      <c r="E152">
        <f>'Ref scen Calcs'!G618</f>
        <v>310.38314470022311</v>
      </c>
      <c r="F152">
        <f>'Ref scen Calcs'!H618</f>
        <v>1174.1567254391368</v>
      </c>
      <c r="G152">
        <f>'Ref scen Calcs'!I618</f>
        <v>0</v>
      </c>
      <c r="H152">
        <f>'Ref scen Calcs'!J618</f>
        <v>0</v>
      </c>
      <c r="I152">
        <f>'Ref scen Calcs'!K618</f>
        <v>0</v>
      </c>
      <c r="J152">
        <f>'Ref scen Calcs'!L618</f>
        <v>0</v>
      </c>
      <c r="K152">
        <f>'Ref scen Calcs'!M618</f>
        <v>0</v>
      </c>
      <c r="L152">
        <f>'Ref scen Calcs'!N618</f>
        <v>0</v>
      </c>
      <c r="M152">
        <f>'Ref scen Calcs'!O618</f>
        <v>0</v>
      </c>
      <c r="N152">
        <f>'Ref scen Calcs'!P618</f>
        <v>0</v>
      </c>
      <c r="O152">
        <f>'Ref scen Calcs'!Q618</f>
        <v>0</v>
      </c>
      <c r="P152">
        <f>'Ref scen Calcs'!R618</f>
        <v>0</v>
      </c>
      <c r="Q152">
        <f>'Ref scen Calcs'!S618</f>
        <v>0</v>
      </c>
      <c r="R152">
        <f ca="1">'Ref scen Calcs'!T618</f>
        <v>0</v>
      </c>
      <c r="S152">
        <f ca="1">'Ref scen Calcs'!U618</f>
        <v>0</v>
      </c>
      <c r="T152">
        <f ca="1">'Ref scen Calcs'!V618</f>
        <v>0</v>
      </c>
      <c r="U152">
        <f ca="1">'Ref scen Calcs'!W618</f>
        <v>0</v>
      </c>
      <c r="V152">
        <f ca="1">'Ref scen Calcs'!X618</f>
        <v>0</v>
      </c>
      <c r="W152">
        <f ca="1">'Ref scen Calcs'!Y618</f>
        <v>0</v>
      </c>
      <c r="X152">
        <f ca="1">'Ref scen Calcs'!Z618</f>
        <v>0</v>
      </c>
      <c r="Y152">
        <f ca="1">'Ref scen Calcs'!AA618</f>
        <v>0</v>
      </c>
      <c r="Z152">
        <f ca="1">'Ref scen Calcs'!AB618</f>
        <v>0</v>
      </c>
      <c r="AA152">
        <f ca="1">'Ref scen Calcs'!AC618</f>
        <v>0</v>
      </c>
      <c r="AP152">
        <f>'Alt scen Calcs'!D618</f>
        <v>0</v>
      </c>
      <c r="AQ152">
        <f>'Alt scen Calcs'!E618</f>
        <v>0</v>
      </c>
      <c r="AR152">
        <f>'Alt scen Calcs'!F618</f>
        <v>75.703206024444654</v>
      </c>
      <c r="AS152">
        <f>'Alt scen Calcs'!G618</f>
        <v>457.80517748466798</v>
      </c>
      <c r="AT152">
        <f>'Alt scen Calcs'!H618</f>
        <v>1922.0247133753612</v>
      </c>
      <c r="AU152">
        <f>'Alt scen Calcs'!I618</f>
        <v>3154.3135322827429</v>
      </c>
      <c r="AV152">
        <f>'Alt scen Calcs'!J618</f>
        <v>3644.0335876756112</v>
      </c>
      <c r="AW152">
        <f>'Alt scen Calcs'!K618</f>
        <v>5986.2987508304568</v>
      </c>
      <c r="AX152">
        <f>'Alt scen Calcs'!L618</f>
        <v>6919.2889681512988</v>
      </c>
      <c r="AY152">
        <f>'Alt scen Calcs'!M618</f>
        <v>10981.156440530671</v>
      </c>
      <c r="AZ152">
        <f>'Alt scen Calcs'!N618</f>
        <v>11222.131698444271</v>
      </c>
      <c r="BA152">
        <f>'Alt scen Calcs'!O618</f>
        <v>13261.686037610511</v>
      </c>
      <c r="BB152">
        <f>'Alt scen Calcs'!P618</f>
        <v>14232.988452186544</v>
      </c>
      <c r="BC152">
        <f>'Alt scen Calcs'!Q618</f>
        <v>18929.746838458821</v>
      </c>
      <c r="BD152">
        <f>'Alt scen Calcs'!R618</f>
        <v>18579.063291250448</v>
      </c>
      <c r="BE152">
        <f>'Alt scen Calcs'!S618</f>
        <v>18020.215849371169</v>
      </c>
      <c r="BF152">
        <f ca="1">'Alt scen Calcs'!T618</f>
        <v>0</v>
      </c>
      <c r="BG152">
        <f ca="1">'Alt scen Calcs'!U618</f>
        <v>0</v>
      </c>
      <c r="BH152">
        <f ca="1">'Alt scen Calcs'!V618</f>
        <v>0</v>
      </c>
      <c r="BI152">
        <f ca="1">'Alt scen Calcs'!W618</f>
        <v>0</v>
      </c>
      <c r="BJ152">
        <f ca="1">'Alt scen Calcs'!X618</f>
        <v>0</v>
      </c>
      <c r="BK152">
        <f ca="1">'Alt scen Calcs'!Y618</f>
        <v>0</v>
      </c>
      <c r="BL152">
        <f ca="1">'Alt scen Calcs'!Z618</f>
        <v>0</v>
      </c>
      <c r="BM152">
        <f ca="1">'Alt scen Calcs'!AA618</f>
        <v>109.35011703642387</v>
      </c>
      <c r="BN152">
        <f ca="1">'Alt scen Calcs'!AB618</f>
        <v>557.00215865428402</v>
      </c>
      <c r="BO152">
        <f ca="1">'Alt scen Calcs'!AC618</f>
        <v>2357.520179482151</v>
      </c>
    </row>
    <row r="153" spans="1:67">
      <c r="A153" t="str">
        <f t="shared" si="2"/>
        <v>Wind 25%</v>
      </c>
      <c r="B153">
        <f>'Ref scen Calcs'!D619</f>
        <v>0</v>
      </c>
      <c r="C153">
        <f>'Ref scen Calcs'!E619</f>
        <v>0</v>
      </c>
      <c r="D153">
        <f>'Ref scen Calcs'!F619</f>
        <v>0</v>
      </c>
      <c r="E153">
        <f>'Ref scen Calcs'!G619</f>
        <v>0</v>
      </c>
      <c r="F153">
        <f>'Ref scen Calcs'!H619</f>
        <v>0</v>
      </c>
      <c r="G153">
        <f>'Ref scen Calcs'!I619</f>
        <v>0</v>
      </c>
      <c r="H153">
        <f>'Ref scen Calcs'!J619</f>
        <v>0</v>
      </c>
      <c r="I153">
        <f>'Ref scen Calcs'!K619</f>
        <v>0</v>
      </c>
      <c r="J153">
        <f>'Ref scen Calcs'!L619</f>
        <v>0</v>
      </c>
      <c r="K153">
        <f>'Ref scen Calcs'!M619</f>
        <v>0</v>
      </c>
      <c r="L153">
        <f>'Ref scen Calcs'!N619</f>
        <v>0</v>
      </c>
      <c r="M153">
        <f>'Ref scen Calcs'!O619</f>
        <v>0</v>
      </c>
      <c r="N153">
        <f>'Ref scen Calcs'!P619</f>
        <v>0</v>
      </c>
      <c r="O153">
        <f>'Ref scen Calcs'!Q619</f>
        <v>0</v>
      </c>
      <c r="P153">
        <f>'Ref scen Calcs'!R619</f>
        <v>0</v>
      </c>
      <c r="Q153">
        <f>'Ref scen Calcs'!S619</f>
        <v>0</v>
      </c>
      <c r="R153">
        <f ca="1">'Ref scen Calcs'!T619</f>
        <v>0</v>
      </c>
      <c r="S153">
        <f ca="1">'Ref scen Calcs'!U619</f>
        <v>0</v>
      </c>
      <c r="T153">
        <f ca="1">'Ref scen Calcs'!V619</f>
        <v>0</v>
      </c>
      <c r="U153">
        <f ca="1">'Ref scen Calcs'!W619</f>
        <v>0</v>
      </c>
      <c r="V153">
        <f ca="1">'Ref scen Calcs'!X619</f>
        <v>0</v>
      </c>
      <c r="W153">
        <f ca="1">'Ref scen Calcs'!Y619</f>
        <v>0</v>
      </c>
      <c r="X153">
        <f ca="1">'Ref scen Calcs'!Z619</f>
        <v>0</v>
      </c>
      <c r="Y153">
        <f ca="1">'Ref scen Calcs'!AA619</f>
        <v>0</v>
      </c>
      <c r="Z153">
        <f ca="1">'Ref scen Calcs'!AB619</f>
        <v>0</v>
      </c>
      <c r="AA153">
        <f ca="1">'Ref scen Calcs'!AC619</f>
        <v>0</v>
      </c>
      <c r="AP153">
        <f>'Alt scen Calcs'!D619</f>
        <v>0</v>
      </c>
      <c r="AQ153">
        <f>'Alt scen Calcs'!E619</f>
        <v>0</v>
      </c>
      <c r="AR153">
        <f>'Alt scen Calcs'!F619</f>
        <v>0</v>
      </c>
      <c r="AS153">
        <f>'Alt scen Calcs'!G619</f>
        <v>0</v>
      </c>
      <c r="AT153">
        <f>'Alt scen Calcs'!H619</f>
        <v>0</v>
      </c>
      <c r="AU153">
        <f>'Alt scen Calcs'!I619</f>
        <v>0</v>
      </c>
      <c r="AV153">
        <f>'Alt scen Calcs'!J619</f>
        <v>0</v>
      </c>
      <c r="AW153">
        <f>'Alt scen Calcs'!K619</f>
        <v>0</v>
      </c>
      <c r="AX153">
        <f>'Alt scen Calcs'!L619</f>
        <v>0</v>
      </c>
      <c r="AY153">
        <f>'Alt scen Calcs'!M619</f>
        <v>0</v>
      </c>
      <c r="AZ153">
        <f>'Alt scen Calcs'!N619</f>
        <v>0</v>
      </c>
      <c r="BA153">
        <f>'Alt scen Calcs'!O619</f>
        <v>0</v>
      </c>
      <c r="BB153">
        <f>'Alt scen Calcs'!P619</f>
        <v>0</v>
      </c>
      <c r="BC153">
        <f>'Alt scen Calcs'!Q619</f>
        <v>0</v>
      </c>
      <c r="BD153">
        <f>'Alt scen Calcs'!R619</f>
        <v>577.50530559861352</v>
      </c>
      <c r="BE153">
        <f>'Alt scen Calcs'!S619</f>
        <v>2941.8598673955403</v>
      </c>
      <c r="BF153">
        <f ca="1">'Alt scen Calcs'!T619</f>
        <v>11881.539482327353</v>
      </c>
      <c r="BG153">
        <f ca="1">'Alt scen Calcs'!U619</f>
        <v>11811.111172573583</v>
      </c>
      <c r="BH153">
        <f ca="1">'Alt scen Calcs'!V619</f>
        <v>11740.682862819813</v>
      </c>
      <c r="BI153">
        <f ca="1">'Alt scen Calcs'!W619</f>
        <v>11670.254553066041</v>
      </c>
      <c r="BJ153">
        <f ca="1">'Alt scen Calcs'!X619</f>
        <v>11599.826243312269</v>
      </c>
      <c r="BK153">
        <f ca="1">'Alt scen Calcs'!Y619</f>
        <v>11529.397933558497</v>
      </c>
      <c r="BL153">
        <f ca="1">'Alt scen Calcs'!Z619</f>
        <v>11458.969623804725</v>
      </c>
      <c r="BM153">
        <f ca="1">'Alt scen Calcs'!AA619</f>
        <v>10841.790728868835</v>
      </c>
      <c r="BN153">
        <f ca="1">'Alt scen Calcs'!AB619</f>
        <v>8533.1022110257618</v>
      </c>
      <c r="BO153">
        <f ca="1">'Alt scen Calcs'!AC619</f>
        <v>0</v>
      </c>
    </row>
    <row r="154" spans="1:67">
      <c r="A154" t="str">
        <f t="shared" si="2"/>
        <v>solar thermal central reciever</v>
      </c>
      <c r="B154">
        <f>'Ref scen Calcs'!D620</f>
        <v>0</v>
      </c>
      <c r="C154">
        <f>'Ref scen Calcs'!E620</f>
        <v>0</v>
      </c>
      <c r="D154">
        <f>'Ref scen Calcs'!F620</f>
        <v>0</v>
      </c>
      <c r="E154">
        <f>'Ref scen Calcs'!G620</f>
        <v>0</v>
      </c>
      <c r="F154">
        <f>'Ref scen Calcs'!H620</f>
        <v>0</v>
      </c>
      <c r="G154">
        <f>'Ref scen Calcs'!I620</f>
        <v>0</v>
      </c>
      <c r="H154">
        <f>'Ref scen Calcs'!J620</f>
        <v>0</v>
      </c>
      <c r="I154">
        <f>'Ref scen Calcs'!K620</f>
        <v>0</v>
      </c>
      <c r="J154">
        <f>'Ref scen Calcs'!L620</f>
        <v>0</v>
      </c>
      <c r="K154">
        <f>'Ref scen Calcs'!M620</f>
        <v>0</v>
      </c>
      <c r="L154">
        <f>'Ref scen Calcs'!N620</f>
        <v>0</v>
      </c>
      <c r="M154">
        <f>'Ref scen Calcs'!O620</f>
        <v>0</v>
      </c>
      <c r="N154">
        <f>'Ref scen Calcs'!P620</f>
        <v>0</v>
      </c>
      <c r="O154">
        <f>'Ref scen Calcs'!Q620</f>
        <v>0</v>
      </c>
      <c r="P154">
        <f>'Ref scen Calcs'!R620</f>
        <v>0</v>
      </c>
      <c r="Q154">
        <f>'Ref scen Calcs'!S620</f>
        <v>0</v>
      </c>
      <c r="R154">
        <f ca="1">'Ref scen Calcs'!T620</f>
        <v>0</v>
      </c>
      <c r="S154">
        <f ca="1">'Ref scen Calcs'!U620</f>
        <v>0</v>
      </c>
      <c r="T154">
        <f ca="1">'Ref scen Calcs'!V620</f>
        <v>0</v>
      </c>
      <c r="U154">
        <f ca="1">'Ref scen Calcs'!W620</f>
        <v>0</v>
      </c>
      <c r="V154">
        <f ca="1">'Ref scen Calcs'!X620</f>
        <v>0</v>
      </c>
      <c r="W154">
        <f ca="1">'Ref scen Calcs'!Y620</f>
        <v>0</v>
      </c>
      <c r="X154">
        <f ca="1">'Ref scen Calcs'!Z620</f>
        <v>0</v>
      </c>
      <c r="Y154">
        <f ca="1">'Ref scen Calcs'!AA620</f>
        <v>0</v>
      </c>
      <c r="Z154">
        <f ca="1">'Ref scen Calcs'!AB620</f>
        <v>0</v>
      </c>
      <c r="AA154">
        <f ca="1">'Ref scen Calcs'!AC620</f>
        <v>0</v>
      </c>
      <c r="AP154">
        <f>'Alt scen Calcs'!D620</f>
        <v>0</v>
      </c>
      <c r="AQ154">
        <f>'Alt scen Calcs'!E620</f>
        <v>0</v>
      </c>
      <c r="AR154">
        <f>'Alt scen Calcs'!F620</f>
        <v>0</v>
      </c>
      <c r="AS154">
        <f>'Alt scen Calcs'!G620</f>
        <v>0</v>
      </c>
      <c r="AT154">
        <f>'Alt scen Calcs'!H620</f>
        <v>0</v>
      </c>
      <c r="AU154">
        <f>'Alt scen Calcs'!I620</f>
        <v>257.48196312932731</v>
      </c>
      <c r="AV154">
        <f>'Alt scen Calcs'!J620</f>
        <v>782.58911823853123</v>
      </c>
      <c r="AW154">
        <f>'Alt scen Calcs'!K620</f>
        <v>2092.0799628444411</v>
      </c>
      <c r="AX154">
        <f>'Alt scen Calcs'!L620</f>
        <v>5213.1748876096417</v>
      </c>
      <c r="AY154">
        <f>'Alt scen Calcs'!M620</f>
        <v>12538.258189969802</v>
      </c>
      <c r="AZ154">
        <f>'Alt scen Calcs'!N620</f>
        <v>21581.070769725793</v>
      </c>
      <c r="BA154">
        <f>'Alt scen Calcs'!O620</f>
        <v>35393.461912975559</v>
      </c>
      <c r="BB154">
        <f>'Alt scen Calcs'!P620</f>
        <v>53706.370614683023</v>
      </c>
      <c r="BC154">
        <f>'Alt scen Calcs'!Q620</f>
        <v>72115.900281327966</v>
      </c>
      <c r="BD154">
        <f>'Alt scen Calcs'!R620</f>
        <v>87818.400038748732</v>
      </c>
      <c r="BE154">
        <f>'Alt scen Calcs'!S620</f>
        <v>101129.06169488782</v>
      </c>
      <c r="BF154">
        <f ca="1">'Alt scen Calcs'!T620</f>
        <v>107322.53595699415</v>
      </c>
      <c r="BG154">
        <f ca="1">'Alt scen Calcs'!U620</f>
        <v>130666.46779929806</v>
      </c>
      <c r="BH154">
        <f ca="1">'Alt scen Calcs'!V620</f>
        <v>126759.13286269245</v>
      </c>
      <c r="BI154">
        <f ca="1">'Alt scen Calcs'!W620</f>
        <v>123058.43783516881</v>
      </c>
      <c r="BJ154">
        <f ca="1">'Alt scen Calcs'!X620</f>
        <v>119357.74280764519</v>
      </c>
      <c r="BK154">
        <f ca="1">'Alt scen Calcs'!Y620</f>
        <v>110863.20177567731</v>
      </c>
      <c r="BL154">
        <f ca="1">'Alt scen Calcs'!Z620</f>
        <v>102060.48492913807</v>
      </c>
      <c r="BM154">
        <f ca="1">'Alt scen Calcs'!AA620</f>
        <v>88124.928682126076</v>
      </c>
      <c r="BN154">
        <f ca="1">'Alt scen Calcs'!AB620</f>
        <v>63920.611876022806</v>
      </c>
      <c r="BO154">
        <f ca="1">'Alt scen Calcs'!AC620</f>
        <v>0</v>
      </c>
    </row>
    <row r="155" spans="1:67">
      <c r="A155" t="str">
        <f t="shared" si="2"/>
        <v>solar thermal trough</v>
      </c>
      <c r="B155">
        <f>'Ref scen Calcs'!D621</f>
        <v>0</v>
      </c>
      <c r="C155">
        <f>'Ref scen Calcs'!E621</f>
        <v>0</v>
      </c>
      <c r="D155">
        <f>'Ref scen Calcs'!F621</f>
        <v>0</v>
      </c>
      <c r="E155">
        <f>'Ref scen Calcs'!G621</f>
        <v>0</v>
      </c>
      <c r="F155">
        <f>'Ref scen Calcs'!H621</f>
        <v>0</v>
      </c>
      <c r="G155">
        <f>'Ref scen Calcs'!I621</f>
        <v>0</v>
      </c>
      <c r="H155">
        <f>'Ref scen Calcs'!J621</f>
        <v>0</v>
      </c>
      <c r="I155">
        <f>'Ref scen Calcs'!K621</f>
        <v>0</v>
      </c>
      <c r="J155">
        <f>'Ref scen Calcs'!L621</f>
        <v>0</v>
      </c>
      <c r="K155">
        <f>'Ref scen Calcs'!M621</f>
        <v>0</v>
      </c>
      <c r="L155">
        <f>'Ref scen Calcs'!N621</f>
        <v>0</v>
      </c>
      <c r="M155">
        <f>'Ref scen Calcs'!O621</f>
        <v>0</v>
      </c>
      <c r="N155">
        <f>'Ref scen Calcs'!P621</f>
        <v>0</v>
      </c>
      <c r="O155">
        <f>'Ref scen Calcs'!Q621</f>
        <v>0</v>
      </c>
      <c r="P155">
        <f>'Ref scen Calcs'!R621</f>
        <v>0</v>
      </c>
      <c r="Q155">
        <f>'Ref scen Calcs'!S621</f>
        <v>0</v>
      </c>
      <c r="R155">
        <f ca="1">'Ref scen Calcs'!T621</f>
        <v>0</v>
      </c>
      <c r="S155">
        <f ca="1">'Ref scen Calcs'!U621</f>
        <v>0</v>
      </c>
      <c r="T155">
        <f ca="1">'Ref scen Calcs'!V621</f>
        <v>0</v>
      </c>
      <c r="U155">
        <f ca="1">'Ref scen Calcs'!W621</f>
        <v>0</v>
      </c>
      <c r="V155">
        <f ca="1">'Ref scen Calcs'!X621</f>
        <v>0</v>
      </c>
      <c r="W155">
        <f ca="1">'Ref scen Calcs'!Y621</f>
        <v>0</v>
      </c>
      <c r="X155">
        <f ca="1">'Ref scen Calcs'!Z621</f>
        <v>0</v>
      </c>
      <c r="Y155">
        <f ca="1">'Ref scen Calcs'!AA621</f>
        <v>0</v>
      </c>
      <c r="Z155">
        <f ca="1">'Ref scen Calcs'!AB621</f>
        <v>0</v>
      </c>
      <c r="AA155">
        <f ca="1">'Ref scen Calcs'!AC621</f>
        <v>0</v>
      </c>
      <c r="AP155">
        <f>'Alt scen Calcs'!D621</f>
        <v>0</v>
      </c>
      <c r="AQ155">
        <f>'Alt scen Calcs'!E621</f>
        <v>0</v>
      </c>
      <c r="AR155">
        <f>'Alt scen Calcs'!F621</f>
        <v>0</v>
      </c>
      <c r="AS155">
        <f>'Alt scen Calcs'!G621</f>
        <v>0</v>
      </c>
      <c r="AT155">
        <f>'Alt scen Calcs'!H621</f>
        <v>0</v>
      </c>
      <c r="AU155">
        <f>'Alt scen Calcs'!I621</f>
        <v>0</v>
      </c>
      <c r="AV155">
        <f>'Alt scen Calcs'!J621</f>
        <v>0</v>
      </c>
      <c r="AW155">
        <f>'Alt scen Calcs'!K621</f>
        <v>0</v>
      </c>
      <c r="AX155">
        <f>'Alt scen Calcs'!L621</f>
        <v>0</v>
      </c>
      <c r="AY155">
        <f>'Alt scen Calcs'!M621</f>
        <v>0</v>
      </c>
      <c r="AZ155">
        <f>'Alt scen Calcs'!N621</f>
        <v>0</v>
      </c>
      <c r="BA155">
        <f>'Alt scen Calcs'!O621</f>
        <v>0</v>
      </c>
      <c r="BB155">
        <f>'Alt scen Calcs'!P621</f>
        <v>0</v>
      </c>
      <c r="BC155">
        <f>'Alt scen Calcs'!Q621</f>
        <v>0</v>
      </c>
      <c r="BD155">
        <f>'Alt scen Calcs'!R621</f>
        <v>0</v>
      </c>
      <c r="BE155">
        <f>'Alt scen Calcs'!S621</f>
        <v>0</v>
      </c>
      <c r="BF155">
        <f ca="1">'Alt scen Calcs'!T621</f>
        <v>0</v>
      </c>
      <c r="BG155">
        <f ca="1">'Alt scen Calcs'!U621</f>
        <v>0</v>
      </c>
      <c r="BH155">
        <f ca="1">'Alt scen Calcs'!V621</f>
        <v>0</v>
      </c>
      <c r="BI155">
        <f ca="1">'Alt scen Calcs'!W621</f>
        <v>0</v>
      </c>
      <c r="BJ155">
        <f ca="1">'Alt scen Calcs'!X621</f>
        <v>0</v>
      </c>
      <c r="BK155">
        <f ca="1">'Alt scen Calcs'!Y621</f>
        <v>0</v>
      </c>
      <c r="BL155">
        <f ca="1">'Alt scen Calcs'!Z621</f>
        <v>0</v>
      </c>
      <c r="BM155">
        <f ca="1">'Alt scen Calcs'!AA621</f>
        <v>0</v>
      </c>
      <c r="BN155">
        <f ca="1">'Alt scen Calcs'!AB621</f>
        <v>0</v>
      </c>
      <c r="BO155">
        <f ca="1">'Alt scen Calcs'!AC621</f>
        <v>0</v>
      </c>
    </row>
    <row r="156" spans="1:67">
      <c r="A156" t="str">
        <f t="shared" si="2"/>
        <v>solar PV</v>
      </c>
      <c r="B156">
        <f>'Ref scen Calcs'!D622</f>
        <v>0</v>
      </c>
      <c r="C156">
        <f>'Ref scen Calcs'!E622</f>
        <v>0</v>
      </c>
      <c r="D156">
        <f>'Ref scen Calcs'!F622</f>
        <v>0</v>
      </c>
      <c r="E156">
        <f>'Ref scen Calcs'!G622</f>
        <v>0</v>
      </c>
      <c r="F156">
        <f>'Ref scen Calcs'!H622</f>
        <v>0</v>
      </c>
      <c r="G156">
        <f>'Ref scen Calcs'!I622</f>
        <v>0</v>
      </c>
      <c r="H156">
        <f>'Ref scen Calcs'!J622</f>
        <v>0</v>
      </c>
      <c r="I156">
        <f>'Ref scen Calcs'!K622</f>
        <v>0</v>
      </c>
      <c r="J156">
        <f>'Ref scen Calcs'!L622</f>
        <v>0</v>
      </c>
      <c r="K156">
        <f>'Ref scen Calcs'!M622</f>
        <v>0</v>
      </c>
      <c r="L156">
        <f>'Ref scen Calcs'!N622</f>
        <v>0</v>
      </c>
      <c r="M156">
        <f>'Ref scen Calcs'!O622</f>
        <v>0</v>
      </c>
      <c r="N156">
        <f>'Ref scen Calcs'!P622</f>
        <v>0</v>
      </c>
      <c r="O156">
        <f>'Ref scen Calcs'!Q622</f>
        <v>0</v>
      </c>
      <c r="P156">
        <f>'Ref scen Calcs'!R622</f>
        <v>0</v>
      </c>
      <c r="Q156">
        <f>'Ref scen Calcs'!S622</f>
        <v>0</v>
      </c>
      <c r="R156">
        <f ca="1">'Ref scen Calcs'!T622</f>
        <v>0</v>
      </c>
      <c r="S156">
        <f ca="1">'Ref scen Calcs'!U622</f>
        <v>0</v>
      </c>
      <c r="T156">
        <f ca="1">'Ref scen Calcs'!V622</f>
        <v>0</v>
      </c>
      <c r="U156">
        <f ca="1">'Ref scen Calcs'!W622</f>
        <v>0</v>
      </c>
      <c r="V156">
        <f ca="1">'Ref scen Calcs'!X622</f>
        <v>0</v>
      </c>
      <c r="W156">
        <f ca="1">'Ref scen Calcs'!Y622</f>
        <v>0</v>
      </c>
      <c r="X156">
        <f ca="1">'Ref scen Calcs'!Z622</f>
        <v>0</v>
      </c>
      <c r="Y156">
        <f ca="1">'Ref scen Calcs'!AA622</f>
        <v>0</v>
      </c>
      <c r="Z156">
        <f ca="1">'Ref scen Calcs'!AB622</f>
        <v>0</v>
      </c>
      <c r="AA156">
        <f ca="1">'Ref scen Calcs'!AC622</f>
        <v>0</v>
      </c>
      <c r="AP156">
        <f>'Alt scen Calcs'!D622</f>
        <v>0</v>
      </c>
      <c r="AQ156">
        <f>'Alt scen Calcs'!E622</f>
        <v>0</v>
      </c>
      <c r="AR156">
        <f>'Alt scen Calcs'!F622</f>
        <v>0</v>
      </c>
      <c r="AS156">
        <f>'Alt scen Calcs'!G622</f>
        <v>0</v>
      </c>
      <c r="AT156">
        <f>'Alt scen Calcs'!H622</f>
        <v>0</v>
      </c>
      <c r="AU156">
        <f>'Alt scen Calcs'!I622</f>
        <v>0</v>
      </c>
      <c r="AV156">
        <f>'Alt scen Calcs'!J622</f>
        <v>0</v>
      </c>
      <c r="AW156">
        <f>'Alt scen Calcs'!K622</f>
        <v>0</v>
      </c>
      <c r="AX156">
        <f>'Alt scen Calcs'!L622</f>
        <v>0</v>
      </c>
      <c r="AY156">
        <f>'Alt scen Calcs'!M622</f>
        <v>0</v>
      </c>
      <c r="AZ156">
        <f>'Alt scen Calcs'!N622</f>
        <v>0</v>
      </c>
      <c r="BA156">
        <f>'Alt scen Calcs'!O622</f>
        <v>0</v>
      </c>
      <c r="BB156">
        <f>'Alt scen Calcs'!P622</f>
        <v>0</v>
      </c>
      <c r="BC156">
        <f>'Alt scen Calcs'!Q622</f>
        <v>0</v>
      </c>
      <c r="BD156">
        <f>'Alt scen Calcs'!R622</f>
        <v>0</v>
      </c>
      <c r="BE156">
        <f>'Alt scen Calcs'!S622</f>
        <v>0</v>
      </c>
      <c r="BF156">
        <f ca="1">'Alt scen Calcs'!T622</f>
        <v>0</v>
      </c>
      <c r="BG156">
        <f ca="1">'Alt scen Calcs'!U622</f>
        <v>0</v>
      </c>
      <c r="BH156">
        <f ca="1">'Alt scen Calcs'!V622</f>
        <v>0</v>
      </c>
      <c r="BI156">
        <f ca="1">'Alt scen Calcs'!W622</f>
        <v>0</v>
      </c>
      <c r="BJ156">
        <f ca="1">'Alt scen Calcs'!X622</f>
        <v>0</v>
      </c>
      <c r="BK156">
        <f ca="1">'Alt scen Calcs'!Y622</f>
        <v>0</v>
      </c>
      <c r="BL156">
        <f ca="1">'Alt scen Calcs'!Z622</f>
        <v>0</v>
      </c>
      <c r="BM156">
        <f ca="1">'Alt scen Calcs'!AA622</f>
        <v>0</v>
      </c>
      <c r="BN156">
        <f ca="1">'Alt scen Calcs'!AB622</f>
        <v>0</v>
      </c>
      <c r="BO156">
        <f ca="1">'Alt scen Calcs'!AC622</f>
        <v>0</v>
      </c>
    </row>
    <row r="157" spans="1:67">
      <c r="A157" t="str">
        <f t="shared" si="2"/>
        <v>combined cycle gas</v>
      </c>
      <c r="B157">
        <f>'Ref scen Calcs'!D623</f>
        <v>0</v>
      </c>
      <c r="C157">
        <f>'Ref scen Calcs'!E623</f>
        <v>0</v>
      </c>
      <c r="D157">
        <f>'Ref scen Calcs'!F623</f>
        <v>0</v>
      </c>
      <c r="E157">
        <f>'Ref scen Calcs'!G623</f>
        <v>0</v>
      </c>
      <c r="F157">
        <f>'Ref scen Calcs'!H623</f>
        <v>0</v>
      </c>
      <c r="G157">
        <f>'Ref scen Calcs'!I623</f>
        <v>0</v>
      </c>
      <c r="H157">
        <f>'Ref scen Calcs'!J623</f>
        <v>0</v>
      </c>
      <c r="I157">
        <f>'Ref scen Calcs'!K623</f>
        <v>0</v>
      </c>
      <c r="J157">
        <f>'Ref scen Calcs'!L623</f>
        <v>0</v>
      </c>
      <c r="K157">
        <f>'Ref scen Calcs'!M623</f>
        <v>0</v>
      </c>
      <c r="L157">
        <f>'Ref scen Calcs'!N623</f>
        <v>0</v>
      </c>
      <c r="M157">
        <f>'Ref scen Calcs'!O623</f>
        <v>0</v>
      </c>
      <c r="N157">
        <f>'Ref scen Calcs'!P623</f>
        <v>0</v>
      </c>
      <c r="O157">
        <f>'Ref scen Calcs'!Q623</f>
        <v>0</v>
      </c>
      <c r="P157">
        <f>'Ref scen Calcs'!R623</f>
        <v>0</v>
      </c>
      <c r="Q157">
        <f>'Ref scen Calcs'!S623</f>
        <v>0</v>
      </c>
      <c r="R157">
        <f ca="1">'Ref scen Calcs'!T623</f>
        <v>0</v>
      </c>
      <c r="S157">
        <f ca="1">'Ref scen Calcs'!U623</f>
        <v>0</v>
      </c>
      <c r="T157">
        <f ca="1">'Ref scen Calcs'!V623</f>
        <v>0</v>
      </c>
      <c r="U157">
        <f ca="1">'Ref scen Calcs'!W623</f>
        <v>0</v>
      </c>
      <c r="V157">
        <f ca="1">'Ref scen Calcs'!X623</f>
        <v>0</v>
      </c>
      <c r="W157">
        <f ca="1">'Ref scen Calcs'!Y623</f>
        <v>0</v>
      </c>
      <c r="X157">
        <f ca="1">'Ref scen Calcs'!Z623</f>
        <v>0</v>
      </c>
      <c r="Y157">
        <f ca="1">'Ref scen Calcs'!AA623</f>
        <v>0</v>
      </c>
      <c r="Z157">
        <f ca="1">'Ref scen Calcs'!AB623</f>
        <v>0</v>
      </c>
      <c r="AA157">
        <f ca="1">'Ref scen Calcs'!AC623</f>
        <v>0</v>
      </c>
      <c r="AP157">
        <f>'Alt scen Calcs'!D623</f>
        <v>0</v>
      </c>
      <c r="AQ157">
        <f>'Alt scen Calcs'!E623</f>
        <v>0</v>
      </c>
      <c r="AR157">
        <f>'Alt scen Calcs'!F623</f>
        <v>0</v>
      </c>
      <c r="AS157">
        <f>'Alt scen Calcs'!G623</f>
        <v>0</v>
      </c>
      <c r="AT157">
        <f>'Alt scen Calcs'!H623</f>
        <v>0</v>
      </c>
      <c r="AU157">
        <f>'Alt scen Calcs'!I623</f>
        <v>0</v>
      </c>
      <c r="AV157">
        <f>'Alt scen Calcs'!J623</f>
        <v>0</v>
      </c>
      <c r="AW157">
        <f>'Alt scen Calcs'!K623</f>
        <v>0</v>
      </c>
      <c r="AX157">
        <f>'Alt scen Calcs'!L623</f>
        <v>0</v>
      </c>
      <c r="AY157">
        <f>'Alt scen Calcs'!M623</f>
        <v>0</v>
      </c>
      <c r="AZ157">
        <f>'Alt scen Calcs'!N623</f>
        <v>0</v>
      </c>
      <c r="BA157">
        <f>'Alt scen Calcs'!O623</f>
        <v>0</v>
      </c>
      <c r="BB157">
        <f>'Alt scen Calcs'!P623</f>
        <v>0</v>
      </c>
      <c r="BC157">
        <f>'Alt scen Calcs'!Q623</f>
        <v>0</v>
      </c>
      <c r="BD157">
        <f>'Alt scen Calcs'!R623</f>
        <v>0</v>
      </c>
      <c r="BE157">
        <f>'Alt scen Calcs'!S623</f>
        <v>0</v>
      </c>
      <c r="BF157">
        <f ca="1">'Alt scen Calcs'!T623</f>
        <v>0</v>
      </c>
      <c r="BG157">
        <f ca="1">'Alt scen Calcs'!U623</f>
        <v>289.79280673885734</v>
      </c>
      <c r="BH157">
        <f ca="1">'Alt scen Calcs'!V623</f>
        <v>752.39063444194448</v>
      </c>
      <c r="BI157">
        <f ca="1">'Alt scen Calcs'!W623</f>
        <v>1492.0118272273421</v>
      </c>
      <c r="BJ157">
        <f ca="1">'Alt scen Calcs'!X623</f>
        <v>3813.8025300282393</v>
      </c>
      <c r="BK157">
        <f ca="1">'Alt scen Calcs'!Y623</f>
        <v>7273.0179364751266</v>
      </c>
      <c r="BL157">
        <f ca="1">'Alt scen Calcs'!Z623</f>
        <v>7740.9952394415341</v>
      </c>
      <c r="BM157">
        <f ca="1">'Alt scen Calcs'!AA623</f>
        <v>4049.5565443293913</v>
      </c>
      <c r="BN157">
        <f ca="1">'Alt scen Calcs'!AB623</f>
        <v>0</v>
      </c>
      <c r="BO157">
        <f ca="1">'Alt scen Calcs'!AC623</f>
        <v>0</v>
      </c>
    </row>
    <row r="158" spans="1:67">
      <c r="A158" t="str">
        <f t="shared" si="2"/>
        <v>PBMR</v>
      </c>
      <c r="B158">
        <f>'Ref scen Calcs'!D624</f>
        <v>0</v>
      </c>
      <c r="C158">
        <f>'Ref scen Calcs'!E624</f>
        <v>0</v>
      </c>
      <c r="D158">
        <f>'Ref scen Calcs'!F624</f>
        <v>0</v>
      </c>
      <c r="E158">
        <f>'Ref scen Calcs'!G624</f>
        <v>0</v>
      </c>
      <c r="F158">
        <f>'Ref scen Calcs'!H624</f>
        <v>0</v>
      </c>
      <c r="G158">
        <f>'Ref scen Calcs'!I624</f>
        <v>0</v>
      </c>
      <c r="H158">
        <f>'Ref scen Calcs'!J624</f>
        <v>0</v>
      </c>
      <c r="I158">
        <f>'Ref scen Calcs'!K624</f>
        <v>0</v>
      </c>
      <c r="J158">
        <f>'Ref scen Calcs'!L624</f>
        <v>0</v>
      </c>
      <c r="K158">
        <f>'Ref scen Calcs'!M624</f>
        <v>0</v>
      </c>
      <c r="L158">
        <f>'Ref scen Calcs'!N624</f>
        <v>0</v>
      </c>
      <c r="M158">
        <f>'Ref scen Calcs'!O624</f>
        <v>0</v>
      </c>
      <c r="N158">
        <f>'Ref scen Calcs'!P624</f>
        <v>0</v>
      </c>
      <c r="O158">
        <f>'Ref scen Calcs'!Q624</f>
        <v>0</v>
      </c>
      <c r="P158">
        <f>'Ref scen Calcs'!R624</f>
        <v>0</v>
      </c>
      <c r="Q158">
        <f>'Ref scen Calcs'!S624</f>
        <v>0</v>
      </c>
      <c r="R158">
        <f ca="1">'Ref scen Calcs'!T624</f>
        <v>0</v>
      </c>
      <c r="S158">
        <f ca="1">'Ref scen Calcs'!U624</f>
        <v>0</v>
      </c>
      <c r="T158">
        <f ca="1">'Ref scen Calcs'!V624</f>
        <v>0</v>
      </c>
      <c r="U158">
        <f ca="1">'Ref scen Calcs'!W624</f>
        <v>0</v>
      </c>
      <c r="V158">
        <f ca="1">'Ref scen Calcs'!X624</f>
        <v>0</v>
      </c>
      <c r="W158">
        <f ca="1">'Ref scen Calcs'!Y624</f>
        <v>0</v>
      </c>
      <c r="X158">
        <f ca="1">'Ref scen Calcs'!Z624</f>
        <v>0</v>
      </c>
      <c r="Y158">
        <f ca="1">'Ref scen Calcs'!AA624</f>
        <v>0</v>
      </c>
      <c r="Z158">
        <f ca="1">'Ref scen Calcs'!AB624</f>
        <v>0</v>
      </c>
      <c r="AA158">
        <f ca="1">'Ref scen Calcs'!AC624</f>
        <v>0</v>
      </c>
      <c r="AP158">
        <f>'Alt scen Calcs'!D624</f>
        <v>0</v>
      </c>
      <c r="AQ158">
        <f>'Alt scen Calcs'!E624</f>
        <v>0</v>
      </c>
      <c r="AR158">
        <f>'Alt scen Calcs'!F624</f>
        <v>0</v>
      </c>
      <c r="AS158">
        <f>'Alt scen Calcs'!G624</f>
        <v>0</v>
      </c>
      <c r="AT158">
        <f>'Alt scen Calcs'!H624</f>
        <v>0</v>
      </c>
      <c r="AU158">
        <f>'Alt scen Calcs'!I624</f>
        <v>0</v>
      </c>
      <c r="AV158">
        <f>'Alt scen Calcs'!J624</f>
        <v>0</v>
      </c>
      <c r="AW158">
        <f>'Alt scen Calcs'!K624</f>
        <v>0</v>
      </c>
      <c r="AX158">
        <f>'Alt scen Calcs'!L624</f>
        <v>0</v>
      </c>
      <c r="AY158">
        <f>'Alt scen Calcs'!M624</f>
        <v>0</v>
      </c>
      <c r="AZ158">
        <f>'Alt scen Calcs'!N624</f>
        <v>0</v>
      </c>
      <c r="BA158">
        <f>'Alt scen Calcs'!O624</f>
        <v>0</v>
      </c>
      <c r="BB158">
        <f>'Alt scen Calcs'!P624</f>
        <v>0</v>
      </c>
      <c r="BC158">
        <f>'Alt scen Calcs'!Q624</f>
        <v>0</v>
      </c>
      <c r="BD158">
        <f>'Alt scen Calcs'!R624</f>
        <v>0</v>
      </c>
      <c r="BE158">
        <f>'Alt scen Calcs'!S624</f>
        <v>0</v>
      </c>
      <c r="BF158">
        <f ca="1">'Alt scen Calcs'!T624</f>
        <v>0</v>
      </c>
      <c r="BG158">
        <f ca="1">'Alt scen Calcs'!U624</f>
        <v>0</v>
      </c>
      <c r="BH158">
        <f ca="1">'Alt scen Calcs'!V624</f>
        <v>0</v>
      </c>
      <c r="BI158">
        <f ca="1">'Alt scen Calcs'!W624</f>
        <v>0</v>
      </c>
      <c r="BJ158">
        <f ca="1">'Alt scen Calcs'!X624</f>
        <v>0</v>
      </c>
      <c r="BK158">
        <f ca="1">'Alt scen Calcs'!Y624</f>
        <v>0</v>
      </c>
      <c r="BL158">
        <f ca="1">'Alt scen Calcs'!Z624</f>
        <v>0</v>
      </c>
      <c r="BM158">
        <f ca="1">'Alt scen Calcs'!AA624</f>
        <v>0</v>
      </c>
      <c r="BN158">
        <f ca="1">'Alt scen Calcs'!AB624</f>
        <v>0</v>
      </c>
      <c r="BO158">
        <f ca="1">'Alt scen Calcs'!AC624</f>
        <v>0</v>
      </c>
    </row>
    <row r="159" spans="1:67">
      <c r="A159" t="str">
        <f t="shared" si="2"/>
        <v>IGCC</v>
      </c>
      <c r="B159">
        <f>'Ref scen Calcs'!D625</f>
        <v>0</v>
      </c>
      <c r="C159">
        <f>'Ref scen Calcs'!E625</f>
        <v>0</v>
      </c>
      <c r="D159">
        <f>'Ref scen Calcs'!F625</f>
        <v>0</v>
      </c>
      <c r="E159">
        <f>'Ref scen Calcs'!G625</f>
        <v>0</v>
      </c>
      <c r="F159">
        <f>'Ref scen Calcs'!H625</f>
        <v>0</v>
      </c>
      <c r="G159">
        <f>'Ref scen Calcs'!I625</f>
        <v>0</v>
      </c>
      <c r="H159">
        <f>'Ref scen Calcs'!J625</f>
        <v>0</v>
      </c>
      <c r="I159">
        <f>'Ref scen Calcs'!K625</f>
        <v>0</v>
      </c>
      <c r="J159">
        <f>'Ref scen Calcs'!L625</f>
        <v>0</v>
      </c>
      <c r="K159">
        <f>'Ref scen Calcs'!M625</f>
        <v>0</v>
      </c>
      <c r="L159">
        <f>'Ref scen Calcs'!N625</f>
        <v>0</v>
      </c>
      <c r="M159">
        <f>'Ref scen Calcs'!O625</f>
        <v>0</v>
      </c>
      <c r="N159">
        <f>'Ref scen Calcs'!P625</f>
        <v>0</v>
      </c>
      <c r="O159">
        <f>'Ref scen Calcs'!Q625</f>
        <v>0</v>
      </c>
      <c r="P159">
        <f>'Ref scen Calcs'!R625</f>
        <v>0</v>
      </c>
      <c r="Q159">
        <f>'Ref scen Calcs'!S625</f>
        <v>0</v>
      </c>
      <c r="R159">
        <f ca="1">'Ref scen Calcs'!T625</f>
        <v>0</v>
      </c>
      <c r="S159">
        <f ca="1">'Ref scen Calcs'!U625</f>
        <v>0</v>
      </c>
      <c r="T159">
        <f ca="1">'Ref scen Calcs'!V625</f>
        <v>0</v>
      </c>
      <c r="U159">
        <f ca="1">'Ref scen Calcs'!W625</f>
        <v>0</v>
      </c>
      <c r="V159">
        <f ca="1">'Ref scen Calcs'!X625</f>
        <v>0</v>
      </c>
      <c r="W159">
        <f ca="1">'Ref scen Calcs'!Y625</f>
        <v>0</v>
      </c>
      <c r="X159">
        <f ca="1">'Ref scen Calcs'!Z625</f>
        <v>0</v>
      </c>
      <c r="Y159">
        <f ca="1">'Ref scen Calcs'!AA625</f>
        <v>0</v>
      </c>
      <c r="Z159">
        <f ca="1">'Ref scen Calcs'!AB625</f>
        <v>0</v>
      </c>
      <c r="AA159">
        <f ca="1">'Ref scen Calcs'!AC625</f>
        <v>0</v>
      </c>
      <c r="AP159">
        <f>'Alt scen Calcs'!D625</f>
        <v>0</v>
      </c>
      <c r="AQ159">
        <f>'Alt scen Calcs'!E625</f>
        <v>0</v>
      </c>
      <c r="AR159">
        <f>'Alt scen Calcs'!F625</f>
        <v>0</v>
      </c>
      <c r="AS159">
        <f>'Alt scen Calcs'!G625</f>
        <v>0</v>
      </c>
      <c r="AT159">
        <f>'Alt scen Calcs'!H625</f>
        <v>0</v>
      </c>
      <c r="AU159">
        <f>'Alt scen Calcs'!I625</f>
        <v>0</v>
      </c>
      <c r="AV159">
        <f>'Alt scen Calcs'!J625</f>
        <v>0</v>
      </c>
      <c r="AW159">
        <f>'Alt scen Calcs'!K625</f>
        <v>0</v>
      </c>
      <c r="AX159">
        <f>'Alt scen Calcs'!L625</f>
        <v>0</v>
      </c>
      <c r="AY159">
        <f>'Alt scen Calcs'!M625</f>
        <v>0</v>
      </c>
      <c r="AZ159">
        <f>'Alt scen Calcs'!N625</f>
        <v>0</v>
      </c>
      <c r="BA159">
        <f>'Alt scen Calcs'!O625</f>
        <v>0</v>
      </c>
      <c r="BB159">
        <f>'Alt scen Calcs'!P625</f>
        <v>0</v>
      </c>
      <c r="BC159">
        <f>'Alt scen Calcs'!Q625</f>
        <v>0</v>
      </c>
      <c r="BD159">
        <f>'Alt scen Calcs'!R625</f>
        <v>0</v>
      </c>
      <c r="BE159">
        <f>'Alt scen Calcs'!S625</f>
        <v>0</v>
      </c>
      <c r="BF159">
        <f ca="1">'Alt scen Calcs'!T625</f>
        <v>0</v>
      </c>
      <c r="BG159">
        <f ca="1">'Alt scen Calcs'!U625</f>
        <v>541.98332188943368</v>
      </c>
      <c r="BH159">
        <f ca="1">'Alt scen Calcs'!V625</f>
        <v>1138.1649759678107</v>
      </c>
      <c r="BI159">
        <f ca="1">'Alt scen Calcs'!W625</f>
        <v>1197.7831413756485</v>
      </c>
      <c r="BJ159">
        <f ca="1">'Alt scen Calcs'!X625</f>
        <v>1848.7051109648582</v>
      </c>
      <c r="BK159">
        <f ca="1">'Alt scen Calcs'!Y625</f>
        <v>3594.4875891029128</v>
      </c>
      <c r="BL159">
        <f ca="1">'Alt scen Calcs'!Z625</f>
        <v>5612.4053129948707</v>
      </c>
      <c r="BM159">
        <f ca="1">'Alt scen Calcs'!AA625</f>
        <v>7539.4438154557301</v>
      </c>
      <c r="BN159">
        <f ca="1">'Alt scen Calcs'!AB625</f>
        <v>4274.4224678961855</v>
      </c>
      <c r="BO159">
        <f ca="1">'Alt scen Calcs'!AC625</f>
        <v>0</v>
      </c>
    </row>
    <row r="160" spans="1:67">
      <c r="A160" t="str">
        <f t="shared" si="2"/>
        <v>-</v>
      </c>
      <c r="B160">
        <f>'Ref scen Calcs'!D626</f>
        <v>0</v>
      </c>
      <c r="C160">
        <f>'Ref scen Calcs'!E626</f>
        <v>0</v>
      </c>
      <c r="D160">
        <f>'Ref scen Calcs'!F626</f>
        <v>0</v>
      </c>
      <c r="E160">
        <f>'Ref scen Calcs'!G626</f>
        <v>0</v>
      </c>
      <c r="F160">
        <f>'Ref scen Calcs'!H626</f>
        <v>0</v>
      </c>
      <c r="G160">
        <f>'Ref scen Calcs'!I626</f>
        <v>0</v>
      </c>
      <c r="H160">
        <f>'Ref scen Calcs'!J626</f>
        <v>0</v>
      </c>
      <c r="I160">
        <f>'Ref scen Calcs'!K626</f>
        <v>0</v>
      </c>
      <c r="J160">
        <f>'Ref scen Calcs'!L626</f>
        <v>0</v>
      </c>
      <c r="K160">
        <f>'Ref scen Calcs'!M626</f>
        <v>0</v>
      </c>
      <c r="L160">
        <f>'Ref scen Calcs'!N626</f>
        <v>0</v>
      </c>
      <c r="M160">
        <f>'Ref scen Calcs'!O626</f>
        <v>0</v>
      </c>
      <c r="N160">
        <f>'Ref scen Calcs'!P626</f>
        <v>0</v>
      </c>
      <c r="O160">
        <f>'Ref scen Calcs'!Q626</f>
        <v>0</v>
      </c>
      <c r="P160">
        <f>'Ref scen Calcs'!R626</f>
        <v>0</v>
      </c>
      <c r="Q160">
        <f>'Ref scen Calcs'!S626</f>
        <v>0</v>
      </c>
      <c r="R160">
        <f ca="1">'Ref scen Calcs'!T626</f>
        <v>0</v>
      </c>
      <c r="S160">
        <f ca="1">'Ref scen Calcs'!U626</f>
        <v>0</v>
      </c>
      <c r="T160">
        <f ca="1">'Ref scen Calcs'!V626</f>
        <v>0</v>
      </c>
      <c r="U160">
        <f ca="1">'Ref scen Calcs'!W626</f>
        <v>0</v>
      </c>
      <c r="V160">
        <f ca="1">'Ref scen Calcs'!X626</f>
        <v>0</v>
      </c>
      <c r="W160">
        <f ca="1">'Ref scen Calcs'!Y626</f>
        <v>0</v>
      </c>
      <c r="X160">
        <f ca="1">'Ref scen Calcs'!Z626</f>
        <v>0</v>
      </c>
      <c r="Y160">
        <f ca="1">'Ref scen Calcs'!AA626</f>
        <v>0</v>
      </c>
      <c r="Z160">
        <f ca="1">'Ref scen Calcs'!AB626</f>
        <v>0</v>
      </c>
      <c r="AA160">
        <f ca="1">'Ref scen Calcs'!AC626</f>
        <v>0</v>
      </c>
      <c r="AP160">
        <f>'Alt scen Calcs'!D626</f>
        <v>0</v>
      </c>
      <c r="AQ160">
        <f>'Alt scen Calcs'!E626</f>
        <v>0</v>
      </c>
      <c r="AR160">
        <f>'Alt scen Calcs'!F626</f>
        <v>0</v>
      </c>
      <c r="AS160">
        <f>'Alt scen Calcs'!G626</f>
        <v>0</v>
      </c>
      <c r="AT160">
        <f>'Alt scen Calcs'!H626</f>
        <v>0</v>
      </c>
      <c r="AU160">
        <f>'Alt scen Calcs'!I626</f>
        <v>0</v>
      </c>
      <c r="AV160">
        <f>'Alt scen Calcs'!J626</f>
        <v>0</v>
      </c>
      <c r="AW160">
        <f>'Alt scen Calcs'!K626</f>
        <v>0</v>
      </c>
      <c r="AX160">
        <f>'Alt scen Calcs'!L626</f>
        <v>0</v>
      </c>
      <c r="AY160">
        <f>'Alt scen Calcs'!M626</f>
        <v>0</v>
      </c>
      <c r="AZ160">
        <f>'Alt scen Calcs'!N626</f>
        <v>0</v>
      </c>
      <c r="BA160">
        <f>'Alt scen Calcs'!O626</f>
        <v>0</v>
      </c>
      <c r="BB160">
        <f>'Alt scen Calcs'!P626</f>
        <v>0</v>
      </c>
      <c r="BC160">
        <f>'Alt scen Calcs'!Q626</f>
        <v>0</v>
      </c>
      <c r="BD160">
        <f>'Alt scen Calcs'!R626</f>
        <v>0</v>
      </c>
      <c r="BE160">
        <f>'Alt scen Calcs'!S626</f>
        <v>0</v>
      </c>
      <c r="BF160">
        <f ca="1">'Alt scen Calcs'!T626</f>
        <v>0</v>
      </c>
      <c r="BG160">
        <f ca="1">'Alt scen Calcs'!U626</f>
        <v>0</v>
      </c>
      <c r="BH160">
        <f ca="1">'Alt scen Calcs'!V626</f>
        <v>0</v>
      </c>
      <c r="BI160">
        <f ca="1">'Alt scen Calcs'!W626</f>
        <v>0</v>
      </c>
      <c r="BJ160">
        <f ca="1">'Alt scen Calcs'!X626</f>
        <v>0</v>
      </c>
      <c r="BK160">
        <f ca="1">'Alt scen Calcs'!Y626</f>
        <v>0</v>
      </c>
      <c r="BL160">
        <f ca="1">'Alt scen Calcs'!Z626</f>
        <v>0</v>
      </c>
      <c r="BM160">
        <f ca="1">'Alt scen Calcs'!AA626</f>
        <v>0</v>
      </c>
      <c r="BN160">
        <f ca="1">'Alt scen Calcs'!AB626</f>
        <v>0</v>
      </c>
      <c r="BO160">
        <f ca="1">'Alt scen Calcs'!AC626</f>
        <v>0</v>
      </c>
    </row>
    <row r="161" spans="1:110">
      <c r="A161" t="str">
        <f t="shared" si="2"/>
        <v>-</v>
      </c>
      <c r="B161">
        <f>'Ref scen Calcs'!D627</f>
        <v>0</v>
      </c>
      <c r="C161">
        <f>'Ref scen Calcs'!E627</f>
        <v>0</v>
      </c>
      <c r="D161">
        <f>'Ref scen Calcs'!F627</f>
        <v>0</v>
      </c>
      <c r="E161">
        <f>'Ref scen Calcs'!G627</f>
        <v>0</v>
      </c>
      <c r="F161">
        <f>'Ref scen Calcs'!H627</f>
        <v>0</v>
      </c>
      <c r="G161">
        <f>'Ref scen Calcs'!I627</f>
        <v>0</v>
      </c>
      <c r="H161">
        <f>'Ref scen Calcs'!J627</f>
        <v>0</v>
      </c>
      <c r="I161">
        <f>'Ref scen Calcs'!K627</f>
        <v>0</v>
      </c>
      <c r="J161">
        <f>'Ref scen Calcs'!L627</f>
        <v>0</v>
      </c>
      <c r="K161">
        <f>'Ref scen Calcs'!M627</f>
        <v>0</v>
      </c>
      <c r="L161">
        <f>'Ref scen Calcs'!N627</f>
        <v>0</v>
      </c>
      <c r="M161">
        <f>'Ref scen Calcs'!O627</f>
        <v>0</v>
      </c>
      <c r="N161">
        <f>'Ref scen Calcs'!P627</f>
        <v>0</v>
      </c>
      <c r="O161">
        <f>'Ref scen Calcs'!Q627</f>
        <v>0</v>
      </c>
      <c r="P161">
        <f>'Ref scen Calcs'!R627</f>
        <v>0</v>
      </c>
      <c r="Q161">
        <f>'Ref scen Calcs'!S627</f>
        <v>0</v>
      </c>
      <c r="R161">
        <f ca="1">'Ref scen Calcs'!T627</f>
        <v>0</v>
      </c>
      <c r="S161">
        <f ca="1">'Ref scen Calcs'!U627</f>
        <v>0</v>
      </c>
      <c r="T161">
        <f ca="1">'Ref scen Calcs'!V627</f>
        <v>0</v>
      </c>
      <c r="U161">
        <f ca="1">'Ref scen Calcs'!W627</f>
        <v>0</v>
      </c>
      <c r="V161">
        <f ca="1">'Ref scen Calcs'!X627</f>
        <v>0</v>
      </c>
      <c r="W161">
        <f ca="1">'Ref scen Calcs'!Y627</f>
        <v>0</v>
      </c>
      <c r="X161">
        <f ca="1">'Ref scen Calcs'!Z627</f>
        <v>0</v>
      </c>
      <c r="Y161">
        <f ca="1">'Ref scen Calcs'!AA627</f>
        <v>0</v>
      </c>
      <c r="Z161">
        <f ca="1">'Ref scen Calcs'!AB627</f>
        <v>0</v>
      </c>
      <c r="AA161">
        <f ca="1">'Ref scen Calcs'!AC627</f>
        <v>0</v>
      </c>
      <c r="AP161">
        <f>'Alt scen Calcs'!D627</f>
        <v>0</v>
      </c>
      <c r="AQ161">
        <f>'Alt scen Calcs'!E627</f>
        <v>0</v>
      </c>
      <c r="AR161">
        <f>'Alt scen Calcs'!F627</f>
        <v>0</v>
      </c>
      <c r="AS161">
        <f>'Alt scen Calcs'!G627</f>
        <v>0</v>
      </c>
      <c r="AT161">
        <f>'Alt scen Calcs'!H627</f>
        <v>0</v>
      </c>
      <c r="AU161">
        <f>'Alt scen Calcs'!I627</f>
        <v>0</v>
      </c>
      <c r="AV161">
        <f>'Alt scen Calcs'!J627</f>
        <v>0</v>
      </c>
      <c r="AW161">
        <f>'Alt scen Calcs'!K627</f>
        <v>0</v>
      </c>
      <c r="AX161">
        <f>'Alt scen Calcs'!L627</f>
        <v>0</v>
      </c>
      <c r="AY161">
        <f>'Alt scen Calcs'!M627</f>
        <v>0</v>
      </c>
      <c r="AZ161">
        <f>'Alt scen Calcs'!N627</f>
        <v>0</v>
      </c>
      <c r="BA161">
        <f>'Alt scen Calcs'!O627</f>
        <v>0</v>
      </c>
      <c r="BB161">
        <f>'Alt scen Calcs'!P627</f>
        <v>0</v>
      </c>
      <c r="BC161">
        <f>'Alt scen Calcs'!Q627</f>
        <v>0</v>
      </c>
      <c r="BD161">
        <f>'Alt scen Calcs'!R627</f>
        <v>0</v>
      </c>
      <c r="BE161">
        <f>'Alt scen Calcs'!S627</f>
        <v>0</v>
      </c>
      <c r="BF161">
        <f ca="1">'Alt scen Calcs'!T627</f>
        <v>0</v>
      </c>
      <c r="BG161">
        <f ca="1">'Alt scen Calcs'!U627</f>
        <v>0</v>
      </c>
      <c r="BH161">
        <f ca="1">'Alt scen Calcs'!V627</f>
        <v>0</v>
      </c>
      <c r="BI161">
        <f ca="1">'Alt scen Calcs'!W627</f>
        <v>0</v>
      </c>
      <c r="BJ161">
        <f ca="1">'Alt scen Calcs'!X627</f>
        <v>0</v>
      </c>
      <c r="BK161">
        <f ca="1">'Alt scen Calcs'!Y627</f>
        <v>0</v>
      </c>
      <c r="BL161">
        <f ca="1">'Alt scen Calcs'!Z627</f>
        <v>0</v>
      </c>
      <c r="BM161">
        <f ca="1">'Alt scen Calcs'!AA627</f>
        <v>0</v>
      </c>
      <c r="BN161">
        <f ca="1">'Alt scen Calcs'!AB627</f>
        <v>0</v>
      </c>
      <c r="BO161">
        <f ca="1">'Alt scen Calcs'!AC627</f>
        <v>0</v>
      </c>
    </row>
    <row r="162" spans="1:110">
      <c r="A162" t="str">
        <f t="shared" si="2"/>
        <v>-</v>
      </c>
      <c r="B162">
        <f>'Ref scen Calcs'!D628</f>
        <v>0</v>
      </c>
      <c r="C162">
        <f>'Ref scen Calcs'!E628</f>
        <v>0</v>
      </c>
      <c r="D162">
        <f>'Ref scen Calcs'!F628</f>
        <v>0</v>
      </c>
      <c r="E162">
        <f>'Ref scen Calcs'!G628</f>
        <v>0</v>
      </c>
      <c r="F162">
        <f>'Ref scen Calcs'!H628</f>
        <v>0</v>
      </c>
      <c r="G162">
        <f>'Ref scen Calcs'!I628</f>
        <v>0</v>
      </c>
      <c r="H162">
        <f>'Ref scen Calcs'!J628</f>
        <v>0</v>
      </c>
      <c r="I162">
        <f>'Ref scen Calcs'!K628</f>
        <v>0</v>
      </c>
      <c r="J162">
        <f>'Ref scen Calcs'!L628</f>
        <v>0</v>
      </c>
      <c r="K162">
        <f>'Ref scen Calcs'!M628</f>
        <v>0</v>
      </c>
      <c r="L162">
        <f>'Ref scen Calcs'!N628</f>
        <v>0</v>
      </c>
      <c r="M162">
        <f>'Ref scen Calcs'!O628</f>
        <v>0</v>
      </c>
      <c r="N162">
        <f>'Ref scen Calcs'!P628</f>
        <v>0</v>
      </c>
      <c r="O162">
        <f>'Ref scen Calcs'!Q628</f>
        <v>0</v>
      </c>
      <c r="P162">
        <f>'Ref scen Calcs'!R628</f>
        <v>0</v>
      </c>
      <c r="Q162">
        <f>'Ref scen Calcs'!S628</f>
        <v>0</v>
      </c>
      <c r="R162">
        <f ca="1">'Ref scen Calcs'!T628</f>
        <v>0</v>
      </c>
      <c r="S162">
        <f ca="1">'Ref scen Calcs'!U628</f>
        <v>0</v>
      </c>
      <c r="T162">
        <f ca="1">'Ref scen Calcs'!V628</f>
        <v>0</v>
      </c>
      <c r="U162">
        <f ca="1">'Ref scen Calcs'!W628</f>
        <v>0</v>
      </c>
      <c r="V162">
        <f ca="1">'Ref scen Calcs'!X628</f>
        <v>0</v>
      </c>
      <c r="W162">
        <f ca="1">'Ref scen Calcs'!Y628</f>
        <v>0</v>
      </c>
      <c r="X162">
        <f ca="1">'Ref scen Calcs'!Z628</f>
        <v>0</v>
      </c>
      <c r="Y162">
        <f ca="1">'Ref scen Calcs'!AA628</f>
        <v>0</v>
      </c>
      <c r="Z162">
        <f ca="1">'Ref scen Calcs'!AB628</f>
        <v>0</v>
      </c>
      <c r="AA162">
        <f ca="1">'Ref scen Calcs'!AC628</f>
        <v>0</v>
      </c>
      <c r="AP162">
        <f>'Alt scen Calcs'!D628</f>
        <v>0</v>
      </c>
      <c r="AQ162">
        <f>'Alt scen Calcs'!E628</f>
        <v>0</v>
      </c>
      <c r="AR162">
        <f>'Alt scen Calcs'!F628</f>
        <v>0</v>
      </c>
      <c r="AS162">
        <f>'Alt scen Calcs'!G628</f>
        <v>0</v>
      </c>
      <c r="AT162">
        <f>'Alt scen Calcs'!H628</f>
        <v>0</v>
      </c>
      <c r="AU162">
        <f>'Alt scen Calcs'!I628</f>
        <v>0</v>
      </c>
      <c r="AV162">
        <f>'Alt scen Calcs'!J628</f>
        <v>0</v>
      </c>
      <c r="AW162">
        <f>'Alt scen Calcs'!K628</f>
        <v>0</v>
      </c>
      <c r="AX162">
        <f>'Alt scen Calcs'!L628</f>
        <v>0</v>
      </c>
      <c r="AY162">
        <f>'Alt scen Calcs'!M628</f>
        <v>0</v>
      </c>
      <c r="AZ162">
        <f>'Alt scen Calcs'!N628</f>
        <v>0</v>
      </c>
      <c r="BA162">
        <f>'Alt scen Calcs'!O628</f>
        <v>0</v>
      </c>
      <c r="BB162">
        <f>'Alt scen Calcs'!P628</f>
        <v>0</v>
      </c>
      <c r="BC162">
        <f>'Alt scen Calcs'!Q628</f>
        <v>0</v>
      </c>
      <c r="BD162">
        <f>'Alt scen Calcs'!R628</f>
        <v>0</v>
      </c>
      <c r="BE162">
        <f>'Alt scen Calcs'!S628</f>
        <v>0</v>
      </c>
      <c r="BF162">
        <f ca="1">'Alt scen Calcs'!T628</f>
        <v>0</v>
      </c>
      <c r="BG162">
        <f ca="1">'Alt scen Calcs'!U628</f>
        <v>0</v>
      </c>
      <c r="BH162">
        <f ca="1">'Alt scen Calcs'!V628</f>
        <v>0</v>
      </c>
      <c r="BI162">
        <f ca="1">'Alt scen Calcs'!W628</f>
        <v>0</v>
      </c>
      <c r="BJ162">
        <f ca="1">'Alt scen Calcs'!X628</f>
        <v>0</v>
      </c>
      <c r="BK162">
        <f ca="1">'Alt scen Calcs'!Y628</f>
        <v>0</v>
      </c>
      <c r="BL162">
        <f ca="1">'Alt scen Calcs'!Z628</f>
        <v>0</v>
      </c>
      <c r="BM162">
        <f ca="1">'Alt scen Calcs'!AA628</f>
        <v>0</v>
      </c>
      <c r="BN162">
        <f ca="1">'Alt scen Calcs'!AB628</f>
        <v>0</v>
      </c>
      <c r="BO162">
        <f ca="1">'Alt scen Calcs'!AC628</f>
        <v>0</v>
      </c>
    </row>
    <row r="163" spans="1:110">
      <c r="A163" t="str">
        <f t="shared" si="2"/>
        <v>Pumped storage</v>
      </c>
      <c r="B163">
        <f>'Ref scen Calcs'!D629</f>
        <v>1152.7675173263508</v>
      </c>
      <c r="C163">
        <f>'Ref scen Calcs'!E629</f>
        <v>1268.0442690589857</v>
      </c>
      <c r="D163">
        <f>'Ref scen Calcs'!F629</f>
        <v>1551.6878139684695</v>
      </c>
      <c r="E163">
        <f>'Ref scen Calcs'!G629</f>
        <v>1863.6957133689016</v>
      </c>
      <c r="F163">
        <f>'Ref scen Calcs'!H629</f>
        <v>2050.0652847057918</v>
      </c>
      <c r="G163">
        <f>'Ref scen Calcs'!I629</f>
        <v>2255.0718131763715</v>
      </c>
      <c r="H163">
        <f>'Ref scen Calcs'!J629</f>
        <v>2480.5789944940079</v>
      </c>
      <c r="I163">
        <f>'Ref scen Calcs'!K629</f>
        <v>2728.6368939434087</v>
      </c>
      <c r="J163">
        <f>'Ref scen Calcs'!L629</f>
        <v>1429.2859920655951</v>
      </c>
      <c r="K163">
        <f>'Ref scen Calcs'!M629</f>
        <v>0</v>
      </c>
      <c r="L163">
        <f>'Ref scen Calcs'!N629</f>
        <v>0</v>
      </c>
      <c r="M163">
        <f>'Ref scen Calcs'!O629</f>
        <v>0</v>
      </c>
      <c r="N163">
        <f>'Ref scen Calcs'!P629</f>
        <v>0</v>
      </c>
      <c r="O163">
        <f>'Ref scen Calcs'!Q629</f>
        <v>0</v>
      </c>
      <c r="P163">
        <f>'Ref scen Calcs'!R629</f>
        <v>0</v>
      </c>
      <c r="Q163">
        <f>'Ref scen Calcs'!S629</f>
        <v>0</v>
      </c>
      <c r="R163">
        <f ca="1">'Ref scen Calcs'!T629</f>
        <v>0</v>
      </c>
      <c r="S163">
        <f ca="1">'Ref scen Calcs'!U629</f>
        <v>0</v>
      </c>
      <c r="T163">
        <f ca="1">'Ref scen Calcs'!V629</f>
        <v>0</v>
      </c>
      <c r="U163">
        <f ca="1">'Ref scen Calcs'!W629</f>
        <v>0</v>
      </c>
      <c r="V163">
        <f ca="1">'Ref scen Calcs'!X629</f>
        <v>0</v>
      </c>
      <c r="W163">
        <f ca="1">'Ref scen Calcs'!Y629</f>
        <v>0</v>
      </c>
      <c r="X163">
        <f ca="1">'Ref scen Calcs'!Z629</f>
        <v>0</v>
      </c>
      <c r="Y163">
        <f ca="1">'Ref scen Calcs'!AA629</f>
        <v>0</v>
      </c>
      <c r="Z163">
        <f ca="1">'Ref scen Calcs'!AB629</f>
        <v>0</v>
      </c>
      <c r="AA163">
        <f ca="1">'Ref scen Calcs'!AC629</f>
        <v>0</v>
      </c>
      <c r="AP163">
        <f>'Alt scen Calcs'!D629</f>
        <v>1152.7675173263508</v>
      </c>
      <c r="AQ163">
        <f>'Alt scen Calcs'!E629</f>
        <v>1816.9811820715338</v>
      </c>
      <c r="AR163">
        <f>'Alt scen Calcs'!F629</f>
        <v>2704.4553312948201</v>
      </c>
      <c r="AS163">
        <f>'Alt scen Calcs'!G629</f>
        <v>3131.7399824278873</v>
      </c>
      <c r="AT163">
        <f>'Alt scen Calcs'!H629</f>
        <v>3601.7530986742613</v>
      </c>
      <c r="AU163">
        <f>'Alt scen Calcs'!I629</f>
        <v>4118.7675265452726</v>
      </c>
      <c r="AV163">
        <f>'Alt scen Calcs'!J629</f>
        <v>4530.6442791997997</v>
      </c>
      <c r="AW163">
        <f>'Alt scen Calcs'!K629</f>
        <v>4983.7087071197802</v>
      </c>
      <c r="AX163">
        <f>'Alt scen Calcs'!L629</f>
        <v>3909.8649865596035</v>
      </c>
      <c r="AY163">
        <f>'Alt scen Calcs'!M629</f>
        <v>2728.6368939434087</v>
      </c>
      <c r="AZ163">
        <f>'Alt scen Calcs'!N629</f>
        <v>1429.2859920655951</v>
      </c>
      <c r="BA163">
        <f>'Alt scen Calcs'!O629</f>
        <v>0</v>
      </c>
      <c r="BB163">
        <f>'Alt scen Calcs'!P629</f>
        <v>0</v>
      </c>
      <c r="BC163">
        <f>'Alt scen Calcs'!Q629</f>
        <v>0</v>
      </c>
      <c r="BD163">
        <f>'Alt scen Calcs'!R629</f>
        <v>0</v>
      </c>
      <c r="BE163">
        <f>'Alt scen Calcs'!S629</f>
        <v>0</v>
      </c>
      <c r="BF163">
        <f ca="1">'Alt scen Calcs'!T629</f>
        <v>0</v>
      </c>
      <c r="BG163">
        <f ca="1">'Alt scen Calcs'!U629</f>
        <v>0</v>
      </c>
      <c r="BH163">
        <f ca="1">'Alt scen Calcs'!V629</f>
        <v>0</v>
      </c>
      <c r="BI163">
        <f ca="1">'Alt scen Calcs'!W629</f>
        <v>0</v>
      </c>
      <c r="BJ163">
        <f ca="1">'Alt scen Calcs'!X629</f>
        <v>0</v>
      </c>
      <c r="BK163">
        <f ca="1">'Alt scen Calcs'!Y629</f>
        <v>0</v>
      </c>
      <c r="BL163">
        <f ca="1">'Alt scen Calcs'!Z629</f>
        <v>0</v>
      </c>
      <c r="BM163">
        <f ca="1">'Alt scen Calcs'!AA629</f>
        <v>0</v>
      </c>
      <c r="BN163">
        <f ca="1">'Alt scen Calcs'!AB629</f>
        <v>0</v>
      </c>
      <c r="BO163">
        <f ca="1">'Alt scen Calcs'!AC629</f>
        <v>0</v>
      </c>
    </row>
    <row r="164" spans="1:110">
      <c r="A164" s="11" t="s">
        <v>670</v>
      </c>
      <c r="B164">
        <f>'Elec Demand'!F75</f>
        <v>0</v>
      </c>
      <c r="C164">
        <f>'Elec Demand'!G75</f>
        <v>0</v>
      </c>
      <c r="D164">
        <f>'Elec Demand'!H75</f>
        <v>0</v>
      </c>
      <c r="E164">
        <f>'Elec Demand'!I75</f>
        <v>0</v>
      </c>
      <c r="F164">
        <f>'Elec Demand'!J75</f>
        <v>0</v>
      </c>
      <c r="G164">
        <f>'Elec Demand'!K75</f>
        <v>3351.7211896980557</v>
      </c>
      <c r="H164">
        <f>'Elec Demand'!L75</f>
        <v>3228.6179183161726</v>
      </c>
      <c r="I164">
        <f>'Elec Demand'!M75</f>
        <v>3105.514646934289</v>
      </c>
      <c r="J164">
        <f>'Elec Demand'!N75</f>
        <v>2982.4113755524058</v>
      </c>
      <c r="K164">
        <f>'Elec Demand'!O75</f>
        <v>2830.9943517526899</v>
      </c>
      <c r="L164">
        <f>'Elec Demand'!P75</f>
        <v>2679.5773279529726</v>
      </c>
      <c r="M164">
        <f>'Elec Demand'!Q75</f>
        <v>2596.8026882757945</v>
      </c>
      <c r="N164">
        <f>'Elec Demand'!R75</f>
        <v>2514.0280485986159</v>
      </c>
      <c r="O164">
        <f>'Elec Demand'!S75</f>
        <v>2431.2534089214378</v>
      </c>
      <c r="P164">
        <f>'Elec Demand'!T75</f>
        <v>2363.3782043861515</v>
      </c>
      <c r="Q164">
        <f>'Elec Demand'!U75</f>
        <v>4591.0059997017306</v>
      </c>
      <c r="R164">
        <f>'Elec Demand'!V75</f>
        <v>4455.2555906311582</v>
      </c>
      <c r="S164">
        <f>'Elec Demand'!W75</f>
        <v>4371.7690890527565</v>
      </c>
      <c r="T164">
        <f>'Elec Demand'!X75</f>
        <v>4288.2825874743539</v>
      </c>
      <c r="U164">
        <f>'Elec Demand'!Y75</f>
        <v>4204.7960858959523</v>
      </c>
      <c r="V164">
        <f>'Elec Demand'!Z75</f>
        <v>4121.3095843175506</v>
      </c>
      <c r="W164">
        <f>'Elec Demand'!AA75</f>
        <v>4121.3095843175506</v>
      </c>
      <c r="X164">
        <f>'Elec Demand'!AB75</f>
        <v>4121.3095843175506</v>
      </c>
      <c r="Y164">
        <f>'Elec Demand'!AC75</f>
        <v>4121.3095843175506</v>
      </c>
      <c r="Z164">
        <f>'Elec Demand'!AD75</f>
        <v>4121.3095843175506</v>
      </c>
      <c r="AA164">
        <f>'Elec Demand'!AE75</f>
        <v>4121.3095843175506</v>
      </c>
      <c r="AP164">
        <f>B164</f>
        <v>0</v>
      </c>
      <c r="AQ164">
        <f t="shared" ref="AQ164:BO164" si="3">C164</f>
        <v>0</v>
      </c>
      <c r="AR164">
        <f t="shared" si="3"/>
        <v>0</v>
      </c>
      <c r="AS164">
        <f t="shared" si="3"/>
        <v>0</v>
      </c>
      <c r="AT164">
        <f t="shared" si="3"/>
        <v>0</v>
      </c>
      <c r="AU164">
        <f t="shared" si="3"/>
        <v>3351.7211896980557</v>
      </c>
      <c r="AV164">
        <f t="shared" si="3"/>
        <v>3228.6179183161726</v>
      </c>
      <c r="AW164">
        <f t="shared" si="3"/>
        <v>3105.514646934289</v>
      </c>
      <c r="AX164">
        <f t="shared" si="3"/>
        <v>2982.4113755524058</v>
      </c>
      <c r="AY164">
        <f t="shared" si="3"/>
        <v>2830.9943517526899</v>
      </c>
      <c r="AZ164">
        <f t="shared" si="3"/>
        <v>2679.5773279529726</v>
      </c>
      <c r="BA164">
        <f t="shared" si="3"/>
        <v>2596.8026882757945</v>
      </c>
      <c r="BB164">
        <f t="shared" si="3"/>
        <v>2514.0280485986159</v>
      </c>
      <c r="BC164">
        <f t="shared" si="3"/>
        <v>2431.2534089214378</v>
      </c>
      <c r="BD164">
        <f t="shared" si="3"/>
        <v>2363.3782043861515</v>
      </c>
      <c r="BE164">
        <f t="shared" si="3"/>
        <v>4591.0059997017306</v>
      </c>
      <c r="BF164">
        <f t="shared" si="3"/>
        <v>4455.2555906311582</v>
      </c>
      <c r="BG164">
        <f t="shared" si="3"/>
        <v>4371.7690890527565</v>
      </c>
      <c r="BH164">
        <f t="shared" si="3"/>
        <v>4288.2825874743539</v>
      </c>
      <c r="BI164">
        <f t="shared" si="3"/>
        <v>4204.7960858959523</v>
      </c>
      <c r="BJ164">
        <f t="shared" si="3"/>
        <v>4121.3095843175506</v>
      </c>
      <c r="BK164">
        <f t="shared" si="3"/>
        <v>4121.3095843175506</v>
      </c>
      <c r="BL164">
        <f t="shared" si="3"/>
        <v>4121.3095843175506</v>
      </c>
      <c r="BM164">
        <f t="shared" si="3"/>
        <v>4121.3095843175506</v>
      </c>
      <c r="BN164">
        <f t="shared" si="3"/>
        <v>4121.3095843175506</v>
      </c>
      <c r="BO164">
        <f t="shared" si="3"/>
        <v>4121.3095843175506</v>
      </c>
    </row>
    <row r="172" spans="1:110">
      <c r="A172" s="4" t="s">
        <v>278</v>
      </c>
      <c r="G172" s="11" t="s">
        <v>272</v>
      </c>
      <c r="J172" t="str">
        <f>'Costs graphs'!AD1</f>
        <v>Existing coal Large</v>
      </c>
    </row>
    <row r="173" spans="1:110">
      <c r="A173" s="4"/>
      <c r="G173" s="11" t="s">
        <v>273</v>
      </c>
      <c r="J173" t="str">
        <f>'Costs graphs'!AD2</f>
        <v>Supercritical coal</v>
      </c>
      <c r="BZ173" s="11" t="s">
        <v>256</v>
      </c>
      <c r="CC173" t="str">
        <f>'Costs graphs'!AY122</f>
        <v>Existing coal Large</v>
      </c>
      <c r="CY173" s="11" t="s">
        <v>335</v>
      </c>
      <c r="DF173" s="11" t="s">
        <v>336</v>
      </c>
    </row>
    <row r="174" spans="1:110">
      <c r="A174" s="11" t="s">
        <v>272</v>
      </c>
      <c r="B174" s="4" t="s">
        <v>208</v>
      </c>
      <c r="AP174" s="4" t="s">
        <v>209</v>
      </c>
      <c r="BW174" s="4" t="s">
        <v>271</v>
      </c>
      <c r="BZ174" s="11" t="s">
        <v>280</v>
      </c>
      <c r="CC174" t="str">
        <f>"Reference "&amp;CC173</f>
        <v>Reference Existing coal Large</v>
      </c>
    </row>
    <row r="175" spans="1:110">
      <c r="B175" s="4">
        <v>2005</v>
      </c>
      <c r="C175" s="4">
        <v>2006</v>
      </c>
      <c r="D175" s="4">
        <v>2007</v>
      </c>
      <c r="E175" s="4">
        <v>2008</v>
      </c>
      <c r="F175" s="4">
        <v>2009</v>
      </c>
      <c r="G175" s="4">
        <v>2010</v>
      </c>
      <c r="H175" s="4">
        <v>2011</v>
      </c>
      <c r="I175" s="4">
        <v>2012</v>
      </c>
      <c r="J175" s="4">
        <v>2013</v>
      </c>
      <c r="K175" s="4">
        <v>2014</v>
      </c>
      <c r="L175" s="4">
        <v>2015</v>
      </c>
      <c r="M175" s="4">
        <v>2016</v>
      </c>
      <c r="N175" s="4">
        <v>2017</v>
      </c>
      <c r="O175" s="4">
        <v>2018</v>
      </c>
      <c r="P175" s="4">
        <v>2019</v>
      </c>
      <c r="Q175" s="4">
        <v>2020</v>
      </c>
      <c r="R175" s="4">
        <v>2021</v>
      </c>
      <c r="S175" s="4">
        <v>2022</v>
      </c>
      <c r="T175" s="4">
        <v>2023</v>
      </c>
      <c r="U175" s="4">
        <v>2024</v>
      </c>
      <c r="V175" s="4">
        <v>2025</v>
      </c>
      <c r="W175" s="4">
        <v>2026</v>
      </c>
      <c r="X175" s="4">
        <v>2027</v>
      </c>
      <c r="Y175" s="4">
        <v>2028</v>
      </c>
      <c r="Z175" s="4">
        <v>2029</v>
      </c>
      <c r="AA175" s="4">
        <v>2030</v>
      </c>
      <c r="AP175" s="4">
        <v>2005</v>
      </c>
      <c r="AQ175" s="4">
        <v>2006</v>
      </c>
      <c r="AR175" s="4">
        <v>2007</v>
      </c>
      <c r="AS175" s="4">
        <v>2008</v>
      </c>
      <c r="AT175" s="4">
        <v>2009</v>
      </c>
      <c r="AU175" s="4">
        <v>2010</v>
      </c>
      <c r="AV175" s="4">
        <v>2011</v>
      </c>
      <c r="AW175" s="4">
        <v>2012</v>
      </c>
      <c r="AX175" s="4">
        <v>2013</v>
      </c>
      <c r="AY175" s="4">
        <v>2014</v>
      </c>
      <c r="AZ175" s="4">
        <v>2015</v>
      </c>
      <c r="BA175" s="4">
        <v>2016</v>
      </c>
      <c r="BB175" s="4">
        <v>2017</v>
      </c>
      <c r="BC175" s="4">
        <v>2018</v>
      </c>
      <c r="BD175" s="4">
        <v>2019</v>
      </c>
      <c r="BE175" s="4">
        <v>2020</v>
      </c>
      <c r="BF175" s="4">
        <v>2021</v>
      </c>
      <c r="BG175" s="4">
        <v>2022</v>
      </c>
      <c r="BH175" s="4">
        <v>2023</v>
      </c>
      <c r="BI175" s="4">
        <v>2024</v>
      </c>
      <c r="BJ175" s="4">
        <v>2025</v>
      </c>
      <c r="BK175" s="4">
        <v>2026</v>
      </c>
      <c r="BL175" s="4">
        <v>2027</v>
      </c>
      <c r="BM175" s="4">
        <v>2028</v>
      </c>
      <c r="BN175" s="4">
        <v>2029</v>
      </c>
      <c r="BO175" s="4">
        <v>2030</v>
      </c>
      <c r="BW175" s="4">
        <v>2005</v>
      </c>
      <c r="BX175" s="4">
        <v>2006</v>
      </c>
      <c r="BY175" s="4">
        <v>2007</v>
      </c>
      <c r="BZ175" s="4">
        <v>2008</v>
      </c>
      <c r="CA175" s="4">
        <v>2009</v>
      </c>
      <c r="CB175" s="4">
        <v>2010</v>
      </c>
      <c r="CC175" s="4">
        <v>2011</v>
      </c>
      <c r="CD175" s="4">
        <v>2012</v>
      </c>
      <c r="CE175" s="4">
        <v>2013</v>
      </c>
      <c r="CF175" s="4">
        <v>2014</v>
      </c>
      <c r="CG175" s="4">
        <v>2015</v>
      </c>
      <c r="CH175" s="4">
        <v>2016</v>
      </c>
      <c r="CI175" s="4">
        <v>2017</v>
      </c>
      <c r="CJ175" s="4">
        <v>2018</v>
      </c>
      <c r="CK175" s="4">
        <v>2019</v>
      </c>
      <c r="CL175" s="4">
        <v>2020</v>
      </c>
      <c r="CM175" s="4">
        <v>2021</v>
      </c>
      <c r="CN175" s="4">
        <v>2022</v>
      </c>
      <c r="CO175" s="4">
        <v>2023</v>
      </c>
      <c r="CP175" s="4">
        <v>2024</v>
      </c>
      <c r="CQ175" s="4">
        <v>2025</v>
      </c>
      <c r="CR175" s="4">
        <v>2026</v>
      </c>
      <c r="CS175" s="4">
        <v>2027</v>
      </c>
      <c r="CT175" s="4">
        <v>2028</v>
      </c>
      <c r="CU175" s="4">
        <v>2029</v>
      </c>
      <c r="CV175" s="4">
        <v>2030</v>
      </c>
    </row>
    <row r="176" spans="1:110">
      <c r="A176" t="str">
        <f>'Ref scen Calcs'!C660</f>
        <v>Annualised capital cost</v>
      </c>
      <c r="B176">
        <f ca="1">'Ref scen Calcs'!D660</f>
        <v>0</v>
      </c>
      <c r="C176">
        <f ca="1">'Ref scen Calcs'!E660</f>
        <v>0</v>
      </c>
      <c r="D176">
        <f ca="1">'Ref scen Calcs'!F660</f>
        <v>0</v>
      </c>
      <c r="E176">
        <f ca="1">'Ref scen Calcs'!G660</f>
        <v>0</v>
      </c>
      <c r="F176">
        <f ca="1">'Ref scen Calcs'!H660</f>
        <v>0</v>
      </c>
      <c r="G176">
        <f ca="1">'Ref scen Calcs'!I660</f>
        <v>0</v>
      </c>
      <c r="H176">
        <f ca="1">'Ref scen Calcs'!J660</f>
        <v>0</v>
      </c>
      <c r="I176">
        <f ca="1">'Ref scen Calcs'!K660</f>
        <v>0</v>
      </c>
      <c r="J176">
        <f ca="1">'Ref scen Calcs'!L660</f>
        <v>0</v>
      </c>
      <c r="K176">
        <f ca="1">'Ref scen Calcs'!M660</f>
        <v>0</v>
      </c>
      <c r="L176">
        <f ca="1">'Ref scen Calcs'!N660</f>
        <v>0</v>
      </c>
      <c r="M176">
        <f ca="1">'Ref scen Calcs'!O660</f>
        <v>0</v>
      </c>
      <c r="N176">
        <f ca="1">'Ref scen Calcs'!P660</f>
        <v>0</v>
      </c>
      <c r="O176">
        <f ca="1">'Ref scen Calcs'!Q660</f>
        <v>0</v>
      </c>
      <c r="P176">
        <f ca="1">'Ref scen Calcs'!R660</f>
        <v>0</v>
      </c>
      <c r="Q176">
        <f ca="1">'Ref scen Calcs'!S660</f>
        <v>0</v>
      </c>
      <c r="R176">
        <f ca="1">'Ref scen Calcs'!T660</f>
        <v>0</v>
      </c>
      <c r="S176">
        <f ca="1">'Ref scen Calcs'!U660</f>
        <v>0</v>
      </c>
      <c r="T176">
        <f ca="1">'Ref scen Calcs'!V660</f>
        <v>0</v>
      </c>
      <c r="U176">
        <f ca="1">'Ref scen Calcs'!W660</f>
        <v>0</v>
      </c>
      <c r="V176">
        <f ca="1">'Ref scen Calcs'!X660</f>
        <v>0</v>
      </c>
      <c r="W176">
        <f ca="1">'Ref scen Calcs'!Y660</f>
        <v>0</v>
      </c>
      <c r="X176">
        <f ca="1">'Ref scen Calcs'!Z660</f>
        <v>0</v>
      </c>
      <c r="Y176">
        <f ca="1">'Ref scen Calcs'!AA660</f>
        <v>0</v>
      </c>
      <c r="Z176">
        <f ca="1">'Ref scen Calcs'!AB660</f>
        <v>0</v>
      </c>
      <c r="AA176">
        <f ca="1">'Ref scen Calcs'!AC660</f>
        <v>0</v>
      </c>
      <c r="AP176" s="11">
        <f ca="1">'Alt scen Calcs'!D660</f>
        <v>0</v>
      </c>
      <c r="AQ176" s="11">
        <f ca="1">'Alt scen Calcs'!E660</f>
        <v>0</v>
      </c>
      <c r="AR176" s="11">
        <f ca="1">'Alt scen Calcs'!F660</f>
        <v>0</v>
      </c>
      <c r="AS176" s="11">
        <f ca="1">'Alt scen Calcs'!G660</f>
        <v>0</v>
      </c>
      <c r="AT176" s="11">
        <f ca="1">'Alt scen Calcs'!H660</f>
        <v>0</v>
      </c>
      <c r="AU176" s="11">
        <f ca="1">'Alt scen Calcs'!I660</f>
        <v>183.26556628016303</v>
      </c>
      <c r="AV176" s="11">
        <f ca="1">'Alt scen Calcs'!J660</f>
        <v>540.15114272048049</v>
      </c>
      <c r="AW176" s="11">
        <f ca="1">'Alt scen Calcs'!K660</f>
        <v>887.39116304078937</v>
      </c>
      <c r="AX176" s="11">
        <f ca="1">'Alt scen Calcs'!L660</f>
        <v>1564.5092026653915</v>
      </c>
      <c r="AY176" s="11">
        <f ca="1">'Alt scen Calcs'!M660</f>
        <v>2224.2652412739781</v>
      </c>
      <c r="AZ176" s="11">
        <f ca="1">'Alt scen Calcs'!N660</f>
        <v>3509.0533164591207</v>
      </c>
      <c r="BA176" s="11">
        <f ca="1">'Alt scen Calcs'!O660</f>
        <v>4759.1173896122327</v>
      </c>
      <c r="BB176" s="11">
        <f ca="1">'Alt scen Calcs'!P660</f>
        <v>6290.4458792247951</v>
      </c>
      <c r="BC176" s="11">
        <f ca="1">'Alt scen Calcs'!Q660</f>
        <v>7790.5227670085296</v>
      </c>
      <c r="BD176" s="11">
        <f ca="1">'Alt scen Calcs'!R660</f>
        <v>9993.7606959408895</v>
      </c>
      <c r="BE176" s="11">
        <f ca="1">'Alt scen Calcs'!S660</f>
        <v>12150.121222130008</v>
      </c>
      <c r="BF176" s="11">
        <f ca="1">'Alt scen Calcs'!T660</f>
        <v>14962.76538672451</v>
      </c>
      <c r="BG176" s="11">
        <f ca="1">'Alt scen Calcs'!U660</f>
        <v>14962.76538672451</v>
      </c>
      <c r="BH176" s="11">
        <f ca="1">'Alt scen Calcs'!V660</f>
        <v>14962.76538672451</v>
      </c>
      <c r="BI176" s="11">
        <f ca="1">'Alt scen Calcs'!W660</f>
        <v>14962.76538672451</v>
      </c>
      <c r="BJ176" s="11">
        <f ca="1">'Alt scen Calcs'!X660</f>
        <v>14962.76538672451</v>
      </c>
      <c r="BK176" s="11">
        <f ca="1">'Alt scen Calcs'!Y660</f>
        <v>14962.76538672451</v>
      </c>
      <c r="BL176" s="11">
        <f ca="1">'Alt scen Calcs'!Z660</f>
        <v>14962.76538672451</v>
      </c>
      <c r="BM176" s="11">
        <f ca="1">'Alt scen Calcs'!AA660</f>
        <v>14962.76538672451</v>
      </c>
      <c r="BN176" s="11">
        <f ca="1">'Alt scen Calcs'!AB660</f>
        <v>14962.76538672451</v>
      </c>
      <c r="BO176" s="11">
        <f ca="1">'Alt scen Calcs'!AC660</f>
        <v>14779.499820444347</v>
      </c>
      <c r="BW176">
        <f ca="1">'Ref scen Calcs'!D678</f>
        <v>0</v>
      </c>
      <c r="BX176">
        <f ca="1">'Ref scen Calcs'!E678</f>
        <v>0</v>
      </c>
      <c r="BY176">
        <f ca="1">'Ref scen Calcs'!F678</f>
        <v>0</v>
      </c>
      <c r="BZ176">
        <f ca="1">'Ref scen Calcs'!G678</f>
        <v>0</v>
      </c>
      <c r="CA176">
        <f ca="1">'Ref scen Calcs'!H678</f>
        <v>0</v>
      </c>
      <c r="CB176">
        <f ca="1">'Ref scen Calcs'!I678</f>
        <v>0</v>
      </c>
      <c r="CC176">
        <f ca="1">'Ref scen Calcs'!J678</f>
        <v>0</v>
      </c>
      <c r="CD176">
        <f ca="1">'Ref scen Calcs'!K678</f>
        <v>0</v>
      </c>
      <c r="CE176">
        <f ca="1">'Ref scen Calcs'!L678</f>
        <v>0</v>
      </c>
      <c r="CF176">
        <f ca="1">'Ref scen Calcs'!M678</f>
        <v>0</v>
      </c>
      <c r="CG176">
        <f ca="1">'Ref scen Calcs'!N678</f>
        <v>0</v>
      </c>
      <c r="CH176">
        <f ca="1">'Ref scen Calcs'!O678</f>
        <v>0</v>
      </c>
      <c r="CI176">
        <f ca="1">'Ref scen Calcs'!P678</f>
        <v>0</v>
      </c>
      <c r="CJ176">
        <f ca="1">'Ref scen Calcs'!Q678</f>
        <v>0</v>
      </c>
      <c r="CK176">
        <f ca="1">'Ref scen Calcs'!R678</f>
        <v>0</v>
      </c>
      <c r="CL176">
        <f ca="1">'Ref scen Calcs'!S678</f>
        <v>0</v>
      </c>
      <c r="CM176">
        <f ca="1">'Ref scen Calcs'!T678</f>
        <v>0</v>
      </c>
      <c r="CN176">
        <f ca="1">'Ref scen Calcs'!U678</f>
        <v>0</v>
      </c>
      <c r="CO176">
        <f ca="1">'Ref scen Calcs'!V678</f>
        <v>0</v>
      </c>
      <c r="CP176">
        <f ca="1">'Ref scen Calcs'!W678</f>
        <v>0</v>
      </c>
      <c r="CQ176">
        <f ca="1">'Ref scen Calcs'!X678</f>
        <v>0</v>
      </c>
      <c r="CR176">
        <f ca="1">'Ref scen Calcs'!Y678</f>
        <v>0</v>
      </c>
      <c r="CS176">
        <f ca="1">'Ref scen Calcs'!Z678</f>
        <v>0</v>
      </c>
      <c r="CT176">
        <f ca="1">'Ref scen Calcs'!AA678</f>
        <v>0</v>
      </c>
      <c r="CU176">
        <f ca="1">'Ref scen Calcs'!AB678</f>
        <v>0</v>
      </c>
      <c r="CV176">
        <f ca="1">'Ref scen Calcs'!AC678</f>
        <v>0</v>
      </c>
    </row>
    <row r="177" spans="1:100">
      <c r="A177" t="str">
        <f>'Ref scen Calcs'!C661</f>
        <v>Fixed O&amp;M</v>
      </c>
      <c r="B177">
        <f>'Ref scen Calcs'!D661</f>
        <v>6048.8582920974877</v>
      </c>
      <c r="C177">
        <f>'Ref scen Calcs'!E661</f>
        <v>6048.8582920974877</v>
      </c>
      <c r="D177">
        <f>'Ref scen Calcs'!F661</f>
        <v>6048.8582920974877</v>
      </c>
      <c r="E177">
        <f>'Ref scen Calcs'!G661</f>
        <v>6048.8582920974877</v>
      </c>
      <c r="F177">
        <f>'Ref scen Calcs'!H661</f>
        <v>6048.8582920974877</v>
      </c>
      <c r="G177">
        <f ca="1">'Ref scen Calcs'!I661</f>
        <v>6048.8582920974877</v>
      </c>
      <c r="H177">
        <f ca="1">'Ref scen Calcs'!J661</f>
        <v>6048.8582920974877</v>
      </c>
      <c r="I177">
        <f ca="1">'Ref scen Calcs'!K661</f>
        <v>6048.8582920974877</v>
      </c>
      <c r="J177">
        <f ca="1">'Ref scen Calcs'!L661</f>
        <v>6048.8582920974877</v>
      </c>
      <c r="K177">
        <f ca="1">'Ref scen Calcs'!M661</f>
        <v>6048.8582920974877</v>
      </c>
      <c r="L177">
        <f ca="1">'Ref scen Calcs'!N661</f>
        <v>6048.8582920974877</v>
      </c>
      <c r="M177">
        <f ca="1">'Ref scen Calcs'!O661</f>
        <v>6048.8582920974877</v>
      </c>
      <c r="N177">
        <f ca="1">'Ref scen Calcs'!P661</f>
        <v>6048.8582920974877</v>
      </c>
      <c r="O177">
        <f ca="1">'Ref scen Calcs'!Q661</f>
        <v>6048.8582920974877</v>
      </c>
      <c r="P177">
        <f ca="1">'Ref scen Calcs'!R661</f>
        <v>6048.8582920974877</v>
      </c>
      <c r="Q177">
        <f ca="1">'Ref scen Calcs'!S661</f>
        <v>6048.8582920974877</v>
      </c>
      <c r="R177">
        <f ca="1">'Ref scen Calcs'!T661</f>
        <v>6048.8582920974877</v>
      </c>
      <c r="S177">
        <f ca="1">'Ref scen Calcs'!U661</f>
        <v>6048.8582920974877</v>
      </c>
      <c r="T177">
        <f ca="1">'Ref scen Calcs'!V661</f>
        <v>6048.8582920974877</v>
      </c>
      <c r="U177">
        <f ca="1">'Ref scen Calcs'!W661</f>
        <v>5822.5546442686946</v>
      </c>
      <c r="V177">
        <f ca="1">'Ref scen Calcs'!X661</f>
        <v>5596.2509964399023</v>
      </c>
      <c r="W177">
        <f ca="1">'Ref scen Calcs'!Y661</f>
        <v>5313.3714366539116</v>
      </c>
      <c r="X177">
        <f ca="1">'Ref scen Calcs'!Z661</f>
        <v>5030.4918768679208</v>
      </c>
      <c r="Y177">
        <f ca="1">'Ref scen Calcs'!AA661</f>
        <v>4688.0587255480368</v>
      </c>
      <c r="Z177">
        <f ca="1">'Ref scen Calcs'!AB661</f>
        <v>4003.1924229082706</v>
      </c>
      <c r="AA177">
        <f ca="1">'Ref scen Calcs'!AC661</f>
        <v>3660.759271588387</v>
      </c>
      <c r="AP177" s="11">
        <f>'Alt scen Calcs'!D661</f>
        <v>0</v>
      </c>
      <c r="AQ177" s="11">
        <f>'Alt scen Calcs'!E661</f>
        <v>0</v>
      </c>
      <c r="AR177" s="11">
        <f>'Alt scen Calcs'!F661</f>
        <v>0</v>
      </c>
      <c r="AS177" s="11">
        <f>'Alt scen Calcs'!G661</f>
        <v>0</v>
      </c>
      <c r="AT177" s="11">
        <f>'Alt scen Calcs'!H661</f>
        <v>0</v>
      </c>
      <c r="AU177" s="11">
        <f ca="1">'Alt scen Calcs'!I661</f>
        <v>25.275151249001961</v>
      </c>
      <c r="AV177" s="11">
        <f ca="1">'Alt scen Calcs'!J661</f>
        <v>75.825453747005895</v>
      </c>
      <c r="AW177" s="11">
        <f ca="1">'Alt scen Calcs'!K661</f>
        <v>126.3757562450098</v>
      </c>
      <c r="AX177" s="11">
        <f ca="1">'Alt scen Calcs'!L661</f>
        <v>227.47636124101763</v>
      </c>
      <c r="AY177" s="11">
        <f ca="1">'Alt scen Calcs'!M661</f>
        <v>328.57696623702549</v>
      </c>
      <c r="AZ177" s="11">
        <f ca="1">'Alt scen Calcs'!N661</f>
        <v>530.77817622904115</v>
      </c>
      <c r="BA177" s="11">
        <f ca="1">'Alt scen Calcs'!O661</f>
        <v>732.97938622105687</v>
      </c>
      <c r="BB177" s="11">
        <f ca="1">'Alt scen Calcs'!P661</f>
        <v>985.73089871107652</v>
      </c>
      <c r="BC177" s="11">
        <f ca="1">'Alt scen Calcs'!Q661</f>
        <v>1238.4824112010961</v>
      </c>
      <c r="BD177" s="11">
        <f ca="1">'Alt scen Calcs'!R661</f>
        <v>1617.6096799361255</v>
      </c>
      <c r="BE177" s="11">
        <f ca="1">'Alt scen Calcs'!S661</f>
        <v>1996.7369486711548</v>
      </c>
      <c r="BF177" s="11">
        <f ca="1">'Alt scen Calcs'!T661</f>
        <v>2502.2399736511938</v>
      </c>
      <c r="BG177" s="11">
        <f ca="1">'Alt scen Calcs'!U661</f>
        <v>2502.2399736511938</v>
      </c>
      <c r="BH177" s="11">
        <f ca="1">'Alt scen Calcs'!V661</f>
        <v>2502.2399736511938</v>
      </c>
      <c r="BI177" s="11">
        <f ca="1">'Alt scen Calcs'!W661</f>
        <v>2502.2399736511938</v>
      </c>
      <c r="BJ177" s="11">
        <f ca="1">'Alt scen Calcs'!X661</f>
        <v>2502.2399736511938</v>
      </c>
      <c r="BK177" s="11">
        <f ca="1">'Alt scen Calcs'!Y661</f>
        <v>2502.2399736511938</v>
      </c>
      <c r="BL177" s="11">
        <f ca="1">'Alt scen Calcs'!Z661</f>
        <v>2502.2399736511938</v>
      </c>
      <c r="BM177" s="11">
        <f ca="1">'Alt scen Calcs'!AA661</f>
        <v>2502.2399736511938</v>
      </c>
      <c r="BN177" s="11">
        <f ca="1">'Alt scen Calcs'!AB661</f>
        <v>2502.2399736511938</v>
      </c>
      <c r="BO177" s="11">
        <f ca="1">'Alt scen Calcs'!AC661</f>
        <v>2476.9648224021921</v>
      </c>
      <c r="BW177">
        <f>'Ref scen Calcs'!D679</f>
        <v>6048.8582920974877</v>
      </c>
      <c r="BX177">
        <f>'Ref scen Calcs'!E679</f>
        <v>6048.8582920974877</v>
      </c>
      <c r="BY177">
        <f>'Ref scen Calcs'!F679</f>
        <v>6048.8582920974877</v>
      </c>
      <c r="BZ177">
        <f>'Ref scen Calcs'!G679</f>
        <v>6048.8582920974877</v>
      </c>
      <c r="CA177">
        <f>'Ref scen Calcs'!H679</f>
        <v>6048.8582920974877</v>
      </c>
      <c r="CB177">
        <f ca="1">'Ref scen Calcs'!I679</f>
        <v>6048.8582920974877</v>
      </c>
      <c r="CC177">
        <f ca="1">'Ref scen Calcs'!J679</f>
        <v>6048.8582920974877</v>
      </c>
      <c r="CD177">
        <f ca="1">'Ref scen Calcs'!K679</f>
        <v>6048.8582920974877</v>
      </c>
      <c r="CE177">
        <f ca="1">'Ref scen Calcs'!L679</f>
        <v>6048.8582920974877</v>
      </c>
      <c r="CF177">
        <f ca="1">'Ref scen Calcs'!M679</f>
        <v>6048.8582920974877</v>
      </c>
      <c r="CG177">
        <f ca="1">'Ref scen Calcs'!N679</f>
        <v>6048.8582920974877</v>
      </c>
      <c r="CH177">
        <f ca="1">'Ref scen Calcs'!O679</f>
        <v>6048.8582920974877</v>
      </c>
      <c r="CI177">
        <f ca="1">'Ref scen Calcs'!P679</f>
        <v>6048.8582920974877</v>
      </c>
      <c r="CJ177">
        <f ca="1">'Ref scen Calcs'!Q679</f>
        <v>6048.8582920974877</v>
      </c>
      <c r="CK177">
        <f ca="1">'Ref scen Calcs'!R679</f>
        <v>6048.8582920974877</v>
      </c>
      <c r="CL177">
        <f ca="1">'Ref scen Calcs'!S679</f>
        <v>6048.8582920974877</v>
      </c>
      <c r="CM177">
        <f ca="1">'Ref scen Calcs'!T679</f>
        <v>6048.8582920974877</v>
      </c>
      <c r="CN177">
        <f ca="1">'Ref scen Calcs'!U679</f>
        <v>6048.8582920974877</v>
      </c>
      <c r="CO177">
        <f ca="1">'Ref scen Calcs'!V679</f>
        <v>6048.8582920974877</v>
      </c>
      <c r="CP177">
        <f ca="1">'Ref scen Calcs'!W679</f>
        <v>5822.5546442686946</v>
      </c>
      <c r="CQ177">
        <f ca="1">'Ref scen Calcs'!X679</f>
        <v>5596.2509964399023</v>
      </c>
      <c r="CR177">
        <f ca="1">'Ref scen Calcs'!Y679</f>
        <v>5313.3714366539116</v>
      </c>
      <c r="CS177">
        <f ca="1">'Ref scen Calcs'!Z679</f>
        <v>5030.4918768679208</v>
      </c>
      <c r="CT177">
        <f ca="1">'Ref scen Calcs'!AA679</f>
        <v>4688.0587255480368</v>
      </c>
      <c r="CU177">
        <f ca="1">'Ref scen Calcs'!AB679</f>
        <v>4003.1924229082706</v>
      </c>
      <c r="CV177">
        <f ca="1">'Ref scen Calcs'!AC679</f>
        <v>3660.759271588387</v>
      </c>
    </row>
    <row r="178" spans="1:100">
      <c r="A178" t="str">
        <f>'Ref scen Calcs'!C662</f>
        <v>Variable O&amp;M</v>
      </c>
      <c r="B178">
        <f>'Ref scen Calcs'!D662</f>
        <v>1683.8151698604067</v>
      </c>
      <c r="C178">
        <f>'Ref scen Calcs'!E662</f>
        <v>1683.8151698604067</v>
      </c>
      <c r="D178">
        <f>'Ref scen Calcs'!F662</f>
        <v>1739.2841301648871</v>
      </c>
      <c r="E178">
        <f>'Ref scen Calcs'!G662</f>
        <v>1758.6063755933469</v>
      </c>
      <c r="F178">
        <f>'Ref scen Calcs'!H662</f>
        <v>1758.6063755933469</v>
      </c>
      <c r="G178">
        <f ca="1">'Ref scen Calcs'!I662</f>
        <v>1800.1237409377582</v>
      </c>
      <c r="H178">
        <f ca="1">'Ref scen Calcs'!J662</f>
        <v>1831.5966703478778</v>
      </c>
      <c r="I178">
        <f ca="1">'Ref scen Calcs'!K662</f>
        <v>1866.5814170003246</v>
      </c>
      <c r="J178">
        <f ca="1">'Ref scen Calcs'!L662</f>
        <v>1899.0774071754693</v>
      </c>
      <c r="K178">
        <f ca="1">'Ref scen Calcs'!M662</f>
        <v>1900.7113850665073</v>
      </c>
      <c r="L178">
        <f ca="1">'Ref scen Calcs'!N662</f>
        <v>1900.7113850665073</v>
      </c>
      <c r="M178">
        <f ca="1">'Ref scen Calcs'!O662</f>
        <v>1900.7113850665073</v>
      </c>
      <c r="N178">
        <f ca="1">'Ref scen Calcs'!P662</f>
        <v>1900.7113850665073</v>
      </c>
      <c r="O178">
        <f ca="1">'Ref scen Calcs'!Q662</f>
        <v>1900.7113850665073</v>
      </c>
      <c r="P178">
        <f ca="1">'Ref scen Calcs'!R662</f>
        <v>1900.7113850665073</v>
      </c>
      <c r="Q178">
        <f ca="1">'Ref scen Calcs'!S662</f>
        <v>1900.7113850665073</v>
      </c>
      <c r="R178">
        <f ca="1">'Ref scen Calcs'!T662</f>
        <v>1900.7113850665073</v>
      </c>
      <c r="S178">
        <f ca="1">'Ref scen Calcs'!U662</f>
        <v>1900.7113850665073</v>
      </c>
      <c r="T178">
        <f ca="1">'Ref scen Calcs'!V662</f>
        <v>1900.7113850665073</v>
      </c>
      <c r="U178">
        <f ca="1">'Ref scen Calcs'!W662</f>
        <v>1829.6007887954358</v>
      </c>
      <c r="V178">
        <f ca="1">'Ref scen Calcs'!X662</f>
        <v>1758.4901925243644</v>
      </c>
      <c r="W178">
        <f ca="1">'Ref scen Calcs'!Y662</f>
        <v>1669.6019471855252</v>
      </c>
      <c r="X178">
        <f ca="1">'Ref scen Calcs'!Z662</f>
        <v>1580.7137018466856</v>
      </c>
      <c r="Y178">
        <f ca="1">'Ref scen Calcs'!AA662</f>
        <v>1473.1121416996696</v>
      </c>
      <c r="Z178">
        <f ca="1">'Ref scen Calcs'!AB662</f>
        <v>1257.9090214056378</v>
      </c>
      <c r="AA178">
        <f ca="1">'Ref scen Calcs'!AC662</f>
        <v>1150.3074612586215</v>
      </c>
      <c r="AP178" s="11">
        <f>'Alt scen Calcs'!D662</f>
        <v>0</v>
      </c>
      <c r="AQ178" s="11">
        <f>'Alt scen Calcs'!E662</f>
        <v>0</v>
      </c>
      <c r="AR178" s="11">
        <f>'Alt scen Calcs'!F662</f>
        <v>0</v>
      </c>
      <c r="AS178" s="11">
        <f>'Alt scen Calcs'!G662</f>
        <v>0</v>
      </c>
      <c r="AT178" s="11">
        <f>'Alt scen Calcs'!H662</f>
        <v>0</v>
      </c>
      <c r="AU178" s="11">
        <f ca="1">'Alt scen Calcs'!I662</f>
        <v>0</v>
      </c>
      <c r="AV178" s="11">
        <f ca="1">'Alt scen Calcs'!J662</f>
        <v>0</v>
      </c>
      <c r="AW178" s="11">
        <f ca="1">'Alt scen Calcs'!K662</f>
        <v>0</v>
      </c>
      <c r="AX178" s="11">
        <f ca="1">'Alt scen Calcs'!L662</f>
        <v>0</v>
      </c>
      <c r="AY178" s="11">
        <f ca="1">'Alt scen Calcs'!M662</f>
        <v>0</v>
      </c>
      <c r="AZ178" s="11">
        <f ca="1">'Alt scen Calcs'!N662</f>
        <v>0</v>
      </c>
      <c r="BA178" s="11">
        <f ca="1">'Alt scen Calcs'!O662</f>
        <v>0</v>
      </c>
      <c r="BB178" s="11">
        <f ca="1">'Alt scen Calcs'!P662</f>
        <v>0</v>
      </c>
      <c r="BC178" s="11">
        <f ca="1">'Alt scen Calcs'!Q662</f>
        <v>0</v>
      </c>
      <c r="BD178" s="11">
        <f ca="1">'Alt scen Calcs'!R662</f>
        <v>0</v>
      </c>
      <c r="BE178" s="11">
        <f ca="1">'Alt scen Calcs'!S662</f>
        <v>0</v>
      </c>
      <c r="BF178" s="11">
        <f ca="1">'Alt scen Calcs'!T662</f>
        <v>0</v>
      </c>
      <c r="BG178" s="11">
        <f ca="1">'Alt scen Calcs'!U662</f>
        <v>0</v>
      </c>
      <c r="BH178" s="11">
        <f ca="1">'Alt scen Calcs'!V662</f>
        <v>0</v>
      </c>
      <c r="BI178" s="11">
        <f ca="1">'Alt scen Calcs'!W662</f>
        <v>0</v>
      </c>
      <c r="BJ178" s="11">
        <f ca="1">'Alt scen Calcs'!X662</f>
        <v>0</v>
      </c>
      <c r="BK178" s="11">
        <f ca="1">'Alt scen Calcs'!Y662</f>
        <v>0</v>
      </c>
      <c r="BL178" s="11">
        <f ca="1">'Alt scen Calcs'!Z662</f>
        <v>0</v>
      </c>
      <c r="BM178" s="11">
        <f ca="1">'Alt scen Calcs'!AA662</f>
        <v>0</v>
      </c>
      <c r="BN178" s="11">
        <f ca="1">'Alt scen Calcs'!AB662</f>
        <v>0</v>
      </c>
      <c r="BO178" s="11">
        <f ca="1">'Alt scen Calcs'!AC662</f>
        <v>0</v>
      </c>
      <c r="BW178">
        <f>'Ref scen Calcs'!D680</f>
        <v>1683.8151698604067</v>
      </c>
      <c r="BX178">
        <f>'Ref scen Calcs'!E680</f>
        <v>1683.8151698604067</v>
      </c>
      <c r="BY178">
        <f>'Ref scen Calcs'!F680</f>
        <v>1739.2841301648871</v>
      </c>
      <c r="BZ178">
        <f>'Ref scen Calcs'!G680</f>
        <v>1758.6063755933469</v>
      </c>
      <c r="CA178">
        <f>'Ref scen Calcs'!H680</f>
        <v>1758.6063755933469</v>
      </c>
      <c r="CB178">
        <f ca="1">'Ref scen Calcs'!I680</f>
        <v>1800.1237409377582</v>
      </c>
      <c r="CC178">
        <f ca="1">'Ref scen Calcs'!J680</f>
        <v>1831.5966703478778</v>
      </c>
      <c r="CD178">
        <f ca="1">'Ref scen Calcs'!K680</f>
        <v>1866.5814170003246</v>
      </c>
      <c r="CE178">
        <f ca="1">'Ref scen Calcs'!L680</f>
        <v>1899.0774071754693</v>
      </c>
      <c r="CF178">
        <f ca="1">'Ref scen Calcs'!M680</f>
        <v>1900.7113850665073</v>
      </c>
      <c r="CG178">
        <f ca="1">'Ref scen Calcs'!N680</f>
        <v>1900.7113850665073</v>
      </c>
      <c r="CH178">
        <f ca="1">'Ref scen Calcs'!O680</f>
        <v>1900.7113850665073</v>
      </c>
      <c r="CI178">
        <f ca="1">'Ref scen Calcs'!P680</f>
        <v>1900.7113850665073</v>
      </c>
      <c r="CJ178">
        <f ca="1">'Ref scen Calcs'!Q680</f>
        <v>1900.7113850665073</v>
      </c>
      <c r="CK178">
        <f ca="1">'Ref scen Calcs'!R680</f>
        <v>1900.7113850665073</v>
      </c>
      <c r="CL178">
        <f ca="1">'Ref scen Calcs'!S680</f>
        <v>1900.7113850665073</v>
      </c>
      <c r="CM178">
        <f ca="1">'Ref scen Calcs'!T680</f>
        <v>1900.7113850665073</v>
      </c>
      <c r="CN178">
        <f ca="1">'Ref scen Calcs'!U680</f>
        <v>1900.7113850665073</v>
      </c>
      <c r="CO178">
        <f ca="1">'Ref scen Calcs'!V680</f>
        <v>1900.7113850665073</v>
      </c>
      <c r="CP178">
        <f ca="1">'Ref scen Calcs'!W680</f>
        <v>1829.6007887954358</v>
      </c>
      <c r="CQ178">
        <f ca="1">'Ref scen Calcs'!X680</f>
        <v>1758.4901925243644</v>
      </c>
      <c r="CR178">
        <f ca="1">'Ref scen Calcs'!Y680</f>
        <v>1669.6019471855252</v>
      </c>
      <c r="CS178">
        <f ca="1">'Ref scen Calcs'!Z680</f>
        <v>1580.7137018466856</v>
      </c>
      <c r="CT178">
        <f ca="1">'Ref scen Calcs'!AA680</f>
        <v>1473.1121416996696</v>
      </c>
      <c r="CU178">
        <f ca="1">'Ref scen Calcs'!AB680</f>
        <v>1257.9090214056378</v>
      </c>
      <c r="CV178">
        <f ca="1">'Ref scen Calcs'!AC680</f>
        <v>1150.3074612586215</v>
      </c>
    </row>
    <row r="179" spans="1:100">
      <c r="A179" t="str">
        <f>'Ref scen Calcs'!C663</f>
        <v>Fuel cost</v>
      </c>
      <c r="B179">
        <f>'Ref scen Calcs'!D663</f>
        <v>8523.1750722774159</v>
      </c>
      <c r="C179">
        <f>'Ref scen Calcs'!E663</f>
        <v>10115.401768211486</v>
      </c>
      <c r="D179">
        <f>'Ref scen Calcs'!F663</f>
        <v>12093.306174004372</v>
      </c>
      <c r="E179">
        <f>'Ref scen Calcs'!G663</f>
        <v>12971.008064332525</v>
      </c>
      <c r="F179">
        <f>'Ref scen Calcs'!H663</f>
        <v>12971.008064332525</v>
      </c>
      <c r="G179">
        <f ca="1">'Ref scen Calcs'!I663</f>
        <v>13353.098874788571</v>
      </c>
      <c r="H179">
        <f ca="1">'Ref scen Calcs'!J663</f>
        <v>13663.757606245945</v>
      </c>
      <c r="I179">
        <f ca="1">'Ref scen Calcs'!K663</f>
        <v>14003.415577443595</v>
      </c>
      <c r="J179">
        <f ca="1">'Ref scen Calcs'!L663</f>
        <v>14327.24658154128</v>
      </c>
      <c r="K179">
        <f ca="1">'Ref scen Calcs'!M663</f>
        <v>14419.683183713039</v>
      </c>
      <c r="L179">
        <f ca="1">'Ref scen Calcs'!N663</f>
        <v>14499.792534733666</v>
      </c>
      <c r="M179">
        <f ca="1">'Ref scen Calcs'!O663</f>
        <v>14579.901885754294</v>
      </c>
      <c r="N179">
        <f ca="1">'Ref scen Calcs'!P663</f>
        <v>14660.011236774921</v>
      </c>
      <c r="O179">
        <f ca="1">'Ref scen Calcs'!Q663</f>
        <v>14740.120587795551</v>
      </c>
      <c r="P179">
        <f ca="1">'Ref scen Calcs'!R663</f>
        <v>14820.229938816179</v>
      </c>
      <c r="Q179">
        <f ca="1">'Ref scen Calcs'!S663</f>
        <v>14900.339289836807</v>
      </c>
      <c r="R179">
        <f ca="1">'Ref scen Calcs'!T663</f>
        <v>14980.448640857434</v>
      </c>
      <c r="S179">
        <f ca="1">'Ref scen Calcs'!U663</f>
        <v>15060.557991878062</v>
      </c>
      <c r="T179">
        <f ca="1">'Ref scen Calcs'!V663</f>
        <v>15140.667342898691</v>
      </c>
      <c r="U179">
        <f ca="1">'Ref scen Calcs'!W663</f>
        <v>14651.327531401908</v>
      </c>
      <c r="V179">
        <f ca="1">'Ref scen Calcs'!X663</f>
        <v>14155.993518194417</v>
      </c>
      <c r="W179">
        <f ca="1">'Ref scen Calcs'!Y663</f>
        <v>13510.804462219186</v>
      </c>
      <c r="X179">
        <f ca="1">'Ref scen Calcs'!Z663</f>
        <v>12858.122654105562</v>
      </c>
      <c r="Y179">
        <f ca="1">'Ref scen Calcs'!AA663</f>
        <v>12044.938208080182</v>
      </c>
      <c r="Z179">
        <f ca="1">'Ref scen Calcs'!AB663</f>
        <v>10338.341658396081</v>
      </c>
      <c r="AA179">
        <f ca="1">'Ref scen Calcs'!AC663</f>
        <v>9502.4817782676801</v>
      </c>
      <c r="AP179" s="11">
        <f>'Alt scen Calcs'!D663</f>
        <v>0</v>
      </c>
      <c r="AQ179" s="11">
        <f>'Alt scen Calcs'!E663</f>
        <v>0</v>
      </c>
      <c r="AR179" s="11">
        <f>'Alt scen Calcs'!F663</f>
        <v>0</v>
      </c>
      <c r="AS179" s="11">
        <f>'Alt scen Calcs'!G663</f>
        <v>0</v>
      </c>
      <c r="AT179" s="11">
        <f>'Alt scen Calcs'!H663</f>
        <v>0</v>
      </c>
      <c r="AU179" s="11">
        <f ca="1">'Alt scen Calcs'!I663</f>
        <v>0</v>
      </c>
      <c r="AV179" s="11">
        <f ca="1">'Alt scen Calcs'!J663</f>
        <v>0</v>
      </c>
      <c r="AW179" s="11">
        <f ca="1">'Alt scen Calcs'!K663</f>
        <v>0</v>
      </c>
      <c r="AX179" s="11">
        <f ca="1">'Alt scen Calcs'!L663</f>
        <v>0</v>
      </c>
      <c r="AY179" s="11">
        <f ca="1">'Alt scen Calcs'!M663</f>
        <v>0</v>
      </c>
      <c r="AZ179" s="11">
        <f ca="1">'Alt scen Calcs'!N663</f>
        <v>0</v>
      </c>
      <c r="BA179" s="11">
        <f ca="1">'Alt scen Calcs'!O663</f>
        <v>0</v>
      </c>
      <c r="BB179" s="11">
        <f ca="1">'Alt scen Calcs'!P663</f>
        <v>0</v>
      </c>
      <c r="BC179" s="11">
        <f ca="1">'Alt scen Calcs'!Q663</f>
        <v>0</v>
      </c>
      <c r="BD179" s="11">
        <f ca="1">'Alt scen Calcs'!R663</f>
        <v>0</v>
      </c>
      <c r="BE179" s="11">
        <f ca="1">'Alt scen Calcs'!S663</f>
        <v>0</v>
      </c>
      <c r="BF179" s="11">
        <f ca="1">'Alt scen Calcs'!T663</f>
        <v>0</v>
      </c>
      <c r="BG179" s="11">
        <f ca="1">'Alt scen Calcs'!U663</f>
        <v>0</v>
      </c>
      <c r="BH179" s="11">
        <f ca="1">'Alt scen Calcs'!V663</f>
        <v>0</v>
      </c>
      <c r="BI179" s="11">
        <f ca="1">'Alt scen Calcs'!W663</f>
        <v>0</v>
      </c>
      <c r="BJ179" s="11">
        <f ca="1">'Alt scen Calcs'!X663</f>
        <v>0</v>
      </c>
      <c r="BK179" s="11">
        <f ca="1">'Alt scen Calcs'!Y663</f>
        <v>0</v>
      </c>
      <c r="BL179" s="11">
        <f ca="1">'Alt scen Calcs'!Z663</f>
        <v>0</v>
      </c>
      <c r="BM179" s="11">
        <f ca="1">'Alt scen Calcs'!AA663</f>
        <v>0</v>
      </c>
      <c r="BN179" s="11">
        <f ca="1">'Alt scen Calcs'!AB663</f>
        <v>0</v>
      </c>
      <c r="BO179" s="11">
        <f ca="1">'Alt scen Calcs'!AC663</f>
        <v>0</v>
      </c>
      <c r="BW179">
        <f>'Ref scen Calcs'!D681</f>
        <v>8523.1750722774159</v>
      </c>
      <c r="BX179">
        <f>'Ref scen Calcs'!E681</f>
        <v>10115.401768211486</v>
      </c>
      <c r="BY179">
        <f>'Ref scen Calcs'!F681</f>
        <v>12093.306174004372</v>
      </c>
      <c r="BZ179">
        <f>'Ref scen Calcs'!G681</f>
        <v>12971.008064332525</v>
      </c>
      <c r="CA179">
        <f>'Ref scen Calcs'!H681</f>
        <v>12971.008064332525</v>
      </c>
      <c r="CB179">
        <f ca="1">'Ref scen Calcs'!I681</f>
        <v>13353.098874788571</v>
      </c>
      <c r="CC179">
        <f ca="1">'Ref scen Calcs'!J681</f>
        <v>13663.757606245945</v>
      </c>
      <c r="CD179">
        <f ca="1">'Ref scen Calcs'!K681</f>
        <v>14003.415577443595</v>
      </c>
      <c r="CE179">
        <f ca="1">'Ref scen Calcs'!L681</f>
        <v>14327.24658154128</v>
      </c>
      <c r="CF179">
        <f ca="1">'Ref scen Calcs'!M681</f>
        <v>14419.683183713039</v>
      </c>
      <c r="CG179">
        <f ca="1">'Ref scen Calcs'!N681</f>
        <v>14499.792534733666</v>
      </c>
      <c r="CH179">
        <f ca="1">'Ref scen Calcs'!O681</f>
        <v>14579.901885754294</v>
      </c>
      <c r="CI179">
        <f ca="1">'Ref scen Calcs'!P681</f>
        <v>14660.011236774921</v>
      </c>
      <c r="CJ179">
        <f ca="1">'Ref scen Calcs'!Q681</f>
        <v>14740.120587795551</v>
      </c>
      <c r="CK179">
        <f ca="1">'Ref scen Calcs'!R681</f>
        <v>14820.229938816179</v>
      </c>
      <c r="CL179">
        <f ca="1">'Ref scen Calcs'!S681</f>
        <v>14900.339289836807</v>
      </c>
      <c r="CM179">
        <f ca="1">'Ref scen Calcs'!T681</f>
        <v>14980.448640857434</v>
      </c>
      <c r="CN179">
        <f ca="1">'Ref scen Calcs'!U681</f>
        <v>15060.557991878062</v>
      </c>
      <c r="CO179">
        <f ca="1">'Ref scen Calcs'!V681</f>
        <v>15140.667342898691</v>
      </c>
      <c r="CP179">
        <f ca="1">'Ref scen Calcs'!W681</f>
        <v>14651.327531401908</v>
      </c>
      <c r="CQ179">
        <f ca="1">'Ref scen Calcs'!X681</f>
        <v>14155.993518194417</v>
      </c>
      <c r="CR179">
        <f ca="1">'Ref scen Calcs'!Y681</f>
        <v>13510.804462219186</v>
      </c>
      <c r="CS179">
        <f ca="1">'Ref scen Calcs'!Z681</f>
        <v>12858.122654105562</v>
      </c>
      <c r="CT179">
        <f ca="1">'Ref scen Calcs'!AA681</f>
        <v>12044.938208080182</v>
      </c>
      <c r="CU179">
        <f ca="1">'Ref scen Calcs'!AB681</f>
        <v>10338.341658396081</v>
      </c>
      <c r="CV179">
        <f ca="1">'Ref scen Calcs'!AC681</f>
        <v>9502.4817782676801</v>
      </c>
    </row>
    <row r="180" spans="1:100">
      <c r="A180" t="str">
        <f>'Ref scen Calcs'!C664</f>
        <v>Carbon tax</v>
      </c>
      <c r="B180">
        <f>'Ref scen Calcs'!D664</f>
        <v>0</v>
      </c>
      <c r="C180">
        <f>'Ref scen Calcs'!E664</f>
        <v>0</v>
      </c>
      <c r="D180">
        <f>'Ref scen Calcs'!F664</f>
        <v>0</v>
      </c>
      <c r="E180">
        <f>'Ref scen Calcs'!G664</f>
        <v>0</v>
      </c>
      <c r="F180">
        <f>'Ref scen Calcs'!H664</f>
        <v>0</v>
      </c>
      <c r="G180">
        <f ca="1">'Ref scen Calcs'!I664</f>
        <v>0</v>
      </c>
      <c r="H180">
        <f ca="1">'Ref scen Calcs'!J664</f>
        <v>0</v>
      </c>
      <c r="I180">
        <f ca="1">'Ref scen Calcs'!K664</f>
        <v>22653.308435134553</v>
      </c>
      <c r="J180">
        <f ca="1">'Ref scen Calcs'!L664</f>
        <v>23047.688064995898</v>
      </c>
      <c r="K180">
        <f ca="1">'Ref scen Calcs'!M664</f>
        <v>23067.518437678682</v>
      </c>
      <c r="L180">
        <f ca="1">'Ref scen Calcs'!N664</f>
        <v>23067.518437678682</v>
      </c>
      <c r="M180">
        <f ca="1">'Ref scen Calcs'!O664</f>
        <v>69202.555313036049</v>
      </c>
      <c r="N180">
        <f ca="1">'Ref scen Calcs'!P664</f>
        <v>69202.555313036049</v>
      </c>
      <c r="O180">
        <f ca="1">'Ref scen Calcs'!Q664</f>
        <v>69202.555313036049</v>
      </c>
      <c r="P180">
        <f ca="1">'Ref scen Calcs'!R664</f>
        <v>69202.555313036049</v>
      </c>
      <c r="Q180">
        <f ca="1">'Ref scen Calcs'!S664</f>
        <v>115337.59218839342</v>
      </c>
      <c r="R180">
        <f ca="1">'Ref scen Calcs'!T664</f>
        <v>115337.59218839342</v>
      </c>
      <c r="S180">
        <f ca="1">'Ref scen Calcs'!U664</f>
        <v>115337.59218839342</v>
      </c>
      <c r="T180">
        <f ca="1">'Ref scen Calcs'!V664</f>
        <v>115337.59218839342</v>
      </c>
      <c r="U180">
        <f ca="1">'Ref scen Calcs'!W664</f>
        <v>111022.51046824087</v>
      </c>
      <c r="V180">
        <f ca="1">'Ref scen Calcs'!X664</f>
        <v>106707.42874808832</v>
      </c>
      <c r="W180">
        <f ca="1">'Ref scen Calcs'!Y664</f>
        <v>101313.57659789764</v>
      </c>
      <c r="X180">
        <f ca="1">'Ref scen Calcs'!Z664</f>
        <v>95919.724447706918</v>
      </c>
      <c r="Y180">
        <f ca="1">'Ref scen Calcs'!AA664</f>
        <v>89390.324476423455</v>
      </c>
      <c r="Z180">
        <f ca="1">'Ref scen Calcs'!AB664</f>
        <v>76331.524533856515</v>
      </c>
      <c r="AA180">
        <f ca="1">'Ref scen Calcs'!AC664</f>
        <v>69802.124562573023</v>
      </c>
      <c r="AP180" s="11">
        <f>'Alt scen Calcs'!D664</f>
        <v>0</v>
      </c>
      <c r="AQ180" s="11">
        <f>'Alt scen Calcs'!E664</f>
        <v>0</v>
      </c>
      <c r="AR180" s="11">
        <f>'Alt scen Calcs'!F664</f>
        <v>0</v>
      </c>
      <c r="AS180" s="11">
        <f>'Alt scen Calcs'!G664</f>
        <v>0</v>
      </c>
      <c r="AT180" s="11">
        <f>'Alt scen Calcs'!H664</f>
        <v>0</v>
      </c>
      <c r="AU180" s="11">
        <f ca="1">'Alt scen Calcs'!I664</f>
        <v>0</v>
      </c>
      <c r="AV180" s="11">
        <f ca="1">'Alt scen Calcs'!J664</f>
        <v>0</v>
      </c>
      <c r="AW180" s="11">
        <f ca="1">'Alt scen Calcs'!K664</f>
        <v>0</v>
      </c>
      <c r="AX180" s="11">
        <f ca="1">'Alt scen Calcs'!L664</f>
        <v>0</v>
      </c>
      <c r="AY180" s="11">
        <f ca="1">'Alt scen Calcs'!M664</f>
        <v>0</v>
      </c>
      <c r="AZ180" s="11">
        <f ca="1">'Alt scen Calcs'!N664</f>
        <v>0</v>
      </c>
      <c r="BA180" s="11">
        <f ca="1">'Alt scen Calcs'!O664</f>
        <v>0</v>
      </c>
      <c r="BB180" s="11">
        <f ca="1">'Alt scen Calcs'!P664</f>
        <v>0</v>
      </c>
      <c r="BC180" s="11">
        <f ca="1">'Alt scen Calcs'!Q664</f>
        <v>0</v>
      </c>
      <c r="BD180" s="11">
        <f ca="1">'Alt scen Calcs'!R664</f>
        <v>0</v>
      </c>
      <c r="BE180" s="11">
        <f ca="1">'Alt scen Calcs'!S664</f>
        <v>0</v>
      </c>
      <c r="BF180" s="11">
        <f ca="1">'Alt scen Calcs'!T664</f>
        <v>0</v>
      </c>
      <c r="BG180" s="11">
        <f ca="1">'Alt scen Calcs'!U664</f>
        <v>0</v>
      </c>
      <c r="BH180" s="11">
        <f ca="1">'Alt scen Calcs'!V664</f>
        <v>0</v>
      </c>
      <c r="BI180" s="11">
        <f ca="1">'Alt scen Calcs'!W664</f>
        <v>0</v>
      </c>
      <c r="BJ180" s="11">
        <f ca="1">'Alt scen Calcs'!X664</f>
        <v>0</v>
      </c>
      <c r="BK180" s="11">
        <f ca="1">'Alt scen Calcs'!Y664</f>
        <v>0</v>
      </c>
      <c r="BL180" s="11">
        <f ca="1">'Alt scen Calcs'!Z664</f>
        <v>0</v>
      </c>
      <c r="BM180" s="11">
        <f ca="1">'Alt scen Calcs'!AA664</f>
        <v>0</v>
      </c>
      <c r="BN180" s="11">
        <f ca="1">'Alt scen Calcs'!AB664</f>
        <v>0</v>
      </c>
      <c r="BO180" s="11">
        <f ca="1">'Alt scen Calcs'!AC664</f>
        <v>0</v>
      </c>
      <c r="BW180">
        <f>'Ref scen Calcs'!D682</f>
        <v>0</v>
      </c>
      <c r="BX180">
        <f>'Ref scen Calcs'!E682</f>
        <v>0</v>
      </c>
      <c r="BY180">
        <f>'Ref scen Calcs'!F682</f>
        <v>0</v>
      </c>
      <c r="BZ180">
        <f>'Ref scen Calcs'!G682</f>
        <v>0</v>
      </c>
      <c r="CA180">
        <f>'Ref scen Calcs'!H682</f>
        <v>0</v>
      </c>
      <c r="CB180">
        <f ca="1">'Ref scen Calcs'!I682</f>
        <v>0</v>
      </c>
      <c r="CC180">
        <f ca="1">'Ref scen Calcs'!J682</f>
        <v>0</v>
      </c>
      <c r="CD180">
        <f ca="1">'Ref scen Calcs'!K682</f>
        <v>22653.308435134553</v>
      </c>
      <c r="CE180">
        <f ca="1">'Ref scen Calcs'!L682</f>
        <v>23047.688064995898</v>
      </c>
      <c r="CF180">
        <f ca="1">'Ref scen Calcs'!M682</f>
        <v>23067.518437678682</v>
      </c>
      <c r="CG180">
        <f ca="1">'Ref scen Calcs'!N682</f>
        <v>23067.518437678682</v>
      </c>
      <c r="CH180">
        <f ca="1">'Ref scen Calcs'!O682</f>
        <v>69202.555313036049</v>
      </c>
      <c r="CI180">
        <f ca="1">'Ref scen Calcs'!P682</f>
        <v>69202.555313036049</v>
      </c>
      <c r="CJ180">
        <f ca="1">'Ref scen Calcs'!Q682</f>
        <v>69202.555313036049</v>
      </c>
      <c r="CK180">
        <f ca="1">'Ref scen Calcs'!R682</f>
        <v>69202.555313036049</v>
      </c>
      <c r="CL180">
        <f ca="1">'Ref scen Calcs'!S682</f>
        <v>115337.59218839342</v>
      </c>
      <c r="CM180">
        <f ca="1">'Ref scen Calcs'!T682</f>
        <v>115337.59218839342</v>
      </c>
      <c r="CN180">
        <f ca="1">'Ref scen Calcs'!U682</f>
        <v>115337.59218839342</v>
      </c>
      <c r="CO180">
        <f ca="1">'Ref scen Calcs'!V682</f>
        <v>115337.59218839342</v>
      </c>
      <c r="CP180">
        <f ca="1">'Ref scen Calcs'!W682</f>
        <v>111022.51046824087</v>
      </c>
      <c r="CQ180">
        <f ca="1">'Ref scen Calcs'!X682</f>
        <v>106707.42874808832</v>
      </c>
      <c r="CR180">
        <f ca="1">'Ref scen Calcs'!Y682</f>
        <v>101313.57659789764</v>
      </c>
      <c r="CS180">
        <f ca="1">'Ref scen Calcs'!Z682</f>
        <v>95919.724447706918</v>
      </c>
      <c r="CT180">
        <f ca="1">'Ref scen Calcs'!AA682</f>
        <v>89390.324476423455</v>
      </c>
      <c r="CU180">
        <f ca="1">'Ref scen Calcs'!AB682</f>
        <v>76331.524533856515</v>
      </c>
      <c r="CV180">
        <f ca="1">'Ref scen Calcs'!AC682</f>
        <v>69802.124562573023</v>
      </c>
    </row>
    <row r="181" spans="1:100">
      <c r="A181" t="str">
        <f>'Ref scen Calcs'!C673</f>
        <v>Annual investment requirement</v>
      </c>
      <c r="B181">
        <f>'Ref scen Calcs'!D673</f>
        <v>0</v>
      </c>
      <c r="C181">
        <f>'Ref scen Calcs'!E673</f>
        <v>0</v>
      </c>
      <c r="D181">
        <f>'Ref scen Calcs'!F673</f>
        <v>0</v>
      </c>
      <c r="E181">
        <f>'Ref scen Calcs'!G673</f>
        <v>0</v>
      </c>
      <c r="F181">
        <f>'Ref scen Calcs'!H673</f>
        <v>0</v>
      </c>
      <c r="G181">
        <f>'Ref scen Calcs'!I673</f>
        <v>0</v>
      </c>
      <c r="H181">
        <f>'Ref scen Calcs'!J673</f>
        <v>0</v>
      </c>
      <c r="I181">
        <f>'Ref scen Calcs'!K673</f>
        <v>0</v>
      </c>
      <c r="J181">
        <f>'Ref scen Calcs'!L673</f>
        <v>0</v>
      </c>
      <c r="K181">
        <f>'Ref scen Calcs'!M673</f>
        <v>0</v>
      </c>
      <c r="L181">
        <f>'Ref scen Calcs'!N673</f>
        <v>0</v>
      </c>
      <c r="M181">
        <f>'Ref scen Calcs'!O673</f>
        <v>0</v>
      </c>
      <c r="N181">
        <f>'Ref scen Calcs'!P673</f>
        <v>0</v>
      </c>
      <c r="O181">
        <f>'Ref scen Calcs'!Q673</f>
        <v>0</v>
      </c>
      <c r="P181">
        <f>'Ref scen Calcs'!R673</f>
        <v>0</v>
      </c>
      <c r="Q181">
        <f>'Ref scen Calcs'!S673</f>
        <v>0</v>
      </c>
      <c r="R181">
        <f>'Ref scen Calcs'!T673</f>
        <v>0</v>
      </c>
      <c r="S181">
        <f>'Ref scen Calcs'!U673</f>
        <v>0</v>
      </c>
      <c r="T181">
        <f>'Ref scen Calcs'!V673</f>
        <v>0</v>
      </c>
      <c r="U181">
        <f>'Ref scen Calcs'!W673</f>
        <v>0</v>
      </c>
      <c r="V181">
        <f>'Ref scen Calcs'!X673</f>
        <v>0</v>
      </c>
      <c r="W181">
        <f>'Ref scen Calcs'!Y673</f>
        <v>0</v>
      </c>
      <c r="X181">
        <f>'Ref scen Calcs'!Z673</f>
        <v>0</v>
      </c>
      <c r="Y181">
        <f>'Ref scen Calcs'!AA673</f>
        <v>0</v>
      </c>
      <c r="Z181">
        <f>'Ref scen Calcs'!AB673</f>
        <v>0</v>
      </c>
      <c r="AA181">
        <f>'Ref scen Calcs'!AC673</f>
        <v>0</v>
      </c>
      <c r="AP181" s="11">
        <f>'Alt scen Calcs'!D673</f>
        <v>0</v>
      </c>
      <c r="AQ181" s="11">
        <f>'Alt scen Calcs'!E673</f>
        <v>0</v>
      </c>
      <c r="AR181" s="11">
        <f>'Alt scen Calcs'!F673</f>
        <v>75.703206024444654</v>
      </c>
      <c r="AS181" s="11">
        <f>'Alt scen Calcs'!G673</f>
        <v>457.80517748466798</v>
      </c>
      <c r="AT181" s="11">
        <f>'Alt scen Calcs'!H673</f>
        <v>1922.0247133753612</v>
      </c>
      <c r="AU181" s="11">
        <f>'Alt scen Calcs'!I673</f>
        <v>3154.3135322827429</v>
      </c>
      <c r="AV181" s="11">
        <f>'Alt scen Calcs'!J673</f>
        <v>3644.0335876756112</v>
      </c>
      <c r="AW181" s="11">
        <f>'Alt scen Calcs'!K673</f>
        <v>5986.2987508304568</v>
      </c>
      <c r="AX181" s="11">
        <f>'Alt scen Calcs'!L673</f>
        <v>6919.2889681512988</v>
      </c>
      <c r="AY181" s="11">
        <f>'Alt scen Calcs'!M673</f>
        <v>10981.156440530671</v>
      </c>
      <c r="AZ181" s="11">
        <f>'Alt scen Calcs'!N673</f>
        <v>11222.131698444271</v>
      </c>
      <c r="BA181" s="11">
        <f>'Alt scen Calcs'!O673</f>
        <v>13261.686037610511</v>
      </c>
      <c r="BB181" s="11">
        <f>'Alt scen Calcs'!P673</f>
        <v>14232.988452186544</v>
      </c>
      <c r="BC181" s="11">
        <f>'Alt scen Calcs'!Q673</f>
        <v>18929.746838458821</v>
      </c>
      <c r="BD181" s="11">
        <f>'Alt scen Calcs'!R673</f>
        <v>18579.063291250448</v>
      </c>
      <c r="BE181" s="11">
        <f>'Alt scen Calcs'!S673</f>
        <v>18020.215849371169</v>
      </c>
      <c r="BF181" s="11">
        <f ca="1">'Alt scen Calcs'!T673</f>
        <v>0</v>
      </c>
      <c r="BG181" s="11">
        <f ca="1">'Alt scen Calcs'!U673</f>
        <v>0</v>
      </c>
      <c r="BH181" s="11">
        <f ca="1">'Alt scen Calcs'!V673</f>
        <v>0</v>
      </c>
      <c r="BI181" s="11">
        <f ca="1">'Alt scen Calcs'!W673</f>
        <v>0</v>
      </c>
      <c r="BJ181" s="11">
        <f ca="1">'Alt scen Calcs'!X673</f>
        <v>0</v>
      </c>
      <c r="BK181" s="11">
        <f ca="1">'Alt scen Calcs'!Y673</f>
        <v>0</v>
      </c>
      <c r="BL181" s="11">
        <f ca="1">'Alt scen Calcs'!Z673</f>
        <v>0</v>
      </c>
      <c r="BM181" s="11">
        <f ca="1">'Alt scen Calcs'!AA673</f>
        <v>109.35011703642387</v>
      </c>
      <c r="BN181" s="11">
        <f ca="1">'Alt scen Calcs'!AB673</f>
        <v>557.00215865428402</v>
      </c>
      <c r="BO181" s="11">
        <f ca="1">'Alt scen Calcs'!AC673</f>
        <v>2357.520179482151</v>
      </c>
      <c r="BW181">
        <f>'Ref scen Calcs'!D683</f>
        <v>0</v>
      </c>
      <c r="BX181">
        <f>'Ref scen Calcs'!E683</f>
        <v>0</v>
      </c>
      <c r="BY181">
        <f>'Ref scen Calcs'!F683</f>
        <v>0</v>
      </c>
      <c r="BZ181">
        <f>'Ref scen Calcs'!G683</f>
        <v>0</v>
      </c>
      <c r="CA181">
        <f>'Ref scen Calcs'!H683</f>
        <v>0</v>
      </c>
      <c r="CB181">
        <f>'Ref scen Calcs'!I683</f>
        <v>0</v>
      </c>
      <c r="CC181">
        <f>'Ref scen Calcs'!J683</f>
        <v>0</v>
      </c>
      <c r="CD181">
        <f>'Ref scen Calcs'!K683</f>
        <v>0</v>
      </c>
      <c r="CE181">
        <f>'Ref scen Calcs'!L683</f>
        <v>0</v>
      </c>
      <c r="CF181">
        <f>'Ref scen Calcs'!M683</f>
        <v>0</v>
      </c>
      <c r="CG181">
        <f>'Ref scen Calcs'!N683</f>
        <v>0</v>
      </c>
      <c r="CH181">
        <f>'Ref scen Calcs'!O683</f>
        <v>0</v>
      </c>
      <c r="CI181">
        <f>'Ref scen Calcs'!P683</f>
        <v>0</v>
      </c>
      <c r="CJ181">
        <f>'Ref scen Calcs'!Q683</f>
        <v>0</v>
      </c>
      <c r="CK181">
        <f>'Ref scen Calcs'!R683</f>
        <v>0</v>
      </c>
      <c r="CL181">
        <f>'Ref scen Calcs'!S683</f>
        <v>0</v>
      </c>
      <c r="CM181">
        <f>'Ref scen Calcs'!T683</f>
        <v>0</v>
      </c>
      <c r="CN181">
        <f>'Ref scen Calcs'!U683</f>
        <v>0</v>
      </c>
      <c r="CO181">
        <f>'Ref scen Calcs'!V683</f>
        <v>0</v>
      </c>
      <c r="CP181">
        <f>'Ref scen Calcs'!W683</f>
        <v>0</v>
      </c>
      <c r="CQ181">
        <f>'Ref scen Calcs'!X683</f>
        <v>0</v>
      </c>
      <c r="CR181">
        <f>'Ref scen Calcs'!Y683</f>
        <v>0</v>
      </c>
      <c r="CS181">
        <f>'Ref scen Calcs'!Z683</f>
        <v>0</v>
      </c>
      <c r="CT181">
        <f>'Ref scen Calcs'!AA683</f>
        <v>0</v>
      </c>
      <c r="CU181">
        <f>'Ref scen Calcs'!AB683</f>
        <v>0</v>
      </c>
      <c r="CV181">
        <f>'Ref scen Calcs'!AC683</f>
        <v>0</v>
      </c>
    </row>
    <row r="182" spans="1:100">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row>
    <row r="183" spans="1:100">
      <c r="A183" s="11" t="s">
        <v>273</v>
      </c>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row>
    <row r="184" spans="1:100">
      <c r="B184" s="4">
        <v>2005</v>
      </c>
      <c r="C184" s="4">
        <v>2006</v>
      </c>
      <c r="D184" s="4">
        <v>2007</v>
      </c>
      <c r="E184" s="4">
        <v>2008</v>
      </c>
      <c r="F184" s="4">
        <v>2009</v>
      </c>
      <c r="G184" s="4">
        <v>2010</v>
      </c>
      <c r="H184" s="4">
        <v>2011</v>
      </c>
      <c r="I184" s="4">
        <v>2012</v>
      </c>
      <c r="J184" s="4">
        <v>2013</v>
      </c>
      <c r="K184" s="4">
        <v>2014</v>
      </c>
      <c r="L184" s="4">
        <v>2015</v>
      </c>
      <c r="M184" s="4">
        <v>2016</v>
      </c>
      <c r="N184" s="4">
        <v>2017</v>
      </c>
      <c r="O184" s="4">
        <v>2018</v>
      </c>
      <c r="P184" s="4">
        <v>2019</v>
      </c>
      <c r="Q184" s="4">
        <v>2020</v>
      </c>
      <c r="R184" s="4">
        <v>2021</v>
      </c>
      <c r="S184" s="4">
        <v>2022</v>
      </c>
      <c r="T184" s="4">
        <v>2023</v>
      </c>
      <c r="U184" s="4">
        <v>2024</v>
      </c>
      <c r="V184" s="4">
        <v>2025</v>
      </c>
      <c r="W184" s="4">
        <v>2026</v>
      </c>
      <c r="X184" s="4">
        <v>2027</v>
      </c>
      <c r="Y184" s="4">
        <v>2028</v>
      </c>
      <c r="Z184" s="4">
        <v>2029</v>
      </c>
      <c r="AA184" s="4">
        <v>2030</v>
      </c>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row>
    <row r="185" spans="1:100">
      <c r="A185" t="str">
        <f>'Ref scen Calcs'!C665</f>
        <v>Annualised capital cost</v>
      </c>
      <c r="B185">
        <f ca="1">'Ref scen Calcs'!D665</f>
        <v>0</v>
      </c>
      <c r="C185">
        <f ca="1">'Ref scen Calcs'!E665</f>
        <v>0</v>
      </c>
      <c r="D185">
        <f ca="1">'Ref scen Calcs'!F665</f>
        <v>0</v>
      </c>
      <c r="E185">
        <f ca="1">'Ref scen Calcs'!G665</f>
        <v>0</v>
      </c>
      <c r="F185">
        <f ca="1">'Ref scen Calcs'!H665</f>
        <v>0</v>
      </c>
      <c r="G185">
        <f ca="1">'Ref scen Calcs'!I665</f>
        <v>0</v>
      </c>
      <c r="H185">
        <f ca="1">'Ref scen Calcs'!J665</f>
        <v>0</v>
      </c>
      <c r="I185">
        <f ca="1">'Ref scen Calcs'!K665</f>
        <v>1663.2311120001971</v>
      </c>
      <c r="J185">
        <f ca="1">'Ref scen Calcs'!L665</f>
        <v>4979.3946913442433</v>
      </c>
      <c r="K185">
        <f ca="1">'Ref scen Calcs'!M665</f>
        <v>9938.1920933757901</v>
      </c>
      <c r="L185">
        <f ca="1">'Ref scen Calcs'!N665</f>
        <v>14881.541528422815</v>
      </c>
      <c r="M185">
        <f ca="1">'Ref scen Calcs'!O665</f>
        <v>18166.809173797817</v>
      </c>
      <c r="N185">
        <f ca="1">'Ref scen Calcs'!P665</f>
        <v>21441.778174516472</v>
      </c>
      <c r="O185">
        <f ca="1">'Ref scen Calcs'!Q665</f>
        <v>26338.783708609932</v>
      </c>
      <c r="P185">
        <f ca="1">'Ref scen Calcs'!R665</f>
        <v>31220.341275718871</v>
      </c>
      <c r="Q185">
        <f ca="1">'Ref scen Calcs'!S665</f>
        <v>36086.450875843286</v>
      </c>
      <c r="R185">
        <f ca="1">'Ref scen Calcs'!T665</f>
        <v>42553.999720029809</v>
      </c>
      <c r="S185">
        <f ca="1">'Ref scen Calcs'!U665</f>
        <v>49000.951274903637</v>
      </c>
      <c r="T185">
        <f ca="1">'Ref scen Calcs'!V665</f>
        <v>53820.716974074487</v>
      </c>
      <c r="U185">
        <f ca="1">'Ref scen Calcs'!W665</f>
        <v>60228.710227448304</v>
      </c>
      <c r="V185">
        <f ca="1">'Ref scen Calcs'!X665</f>
        <v>66618.342468634801</v>
      </c>
      <c r="W185">
        <f ca="1">'Ref scen Calcs'!Y665</f>
        <v>74582.431504883774</v>
      </c>
      <c r="X185">
        <f ca="1">'Ref scen Calcs'!Z665</f>
        <v>82523.569275898597</v>
      </c>
      <c r="Y185">
        <f ca="1">'Ref scen Calcs'!AA665</f>
        <v>90441.755781679283</v>
      </c>
      <c r="Z185">
        <f ca="1">'Ref scen Calcs'!AB665</f>
        <v>99916.038070335126</v>
      </c>
      <c r="AA185">
        <f ca="1">'Ref scen Calcs'!AC665</f>
        <v>109362.77884070999</v>
      </c>
      <c r="AP185" s="11">
        <f ca="1">'Alt scen Calcs'!D665</f>
        <v>0</v>
      </c>
      <c r="AQ185" s="11">
        <f ca="1">'Alt scen Calcs'!E665</f>
        <v>0</v>
      </c>
      <c r="AR185" s="11">
        <f ca="1">'Alt scen Calcs'!F665</f>
        <v>0</v>
      </c>
      <c r="AS185" s="11">
        <f ca="1">'Alt scen Calcs'!G665</f>
        <v>0</v>
      </c>
      <c r="AT185" s="11">
        <f ca="1">'Alt scen Calcs'!H665</f>
        <v>0</v>
      </c>
      <c r="AU185" s="11">
        <f ca="1">'Alt scen Calcs'!I665</f>
        <v>0</v>
      </c>
      <c r="AV185" s="11">
        <f ca="1">'Alt scen Calcs'!J665</f>
        <v>0</v>
      </c>
      <c r="AW185" s="11">
        <f ca="1">'Alt scen Calcs'!K665</f>
        <v>0</v>
      </c>
      <c r="AX185" s="11">
        <f ca="1">'Alt scen Calcs'!L665</f>
        <v>0</v>
      </c>
      <c r="AY185" s="11">
        <f ca="1">'Alt scen Calcs'!M665</f>
        <v>0</v>
      </c>
      <c r="AZ185" s="11">
        <f ca="1">'Alt scen Calcs'!N665</f>
        <v>0</v>
      </c>
      <c r="BA185" s="11">
        <f ca="1">'Alt scen Calcs'!O665</f>
        <v>0</v>
      </c>
      <c r="BB185" s="11">
        <f ca="1">'Alt scen Calcs'!P665</f>
        <v>0</v>
      </c>
      <c r="BC185" s="11">
        <f ca="1">'Alt scen Calcs'!Q665</f>
        <v>0</v>
      </c>
      <c r="BD185" s="11">
        <f ca="1">'Alt scen Calcs'!R665</f>
        <v>0</v>
      </c>
      <c r="BE185" s="11">
        <f ca="1">'Alt scen Calcs'!S665</f>
        <v>0</v>
      </c>
      <c r="BF185" s="11">
        <f ca="1">'Alt scen Calcs'!T665</f>
        <v>0</v>
      </c>
      <c r="BG185" s="11">
        <f ca="1">'Alt scen Calcs'!U665</f>
        <v>0</v>
      </c>
      <c r="BH185" s="11">
        <f ca="1">'Alt scen Calcs'!V665</f>
        <v>0</v>
      </c>
      <c r="BI185" s="11">
        <f ca="1">'Alt scen Calcs'!W665</f>
        <v>0</v>
      </c>
      <c r="BJ185" s="11">
        <f ca="1">'Alt scen Calcs'!X665</f>
        <v>0</v>
      </c>
      <c r="BK185" s="11">
        <f ca="1">'Alt scen Calcs'!Y665</f>
        <v>0</v>
      </c>
      <c r="BL185" s="11">
        <f ca="1">'Alt scen Calcs'!Z665</f>
        <v>0</v>
      </c>
      <c r="BM185" s="11">
        <f ca="1">'Alt scen Calcs'!AA665</f>
        <v>0</v>
      </c>
      <c r="BN185" s="11">
        <f ca="1">'Alt scen Calcs'!AB665</f>
        <v>0</v>
      </c>
      <c r="BO185" s="11">
        <f ca="1">'Alt scen Calcs'!AC665</f>
        <v>0</v>
      </c>
      <c r="BW185">
        <f ca="1">'Alt scen Calcs'!D678</f>
        <v>0</v>
      </c>
      <c r="BX185">
        <f ca="1">'Alt scen Calcs'!E678</f>
        <v>0</v>
      </c>
      <c r="BY185">
        <f ca="1">'Alt scen Calcs'!F678</f>
        <v>0</v>
      </c>
      <c r="BZ185">
        <f ca="1">'Alt scen Calcs'!G678</f>
        <v>0</v>
      </c>
      <c r="CA185">
        <f ca="1">'Alt scen Calcs'!H678</f>
        <v>0</v>
      </c>
      <c r="CB185">
        <f ca="1">'Alt scen Calcs'!I678</f>
        <v>0</v>
      </c>
      <c r="CC185">
        <f ca="1">'Alt scen Calcs'!J678</f>
        <v>0</v>
      </c>
      <c r="CD185">
        <f ca="1">'Alt scen Calcs'!K678</f>
        <v>0</v>
      </c>
      <c r="CE185">
        <f ca="1">'Alt scen Calcs'!L678</f>
        <v>0</v>
      </c>
      <c r="CF185">
        <f ca="1">'Alt scen Calcs'!M678</f>
        <v>0</v>
      </c>
      <c r="CG185">
        <f ca="1">'Alt scen Calcs'!N678</f>
        <v>0</v>
      </c>
      <c r="CH185">
        <f ca="1">'Alt scen Calcs'!O678</f>
        <v>0</v>
      </c>
      <c r="CI185">
        <f ca="1">'Alt scen Calcs'!P678</f>
        <v>0</v>
      </c>
      <c r="CJ185">
        <f ca="1">'Alt scen Calcs'!Q678</f>
        <v>0</v>
      </c>
      <c r="CK185">
        <f ca="1">'Alt scen Calcs'!R678</f>
        <v>0</v>
      </c>
      <c r="CL185">
        <f ca="1">'Alt scen Calcs'!S678</f>
        <v>0</v>
      </c>
      <c r="CM185">
        <f ca="1">'Alt scen Calcs'!T678</f>
        <v>0</v>
      </c>
      <c r="CN185">
        <f ca="1">'Alt scen Calcs'!U678</f>
        <v>0</v>
      </c>
      <c r="CO185">
        <f ca="1">'Alt scen Calcs'!V678</f>
        <v>0</v>
      </c>
      <c r="CP185">
        <f ca="1">'Alt scen Calcs'!W678</f>
        <v>0</v>
      </c>
      <c r="CQ185">
        <f ca="1">'Alt scen Calcs'!X678</f>
        <v>0</v>
      </c>
      <c r="CR185">
        <f ca="1">'Alt scen Calcs'!Y678</f>
        <v>0</v>
      </c>
      <c r="CS185">
        <f ca="1">'Alt scen Calcs'!Z678</f>
        <v>0</v>
      </c>
      <c r="CT185">
        <f ca="1">'Alt scen Calcs'!AA678</f>
        <v>0</v>
      </c>
      <c r="CU185">
        <f ca="1">'Alt scen Calcs'!AB678</f>
        <v>0</v>
      </c>
      <c r="CV185">
        <f ca="1">'Alt scen Calcs'!AC678</f>
        <v>0</v>
      </c>
    </row>
    <row r="186" spans="1:100">
      <c r="A186" t="str">
        <f>'Ref scen Calcs'!C666</f>
        <v>Fixed O&amp;M</v>
      </c>
      <c r="B186">
        <f>'Ref scen Calcs'!D666</f>
        <v>0</v>
      </c>
      <c r="C186">
        <f>'Ref scen Calcs'!E666</f>
        <v>0</v>
      </c>
      <c r="D186">
        <f>'Ref scen Calcs'!F666</f>
        <v>0</v>
      </c>
      <c r="E186">
        <f>'Ref scen Calcs'!G666</f>
        <v>0</v>
      </c>
      <c r="F186">
        <f>'Ref scen Calcs'!H666</f>
        <v>0</v>
      </c>
      <c r="G186">
        <f ca="1">'Ref scen Calcs'!I666</f>
        <v>0</v>
      </c>
      <c r="H186">
        <f ca="1">'Ref scen Calcs'!J666</f>
        <v>0</v>
      </c>
      <c r="I186">
        <f ca="1">'Ref scen Calcs'!K666</f>
        <v>182.33827776393036</v>
      </c>
      <c r="J186">
        <f ca="1">'Ref scen Calcs'!L666</f>
        <v>547.01483329179109</v>
      </c>
      <c r="K186">
        <f ca="1">'Ref scen Calcs'!M666</f>
        <v>1094.0296665835822</v>
      </c>
      <c r="L186">
        <f ca="1">'Ref scen Calcs'!N666</f>
        <v>1641.0444998753735</v>
      </c>
      <c r="M186">
        <f ca="1">'Ref scen Calcs'!O666</f>
        <v>2005.7210554032342</v>
      </c>
      <c r="N186">
        <f ca="1">'Ref scen Calcs'!P666</f>
        <v>2370.3976109310952</v>
      </c>
      <c r="O186">
        <f ca="1">'Ref scen Calcs'!Q666</f>
        <v>2917.4124442228863</v>
      </c>
      <c r="P186">
        <f ca="1">'Ref scen Calcs'!R666</f>
        <v>3464.4272775146774</v>
      </c>
      <c r="Q186">
        <f ca="1">'Ref scen Calcs'!S666</f>
        <v>4011.4421108064685</v>
      </c>
      <c r="R186">
        <f ca="1">'Ref scen Calcs'!T666</f>
        <v>4740.7952218621904</v>
      </c>
      <c r="S186">
        <f ca="1">'Ref scen Calcs'!U666</f>
        <v>5470.1483329179127</v>
      </c>
      <c r="T186">
        <f ca="1">'Ref scen Calcs'!V666</f>
        <v>6017.1631662097034</v>
      </c>
      <c r="U186">
        <f ca="1">'Ref scen Calcs'!W666</f>
        <v>6746.5162772654248</v>
      </c>
      <c r="V186">
        <f ca="1">'Ref scen Calcs'!X666</f>
        <v>7475.8693883211472</v>
      </c>
      <c r="W186">
        <f ca="1">'Ref scen Calcs'!Y666</f>
        <v>8387.5607771407977</v>
      </c>
      <c r="X186">
        <f ca="1">'Ref scen Calcs'!Z666</f>
        <v>9299.2521659604499</v>
      </c>
      <c r="Y186">
        <f ca="1">'Ref scen Calcs'!AA666</f>
        <v>10210.943554780102</v>
      </c>
      <c r="Z186">
        <f ca="1">'Ref scen Calcs'!AB666</f>
        <v>11304.973221363683</v>
      </c>
      <c r="AA186">
        <f ca="1">'Ref scen Calcs'!AC666</f>
        <v>12399.002887947267</v>
      </c>
      <c r="AP186" s="11">
        <f>'Alt scen Calcs'!D666</f>
        <v>1493.6648015951273</v>
      </c>
      <c r="AQ186" s="11">
        <f>'Alt scen Calcs'!E666</f>
        <v>1493.6648015951273</v>
      </c>
      <c r="AR186" s="11">
        <f>'Alt scen Calcs'!F666</f>
        <v>1493.6648015951273</v>
      </c>
      <c r="AS186" s="11">
        <f>'Alt scen Calcs'!G666</f>
        <v>1493.6648015951273</v>
      </c>
      <c r="AT186" s="11">
        <f>'Alt scen Calcs'!H666</f>
        <v>1493.6648015951273</v>
      </c>
      <c r="AU186" s="11">
        <f ca="1">'Alt scen Calcs'!I666</f>
        <v>1681.3883251159868</v>
      </c>
      <c r="AV186" s="11">
        <f ca="1">'Alt scen Calcs'!J666</f>
        <v>1792.4283009614148</v>
      </c>
      <c r="AW186" s="11">
        <f ca="1">'Alt scen Calcs'!K666</f>
        <v>1792.4283009614148</v>
      </c>
      <c r="AX186" s="11">
        <f ca="1">'Alt scen Calcs'!L666</f>
        <v>1792.4283009614148</v>
      </c>
      <c r="AY186" s="11">
        <f ca="1">'Alt scen Calcs'!M666</f>
        <v>1792.4283009614148</v>
      </c>
      <c r="AZ186" s="11">
        <f ca="1">'Alt scen Calcs'!N666</f>
        <v>1792.4283009614148</v>
      </c>
      <c r="BA186" s="11">
        <f ca="1">'Alt scen Calcs'!O666</f>
        <v>1782.121372510416</v>
      </c>
      <c r="BB186" s="11">
        <f ca="1">'Alt scen Calcs'!P666</f>
        <v>1771.8144440594174</v>
      </c>
      <c r="BC186" s="11">
        <f ca="1">'Alt scen Calcs'!Q666</f>
        <v>1758.0718727914189</v>
      </c>
      <c r="BD186" s="11">
        <f ca="1">'Alt scen Calcs'!R666</f>
        <v>1744.3293015234203</v>
      </c>
      <c r="BE186" s="11">
        <f ca="1">'Alt scen Calcs'!S666</f>
        <v>1483.2204474314485</v>
      </c>
      <c r="BF186" s="11">
        <f ca="1">'Alt scen Calcs'!T666</f>
        <v>1222.1115933394767</v>
      </c>
      <c r="BG186" s="11">
        <f ca="1">'Alt scen Calcs'!U666</f>
        <v>1222.1115933394767</v>
      </c>
      <c r="BH186" s="11">
        <f ca="1">'Alt scen Calcs'!V666</f>
        <v>1222.1115933394767</v>
      </c>
      <c r="BI186" s="11">
        <f ca="1">'Alt scen Calcs'!W666</f>
        <v>1222.1115933394767</v>
      </c>
      <c r="BJ186" s="11">
        <f ca="1">'Alt scen Calcs'!X666</f>
        <v>1101.8030166499655</v>
      </c>
      <c r="BK186" s="11">
        <f ca="1">'Alt scen Calcs'!Y666</f>
        <v>981.49443996045386</v>
      </c>
      <c r="BL186" s="11">
        <f ca="1">'Alt scen Calcs'!Z666</f>
        <v>981.49443996045386</v>
      </c>
      <c r="BM186" s="11">
        <f ca="1">'Alt scen Calcs'!AA666</f>
        <v>981.49443996045386</v>
      </c>
      <c r="BN186" s="11">
        <f ca="1">'Alt scen Calcs'!AB666</f>
        <v>981.49443996045386</v>
      </c>
      <c r="BO186" s="11">
        <f ca="1">'Alt scen Calcs'!AC666</f>
        <v>981.49443996045386</v>
      </c>
      <c r="BW186">
        <f>'Alt scen Calcs'!D679</f>
        <v>6048.8582920974877</v>
      </c>
      <c r="BX186">
        <f>'Alt scen Calcs'!E679</f>
        <v>6048.8582920974877</v>
      </c>
      <c r="BY186">
        <f>'Alt scen Calcs'!F679</f>
        <v>6048.8582920974877</v>
      </c>
      <c r="BZ186">
        <f>'Alt scen Calcs'!G679</f>
        <v>6048.8582920974877</v>
      </c>
      <c r="CA186">
        <f>'Alt scen Calcs'!H679</f>
        <v>6048.8582920974877</v>
      </c>
      <c r="CB186">
        <f ca="1">'Alt scen Calcs'!I679</f>
        <v>6048.8582920974877</v>
      </c>
      <c r="CC186">
        <f ca="1">'Alt scen Calcs'!J679</f>
        <v>6048.8582920974877</v>
      </c>
      <c r="CD186">
        <f ca="1">'Alt scen Calcs'!K679</f>
        <v>6048.8582920974877</v>
      </c>
      <c r="CE186">
        <f ca="1">'Alt scen Calcs'!L679</f>
        <v>6048.8582920974877</v>
      </c>
      <c r="CF186">
        <f ca="1">'Alt scen Calcs'!M679</f>
        <v>6048.8582920974877</v>
      </c>
      <c r="CG186">
        <f ca="1">'Alt scen Calcs'!N679</f>
        <v>6048.8582920974877</v>
      </c>
      <c r="CH186">
        <f ca="1">'Alt scen Calcs'!O679</f>
        <v>6048.8582920974877</v>
      </c>
      <c r="CI186">
        <f ca="1">'Alt scen Calcs'!P679</f>
        <v>6048.8582920974877</v>
      </c>
      <c r="CJ186">
        <f ca="1">'Alt scen Calcs'!Q679</f>
        <v>6048.8582920974877</v>
      </c>
      <c r="CK186">
        <f ca="1">'Alt scen Calcs'!R679</f>
        <v>6048.8582920974877</v>
      </c>
      <c r="CL186">
        <f ca="1">'Alt scen Calcs'!S679</f>
        <v>6048.8582920974877</v>
      </c>
      <c r="CM186">
        <f ca="1">'Alt scen Calcs'!T679</f>
        <v>6048.8582920974877</v>
      </c>
      <c r="CN186">
        <f ca="1">'Alt scen Calcs'!U679</f>
        <v>6048.8582920974877</v>
      </c>
      <c r="CO186">
        <f ca="1">'Alt scen Calcs'!V679</f>
        <v>6048.8582920974877</v>
      </c>
      <c r="CP186">
        <f ca="1">'Alt scen Calcs'!W679</f>
        <v>5822.5546442686946</v>
      </c>
      <c r="CQ186">
        <f ca="1">'Alt scen Calcs'!X679</f>
        <v>5596.2509964399023</v>
      </c>
      <c r="CR186">
        <f ca="1">'Alt scen Calcs'!Y679</f>
        <v>5313.3714366539116</v>
      </c>
      <c r="CS186">
        <f ca="1">'Alt scen Calcs'!Z679</f>
        <v>5030.4918768679208</v>
      </c>
      <c r="CT186">
        <f ca="1">'Alt scen Calcs'!AA679</f>
        <v>4688.0587255480368</v>
      </c>
      <c r="CU186">
        <f ca="1">'Alt scen Calcs'!AB679</f>
        <v>4003.1924229082706</v>
      </c>
      <c r="CV186">
        <f ca="1">'Alt scen Calcs'!AC679</f>
        <v>3660.759271588387</v>
      </c>
    </row>
    <row r="187" spans="1:100">
      <c r="A187" t="str">
        <f>'Ref scen Calcs'!C667</f>
        <v>Variable O&amp;M</v>
      </c>
      <c r="B187">
        <f>'Ref scen Calcs'!D667</f>
        <v>0</v>
      </c>
      <c r="C187">
        <f>'Ref scen Calcs'!E667</f>
        <v>0</v>
      </c>
      <c r="D187">
        <f>'Ref scen Calcs'!F667</f>
        <v>0</v>
      </c>
      <c r="E187">
        <f>'Ref scen Calcs'!G667</f>
        <v>0</v>
      </c>
      <c r="F187">
        <f>'Ref scen Calcs'!H667</f>
        <v>0</v>
      </c>
      <c r="G187">
        <f ca="1">'Ref scen Calcs'!I667</f>
        <v>0</v>
      </c>
      <c r="H187">
        <f ca="1">'Ref scen Calcs'!J667</f>
        <v>0</v>
      </c>
      <c r="I187">
        <f ca="1">'Ref scen Calcs'!K667</f>
        <v>48.637467264562815</v>
      </c>
      <c r="J187">
        <f ca="1">'Ref scen Calcs'!L667</f>
        <v>145.91240179368845</v>
      </c>
      <c r="K187">
        <f ca="1">'Ref scen Calcs'!M667</f>
        <v>395.93259436795495</v>
      </c>
      <c r="L187">
        <f ca="1">'Ref scen Calcs'!N667</f>
        <v>634.90858210113413</v>
      </c>
      <c r="M187">
        <f ca="1">'Ref scen Calcs'!O667</f>
        <v>889.44735295258897</v>
      </c>
      <c r="N187">
        <f ca="1">'Ref scen Calcs'!P667</f>
        <v>1139.8384979675045</v>
      </c>
      <c r="O187">
        <f ca="1">'Ref scen Calcs'!Q667</f>
        <v>1404.5829784013692</v>
      </c>
      <c r="P187">
        <f ca="1">'Ref scen Calcs'!R667</f>
        <v>1681.6167205731413</v>
      </c>
      <c r="Q187">
        <f ca="1">'Ref scen Calcs'!S667</f>
        <v>2014.6601122471457</v>
      </c>
      <c r="R187">
        <f ca="1">'Ref scen Calcs'!T667</f>
        <v>2362.1433864631931</v>
      </c>
      <c r="S187">
        <f ca="1">'Ref scen Calcs'!U667</f>
        <v>2656.2940910619604</v>
      </c>
      <c r="T187">
        <f ca="1">'Ref scen Calcs'!V667</f>
        <v>2965.1839958554015</v>
      </c>
      <c r="U187">
        <f ca="1">'Ref scen Calcs'!W667</f>
        <v>3540.2504699366732</v>
      </c>
      <c r="V187">
        <f ca="1">'Ref scen Calcs'!X667</f>
        <v>4156.2353870160068</v>
      </c>
      <c r="W187">
        <f ca="1">'Ref scen Calcs'!Y667</f>
        <v>4856.2091461159016</v>
      </c>
      <c r="X187">
        <f ca="1">'Ref scen Calcs'!Z667</f>
        <v>5550.8344272626282</v>
      </c>
      <c r="Y187">
        <f ca="1">'Ref scen Calcs'!AA667</f>
        <v>6323.1404122713675</v>
      </c>
      <c r="Z187">
        <f ca="1">'Ref scen Calcs'!AB667</f>
        <v>7475.9709408687568</v>
      </c>
      <c r="AA187">
        <f ca="1">'Ref scen Calcs'!AC667</f>
        <v>8156.0010610577383</v>
      </c>
      <c r="AP187" s="11">
        <f>'Alt scen Calcs'!D667</f>
        <v>111.0511073795959</v>
      </c>
      <c r="AQ187" s="11">
        <f>'Alt scen Calcs'!E667</f>
        <v>111.0511073795959</v>
      </c>
      <c r="AR187" s="11">
        <f>'Alt scen Calcs'!F667</f>
        <v>111.0511073795959</v>
      </c>
      <c r="AS187" s="11">
        <f>'Alt scen Calcs'!G667</f>
        <v>111.0511073795959</v>
      </c>
      <c r="AT187" s="11">
        <f>'Alt scen Calcs'!H667</f>
        <v>111.0511073795959</v>
      </c>
      <c r="AU187" s="11">
        <f ca="1">'Alt scen Calcs'!I667</f>
        <v>125.00799057449215</v>
      </c>
      <c r="AV187" s="11">
        <f ca="1">'Alt scen Calcs'!J667</f>
        <v>133.26359937498717</v>
      </c>
      <c r="AW187" s="11">
        <f ca="1">'Alt scen Calcs'!K667</f>
        <v>133.26359937498717</v>
      </c>
      <c r="AX187" s="11">
        <f ca="1">'Alt scen Calcs'!L667</f>
        <v>133.26359937498717</v>
      </c>
      <c r="AY187" s="11">
        <f ca="1">'Alt scen Calcs'!M667</f>
        <v>133.26359937498717</v>
      </c>
      <c r="AZ187" s="11">
        <f ca="1">'Alt scen Calcs'!N667</f>
        <v>133.26359937498717</v>
      </c>
      <c r="BA187" s="11">
        <f ca="1">'Alt scen Calcs'!O667</f>
        <v>132.49729905315905</v>
      </c>
      <c r="BB187" s="11">
        <f ca="1">'Alt scen Calcs'!P667</f>
        <v>131.73099873133091</v>
      </c>
      <c r="BC187" s="11">
        <f ca="1">'Alt scen Calcs'!Q667</f>
        <v>130.70926496889342</v>
      </c>
      <c r="BD187" s="11">
        <f ca="1">'Alt scen Calcs'!R667</f>
        <v>129.68753120645593</v>
      </c>
      <c r="BE187" s="11">
        <f ca="1">'Alt scen Calcs'!S667</f>
        <v>110.27458972014341</v>
      </c>
      <c r="BF187" s="11">
        <f ca="1">'Alt scen Calcs'!T667</f>
        <v>90.861648233830905</v>
      </c>
      <c r="BG187" s="11">
        <f ca="1">'Alt scen Calcs'!U667</f>
        <v>90.861648233830905</v>
      </c>
      <c r="BH187" s="11">
        <f ca="1">'Alt scen Calcs'!V667</f>
        <v>90.861648233830905</v>
      </c>
      <c r="BI187" s="11">
        <f ca="1">'Alt scen Calcs'!W667</f>
        <v>90.861648233830905</v>
      </c>
      <c r="BJ187" s="11">
        <f ca="1">'Alt scen Calcs'!X667</f>
        <v>81.916936773558604</v>
      </c>
      <c r="BK187" s="11">
        <f ca="1">'Alt scen Calcs'!Y667</f>
        <v>72.972225313286316</v>
      </c>
      <c r="BL187" s="11">
        <f ca="1">'Alt scen Calcs'!Z667</f>
        <v>72.972225313286316</v>
      </c>
      <c r="BM187" s="11">
        <f ca="1">'Alt scen Calcs'!AA667</f>
        <v>72.972225313286316</v>
      </c>
      <c r="BN187" s="11">
        <f ca="1">'Alt scen Calcs'!AB667</f>
        <v>72.972225313286316</v>
      </c>
      <c r="BO187" s="11">
        <f ca="1">'Alt scen Calcs'!AC667</f>
        <v>72.972225313286316</v>
      </c>
      <c r="BW187">
        <f>'Alt scen Calcs'!D680</f>
        <v>1683.8151698604067</v>
      </c>
      <c r="BX187">
        <f>'Alt scen Calcs'!E680</f>
        <v>1683.8151698604067</v>
      </c>
      <c r="BY187">
        <f>'Alt scen Calcs'!F680</f>
        <v>1739.2841301648871</v>
      </c>
      <c r="BZ187">
        <f>'Alt scen Calcs'!G680</f>
        <v>1758.6063755933469</v>
      </c>
      <c r="CA187">
        <f>'Alt scen Calcs'!H680</f>
        <v>1758.6063755933469</v>
      </c>
      <c r="CB187">
        <f ca="1">'Alt scen Calcs'!I680</f>
        <v>1800.1237409377582</v>
      </c>
      <c r="CC187">
        <f ca="1">'Alt scen Calcs'!J680</f>
        <v>1827.2975999015682</v>
      </c>
      <c r="CD187">
        <f ca="1">'Alt scen Calcs'!K680</f>
        <v>1857.9832761077053</v>
      </c>
      <c r="CE187">
        <f ca="1">'Alt scen Calcs'!L680</f>
        <v>1881.8811253902302</v>
      </c>
      <c r="CF187">
        <f ca="1">'Alt scen Calcs'!M680</f>
        <v>1900.7113850665073</v>
      </c>
      <c r="CG187">
        <f ca="1">'Alt scen Calcs'!N680</f>
        <v>1900.7113850665073</v>
      </c>
      <c r="CH187">
        <f ca="1">'Alt scen Calcs'!O680</f>
        <v>1900.7113850665073</v>
      </c>
      <c r="CI187">
        <f ca="1">'Alt scen Calcs'!P680</f>
        <v>1900.7113850665073</v>
      </c>
      <c r="CJ187">
        <f ca="1">'Alt scen Calcs'!Q680</f>
        <v>1900.7113850665073</v>
      </c>
      <c r="CK187">
        <f ca="1">'Alt scen Calcs'!R680</f>
        <v>1900.7113850665073</v>
      </c>
      <c r="CL187">
        <f ca="1">'Alt scen Calcs'!S680</f>
        <v>1900.7113850665073</v>
      </c>
      <c r="CM187">
        <f ca="1">'Alt scen Calcs'!T680</f>
        <v>1900.7113850665073</v>
      </c>
      <c r="CN187">
        <f ca="1">'Alt scen Calcs'!U680</f>
        <v>1900.7113850665073</v>
      </c>
      <c r="CO187">
        <f ca="1">'Alt scen Calcs'!V680</f>
        <v>1856.2780733494371</v>
      </c>
      <c r="CP187">
        <f ca="1">'Alt scen Calcs'!W680</f>
        <v>1802.0819189832125</v>
      </c>
      <c r="CQ187">
        <f ca="1">'Alt scen Calcs'!X680</f>
        <v>1758.4901925243644</v>
      </c>
      <c r="CR187">
        <f ca="1">'Alt scen Calcs'!Y680</f>
        <v>1669.6019471855252</v>
      </c>
      <c r="CS187">
        <f ca="1">'Alt scen Calcs'!Z680</f>
        <v>1580.7137018466856</v>
      </c>
      <c r="CT187">
        <f ca="1">'Alt scen Calcs'!AA680</f>
        <v>1473.1121416996696</v>
      </c>
      <c r="CU187">
        <f ca="1">'Alt scen Calcs'!AB680</f>
        <v>1257.9090214056378</v>
      </c>
      <c r="CV187">
        <f ca="1">'Alt scen Calcs'!AC680</f>
        <v>1150.3074612586215</v>
      </c>
    </row>
    <row r="188" spans="1:100">
      <c r="A188" t="str">
        <f>'Ref scen Calcs'!C668</f>
        <v>Fuel cost</v>
      </c>
      <c r="B188">
        <f>'Ref scen Calcs'!D668</f>
        <v>0</v>
      </c>
      <c r="C188">
        <f>'Ref scen Calcs'!E668</f>
        <v>0</v>
      </c>
      <c r="D188">
        <f>'Ref scen Calcs'!F668</f>
        <v>0</v>
      </c>
      <c r="E188">
        <f>'Ref scen Calcs'!G668</f>
        <v>0</v>
      </c>
      <c r="F188">
        <f>'Ref scen Calcs'!H668</f>
        <v>0</v>
      </c>
      <c r="G188">
        <f ca="1">'Ref scen Calcs'!I668</f>
        <v>0</v>
      </c>
      <c r="H188">
        <f ca="1">'Ref scen Calcs'!J668</f>
        <v>0</v>
      </c>
      <c r="I188">
        <f ca="1">'Ref scen Calcs'!K668</f>
        <v>122.86729193627549</v>
      </c>
      <c r="J188">
        <f ca="1">'Ref scen Calcs'!L668</f>
        <v>370.67267286393223</v>
      </c>
      <c r="K188">
        <f ca="1">'Ref scen Calcs'!M668</f>
        <v>1011.4375972470781</v>
      </c>
      <c r="L188">
        <f ca="1">'Ref scen Calcs'!N668</f>
        <v>1630.9291867617192</v>
      </c>
      <c r="M188">
        <f ca="1">'Ref scen Calcs'!O668</f>
        <v>2297.4018551360937</v>
      </c>
      <c r="N188">
        <f ca="1">'Ref scen Calcs'!P668</f>
        <v>2960.3273894779927</v>
      </c>
      <c r="O188">
        <f ca="1">'Ref scen Calcs'!Q668</f>
        <v>3667.8414703676976</v>
      </c>
      <c r="P188">
        <f ca="1">'Ref scen Calcs'!R668</f>
        <v>4415.1359195299719</v>
      </c>
      <c r="Q188">
        <f ca="1">'Ref scen Calcs'!S668</f>
        <v>5318.143658607969</v>
      </c>
      <c r="R188">
        <f ca="1">'Ref scen Calcs'!T668</f>
        <v>6268.9267536622992</v>
      </c>
      <c r="S188">
        <f ca="1">'Ref scen Calcs'!U668</f>
        <v>7087.2758707665353</v>
      </c>
      <c r="T188">
        <f ca="1">'Ref scen Calcs'!V668</f>
        <v>7953.509132024421</v>
      </c>
      <c r="U188">
        <f ca="1">'Ref scen Calcs'!W668</f>
        <v>9546.2526138869216</v>
      </c>
      <c r="V188">
        <f ca="1">'Ref scen Calcs'!X668</f>
        <v>11266.235767116954</v>
      </c>
      <c r="W188">
        <f ca="1">'Ref scen Calcs'!Y668</f>
        <v>13232.562189545028</v>
      </c>
      <c r="X188">
        <f ca="1">'Ref scen Calcs'!Z668</f>
        <v>15204.106907309551</v>
      </c>
      <c r="Y188">
        <f ca="1">'Ref scen Calcs'!AA668</f>
        <v>17409.243042093018</v>
      </c>
      <c r="Z188">
        <f ca="1">'Ref scen Calcs'!AB668</f>
        <v>20689.383435054984</v>
      </c>
      <c r="AA188">
        <f ca="1">'Ref scen Calcs'!AC668</f>
        <v>22687.083915604861</v>
      </c>
      <c r="AP188" s="11">
        <f>'Alt scen Calcs'!D668</f>
        <v>741.9842757023797</v>
      </c>
      <c r="AQ188" s="11">
        <f>'Alt scen Calcs'!E668</f>
        <v>851.8270806323203</v>
      </c>
      <c r="AR188" s="11">
        <f>'Alt scen Calcs'!F668</f>
        <v>961.6698855622609</v>
      </c>
      <c r="AS188" s="11">
        <f>'Alt scen Calcs'!G668</f>
        <v>1076.250263923074</v>
      </c>
      <c r="AT188" s="11">
        <f>'Alt scen Calcs'!H668</f>
        <v>1076.250263923074</v>
      </c>
      <c r="AU188" s="11">
        <f ca="1">'Alt scen Calcs'!I668</f>
        <v>1218.4361360426481</v>
      </c>
      <c r="AV188" s="11">
        <f ca="1">'Alt scen Calcs'!J668</f>
        <v>1306.2825765174923</v>
      </c>
      <c r="AW188" s="11">
        <f ca="1">'Alt scen Calcs'!K668</f>
        <v>1313.6627040684386</v>
      </c>
      <c r="AX188" s="11">
        <f ca="1">'Alt scen Calcs'!L668</f>
        <v>1321.0428316193847</v>
      </c>
      <c r="AY188" s="11">
        <f ca="1">'Alt scen Calcs'!M668</f>
        <v>1328.4229591703313</v>
      </c>
      <c r="AZ188" s="11">
        <f ca="1">'Alt scen Calcs'!N668</f>
        <v>1335.8030867212774</v>
      </c>
      <c r="BA188" s="11">
        <f ca="1">'Alt scen Calcs'!O668</f>
        <v>1335.4595617954913</v>
      </c>
      <c r="BB188" s="11">
        <f ca="1">'Alt scen Calcs'!P668</f>
        <v>1335.0311615677624</v>
      </c>
      <c r="BC188" s="11">
        <f ca="1">'Alt scen Calcs'!Q668</f>
        <v>1331.9150434452004</v>
      </c>
      <c r="BD188" s="11">
        <f ca="1">'Alt scen Calcs'!R668</f>
        <v>1328.6857582533819</v>
      </c>
      <c r="BE188" s="11">
        <f ca="1">'Alt scen Calcs'!S668</f>
        <v>1135.9016320574995</v>
      </c>
      <c r="BF188" s="11">
        <f ca="1">'Alt scen Calcs'!T668</f>
        <v>940.96733154574986</v>
      </c>
      <c r="BG188" s="11">
        <f ca="1">'Alt scen Calcs'!U668</f>
        <v>945.99924240963105</v>
      </c>
      <c r="BH188" s="11">
        <f ca="1">'Alt scen Calcs'!V668</f>
        <v>951.0311532735119</v>
      </c>
      <c r="BI188" s="11">
        <f ca="1">'Alt scen Calcs'!W668</f>
        <v>956.06306413739298</v>
      </c>
      <c r="BJ188" s="11">
        <f ca="1">'Alt scen Calcs'!X668</f>
        <v>866.48170962025745</v>
      </c>
      <c r="BK188" s="11">
        <f ca="1">'Alt scen Calcs'!Y668</f>
        <v>775.9096402823784</v>
      </c>
      <c r="BL188" s="11">
        <f ca="1">'Alt scen Calcs'!Z668</f>
        <v>779.95083632551564</v>
      </c>
      <c r="BM188" s="11">
        <f ca="1">'Alt scen Calcs'!AA668</f>
        <v>783.99203236865299</v>
      </c>
      <c r="BN188" s="11">
        <f ca="1">'Alt scen Calcs'!AB668</f>
        <v>788.03322841179056</v>
      </c>
      <c r="BO188" s="11">
        <f ca="1">'Alt scen Calcs'!AC668</f>
        <v>792.07442445492791</v>
      </c>
      <c r="BW188">
        <f>'Alt scen Calcs'!D681</f>
        <v>8523.1750722774159</v>
      </c>
      <c r="BX188">
        <f>'Alt scen Calcs'!E681</f>
        <v>10115.401768211486</v>
      </c>
      <c r="BY188">
        <f>'Alt scen Calcs'!F681</f>
        <v>12093.306174004372</v>
      </c>
      <c r="BZ188">
        <f>'Alt scen Calcs'!G681</f>
        <v>12971.008064332525</v>
      </c>
      <c r="CA188">
        <f>'Alt scen Calcs'!H681</f>
        <v>12971.008064332525</v>
      </c>
      <c r="CB188">
        <f ca="1">'Alt scen Calcs'!I681</f>
        <v>13353.098874788571</v>
      </c>
      <c r="CC188">
        <f ca="1">'Alt scen Calcs'!J681</f>
        <v>13631.686431701064</v>
      </c>
      <c r="CD188">
        <f ca="1">'Alt scen Calcs'!K681</f>
        <v>13938.910842200781</v>
      </c>
      <c r="CE188">
        <f ca="1">'Alt scen Calcs'!L681</f>
        <v>14197.512338749553</v>
      </c>
      <c r="CF188">
        <f ca="1">'Alt scen Calcs'!M681</f>
        <v>14419.683183713039</v>
      </c>
      <c r="CG188">
        <f ca="1">'Alt scen Calcs'!N681</f>
        <v>14499.792534733666</v>
      </c>
      <c r="CH188">
        <f ca="1">'Alt scen Calcs'!O681</f>
        <v>14579.901885754294</v>
      </c>
      <c r="CI188">
        <f ca="1">'Alt scen Calcs'!P681</f>
        <v>14660.011236774921</v>
      </c>
      <c r="CJ188">
        <f ca="1">'Alt scen Calcs'!Q681</f>
        <v>14740.120587795551</v>
      </c>
      <c r="CK188">
        <f ca="1">'Alt scen Calcs'!R681</f>
        <v>14820.229938816179</v>
      </c>
      <c r="CL188">
        <f ca="1">'Alt scen Calcs'!S681</f>
        <v>14900.339289836807</v>
      </c>
      <c r="CM188">
        <f ca="1">'Alt scen Calcs'!T681</f>
        <v>14980.448640857434</v>
      </c>
      <c r="CN188">
        <f ca="1">'Alt scen Calcs'!U681</f>
        <v>15060.557991878062</v>
      </c>
      <c r="CO188">
        <f ca="1">'Alt scen Calcs'!V681</f>
        <v>14786.720922133742</v>
      </c>
      <c r="CP188">
        <f ca="1">'Alt scen Calcs'!W681</f>
        <v>14430.958160453863</v>
      </c>
      <c r="CQ188">
        <f ca="1">'Alt scen Calcs'!X681</f>
        <v>14155.993518194417</v>
      </c>
      <c r="CR188">
        <f ca="1">'Alt scen Calcs'!Y681</f>
        <v>13510.804462219186</v>
      </c>
      <c r="CS188">
        <f ca="1">'Alt scen Calcs'!Z681</f>
        <v>12858.122654105562</v>
      </c>
      <c r="CT188">
        <f ca="1">'Alt scen Calcs'!AA681</f>
        <v>12044.938208080182</v>
      </c>
      <c r="CU188">
        <f ca="1">'Alt scen Calcs'!AB681</f>
        <v>10338.341658396081</v>
      </c>
      <c r="CV188">
        <f ca="1">'Alt scen Calcs'!AC681</f>
        <v>9502.4817782676801</v>
      </c>
    </row>
    <row r="189" spans="1:100">
      <c r="A189" t="str">
        <f>'Ref scen Calcs'!C669</f>
        <v>Carbon tax</v>
      </c>
      <c r="B189">
        <f>'Ref scen Calcs'!D669</f>
        <v>0</v>
      </c>
      <c r="C189">
        <f>'Ref scen Calcs'!E669</f>
        <v>0</v>
      </c>
      <c r="D189">
        <f>'Ref scen Calcs'!F669</f>
        <v>0</v>
      </c>
      <c r="E189">
        <f>'Ref scen Calcs'!G669</f>
        <v>0</v>
      </c>
      <c r="F189">
        <f>'Ref scen Calcs'!H669</f>
        <v>0</v>
      </c>
      <c r="G189">
        <f ca="1">'Ref scen Calcs'!I669</f>
        <v>0</v>
      </c>
      <c r="H189">
        <f ca="1">'Ref scen Calcs'!J669</f>
        <v>0</v>
      </c>
      <c r="I189">
        <f ca="1">'Ref scen Calcs'!K669</f>
        <v>158.22929501800579</v>
      </c>
      <c r="J189">
        <f ca="1">'Ref scen Calcs'!L669</f>
        <v>474.68788505401739</v>
      </c>
      <c r="K189">
        <f ca="1">'Ref scen Calcs'!M669</f>
        <v>1288.0632731288806</v>
      </c>
      <c r="L189">
        <f ca="1">'Ref scen Calcs'!N669</f>
        <v>2065.5092256405369</v>
      </c>
      <c r="M189">
        <f ca="1">'Ref scen Calcs'!O669</f>
        <v>8680.753883489735</v>
      </c>
      <c r="N189">
        <f ca="1">'Ref scen Calcs'!P669</f>
        <v>11124.500438318741</v>
      </c>
      <c r="O189">
        <f ca="1">'Ref scen Calcs'!Q669</f>
        <v>13708.331475681161</v>
      </c>
      <c r="P189">
        <f ca="1">'Ref scen Calcs'!R669</f>
        <v>16412.10222190035</v>
      </c>
      <c r="Q189">
        <f ca="1">'Ref scen Calcs'!S669</f>
        <v>32770.852101300065</v>
      </c>
      <c r="R189">
        <f ca="1">'Ref scen Calcs'!T669</f>
        <v>38423.08242927742</v>
      </c>
      <c r="S189">
        <f ca="1">'Ref scen Calcs'!U669</f>
        <v>43207.794836745226</v>
      </c>
      <c r="T189">
        <f ca="1">'Ref scen Calcs'!V669</f>
        <v>48232.257933043795</v>
      </c>
      <c r="U189">
        <f ca="1">'Ref scen Calcs'!W669</f>
        <v>57586.400726645508</v>
      </c>
      <c r="V189">
        <f ca="1">'Ref scen Calcs'!X669</f>
        <v>67606.130849620269</v>
      </c>
      <c r="W189">
        <f ca="1">'Ref scen Calcs'!Y669</f>
        <v>78992.039765376729</v>
      </c>
      <c r="X189">
        <f ca="1">'Ref scen Calcs'!Z669</f>
        <v>90290.949301483575</v>
      </c>
      <c r="Y189">
        <f ca="1">'Ref scen Calcs'!AA669</f>
        <v>102853.42823170895</v>
      </c>
      <c r="Z189">
        <f ca="1">'Ref scen Calcs'!AB669</f>
        <v>121605.59318542403</v>
      </c>
      <c r="AA189">
        <f ca="1">'Ref scen Calcs'!AC669</f>
        <v>132667.09500286239</v>
      </c>
      <c r="AP189" s="11">
        <f>'Alt scen Calcs'!D669</f>
        <v>0</v>
      </c>
      <c r="AQ189" s="11">
        <f>'Alt scen Calcs'!E669</f>
        <v>0</v>
      </c>
      <c r="AR189" s="11">
        <f>'Alt scen Calcs'!F669</f>
        <v>0</v>
      </c>
      <c r="AS189" s="11">
        <f>'Alt scen Calcs'!G669</f>
        <v>0</v>
      </c>
      <c r="AT189" s="11">
        <f>'Alt scen Calcs'!H669</f>
        <v>0</v>
      </c>
      <c r="AU189" s="11">
        <f ca="1">'Alt scen Calcs'!I669</f>
        <v>0</v>
      </c>
      <c r="AV189" s="11">
        <f ca="1">'Alt scen Calcs'!J669</f>
        <v>0</v>
      </c>
      <c r="AW189" s="11">
        <f ca="1">'Alt scen Calcs'!K669</f>
        <v>1691.7433458531966</v>
      </c>
      <c r="AX189" s="11">
        <f ca="1">'Alt scen Calcs'!L669</f>
        <v>1691.7433458531966</v>
      </c>
      <c r="AY189" s="11">
        <f ca="1">'Alt scen Calcs'!M669</f>
        <v>1691.7433458531966</v>
      </c>
      <c r="AZ189" s="11">
        <f ca="1">'Alt scen Calcs'!N669</f>
        <v>1691.7433458531966</v>
      </c>
      <c r="BA189" s="11">
        <f ca="1">'Alt scen Calcs'!O669</f>
        <v>5046.0461461640862</v>
      </c>
      <c r="BB189" s="11">
        <f ca="1">'Alt scen Calcs'!P669</f>
        <v>5016.8622547685818</v>
      </c>
      <c r="BC189" s="11">
        <f ca="1">'Alt scen Calcs'!Q669</f>
        <v>4977.9503995745754</v>
      </c>
      <c r="BD189" s="11">
        <f ca="1">'Alt scen Calcs'!R669</f>
        <v>4939.038544380569</v>
      </c>
      <c r="BE189" s="11">
        <f ca="1">'Alt scen Calcs'!S669</f>
        <v>6999.5221594907471</v>
      </c>
      <c r="BF189" s="11">
        <f ca="1">'Alt scen Calcs'!T669</f>
        <v>5767.313411680545</v>
      </c>
      <c r="BG189" s="11">
        <f ca="1">'Alt scen Calcs'!U669</f>
        <v>5767.313411680545</v>
      </c>
      <c r="BH189" s="11">
        <f ca="1">'Alt scen Calcs'!V669</f>
        <v>5767.313411680545</v>
      </c>
      <c r="BI189" s="11">
        <f ca="1">'Alt scen Calcs'!W669</f>
        <v>5767.313411680545</v>
      </c>
      <c r="BJ189" s="11">
        <f ca="1">'Alt scen Calcs'!X669</f>
        <v>5199.5606208035515</v>
      </c>
      <c r="BK189" s="11">
        <f ca="1">'Alt scen Calcs'!Y669</f>
        <v>4631.807829926559</v>
      </c>
      <c r="BL189" s="11">
        <f ca="1">'Alt scen Calcs'!Z669</f>
        <v>4631.807829926559</v>
      </c>
      <c r="BM189" s="11">
        <f ca="1">'Alt scen Calcs'!AA669</f>
        <v>4631.807829926559</v>
      </c>
      <c r="BN189" s="11">
        <f ca="1">'Alt scen Calcs'!AB669</f>
        <v>4631.807829926559</v>
      </c>
      <c r="BO189" s="11">
        <f ca="1">'Alt scen Calcs'!AC669</f>
        <v>4631.807829926559</v>
      </c>
      <c r="BW189">
        <f>'Alt scen Calcs'!D682</f>
        <v>0</v>
      </c>
      <c r="BX189">
        <f>'Alt scen Calcs'!E682</f>
        <v>0</v>
      </c>
      <c r="BY189">
        <f>'Alt scen Calcs'!F682</f>
        <v>0</v>
      </c>
      <c r="BZ189">
        <f>'Alt scen Calcs'!G682</f>
        <v>0</v>
      </c>
      <c r="CA189">
        <f>'Alt scen Calcs'!H682</f>
        <v>0</v>
      </c>
      <c r="CB189">
        <f ca="1">'Alt scen Calcs'!I682</f>
        <v>0</v>
      </c>
      <c r="CC189">
        <f ca="1">'Alt scen Calcs'!J682</f>
        <v>0</v>
      </c>
      <c r="CD189">
        <f ca="1">'Alt scen Calcs'!K682</f>
        <v>22548.959202984657</v>
      </c>
      <c r="CE189">
        <f ca="1">'Alt scen Calcs'!L682</f>
        <v>22838.989600696103</v>
      </c>
      <c r="CF189">
        <f ca="1">'Alt scen Calcs'!M682</f>
        <v>23067.518437678682</v>
      </c>
      <c r="CG189">
        <f ca="1">'Alt scen Calcs'!N682</f>
        <v>23067.518437678682</v>
      </c>
      <c r="CH189">
        <f ca="1">'Alt scen Calcs'!O682</f>
        <v>69202.555313036049</v>
      </c>
      <c r="CI189">
        <f ca="1">'Alt scen Calcs'!P682</f>
        <v>69202.555313036049</v>
      </c>
      <c r="CJ189">
        <f ca="1">'Alt scen Calcs'!Q682</f>
        <v>69202.555313036049</v>
      </c>
      <c r="CK189">
        <f ca="1">'Alt scen Calcs'!R682</f>
        <v>69202.555313036049</v>
      </c>
      <c r="CL189">
        <f ca="1">'Alt scen Calcs'!S682</f>
        <v>115337.59218839342</v>
      </c>
      <c r="CM189">
        <f ca="1">'Alt scen Calcs'!T682</f>
        <v>115337.59218839342</v>
      </c>
      <c r="CN189">
        <f ca="1">'Alt scen Calcs'!U682</f>
        <v>115337.59218839342</v>
      </c>
      <c r="CO189">
        <f ca="1">'Alt scen Calcs'!V682</f>
        <v>112641.32213568162</v>
      </c>
      <c r="CP189">
        <f ca="1">'Alt scen Calcs'!W682</f>
        <v>109352.63033345299</v>
      </c>
      <c r="CQ189">
        <f ca="1">'Alt scen Calcs'!X682</f>
        <v>106707.42874808832</v>
      </c>
      <c r="CR189">
        <f ca="1">'Alt scen Calcs'!Y682</f>
        <v>101313.57659789764</v>
      </c>
      <c r="CS189">
        <f ca="1">'Alt scen Calcs'!Z682</f>
        <v>95919.724447706918</v>
      </c>
      <c r="CT189">
        <f ca="1">'Alt scen Calcs'!AA682</f>
        <v>89390.324476423455</v>
      </c>
      <c r="CU189">
        <f ca="1">'Alt scen Calcs'!AB682</f>
        <v>76331.524533856515</v>
      </c>
      <c r="CV189">
        <f ca="1">'Alt scen Calcs'!AC682</f>
        <v>69802.124562573023</v>
      </c>
    </row>
    <row r="190" spans="1:100">
      <c r="A190" t="str">
        <f>'Ref scen Calcs'!C674</f>
        <v>Annual investment requirement</v>
      </c>
      <c r="B190">
        <f>'Ref scen Calcs'!D674</f>
        <v>0</v>
      </c>
      <c r="C190">
        <f>'Ref scen Calcs'!E674</f>
        <v>663.75232174368716</v>
      </c>
      <c r="D190">
        <f>'Ref scen Calcs'!F674</f>
        <v>2053.5222759085655</v>
      </c>
      <c r="E190">
        <f>'Ref scen Calcs'!G674</f>
        <v>3813.0002183239285</v>
      </c>
      <c r="F190">
        <f>'Ref scen Calcs'!H674</f>
        <v>9740.6803993905232</v>
      </c>
      <c r="G190">
        <f>'Ref scen Calcs'!I674</f>
        <v>21245.764687606472</v>
      </c>
      <c r="H190">
        <f>'Ref scen Calcs'!J674</f>
        <v>34313.993522929261</v>
      </c>
      <c r="I190">
        <f>'Ref scen Calcs'!K674</f>
        <v>43505.386962536453</v>
      </c>
      <c r="J190">
        <f>'Ref scen Calcs'!L674</f>
        <v>41373.521424703482</v>
      </c>
      <c r="K190">
        <f>'Ref scen Calcs'!M674</f>
        <v>34708.857909120299</v>
      </c>
      <c r="L190">
        <f>'Ref scen Calcs'!N674</f>
        <v>37940.691924532643</v>
      </c>
      <c r="M190">
        <f>'Ref scen Calcs'!O674</f>
        <v>45394.067356270752</v>
      </c>
      <c r="N190">
        <f>'Ref scen Calcs'!P674</f>
        <v>47015.681989247241</v>
      </c>
      <c r="O190">
        <f>'Ref scen Calcs'!Q674</f>
        <v>51503.338923124145</v>
      </c>
      <c r="P190">
        <f>'Ref scen Calcs'!R674</f>
        <v>58477.174735643042</v>
      </c>
      <c r="Q190">
        <f>'Ref scen Calcs'!S674</f>
        <v>56640.067418795952</v>
      </c>
      <c r="R190">
        <f ca="1">'Ref scen Calcs'!T674</f>
        <v>55069.273424150328</v>
      </c>
      <c r="S190">
        <f ca="1">'Ref scen Calcs'!U674</f>
        <v>60000.483870990036</v>
      </c>
      <c r="T190">
        <f ca="1">'Ref scen Calcs'!V674</f>
        <v>67090.983809082973</v>
      </c>
      <c r="U190">
        <f ca="1">'Ref scen Calcs'!W674</f>
        <v>74288.037740997534</v>
      </c>
      <c r="V190">
        <f ca="1">'Ref scen Calcs'!X674</f>
        <v>72662.922563527696</v>
      </c>
      <c r="W190">
        <f ca="1">'Ref scen Calcs'!Y674</f>
        <v>72909.761059705561</v>
      </c>
      <c r="X190">
        <f ca="1">'Ref scen Calcs'!Z674</f>
        <v>77194.778554316377</v>
      </c>
      <c r="Y190">
        <f ca="1">'Ref scen Calcs'!AA674</f>
        <v>51550.631258786714</v>
      </c>
      <c r="Z190">
        <f ca="1">'Ref scen Calcs'!AB674</f>
        <v>11797.18765209939</v>
      </c>
      <c r="AA190">
        <f ca="1">'Ref scen Calcs'!AC674</f>
        <v>0</v>
      </c>
      <c r="AP190" s="11">
        <f>'Alt scen Calcs'!D674</f>
        <v>0</v>
      </c>
      <c r="AQ190" s="11">
        <f>'Alt scen Calcs'!E674</f>
        <v>0</v>
      </c>
      <c r="AR190" s="11">
        <f>'Alt scen Calcs'!F674</f>
        <v>0</v>
      </c>
      <c r="AS190" s="11">
        <f>'Alt scen Calcs'!G674</f>
        <v>0</v>
      </c>
      <c r="AT190" s="11">
        <f>'Alt scen Calcs'!H674</f>
        <v>0</v>
      </c>
      <c r="AU190" s="11">
        <f>'Alt scen Calcs'!I674</f>
        <v>0</v>
      </c>
      <c r="AV190" s="11">
        <f>'Alt scen Calcs'!J674</f>
        <v>0</v>
      </c>
      <c r="AW190" s="11">
        <f>'Alt scen Calcs'!K674</f>
        <v>0</v>
      </c>
      <c r="AX190" s="11">
        <f>'Alt scen Calcs'!L674</f>
        <v>0</v>
      </c>
      <c r="AY190" s="11">
        <f>'Alt scen Calcs'!M674</f>
        <v>0</v>
      </c>
      <c r="AZ190" s="11">
        <f>'Alt scen Calcs'!N674</f>
        <v>0</v>
      </c>
      <c r="BA190" s="11">
        <f>'Alt scen Calcs'!O674</f>
        <v>0</v>
      </c>
      <c r="BB190" s="11">
        <f>'Alt scen Calcs'!P674</f>
        <v>0</v>
      </c>
      <c r="BC190" s="11">
        <f>'Alt scen Calcs'!Q674</f>
        <v>0</v>
      </c>
      <c r="BD190" s="11">
        <f>'Alt scen Calcs'!R674</f>
        <v>0</v>
      </c>
      <c r="BE190" s="11">
        <f>'Alt scen Calcs'!S674</f>
        <v>0</v>
      </c>
      <c r="BF190" s="11">
        <f>'Alt scen Calcs'!T674</f>
        <v>0</v>
      </c>
      <c r="BG190" s="11">
        <f>'Alt scen Calcs'!U674</f>
        <v>0</v>
      </c>
      <c r="BH190" s="11">
        <f>'Alt scen Calcs'!V674</f>
        <v>0</v>
      </c>
      <c r="BI190" s="11">
        <f>'Alt scen Calcs'!W674</f>
        <v>0</v>
      </c>
      <c r="BJ190" s="11">
        <f>'Alt scen Calcs'!X674</f>
        <v>0</v>
      </c>
      <c r="BK190" s="11">
        <f>'Alt scen Calcs'!Y674</f>
        <v>0</v>
      </c>
      <c r="BL190" s="11">
        <f>'Alt scen Calcs'!Z674</f>
        <v>0</v>
      </c>
      <c r="BM190" s="11">
        <f>'Alt scen Calcs'!AA674</f>
        <v>0</v>
      </c>
      <c r="BN190" s="11">
        <f>'Alt scen Calcs'!AB674</f>
        <v>0</v>
      </c>
      <c r="BO190" s="11">
        <f>'Alt scen Calcs'!AC674</f>
        <v>0</v>
      </c>
      <c r="BW190">
        <f>'Alt scen Calcs'!D683</f>
        <v>0</v>
      </c>
      <c r="BX190">
        <f>'Alt scen Calcs'!E683</f>
        <v>0</v>
      </c>
      <c r="BY190">
        <f>'Alt scen Calcs'!F683</f>
        <v>0</v>
      </c>
      <c r="BZ190">
        <f>'Alt scen Calcs'!G683</f>
        <v>0</v>
      </c>
      <c r="CA190">
        <f>'Alt scen Calcs'!H683</f>
        <v>0</v>
      </c>
      <c r="CB190">
        <f>'Alt scen Calcs'!I683</f>
        <v>0</v>
      </c>
      <c r="CC190">
        <f>'Alt scen Calcs'!J683</f>
        <v>0</v>
      </c>
      <c r="CD190">
        <f>'Alt scen Calcs'!K683</f>
        <v>0</v>
      </c>
      <c r="CE190">
        <f>'Alt scen Calcs'!L683</f>
        <v>0</v>
      </c>
      <c r="CF190">
        <f>'Alt scen Calcs'!M683</f>
        <v>0</v>
      </c>
      <c r="CG190">
        <f>'Alt scen Calcs'!N683</f>
        <v>0</v>
      </c>
      <c r="CH190">
        <f>'Alt scen Calcs'!O683</f>
        <v>0</v>
      </c>
      <c r="CI190">
        <f>'Alt scen Calcs'!P683</f>
        <v>0</v>
      </c>
      <c r="CJ190">
        <f>'Alt scen Calcs'!Q683</f>
        <v>0</v>
      </c>
      <c r="CK190">
        <f>'Alt scen Calcs'!R683</f>
        <v>0</v>
      </c>
      <c r="CL190">
        <f>'Alt scen Calcs'!S683</f>
        <v>0</v>
      </c>
      <c r="CM190">
        <f>'Alt scen Calcs'!T683</f>
        <v>0</v>
      </c>
      <c r="CN190">
        <f>'Alt scen Calcs'!U683</f>
        <v>0</v>
      </c>
      <c r="CO190">
        <f>'Alt scen Calcs'!V683</f>
        <v>0</v>
      </c>
      <c r="CP190">
        <f>'Alt scen Calcs'!W683</f>
        <v>0</v>
      </c>
      <c r="CQ190">
        <f>'Alt scen Calcs'!X683</f>
        <v>0</v>
      </c>
      <c r="CR190">
        <f>'Alt scen Calcs'!Y683</f>
        <v>0</v>
      </c>
      <c r="CS190">
        <f>'Alt scen Calcs'!Z683</f>
        <v>0</v>
      </c>
      <c r="CT190">
        <f>'Alt scen Calcs'!AA683</f>
        <v>0</v>
      </c>
      <c r="CU190">
        <f>'Alt scen Calcs'!AB683</f>
        <v>0</v>
      </c>
      <c r="CV190">
        <f>'Alt scen Calcs'!AC683</f>
        <v>0</v>
      </c>
    </row>
    <row r="221" spans="1:100">
      <c r="A221" s="4" t="s">
        <v>281</v>
      </c>
    </row>
    <row r="222" spans="1:100">
      <c r="A222" s="11"/>
      <c r="B222" s="4" t="s">
        <v>208</v>
      </c>
      <c r="AP222" s="4" t="s">
        <v>209</v>
      </c>
      <c r="BW222" s="4" t="s">
        <v>271</v>
      </c>
      <c r="BZ222" s="11" t="s">
        <v>280</v>
      </c>
      <c r="CC222" t="str">
        <f>"Reference "&amp;CC221</f>
        <v xml:space="preserve">Reference </v>
      </c>
    </row>
    <row r="223" spans="1:100">
      <c r="B223" s="4">
        <v>2005</v>
      </c>
      <c r="C223" s="4">
        <v>2006</v>
      </c>
      <c r="D223" s="4">
        <v>2007</v>
      </c>
      <c r="E223" s="4">
        <v>2008</v>
      </c>
      <c r="F223" s="4">
        <v>2009</v>
      </c>
      <c r="G223" s="4">
        <v>2010</v>
      </c>
      <c r="H223" s="4">
        <v>2011</v>
      </c>
      <c r="I223" s="4">
        <v>2012</v>
      </c>
      <c r="J223" s="4">
        <v>2013</v>
      </c>
      <c r="K223" s="4">
        <v>2014</v>
      </c>
      <c r="L223" s="4">
        <v>2015</v>
      </c>
      <c r="M223" s="4">
        <v>2016</v>
      </c>
      <c r="N223" s="4">
        <v>2017</v>
      </c>
      <c r="O223" s="4">
        <v>2018</v>
      </c>
      <c r="P223" s="4">
        <v>2019</v>
      </c>
      <c r="Q223" s="4">
        <v>2020</v>
      </c>
      <c r="R223" s="4">
        <v>2021</v>
      </c>
      <c r="S223" s="4">
        <v>2022</v>
      </c>
      <c r="T223" s="4">
        <v>2023</v>
      </c>
      <c r="U223" s="4">
        <v>2024</v>
      </c>
      <c r="V223" s="4">
        <v>2025</v>
      </c>
      <c r="W223" s="4">
        <v>2026</v>
      </c>
      <c r="X223" s="4">
        <v>2027</v>
      </c>
      <c r="Y223" s="4">
        <v>2028</v>
      </c>
      <c r="Z223" s="4">
        <v>2029</v>
      </c>
      <c r="AA223" s="4">
        <v>2030</v>
      </c>
      <c r="AP223" s="4">
        <v>2005</v>
      </c>
      <c r="AQ223" s="4">
        <v>2006</v>
      </c>
      <c r="AR223" s="4">
        <v>2007</v>
      </c>
      <c r="AS223" s="4">
        <v>2008</v>
      </c>
      <c r="AT223" s="4">
        <v>2009</v>
      </c>
      <c r="AU223" s="4">
        <v>2010</v>
      </c>
      <c r="AV223" s="4">
        <v>2011</v>
      </c>
      <c r="AW223" s="4">
        <v>2012</v>
      </c>
      <c r="AX223" s="4">
        <v>2013</v>
      </c>
      <c r="AY223" s="4">
        <v>2014</v>
      </c>
      <c r="AZ223" s="4">
        <v>2015</v>
      </c>
      <c r="BA223" s="4">
        <v>2016</v>
      </c>
      <c r="BB223" s="4">
        <v>2017</v>
      </c>
      <c r="BC223" s="4">
        <v>2018</v>
      </c>
      <c r="BD223" s="4">
        <v>2019</v>
      </c>
      <c r="BE223" s="4">
        <v>2020</v>
      </c>
      <c r="BF223" s="4">
        <v>2021</v>
      </c>
      <c r="BG223" s="4">
        <v>2022</v>
      </c>
      <c r="BH223" s="4">
        <v>2023</v>
      </c>
      <c r="BI223" s="4">
        <v>2024</v>
      </c>
      <c r="BJ223" s="4">
        <v>2025</v>
      </c>
      <c r="BK223" s="4">
        <v>2026</v>
      </c>
      <c r="BL223" s="4">
        <v>2027</v>
      </c>
      <c r="BM223" s="4">
        <v>2028</v>
      </c>
      <c r="BN223" s="4">
        <v>2029</v>
      </c>
      <c r="BO223" s="4">
        <v>2030</v>
      </c>
      <c r="BW223" s="4">
        <v>2005</v>
      </c>
      <c r="BX223" s="4">
        <v>2006</v>
      </c>
      <c r="BY223" s="4">
        <v>2007</v>
      </c>
      <c r="BZ223" s="4">
        <v>2008</v>
      </c>
      <c r="CA223" s="4">
        <v>2009</v>
      </c>
      <c r="CB223" s="4">
        <v>2010</v>
      </c>
      <c r="CC223" s="4">
        <v>2011</v>
      </c>
      <c r="CD223" s="4">
        <v>2012</v>
      </c>
      <c r="CE223" s="4">
        <v>2013</v>
      </c>
      <c r="CF223" s="4">
        <v>2014</v>
      </c>
      <c r="CG223" s="4">
        <v>2015</v>
      </c>
      <c r="CH223" s="4">
        <v>2016</v>
      </c>
      <c r="CI223" s="4">
        <v>2017</v>
      </c>
      <c r="CJ223" s="4">
        <v>2018</v>
      </c>
      <c r="CK223" s="4">
        <v>2019</v>
      </c>
      <c r="CL223" s="4">
        <v>2020</v>
      </c>
      <c r="CM223" s="4">
        <v>2021</v>
      </c>
      <c r="CN223" s="4">
        <v>2022</v>
      </c>
      <c r="CO223" s="4">
        <v>2023</v>
      </c>
      <c r="CP223" s="4">
        <v>2024</v>
      </c>
      <c r="CQ223" s="4">
        <v>2025</v>
      </c>
      <c r="CR223" s="4">
        <v>2026</v>
      </c>
      <c r="CS223" s="4">
        <v>2027</v>
      </c>
      <c r="CT223" s="4">
        <v>2028</v>
      </c>
      <c r="CU223" s="4">
        <v>2029</v>
      </c>
      <c r="CV223" s="4">
        <v>2030</v>
      </c>
    </row>
    <row r="224" spans="1:100">
      <c r="A224" t="str">
        <f>'Ref scen Calcs'!C760</f>
        <v>Existing coal Large</v>
      </c>
      <c r="B224">
        <f>'Ref scen Calcs'!D760</f>
        <v>205.31813431055303</v>
      </c>
      <c r="C224">
        <f>'Ref scen Calcs'!E760</f>
        <v>205.31813431055303</v>
      </c>
      <c r="D224">
        <f>'Ref scen Calcs'!F760</f>
        <v>212.08181220449086</v>
      </c>
      <c r="E224">
        <f>'Ref scen Calcs'!G760</f>
        <v>214.43789466120785</v>
      </c>
      <c r="F224">
        <f>'Ref scen Calcs'!H760</f>
        <v>214.43789466120785</v>
      </c>
      <c r="G224">
        <f ca="1">'Ref scen Calcs'!I760</f>
        <v>219.50036716210047</v>
      </c>
      <c r="H224">
        <f ca="1">'Ref scen Calcs'!J760</f>
        <v>223.33805865190286</v>
      </c>
      <c r="I224">
        <f ca="1">'Ref scen Calcs'!K760</f>
        <v>227.60396802282463</v>
      </c>
      <c r="J224">
        <f ca="1">'Ref scen Calcs'!L760</f>
        <v>231.56640772212245</v>
      </c>
      <c r="K224">
        <f ca="1">'Ref scen Calcs'!M760</f>
        <v>231.76564888474982</v>
      </c>
      <c r="L224">
        <f ca="1">'Ref scen Calcs'!N760</f>
        <v>231.76564888474982</v>
      </c>
      <c r="M224">
        <f ca="1">'Ref scen Calcs'!O760</f>
        <v>231.76564888474982</v>
      </c>
      <c r="N224">
        <f ca="1">'Ref scen Calcs'!P760</f>
        <v>231.76564888474982</v>
      </c>
      <c r="O224">
        <f ca="1">'Ref scen Calcs'!Q760</f>
        <v>231.76564888474982</v>
      </c>
      <c r="P224">
        <f ca="1">'Ref scen Calcs'!R760</f>
        <v>231.76564888474982</v>
      </c>
      <c r="Q224">
        <f ca="1">'Ref scen Calcs'!S760</f>
        <v>231.76564888474982</v>
      </c>
      <c r="R224">
        <f ca="1">'Ref scen Calcs'!T760</f>
        <v>231.76564888474982</v>
      </c>
      <c r="S224">
        <f ca="1">'Ref scen Calcs'!U760</f>
        <v>231.76564888474982</v>
      </c>
      <c r="T224">
        <f ca="1">'Ref scen Calcs'!V760</f>
        <v>231.76564888474982</v>
      </c>
      <c r="U224">
        <f ca="1">'Ref scen Calcs'!W760</f>
        <v>223.09468830818147</v>
      </c>
      <c r="V224">
        <f ca="1">'Ref scen Calcs'!X760</f>
        <v>214.42372773161313</v>
      </c>
      <c r="W224">
        <f ca="1">'Ref scen Calcs'!Y760</f>
        <v>203.58502701090265</v>
      </c>
      <c r="X224">
        <f ca="1">'Ref scen Calcs'!Z760</f>
        <v>192.74632629019214</v>
      </c>
      <c r="Y224">
        <f ca="1">'Ref scen Calcs'!AA760</f>
        <v>179.62579383880583</v>
      </c>
      <c r="Z224">
        <f ca="1">'Ref scen Calcs'!AB760</f>
        <v>153.3847289360331</v>
      </c>
      <c r="AA224">
        <f ca="1">'Ref scen Calcs'!AC760</f>
        <v>140.26419648464673</v>
      </c>
      <c r="AP224">
        <f>'Alt scen Calcs'!D760</f>
        <v>205.31813431055303</v>
      </c>
      <c r="AQ224">
        <f>'Alt scen Calcs'!E760</f>
        <v>205.31813431055303</v>
      </c>
      <c r="AR224">
        <f>'Alt scen Calcs'!F760</f>
        <v>212.08181220449086</v>
      </c>
      <c r="AS224">
        <f>'Alt scen Calcs'!G760</f>
        <v>214.43789466120785</v>
      </c>
      <c r="AT224">
        <f>'Alt scen Calcs'!H760</f>
        <v>214.43789466120785</v>
      </c>
      <c r="AU224">
        <f ca="1">'Alt scen Calcs'!I760</f>
        <v>219.50036716210047</v>
      </c>
      <c r="AV224">
        <f ca="1">'Alt scen Calcs'!J760</f>
        <v>222.81384605475711</v>
      </c>
      <c r="AW224">
        <f ca="1">'Alt scen Calcs'!K760</f>
        <v>226.55554282853311</v>
      </c>
      <c r="AX224">
        <f ca="1">'Alt scen Calcs'!L760</f>
        <v>229.4695573335394</v>
      </c>
      <c r="AY224">
        <f ca="1">'Alt scen Calcs'!M760</f>
        <v>231.76564888474982</v>
      </c>
      <c r="AZ224">
        <f ca="1">'Alt scen Calcs'!N760</f>
        <v>231.76564888474982</v>
      </c>
      <c r="BA224">
        <f ca="1">'Alt scen Calcs'!O760</f>
        <v>231.76564888474982</v>
      </c>
      <c r="BB224">
        <f ca="1">'Alt scen Calcs'!P760</f>
        <v>231.76564888474982</v>
      </c>
      <c r="BC224">
        <f ca="1">'Alt scen Calcs'!Q760</f>
        <v>231.76564888474982</v>
      </c>
      <c r="BD224">
        <f ca="1">'Alt scen Calcs'!R760</f>
        <v>231.76564888474982</v>
      </c>
      <c r="BE224">
        <f ca="1">'Alt scen Calcs'!S760</f>
        <v>231.76564888474982</v>
      </c>
      <c r="BF224">
        <f ca="1">'Alt scen Calcs'!T760</f>
        <v>231.76564888474982</v>
      </c>
      <c r="BG224">
        <f ca="1">'Alt scen Calcs'!U760</f>
        <v>231.76564888474982</v>
      </c>
      <c r="BH224">
        <f ca="1">'Alt scen Calcs'!V760</f>
        <v>226.34761677155512</v>
      </c>
      <c r="BI224">
        <f ca="1">'Alt scen Calcs'!W760</f>
        <v>219.73914008096773</v>
      </c>
      <c r="BJ224">
        <f ca="1">'Alt scen Calcs'!X760</f>
        <v>214.42372773161313</v>
      </c>
      <c r="BK224">
        <f ca="1">'Alt scen Calcs'!Y760</f>
        <v>203.58502701090265</v>
      </c>
      <c r="BL224">
        <f ca="1">'Alt scen Calcs'!Z760</f>
        <v>192.74632629019214</v>
      </c>
      <c r="BM224">
        <f ca="1">'Alt scen Calcs'!AA760</f>
        <v>179.62579383880583</v>
      </c>
      <c r="BN224">
        <f ca="1">'Alt scen Calcs'!AB760</f>
        <v>153.3847289360331</v>
      </c>
      <c r="BO224">
        <f ca="1">'Alt scen Calcs'!AC760</f>
        <v>140.26419648464673</v>
      </c>
    </row>
    <row r="225" spans="1:67">
      <c r="A225" t="str">
        <f>'Ref scen Calcs'!C761</f>
        <v>Existing coal Small</v>
      </c>
      <c r="B225">
        <f>'Ref scen Calcs'!D761</f>
        <v>14.164264318167939</v>
      </c>
      <c r="C225">
        <f>'Ref scen Calcs'!E761</f>
        <v>14.164264318167939</v>
      </c>
      <c r="D225">
        <f>'Ref scen Calcs'!F761</f>
        <v>14.164264318167939</v>
      </c>
      <c r="E225">
        <f>'Ref scen Calcs'!G761</f>
        <v>14.164264318167939</v>
      </c>
      <c r="F225">
        <f>'Ref scen Calcs'!H761</f>
        <v>14.164264318167939</v>
      </c>
      <c r="G225">
        <f ca="1">'Ref scen Calcs'!I761</f>
        <v>15.944426509208181</v>
      </c>
      <c r="H225">
        <f ca="1">'Ref scen Calcs'!J761</f>
        <v>16.997406780335936</v>
      </c>
      <c r="I225">
        <f ca="1">'Ref scen Calcs'!K761</f>
        <v>16.997406780335936</v>
      </c>
      <c r="J225">
        <f ca="1">'Ref scen Calcs'!L761</f>
        <v>16.997406780335936</v>
      </c>
      <c r="K225">
        <f ca="1">'Ref scen Calcs'!M761</f>
        <v>16.997406780335936</v>
      </c>
      <c r="L225">
        <f ca="1">'Ref scen Calcs'!N761</f>
        <v>16.997406780335936</v>
      </c>
      <c r="M225">
        <f ca="1">'Ref scen Calcs'!O761</f>
        <v>16.899667274971357</v>
      </c>
      <c r="N225">
        <f ca="1">'Ref scen Calcs'!P761</f>
        <v>16.801927769606777</v>
      </c>
      <c r="O225">
        <f ca="1">'Ref scen Calcs'!Q761</f>
        <v>16.671608429120667</v>
      </c>
      <c r="P225">
        <f ca="1">'Ref scen Calcs'!R761</f>
        <v>16.54128908863456</v>
      </c>
      <c r="Q225">
        <f ca="1">'Ref scen Calcs'!S761</f>
        <v>14.065221619398496</v>
      </c>
      <c r="R225">
        <f ca="1">'Ref scen Calcs'!T761</f>
        <v>11.589154150162432</v>
      </c>
      <c r="S225">
        <f ca="1">'Ref scen Calcs'!U761</f>
        <v>11.589154150162432</v>
      </c>
      <c r="T225">
        <f ca="1">'Ref scen Calcs'!V761</f>
        <v>11.589154150162432</v>
      </c>
      <c r="U225">
        <f ca="1">'Ref scen Calcs'!W761</f>
        <v>11.589154150162432</v>
      </c>
      <c r="V225">
        <f ca="1">'Ref scen Calcs'!X761</f>
        <v>10.448280723840154</v>
      </c>
      <c r="W225">
        <f ca="1">'Ref scen Calcs'!Y761</f>
        <v>9.3074072975178783</v>
      </c>
      <c r="X225">
        <f ca="1">'Ref scen Calcs'!Z761</f>
        <v>9.3074072975178783</v>
      </c>
      <c r="Y225">
        <f ca="1">'Ref scen Calcs'!AA761</f>
        <v>9.3074072975178783</v>
      </c>
      <c r="Z225">
        <f ca="1">'Ref scen Calcs'!AB761</f>
        <v>9.3074072975178783</v>
      </c>
      <c r="AA225">
        <f ca="1">'Ref scen Calcs'!AC761</f>
        <v>9.3074072975178783</v>
      </c>
      <c r="AP225">
        <f>'Alt scen Calcs'!D761</f>
        <v>14.164264318167939</v>
      </c>
      <c r="AQ225">
        <f>'Alt scen Calcs'!E761</f>
        <v>14.164264318167939</v>
      </c>
      <c r="AR225">
        <f>'Alt scen Calcs'!F761</f>
        <v>14.164264318167939</v>
      </c>
      <c r="AS225">
        <f>'Alt scen Calcs'!G761</f>
        <v>14.164264318167939</v>
      </c>
      <c r="AT225">
        <f>'Alt scen Calcs'!H761</f>
        <v>14.164264318167939</v>
      </c>
      <c r="AU225">
        <f ca="1">'Alt scen Calcs'!I761</f>
        <v>15.944426509208181</v>
      </c>
      <c r="AV225">
        <f ca="1">'Alt scen Calcs'!J761</f>
        <v>16.997406780335936</v>
      </c>
      <c r="AW225">
        <f ca="1">'Alt scen Calcs'!K761</f>
        <v>16.997406780335936</v>
      </c>
      <c r="AX225">
        <f ca="1">'Alt scen Calcs'!L761</f>
        <v>16.997406780335936</v>
      </c>
      <c r="AY225">
        <f ca="1">'Alt scen Calcs'!M761</f>
        <v>16.997406780335936</v>
      </c>
      <c r="AZ225">
        <f ca="1">'Alt scen Calcs'!N761</f>
        <v>16.997406780335936</v>
      </c>
      <c r="BA225">
        <f ca="1">'Alt scen Calcs'!O761</f>
        <v>16.899667274971357</v>
      </c>
      <c r="BB225">
        <f ca="1">'Alt scen Calcs'!P761</f>
        <v>16.801927769606777</v>
      </c>
      <c r="BC225">
        <f ca="1">'Alt scen Calcs'!Q761</f>
        <v>16.671608429120667</v>
      </c>
      <c r="BD225">
        <f ca="1">'Alt scen Calcs'!R761</f>
        <v>16.54128908863456</v>
      </c>
      <c r="BE225">
        <f ca="1">'Alt scen Calcs'!S761</f>
        <v>14.065221619398496</v>
      </c>
      <c r="BF225">
        <f ca="1">'Alt scen Calcs'!T761</f>
        <v>11.589154150162432</v>
      </c>
      <c r="BG225">
        <f ca="1">'Alt scen Calcs'!U761</f>
        <v>11.589154150162432</v>
      </c>
      <c r="BH225">
        <f ca="1">'Alt scen Calcs'!V761</f>
        <v>11.589154150162432</v>
      </c>
      <c r="BI225">
        <f ca="1">'Alt scen Calcs'!W761</f>
        <v>11.589154150162432</v>
      </c>
      <c r="BJ225">
        <f ca="1">'Alt scen Calcs'!X761</f>
        <v>10.448280723840154</v>
      </c>
      <c r="BK225">
        <f ca="1">'Alt scen Calcs'!Y761</f>
        <v>9.3074072975178783</v>
      </c>
      <c r="BL225">
        <f ca="1">'Alt scen Calcs'!Z761</f>
        <v>9.3074072975178783</v>
      </c>
      <c r="BM225">
        <f ca="1">'Alt scen Calcs'!AA761</f>
        <v>9.3074072975178783</v>
      </c>
      <c r="BN225">
        <f ca="1">'Alt scen Calcs'!AB761</f>
        <v>9.3074072975178783</v>
      </c>
      <c r="BO225">
        <f ca="1">'Alt scen Calcs'!AC761</f>
        <v>9.3074072975178783</v>
      </c>
    </row>
    <row r="226" spans="1:67">
      <c r="A226" t="str">
        <f>'Ref scen Calcs'!C762</f>
        <v>OCGT liquid fuels</v>
      </c>
      <c r="B226">
        <f>'Ref scen Calcs'!D762</f>
        <v>0.55239991945704037</v>
      </c>
      <c r="C226">
        <f>'Ref scen Calcs'!E762</f>
        <v>0.55239991945704037</v>
      </c>
      <c r="D226">
        <f>'Ref scen Calcs'!F762</f>
        <v>0.55239991945704037</v>
      </c>
      <c r="E226">
        <f>'Ref scen Calcs'!G762</f>
        <v>0.55239991945704037</v>
      </c>
      <c r="F226">
        <f>'Ref scen Calcs'!H762</f>
        <v>0.55239991945704037</v>
      </c>
      <c r="G226">
        <f ca="1">'Ref scen Calcs'!I762</f>
        <v>0.55239991945704037</v>
      </c>
      <c r="H226">
        <f ca="1">'Ref scen Calcs'!J762</f>
        <v>0.80097988321270841</v>
      </c>
      <c r="I226">
        <f ca="1">'Ref scen Calcs'!K762</f>
        <v>0.80097988321270841</v>
      </c>
      <c r="J226">
        <f ca="1">'Ref scen Calcs'!L762</f>
        <v>0.80097988321270841</v>
      </c>
      <c r="K226">
        <f ca="1">'Ref scen Calcs'!M762</f>
        <v>0.80097988321270841</v>
      </c>
      <c r="L226">
        <f ca="1">'Ref scen Calcs'!N762</f>
        <v>0.80097988321270841</v>
      </c>
      <c r="M226">
        <f ca="1">'Ref scen Calcs'!O762</f>
        <v>0.80097988321270841</v>
      </c>
      <c r="N226">
        <f ca="1">'Ref scen Calcs'!P762</f>
        <v>0.80097988321270841</v>
      </c>
      <c r="O226">
        <f ca="1">'Ref scen Calcs'!Q762</f>
        <v>0.80097988321270841</v>
      </c>
      <c r="P226">
        <f ca="1">'Ref scen Calcs'!R762</f>
        <v>0.80097988321270841</v>
      </c>
      <c r="Q226">
        <f ca="1">'Ref scen Calcs'!S762</f>
        <v>0.80097988321270841</v>
      </c>
      <c r="R226">
        <f ca="1">'Ref scen Calcs'!T762</f>
        <v>0.80097988321270841</v>
      </c>
      <c r="S226">
        <f ca="1">'Ref scen Calcs'!U762</f>
        <v>0.80097988321270841</v>
      </c>
      <c r="T226">
        <f ca="1">'Ref scen Calcs'!V762</f>
        <v>0.96669985904982081</v>
      </c>
      <c r="U226">
        <f ca="1">'Ref scen Calcs'!W762</f>
        <v>0.96669985904982081</v>
      </c>
      <c r="V226">
        <f ca="1">'Ref scen Calcs'!X762</f>
        <v>0.96669985904982081</v>
      </c>
      <c r="W226">
        <f ca="1">'Ref scen Calcs'!Y762</f>
        <v>1.1324198348869328</v>
      </c>
      <c r="X226">
        <f ca="1">'Ref scen Calcs'!Z762</f>
        <v>1.1324198348869328</v>
      </c>
      <c r="Y226">
        <f ca="1">'Ref scen Calcs'!AA762</f>
        <v>1.1324198348869328</v>
      </c>
      <c r="Z226">
        <f ca="1">'Ref scen Calcs'!AB762</f>
        <v>1.2981398107240447</v>
      </c>
      <c r="AA226">
        <f ca="1">'Ref scen Calcs'!AC762</f>
        <v>1.2587813164627306</v>
      </c>
      <c r="AP226">
        <f>'Alt scen Calcs'!D762</f>
        <v>0.55239991945704037</v>
      </c>
      <c r="AQ226">
        <f>'Alt scen Calcs'!E762</f>
        <v>0.55239991945704037</v>
      </c>
      <c r="AR226">
        <f>'Alt scen Calcs'!F762</f>
        <v>0.55239991945704037</v>
      </c>
      <c r="AS226">
        <f>'Alt scen Calcs'!G762</f>
        <v>0.55239991945704037</v>
      </c>
      <c r="AT226">
        <f>'Alt scen Calcs'!H762</f>
        <v>0.55239991945704037</v>
      </c>
      <c r="AU226">
        <f ca="1">'Alt scen Calcs'!I762</f>
        <v>0.55239991945704037</v>
      </c>
      <c r="AV226">
        <f ca="1">'Alt scen Calcs'!J762</f>
        <v>0.80097988321270841</v>
      </c>
      <c r="AW226">
        <f ca="1">'Alt scen Calcs'!K762</f>
        <v>0.80097988321270841</v>
      </c>
      <c r="AX226">
        <f ca="1">'Alt scen Calcs'!L762</f>
        <v>0.80097988321270841</v>
      </c>
      <c r="AY226">
        <f ca="1">'Alt scen Calcs'!M762</f>
        <v>0.80097988321270841</v>
      </c>
      <c r="AZ226">
        <f ca="1">'Alt scen Calcs'!N762</f>
        <v>0.80097988321270841</v>
      </c>
      <c r="BA226">
        <f ca="1">'Alt scen Calcs'!O762</f>
        <v>0.80097988321270841</v>
      </c>
      <c r="BB226">
        <f ca="1">'Alt scen Calcs'!P762</f>
        <v>0.80097988321270841</v>
      </c>
      <c r="BC226">
        <f ca="1">'Alt scen Calcs'!Q762</f>
        <v>0.80097988321270841</v>
      </c>
      <c r="BD226">
        <f ca="1">'Alt scen Calcs'!R762</f>
        <v>0.80097988321270841</v>
      </c>
      <c r="BE226">
        <f ca="1">'Alt scen Calcs'!S762</f>
        <v>0.80097988321270841</v>
      </c>
      <c r="BF226">
        <f ca="1">'Alt scen Calcs'!T762</f>
        <v>0.80097988321270841</v>
      </c>
      <c r="BG226">
        <f ca="1">'Alt scen Calcs'!U762</f>
        <v>0.80097988321270841</v>
      </c>
      <c r="BH226">
        <f ca="1">'Alt scen Calcs'!V762</f>
        <v>0.80097988321270841</v>
      </c>
      <c r="BI226">
        <f ca="1">'Alt scen Calcs'!W762</f>
        <v>0.80097988321270841</v>
      </c>
      <c r="BJ226">
        <f ca="1">'Alt scen Calcs'!X762</f>
        <v>0.80097988321270841</v>
      </c>
      <c r="BK226">
        <f ca="1">'Alt scen Calcs'!Y762</f>
        <v>0.96669985904982081</v>
      </c>
      <c r="BL226">
        <f ca="1">'Alt scen Calcs'!Z762</f>
        <v>0.96669985904982081</v>
      </c>
      <c r="BM226">
        <f ca="1">'Alt scen Calcs'!AA762</f>
        <v>0.96669985904982081</v>
      </c>
      <c r="BN226">
        <f ca="1">'Alt scen Calcs'!AB762</f>
        <v>1.1876598268326366</v>
      </c>
      <c r="BO226">
        <f ca="1">'Alt scen Calcs'!AC762</f>
        <v>1.3692613003541387</v>
      </c>
    </row>
    <row r="227" spans="1:67">
      <c r="A227" t="str">
        <f>'Ref scen Calcs'!C763</f>
        <v>PWR nuclear</v>
      </c>
      <c r="B227">
        <f>'Ref scen Calcs'!D763</f>
        <v>0</v>
      </c>
      <c r="C227">
        <f>'Ref scen Calcs'!E763</f>
        <v>0</v>
      </c>
      <c r="D227">
        <f>'Ref scen Calcs'!F763</f>
        <v>0</v>
      </c>
      <c r="E227">
        <f>'Ref scen Calcs'!G763</f>
        <v>0</v>
      </c>
      <c r="F227">
        <f>'Ref scen Calcs'!H763</f>
        <v>0</v>
      </c>
      <c r="G227">
        <f ca="1">'Ref scen Calcs'!I763</f>
        <v>0</v>
      </c>
      <c r="H227">
        <f ca="1">'Ref scen Calcs'!J763</f>
        <v>0</v>
      </c>
      <c r="I227">
        <f ca="1">'Ref scen Calcs'!K763</f>
        <v>0</v>
      </c>
      <c r="J227">
        <f ca="1">'Ref scen Calcs'!L763</f>
        <v>0</v>
      </c>
      <c r="K227">
        <f ca="1">'Ref scen Calcs'!M763</f>
        <v>0</v>
      </c>
      <c r="L227">
        <f ca="1">'Ref scen Calcs'!N763</f>
        <v>0</v>
      </c>
      <c r="M227">
        <f ca="1">'Ref scen Calcs'!O763</f>
        <v>0</v>
      </c>
      <c r="N227">
        <f ca="1">'Ref scen Calcs'!P763</f>
        <v>0</v>
      </c>
      <c r="O227">
        <f ca="1">'Ref scen Calcs'!Q763</f>
        <v>0</v>
      </c>
      <c r="P227">
        <f ca="1">'Ref scen Calcs'!R763</f>
        <v>0</v>
      </c>
      <c r="Q227">
        <f ca="1">'Ref scen Calcs'!S763</f>
        <v>0</v>
      </c>
      <c r="R227">
        <f ca="1">'Ref scen Calcs'!T763</f>
        <v>0</v>
      </c>
      <c r="S227">
        <f ca="1">'Ref scen Calcs'!U763</f>
        <v>0</v>
      </c>
      <c r="T227">
        <f ca="1">'Ref scen Calcs'!V763</f>
        <v>0</v>
      </c>
      <c r="U227">
        <f ca="1">'Ref scen Calcs'!W763</f>
        <v>0</v>
      </c>
      <c r="V227">
        <f ca="1">'Ref scen Calcs'!X763</f>
        <v>0</v>
      </c>
      <c r="W227">
        <f ca="1">'Ref scen Calcs'!Y763</f>
        <v>0</v>
      </c>
      <c r="X227">
        <f ca="1">'Ref scen Calcs'!Z763</f>
        <v>0</v>
      </c>
      <c r="Y227">
        <f ca="1">'Ref scen Calcs'!AA763</f>
        <v>0</v>
      </c>
      <c r="Z227">
        <f ca="1">'Ref scen Calcs'!AB763</f>
        <v>0</v>
      </c>
      <c r="AA227">
        <f ca="1">'Ref scen Calcs'!AC763</f>
        <v>0</v>
      </c>
      <c r="AP227">
        <f>'Alt scen Calcs'!D763</f>
        <v>0</v>
      </c>
      <c r="AQ227">
        <f>'Alt scen Calcs'!E763</f>
        <v>0</v>
      </c>
      <c r="AR227">
        <f>'Alt scen Calcs'!F763</f>
        <v>0</v>
      </c>
      <c r="AS227">
        <f>'Alt scen Calcs'!G763</f>
        <v>0</v>
      </c>
      <c r="AT227">
        <f>'Alt scen Calcs'!H763</f>
        <v>0</v>
      </c>
      <c r="AU227">
        <f ca="1">'Alt scen Calcs'!I763</f>
        <v>0</v>
      </c>
      <c r="AV227">
        <f ca="1">'Alt scen Calcs'!J763</f>
        <v>0</v>
      </c>
      <c r="AW227">
        <f ca="1">'Alt scen Calcs'!K763</f>
        <v>0</v>
      </c>
      <c r="AX227">
        <f ca="1">'Alt scen Calcs'!L763</f>
        <v>0</v>
      </c>
      <c r="AY227">
        <f ca="1">'Alt scen Calcs'!M763</f>
        <v>0</v>
      </c>
      <c r="AZ227">
        <f ca="1">'Alt scen Calcs'!N763</f>
        <v>0</v>
      </c>
      <c r="BA227">
        <f ca="1">'Alt scen Calcs'!O763</f>
        <v>0</v>
      </c>
      <c r="BB227">
        <f ca="1">'Alt scen Calcs'!P763</f>
        <v>0</v>
      </c>
      <c r="BC227">
        <f ca="1">'Alt scen Calcs'!Q763</f>
        <v>0</v>
      </c>
      <c r="BD227">
        <f ca="1">'Alt scen Calcs'!R763</f>
        <v>0</v>
      </c>
      <c r="BE227">
        <f ca="1">'Alt scen Calcs'!S763</f>
        <v>0</v>
      </c>
      <c r="BF227">
        <f ca="1">'Alt scen Calcs'!T763</f>
        <v>0</v>
      </c>
      <c r="BG227">
        <f ca="1">'Alt scen Calcs'!U763</f>
        <v>0</v>
      </c>
      <c r="BH227">
        <f ca="1">'Alt scen Calcs'!V763</f>
        <v>0</v>
      </c>
      <c r="BI227">
        <f ca="1">'Alt scen Calcs'!W763</f>
        <v>0</v>
      </c>
      <c r="BJ227">
        <f ca="1">'Alt scen Calcs'!X763</f>
        <v>0</v>
      </c>
      <c r="BK227">
        <f ca="1">'Alt scen Calcs'!Y763</f>
        <v>0</v>
      </c>
      <c r="BL227">
        <f ca="1">'Alt scen Calcs'!Z763</f>
        <v>0</v>
      </c>
      <c r="BM227">
        <f ca="1">'Alt scen Calcs'!AA763</f>
        <v>0</v>
      </c>
      <c r="BN227">
        <f ca="1">'Alt scen Calcs'!AB763</f>
        <v>0</v>
      </c>
      <c r="BO227">
        <f ca="1">'Alt scen Calcs'!AC763</f>
        <v>0</v>
      </c>
    </row>
    <row r="228" spans="1:67">
      <c r="A228" t="str">
        <f>'Ref scen Calcs'!C764</f>
        <v>Hydro</v>
      </c>
      <c r="B228">
        <f>'Ref scen Calcs'!D764</f>
        <v>0</v>
      </c>
      <c r="C228">
        <f>'Ref scen Calcs'!E764</f>
        <v>0</v>
      </c>
      <c r="D228">
        <f>'Ref scen Calcs'!F764</f>
        <v>0</v>
      </c>
      <c r="E228">
        <f>'Ref scen Calcs'!G764</f>
        <v>0</v>
      </c>
      <c r="F228">
        <f>'Ref scen Calcs'!H764</f>
        <v>0</v>
      </c>
      <c r="G228">
        <f ca="1">'Ref scen Calcs'!I764</f>
        <v>0</v>
      </c>
      <c r="H228">
        <f ca="1">'Ref scen Calcs'!J764</f>
        <v>0</v>
      </c>
      <c r="I228">
        <f ca="1">'Ref scen Calcs'!K764</f>
        <v>0</v>
      </c>
      <c r="J228">
        <f ca="1">'Ref scen Calcs'!L764</f>
        <v>0</v>
      </c>
      <c r="K228">
        <f ca="1">'Ref scen Calcs'!M764</f>
        <v>0</v>
      </c>
      <c r="L228">
        <f ca="1">'Ref scen Calcs'!N764</f>
        <v>0</v>
      </c>
      <c r="M228">
        <f ca="1">'Ref scen Calcs'!O764</f>
        <v>0</v>
      </c>
      <c r="N228">
        <f ca="1">'Ref scen Calcs'!P764</f>
        <v>0</v>
      </c>
      <c r="O228">
        <f ca="1">'Ref scen Calcs'!Q764</f>
        <v>0</v>
      </c>
      <c r="P228">
        <f ca="1">'Ref scen Calcs'!R764</f>
        <v>0</v>
      </c>
      <c r="Q228">
        <f ca="1">'Ref scen Calcs'!S764</f>
        <v>0</v>
      </c>
      <c r="R228">
        <f ca="1">'Ref scen Calcs'!T764</f>
        <v>0</v>
      </c>
      <c r="S228">
        <f ca="1">'Ref scen Calcs'!U764</f>
        <v>0</v>
      </c>
      <c r="T228">
        <f ca="1">'Ref scen Calcs'!V764</f>
        <v>0</v>
      </c>
      <c r="U228">
        <f ca="1">'Ref scen Calcs'!W764</f>
        <v>0</v>
      </c>
      <c r="V228">
        <f ca="1">'Ref scen Calcs'!X764</f>
        <v>0</v>
      </c>
      <c r="W228">
        <f ca="1">'Ref scen Calcs'!Y764</f>
        <v>0</v>
      </c>
      <c r="X228">
        <f ca="1">'Ref scen Calcs'!Z764</f>
        <v>0</v>
      </c>
      <c r="Y228">
        <f ca="1">'Ref scen Calcs'!AA764</f>
        <v>0</v>
      </c>
      <c r="Z228">
        <f ca="1">'Ref scen Calcs'!AB764</f>
        <v>0</v>
      </c>
      <c r="AA228">
        <f ca="1">'Ref scen Calcs'!AC764</f>
        <v>0</v>
      </c>
      <c r="AP228">
        <f>'Alt scen Calcs'!D764</f>
        <v>0</v>
      </c>
      <c r="AQ228">
        <f>'Alt scen Calcs'!E764</f>
        <v>0</v>
      </c>
      <c r="AR228">
        <f>'Alt scen Calcs'!F764</f>
        <v>0</v>
      </c>
      <c r="AS228">
        <f>'Alt scen Calcs'!G764</f>
        <v>0</v>
      </c>
      <c r="AT228">
        <f>'Alt scen Calcs'!H764</f>
        <v>0</v>
      </c>
      <c r="AU228">
        <f ca="1">'Alt scen Calcs'!I764</f>
        <v>0</v>
      </c>
      <c r="AV228">
        <f ca="1">'Alt scen Calcs'!J764</f>
        <v>0</v>
      </c>
      <c r="AW228">
        <f ca="1">'Alt scen Calcs'!K764</f>
        <v>0</v>
      </c>
      <c r="AX228">
        <f ca="1">'Alt scen Calcs'!L764</f>
        <v>0</v>
      </c>
      <c r="AY228">
        <f ca="1">'Alt scen Calcs'!M764</f>
        <v>0</v>
      </c>
      <c r="AZ228">
        <f ca="1">'Alt scen Calcs'!N764</f>
        <v>0</v>
      </c>
      <c r="BA228">
        <f ca="1">'Alt scen Calcs'!O764</f>
        <v>0</v>
      </c>
      <c r="BB228">
        <f ca="1">'Alt scen Calcs'!P764</f>
        <v>0</v>
      </c>
      <c r="BC228">
        <f ca="1">'Alt scen Calcs'!Q764</f>
        <v>0</v>
      </c>
      <c r="BD228">
        <f ca="1">'Alt scen Calcs'!R764</f>
        <v>0</v>
      </c>
      <c r="BE228">
        <f ca="1">'Alt scen Calcs'!S764</f>
        <v>0</v>
      </c>
      <c r="BF228">
        <f ca="1">'Alt scen Calcs'!T764</f>
        <v>0</v>
      </c>
      <c r="BG228">
        <f ca="1">'Alt scen Calcs'!U764</f>
        <v>0</v>
      </c>
      <c r="BH228">
        <f ca="1">'Alt scen Calcs'!V764</f>
        <v>0</v>
      </c>
      <c r="BI228">
        <f ca="1">'Alt scen Calcs'!W764</f>
        <v>0</v>
      </c>
      <c r="BJ228">
        <f ca="1">'Alt scen Calcs'!X764</f>
        <v>0</v>
      </c>
      <c r="BK228">
        <f ca="1">'Alt scen Calcs'!Y764</f>
        <v>0</v>
      </c>
      <c r="BL228">
        <f ca="1">'Alt scen Calcs'!Z764</f>
        <v>0</v>
      </c>
      <c r="BM228">
        <f ca="1">'Alt scen Calcs'!AA764</f>
        <v>0</v>
      </c>
      <c r="BN228">
        <f ca="1">'Alt scen Calcs'!AB764</f>
        <v>0</v>
      </c>
      <c r="BO228">
        <f ca="1">'Alt scen Calcs'!AC764</f>
        <v>0</v>
      </c>
    </row>
    <row r="229" spans="1:67">
      <c r="A229" t="str">
        <f>'Ref scen Calcs'!C765</f>
        <v>Landfill gas</v>
      </c>
      <c r="B229">
        <f>'Ref scen Calcs'!D765</f>
        <v>0</v>
      </c>
      <c r="C229">
        <f>'Ref scen Calcs'!E765</f>
        <v>0</v>
      </c>
      <c r="D229">
        <f>'Ref scen Calcs'!F765</f>
        <v>0</v>
      </c>
      <c r="E229">
        <f>'Ref scen Calcs'!G765</f>
        <v>0</v>
      </c>
      <c r="F229">
        <f>'Ref scen Calcs'!H765</f>
        <v>0</v>
      </c>
      <c r="G229">
        <f ca="1">'Ref scen Calcs'!I765</f>
        <v>0</v>
      </c>
      <c r="H229">
        <f ca="1">'Ref scen Calcs'!J765</f>
        <v>0</v>
      </c>
      <c r="I229">
        <f ca="1">'Ref scen Calcs'!K765</f>
        <v>0</v>
      </c>
      <c r="J229">
        <f ca="1">'Ref scen Calcs'!L765</f>
        <v>0</v>
      </c>
      <c r="K229">
        <f ca="1">'Ref scen Calcs'!M765</f>
        <v>0</v>
      </c>
      <c r="L229">
        <f ca="1">'Ref scen Calcs'!N765</f>
        <v>0</v>
      </c>
      <c r="M229">
        <f ca="1">'Ref scen Calcs'!O765</f>
        <v>0</v>
      </c>
      <c r="N229">
        <f ca="1">'Ref scen Calcs'!P765</f>
        <v>0</v>
      </c>
      <c r="O229">
        <f ca="1">'Ref scen Calcs'!Q765</f>
        <v>0</v>
      </c>
      <c r="P229">
        <f ca="1">'Ref scen Calcs'!R765</f>
        <v>0</v>
      </c>
      <c r="Q229">
        <f ca="1">'Ref scen Calcs'!S765</f>
        <v>0</v>
      </c>
      <c r="R229">
        <f ca="1">'Ref scen Calcs'!T765</f>
        <v>0</v>
      </c>
      <c r="S229">
        <f ca="1">'Ref scen Calcs'!U765</f>
        <v>0</v>
      </c>
      <c r="T229">
        <f ca="1">'Ref scen Calcs'!V765</f>
        <v>0</v>
      </c>
      <c r="U229">
        <f ca="1">'Ref scen Calcs'!W765</f>
        <v>0</v>
      </c>
      <c r="V229">
        <f ca="1">'Ref scen Calcs'!X765</f>
        <v>0</v>
      </c>
      <c r="W229">
        <f ca="1">'Ref scen Calcs'!Y765</f>
        <v>0</v>
      </c>
      <c r="X229">
        <f ca="1">'Ref scen Calcs'!Z765</f>
        <v>0</v>
      </c>
      <c r="Y229">
        <f ca="1">'Ref scen Calcs'!AA765</f>
        <v>0</v>
      </c>
      <c r="Z229">
        <f ca="1">'Ref scen Calcs'!AB765</f>
        <v>0</v>
      </c>
      <c r="AA229">
        <f ca="1">'Ref scen Calcs'!AC765</f>
        <v>0</v>
      </c>
      <c r="AP229">
        <f>'Alt scen Calcs'!D765</f>
        <v>0</v>
      </c>
      <c r="AQ229">
        <f>'Alt scen Calcs'!E765</f>
        <v>0</v>
      </c>
      <c r="AR229">
        <f>'Alt scen Calcs'!F765</f>
        <v>0</v>
      </c>
      <c r="AS229">
        <f>'Alt scen Calcs'!G765</f>
        <v>0</v>
      </c>
      <c r="AT229">
        <f>'Alt scen Calcs'!H765</f>
        <v>0</v>
      </c>
      <c r="AU229">
        <f ca="1">'Alt scen Calcs'!I765</f>
        <v>0</v>
      </c>
      <c r="AV229">
        <f ca="1">'Alt scen Calcs'!J765</f>
        <v>0</v>
      </c>
      <c r="AW229">
        <f ca="1">'Alt scen Calcs'!K765</f>
        <v>0</v>
      </c>
      <c r="AX229">
        <f ca="1">'Alt scen Calcs'!L765</f>
        <v>0</v>
      </c>
      <c r="AY229">
        <f ca="1">'Alt scen Calcs'!M765</f>
        <v>0</v>
      </c>
      <c r="AZ229">
        <f ca="1">'Alt scen Calcs'!N765</f>
        <v>0</v>
      </c>
      <c r="BA229">
        <f ca="1">'Alt scen Calcs'!O765</f>
        <v>0</v>
      </c>
      <c r="BB229">
        <f ca="1">'Alt scen Calcs'!P765</f>
        <v>0</v>
      </c>
      <c r="BC229">
        <f ca="1">'Alt scen Calcs'!Q765</f>
        <v>0</v>
      </c>
      <c r="BD229">
        <f ca="1">'Alt scen Calcs'!R765</f>
        <v>0</v>
      </c>
      <c r="BE229">
        <f ca="1">'Alt scen Calcs'!S765</f>
        <v>0</v>
      </c>
      <c r="BF229">
        <f ca="1">'Alt scen Calcs'!T765</f>
        <v>0</v>
      </c>
      <c r="BG229">
        <f ca="1">'Alt scen Calcs'!U765</f>
        <v>0</v>
      </c>
      <c r="BH229">
        <f ca="1">'Alt scen Calcs'!V765</f>
        <v>0</v>
      </c>
      <c r="BI229">
        <f ca="1">'Alt scen Calcs'!W765</f>
        <v>0</v>
      </c>
      <c r="BJ229">
        <f ca="1">'Alt scen Calcs'!X765</f>
        <v>0</v>
      </c>
      <c r="BK229">
        <f ca="1">'Alt scen Calcs'!Y765</f>
        <v>0</v>
      </c>
      <c r="BL229">
        <f ca="1">'Alt scen Calcs'!Z765</f>
        <v>0</v>
      </c>
      <c r="BM229">
        <f ca="1">'Alt scen Calcs'!AA765</f>
        <v>0</v>
      </c>
      <c r="BN229">
        <f ca="1">'Alt scen Calcs'!AB765</f>
        <v>0</v>
      </c>
      <c r="BO229">
        <f ca="1">'Alt scen Calcs'!AC765</f>
        <v>0</v>
      </c>
    </row>
    <row r="230" spans="1:67">
      <c r="A230" t="str">
        <f>'Ref scen Calcs'!C766</f>
        <v>Biomass</v>
      </c>
      <c r="B230">
        <f>'Ref scen Calcs'!D766</f>
        <v>0</v>
      </c>
      <c r="C230">
        <f>'Ref scen Calcs'!E766</f>
        <v>0</v>
      </c>
      <c r="D230">
        <f>'Ref scen Calcs'!F766</f>
        <v>0</v>
      </c>
      <c r="E230">
        <f>'Ref scen Calcs'!G766</f>
        <v>0</v>
      </c>
      <c r="F230">
        <f>'Ref scen Calcs'!H766</f>
        <v>0</v>
      </c>
      <c r="G230">
        <f ca="1">'Ref scen Calcs'!I766</f>
        <v>0</v>
      </c>
      <c r="H230">
        <f ca="1">'Ref scen Calcs'!J766</f>
        <v>0</v>
      </c>
      <c r="I230">
        <f ca="1">'Ref scen Calcs'!K766</f>
        <v>0</v>
      </c>
      <c r="J230">
        <f ca="1">'Ref scen Calcs'!L766</f>
        <v>0</v>
      </c>
      <c r="K230">
        <f ca="1">'Ref scen Calcs'!M766</f>
        <v>0</v>
      </c>
      <c r="L230">
        <f ca="1">'Ref scen Calcs'!N766</f>
        <v>0</v>
      </c>
      <c r="M230">
        <f ca="1">'Ref scen Calcs'!O766</f>
        <v>0</v>
      </c>
      <c r="N230">
        <f ca="1">'Ref scen Calcs'!P766</f>
        <v>0</v>
      </c>
      <c r="O230">
        <f ca="1">'Ref scen Calcs'!Q766</f>
        <v>0</v>
      </c>
      <c r="P230">
        <f ca="1">'Ref scen Calcs'!R766</f>
        <v>0</v>
      </c>
      <c r="Q230">
        <f ca="1">'Ref scen Calcs'!S766</f>
        <v>0</v>
      </c>
      <c r="R230">
        <f ca="1">'Ref scen Calcs'!T766</f>
        <v>0</v>
      </c>
      <c r="S230">
        <f ca="1">'Ref scen Calcs'!U766</f>
        <v>0</v>
      </c>
      <c r="T230">
        <f ca="1">'Ref scen Calcs'!V766</f>
        <v>0</v>
      </c>
      <c r="U230">
        <f ca="1">'Ref scen Calcs'!W766</f>
        <v>0</v>
      </c>
      <c r="V230">
        <f ca="1">'Ref scen Calcs'!X766</f>
        <v>0</v>
      </c>
      <c r="W230">
        <f ca="1">'Ref scen Calcs'!Y766</f>
        <v>0</v>
      </c>
      <c r="X230">
        <f ca="1">'Ref scen Calcs'!Z766</f>
        <v>0</v>
      </c>
      <c r="Y230">
        <f ca="1">'Ref scen Calcs'!AA766</f>
        <v>0</v>
      </c>
      <c r="Z230">
        <f ca="1">'Ref scen Calcs'!AB766</f>
        <v>0</v>
      </c>
      <c r="AA230">
        <f ca="1">'Ref scen Calcs'!AC766</f>
        <v>0</v>
      </c>
      <c r="AP230">
        <f>'Alt scen Calcs'!D766</f>
        <v>0</v>
      </c>
      <c r="AQ230">
        <f>'Alt scen Calcs'!E766</f>
        <v>0</v>
      </c>
      <c r="AR230">
        <f>'Alt scen Calcs'!F766</f>
        <v>0</v>
      </c>
      <c r="AS230">
        <f>'Alt scen Calcs'!G766</f>
        <v>0</v>
      </c>
      <c r="AT230">
        <f>'Alt scen Calcs'!H766</f>
        <v>0</v>
      </c>
      <c r="AU230">
        <f ca="1">'Alt scen Calcs'!I766</f>
        <v>0</v>
      </c>
      <c r="AV230">
        <f ca="1">'Alt scen Calcs'!J766</f>
        <v>0</v>
      </c>
      <c r="AW230">
        <f ca="1">'Alt scen Calcs'!K766</f>
        <v>0</v>
      </c>
      <c r="AX230">
        <f ca="1">'Alt scen Calcs'!L766</f>
        <v>0</v>
      </c>
      <c r="AY230">
        <f ca="1">'Alt scen Calcs'!M766</f>
        <v>0</v>
      </c>
      <c r="AZ230">
        <f ca="1">'Alt scen Calcs'!N766</f>
        <v>0</v>
      </c>
      <c r="BA230">
        <f ca="1">'Alt scen Calcs'!O766</f>
        <v>0</v>
      </c>
      <c r="BB230">
        <f ca="1">'Alt scen Calcs'!P766</f>
        <v>0</v>
      </c>
      <c r="BC230">
        <f ca="1">'Alt scen Calcs'!Q766</f>
        <v>0</v>
      </c>
      <c r="BD230">
        <f ca="1">'Alt scen Calcs'!R766</f>
        <v>0</v>
      </c>
      <c r="BE230">
        <f ca="1">'Alt scen Calcs'!S766</f>
        <v>0</v>
      </c>
      <c r="BF230">
        <f ca="1">'Alt scen Calcs'!T766</f>
        <v>0</v>
      </c>
      <c r="BG230">
        <f ca="1">'Alt scen Calcs'!U766</f>
        <v>0</v>
      </c>
      <c r="BH230">
        <f ca="1">'Alt scen Calcs'!V766</f>
        <v>0</v>
      </c>
      <c r="BI230">
        <f ca="1">'Alt scen Calcs'!W766</f>
        <v>0</v>
      </c>
      <c r="BJ230">
        <f ca="1">'Alt scen Calcs'!X766</f>
        <v>0</v>
      </c>
      <c r="BK230">
        <f ca="1">'Alt scen Calcs'!Y766</f>
        <v>0</v>
      </c>
      <c r="BL230">
        <f ca="1">'Alt scen Calcs'!Z766</f>
        <v>0</v>
      </c>
      <c r="BM230">
        <f ca="1">'Alt scen Calcs'!AA766</f>
        <v>0</v>
      </c>
      <c r="BN230">
        <f ca="1">'Alt scen Calcs'!AB766</f>
        <v>0</v>
      </c>
      <c r="BO230">
        <f ca="1">'Alt scen Calcs'!AC766</f>
        <v>0</v>
      </c>
    </row>
    <row r="231" spans="1:67">
      <c r="A231" t="str">
        <f>'Ref scen Calcs'!C767</f>
        <v>Supercritical coal</v>
      </c>
      <c r="B231">
        <f>'Ref scen Calcs'!D767</f>
        <v>0</v>
      </c>
      <c r="C231">
        <f>'Ref scen Calcs'!E767</f>
        <v>0</v>
      </c>
      <c r="D231">
        <f>'Ref scen Calcs'!F767</f>
        <v>0</v>
      </c>
      <c r="E231">
        <f>'Ref scen Calcs'!G767</f>
        <v>0</v>
      </c>
      <c r="F231">
        <f>'Ref scen Calcs'!H767</f>
        <v>0</v>
      </c>
      <c r="G231">
        <f ca="1">'Ref scen Calcs'!I767</f>
        <v>0</v>
      </c>
      <c r="H231">
        <f ca="1">'Ref scen Calcs'!J767</f>
        <v>0</v>
      </c>
      <c r="I231">
        <f ca="1">'Ref scen Calcs'!K767</f>
        <v>1.5897728804899998</v>
      </c>
      <c r="J231">
        <f ca="1">'Ref scen Calcs'!L767</f>
        <v>4.76931864147</v>
      </c>
      <c r="K231">
        <f ca="1">'Ref scen Calcs'!M767</f>
        <v>12.941522995109445</v>
      </c>
      <c r="L231">
        <f ca="1">'Ref scen Calcs'!N767</f>
        <v>20.752734510708375</v>
      </c>
      <c r="M231">
        <f ca="1">'Ref scen Calcs'!O767</f>
        <v>29.072633915251078</v>
      </c>
      <c r="N231">
        <f ca="1">'Ref scen Calcs'!P767</f>
        <v>37.256963286151127</v>
      </c>
      <c r="O231">
        <f ca="1">'Ref scen Calcs'!Q767</f>
        <v>45.910448324008541</v>
      </c>
      <c r="P231">
        <f ca="1">'Ref scen Calcs'!R767</f>
        <v>54.965622350437165</v>
      </c>
      <c r="Q231">
        <f ca="1">'Ref scen Calcs'!S767</f>
        <v>65.851537713376061</v>
      </c>
      <c r="R231">
        <f ca="1">'Ref scen Calcs'!T767</f>
        <v>77.209437637886197</v>
      </c>
      <c r="S231">
        <f ca="1">'Ref scen Calcs'!U767</f>
        <v>86.824099733765138</v>
      </c>
      <c r="T231">
        <f ca="1">'Ref scen Calcs'!V767</f>
        <v>96.920529941090919</v>
      </c>
      <c r="U231">
        <f ca="1">'Ref scen Calcs'!W767</f>
        <v>115.71725469652476</v>
      </c>
      <c r="V231">
        <f ca="1">'Ref scen Calcs'!X767</f>
        <v>135.85144693636423</v>
      </c>
      <c r="W231">
        <f ca="1">'Ref scen Calcs'!Y767</f>
        <v>158.73091336126248</v>
      </c>
      <c r="X231">
        <f ca="1">'Ref scen Calcs'!Z767</f>
        <v>181.43555848727209</v>
      </c>
      <c r="Y231">
        <f ca="1">'Ref scen Calcs'!AA767</f>
        <v>206.67928887579041</v>
      </c>
      <c r="Z231">
        <f ca="1">'Ref scen Calcs'!AB767</f>
        <v>244.36091197914661</v>
      </c>
      <c r="AA231">
        <f ca="1">'Ref scen Calcs'!AC767</f>
        <v>266.58849708575184</v>
      </c>
      <c r="AP231">
        <f>'Alt scen Calcs'!D767</f>
        <v>0</v>
      </c>
      <c r="AQ231">
        <f>'Alt scen Calcs'!E767</f>
        <v>0</v>
      </c>
      <c r="AR231">
        <f>'Alt scen Calcs'!F767</f>
        <v>0</v>
      </c>
      <c r="AS231">
        <f>'Alt scen Calcs'!G767</f>
        <v>0</v>
      </c>
      <c r="AT231">
        <f>'Alt scen Calcs'!H767</f>
        <v>0</v>
      </c>
      <c r="AU231">
        <f ca="1">'Alt scen Calcs'!I767</f>
        <v>0</v>
      </c>
      <c r="AV231">
        <f ca="1">'Alt scen Calcs'!J767</f>
        <v>0</v>
      </c>
      <c r="AW231">
        <f ca="1">'Alt scen Calcs'!K767</f>
        <v>1.5897728804899998</v>
      </c>
      <c r="AX231">
        <f ca="1">'Alt scen Calcs'!L767</f>
        <v>4.76931864147</v>
      </c>
      <c r="AY231">
        <f ca="1">'Alt scen Calcs'!M767</f>
        <v>9.981494968181412</v>
      </c>
      <c r="AZ231">
        <f ca="1">'Alt scen Calcs'!N767</f>
        <v>15.779114604001057</v>
      </c>
      <c r="BA231">
        <f ca="1">'Alt scen Calcs'!O767</f>
        <v>21.592084124276493</v>
      </c>
      <c r="BB231">
        <f ca="1">'Alt scen Calcs'!P767</f>
        <v>25.336371454784519</v>
      </c>
      <c r="BC231">
        <f ca="1">'Alt scen Calcs'!Q767</f>
        <v>27.576462434297909</v>
      </c>
      <c r="BD231">
        <f ca="1">'Alt scen Calcs'!R767</f>
        <v>27.011545373210616</v>
      </c>
      <c r="BE231">
        <f ca="1">'Alt scen Calcs'!S767</f>
        <v>26.304017630681393</v>
      </c>
      <c r="BF231">
        <f ca="1">'Alt scen Calcs'!T767</f>
        <v>22.861777420551583</v>
      </c>
      <c r="BG231">
        <f ca="1">'Alt scen Calcs'!U767</f>
        <v>20.554104407970506</v>
      </c>
      <c r="BH231">
        <f ca="1">'Alt scen Calcs'!V767</f>
        <v>19.077274565880003</v>
      </c>
      <c r="BI231">
        <f ca="1">'Alt scen Calcs'!W767</f>
        <v>19.077274565880003</v>
      </c>
      <c r="BJ231">
        <f ca="1">'Alt scen Calcs'!X767</f>
        <v>19.197835426423797</v>
      </c>
      <c r="BK231">
        <f ca="1">'Alt scen Calcs'!Y767</f>
        <v>25.221586697982048</v>
      </c>
      <c r="BL231">
        <f ca="1">'Alt scen Calcs'!Z767</f>
        <v>27.691949386680839</v>
      </c>
      <c r="BM231">
        <f ca="1">'Alt scen Calcs'!AA767</f>
        <v>31.012113695903075</v>
      </c>
      <c r="BN231">
        <f ca="1">'Alt scen Calcs'!AB767</f>
        <v>42.832671502947825</v>
      </c>
      <c r="BO231">
        <f ca="1">'Alt scen Calcs'!AC767</f>
        <v>44.08351296332367</v>
      </c>
    </row>
    <row r="232" spans="1:67">
      <c r="A232" t="str">
        <f>'Ref scen Calcs'!C768</f>
        <v xml:space="preserve">Wind 30% </v>
      </c>
      <c r="B232">
        <f>'Ref scen Calcs'!D768</f>
        <v>0</v>
      </c>
      <c r="C232">
        <f>'Ref scen Calcs'!E768</f>
        <v>0</v>
      </c>
      <c r="D232">
        <f>'Ref scen Calcs'!F768</f>
        <v>0</v>
      </c>
      <c r="E232">
        <f>'Ref scen Calcs'!G768</f>
        <v>0</v>
      </c>
      <c r="F232">
        <f>'Ref scen Calcs'!H768</f>
        <v>0</v>
      </c>
      <c r="G232">
        <f ca="1">'Ref scen Calcs'!I768</f>
        <v>0</v>
      </c>
      <c r="H232">
        <f ca="1">'Ref scen Calcs'!J768</f>
        <v>0</v>
      </c>
      <c r="I232">
        <f ca="1">'Ref scen Calcs'!K768</f>
        <v>0</v>
      </c>
      <c r="J232">
        <f ca="1">'Ref scen Calcs'!L768</f>
        <v>0</v>
      </c>
      <c r="K232">
        <f ca="1">'Ref scen Calcs'!M768</f>
        <v>0</v>
      </c>
      <c r="L232">
        <f ca="1">'Ref scen Calcs'!N768</f>
        <v>0</v>
      </c>
      <c r="M232">
        <f ca="1">'Ref scen Calcs'!O768</f>
        <v>0</v>
      </c>
      <c r="N232">
        <f ca="1">'Ref scen Calcs'!P768</f>
        <v>0</v>
      </c>
      <c r="O232">
        <f ca="1">'Ref scen Calcs'!Q768</f>
        <v>0</v>
      </c>
      <c r="P232">
        <f ca="1">'Ref scen Calcs'!R768</f>
        <v>0</v>
      </c>
      <c r="Q232">
        <f ca="1">'Ref scen Calcs'!S768</f>
        <v>0</v>
      </c>
      <c r="R232">
        <f ca="1">'Ref scen Calcs'!T768</f>
        <v>0</v>
      </c>
      <c r="S232">
        <f ca="1">'Ref scen Calcs'!U768</f>
        <v>0</v>
      </c>
      <c r="T232">
        <f ca="1">'Ref scen Calcs'!V768</f>
        <v>0</v>
      </c>
      <c r="U232">
        <f ca="1">'Ref scen Calcs'!W768</f>
        <v>0</v>
      </c>
      <c r="V232">
        <f ca="1">'Ref scen Calcs'!X768</f>
        <v>0</v>
      </c>
      <c r="W232">
        <f ca="1">'Ref scen Calcs'!Y768</f>
        <v>0</v>
      </c>
      <c r="X232">
        <f ca="1">'Ref scen Calcs'!Z768</f>
        <v>0</v>
      </c>
      <c r="Y232">
        <f ca="1">'Ref scen Calcs'!AA768</f>
        <v>0</v>
      </c>
      <c r="Z232">
        <f ca="1">'Ref scen Calcs'!AB768</f>
        <v>0</v>
      </c>
      <c r="AA232">
        <f ca="1">'Ref scen Calcs'!AC768</f>
        <v>0</v>
      </c>
      <c r="AP232">
        <f>'Alt scen Calcs'!D768</f>
        <v>0</v>
      </c>
      <c r="AQ232">
        <f>'Alt scen Calcs'!E768</f>
        <v>0</v>
      </c>
      <c r="AR232">
        <f>'Alt scen Calcs'!F768</f>
        <v>0</v>
      </c>
      <c r="AS232">
        <f>'Alt scen Calcs'!G768</f>
        <v>0</v>
      </c>
      <c r="AT232">
        <f>'Alt scen Calcs'!H768</f>
        <v>0</v>
      </c>
      <c r="AU232">
        <f ca="1">'Alt scen Calcs'!I768</f>
        <v>0</v>
      </c>
      <c r="AV232">
        <f ca="1">'Alt scen Calcs'!J768</f>
        <v>0</v>
      </c>
      <c r="AW232">
        <f ca="1">'Alt scen Calcs'!K768</f>
        <v>0</v>
      </c>
      <c r="AX232">
        <f ca="1">'Alt scen Calcs'!L768</f>
        <v>0</v>
      </c>
      <c r="AY232">
        <f ca="1">'Alt scen Calcs'!M768</f>
        <v>0</v>
      </c>
      <c r="AZ232">
        <f ca="1">'Alt scen Calcs'!N768</f>
        <v>0</v>
      </c>
      <c r="BA232">
        <f ca="1">'Alt scen Calcs'!O768</f>
        <v>0</v>
      </c>
      <c r="BB232">
        <f ca="1">'Alt scen Calcs'!P768</f>
        <v>0</v>
      </c>
      <c r="BC232">
        <f ca="1">'Alt scen Calcs'!Q768</f>
        <v>0</v>
      </c>
      <c r="BD232">
        <f ca="1">'Alt scen Calcs'!R768</f>
        <v>0</v>
      </c>
      <c r="BE232">
        <f ca="1">'Alt scen Calcs'!S768</f>
        <v>0</v>
      </c>
      <c r="BF232">
        <f ca="1">'Alt scen Calcs'!T768</f>
        <v>0</v>
      </c>
      <c r="BG232">
        <f ca="1">'Alt scen Calcs'!U768</f>
        <v>0</v>
      </c>
      <c r="BH232">
        <f ca="1">'Alt scen Calcs'!V768</f>
        <v>0</v>
      </c>
      <c r="BI232">
        <f ca="1">'Alt scen Calcs'!W768</f>
        <v>0</v>
      </c>
      <c r="BJ232">
        <f ca="1">'Alt scen Calcs'!X768</f>
        <v>0</v>
      </c>
      <c r="BK232">
        <f ca="1">'Alt scen Calcs'!Y768</f>
        <v>0</v>
      </c>
      <c r="BL232">
        <f ca="1">'Alt scen Calcs'!Z768</f>
        <v>0</v>
      </c>
      <c r="BM232">
        <f ca="1">'Alt scen Calcs'!AA768</f>
        <v>0</v>
      </c>
      <c r="BN232">
        <f ca="1">'Alt scen Calcs'!AB768</f>
        <v>0</v>
      </c>
      <c r="BO232">
        <f ca="1">'Alt scen Calcs'!AC768</f>
        <v>0</v>
      </c>
    </row>
    <row r="233" spans="1:67">
      <c r="A233" t="str">
        <f>'Ref scen Calcs'!C769</f>
        <v>Wind 25%</v>
      </c>
      <c r="B233">
        <f>'Ref scen Calcs'!D769</f>
        <v>0</v>
      </c>
      <c r="C233">
        <f>'Ref scen Calcs'!E769</f>
        <v>0</v>
      </c>
      <c r="D233">
        <f>'Ref scen Calcs'!F769</f>
        <v>0</v>
      </c>
      <c r="E233">
        <f>'Ref scen Calcs'!G769</f>
        <v>0</v>
      </c>
      <c r="F233">
        <f>'Ref scen Calcs'!H769</f>
        <v>0</v>
      </c>
      <c r="G233">
        <f ca="1">'Ref scen Calcs'!I769</f>
        <v>0</v>
      </c>
      <c r="H233">
        <f ca="1">'Ref scen Calcs'!J769</f>
        <v>0</v>
      </c>
      <c r="I233">
        <f ca="1">'Ref scen Calcs'!K769</f>
        <v>0</v>
      </c>
      <c r="J233">
        <f ca="1">'Ref scen Calcs'!L769</f>
        <v>0</v>
      </c>
      <c r="K233">
        <f ca="1">'Ref scen Calcs'!M769</f>
        <v>0</v>
      </c>
      <c r="L233">
        <f ca="1">'Ref scen Calcs'!N769</f>
        <v>0</v>
      </c>
      <c r="M233">
        <f ca="1">'Ref scen Calcs'!O769</f>
        <v>0</v>
      </c>
      <c r="N233">
        <f ca="1">'Ref scen Calcs'!P769</f>
        <v>0</v>
      </c>
      <c r="O233">
        <f ca="1">'Ref scen Calcs'!Q769</f>
        <v>0</v>
      </c>
      <c r="P233">
        <f ca="1">'Ref scen Calcs'!R769</f>
        <v>0</v>
      </c>
      <c r="Q233">
        <f ca="1">'Ref scen Calcs'!S769</f>
        <v>0</v>
      </c>
      <c r="R233">
        <f ca="1">'Ref scen Calcs'!T769</f>
        <v>0</v>
      </c>
      <c r="S233">
        <f ca="1">'Ref scen Calcs'!U769</f>
        <v>0</v>
      </c>
      <c r="T233">
        <f ca="1">'Ref scen Calcs'!V769</f>
        <v>0</v>
      </c>
      <c r="U233">
        <f ca="1">'Ref scen Calcs'!W769</f>
        <v>0</v>
      </c>
      <c r="V233">
        <f ca="1">'Ref scen Calcs'!X769</f>
        <v>0</v>
      </c>
      <c r="W233">
        <f ca="1">'Ref scen Calcs'!Y769</f>
        <v>0</v>
      </c>
      <c r="X233">
        <f ca="1">'Ref scen Calcs'!Z769</f>
        <v>0</v>
      </c>
      <c r="Y233">
        <f ca="1">'Ref scen Calcs'!AA769</f>
        <v>0</v>
      </c>
      <c r="Z233">
        <f ca="1">'Ref scen Calcs'!AB769</f>
        <v>0</v>
      </c>
      <c r="AA233">
        <f ca="1">'Ref scen Calcs'!AC769</f>
        <v>0</v>
      </c>
      <c r="AP233">
        <f>'Alt scen Calcs'!D769</f>
        <v>0</v>
      </c>
      <c r="AQ233">
        <f>'Alt scen Calcs'!E769</f>
        <v>0</v>
      </c>
      <c r="AR233">
        <f>'Alt scen Calcs'!F769</f>
        <v>0</v>
      </c>
      <c r="AS233">
        <f>'Alt scen Calcs'!G769</f>
        <v>0</v>
      </c>
      <c r="AT233">
        <f>'Alt scen Calcs'!H769</f>
        <v>0</v>
      </c>
      <c r="AU233">
        <f ca="1">'Alt scen Calcs'!I769</f>
        <v>0</v>
      </c>
      <c r="AV233">
        <f ca="1">'Alt scen Calcs'!J769</f>
        <v>0</v>
      </c>
      <c r="AW233">
        <f ca="1">'Alt scen Calcs'!K769</f>
        <v>0</v>
      </c>
      <c r="AX233">
        <f ca="1">'Alt scen Calcs'!L769</f>
        <v>0</v>
      </c>
      <c r="AY233">
        <f ca="1">'Alt scen Calcs'!M769</f>
        <v>0</v>
      </c>
      <c r="AZ233">
        <f ca="1">'Alt scen Calcs'!N769</f>
        <v>0</v>
      </c>
      <c r="BA233">
        <f ca="1">'Alt scen Calcs'!O769</f>
        <v>0</v>
      </c>
      <c r="BB233">
        <f ca="1">'Alt scen Calcs'!P769</f>
        <v>0</v>
      </c>
      <c r="BC233">
        <f ca="1">'Alt scen Calcs'!Q769</f>
        <v>0</v>
      </c>
      <c r="BD233">
        <f ca="1">'Alt scen Calcs'!R769</f>
        <v>0</v>
      </c>
      <c r="BE233">
        <f ca="1">'Alt scen Calcs'!S769</f>
        <v>0</v>
      </c>
      <c r="BF233">
        <f ca="1">'Alt scen Calcs'!T769</f>
        <v>0</v>
      </c>
      <c r="BG233">
        <f ca="1">'Alt scen Calcs'!U769</f>
        <v>0</v>
      </c>
      <c r="BH233">
        <f ca="1">'Alt scen Calcs'!V769</f>
        <v>0</v>
      </c>
      <c r="BI233">
        <f ca="1">'Alt scen Calcs'!W769</f>
        <v>0</v>
      </c>
      <c r="BJ233">
        <f ca="1">'Alt scen Calcs'!X769</f>
        <v>0</v>
      </c>
      <c r="BK233">
        <f ca="1">'Alt scen Calcs'!Y769</f>
        <v>0</v>
      </c>
      <c r="BL233">
        <f ca="1">'Alt scen Calcs'!Z769</f>
        <v>0</v>
      </c>
      <c r="BM233">
        <f ca="1">'Alt scen Calcs'!AA769</f>
        <v>0</v>
      </c>
      <c r="BN233">
        <f ca="1">'Alt scen Calcs'!AB769</f>
        <v>0</v>
      </c>
      <c r="BO233">
        <f ca="1">'Alt scen Calcs'!AC769</f>
        <v>0</v>
      </c>
    </row>
    <row r="234" spans="1:67">
      <c r="A234" t="str">
        <f>'Ref scen Calcs'!C770</f>
        <v>solar thermal central reciever</v>
      </c>
      <c r="B234">
        <f>'Ref scen Calcs'!D770</f>
        <v>0</v>
      </c>
      <c r="C234">
        <f>'Ref scen Calcs'!E770</f>
        <v>0</v>
      </c>
      <c r="D234">
        <f>'Ref scen Calcs'!F770</f>
        <v>0</v>
      </c>
      <c r="E234">
        <f>'Ref scen Calcs'!G770</f>
        <v>0</v>
      </c>
      <c r="F234">
        <f>'Ref scen Calcs'!H770</f>
        <v>0</v>
      </c>
      <c r="G234">
        <f ca="1">'Ref scen Calcs'!I770</f>
        <v>0</v>
      </c>
      <c r="H234">
        <f ca="1">'Ref scen Calcs'!J770</f>
        <v>0</v>
      </c>
      <c r="I234">
        <f ca="1">'Ref scen Calcs'!K770</f>
        <v>0</v>
      </c>
      <c r="J234">
        <f ca="1">'Ref scen Calcs'!L770</f>
        <v>0</v>
      </c>
      <c r="K234">
        <f ca="1">'Ref scen Calcs'!M770</f>
        <v>0</v>
      </c>
      <c r="L234">
        <f ca="1">'Ref scen Calcs'!N770</f>
        <v>0</v>
      </c>
      <c r="M234">
        <f ca="1">'Ref scen Calcs'!O770</f>
        <v>0</v>
      </c>
      <c r="N234">
        <f ca="1">'Ref scen Calcs'!P770</f>
        <v>0</v>
      </c>
      <c r="O234">
        <f ca="1">'Ref scen Calcs'!Q770</f>
        <v>0</v>
      </c>
      <c r="P234">
        <f ca="1">'Ref scen Calcs'!R770</f>
        <v>0</v>
      </c>
      <c r="Q234">
        <f ca="1">'Ref scen Calcs'!S770</f>
        <v>0</v>
      </c>
      <c r="R234">
        <f ca="1">'Ref scen Calcs'!T770</f>
        <v>0</v>
      </c>
      <c r="S234">
        <f ca="1">'Ref scen Calcs'!U770</f>
        <v>0</v>
      </c>
      <c r="T234">
        <f ca="1">'Ref scen Calcs'!V770</f>
        <v>0</v>
      </c>
      <c r="U234">
        <f ca="1">'Ref scen Calcs'!W770</f>
        <v>0</v>
      </c>
      <c r="V234">
        <f ca="1">'Ref scen Calcs'!X770</f>
        <v>0</v>
      </c>
      <c r="W234">
        <f ca="1">'Ref scen Calcs'!Y770</f>
        <v>0</v>
      </c>
      <c r="X234">
        <f ca="1">'Ref scen Calcs'!Z770</f>
        <v>0</v>
      </c>
      <c r="Y234">
        <f ca="1">'Ref scen Calcs'!AA770</f>
        <v>0</v>
      </c>
      <c r="Z234">
        <f ca="1">'Ref scen Calcs'!AB770</f>
        <v>0</v>
      </c>
      <c r="AA234">
        <f ca="1">'Ref scen Calcs'!AC770</f>
        <v>0</v>
      </c>
      <c r="AP234">
        <f>'Alt scen Calcs'!D770</f>
        <v>0</v>
      </c>
      <c r="AQ234">
        <f>'Alt scen Calcs'!E770</f>
        <v>0</v>
      </c>
      <c r="AR234">
        <f>'Alt scen Calcs'!F770</f>
        <v>0</v>
      </c>
      <c r="AS234">
        <f>'Alt scen Calcs'!G770</f>
        <v>0</v>
      </c>
      <c r="AT234">
        <f>'Alt scen Calcs'!H770</f>
        <v>0</v>
      </c>
      <c r="AU234">
        <f ca="1">'Alt scen Calcs'!I770</f>
        <v>0</v>
      </c>
      <c r="AV234">
        <f ca="1">'Alt scen Calcs'!J770</f>
        <v>0</v>
      </c>
      <c r="AW234">
        <f ca="1">'Alt scen Calcs'!K770</f>
        <v>0</v>
      </c>
      <c r="AX234">
        <f ca="1">'Alt scen Calcs'!L770</f>
        <v>0</v>
      </c>
      <c r="AY234">
        <f ca="1">'Alt scen Calcs'!M770</f>
        <v>0</v>
      </c>
      <c r="AZ234">
        <f ca="1">'Alt scen Calcs'!N770</f>
        <v>0</v>
      </c>
      <c r="BA234">
        <f ca="1">'Alt scen Calcs'!O770</f>
        <v>0</v>
      </c>
      <c r="BB234">
        <f ca="1">'Alt scen Calcs'!P770</f>
        <v>0</v>
      </c>
      <c r="BC234">
        <f ca="1">'Alt scen Calcs'!Q770</f>
        <v>0</v>
      </c>
      <c r="BD234">
        <f ca="1">'Alt scen Calcs'!R770</f>
        <v>0</v>
      </c>
      <c r="BE234">
        <f ca="1">'Alt scen Calcs'!S770</f>
        <v>0</v>
      </c>
      <c r="BF234">
        <f ca="1">'Alt scen Calcs'!T770</f>
        <v>0</v>
      </c>
      <c r="BG234">
        <f ca="1">'Alt scen Calcs'!U770</f>
        <v>0</v>
      </c>
      <c r="BH234">
        <f ca="1">'Alt scen Calcs'!V770</f>
        <v>0</v>
      </c>
      <c r="BI234">
        <f ca="1">'Alt scen Calcs'!W770</f>
        <v>0</v>
      </c>
      <c r="BJ234">
        <f ca="1">'Alt scen Calcs'!X770</f>
        <v>0</v>
      </c>
      <c r="BK234">
        <f ca="1">'Alt scen Calcs'!Y770</f>
        <v>0</v>
      </c>
      <c r="BL234">
        <f ca="1">'Alt scen Calcs'!Z770</f>
        <v>0</v>
      </c>
      <c r="BM234">
        <f ca="1">'Alt scen Calcs'!AA770</f>
        <v>0</v>
      </c>
      <c r="BN234">
        <f ca="1">'Alt scen Calcs'!AB770</f>
        <v>0</v>
      </c>
      <c r="BO234">
        <f ca="1">'Alt scen Calcs'!AC770</f>
        <v>0</v>
      </c>
    </row>
    <row r="235" spans="1:67">
      <c r="A235" t="str">
        <f>'Ref scen Calcs'!C771</f>
        <v>solar thermal trough</v>
      </c>
      <c r="B235">
        <f>'Ref scen Calcs'!D771</f>
        <v>0</v>
      </c>
      <c r="C235">
        <f>'Ref scen Calcs'!E771</f>
        <v>0</v>
      </c>
      <c r="D235">
        <f>'Ref scen Calcs'!F771</f>
        <v>0</v>
      </c>
      <c r="E235">
        <f>'Ref scen Calcs'!G771</f>
        <v>0</v>
      </c>
      <c r="F235">
        <f>'Ref scen Calcs'!H771</f>
        <v>0</v>
      </c>
      <c r="G235">
        <f ca="1">'Ref scen Calcs'!I771</f>
        <v>0</v>
      </c>
      <c r="H235">
        <f ca="1">'Ref scen Calcs'!J771</f>
        <v>0</v>
      </c>
      <c r="I235">
        <f ca="1">'Ref scen Calcs'!K771</f>
        <v>0</v>
      </c>
      <c r="J235">
        <f ca="1">'Ref scen Calcs'!L771</f>
        <v>0</v>
      </c>
      <c r="K235">
        <f ca="1">'Ref scen Calcs'!M771</f>
        <v>0</v>
      </c>
      <c r="L235">
        <f ca="1">'Ref scen Calcs'!N771</f>
        <v>0</v>
      </c>
      <c r="M235">
        <f ca="1">'Ref scen Calcs'!O771</f>
        <v>0</v>
      </c>
      <c r="N235">
        <f ca="1">'Ref scen Calcs'!P771</f>
        <v>0</v>
      </c>
      <c r="O235">
        <f ca="1">'Ref scen Calcs'!Q771</f>
        <v>0</v>
      </c>
      <c r="P235">
        <f ca="1">'Ref scen Calcs'!R771</f>
        <v>0</v>
      </c>
      <c r="Q235">
        <f ca="1">'Ref scen Calcs'!S771</f>
        <v>0</v>
      </c>
      <c r="R235">
        <f ca="1">'Ref scen Calcs'!T771</f>
        <v>0</v>
      </c>
      <c r="S235">
        <f ca="1">'Ref scen Calcs'!U771</f>
        <v>0</v>
      </c>
      <c r="T235">
        <f ca="1">'Ref scen Calcs'!V771</f>
        <v>0</v>
      </c>
      <c r="U235">
        <f ca="1">'Ref scen Calcs'!W771</f>
        <v>0</v>
      </c>
      <c r="V235">
        <f ca="1">'Ref scen Calcs'!X771</f>
        <v>0</v>
      </c>
      <c r="W235">
        <f ca="1">'Ref scen Calcs'!Y771</f>
        <v>0</v>
      </c>
      <c r="X235">
        <f ca="1">'Ref scen Calcs'!Z771</f>
        <v>0</v>
      </c>
      <c r="Y235">
        <f ca="1">'Ref scen Calcs'!AA771</f>
        <v>0</v>
      </c>
      <c r="Z235">
        <f ca="1">'Ref scen Calcs'!AB771</f>
        <v>0</v>
      </c>
      <c r="AA235">
        <f ca="1">'Ref scen Calcs'!AC771</f>
        <v>0</v>
      </c>
      <c r="AP235">
        <f>'Alt scen Calcs'!D771</f>
        <v>0</v>
      </c>
      <c r="AQ235">
        <f>'Alt scen Calcs'!E771</f>
        <v>0</v>
      </c>
      <c r="AR235">
        <f>'Alt scen Calcs'!F771</f>
        <v>0</v>
      </c>
      <c r="AS235">
        <f>'Alt scen Calcs'!G771</f>
        <v>0</v>
      </c>
      <c r="AT235">
        <f>'Alt scen Calcs'!H771</f>
        <v>0</v>
      </c>
      <c r="AU235">
        <f ca="1">'Alt scen Calcs'!I771</f>
        <v>0</v>
      </c>
      <c r="AV235">
        <f ca="1">'Alt scen Calcs'!J771</f>
        <v>0</v>
      </c>
      <c r="AW235">
        <f ca="1">'Alt scen Calcs'!K771</f>
        <v>0</v>
      </c>
      <c r="AX235">
        <f ca="1">'Alt scen Calcs'!L771</f>
        <v>0</v>
      </c>
      <c r="AY235">
        <f ca="1">'Alt scen Calcs'!M771</f>
        <v>0</v>
      </c>
      <c r="AZ235">
        <f ca="1">'Alt scen Calcs'!N771</f>
        <v>0</v>
      </c>
      <c r="BA235">
        <f ca="1">'Alt scen Calcs'!O771</f>
        <v>0</v>
      </c>
      <c r="BB235">
        <f ca="1">'Alt scen Calcs'!P771</f>
        <v>0</v>
      </c>
      <c r="BC235">
        <f ca="1">'Alt scen Calcs'!Q771</f>
        <v>0</v>
      </c>
      <c r="BD235">
        <f ca="1">'Alt scen Calcs'!R771</f>
        <v>0</v>
      </c>
      <c r="BE235">
        <f ca="1">'Alt scen Calcs'!S771</f>
        <v>0</v>
      </c>
      <c r="BF235">
        <f ca="1">'Alt scen Calcs'!T771</f>
        <v>0</v>
      </c>
      <c r="BG235">
        <f ca="1">'Alt scen Calcs'!U771</f>
        <v>0</v>
      </c>
      <c r="BH235">
        <f ca="1">'Alt scen Calcs'!V771</f>
        <v>0</v>
      </c>
      <c r="BI235">
        <f ca="1">'Alt scen Calcs'!W771</f>
        <v>0</v>
      </c>
      <c r="BJ235">
        <f ca="1">'Alt scen Calcs'!X771</f>
        <v>0</v>
      </c>
      <c r="BK235">
        <f ca="1">'Alt scen Calcs'!Y771</f>
        <v>0</v>
      </c>
      <c r="BL235">
        <f ca="1">'Alt scen Calcs'!Z771</f>
        <v>0</v>
      </c>
      <c r="BM235">
        <f ca="1">'Alt scen Calcs'!AA771</f>
        <v>0</v>
      </c>
      <c r="BN235">
        <f ca="1">'Alt scen Calcs'!AB771</f>
        <v>0</v>
      </c>
      <c r="BO235">
        <f ca="1">'Alt scen Calcs'!AC771</f>
        <v>0</v>
      </c>
    </row>
    <row r="236" spans="1:67">
      <c r="A236" t="str">
        <f>'Ref scen Calcs'!C772</f>
        <v>solar PV</v>
      </c>
      <c r="B236">
        <f>'Ref scen Calcs'!D772</f>
        <v>0</v>
      </c>
      <c r="C236">
        <f>'Ref scen Calcs'!E772</f>
        <v>0</v>
      </c>
      <c r="D236">
        <f>'Ref scen Calcs'!F772</f>
        <v>0</v>
      </c>
      <c r="E236">
        <f>'Ref scen Calcs'!G772</f>
        <v>0</v>
      </c>
      <c r="F236">
        <f>'Ref scen Calcs'!H772</f>
        <v>0</v>
      </c>
      <c r="G236">
        <f ca="1">'Ref scen Calcs'!I772</f>
        <v>0</v>
      </c>
      <c r="H236">
        <f ca="1">'Ref scen Calcs'!J772</f>
        <v>0</v>
      </c>
      <c r="I236">
        <f ca="1">'Ref scen Calcs'!K772</f>
        <v>0</v>
      </c>
      <c r="J236">
        <f ca="1">'Ref scen Calcs'!L772</f>
        <v>0</v>
      </c>
      <c r="K236">
        <f ca="1">'Ref scen Calcs'!M772</f>
        <v>0</v>
      </c>
      <c r="L236">
        <f ca="1">'Ref scen Calcs'!N772</f>
        <v>0</v>
      </c>
      <c r="M236">
        <f ca="1">'Ref scen Calcs'!O772</f>
        <v>0</v>
      </c>
      <c r="N236">
        <f ca="1">'Ref scen Calcs'!P772</f>
        <v>0</v>
      </c>
      <c r="O236">
        <f ca="1">'Ref scen Calcs'!Q772</f>
        <v>0</v>
      </c>
      <c r="P236">
        <f ca="1">'Ref scen Calcs'!R772</f>
        <v>0</v>
      </c>
      <c r="Q236">
        <f ca="1">'Ref scen Calcs'!S772</f>
        <v>0</v>
      </c>
      <c r="R236">
        <f ca="1">'Ref scen Calcs'!T772</f>
        <v>0</v>
      </c>
      <c r="S236">
        <f ca="1">'Ref scen Calcs'!U772</f>
        <v>0</v>
      </c>
      <c r="T236">
        <f ca="1">'Ref scen Calcs'!V772</f>
        <v>0</v>
      </c>
      <c r="U236">
        <f ca="1">'Ref scen Calcs'!W772</f>
        <v>0</v>
      </c>
      <c r="V236">
        <f ca="1">'Ref scen Calcs'!X772</f>
        <v>0</v>
      </c>
      <c r="W236">
        <f ca="1">'Ref scen Calcs'!Y772</f>
        <v>0</v>
      </c>
      <c r="X236">
        <f ca="1">'Ref scen Calcs'!Z772</f>
        <v>0</v>
      </c>
      <c r="Y236">
        <f ca="1">'Ref scen Calcs'!AA772</f>
        <v>0</v>
      </c>
      <c r="Z236">
        <f ca="1">'Ref scen Calcs'!AB772</f>
        <v>0</v>
      </c>
      <c r="AA236">
        <f ca="1">'Ref scen Calcs'!AC772</f>
        <v>0</v>
      </c>
      <c r="AP236">
        <f>'Alt scen Calcs'!D772</f>
        <v>0</v>
      </c>
      <c r="AQ236">
        <f>'Alt scen Calcs'!E772</f>
        <v>0</v>
      </c>
      <c r="AR236">
        <f>'Alt scen Calcs'!F772</f>
        <v>0</v>
      </c>
      <c r="AS236">
        <f>'Alt scen Calcs'!G772</f>
        <v>0</v>
      </c>
      <c r="AT236">
        <f>'Alt scen Calcs'!H772</f>
        <v>0</v>
      </c>
      <c r="AU236">
        <f ca="1">'Alt scen Calcs'!I772</f>
        <v>0</v>
      </c>
      <c r="AV236">
        <f ca="1">'Alt scen Calcs'!J772</f>
        <v>0</v>
      </c>
      <c r="AW236">
        <f ca="1">'Alt scen Calcs'!K772</f>
        <v>0</v>
      </c>
      <c r="AX236">
        <f ca="1">'Alt scen Calcs'!L772</f>
        <v>0</v>
      </c>
      <c r="AY236">
        <f ca="1">'Alt scen Calcs'!M772</f>
        <v>0</v>
      </c>
      <c r="AZ236">
        <f ca="1">'Alt scen Calcs'!N772</f>
        <v>0</v>
      </c>
      <c r="BA236">
        <f ca="1">'Alt scen Calcs'!O772</f>
        <v>0</v>
      </c>
      <c r="BB236">
        <f ca="1">'Alt scen Calcs'!P772</f>
        <v>0</v>
      </c>
      <c r="BC236">
        <f ca="1">'Alt scen Calcs'!Q772</f>
        <v>0</v>
      </c>
      <c r="BD236">
        <f ca="1">'Alt scen Calcs'!R772</f>
        <v>0</v>
      </c>
      <c r="BE236">
        <f ca="1">'Alt scen Calcs'!S772</f>
        <v>0</v>
      </c>
      <c r="BF236">
        <f ca="1">'Alt scen Calcs'!T772</f>
        <v>0</v>
      </c>
      <c r="BG236">
        <f ca="1">'Alt scen Calcs'!U772</f>
        <v>0</v>
      </c>
      <c r="BH236">
        <f ca="1">'Alt scen Calcs'!V772</f>
        <v>0</v>
      </c>
      <c r="BI236">
        <f ca="1">'Alt scen Calcs'!W772</f>
        <v>0</v>
      </c>
      <c r="BJ236">
        <f ca="1">'Alt scen Calcs'!X772</f>
        <v>0</v>
      </c>
      <c r="BK236">
        <f ca="1">'Alt scen Calcs'!Y772</f>
        <v>0</v>
      </c>
      <c r="BL236">
        <f ca="1">'Alt scen Calcs'!Z772</f>
        <v>0</v>
      </c>
      <c r="BM236">
        <f ca="1">'Alt scen Calcs'!AA772</f>
        <v>0</v>
      </c>
      <c r="BN236">
        <f ca="1">'Alt scen Calcs'!AB772</f>
        <v>0</v>
      </c>
      <c r="BO236">
        <f ca="1">'Alt scen Calcs'!AC772</f>
        <v>0</v>
      </c>
    </row>
    <row r="237" spans="1:67">
      <c r="A237" t="str">
        <f>'Ref scen Calcs'!C773</f>
        <v>combined cycle gas</v>
      </c>
      <c r="B237">
        <f>'Ref scen Calcs'!D773</f>
        <v>0</v>
      </c>
      <c r="C237">
        <f>'Ref scen Calcs'!E773</f>
        <v>0</v>
      </c>
      <c r="D237">
        <f>'Ref scen Calcs'!F773</f>
        <v>0</v>
      </c>
      <c r="E237">
        <f>'Ref scen Calcs'!G773</f>
        <v>0</v>
      </c>
      <c r="F237">
        <f>'Ref scen Calcs'!H773</f>
        <v>0</v>
      </c>
      <c r="G237">
        <f ca="1">'Ref scen Calcs'!I773</f>
        <v>0</v>
      </c>
      <c r="H237">
        <f ca="1">'Ref scen Calcs'!J773</f>
        <v>0</v>
      </c>
      <c r="I237">
        <f ca="1">'Ref scen Calcs'!K773</f>
        <v>0</v>
      </c>
      <c r="J237">
        <f ca="1">'Ref scen Calcs'!L773</f>
        <v>0</v>
      </c>
      <c r="K237">
        <f ca="1">'Ref scen Calcs'!M773</f>
        <v>0</v>
      </c>
      <c r="L237">
        <f ca="1">'Ref scen Calcs'!N773</f>
        <v>0</v>
      </c>
      <c r="M237">
        <f ca="1">'Ref scen Calcs'!O773</f>
        <v>0</v>
      </c>
      <c r="N237">
        <f ca="1">'Ref scen Calcs'!P773</f>
        <v>0</v>
      </c>
      <c r="O237">
        <f ca="1">'Ref scen Calcs'!Q773</f>
        <v>0</v>
      </c>
      <c r="P237">
        <f ca="1">'Ref scen Calcs'!R773</f>
        <v>0</v>
      </c>
      <c r="Q237">
        <f ca="1">'Ref scen Calcs'!S773</f>
        <v>0</v>
      </c>
      <c r="R237">
        <f ca="1">'Ref scen Calcs'!T773</f>
        <v>0</v>
      </c>
      <c r="S237">
        <f ca="1">'Ref scen Calcs'!U773</f>
        <v>0</v>
      </c>
      <c r="T237">
        <f ca="1">'Ref scen Calcs'!V773</f>
        <v>0</v>
      </c>
      <c r="U237">
        <f ca="1">'Ref scen Calcs'!W773</f>
        <v>0</v>
      </c>
      <c r="V237">
        <f ca="1">'Ref scen Calcs'!X773</f>
        <v>0</v>
      </c>
      <c r="W237">
        <f ca="1">'Ref scen Calcs'!Y773</f>
        <v>0</v>
      </c>
      <c r="X237">
        <f ca="1">'Ref scen Calcs'!Z773</f>
        <v>0</v>
      </c>
      <c r="Y237">
        <f ca="1">'Ref scen Calcs'!AA773</f>
        <v>0</v>
      </c>
      <c r="Z237">
        <f ca="1">'Ref scen Calcs'!AB773</f>
        <v>0</v>
      </c>
      <c r="AA237">
        <f ca="1">'Ref scen Calcs'!AC773</f>
        <v>0</v>
      </c>
      <c r="AP237">
        <f>'Alt scen Calcs'!D773</f>
        <v>0</v>
      </c>
      <c r="AQ237">
        <f>'Alt scen Calcs'!E773</f>
        <v>0</v>
      </c>
      <c r="AR237">
        <f>'Alt scen Calcs'!F773</f>
        <v>0</v>
      </c>
      <c r="AS237">
        <f>'Alt scen Calcs'!G773</f>
        <v>0</v>
      </c>
      <c r="AT237">
        <f>'Alt scen Calcs'!H773</f>
        <v>0</v>
      </c>
      <c r="AU237">
        <f ca="1">'Alt scen Calcs'!I773</f>
        <v>0</v>
      </c>
      <c r="AV237">
        <f ca="1">'Alt scen Calcs'!J773</f>
        <v>0</v>
      </c>
      <c r="AW237">
        <f ca="1">'Alt scen Calcs'!K773</f>
        <v>0</v>
      </c>
      <c r="AX237">
        <f ca="1">'Alt scen Calcs'!L773</f>
        <v>0</v>
      </c>
      <c r="AY237">
        <f ca="1">'Alt scen Calcs'!M773</f>
        <v>0</v>
      </c>
      <c r="AZ237">
        <f ca="1">'Alt scen Calcs'!N773</f>
        <v>0</v>
      </c>
      <c r="BA237">
        <f ca="1">'Alt scen Calcs'!O773</f>
        <v>0</v>
      </c>
      <c r="BB237">
        <f ca="1">'Alt scen Calcs'!P773</f>
        <v>0</v>
      </c>
      <c r="BC237">
        <f ca="1">'Alt scen Calcs'!Q773</f>
        <v>0</v>
      </c>
      <c r="BD237">
        <f ca="1">'Alt scen Calcs'!R773</f>
        <v>0</v>
      </c>
      <c r="BE237">
        <f ca="1">'Alt scen Calcs'!S773</f>
        <v>0</v>
      </c>
      <c r="BF237">
        <f ca="1">'Alt scen Calcs'!T773</f>
        <v>0</v>
      </c>
      <c r="BG237">
        <f ca="1">'Alt scen Calcs'!U773</f>
        <v>0</v>
      </c>
      <c r="BH237">
        <f ca="1">'Alt scen Calcs'!V773</f>
        <v>0</v>
      </c>
      <c r="BI237">
        <f ca="1">'Alt scen Calcs'!W773</f>
        <v>0</v>
      </c>
      <c r="BJ237">
        <f ca="1">'Alt scen Calcs'!X773</f>
        <v>0</v>
      </c>
      <c r="BK237">
        <f ca="1">'Alt scen Calcs'!Y773</f>
        <v>0</v>
      </c>
      <c r="BL237">
        <f ca="1">'Alt scen Calcs'!Z773</f>
        <v>1.5344480858326417</v>
      </c>
      <c r="BM237">
        <f ca="1">'Alt scen Calcs'!AA773</f>
        <v>3.8361202145816047</v>
      </c>
      <c r="BN237">
        <f ca="1">'Alt scen Calcs'!AB773</f>
        <v>6.1377923433305668</v>
      </c>
      <c r="BO237">
        <f ca="1">'Alt scen Calcs'!AC773</f>
        <v>6.1377923433305668</v>
      </c>
    </row>
    <row r="238" spans="1:67">
      <c r="A238" t="str">
        <f>'Ref scen Calcs'!C774</f>
        <v>PBMR</v>
      </c>
      <c r="B238">
        <f>'Ref scen Calcs'!D774</f>
        <v>0</v>
      </c>
      <c r="C238">
        <f>'Ref scen Calcs'!E774</f>
        <v>0</v>
      </c>
      <c r="D238">
        <f>'Ref scen Calcs'!F774</f>
        <v>0</v>
      </c>
      <c r="E238">
        <f>'Ref scen Calcs'!G774</f>
        <v>0</v>
      </c>
      <c r="F238">
        <f>'Ref scen Calcs'!H774</f>
        <v>0</v>
      </c>
      <c r="G238">
        <f ca="1">'Ref scen Calcs'!I774</f>
        <v>0</v>
      </c>
      <c r="H238">
        <f ca="1">'Ref scen Calcs'!J774</f>
        <v>0</v>
      </c>
      <c r="I238">
        <f ca="1">'Ref scen Calcs'!K774</f>
        <v>0</v>
      </c>
      <c r="J238">
        <f ca="1">'Ref scen Calcs'!L774</f>
        <v>0</v>
      </c>
      <c r="K238">
        <f ca="1">'Ref scen Calcs'!M774</f>
        <v>0</v>
      </c>
      <c r="L238">
        <f ca="1">'Ref scen Calcs'!N774</f>
        <v>0</v>
      </c>
      <c r="M238">
        <f ca="1">'Ref scen Calcs'!O774</f>
        <v>0</v>
      </c>
      <c r="N238">
        <f ca="1">'Ref scen Calcs'!P774</f>
        <v>0</v>
      </c>
      <c r="O238">
        <f ca="1">'Ref scen Calcs'!Q774</f>
        <v>0</v>
      </c>
      <c r="P238">
        <f ca="1">'Ref scen Calcs'!R774</f>
        <v>0</v>
      </c>
      <c r="Q238">
        <f ca="1">'Ref scen Calcs'!S774</f>
        <v>0</v>
      </c>
      <c r="R238">
        <f ca="1">'Ref scen Calcs'!T774</f>
        <v>0</v>
      </c>
      <c r="S238">
        <f ca="1">'Ref scen Calcs'!U774</f>
        <v>0</v>
      </c>
      <c r="T238">
        <f ca="1">'Ref scen Calcs'!V774</f>
        <v>0</v>
      </c>
      <c r="U238">
        <f ca="1">'Ref scen Calcs'!W774</f>
        <v>0</v>
      </c>
      <c r="V238">
        <f ca="1">'Ref scen Calcs'!X774</f>
        <v>0</v>
      </c>
      <c r="W238">
        <f ca="1">'Ref scen Calcs'!Y774</f>
        <v>0</v>
      </c>
      <c r="X238">
        <f ca="1">'Ref scen Calcs'!Z774</f>
        <v>0</v>
      </c>
      <c r="Y238">
        <f ca="1">'Ref scen Calcs'!AA774</f>
        <v>0</v>
      </c>
      <c r="Z238">
        <f ca="1">'Ref scen Calcs'!AB774</f>
        <v>0</v>
      </c>
      <c r="AA238">
        <f ca="1">'Ref scen Calcs'!AC774</f>
        <v>0</v>
      </c>
      <c r="AP238">
        <f>'Alt scen Calcs'!D774</f>
        <v>0</v>
      </c>
      <c r="AQ238">
        <f>'Alt scen Calcs'!E774</f>
        <v>0</v>
      </c>
      <c r="AR238">
        <f>'Alt scen Calcs'!F774</f>
        <v>0</v>
      </c>
      <c r="AS238">
        <f>'Alt scen Calcs'!G774</f>
        <v>0</v>
      </c>
      <c r="AT238">
        <f>'Alt scen Calcs'!H774</f>
        <v>0</v>
      </c>
      <c r="AU238">
        <f ca="1">'Alt scen Calcs'!I774</f>
        <v>0</v>
      </c>
      <c r="AV238">
        <f ca="1">'Alt scen Calcs'!J774</f>
        <v>0</v>
      </c>
      <c r="AW238">
        <f ca="1">'Alt scen Calcs'!K774</f>
        <v>0</v>
      </c>
      <c r="AX238">
        <f ca="1">'Alt scen Calcs'!L774</f>
        <v>0</v>
      </c>
      <c r="AY238">
        <f ca="1">'Alt scen Calcs'!M774</f>
        <v>0</v>
      </c>
      <c r="AZ238">
        <f ca="1">'Alt scen Calcs'!N774</f>
        <v>0</v>
      </c>
      <c r="BA238">
        <f ca="1">'Alt scen Calcs'!O774</f>
        <v>0</v>
      </c>
      <c r="BB238">
        <f ca="1">'Alt scen Calcs'!P774</f>
        <v>0</v>
      </c>
      <c r="BC238">
        <f ca="1">'Alt scen Calcs'!Q774</f>
        <v>0</v>
      </c>
      <c r="BD238">
        <f ca="1">'Alt scen Calcs'!R774</f>
        <v>0</v>
      </c>
      <c r="BE238">
        <f ca="1">'Alt scen Calcs'!S774</f>
        <v>0</v>
      </c>
      <c r="BF238">
        <f ca="1">'Alt scen Calcs'!T774</f>
        <v>0</v>
      </c>
      <c r="BG238">
        <f ca="1">'Alt scen Calcs'!U774</f>
        <v>0</v>
      </c>
      <c r="BH238">
        <f ca="1">'Alt scen Calcs'!V774</f>
        <v>0</v>
      </c>
      <c r="BI238">
        <f ca="1">'Alt scen Calcs'!W774</f>
        <v>0</v>
      </c>
      <c r="BJ238">
        <f ca="1">'Alt scen Calcs'!X774</f>
        <v>0</v>
      </c>
      <c r="BK238">
        <f ca="1">'Alt scen Calcs'!Y774</f>
        <v>0</v>
      </c>
      <c r="BL238">
        <f ca="1">'Alt scen Calcs'!Z774</f>
        <v>0</v>
      </c>
      <c r="BM238">
        <f ca="1">'Alt scen Calcs'!AA774</f>
        <v>0</v>
      </c>
      <c r="BN238">
        <f ca="1">'Alt scen Calcs'!AB774</f>
        <v>0</v>
      </c>
      <c r="BO238">
        <f ca="1">'Alt scen Calcs'!AC774</f>
        <v>0</v>
      </c>
    </row>
    <row r="239" spans="1:67">
      <c r="A239" t="str">
        <f>'Ref scen Calcs'!C775</f>
        <v>IGCC</v>
      </c>
      <c r="B239">
        <f>'Ref scen Calcs'!D775</f>
        <v>0</v>
      </c>
      <c r="C239">
        <f>'Ref scen Calcs'!E775</f>
        <v>2.602576242861687E-14</v>
      </c>
      <c r="D239">
        <f>'Ref scen Calcs'!F775</f>
        <v>0</v>
      </c>
      <c r="E239">
        <f>'Ref scen Calcs'!G775</f>
        <v>2.602576242861687E-14</v>
      </c>
      <c r="F239">
        <f>'Ref scen Calcs'!H775</f>
        <v>2.602576242861687E-14</v>
      </c>
      <c r="G239">
        <f ca="1">'Ref scen Calcs'!I775</f>
        <v>0</v>
      </c>
      <c r="H239">
        <f ca="1">'Ref scen Calcs'!J775</f>
        <v>0</v>
      </c>
      <c r="I239">
        <f ca="1">'Ref scen Calcs'!K775</f>
        <v>0</v>
      </c>
      <c r="J239">
        <f ca="1">'Ref scen Calcs'!L775</f>
        <v>0</v>
      </c>
      <c r="K239">
        <f ca="1">'Ref scen Calcs'!M775</f>
        <v>0</v>
      </c>
      <c r="L239">
        <f ca="1">'Ref scen Calcs'!N775</f>
        <v>0</v>
      </c>
      <c r="M239">
        <f ca="1">'Ref scen Calcs'!O775</f>
        <v>0</v>
      </c>
      <c r="N239">
        <f ca="1">'Ref scen Calcs'!P775</f>
        <v>0</v>
      </c>
      <c r="O239">
        <f ca="1">'Ref scen Calcs'!Q775</f>
        <v>0</v>
      </c>
      <c r="P239">
        <f ca="1">'Ref scen Calcs'!R775</f>
        <v>0</v>
      </c>
      <c r="Q239">
        <f ca="1">'Ref scen Calcs'!S775</f>
        <v>0</v>
      </c>
      <c r="R239">
        <f ca="1">'Ref scen Calcs'!T775</f>
        <v>0</v>
      </c>
      <c r="S239">
        <f ca="1">'Ref scen Calcs'!U775</f>
        <v>0</v>
      </c>
      <c r="T239">
        <f ca="1">'Ref scen Calcs'!V775</f>
        <v>0</v>
      </c>
      <c r="U239">
        <f ca="1">'Ref scen Calcs'!W775</f>
        <v>0</v>
      </c>
      <c r="V239">
        <f ca="1">'Ref scen Calcs'!X775</f>
        <v>0</v>
      </c>
      <c r="W239">
        <f ca="1">'Ref scen Calcs'!Y775</f>
        <v>0</v>
      </c>
      <c r="X239">
        <f ca="1">'Ref scen Calcs'!Z775</f>
        <v>0</v>
      </c>
      <c r="Y239">
        <f ca="1">'Ref scen Calcs'!AA775</f>
        <v>0</v>
      </c>
      <c r="Z239">
        <f ca="1">'Ref scen Calcs'!AB775</f>
        <v>0</v>
      </c>
      <c r="AA239">
        <f ca="1">'Ref scen Calcs'!AC775</f>
        <v>0</v>
      </c>
      <c r="AP239">
        <f>'Alt scen Calcs'!D775</f>
        <v>0</v>
      </c>
      <c r="AQ239">
        <f>'Alt scen Calcs'!E775</f>
        <v>2.602576242861687E-14</v>
      </c>
      <c r="AR239">
        <f>'Alt scen Calcs'!F775</f>
        <v>0</v>
      </c>
      <c r="AS239">
        <f>'Alt scen Calcs'!G775</f>
        <v>2.602576242861687E-14</v>
      </c>
      <c r="AT239">
        <f>'Alt scen Calcs'!H775</f>
        <v>2.602576242861687E-14</v>
      </c>
      <c r="AU239">
        <f ca="1">'Alt scen Calcs'!I775</f>
        <v>0</v>
      </c>
      <c r="AV239">
        <f ca="1">'Alt scen Calcs'!J775</f>
        <v>0</v>
      </c>
      <c r="AW239">
        <f ca="1">'Alt scen Calcs'!K775</f>
        <v>0</v>
      </c>
      <c r="AX239">
        <f ca="1">'Alt scen Calcs'!L775</f>
        <v>0</v>
      </c>
      <c r="AY239">
        <f ca="1">'Alt scen Calcs'!M775</f>
        <v>0</v>
      </c>
      <c r="AZ239">
        <f ca="1">'Alt scen Calcs'!N775</f>
        <v>0</v>
      </c>
      <c r="BA239">
        <f ca="1">'Alt scen Calcs'!O775</f>
        <v>0</v>
      </c>
      <c r="BB239">
        <f ca="1">'Alt scen Calcs'!P775</f>
        <v>0</v>
      </c>
      <c r="BC239">
        <f ca="1">'Alt scen Calcs'!Q775</f>
        <v>0</v>
      </c>
      <c r="BD239">
        <f ca="1">'Alt scen Calcs'!R775</f>
        <v>0</v>
      </c>
      <c r="BE239">
        <f ca="1">'Alt scen Calcs'!S775</f>
        <v>0</v>
      </c>
      <c r="BF239">
        <f ca="1">'Alt scen Calcs'!T775</f>
        <v>0</v>
      </c>
      <c r="BG239">
        <f ca="1">'Alt scen Calcs'!U775</f>
        <v>0</v>
      </c>
      <c r="BH239">
        <f ca="1">'Alt scen Calcs'!V775</f>
        <v>0</v>
      </c>
      <c r="BI239">
        <f ca="1">'Alt scen Calcs'!W775</f>
        <v>0</v>
      </c>
      <c r="BJ239">
        <f ca="1">'Alt scen Calcs'!X775</f>
        <v>0</v>
      </c>
      <c r="BK239">
        <f ca="1">'Alt scen Calcs'!Y775</f>
        <v>0</v>
      </c>
      <c r="BL239">
        <f ca="1">'Alt scen Calcs'!Z775</f>
        <v>0</v>
      </c>
      <c r="BM239">
        <f ca="1">'Alt scen Calcs'!AA775</f>
        <v>0</v>
      </c>
      <c r="BN239">
        <f ca="1">'Alt scen Calcs'!AB775</f>
        <v>3.6930401379846161</v>
      </c>
      <c r="BO239">
        <f ca="1">'Alt scen Calcs'!AC775</f>
        <v>7.3860802759692321</v>
      </c>
    </row>
    <row r="240" spans="1:67">
      <c r="A240" t="str">
        <f>'Ref scen Calcs'!C776</f>
        <v>-</v>
      </c>
      <c r="B240">
        <f>'Ref scen Calcs'!D776</f>
        <v>0</v>
      </c>
      <c r="C240">
        <f>'Ref scen Calcs'!E776</f>
        <v>0</v>
      </c>
      <c r="D240">
        <f>'Ref scen Calcs'!F776</f>
        <v>0</v>
      </c>
      <c r="E240">
        <f>'Ref scen Calcs'!G776</f>
        <v>0</v>
      </c>
      <c r="F240">
        <f>'Ref scen Calcs'!H776</f>
        <v>0</v>
      </c>
      <c r="G240">
        <f ca="1">'Ref scen Calcs'!I776</f>
        <v>0</v>
      </c>
      <c r="H240">
        <f ca="1">'Ref scen Calcs'!J776</f>
        <v>0</v>
      </c>
      <c r="I240">
        <f ca="1">'Ref scen Calcs'!K776</f>
        <v>0</v>
      </c>
      <c r="J240">
        <f ca="1">'Ref scen Calcs'!L776</f>
        <v>0</v>
      </c>
      <c r="K240">
        <f ca="1">'Ref scen Calcs'!M776</f>
        <v>0</v>
      </c>
      <c r="L240">
        <f ca="1">'Ref scen Calcs'!N776</f>
        <v>0</v>
      </c>
      <c r="M240">
        <f ca="1">'Ref scen Calcs'!O776</f>
        <v>0</v>
      </c>
      <c r="N240">
        <f ca="1">'Ref scen Calcs'!P776</f>
        <v>0</v>
      </c>
      <c r="O240">
        <f ca="1">'Ref scen Calcs'!Q776</f>
        <v>0</v>
      </c>
      <c r="P240">
        <f ca="1">'Ref scen Calcs'!R776</f>
        <v>0</v>
      </c>
      <c r="Q240">
        <f ca="1">'Ref scen Calcs'!S776</f>
        <v>0</v>
      </c>
      <c r="R240">
        <f ca="1">'Ref scen Calcs'!T776</f>
        <v>0</v>
      </c>
      <c r="S240">
        <f ca="1">'Ref scen Calcs'!U776</f>
        <v>0</v>
      </c>
      <c r="T240">
        <f ca="1">'Ref scen Calcs'!V776</f>
        <v>0</v>
      </c>
      <c r="U240">
        <f ca="1">'Ref scen Calcs'!W776</f>
        <v>0</v>
      </c>
      <c r="V240">
        <f ca="1">'Ref scen Calcs'!X776</f>
        <v>0</v>
      </c>
      <c r="W240">
        <f ca="1">'Ref scen Calcs'!Y776</f>
        <v>0</v>
      </c>
      <c r="X240">
        <f ca="1">'Ref scen Calcs'!Z776</f>
        <v>0</v>
      </c>
      <c r="Y240">
        <f ca="1">'Ref scen Calcs'!AA776</f>
        <v>0</v>
      </c>
      <c r="Z240">
        <f ca="1">'Ref scen Calcs'!AB776</f>
        <v>0</v>
      </c>
      <c r="AA240">
        <f ca="1">'Ref scen Calcs'!AC776</f>
        <v>0</v>
      </c>
      <c r="AP240">
        <f>'Alt scen Calcs'!D776</f>
        <v>0</v>
      </c>
      <c r="AQ240">
        <f>'Alt scen Calcs'!E776</f>
        <v>0</v>
      </c>
      <c r="AR240">
        <f>'Alt scen Calcs'!F776</f>
        <v>0</v>
      </c>
      <c r="AS240">
        <f>'Alt scen Calcs'!G776</f>
        <v>0</v>
      </c>
      <c r="AT240">
        <f>'Alt scen Calcs'!H776</f>
        <v>0</v>
      </c>
      <c r="AU240">
        <f ca="1">'Alt scen Calcs'!I776</f>
        <v>0</v>
      </c>
      <c r="AV240">
        <f ca="1">'Alt scen Calcs'!J776</f>
        <v>0</v>
      </c>
      <c r="AW240">
        <f ca="1">'Alt scen Calcs'!K776</f>
        <v>0</v>
      </c>
      <c r="AX240">
        <f ca="1">'Alt scen Calcs'!L776</f>
        <v>0</v>
      </c>
      <c r="AY240">
        <f ca="1">'Alt scen Calcs'!M776</f>
        <v>0</v>
      </c>
      <c r="AZ240">
        <f ca="1">'Alt scen Calcs'!N776</f>
        <v>0</v>
      </c>
      <c r="BA240">
        <f ca="1">'Alt scen Calcs'!O776</f>
        <v>0</v>
      </c>
      <c r="BB240">
        <f ca="1">'Alt scen Calcs'!P776</f>
        <v>0</v>
      </c>
      <c r="BC240">
        <f ca="1">'Alt scen Calcs'!Q776</f>
        <v>0</v>
      </c>
      <c r="BD240">
        <f ca="1">'Alt scen Calcs'!R776</f>
        <v>0</v>
      </c>
      <c r="BE240">
        <f ca="1">'Alt scen Calcs'!S776</f>
        <v>0</v>
      </c>
      <c r="BF240">
        <f ca="1">'Alt scen Calcs'!T776</f>
        <v>0</v>
      </c>
      <c r="BG240">
        <f ca="1">'Alt scen Calcs'!U776</f>
        <v>0</v>
      </c>
      <c r="BH240">
        <f ca="1">'Alt scen Calcs'!V776</f>
        <v>0</v>
      </c>
      <c r="BI240">
        <f ca="1">'Alt scen Calcs'!W776</f>
        <v>0</v>
      </c>
      <c r="BJ240">
        <f ca="1">'Alt scen Calcs'!X776</f>
        <v>0</v>
      </c>
      <c r="BK240">
        <f ca="1">'Alt scen Calcs'!Y776</f>
        <v>0</v>
      </c>
      <c r="BL240">
        <f ca="1">'Alt scen Calcs'!Z776</f>
        <v>0</v>
      </c>
      <c r="BM240">
        <f ca="1">'Alt scen Calcs'!AA776</f>
        <v>0</v>
      </c>
      <c r="BN240">
        <f ca="1">'Alt scen Calcs'!AB776</f>
        <v>0</v>
      </c>
      <c r="BO240">
        <f ca="1">'Alt scen Calcs'!AC776</f>
        <v>0</v>
      </c>
    </row>
    <row r="241" spans="1:67">
      <c r="A241" t="str">
        <f>'Ref scen Calcs'!C777</f>
        <v>-</v>
      </c>
      <c r="B241">
        <f>'Ref scen Calcs'!D777</f>
        <v>0</v>
      </c>
      <c r="C241">
        <f>'Ref scen Calcs'!E777</f>
        <v>0</v>
      </c>
      <c r="D241">
        <f>'Ref scen Calcs'!F777</f>
        <v>0</v>
      </c>
      <c r="E241">
        <f>'Ref scen Calcs'!G777</f>
        <v>0</v>
      </c>
      <c r="F241">
        <f>'Ref scen Calcs'!H777</f>
        <v>0</v>
      </c>
      <c r="G241">
        <f ca="1">'Ref scen Calcs'!I777</f>
        <v>0</v>
      </c>
      <c r="H241">
        <f ca="1">'Ref scen Calcs'!J777</f>
        <v>0</v>
      </c>
      <c r="I241">
        <f ca="1">'Ref scen Calcs'!K777</f>
        <v>0</v>
      </c>
      <c r="J241">
        <f ca="1">'Ref scen Calcs'!L777</f>
        <v>0</v>
      </c>
      <c r="K241">
        <f ca="1">'Ref scen Calcs'!M777</f>
        <v>0</v>
      </c>
      <c r="L241">
        <f ca="1">'Ref scen Calcs'!N777</f>
        <v>0</v>
      </c>
      <c r="M241">
        <f ca="1">'Ref scen Calcs'!O777</f>
        <v>0</v>
      </c>
      <c r="N241">
        <f ca="1">'Ref scen Calcs'!P777</f>
        <v>0</v>
      </c>
      <c r="O241">
        <f ca="1">'Ref scen Calcs'!Q777</f>
        <v>0</v>
      </c>
      <c r="P241">
        <f ca="1">'Ref scen Calcs'!R777</f>
        <v>0</v>
      </c>
      <c r="Q241">
        <f ca="1">'Ref scen Calcs'!S777</f>
        <v>0</v>
      </c>
      <c r="R241">
        <f ca="1">'Ref scen Calcs'!T777</f>
        <v>0</v>
      </c>
      <c r="S241">
        <f ca="1">'Ref scen Calcs'!U777</f>
        <v>0</v>
      </c>
      <c r="T241">
        <f ca="1">'Ref scen Calcs'!V777</f>
        <v>0</v>
      </c>
      <c r="U241">
        <f ca="1">'Ref scen Calcs'!W777</f>
        <v>0</v>
      </c>
      <c r="V241">
        <f ca="1">'Ref scen Calcs'!X777</f>
        <v>0</v>
      </c>
      <c r="W241">
        <f ca="1">'Ref scen Calcs'!Y777</f>
        <v>0</v>
      </c>
      <c r="X241">
        <f ca="1">'Ref scen Calcs'!Z777</f>
        <v>0</v>
      </c>
      <c r="Y241">
        <f ca="1">'Ref scen Calcs'!AA777</f>
        <v>0</v>
      </c>
      <c r="Z241">
        <f ca="1">'Ref scen Calcs'!AB777</f>
        <v>0</v>
      </c>
      <c r="AA241">
        <f ca="1">'Ref scen Calcs'!AC777</f>
        <v>0</v>
      </c>
      <c r="AP241">
        <f>'Alt scen Calcs'!D777</f>
        <v>0</v>
      </c>
      <c r="AQ241">
        <f>'Alt scen Calcs'!E777</f>
        <v>0</v>
      </c>
      <c r="AR241">
        <f>'Alt scen Calcs'!F777</f>
        <v>0</v>
      </c>
      <c r="AS241">
        <f>'Alt scen Calcs'!G777</f>
        <v>0</v>
      </c>
      <c r="AT241">
        <f>'Alt scen Calcs'!H777</f>
        <v>0</v>
      </c>
      <c r="AU241">
        <f ca="1">'Alt scen Calcs'!I777</f>
        <v>0</v>
      </c>
      <c r="AV241">
        <f ca="1">'Alt scen Calcs'!J777</f>
        <v>0</v>
      </c>
      <c r="AW241">
        <f ca="1">'Alt scen Calcs'!K777</f>
        <v>0</v>
      </c>
      <c r="AX241">
        <f ca="1">'Alt scen Calcs'!L777</f>
        <v>0</v>
      </c>
      <c r="AY241">
        <f ca="1">'Alt scen Calcs'!M777</f>
        <v>0</v>
      </c>
      <c r="AZ241">
        <f ca="1">'Alt scen Calcs'!N777</f>
        <v>0</v>
      </c>
      <c r="BA241">
        <f ca="1">'Alt scen Calcs'!O777</f>
        <v>0</v>
      </c>
      <c r="BB241">
        <f ca="1">'Alt scen Calcs'!P777</f>
        <v>0</v>
      </c>
      <c r="BC241">
        <f ca="1">'Alt scen Calcs'!Q777</f>
        <v>0</v>
      </c>
      <c r="BD241">
        <f ca="1">'Alt scen Calcs'!R777</f>
        <v>0</v>
      </c>
      <c r="BE241">
        <f ca="1">'Alt scen Calcs'!S777</f>
        <v>0</v>
      </c>
      <c r="BF241">
        <f ca="1">'Alt scen Calcs'!T777</f>
        <v>0</v>
      </c>
      <c r="BG241">
        <f ca="1">'Alt scen Calcs'!U777</f>
        <v>0</v>
      </c>
      <c r="BH241">
        <f ca="1">'Alt scen Calcs'!V777</f>
        <v>0</v>
      </c>
      <c r="BI241">
        <f ca="1">'Alt scen Calcs'!W777</f>
        <v>0</v>
      </c>
      <c r="BJ241">
        <f ca="1">'Alt scen Calcs'!X777</f>
        <v>0</v>
      </c>
      <c r="BK241">
        <f ca="1">'Alt scen Calcs'!Y777</f>
        <v>0</v>
      </c>
      <c r="BL241">
        <f ca="1">'Alt scen Calcs'!Z777</f>
        <v>0</v>
      </c>
      <c r="BM241">
        <f ca="1">'Alt scen Calcs'!AA777</f>
        <v>0</v>
      </c>
      <c r="BN241">
        <f ca="1">'Alt scen Calcs'!AB777</f>
        <v>0</v>
      </c>
      <c r="BO241">
        <f ca="1">'Alt scen Calcs'!AC777</f>
        <v>0</v>
      </c>
    </row>
    <row r="242" spans="1:67">
      <c r="A242" t="str">
        <f>'Ref scen Calcs'!C778</f>
        <v>-</v>
      </c>
      <c r="B242">
        <f>'Ref scen Calcs'!D778</f>
        <v>0</v>
      </c>
      <c r="C242">
        <f>'Ref scen Calcs'!E778</f>
        <v>0</v>
      </c>
      <c r="D242">
        <f>'Ref scen Calcs'!F778</f>
        <v>0</v>
      </c>
      <c r="E242">
        <f>'Ref scen Calcs'!G778</f>
        <v>0</v>
      </c>
      <c r="F242">
        <f>'Ref scen Calcs'!H778</f>
        <v>0</v>
      </c>
      <c r="G242">
        <f ca="1">'Ref scen Calcs'!I778</f>
        <v>0</v>
      </c>
      <c r="H242">
        <f ca="1">'Ref scen Calcs'!J778</f>
        <v>0</v>
      </c>
      <c r="I242">
        <f ca="1">'Ref scen Calcs'!K778</f>
        <v>0</v>
      </c>
      <c r="J242">
        <f ca="1">'Ref scen Calcs'!L778</f>
        <v>0</v>
      </c>
      <c r="K242">
        <f ca="1">'Ref scen Calcs'!M778</f>
        <v>0</v>
      </c>
      <c r="L242">
        <f ca="1">'Ref scen Calcs'!N778</f>
        <v>0</v>
      </c>
      <c r="M242">
        <f ca="1">'Ref scen Calcs'!O778</f>
        <v>0</v>
      </c>
      <c r="N242">
        <f ca="1">'Ref scen Calcs'!P778</f>
        <v>0</v>
      </c>
      <c r="O242">
        <f ca="1">'Ref scen Calcs'!Q778</f>
        <v>0</v>
      </c>
      <c r="P242">
        <f ca="1">'Ref scen Calcs'!R778</f>
        <v>0</v>
      </c>
      <c r="Q242">
        <f ca="1">'Ref scen Calcs'!S778</f>
        <v>0</v>
      </c>
      <c r="R242">
        <f ca="1">'Ref scen Calcs'!T778</f>
        <v>0</v>
      </c>
      <c r="S242">
        <f ca="1">'Ref scen Calcs'!U778</f>
        <v>0</v>
      </c>
      <c r="T242">
        <f ca="1">'Ref scen Calcs'!V778</f>
        <v>0</v>
      </c>
      <c r="U242">
        <f ca="1">'Ref scen Calcs'!W778</f>
        <v>0</v>
      </c>
      <c r="V242">
        <f ca="1">'Ref scen Calcs'!X778</f>
        <v>0</v>
      </c>
      <c r="W242">
        <f ca="1">'Ref scen Calcs'!Y778</f>
        <v>0</v>
      </c>
      <c r="X242">
        <f ca="1">'Ref scen Calcs'!Z778</f>
        <v>0</v>
      </c>
      <c r="Y242">
        <f ca="1">'Ref scen Calcs'!AA778</f>
        <v>0</v>
      </c>
      <c r="Z242">
        <f ca="1">'Ref scen Calcs'!AB778</f>
        <v>0</v>
      </c>
      <c r="AA242">
        <f ca="1">'Ref scen Calcs'!AC778</f>
        <v>0</v>
      </c>
      <c r="AP242">
        <f>'Alt scen Calcs'!D778</f>
        <v>0</v>
      </c>
      <c r="AQ242">
        <f>'Alt scen Calcs'!E778</f>
        <v>0</v>
      </c>
      <c r="AR242">
        <f>'Alt scen Calcs'!F778</f>
        <v>0</v>
      </c>
      <c r="AS242">
        <f>'Alt scen Calcs'!G778</f>
        <v>0</v>
      </c>
      <c r="AT242">
        <f>'Alt scen Calcs'!H778</f>
        <v>0</v>
      </c>
      <c r="AU242">
        <f ca="1">'Alt scen Calcs'!I778</f>
        <v>0</v>
      </c>
      <c r="AV242">
        <f ca="1">'Alt scen Calcs'!J778</f>
        <v>0</v>
      </c>
      <c r="AW242">
        <f ca="1">'Alt scen Calcs'!K778</f>
        <v>0</v>
      </c>
      <c r="AX242">
        <f ca="1">'Alt scen Calcs'!L778</f>
        <v>0</v>
      </c>
      <c r="AY242">
        <f ca="1">'Alt scen Calcs'!M778</f>
        <v>0</v>
      </c>
      <c r="AZ242">
        <f ca="1">'Alt scen Calcs'!N778</f>
        <v>0</v>
      </c>
      <c r="BA242">
        <f ca="1">'Alt scen Calcs'!O778</f>
        <v>0</v>
      </c>
      <c r="BB242">
        <f ca="1">'Alt scen Calcs'!P778</f>
        <v>0</v>
      </c>
      <c r="BC242">
        <f ca="1">'Alt scen Calcs'!Q778</f>
        <v>0</v>
      </c>
      <c r="BD242">
        <f ca="1">'Alt scen Calcs'!R778</f>
        <v>0</v>
      </c>
      <c r="BE242">
        <f ca="1">'Alt scen Calcs'!S778</f>
        <v>0</v>
      </c>
      <c r="BF242">
        <f ca="1">'Alt scen Calcs'!T778</f>
        <v>0</v>
      </c>
      <c r="BG242">
        <f ca="1">'Alt scen Calcs'!U778</f>
        <v>0</v>
      </c>
      <c r="BH242">
        <f ca="1">'Alt scen Calcs'!V778</f>
        <v>0</v>
      </c>
      <c r="BI242">
        <f ca="1">'Alt scen Calcs'!W778</f>
        <v>0</v>
      </c>
      <c r="BJ242">
        <f ca="1">'Alt scen Calcs'!X778</f>
        <v>0</v>
      </c>
      <c r="BK242">
        <f ca="1">'Alt scen Calcs'!Y778</f>
        <v>0</v>
      </c>
      <c r="BL242">
        <f ca="1">'Alt scen Calcs'!Z778</f>
        <v>0</v>
      </c>
      <c r="BM242">
        <f ca="1">'Alt scen Calcs'!AA778</f>
        <v>0</v>
      </c>
      <c r="BN242">
        <f ca="1">'Alt scen Calcs'!AB778</f>
        <v>0</v>
      </c>
      <c r="BO242">
        <f ca="1">'Alt scen Calcs'!AC778</f>
        <v>0</v>
      </c>
    </row>
    <row r="243" spans="1:67">
      <c r="A243" t="str">
        <f>'Ref scen Calcs'!C779</f>
        <v>Pumped storage</v>
      </c>
      <c r="B243">
        <f>'Ref scen Calcs'!D779</f>
        <v>0</v>
      </c>
      <c r="C243">
        <f>'Ref scen Calcs'!E779</f>
        <v>0</v>
      </c>
      <c r="D243">
        <f>'Ref scen Calcs'!F779</f>
        <v>0</v>
      </c>
      <c r="E243">
        <f>'Ref scen Calcs'!G779</f>
        <v>0</v>
      </c>
      <c r="F243">
        <f>'Ref scen Calcs'!H779</f>
        <v>0</v>
      </c>
      <c r="G243">
        <f ca="1">'Ref scen Calcs'!I779</f>
        <v>0</v>
      </c>
      <c r="H243">
        <f ca="1">'Ref scen Calcs'!J779</f>
        <v>0</v>
      </c>
      <c r="I243">
        <f ca="1">'Ref scen Calcs'!K779</f>
        <v>0</v>
      </c>
      <c r="J243">
        <f ca="1">'Ref scen Calcs'!L779</f>
        <v>0</v>
      </c>
      <c r="K243">
        <f ca="1">'Ref scen Calcs'!M779</f>
        <v>0</v>
      </c>
      <c r="L243">
        <f ca="1">'Ref scen Calcs'!N779</f>
        <v>0</v>
      </c>
      <c r="M243">
        <f ca="1">'Ref scen Calcs'!O779</f>
        <v>0</v>
      </c>
      <c r="N243">
        <f ca="1">'Ref scen Calcs'!P779</f>
        <v>0</v>
      </c>
      <c r="O243">
        <f ca="1">'Ref scen Calcs'!Q779</f>
        <v>0</v>
      </c>
      <c r="P243">
        <f ca="1">'Ref scen Calcs'!R779</f>
        <v>0</v>
      </c>
      <c r="Q243">
        <f ca="1">'Ref scen Calcs'!S779</f>
        <v>0</v>
      </c>
      <c r="R243">
        <f ca="1">'Ref scen Calcs'!T779</f>
        <v>0</v>
      </c>
      <c r="S243">
        <f ca="1">'Ref scen Calcs'!U779</f>
        <v>0</v>
      </c>
      <c r="T243">
        <f ca="1">'Ref scen Calcs'!V779</f>
        <v>0</v>
      </c>
      <c r="U243">
        <f ca="1">'Ref scen Calcs'!W779</f>
        <v>0</v>
      </c>
      <c r="V243">
        <f ca="1">'Ref scen Calcs'!X779</f>
        <v>0</v>
      </c>
      <c r="W243">
        <f ca="1">'Ref scen Calcs'!Y779</f>
        <v>0</v>
      </c>
      <c r="X243">
        <f ca="1">'Ref scen Calcs'!Z779</f>
        <v>0</v>
      </c>
      <c r="Y243">
        <f ca="1">'Ref scen Calcs'!AA779</f>
        <v>0</v>
      </c>
      <c r="Z243">
        <f ca="1">'Ref scen Calcs'!AB779</f>
        <v>0</v>
      </c>
      <c r="AA243">
        <f ca="1">'Ref scen Calcs'!AC779</f>
        <v>0</v>
      </c>
      <c r="AP243">
        <f>'Alt scen Calcs'!D779</f>
        <v>0</v>
      </c>
      <c r="AQ243">
        <f>'Alt scen Calcs'!E779</f>
        <v>0</v>
      </c>
      <c r="AR243">
        <f>'Alt scen Calcs'!F779</f>
        <v>0</v>
      </c>
      <c r="AS243">
        <f>'Alt scen Calcs'!G779</f>
        <v>0</v>
      </c>
      <c r="AT243">
        <f>'Alt scen Calcs'!H779</f>
        <v>0</v>
      </c>
      <c r="AU243">
        <f ca="1">'Alt scen Calcs'!I779</f>
        <v>0</v>
      </c>
      <c r="AV243">
        <f ca="1">'Alt scen Calcs'!J779</f>
        <v>0</v>
      </c>
      <c r="AW243">
        <f ca="1">'Alt scen Calcs'!K779</f>
        <v>0</v>
      </c>
      <c r="AX243">
        <f ca="1">'Alt scen Calcs'!L779</f>
        <v>0</v>
      </c>
      <c r="AY243">
        <f ca="1">'Alt scen Calcs'!M779</f>
        <v>0</v>
      </c>
      <c r="AZ243">
        <f ca="1">'Alt scen Calcs'!N779</f>
        <v>0</v>
      </c>
      <c r="BA243">
        <f ca="1">'Alt scen Calcs'!O779</f>
        <v>0</v>
      </c>
      <c r="BB243">
        <f ca="1">'Alt scen Calcs'!P779</f>
        <v>0</v>
      </c>
      <c r="BC243">
        <f ca="1">'Alt scen Calcs'!Q779</f>
        <v>0</v>
      </c>
      <c r="BD243">
        <f ca="1">'Alt scen Calcs'!R779</f>
        <v>0</v>
      </c>
      <c r="BE243">
        <f ca="1">'Alt scen Calcs'!S779</f>
        <v>0</v>
      </c>
      <c r="BF243">
        <f ca="1">'Alt scen Calcs'!T779</f>
        <v>0</v>
      </c>
      <c r="BG243">
        <f ca="1">'Alt scen Calcs'!U779</f>
        <v>0</v>
      </c>
      <c r="BH243">
        <f ca="1">'Alt scen Calcs'!V779</f>
        <v>0</v>
      </c>
      <c r="BI243">
        <f ca="1">'Alt scen Calcs'!W779</f>
        <v>0</v>
      </c>
      <c r="BJ243">
        <f ca="1">'Alt scen Calcs'!X779</f>
        <v>0</v>
      </c>
      <c r="BK243">
        <f ca="1">'Alt scen Calcs'!Y779</f>
        <v>0</v>
      </c>
      <c r="BL243">
        <f ca="1">'Alt scen Calcs'!Z779</f>
        <v>0</v>
      </c>
      <c r="BM243">
        <f ca="1">'Alt scen Calcs'!AA779</f>
        <v>0</v>
      </c>
      <c r="BN243">
        <f ca="1">'Alt scen Calcs'!AB779</f>
        <v>0</v>
      </c>
      <c r="BO243">
        <f ca="1">'Alt scen Calcs'!AC779</f>
        <v>0</v>
      </c>
    </row>
    <row r="246" spans="1:67">
      <c r="A246" s="4"/>
    </row>
    <row r="247" spans="1:67">
      <c r="A247" s="4"/>
    </row>
    <row r="248" spans="1:67">
      <c r="A248" s="4"/>
    </row>
    <row r="249" spans="1:67">
      <c r="A249" s="4"/>
    </row>
    <row r="250" spans="1:67">
      <c r="A250" s="4"/>
    </row>
    <row r="251" spans="1:67">
      <c r="A251" s="4"/>
    </row>
    <row r="252" spans="1:67">
      <c r="A252" s="4"/>
    </row>
    <row r="253" spans="1:67">
      <c r="A253" s="4"/>
    </row>
    <row r="254" spans="1:67">
      <c r="A254" s="4"/>
    </row>
    <row r="255" spans="1:67">
      <c r="A255" s="4"/>
    </row>
    <row r="256" spans="1:67">
      <c r="A256" s="4" t="s">
        <v>286</v>
      </c>
    </row>
    <row r="257" spans="1:100">
      <c r="A257" s="11"/>
      <c r="B257" s="4" t="s">
        <v>208</v>
      </c>
      <c r="AP257" s="4" t="s">
        <v>209</v>
      </c>
      <c r="BW257" s="4" t="s">
        <v>271</v>
      </c>
      <c r="BZ257" s="11" t="s">
        <v>280</v>
      </c>
      <c r="CC257" t="str">
        <f>"Reference "&amp;CC263</f>
        <v xml:space="preserve">Reference </v>
      </c>
    </row>
    <row r="258" spans="1:100">
      <c r="B258" s="4">
        <v>2005</v>
      </c>
      <c r="C258" s="4">
        <v>2006</v>
      </c>
      <c r="D258" s="4">
        <v>2007</v>
      </c>
      <c r="E258" s="4">
        <v>2008</v>
      </c>
      <c r="F258" s="4">
        <v>2009</v>
      </c>
      <c r="G258" s="4">
        <v>2010</v>
      </c>
      <c r="H258" s="4">
        <v>2011</v>
      </c>
      <c r="I258" s="4">
        <v>2012</v>
      </c>
      <c r="J258" s="4">
        <v>2013</v>
      </c>
      <c r="K258" s="4">
        <v>2014</v>
      </c>
      <c r="L258" s="4">
        <v>2015</v>
      </c>
      <c r="M258" s="4">
        <v>2016</v>
      </c>
      <c r="N258" s="4">
        <v>2017</v>
      </c>
      <c r="O258" s="4">
        <v>2018</v>
      </c>
      <c r="P258" s="4">
        <v>2019</v>
      </c>
      <c r="Q258" s="4">
        <v>2020</v>
      </c>
      <c r="R258" s="4">
        <v>2021</v>
      </c>
      <c r="S258" s="4">
        <v>2022</v>
      </c>
      <c r="T258" s="4">
        <v>2023</v>
      </c>
      <c r="U258" s="4">
        <v>2024</v>
      </c>
      <c r="V258" s="4">
        <v>2025</v>
      </c>
      <c r="W258" s="4">
        <v>2026</v>
      </c>
      <c r="X258" s="4">
        <v>2027</v>
      </c>
      <c r="Y258" s="4">
        <v>2028</v>
      </c>
      <c r="Z258" s="4">
        <v>2029</v>
      </c>
      <c r="AA258" s="4">
        <v>2030</v>
      </c>
      <c r="AP258" s="4">
        <v>2005</v>
      </c>
      <c r="AQ258" s="4">
        <v>2006</v>
      </c>
      <c r="AR258" s="4">
        <v>2007</v>
      </c>
      <c r="AS258" s="4">
        <v>2008</v>
      </c>
      <c r="AT258" s="4">
        <v>2009</v>
      </c>
      <c r="AU258" s="4">
        <v>2010</v>
      </c>
      <c r="AV258" s="4">
        <v>2011</v>
      </c>
      <c r="AW258" s="4">
        <v>2012</v>
      </c>
      <c r="AX258" s="4">
        <v>2013</v>
      </c>
      <c r="AY258" s="4">
        <v>2014</v>
      </c>
      <c r="AZ258" s="4">
        <v>2015</v>
      </c>
      <c r="BA258" s="4">
        <v>2016</v>
      </c>
      <c r="BB258" s="4">
        <v>2017</v>
      </c>
      <c r="BC258" s="4">
        <v>2018</v>
      </c>
      <c r="BD258" s="4">
        <v>2019</v>
      </c>
      <c r="BE258" s="4">
        <v>2020</v>
      </c>
      <c r="BF258" s="4">
        <v>2021</v>
      </c>
      <c r="BG258" s="4">
        <v>2022</v>
      </c>
      <c r="BH258" s="4">
        <v>2023</v>
      </c>
      <c r="BI258" s="4">
        <v>2024</v>
      </c>
      <c r="BJ258" s="4">
        <v>2025</v>
      </c>
      <c r="BK258" s="4">
        <v>2026</v>
      </c>
      <c r="BL258" s="4">
        <v>2027</v>
      </c>
      <c r="BM258" s="4">
        <v>2028</v>
      </c>
      <c r="BN258" s="4">
        <v>2029</v>
      </c>
      <c r="BO258" s="4">
        <v>2030</v>
      </c>
      <c r="BW258" s="4">
        <v>2005</v>
      </c>
      <c r="BX258" s="4">
        <v>2006</v>
      </c>
      <c r="BY258" s="4">
        <v>2007</v>
      </c>
      <c r="BZ258" s="4">
        <v>2008</v>
      </c>
      <c r="CA258" s="4">
        <v>2009</v>
      </c>
      <c r="CB258" s="4">
        <v>2010</v>
      </c>
      <c r="CC258" s="4">
        <v>2011</v>
      </c>
      <c r="CD258" s="4">
        <v>2012</v>
      </c>
      <c r="CE258" s="4">
        <v>2013</v>
      </c>
      <c r="CF258" s="4">
        <v>2014</v>
      </c>
      <c r="CG258" s="4">
        <v>2015</v>
      </c>
      <c r="CH258" s="4">
        <v>2016</v>
      </c>
      <c r="CI258" s="4">
        <v>2017</v>
      </c>
      <c r="CJ258" s="4">
        <v>2018</v>
      </c>
      <c r="CK258" s="4">
        <v>2019</v>
      </c>
      <c r="CL258" s="4">
        <v>2020</v>
      </c>
      <c r="CM258" s="4">
        <v>2021</v>
      </c>
      <c r="CN258" s="4">
        <v>2022</v>
      </c>
      <c r="CO258" s="4">
        <v>2023</v>
      </c>
      <c r="CP258" s="4">
        <v>2024</v>
      </c>
      <c r="CQ258" s="4">
        <v>2025</v>
      </c>
      <c r="CR258" s="4">
        <v>2026</v>
      </c>
      <c r="CS258" s="4">
        <v>2027</v>
      </c>
      <c r="CT258" s="4">
        <v>2028</v>
      </c>
      <c r="CU258" s="4">
        <v>2029</v>
      </c>
      <c r="CV258" s="4">
        <v>2030</v>
      </c>
    </row>
    <row r="259" spans="1:100">
      <c r="A259" s="11" t="s">
        <v>284</v>
      </c>
      <c r="B259">
        <f>'Ref scen Calcs'!D803</f>
        <v>1.3313893391371041</v>
      </c>
      <c r="C259">
        <f>'Ref scen Calcs'!E803</f>
        <v>1.3313893391371041</v>
      </c>
      <c r="D259">
        <f>'Ref scen Calcs'!F803</f>
        <v>1.3751866101901404</v>
      </c>
      <c r="E259">
        <f>'Ref scen Calcs'!G803</f>
        <v>1.3904430998690211</v>
      </c>
      <c r="F259">
        <f>'Ref scen Calcs'!H803</f>
        <v>1.3904430998690211</v>
      </c>
      <c r="G259">
        <f ca="1">'Ref scen Calcs'!I803</f>
        <v>1.4232244480936109</v>
      </c>
      <c r="H259">
        <f ca="1">'Ref scen Calcs'!J803</f>
        <v>1.4489208243110523</v>
      </c>
      <c r="I259">
        <f ca="1">'Ref scen Calcs'!K803</f>
        <v>1.4765441369429868</v>
      </c>
      <c r="J259">
        <f ca="1">'Ref scen Calcs'!L803</f>
        <v>1.5022023732254983</v>
      </c>
      <c r="K259">
        <f ca="1">'Ref scen Calcs'!M803</f>
        <v>1.503492532121494</v>
      </c>
      <c r="L259">
        <f ca="1">'Ref scen Calcs'!N803</f>
        <v>1.503492532121494</v>
      </c>
      <c r="M259">
        <f ca="1">'Ref scen Calcs'!O803</f>
        <v>1.503492532121494</v>
      </c>
      <c r="N259">
        <f ca="1">'Ref scen Calcs'!P803</f>
        <v>1.503492532121494</v>
      </c>
      <c r="O259">
        <f ca="1">'Ref scen Calcs'!Q803</f>
        <v>1.503492532121494</v>
      </c>
      <c r="P259">
        <f ca="1">'Ref scen Calcs'!R803</f>
        <v>1.503492532121494</v>
      </c>
      <c r="Q259">
        <f ca="1">'Ref scen Calcs'!S803</f>
        <v>1.503492532121494</v>
      </c>
      <c r="R259">
        <f ca="1">'Ref scen Calcs'!T803</f>
        <v>1.503492532121494</v>
      </c>
      <c r="S259">
        <f ca="1">'Ref scen Calcs'!U803</f>
        <v>1.503492532121494</v>
      </c>
      <c r="T259">
        <f ca="1">'Ref scen Calcs'!V803</f>
        <v>1.5040564853896354</v>
      </c>
      <c r="U259">
        <f ca="1">'Ref scen Calcs'!W803</f>
        <v>1.4479088662070998</v>
      </c>
      <c r="V259">
        <f ca="1">'Ref scen Calcs'!X803</f>
        <v>1.3917612470245642</v>
      </c>
      <c r="W259">
        <f ca="1">'Ref scen Calcs'!Y803</f>
        <v>1.3221406763145358</v>
      </c>
      <c r="X259">
        <f ca="1">'Ref scen Calcs'!Z803</f>
        <v>1.251956152336366</v>
      </c>
      <c r="Y259">
        <f ca="1">'Ref scen Calcs'!AA803</f>
        <v>1.1669959390996345</v>
      </c>
      <c r="Z259">
        <f ca="1">'Ref scen Calcs'!AB803</f>
        <v>0.99763946589431252</v>
      </c>
      <c r="AA259">
        <f ca="1">'Ref scen Calcs'!AC803</f>
        <v>0.91254531375639703</v>
      </c>
      <c r="AP259">
        <f>'Alt scen Calcs'!D803</f>
        <v>1.3313893391371041</v>
      </c>
      <c r="AQ259">
        <f>'Alt scen Calcs'!E803</f>
        <v>1.3313893391371041</v>
      </c>
      <c r="AR259">
        <f>'Alt scen Calcs'!F803</f>
        <v>1.3751866101901404</v>
      </c>
      <c r="AS259">
        <f>'Alt scen Calcs'!G803</f>
        <v>1.3904430998690211</v>
      </c>
      <c r="AT259">
        <f>'Alt scen Calcs'!H803</f>
        <v>1.3904430998690211</v>
      </c>
      <c r="AU259">
        <f ca="1">'Alt scen Calcs'!I803</f>
        <v>1.4232244480936109</v>
      </c>
      <c r="AV259">
        <f ca="1">'Alt scen Calcs'!J803</f>
        <v>1.4455263573410646</v>
      </c>
      <c r="AW259">
        <f ca="1">'Alt scen Calcs'!K803</f>
        <v>1.469755203003011</v>
      </c>
      <c r="AX259">
        <f ca="1">'Alt scen Calcs'!L803</f>
        <v>1.4886245053455469</v>
      </c>
      <c r="AY259">
        <f ca="1">'Alt scen Calcs'!M803</f>
        <v>1.503492532121494</v>
      </c>
      <c r="AZ259">
        <f ca="1">'Alt scen Calcs'!N803</f>
        <v>1.503492532121494</v>
      </c>
      <c r="BA259">
        <f ca="1">'Alt scen Calcs'!O803</f>
        <v>1.503492532121494</v>
      </c>
      <c r="BB259">
        <f ca="1">'Alt scen Calcs'!P803</f>
        <v>1.503492532121494</v>
      </c>
      <c r="BC259">
        <f ca="1">'Alt scen Calcs'!Q803</f>
        <v>1.503492532121494</v>
      </c>
      <c r="BD259">
        <f ca="1">'Alt scen Calcs'!R803</f>
        <v>1.503492532121494</v>
      </c>
      <c r="BE259">
        <f ca="1">'Alt scen Calcs'!S803</f>
        <v>1.503492532121494</v>
      </c>
      <c r="BF259">
        <f ca="1">'Alt scen Calcs'!T803</f>
        <v>1.503492532121494</v>
      </c>
      <c r="BG259">
        <f ca="1">'Alt scen Calcs'!U803</f>
        <v>1.503492532121494</v>
      </c>
      <c r="BH259">
        <f ca="1">'Alt scen Calcs'!V803</f>
        <v>1.468408806261585</v>
      </c>
      <c r="BI259">
        <f ca="1">'Alt scen Calcs'!W803</f>
        <v>1.4256165193721186</v>
      </c>
      <c r="BJ259">
        <f ca="1">'Alt scen Calcs'!X803</f>
        <v>1.3911972937564228</v>
      </c>
      <c r="BK259">
        <f ca="1">'Alt scen Calcs'!Y803</f>
        <v>1.3215767230463946</v>
      </c>
      <c r="BL259">
        <f ca="1">'Alt scen Calcs'!Z803</f>
        <v>1.2513921990682249</v>
      </c>
      <c r="BM259">
        <f ca="1">'Alt scen Calcs'!AA803</f>
        <v>1.1664319858314933</v>
      </c>
      <c r="BN259">
        <f ca="1">'Alt scen Calcs'!AB803</f>
        <v>0.99726349704888495</v>
      </c>
      <c r="BO259">
        <f ca="1">'Alt scen Calcs'!AC803</f>
        <v>0.91292128260182459</v>
      </c>
    </row>
    <row r="260" spans="1:100">
      <c r="A260" s="11" t="s">
        <v>285</v>
      </c>
      <c r="B260">
        <f>'Ref scen Calcs'!D826</f>
        <v>0.68236889703791037</v>
      </c>
      <c r="C260">
        <f>'Ref scen Calcs'!E826</f>
        <v>0.68236889703791048</v>
      </c>
      <c r="D260">
        <f>'Ref scen Calcs'!F826</f>
        <v>0.70335130092789899</v>
      </c>
      <c r="E260">
        <f>'Ref scen Calcs'!G826</f>
        <v>0.71066038253707231</v>
      </c>
      <c r="F260">
        <f>'Ref scen Calcs'!H826</f>
        <v>0.71066038253707231</v>
      </c>
      <c r="G260">
        <f ca="1">'Ref scen Calcs'!I826</f>
        <v>0.73188772763380827</v>
      </c>
      <c r="H260">
        <f ca="1">'Ref scen Calcs'!J826</f>
        <v>0.74772864173364495</v>
      </c>
      <c r="I260">
        <f ca="1">'Ref scen Calcs'!K826</f>
        <v>0.76589424511944237</v>
      </c>
      <c r="J260">
        <f ca="1">'Ref scen Calcs'!L826</f>
        <v>0.78805024158377557</v>
      </c>
      <c r="K260">
        <f ca="1">'Ref scen Calcs'!M826</f>
        <v>0.81402029126972819</v>
      </c>
      <c r="L260">
        <f ca="1">'Ref scen Calcs'!N826</f>
        <v>0.83825237290645516</v>
      </c>
      <c r="M260">
        <f ca="1">'Ref scen Calcs'!O826</f>
        <v>0.86375930605110585</v>
      </c>
      <c r="N260">
        <f ca="1">'Ref scen Calcs'!P826</f>
        <v>0.88884567138547987</v>
      </c>
      <c r="O260">
        <f ca="1">'Ref scen Calcs'!Q826</f>
        <v>0.91528639016125557</v>
      </c>
      <c r="P260">
        <f ca="1">'Ref scen Calcs'!R826</f>
        <v>0.94297323578229642</v>
      </c>
      <c r="Q260">
        <f ca="1">'Ref scen Calcs'!S826</f>
        <v>0.9690624180180738</v>
      </c>
      <c r="R260">
        <f ca="1">'Ref scen Calcs'!T826</f>
        <v>0.99661579929703792</v>
      </c>
      <c r="S260">
        <f ca="1">'Ref scen Calcs'!U826</f>
        <v>1.0264425779409931</v>
      </c>
      <c r="T260">
        <f ca="1">'Ref scen Calcs'!V826</f>
        <v>1.0582098954739871</v>
      </c>
      <c r="U260">
        <f ca="1">'Ref scen Calcs'!W826</f>
        <v>1.08962222424354</v>
      </c>
      <c r="V260">
        <f ca="1">'Ref scen Calcs'!X826</f>
        <v>1.1216444306556661</v>
      </c>
      <c r="W260">
        <f ca="1">'Ref scen Calcs'!Y826</f>
        <v>1.1559042627552485</v>
      </c>
      <c r="X260">
        <f ca="1">'Ref scen Calcs'!Z826</f>
        <v>1.1927150100960242</v>
      </c>
      <c r="Y260">
        <f ca="1">'Ref scen Calcs'!AA826</f>
        <v>1.2303238139959218</v>
      </c>
      <c r="Z260">
        <f ca="1">'Ref scen Calcs'!AB826</f>
        <v>1.2662609096994066</v>
      </c>
      <c r="AA260">
        <f ca="1">'Ref scen Calcs'!AC826</f>
        <v>1.2944070507350918</v>
      </c>
      <c r="AP260">
        <f>'Alt scen Calcs'!D826</f>
        <v>0.68236889703791037</v>
      </c>
      <c r="AQ260">
        <f>'Alt scen Calcs'!E826</f>
        <v>0.68236889703791048</v>
      </c>
      <c r="AR260">
        <f>'Alt scen Calcs'!F826</f>
        <v>0.70335130092789899</v>
      </c>
      <c r="AS260">
        <f>'Alt scen Calcs'!G826</f>
        <v>0.71066038253707231</v>
      </c>
      <c r="AT260">
        <f>'Alt scen Calcs'!H826</f>
        <v>0.71066038253707231</v>
      </c>
      <c r="AU260">
        <f ca="1">'Alt scen Calcs'!I826</f>
        <v>0.73188772763380827</v>
      </c>
      <c r="AV260">
        <f ca="1">'Alt scen Calcs'!J826</f>
        <v>0.74610241993390647</v>
      </c>
      <c r="AW260">
        <f ca="1">'Alt scen Calcs'!K826</f>
        <v>0.76264180151996508</v>
      </c>
      <c r="AX260">
        <f ca="1">'Alt scen Calcs'!L826</f>
        <v>0.78154535438482098</v>
      </c>
      <c r="AY260">
        <f ca="1">'Alt scen Calcs'!M826</f>
        <v>0.80483763878972814</v>
      </c>
      <c r="AZ260">
        <f ca="1">'Alt scen Calcs'!N826</f>
        <v>0.82282311927931906</v>
      </c>
      <c r="BA260">
        <f ca="1">'Alt scen Calcs'!O826</f>
        <v>0.84055300919683384</v>
      </c>
      <c r="BB260">
        <f ca="1">'Alt scen Calcs'!P826</f>
        <v>0.85186539581120768</v>
      </c>
      <c r="BC260">
        <f ca="1">'Alt scen Calcs'!Q826</f>
        <v>0.85841036754698341</v>
      </c>
      <c r="BD260">
        <f ca="1">'Alt scen Calcs'!R826</f>
        <v>0.85625359260802447</v>
      </c>
      <c r="BE260">
        <f ca="1">'Alt scen Calcs'!S826</f>
        <v>0.84637738596380152</v>
      </c>
      <c r="BF260">
        <f ca="1">'Alt scen Calcs'!T826</f>
        <v>0.82801750484276582</v>
      </c>
      <c r="BG260">
        <f ca="1">'Alt scen Calcs'!U826</f>
        <v>0.82085859988672083</v>
      </c>
      <c r="BH260">
        <f ca="1">'Alt scen Calcs'!V826</f>
        <v>0.7994692344290345</v>
      </c>
      <c r="BI260">
        <f ca="1">'Alt scen Calcs'!W826</f>
        <v>0.77896829851903782</v>
      </c>
      <c r="BJ260">
        <f ca="1">'Alt scen Calcs'!X826</f>
        <v>0.7593134980998254</v>
      </c>
      <c r="BK260">
        <f ca="1">'Alt scen Calcs'!Y826</f>
        <v>0.74128322579940775</v>
      </c>
      <c r="BL260">
        <f ca="1">'Alt scen Calcs'!Z826</f>
        <v>0.71942181914353787</v>
      </c>
      <c r="BM260">
        <f ca="1">'Alt scen Calcs'!AA826</f>
        <v>0.69516744424846733</v>
      </c>
      <c r="BN260">
        <f ca="1">'Alt scen Calcs'!AB826</f>
        <v>0.66863165882757236</v>
      </c>
      <c r="BO260">
        <f ca="1">'Alt scen Calcs'!AC826</f>
        <v>0.64375463443541514</v>
      </c>
    </row>
    <row r="261" spans="1:100">
      <c r="A261" s="11" t="s">
        <v>282</v>
      </c>
      <c r="B261">
        <f>'Ref scen Calcs'!D849</f>
        <v>4.5503648389763007E-2</v>
      </c>
      <c r="C261">
        <f>'Ref scen Calcs'!E849</f>
        <v>4.5503648389763014E-2</v>
      </c>
      <c r="D261">
        <f>'Ref scen Calcs'!F849</f>
        <v>4.6902475315762256E-2</v>
      </c>
      <c r="E261">
        <f>'Ref scen Calcs'!G849</f>
        <v>4.7389747423040474E-2</v>
      </c>
      <c r="F261">
        <f>'Ref scen Calcs'!H849</f>
        <v>4.7389747423040474E-2</v>
      </c>
      <c r="G261">
        <f ca="1">'Ref scen Calcs'!I849</f>
        <v>4.8804903762822871E-2</v>
      </c>
      <c r="H261">
        <f ca="1">'Ref scen Calcs'!J849</f>
        <v>4.9866539567068026E-2</v>
      </c>
      <c r="I261">
        <f ca="1">'Ref scen Calcs'!K849</f>
        <v>5.1077579792787854E-2</v>
      </c>
      <c r="J261">
        <f ca="1">'Ref scen Calcs'!L849</f>
        <v>5.2554646223743395E-2</v>
      </c>
      <c r="K261">
        <f ca="1">'Ref scen Calcs'!M849</f>
        <v>5.4285982869473573E-2</v>
      </c>
      <c r="L261">
        <f ca="1">'Ref scen Calcs'!N849</f>
        <v>5.5901454978588706E-2</v>
      </c>
      <c r="M261">
        <f ca="1">'Ref scen Calcs'!O849</f>
        <v>5.7601917188232078E-2</v>
      </c>
      <c r="N261">
        <f ca="1">'Ref scen Calcs'!P849</f>
        <v>5.9274341543857016E-2</v>
      </c>
      <c r="O261">
        <f ca="1">'Ref scen Calcs'!Q849</f>
        <v>6.103705612890873E-2</v>
      </c>
      <c r="P261">
        <f ca="1">'Ref scen Calcs'!R849</f>
        <v>6.2882845836978118E-2</v>
      </c>
      <c r="Q261">
        <f ca="1">'Ref scen Calcs'!S849</f>
        <v>6.4622124652696608E-2</v>
      </c>
      <c r="R261">
        <f ca="1">'Ref scen Calcs'!T849</f>
        <v>6.6459016737960883E-2</v>
      </c>
      <c r="S261">
        <f ca="1">'Ref scen Calcs'!U849</f>
        <v>6.8447468647557894E-2</v>
      </c>
      <c r="T261">
        <f ca="1">'Ref scen Calcs'!V849</f>
        <v>7.0569006392594849E-2</v>
      </c>
      <c r="U261">
        <f ca="1">'Ref scen Calcs'!W849</f>
        <v>7.2663161643898397E-2</v>
      </c>
      <c r="V261">
        <f ca="1">'Ref scen Calcs'!X849</f>
        <v>7.4797975404706799E-2</v>
      </c>
      <c r="W261">
        <f ca="1">'Ref scen Calcs'!Y849</f>
        <v>7.7085680787516306E-2</v>
      </c>
      <c r="X261">
        <f ca="1">'Ref scen Calcs'!Z849</f>
        <v>7.9539730610234699E-2</v>
      </c>
      <c r="Y261">
        <f ca="1">'Ref scen Calcs'!AA849</f>
        <v>8.2046984203561213E-2</v>
      </c>
      <c r="Z261">
        <f ca="1">'Ref scen Calcs'!AB849</f>
        <v>8.4446507159964213E-2</v>
      </c>
      <c r="AA261">
        <f ca="1">'Ref scen Calcs'!AC849</f>
        <v>8.6322033875502691E-2</v>
      </c>
      <c r="AP261">
        <f>'Alt scen Calcs'!D849</f>
        <v>4.5503648389763007E-2</v>
      </c>
      <c r="AQ261">
        <f>'Alt scen Calcs'!E849</f>
        <v>4.5503648389763014E-2</v>
      </c>
      <c r="AR261">
        <f>'Alt scen Calcs'!F849</f>
        <v>4.6902475315762256E-2</v>
      </c>
      <c r="AS261">
        <f>'Alt scen Calcs'!G849</f>
        <v>4.7389747423040474E-2</v>
      </c>
      <c r="AT261">
        <f>'Alt scen Calcs'!H849</f>
        <v>4.7389747423040474E-2</v>
      </c>
      <c r="AU261">
        <f ca="1">'Alt scen Calcs'!I849</f>
        <v>4.8804903762822871E-2</v>
      </c>
      <c r="AV261">
        <f ca="1">'Alt scen Calcs'!J849</f>
        <v>4.9758124780418793E-2</v>
      </c>
      <c r="AW261">
        <f ca="1">'Alt scen Calcs'!K849</f>
        <v>5.0860750219489367E-2</v>
      </c>
      <c r="AX261">
        <f ca="1">'Alt scen Calcs'!L849</f>
        <v>5.2120987077146422E-2</v>
      </c>
      <c r="AY261">
        <f ca="1">'Alt scen Calcs'!M849</f>
        <v>5.367380603747357E-2</v>
      </c>
      <c r="AZ261">
        <f ca="1">'Alt scen Calcs'!N849</f>
        <v>5.4872838070112964E-2</v>
      </c>
      <c r="BA261">
        <f ca="1">'Alt scen Calcs'!O849</f>
        <v>5.6054830731280605E-2</v>
      </c>
      <c r="BB261">
        <f ca="1">'Alt scen Calcs'!P849</f>
        <v>5.6808989838905539E-2</v>
      </c>
      <c r="BC261">
        <f ca="1">'Alt scen Calcs'!Q849</f>
        <v>5.7245321287957257E-2</v>
      </c>
      <c r="BD261">
        <f ca="1">'Alt scen Calcs'!R849</f>
        <v>5.7101536292026661E-2</v>
      </c>
      <c r="BE261">
        <f ca="1">'Alt scen Calcs'!S849</f>
        <v>5.6443122515745126E-2</v>
      </c>
      <c r="BF261">
        <f ca="1">'Alt scen Calcs'!T849</f>
        <v>5.5219130441009408E-2</v>
      </c>
      <c r="BG261">
        <f ca="1">'Alt scen Calcs'!U849</f>
        <v>5.4741870110606411E-2</v>
      </c>
      <c r="BH261">
        <f ca="1">'Alt scen Calcs'!V849</f>
        <v>5.331591241342732E-2</v>
      </c>
      <c r="BI261">
        <f ca="1">'Alt scen Calcs'!W849</f>
        <v>5.1949183352760872E-2</v>
      </c>
      <c r="BJ261">
        <f ca="1">'Alt scen Calcs'!X849</f>
        <v>5.0638863324813391E-2</v>
      </c>
      <c r="BK261">
        <f ca="1">'Alt scen Calcs'!Y849</f>
        <v>4.9440561747622902E-2</v>
      </c>
      <c r="BL261">
        <f ca="1">'Alt scen Calcs'!Z849</f>
        <v>4.8256401499646565E-2</v>
      </c>
      <c r="BM261">
        <f ca="1">'Alt scen Calcs'!AA849</f>
        <v>4.7049343466931015E-2</v>
      </c>
      <c r="BN261">
        <f ca="1">'Alt scen Calcs'!AB849</f>
        <v>4.5695146834054755E-2</v>
      </c>
      <c r="BO261">
        <f ca="1">'Alt scen Calcs'!AC849</f>
        <v>4.4040751289297991E-2</v>
      </c>
    </row>
    <row r="262" spans="1:100">
      <c r="A262" s="11" t="s">
        <v>283</v>
      </c>
      <c r="B262">
        <f>'Ref scen Calcs'!D872</f>
        <v>1.1385203537867488E-2</v>
      </c>
      <c r="C262">
        <f>'Ref scen Calcs'!E872</f>
        <v>1.138520353786749E-2</v>
      </c>
      <c r="D262">
        <f>'Ref scen Calcs'!F872</f>
        <v>1.17349102693673E-2</v>
      </c>
      <c r="E262">
        <f>'Ref scen Calcs'!G872</f>
        <v>1.1856728296186855E-2</v>
      </c>
      <c r="F262">
        <f>'Ref scen Calcs'!H872</f>
        <v>1.1856728296186855E-2</v>
      </c>
      <c r="G262">
        <f ca="1">'Ref scen Calcs'!I872</f>
        <v>1.2210517381132454E-2</v>
      </c>
      <c r="H262">
        <f ca="1">'Ref scen Calcs'!J872</f>
        <v>1.2480107480385777E-2</v>
      </c>
      <c r="I262">
        <f ca="1">'Ref scen Calcs'!K872</f>
        <v>1.2782867536815734E-2</v>
      </c>
      <c r="J262">
        <f ca="1">'Ref scen Calcs'!L872</f>
        <v>1.3152134144554619E-2</v>
      </c>
      <c r="K262">
        <f ca="1">'Ref scen Calcs'!M872</f>
        <v>1.3584968305987166E-2</v>
      </c>
      <c r="L262">
        <f ca="1">'Ref scen Calcs'!N872</f>
        <v>1.3988836333265947E-2</v>
      </c>
      <c r="M262">
        <f ca="1">'Ref scen Calcs'!O872</f>
        <v>1.441395188567679E-2</v>
      </c>
      <c r="N262">
        <f ca="1">'Ref scen Calcs'!P872</f>
        <v>1.4832057974583025E-2</v>
      </c>
      <c r="O262">
        <f ca="1">'Ref scen Calcs'!Q872</f>
        <v>1.5272736620845953E-2</v>
      </c>
      <c r="P262">
        <f ca="1">'Ref scen Calcs'!R872</f>
        <v>1.5734184047863302E-2</v>
      </c>
      <c r="Q262">
        <f ca="1">'Ref scen Calcs'!S872</f>
        <v>1.6169003751792921E-2</v>
      </c>
      <c r="R262">
        <f ca="1">'Ref scen Calcs'!T872</f>
        <v>1.6628226773108989E-2</v>
      </c>
      <c r="S262">
        <f ca="1">'Ref scen Calcs'!U872</f>
        <v>1.7125339750508242E-2</v>
      </c>
      <c r="T262">
        <f ca="1">'Ref scen Calcs'!V872</f>
        <v>1.7658511618895503E-2</v>
      </c>
      <c r="U262">
        <f ca="1">'Ref scen Calcs'!W872</f>
        <v>1.8182050431721389E-2</v>
      </c>
      <c r="V262">
        <f ca="1">'Ref scen Calcs'!X872</f>
        <v>1.871575387192349E-2</v>
      </c>
      <c r="W262">
        <f ca="1">'Ref scen Calcs'!Y872</f>
        <v>1.9290467649753888E-2</v>
      </c>
      <c r="X262">
        <f ca="1">'Ref scen Calcs'!Z872</f>
        <v>1.990398010543349E-2</v>
      </c>
      <c r="Y262">
        <f ca="1">'Ref scen Calcs'!AA872</f>
        <v>2.0530793503765115E-2</v>
      </c>
      <c r="Z262">
        <f ca="1">'Ref scen Calcs'!AB872</f>
        <v>2.1133461674993886E-2</v>
      </c>
      <c r="AA262">
        <f ca="1">'Ref scen Calcs'!AC872</f>
        <v>2.1601681338748104E-2</v>
      </c>
      <c r="AP262">
        <f>'Alt scen Calcs'!D872</f>
        <v>1.1385203537867488E-2</v>
      </c>
      <c r="AQ262">
        <f>'Alt scen Calcs'!E872</f>
        <v>1.138520353786749E-2</v>
      </c>
      <c r="AR262">
        <f>'Alt scen Calcs'!F872</f>
        <v>1.17349102693673E-2</v>
      </c>
      <c r="AS262">
        <f>'Alt scen Calcs'!G872</f>
        <v>1.1856728296186855E-2</v>
      </c>
      <c r="AT262">
        <f>'Alt scen Calcs'!H872</f>
        <v>1.1856728296186855E-2</v>
      </c>
      <c r="AU262">
        <f ca="1">'Alt scen Calcs'!I872</f>
        <v>1.2210517381132454E-2</v>
      </c>
      <c r="AV262">
        <f ca="1">'Alt scen Calcs'!J872</f>
        <v>1.2453003783723469E-2</v>
      </c>
      <c r="AW262">
        <f ca="1">'Alt scen Calcs'!K872</f>
        <v>1.2728660143491112E-2</v>
      </c>
      <c r="AX262">
        <f ca="1">'Alt scen Calcs'!L872</f>
        <v>1.3043719357905376E-2</v>
      </c>
      <c r="AY262">
        <f ca="1">'Alt scen Calcs'!M872</f>
        <v>1.3431924097987163E-2</v>
      </c>
      <c r="AZ262">
        <f ca="1">'Alt scen Calcs'!N872</f>
        <v>1.3731682106147012E-2</v>
      </c>
      <c r="BA262">
        <f ca="1">'Alt scen Calcs'!O872</f>
        <v>1.4027180271438924E-2</v>
      </c>
      <c r="BB262">
        <f ca="1">'Alt scen Calcs'!P872</f>
        <v>1.4215720048345155E-2</v>
      </c>
      <c r="BC262">
        <f ca="1">'Alt scen Calcs'!Q872</f>
        <v>1.4324802910608083E-2</v>
      </c>
      <c r="BD262">
        <f ca="1">'Alt scen Calcs'!R872</f>
        <v>1.4288856661625436E-2</v>
      </c>
      <c r="BE262">
        <f ca="1">'Alt scen Calcs'!S872</f>
        <v>1.4124253217555052E-2</v>
      </c>
      <c r="BF262">
        <f ca="1">'Alt scen Calcs'!T872</f>
        <v>1.3818255198871122E-2</v>
      </c>
      <c r="BG262">
        <f ca="1">'Alt scen Calcs'!U872</f>
        <v>1.3698940116270373E-2</v>
      </c>
      <c r="BH262">
        <f ca="1">'Alt scen Calcs'!V872</f>
        <v>1.3342450691975601E-2</v>
      </c>
      <c r="BI262">
        <f ca="1">'Alt scen Calcs'!W872</f>
        <v>1.3000768426808989E-2</v>
      </c>
      <c r="BJ262">
        <f ca="1">'Alt scen Calcs'!X872</f>
        <v>1.2673188419822118E-2</v>
      </c>
      <c r="BK262">
        <f ca="1">'Alt scen Calcs'!Y872</f>
        <v>1.2376400457652516E-2</v>
      </c>
      <c r="BL262">
        <f ca="1">'Alt scen Calcs'!Z872</f>
        <v>1.2080360395658431E-2</v>
      </c>
      <c r="BM262">
        <f ca="1">'Alt scen Calcs'!AA872</f>
        <v>1.1778595887479544E-2</v>
      </c>
      <c r="BN262">
        <f ca="1">'Alt scen Calcs'!AB872</f>
        <v>1.1443763305431174E-2</v>
      </c>
      <c r="BO262">
        <f ca="1">'Alt scen Calcs'!AC872</f>
        <v>1.1033218980282273E-2</v>
      </c>
    </row>
    <row r="287" spans="1:12">
      <c r="A287" s="4" t="s">
        <v>290</v>
      </c>
    </row>
    <row r="288" spans="1:12">
      <c r="D288" s="11" t="s">
        <v>291</v>
      </c>
      <c r="F288" t="str">
        <f>'Environmental Impacts'!X1</f>
        <v>Existing coal Large</v>
      </c>
      <c r="J288" s="11" t="s">
        <v>292</v>
      </c>
      <c r="L288" t="str">
        <f>'Environmental Impacts'!X2</f>
        <v>Supercritical coal</v>
      </c>
    </row>
    <row r="289" spans="1:100">
      <c r="A289" s="11" t="s">
        <v>293</v>
      </c>
      <c r="B289" s="4" t="s">
        <v>208</v>
      </c>
      <c r="D289" s="11" t="s">
        <v>295</v>
      </c>
      <c r="F289" t="str">
        <f>"GHG emissions "&amp;F288</f>
        <v>GHG emissions Existing coal Large</v>
      </c>
      <c r="J289" s="11" t="s">
        <v>295</v>
      </c>
      <c r="L289" t="str">
        <f>"GHG emissions "&amp;L288</f>
        <v>GHG emissions Supercritical coal</v>
      </c>
      <c r="AP289" s="4" t="s">
        <v>209</v>
      </c>
      <c r="BW289" s="4" t="s">
        <v>300</v>
      </c>
      <c r="BZ289" s="11"/>
      <c r="CF289" s="11" t="s">
        <v>256</v>
      </c>
      <c r="CI289" t="str">
        <f>'Environmental Impacts'!AR122</f>
        <v>Supercritical coal</v>
      </c>
    </row>
    <row r="290" spans="1:100">
      <c r="B290" s="4">
        <v>2005</v>
      </c>
      <c r="C290" s="4">
        <v>2006</v>
      </c>
      <c r="D290" s="4">
        <v>2007</v>
      </c>
      <c r="E290" s="4">
        <v>2008</v>
      </c>
      <c r="F290" s="4">
        <v>2009</v>
      </c>
      <c r="G290" s="4">
        <v>2010</v>
      </c>
      <c r="H290" s="4">
        <v>2011</v>
      </c>
      <c r="I290" s="4">
        <v>2012</v>
      </c>
      <c r="J290" s="4">
        <v>2013</v>
      </c>
      <c r="K290" s="4">
        <v>2014</v>
      </c>
      <c r="L290" s="4">
        <v>2015</v>
      </c>
      <c r="M290" s="4">
        <v>2016</v>
      </c>
      <c r="N290" s="4">
        <v>2017</v>
      </c>
      <c r="O290" s="4">
        <v>2018</v>
      </c>
      <c r="P290" s="4">
        <v>2019</v>
      </c>
      <c r="Q290" s="4">
        <v>2020</v>
      </c>
      <c r="R290" s="4">
        <v>2021</v>
      </c>
      <c r="S290" s="4">
        <v>2022</v>
      </c>
      <c r="T290" s="4">
        <v>2023</v>
      </c>
      <c r="U290" s="4">
        <v>2024</v>
      </c>
      <c r="V290" s="4">
        <v>2025</v>
      </c>
      <c r="W290" s="4">
        <v>2026</v>
      </c>
      <c r="X290" s="4">
        <v>2027</v>
      </c>
      <c r="Y290" s="4">
        <v>2028</v>
      </c>
      <c r="Z290" s="4">
        <v>2029</v>
      </c>
      <c r="AA290" s="4">
        <v>2030</v>
      </c>
      <c r="AP290" s="4">
        <v>2005</v>
      </c>
      <c r="AQ290" s="4">
        <v>2006</v>
      </c>
      <c r="AR290" s="4">
        <v>2007</v>
      </c>
      <c r="AS290" s="4">
        <v>2008</v>
      </c>
      <c r="AT290" s="4">
        <v>2009</v>
      </c>
      <c r="AU290" s="4">
        <v>2010</v>
      </c>
      <c r="AV290" s="4">
        <v>2011</v>
      </c>
      <c r="AW290" s="4">
        <v>2012</v>
      </c>
      <c r="AX290" s="4">
        <v>2013</v>
      </c>
      <c r="AY290" s="4">
        <v>2014</v>
      </c>
      <c r="AZ290" s="4">
        <v>2015</v>
      </c>
      <c r="BA290" s="4">
        <v>2016</v>
      </c>
      <c r="BB290" s="4">
        <v>2017</v>
      </c>
      <c r="BC290" s="4">
        <v>2018</v>
      </c>
      <c r="BD290" s="4">
        <v>2019</v>
      </c>
      <c r="BE290" s="4">
        <v>2020</v>
      </c>
      <c r="BF290" s="4">
        <v>2021</v>
      </c>
      <c r="BG290" s="4">
        <v>2022</v>
      </c>
      <c r="BH290" s="4">
        <v>2023</v>
      </c>
      <c r="BI290" s="4">
        <v>2024</v>
      </c>
      <c r="BJ290" s="4">
        <v>2025</v>
      </c>
      <c r="BK290" s="4">
        <v>2026</v>
      </c>
      <c r="BL290" s="4">
        <v>2027</v>
      </c>
      <c r="BM290" s="4">
        <v>2028</v>
      </c>
      <c r="BN290" s="4">
        <v>2029</v>
      </c>
      <c r="BO290" s="4">
        <v>2030</v>
      </c>
      <c r="BW290" s="4">
        <v>2005</v>
      </c>
      <c r="BX290" s="4">
        <v>2006</v>
      </c>
      <c r="BY290" s="4">
        <v>2007</v>
      </c>
      <c r="BZ290" s="4">
        <v>2008</v>
      </c>
      <c r="CA290" s="4">
        <v>2009</v>
      </c>
      <c r="CB290" s="4">
        <v>2010</v>
      </c>
      <c r="CC290" s="4">
        <v>2011</v>
      </c>
      <c r="CD290" s="4">
        <v>2012</v>
      </c>
      <c r="CE290" s="4">
        <v>2013</v>
      </c>
      <c r="CF290" s="4">
        <v>2014</v>
      </c>
      <c r="CG290" s="4">
        <v>2015</v>
      </c>
      <c r="CH290" s="4">
        <v>2016</v>
      </c>
      <c r="CI290" s="4">
        <v>2017</v>
      </c>
      <c r="CJ290" s="4">
        <v>2018</v>
      </c>
      <c r="CK290" s="4">
        <v>2019</v>
      </c>
      <c r="CL290" s="4">
        <v>2020</v>
      </c>
      <c r="CM290" s="4">
        <v>2021</v>
      </c>
      <c r="CN290" s="4">
        <v>2022</v>
      </c>
      <c r="CO290" s="4">
        <v>2023</v>
      </c>
      <c r="CP290" s="4">
        <v>2024</v>
      </c>
      <c r="CQ290" s="4">
        <v>2025</v>
      </c>
      <c r="CR290" s="4">
        <v>2026</v>
      </c>
      <c r="CS290" s="4">
        <v>2027</v>
      </c>
      <c r="CT290" s="4">
        <v>2028</v>
      </c>
      <c r="CU290" s="4">
        <v>2029</v>
      </c>
      <c r="CV290" s="4">
        <v>2030</v>
      </c>
    </row>
    <row r="291" spans="1:100">
      <c r="A291" t="str">
        <f>'Ref scen Calcs'!C924</f>
        <v>GHG emissions</v>
      </c>
      <c r="B291">
        <f>'Ref scen Calcs'!D924</f>
        <v>205.31813431055303</v>
      </c>
      <c r="C291">
        <f>'Ref scen Calcs'!E924</f>
        <v>205.31813431055303</v>
      </c>
      <c r="D291">
        <f>'Ref scen Calcs'!F924</f>
        <v>212.08181220449086</v>
      </c>
      <c r="E291">
        <f>'Ref scen Calcs'!G924</f>
        <v>214.43789466120785</v>
      </c>
      <c r="F291">
        <f>'Ref scen Calcs'!H924</f>
        <v>214.43789466120785</v>
      </c>
      <c r="G291">
        <f ca="1">'Ref scen Calcs'!I924</f>
        <v>219.50036716210047</v>
      </c>
      <c r="H291">
        <f ca="1">'Ref scen Calcs'!J924</f>
        <v>223.33805865190286</v>
      </c>
      <c r="I291">
        <f ca="1">'Ref scen Calcs'!K924</f>
        <v>227.60396802282463</v>
      </c>
      <c r="J291">
        <f ca="1">'Ref scen Calcs'!L924</f>
        <v>231.56640772212245</v>
      </c>
      <c r="K291">
        <f ca="1">'Ref scen Calcs'!M924</f>
        <v>231.76564888474982</v>
      </c>
      <c r="L291">
        <f ca="1">'Ref scen Calcs'!N924</f>
        <v>231.76564888474982</v>
      </c>
      <c r="M291">
        <f ca="1">'Ref scen Calcs'!O924</f>
        <v>231.76564888474982</v>
      </c>
      <c r="N291">
        <f ca="1">'Ref scen Calcs'!P924</f>
        <v>231.76564888474982</v>
      </c>
      <c r="O291">
        <f ca="1">'Ref scen Calcs'!Q924</f>
        <v>231.76564888474982</v>
      </c>
      <c r="P291">
        <f ca="1">'Ref scen Calcs'!R924</f>
        <v>231.76564888474982</v>
      </c>
      <c r="Q291">
        <f ca="1">'Ref scen Calcs'!S924</f>
        <v>231.76564888474982</v>
      </c>
      <c r="R291">
        <f ca="1">'Ref scen Calcs'!T924</f>
        <v>231.76564888474982</v>
      </c>
      <c r="S291">
        <f ca="1">'Ref scen Calcs'!U924</f>
        <v>231.76564888474982</v>
      </c>
      <c r="T291">
        <f ca="1">'Ref scen Calcs'!V924</f>
        <v>231.76564888474982</v>
      </c>
      <c r="U291">
        <f ca="1">'Ref scen Calcs'!W924</f>
        <v>223.09468830818147</v>
      </c>
      <c r="V291">
        <f ca="1">'Ref scen Calcs'!X924</f>
        <v>214.42372773161313</v>
      </c>
      <c r="W291">
        <f ca="1">'Ref scen Calcs'!Y924</f>
        <v>203.58502701090265</v>
      </c>
      <c r="X291">
        <f ca="1">'Ref scen Calcs'!Z924</f>
        <v>192.74632629019214</v>
      </c>
      <c r="Y291">
        <f ca="1">'Ref scen Calcs'!AA924</f>
        <v>179.62579383880583</v>
      </c>
      <c r="Z291">
        <f ca="1">'Ref scen Calcs'!AB924</f>
        <v>153.3847289360331</v>
      </c>
      <c r="AA291">
        <f ca="1">'Ref scen Calcs'!AC924</f>
        <v>140.26419648464673</v>
      </c>
      <c r="AP291">
        <f>'Alt scen Calcs'!D924</f>
        <v>14.164264318167939</v>
      </c>
      <c r="AQ291">
        <f>'Alt scen Calcs'!E924</f>
        <v>14.164264318167939</v>
      </c>
      <c r="AR291">
        <f>'Alt scen Calcs'!F924</f>
        <v>14.164264318167939</v>
      </c>
      <c r="AS291">
        <f>'Alt scen Calcs'!G924</f>
        <v>14.164264318167939</v>
      </c>
      <c r="AT291">
        <f>'Alt scen Calcs'!H924</f>
        <v>14.164264318167939</v>
      </c>
      <c r="AU291">
        <f ca="1">'Alt scen Calcs'!I924</f>
        <v>15.944426509208181</v>
      </c>
      <c r="AV291">
        <f ca="1">'Alt scen Calcs'!J924</f>
        <v>16.997406780335936</v>
      </c>
      <c r="AW291">
        <f ca="1">'Alt scen Calcs'!K924</f>
        <v>16.997406780335936</v>
      </c>
      <c r="AX291">
        <f ca="1">'Alt scen Calcs'!L924</f>
        <v>16.997406780335936</v>
      </c>
      <c r="AY291">
        <f ca="1">'Alt scen Calcs'!M924</f>
        <v>16.997406780335936</v>
      </c>
      <c r="AZ291">
        <f ca="1">'Alt scen Calcs'!N924</f>
        <v>16.997406780335936</v>
      </c>
      <c r="BA291">
        <f ca="1">'Alt scen Calcs'!O924</f>
        <v>16.899667274971357</v>
      </c>
      <c r="BB291">
        <f ca="1">'Alt scen Calcs'!P924</f>
        <v>16.801927769606777</v>
      </c>
      <c r="BC291">
        <f ca="1">'Alt scen Calcs'!Q924</f>
        <v>16.671608429120667</v>
      </c>
      <c r="BD291">
        <f ca="1">'Alt scen Calcs'!R924</f>
        <v>16.54128908863456</v>
      </c>
      <c r="BE291">
        <f ca="1">'Alt scen Calcs'!S924</f>
        <v>14.065221619398496</v>
      </c>
      <c r="BF291">
        <f ca="1">'Alt scen Calcs'!T924</f>
        <v>11.589154150162432</v>
      </c>
      <c r="BG291">
        <f ca="1">'Alt scen Calcs'!U924</f>
        <v>11.589154150162432</v>
      </c>
      <c r="BH291">
        <f ca="1">'Alt scen Calcs'!V924</f>
        <v>11.589154150162432</v>
      </c>
      <c r="BI291">
        <f ca="1">'Alt scen Calcs'!W924</f>
        <v>11.589154150162432</v>
      </c>
      <c r="BJ291">
        <f ca="1">'Alt scen Calcs'!X924</f>
        <v>10.448280723840154</v>
      </c>
      <c r="BK291">
        <f ca="1">'Alt scen Calcs'!Y924</f>
        <v>9.3074072975178783</v>
      </c>
      <c r="BL291">
        <f ca="1">'Alt scen Calcs'!Z924</f>
        <v>9.3074072975178783</v>
      </c>
      <c r="BM291">
        <f ca="1">'Alt scen Calcs'!AA924</f>
        <v>9.3074072975178783</v>
      </c>
      <c r="BN291">
        <f ca="1">'Alt scen Calcs'!AB924</f>
        <v>9.3074072975178783</v>
      </c>
      <c r="BO291">
        <f ca="1">'Alt scen Calcs'!AC924</f>
        <v>9.3074072975178783</v>
      </c>
      <c r="BV291" s="11" t="s">
        <v>301</v>
      </c>
      <c r="BW291">
        <f>'Ref scen Calcs'!D938</f>
        <v>0</v>
      </c>
      <c r="BX291">
        <f>'Ref scen Calcs'!E938</f>
        <v>0</v>
      </c>
      <c r="BY291">
        <f>'Ref scen Calcs'!F938</f>
        <v>0</v>
      </c>
      <c r="BZ291">
        <f>'Ref scen Calcs'!G938</f>
        <v>0</v>
      </c>
      <c r="CA291">
        <f>'Ref scen Calcs'!H938</f>
        <v>0</v>
      </c>
      <c r="CB291">
        <f ca="1">'Ref scen Calcs'!I938</f>
        <v>0</v>
      </c>
      <c r="CC291">
        <f ca="1">'Ref scen Calcs'!J938</f>
        <v>0</v>
      </c>
      <c r="CD291">
        <f ca="1">'Ref scen Calcs'!K938</f>
        <v>1.5897728804899998</v>
      </c>
      <c r="CE291">
        <f ca="1">'Ref scen Calcs'!L938</f>
        <v>4.76931864147</v>
      </c>
      <c r="CF291">
        <f ca="1">'Ref scen Calcs'!M938</f>
        <v>12.941522995109445</v>
      </c>
      <c r="CG291">
        <f ca="1">'Ref scen Calcs'!N938</f>
        <v>20.752734510708375</v>
      </c>
      <c r="CH291">
        <f ca="1">'Ref scen Calcs'!O938</f>
        <v>29.072633915251078</v>
      </c>
      <c r="CI291">
        <f ca="1">'Ref scen Calcs'!P938</f>
        <v>37.256963286151127</v>
      </c>
      <c r="CJ291">
        <f ca="1">'Ref scen Calcs'!Q938</f>
        <v>45.910448324008541</v>
      </c>
      <c r="CK291">
        <f ca="1">'Ref scen Calcs'!R938</f>
        <v>54.965622350437165</v>
      </c>
      <c r="CL291">
        <f ca="1">'Ref scen Calcs'!S938</f>
        <v>65.851537713376061</v>
      </c>
      <c r="CM291">
        <f ca="1">'Ref scen Calcs'!T938</f>
        <v>77.209437637886197</v>
      </c>
      <c r="CN291">
        <f ca="1">'Ref scen Calcs'!U938</f>
        <v>86.824099733765138</v>
      </c>
      <c r="CO291">
        <f ca="1">'Ref scen Calcs'!V938</f>
        <v>96.920529941090919</v>
      </c>
      <c r="CP291">
        <f ca="1">'Ref scen Calcs'!W938</f>
        <v>115.71725469652476</v>
      </c>
      <c r="CQ291">
        <f ca="1">'Ref scen Calcs'!X938</f>
        <v>135.85144693636423</v>
      </c>
      <c r="CR291">
        <f ca="1">'Ref scen Calcs'!Y938</f>
        <v>158.73091336126248</v>
      </c>
      <c r="CS291">
        <f ca="1">'Ref scen Calcs'!Z938</f>
        <v>181.43555848727209</v>
      </c>
      <c r="CT291">
        <f ca="1">'Ref scen Calcs'!AA938</f>
        <v>206.67928887579041</v>
      </c>
      <c r="CU291">
        <f ca="1">'Ref scen Calcs'!AB938</f>
        <v>244.36091197914661</v>
      </c>
      <c r="CV291">
        <f ca="1">'Ref scen Calcs'!AC938</f>
        <v>266.58849708575184</v>
      </c>
    </row>
    <row r="292" spans="1:100">
      <c r="A292" t="str">
        <f>'Ref scen Calcs'!C925</f>
        <v>SOx emissions</v>
      </c>
      <c r="B292">
        <f>'Ref scen Calcs'!D925</f>
        <v>1.3295094949099666</v>
      </c>
      <c r="C292">
        <f>'Ref scen Calcs'!E925</f>
        <v>1.3295094949099666</v>
      </c>
      <c r="D292">
        <f>'Ref scen Calcs'!F925</f>
        <v>1.3733067659630029</v>
      </c>
      <c r="E292">
        <f>'Ref scen Calcs'!G925</f>
        <v>1.3885632556418837</v>
      </c>
      <c r="F292">
        <f>'Ref scen Calcs'!H925</f>
        <v>1.3885632556418837</v>
      </c>
      <c r="G292">
        <f ca="1">'Ref scen Calcs'!I925</f>
        <v>1.4213446038664734</v>
      </c>
      <c r="H292">
        <f ca="1">'Ref scen Calcs'!J925</f>
        <v>1.4461950501817029</v>
      </c>
      <c r="I292">
        <f ca="1">'Ref scen Calcs'!K925</f>
        <v>1.4738183628136374</v>
      </c>
      <c r="J292">
        <f ca="1">'Ref scen Calcs'!L925</f>
        <v>1.4994765990961489</v>
      </c>
      <c r="K292">
        <f ca="1">'Ref scen Calcs'!M925</f>
        <v>1.5007667579921447</v>
      </c>
      <c r="L292">
        <f ca="1">'Ref scen Calcs'!N925</f>
        <v>1.5007667579921447</v>
      </c>
      <c r="M292">
        <f ca="1">'Ref scen Calcs'!O925</f>
        <v>1.5007667579921447</v>
      </c>
      <c r="N292">
        <f ca="1">'Ref scen Calcs'!P925</f>
        <v>1.5007667579921447</v>
      </c>
      <c r="O292">
        <f ca="1">'Ref scen Calcs'!Q925</f>
        <v>1.5007667579921447</v>
      </c>
      <c r="P292">
        <f ca="1">'Ref scen Calcs'!R925</f>
        <v>1.5007667579921447</v>
      </c>
      <c r="Q292">
        <f ca="1">'Ref scen Calcs'!S925</f>
        <v>1.5007667579921447</v>
      </c>
      <c r="R292">
        <f ca="1">'Ref scen Calcs'!T925</f>
        <v>1.5007667579921447</v>
      </c>
      <c r="S292">
        <f ca="1">'Ref scen Calcs'!U925</f>
        <v>1.5007667579921447</v>
      </c>
      <c r="T292">
        <f ca="1">'Ref scen Calcs'!V925</f>
        <v>1.5007667579921447</v>
      </c>
      <c r="U292">
        <f ca="1">'Ref scen Calcs'!W925</f>
        <v>1.444619138809609</v>
      </c>
      <c r="V292">
        <f ca="1">'Ref scen Calcs'!X925</f>
        <v>1.3884715196270734</v>
      </c>
      <c r="W292">
        <f ca="1">'Ref scen Calcs'!Y925</f>
        <v>1.3182869956489038</v>
      </c>
      <c r="X292">
        <f ca="1">'Ref scen Calcs'!Z925</f>
        <v>1.2481024716707341</v>
      </c>
      <c r="Y292">
        <f ca="1">'Ref scen Calcs'!AA925</f>
        <v>1.1631422584340025</v>
      </c>
      <c r="Z292">
        <f ca="1">'Ref scen Calcs'!AB925</f>
        <v>0.99322183196053926</v>
      </c>
      <c r="AA292">
        <f ca="1">'Ref scen Calcs'!AC925</f>
        <v>0.9082616187238074</v>
      </c>
      <c r="AP292">
        <f>'Alt scen Calcs'!D925</f>
        <v>0</v>
      </c>
      <c r="AQ292">
        <f>'Alt scen Calcs'!E925</f>
        <v>0</v>
      </c>
      <c r="AR292">
        <f>'Alt scen Calcs'!F925</f>
        <v>0</v>
      </c>
      <c r="AS292">
        <f>'Alt scen Calcs'!G925</f>
        <v>0</v>
      </c>
      <c r="AT292">
        <f>'Alt scen Calcs'!H925</f>
        <v>0</v>
      </c>
      <c r="AU292">
        <f ca="1">'Alt scen Calcs'!I925</f>
        <v>0</v>
      </c>
      <c r="AV292">
        <f ca="1">'Alt scen Calcs'!J925</f>
        <v>0</v>
      </c>
      <c r="AW292">
        <f ca="1">'Alt scen Calcs'!K925</f>
        <v>0</v>
      </c>
      <c r="AX292">
        <f ca="1">'Alt scen Calcs'!L925</f>
        <v>0</v>
      </c>
      <c r="AY292">
        <f ca="1">'Alt scen Calcs'!M925</f>
        <v>0</v>
      </c>
      <c r="AZ292">
        <f ca="1">'Alt scen Calcs'!N925</f>
        <v>0</v>
      </c>
      <c r="BA292">
        <f ca="1">'Alt scen Calcs'!O925</f>
        <v>0</v>
      </c>
      <c r="BB292">
        <f ca="1">'Alt scen Calcs'!P925</f>
        <v>0</v>
      </c>
      <c r="BC292">
        <f ca="1">'Alt scen Calcs'!Q925</f>
        <v>0</v>
      </c>
      <c r="BD292">
        <f ca="1">'Alt scen Calcs'!R925</f>
        <v>0</v>
      </c>
      <c r="BE292">
        <f ca="1">'Alt scen Calcs'!S925</f>
        <v>0</v>
      </c>
      <c r="BF292">
        <f ca="1">'Alt scen Calcs'!T925</f>
        <v>0</v>
      </c>
      <c r="BG292">
        <f ca="1">'Alt scen Calcs'!U925</f>
        <v>0</v>
      </c>
      <c r="BH292">
        <f ca="1">'Alt scen Calcs'!V925</f>
        <v>0</v>
      </c>
      <c r="BI292">
        <f ca="1">'Alt scen Calcs'!W925</f>
        <v>0</v>
      </c>
      <c r="BJ292">
        <f ca="1">'Alt scen Calcs'!X925</f>
        <v>0</v>
      </c>
      <c r="BK292">
        <f ca="1">'Alt scen Calcs'!Y925</f>
        <v>0</v>
      </c>
      <c r="BL292">
        <f ca="1">'Alt scen Calcs'!Z925</f>
        <v>0</v>
      </c>
      <c r="BM292">
        <f ca="1">'Alt scen Calcs'!AA925</f>
        <v>0</v>
      </c>
      <c r="BN292">
        <f ca="1">'Alt scen Calcs'!AB925</f>
        <v>0</v>
      </c>
      <c r="BO292">
        <f ca="1">'Alt scen Calcs'!AC925</f>
        <v>0</v>
      </c>
      <c r="BW292">
        <f>'Ref scen Calcs'!D939</f>
        <v>0</v>
      </c>
      <c r="BX292">
        <f>'Ref scen Calcs'!E939</f>
        <v>0</v>
      </c>
      <c r="BY292">
        <f>'Ref scen Calcs'!F939</f>
        <v>0</v>
      </c>
      <c r="BZ292">
        <f>'Ref scen Calcs'!G939</f>
        <v>0</v>
      </c>
      <c r="CA292">
        <f>'Ref scen Calcs'!H939</f>
        <v>0</v>
      </c>
      <c r="CB292">
        <f ca="1">'Ref scen Calcs'!I939</f>
        <v>0</v>
      </c>
      <c r="CC292">
        <f ca="1">'Ref scen Calcs'!J939</f>
        <v>0</v>
      </c>
      <c r="CD292">
        <f ca="1">'Ref scen Calcs'!K939</f>
        <v>0</v>
      </c>
      <c r="CE292">
        <f ca="1">'Ref scen Calcs'!L939</f>
        <v>0</v>
      </c>
      <c r="CF292">
        <f ca="1">'Ref scen Calcs'!M939</f>
        <v>0</v>
      </c>
      <c r="CG292">
        <f ca="1">'Ref scen Calcs'!N939</f>
        <v>0</v>
      </c>
      <c r="CH292">
        <f ca="1">'Ref scen Calcs'!O939</f>
        <v>0</v>
      </c>
      <c r="CI292">
        <f ca="1">'Ref scen Calcs'!P939</f>
        <v>0</v>
      </c>
      <c r="CJ292">
        <f ca="1">'Ref scen Calcs'!Q939</f>
        <v>0</v>
      </c>
      <c r="CK292">
        <f ca="1">'Ref scen Calcs'!R939</f>
        <v>0</v>
      </c>
      <c r="CL292">
        <f ca="1">'Ref scen Calcs'!S939</f>
        <v>0</v>
      </c>
      <c r="CM292">
        <f ca="1">'Ref scen Calcs'!T939</f>
        <v>0</v>
      </c>
      <c r="CN292">
        <f ca="1">'Ref scen Calcs'!U939</f>
        <v>0</v>
      </c>
      <c r="CO292">
        <f ca="1">'Ref scen Calcs'!V939</f>
        <v>0</v>
      </c>
      <c r="CP292">
        <f ca="1">'Ref scen Calcs'!W939</f>
        <v>0</v>
      </c>
      <c r="CQ292">
        <f ca="1">'Ref scen Calcs'!X939</f>
        <v>0</v>
      </c>
      <c r="CR292">
        <f ca="1">'Ref scen Calcs'!Y939</f>
        <v>0</v>
      </c>
      <c r="CS292">
        <f ca="1">'Ref scen Calcs'!Z939</f>
        <v>0</v>
      </c>
      <c r="CT292">
        <f ca="1">'Ref scen Calcs'!AA939</f>
        <v>0</v>
      </c>
      <c r="CU292">
        <f ca="1">'Ref scen Calcs'!AB939</f>
        <v>0</v>
      </c>
      <c r="CV292">
        <f ca="1">'Ref scen Calcs'!AC939</f>
        <v>0</v>
      </c>
    </row>
    <row r="293" spans="1:100">
      <c r="A293" t="str">
        <f>'Ref scen Calcs'!C926</f>
        <v>NOx emissions</v>
      </c>
      <c r="B293">
        <f>'Ref scen Calcs'!D926</f>
        <v>0.63694162962789846</v>
      </c>
      <c r="C293">
        <f>'Ref scen Calcs'!E926</f>
        <v>0.63694162962789846</v>
      </c>
      <c r="D293">
        <f>'Ref scen Calcs'!F926</f>
        <v>0.65792403351788709</v>
      </c>
      <c r="E293">
        <f>'Ref scen Calcs'!G926</f>
        <v>0.66523311512706018</v>
      </c>
      <c r="F293">
        <f>'Ref scen Calcs'!H926</f>
        <v>0.66523311512706018</v>
      </c>
      <c r="G293">
        <f ca="1">'Ref scen Calcs'!I926</f>
        <v>0.68093800887885991</v>
      </c>
      <c r="H293">
        <f ca="1">'Ref scen Calcs'!J926</f>
        <v>0.69284336482675002</v>
      </c>
      <c r="I293">
        <f ca="1">'Ref scen Calcs'!K926</f>
        <v>0.70607714603016802</v>
      </c>
      <c r="J293">
        <f ca="1">'Ref scen Calcs'!L926</f>
        <v>0.71836949812974238</v>
      </c>
      <c r="K293">
        <f ca="1">'Ref scen Calcs'!M926</f>
        <v>0.71898758766790716</v>
      </c>
      <c r="L293">
        <f ca="1">'Ref scen Calcs'!N926</f>
        <v>0.71898758766790716</v>
      </c>
      <c r="M293">
        <f ca="1">'Ref scen Calcs'!O926</f>
        <v>0.71898758766790716</v>
      </c>
      <c r="N293">
        <f ca="1">'Ref scen Calcs'!P926</f>
        <v>0.71898758766790716</v>
      </c>
      <c r="O293">
        <f ca="1">'Ref scen Calcs'!Q926</f>
        <v>0.71898758766790716</v>
      </c>
      <c r="P293">
        <f ca="1">'Ref scen Calcs'!R926</f>
        <v>0.71898758766790716</v>
      </c>
      <c r="Q293">
        <f ca="1">'Ref scen Calcs'!S926</f>
        <v>0.71898758766790716</v>
      </c>
      <c r="R293">
        <f ca="1">'Ref scen Calcs'!T926</f>
        <v>0.71898758766790716</v>
      </c>
      <c r="S293">
        <f ca="1">'Ref scen Calcs'!U926</f>
        <v>0.71898758766790716</v>
      </c>
      <c r="T293">
        <f ca="1">'Ref scen Calcs'!V926</f>
        <v>0.71898758766790716</v>
      </c>
      <c r="U293">
        <f ca="1">'Ref scen Calcs'!W926</f>
        <v>0.69208837694487824</v>
      </c>
      <c r="V293">
        <f ca="1">'Ref scen Calcs'!X926</f>
        <v>0.66518916622184932</v>
      </c>
      <c r="W293">
        <f ca="1">'Ref scen Calcs'!Y926</f>
        <v>0.63156515281806325</v>
      </c>
      <c r="X293">
        <f ca="1">'Ref scen Calcs'!Z926</f>
        <v>0.59794113941427696</v>
      </c>
      <c r="Y293">
        <f ca="1">'Ref scen Calcs'!AA926</f>
        <v>0.55723838634653589</v>
      </c>
      <c r="Z293">
        <f ca="1">'Ref scen Calcs'!AB926</f>
        <v>0.47583288021105363</v>
      </c>
      <c r="AA293">
        <f ca="1">'Ref scen Calcs'!AC926</f>
        <v>0.4351301271433124</v>
      </c>
      <c r="AP293">
        <f>'Alt scen Calcs'!D926</f>
        <v>4.3940636941733946E-2</v>
      </c>
      <c r="AQ293">
        <f>'Alt scen Calcs'!E926</f>
        <v>4.3940636941733946E-2</v>
      </c>
      <c r="AR293">
        <f>'Alt scen Calcs'!F926</f>
        <v>4.3940636941733946E-2</v>
      </c>
      <c r="AS293">
        <f>'Alt scen Calcs'!G926</f>
        <v>4.3940636941733946E-2</v>
      </c>
      <c r="AT293">
        <f>'Alt scen Calcs'!H926</f>
        <v>4.3940636941733946E-2</v>
      </c>
      <c r="AU293">
        <f ca="1">'Alt scen Calcs'!I926</f>
        <v>4.9463088286670329E-2</v>
      </c>
      <c r="AV293">
        <f ca="1">'Alt scen Calcs'!J926</f>
        <v>5.2729662727891848E-2</v>
      </c>
      <c r="AW293">
        <f ca="1">'Alt scen Calcs'!K926</f>
        <v>5.2729662727891848E-2</v>
      </c>
      <c r="AX293">
        <f ca="1">'Alt scen Calcs'!L926</f>
        <v>5.2729662727891848E-2</v>
      </c>
      <c r="AY293">
        <f ca="1">'Alt scen Calcs'!M926</f>
        <v>5.2729662727891848E-2</v>
      </c>
      <c r="AZ293">
        <f ca="1">'Alt scen Calcs'!N926</f>
        <v>5.2729662727891848E-2</v>
      </c>
      <c r="BA293">
        <f ca="1">'Alt scen Calcs'!O926</f>
        <v>5.2426453466639857E-2</v>
      </c>
      <c r="BB293">
        <f ca="1">'Alt scen Calcs'!P926</f>
        <v>5.2123244205387859E-2</v>
      </c>
      <c r="BC293">
        <f ca="1">'Alt scen Calcs'!Q926</f>
        <v>5.1718965190385199E-2</v>
      </c>
      <c r="BD293">
        <f ca="1">'Alt scen Calcs'!R926</f>
        <v>5.1314686175382533E-2</v>
      </c>
      <c r="BE293">
        <f ca="1">'Alt scen Calcs'!S926</f>
        <v>4.3633384890331924E-2</v>
      </c>
      <c r="BF293">
        <f ca="1">'Alt scen Calcs'!T926</f>
        <v>3.5952083605281321E-2</v>
      </c>
      <c r="BG293">
        <f ca="1">'Alt scen Calcs'!U926</f>
        <v>3.5952083605281321E-2</v>
      </c>
      <c r="BH293">
        <f ca="1">'Alt scen Calcs'!V926</f>
        <v>3.5952083605281321E-2</v>
      </c>
      <c r="BI293">
        <f ca="1">'Alt scen Calcs'!W926</f>
        <v>3.5952083605281321E-2</v>
      </c>
      <c r="BJ293">
        <f ca="1">'Alt scen Calcs'!X926</f>
        <v>3.2412845428385774E-2</v>
      </c>
      <c r="BK293">
        <f ca="1">'Alt scen Calcs'!Y926</f>
        <v>2.8873607251490237E-2</v>
      </c>
      <c r="BL293">
        <f ca="1">'Alt scen Calcs'!Z926</f>
        <v>2.8873607251490237E-2</v>
      </c>
      <c r="BM293">
        <f ca="1">'Alt scen Calcs'!AA926</f>
        <v>2.8873607251490237E-2</v>
      </c>
      <c r="BN293">
        <f ca="1">'Alt scen Calcs'!AB926</f>
        <v>2.8873607251490237E-2</v>
      </c>
      <c r="BO293">
        <f ca="1">'Alt scen Calcs'!AC926</f>
        <v>2.8873607251490237E-2</v>
      </c>
      <c r="BW293">
        <f>'Ref scen Calcs'!D940</f>
        <v>0</v>
      </c>
      <c r="BX293">
        <f>'Ref scen Calcs'!E940</f>
        <v>0</v>
      </c>
      <c r="BY293">
        <f>'Ref scen Calcs'!F940</f>
        <v>0</v>
      </c>
      <c r="BZ293">
        <f>'Ref scen Calcs'!G940</f>
        <v>0</v>
      </c>
      <c r="CA293">
        <f>'Ref scen Calcs'!H940</f>
        <v>0</v>
      </c>
      <c r="CB293">
        <f ca="1">'Ref scen Calcs'!I940</f>
        <v>0</v>
      </c>
      <c r="CC293">
        <f ca="1">'Ref scen Calcs'!J940</f>
        <v>0</v>
      </c>
      <c r="CD293">
        <f ca="1">'Ref scen Calcs'!K940</f>
        <v>4.9318221823794004E-3</v>
      </c>
      <c r="CE293">
        <f ca="1">'Ref scen Calcs'!L940</f>
        <v>1.4795466547138203E-2</v>
      </c>
      <c r="CF293">
        <f ca="1">'Ref scen Calcs'!M940</f>
        <v>4.0147426694926144E-2</v>
      </c>
      <c r="CG293">
        <f ca="1">'Ref scen Calcs'!N940</f>
        <v>6.4379508331653096E-2</v>
      </c>
      <c r="CH293">
        <f ca="1">'Ref scen Calcs'!O940</f>
        <v>9.0189650737555679E-2</v>
      </c>
      <c r="CI293">
        <f ca="1">'Ref scen Calcs'!P940</f>
        <v>0.11557922533318173</v>
      </c>
      <c r="CJ293">
        <f ca="1">'Ref scen Calcs'!Q940</f>
        <v>0.14242422312396011</v>
      </c>
      <c r="CK293">
        <f ca="1">'Ref scen Calcs'!R940</f>
        <v>0.1705153477600036</v>
      </c>
      <c r="CL293">
        <f ca="1">'Ref scen Calcs'!S940</f>
        <v>0.20428583128083155</v>
      </c>
      <c r="CM293">
        <f ca="1">'Ref scen Calcs'!T940</f>
        <v>0.23952051384484624</v>
      </c>
      <c r="CN293">
        <f ca="1">'Ref scen Calcs'!U940</f>
        <v>0.2693472924888014</v>
      </c>
      <c r="CO293">
        <f ca="1">'Ref scen Calcs'!V940</f>
        <v>0.30066862088131197</v>
      </c>
      <c r="CP293">
        <f ca="1">'Ref scen Calcs'!W940</f>
        <v>0.35898016037389402</v>
      </c>
      <c r="CQ293">
        <f ca="1">'Ref scen Calcs'!X940</f>
        <v>0.42144081568594449</v>
      </c>
      <c r="CR293">
        <f ca="1">'Ref scen Calcs'!Y940</f>
        <v>0.49241791022572506</v>
      </c>
      <c r="CS293">
        <f ca="1">'Ref scen Calcs'!Z940</f>
        <v>0.56285267097028724</v>
      </c>
      <c r="CT293">
        <f ca="1">'Ref scen Calcs'!AA940</f>
        <v>0.64116422793792582</v>
      </c>
      <c r="CU293">
        <f ca="1">'Ref scen Calcs'!AB940</f>
        <v>0.75806084063640944</v>
      </c>
      <c r="CV293">
        <f ca="1">'Ref scen Calcs'!AC940</f>
        <v>0.82701565716070058</v>
      </c>
    </row>
    <row r="294" spans="1:100">
      <c r="A294" t="str">
        <f>'Ref scen Calcs'!C927</f>
        <v>CO emissions</v>
      </c>
      <c r="B294">
        <f>'Ref scen Calcs'!D927</f>
        <v>4.246277530852656E-2</v>
      </c>
      <c r="C294">
        <f>'Ref scen Calcs'!E927</f>
        <v>4.246277530852656E-2</v>
      </c>
      <c r="D294">
        <f>'Ref scen Calcs'!F927</f>
        <v>4.3861602234525808E-2</v>
      </c>
      <c r="E294">
        <f>'Ref scen Calcs'!G927</f>
        <v>4.4348874341804019E-2</v>
      </c>
      <c r="F294">
        <f>'Ref scen Calcs'!H927</f>
        <v>4.4348874341804019E-2</v>
      </c>
      <c r="G294">
        <f ca="1">'Ref scen Calcs'!I927</f>
        <v>4.5395867258590662E-2</v>
      </c>
      <c r="H294">
        <f ca="1">'Ref scen Calcs'!J927</f>
        <v>4.6189557655116668E-2</v>
      </c>
      <c r="I294">
        <f ca="1">'Ref scen Calcs'!K927</f>
        <v>4.7071809735344534E-2</v>
      </c>
      <c r="J294">
        <f ca="1">'Ref scen Calcs'!L927</f>
        <v>4.7891299875316158E-2</v>
      </c>
      <c r="K294">
        <f ca="1">'Ref scen Calcs'!M927</f>
        <v>4.7932505844527143E-2</v>
      </c>
      <c r="L294">
        <f ca="1">'Ref scen Calcs'!N927</f>
        <v>4.7932505844527143E-2</v>
      </c>
      <c r="M294">
        <f ca="1">'Ref scen Calcs'!O927</f>
        <v>4.7932505844527143E-2</v>
      </c>
      <c r="N294">
        <f ca="1">'Ref scen Calcs'!P927</f>
        <v>4.7932505844527143E-2</v>
      </c>
      <c r="O294">
        <f ca="1">'Ref scen Calcs'!Q927</f>
        <v>4.7932505844527143E-2</v>
      </c>
      <c r="P294">
        <f ca="1">'Ref scen Calcs'!R927</f>
        <v>4.7932505844527143E-2</v>
      </c>
      <c r="Q294">
        <f ca="1">'Ref scen Calcs'!S927</f>
        <v>4.7932505844527143E-2</v>
      </c>
      <c r="R294">
        <f ca="1">'Ref scen Calcs'!T927</f>
        <v>4.7932505844527143E-2</v>
      </c>
      <c r="S294">
        <f ca="1">'Ref scen Calcs'!U927</f>
        <v>4.7932505844527143E-2</v>
      </c>
      <c r="T294">
        <f ca="1">'Ref scen Calcs'!V927</f>
        <v>4.7932505844527143E-2</v>
      </c>
      <c r="U294">
        <f ca="1">'Ref scen Calcs'!W927</f>
        <v>4.6139225129658547E-2</v>
      </c>
      <c r="V294">
        <f ca="1">'Ref scen Calcs'!X927</f>
        <v>4.4345944414789958E-2</v>
      </c>
      <c r="W294">
        <f ca="1">'Ref scen Calcs'!Y927</f>
        <v>4.2104343521204214E-2</v>
      </c>
      <c r="X294">
        <f ca="1">'Ref scen Calcs'!Z927</f>
        <v>3.9862742627618464E-2</v>
      </c>
      <c r="Y294">
        <f ca="1">'Ref scen Calcs'!AA927</f>
        <v>3.7149225756435728E-2</v>
      </c>
      <c r="Z294">
        <f ca="1">'Ref scen Calcs'!AB927</f>
        <v>3.1722192014070241E-2</v>
      </c>
      <c r="AA294">
        <f ca="1">'Ref scen Calcs'!AC927</f>
        <v>2.9008675142887495E-2</v>
      </c>
      <c r="AP294">
        <f>'Alt scen Calcs'!D927</f>
        <v>2.9293757961155967E-3</v>
      </c>
      <c r="AQ294">
        <f>'Alt scen Calcs'!E927</f>
        <v>2.9293757961155967E-3</v>
      </c>
      <c r="AR294">
        <f>'Alt scen Calcs'!F927</f>
        <v>2.9293757961155967E-3</v>
      </c>
      <c r="AS294">
        <f>'Alt scen Calcs'!G927</f>
        <v>2.9293757961155967E-3</v>
      </c>
      <c r="AT294">
        <f>'Alt scen Calcs'!H927</f>
        <v>2.9293757961155967E-3</v>
      </c>
      <c r="AU294">
        <f ca="1">'Alt scen Calcs'!I927</f>
        <v>3.2975392191113557E-3</v>
      </c>
      <c r="AV294">
        <f ca="1">'Alt scen Calcs'!J927</f>
        <v>3.5153108485261233E-3</v>
      </c>
      <c r="AW294">
        <f ca="1">'Alt scen Calcs'!K927</f>
        <v>3.5153108485261233E-3</v>
      </c>
      <c r="AX294">
        <f ca="1">'Alt scen Calcs'!L927</f>
        <v>3.5153108485261233E-3</v>
      </c>
      <c r="AY294">
        <f ca="1">'Alt scen Calcs'!M927</f>
        <v>3.5153108485261233E-3</v>
      </c>
      <c r="AZ294">
        <f ca="1">'Alt scen Calcs'!N927</f>
        <v>3.5153108485261233E-3</v>
      </c>
      <c r="BA294">
        <f ca="1">'Alt scen Calcs'!O927</f>
        <v>3.4950968977759908E-3</v>
      </c>
      <c r="BB294">
        <f ca="1">'Alt scen Calcs'!P927</f>
        <v>3.4748829470258578E-3</v>
      </c>
      <c r="BC294">
        <f ca="1">'Alt scen Calcs'!Q927</f>
        <v>3.4479310126923472E-3</v>
      </c>
      <c r="BD294">
        <f ca="1">'Alt scen Calcs'!R927</f>
        <v>3.4209790783588357E-3</v>
      </c>
      <c r="BE294">
        <f ca="1">'Alt scen Calcs'!S927</f>
        <v>2.9088923260221287E-3</v>
      </c>
      <c r="BF294">
        <f ca="1">'Alt scen Calcs'!T927</f>
        <v>2.3968055736854213E-3</v>
      </c>
      <c r="BG294">
        <f ca="1">'Alt scen Calcs'!U927</f>
        <v>2.3968055736854213E-3</v>
      </c>
      <c r="BH294">
        <f ca="1">'Alt scen Calcs'!V927</f>
        <v>2.3968055736854213E-3</v>
      </c>
      <c r="BI294">
        <f ca="1">'Alt scen Calcs'!W927</f>
        <v>2.3968055736854213E-3</v>
      </c>
      <c r="BJ294">
        <f ca="1">'Alt scen Calcs'!X927</f>
        <v>2.160856361892385E-3</v>
      </c>
      <c r="BK294">
        <f ca="1">'Alt scen Calcs'!Y927</f>
        <v>1.9249071500993492E-3</v>
      </c>
      <c r="BL294">
        <f ca="1">'Alt scen Calcs'!Z927</f>
        <v>1.9249071500993492E-3</v>
      </c>
      <c r="BM294">
        <f ca="1">'Alt scen Calcs'!AA927</f>
        <v>1.9249071500993492E-3</v>
      </c>
      <c r="BN294">
        <f ca="1">'Alt scen Calcs'!AB927</f>
        <v>1.9249071500993492E-3</v>
      </c>
      <c r="BO294">
        <f ca="1">'Alt scen Calcs'!AC927</f>
        <v>1.9249071500993492E-3</v>
      </c>
      <c r="BW294">
        <f>'Ref scen Calcs'!D941</f>
        <v>0</v>
      </c>
      <c r="BX294">
        <f>'Ref scen Calcs'!E941</f>
        <v>0</v>
      </c>
      <c r="BY294">
        <f>'Ref scen Calcs'!F941</f>
        <v>0</v>
      </c>
      <c r="BZ294">
        <f>'Ref scen Calcs'!G941</f>
        <v>0</v>
      </c>
      <c r="CA294">
        <f>'Ref scen Calcs'!H941</f>
        <v>0</v>
      </c>
      <c r="CB294">
        <f ca="1">'Ref scen Calcs'!I941</f>
        <v>0</v>
      </c>
      <c r="CC294">
        <f ca="1">'Ref scen Calcs'!J941</f>
        <v>0</v>
      </c>
      <c r="CD294">
        <f ca="1">'Ref scen Calcs'!K941</f>
        <v>3.2878814549196006E-4</v>
      </c>
      <c r="CE294">
        <f ca="1">'Ref scen Calcs'!L941</f>
        <v>9.8636443647588017E-4</v>
      </c>
      <c r="CF294">
        <f ca="1">'Ref scen Calcs'!M941</f>
        <v>2.6764951129950761E-3</v>
      </c>
      <c r="CG294">
        <f ca="1">'Ref scen Calcs'!N941</f>
        <v>4.2919672221102059E-3</v>
      </c>
      <c r="CH294">
        <f ca="1">'Ref scen Calcs'!O941</f>
        <v>6.0126433825037125E-3</v>
      </c>
      <c r="CI294">
        <f ca="1">'Ref scen Calcs'!P941</f>
        <v>7.7052816888787817E-3</v>
      </c>
      <c r="CJ294">
        <f ca="1">'Ref scen Calcs'!Q941</f>
        <v>9.4949482082640063E-3</v>
      </c>
      <c r="CK294">
        <f ca="1">'Ref scen Calcs'!R941</f>
        <v>1.1367689850666909E-2</v>
      </c>
      <c r="CL294">
        <f ca="1">'Ref scen Calcs'!S941</f>
        <v>1.3619055418722104E-2</v>
      </c>
      <c r="CM294">
        <f ca="1">'Ref scen Calcs'!T941</f>
        <v>1.5968034256323083E-2</v>
      </c>
      <c r="CN294">
        <f ca="1">'Ref scen Calcs'!U941</f>
        <v>1.7956486165920094E-2</v>
      </c>
      <c r="CO294">
        <f ca="1">'Ref scen Calcs'!V941</f>
        <v>2.0044574725420795E-2</v>
      </c>
      <c r="CP294">
        <f ca="1">'Ref scen Calcs'!W941</f>
        <v>2.3932010691592936E-2</v>
      </c>
      <c r="CQ294">
        <f ca="1">'Ref scen Calcs'!X941</f>
        <v>2.8096054379062967E-2</v>
      </c>
      <c r="CR294">
        <f ca="1">'Ref scen Calcs'!Y941</f>
        <v>3.2827860681715004E-2</v>
      </c>
      <c r="CS294">
        <f ca="1">'Ref scen Calcs'!Z941</f>
        <v>3.7523511398019148E-2</v>
      </c>
      <c r="CT294">
        <f ca="1">'Ref scen Calcs'!AA941</f>
        <v>4.2744281862528391E-2</v>
      </c>
      <c r="CU294">
        <f ca="1">'Ref scen Calcs'!AB941</f>
        <v>5.0537389375760633E-2</v>
      </c>
      <c r="CV294">
        <f ca="1">'Ref scen Calcs'!AC941</f>
        <v>5.513437714404671E-2</v>
      </c>
    </row>
    <row r="295" spans="1:100">
      <c r="A295" t="str">
        <f>'Ref scen Calcs'!C928</f>
        <v>NMVOC emissions</v>
      </c>
      <c r="B295">
        <f>'Ref scen Calcs'!D928</f>
        <v>1.061569382713164E-2</v>
      </c>
      <c r="C295">
        <f>'Ref scen Calcs'!E928</f>
        <v>1.061569382713164E-2</v>
      </c>
      <c r="D295">
        <f>'Ref scen Calcs'!F928</f>
        <v>1.0965400558631452E-2</v>
      </c>
      <c r="E295">
        <f>'Ref scen Calcs'!G928</f>
        <v>1.1087218585451005E-2</v>
      </c>
      <c r="F295">
        <f>'Ref scen Calcs'!H928</f>
        <v>1.1087218585451005E-2</v>
      </c>
      <c r="G295">
        <f ca="1">'Ref scen Calcs'!I928</f>
        <v>1.1348966814647666E-2</v>
      </c>
      <c r="H295">
        <f ca="1">'Ref scen Calcs'!J928</f>
        <v>1.1547389413779167E-2</v>
      </c>
      <c r="I295">
        <f ca="1">'Ref scen Calcs'!K928</f>
        <v>1.1767952433836134E-2</v>
      </c>
      <c r="J295">
        <f ca="1">'Ref scen Calcs'!L928</f>
        <v>1.197282496882904E-2</v>
      </c>
      <c r="K295">
        <f ca="1">'Ref scen Calcs'!M928</f>
        <v>1.1983126461131786E-2</v>
      </c>
      <c r="L295">
        <f ca="1">'Ref scen Calcs'!N928</f>
        <v>1.1983126461131786E-2</v>
      </c>
      <c r="M295">
        <f ca="1">'Ref scen Calcs'!O928</f>
        <v>1.1983126461131786E-2</v>
      </c>
      <c r="N295">
        <f ca="1">'Ref scen Calcs'!P928</f>
        <v>1.1983126461131786E-2</v>
      </c>
      <c r="O295">
        <f ca="1">'Ref scen Calcs'!Q928</f>
        <v>1.1983126461131786E-2</v>
      </c>
      <c r="P295">
        <f ca="1">'Ref scen Calcs'!R928</f>
        <v>1.1983126461131786E-2</v>
      </c>
      <c r="Q295">
        <f ca="1">'Ref scen Calcs'!S928</f>
        <v>1.1983126461131786E-2</v>
      </c>
      <c r="R295">
        <f ca="1">'Ref scen Calcs'!T928</f>
        <v>1.1983126461131786E-2</v>
      </c>
      <c r="S295">
        <f ca="1">'Ref scen Calcs'!U928</f>
        <v>1.1983126461131786E-2</v>
      </c>
      <c r="T295">
        <f ca="1">'Ref scen Calcs'!V928</f>
        <v>1.1983126461131786E-2</v>
      </c>
      <c r="U295">
        <f ca="1">'Ref scen Calcs'!W928</f>
        <v>1.1534806282414637E-2</v>
      </c>
      <c r="V295">
        <f ca="1">'Ref scen Calcs'!X928</f>
        <v>1.1086486103697489E-2</v>
      </c>
      <c r="W295">
        <f ca="1">'Ref scen Calcs'!Y928</f>
        <v>1.0526085880301054E-2</v>
      </c>
      <c r="X295">
        <f ca="1">'Ref scen Calcs'!Z928</f>
        <v>9.9656856569046159E-3</v>
      </c>
      <c r="Y295">
        <f ca="1">'Ref scen Calcs'!AA928</f>
        <v>9.2873064391089319E-3</v>
      </c>
      <c r="Z295">
        <f ca="1">'Ref scen Calcs'!AB928</f>
        <v>7.9305480035175603E-3</v>
      </c>
      <c r="AA295">
        <f ca="1">'Ref scen Calcs'!AC928</f>
        <v>7.2521687857218737E-3</v>
      </c>
      <c r="AP295">
        <f>'Alt scen Calcs'!D928</f>
        <v>7.3234394902889919E-4</v>
      </c>
      <c r="AQ295">
        <f>'Alt scen Calcs'!E928</f>
        <v>7.3234394902889919E-4</v>
      </c>
      <c r="AR295">
        <f>'Alt scen Calcs'!F928</f>
        <v>7.3234394902889919E-4</v>
      </c>
      <c r="AS295">
        <f>'Alt scen Calcs'!G928</f>
        <v>7.3234394902889919E-4</v>
      </c>
      <c r="AT295">
        <f>'Alt scen Calcs'!H928</f>
        <v>7.3234394902889919E-4</v>
      </c>
      <c r="AU295">
        <f ca="1">'Alt scen Calcs'!I928</f>
        <v>8.2438480477783893E-4</v>
      </c>
      <c r="AV295">
        <f ca="1">'Alt scen Calcs'!J928</f>
        <v>8.7882771213153082E-4</v>
      </c>
      <c r="AW295">
        <f ca="1">'Alt scen Calcs'!K928</f>
        <v>8.7882771213153082E-4</v>
      </c>
      <c r="AX295">
        <f ca="1">'Alt scen Calcs'!L928</f>
        <v>8.7882771213153082E-4</v>
      </c>
      <c r="AY295">
        <f ca="1">'Alt scen Calcs'!M928</f>
        <v>8.7882771213153082E-4</v>
      </c>
      <c r="AZ295">
        <f ca="1">'Alt scen Calcs'!N928</f>
        <v>8.7882771213153082E-4</v>
      </c>
      <c r="BA295">
        <f ca="1">'Alt scen Calcs'!O928</f>
        <v>8.7377422444399769E-4</v>
      </c>
      <c r="BB295">
        <f ca="1">'Alt scen Calcs'!P928</f>
        <v>8.6872073675646445E-4</v>
      </c>
      <c r="BC295">
        <f ca="1">'Alt scen Calcs'!Q928</f>
        <v>8.6198275317308679E-4</v>
      </c>
      <c r="BD295">
        <f ca="1">'Alt scen Calcs'!R928</f>
        <v>8.5524476958970892E-4</v>
      </c>
      <c r="BE295">
        <f ca="1">'Alt scen Calcs'!S928</f>
        <v>7.2722308150553218E-4</v>
      </c>
      <c r="BF295">
        <f ca="1">'Alt scen Calcs'!T928</f>
        <v>5.9920139342135533E-4</v>
      </c>
      <c r="BG295">
        <f ca="1">'Alt scen Calcs'!U928</f>
        <v>5.9920139342135533E-4</v>
      </c>
      <c r="BH295">
        <f ca="1">'Alt scen Calcs'!V928</f>
        <v>5.9920139342135533E-4</v>
      </c>
      <c r="BI295">
        <f ca="1">'Alt scen Calcs'!W928</f>
        <v>5.9920139342135533E-4</v>
      </c>
      <c r="BJ295">
        <f ca="1">'Alt scen Calcs'!X928</f>
        <v>5.4021409047309626E-4</v>
      </c>
      <c r="BK295">
        <f ca="1">'Alt scen Calcs'!Y928</f>
        <v>4.812267875248373E-4</v>
      </c>
      <c r="BL295">
        <f ca="1">'Alt scen Calcs'!Z928</f>
        <v>4.812267875248373E-4</v>
      </c>
      <c r="BM295">
        <f ca="1">'Alt scen Calcs'!AA928</f>
        <v>4.812267875248373E-4</v>
      </c>
      <c r="BN295">
        <f ca="1">'Alt scen Calcs'!AB928</f>
        <v>4.812267875248373E-4</v>
      </c>
      <c r="BO295">
        <f ca="1">'Alt scen Calcs'!AC928</f>
        <v>4.812267875248373E-4</v>
      </c>
      <c r="BW295">
        <f>'Ref scen Calcs'!D942</f>
        <v>0</v>
      </c>
      <c r="BX295">
        <f>'Ref scen Calcs'!E942</f>
        <v>0</v>
      </c>
      <c r="BY295">
        <f>'Ref scen Calcs'!F942</f>
        <v>0</v>
      </c>
      <c r="BZ295">
        <f>'Ref scen Calcs'!G942</f>
        <v>0</v>
      </c>
      <c r="CA295">
        <f>'Ref scen Calcs'!H942</f>
        <v>0</v>
      </c>
      <c r="CB295">
        <f ca="1">'Ref scen Calcs'!I942</f>
        <v>0</v>
      </c>
      <c r="CC295">
        <f ca="1">'Ref scen Calcs'!J942</f>
        <v>0</v>
      </c>
      <c r="CD295">
        <f ca="1">'Ref scen Calcs'!K942</f>
        <v>8.2197036372990014E-5</v>
      </c>
      <c r="CE295">
        <f ca="1">'Ref scen Calcs'!L942</f>
        <v>2.4659110911897004E-4</v>
      </c>
      <c r="CF295">
        <f ca="1">'Ref scen Calcs'!M942</f>
        <v>6.6912377824876901E-4</v>
      </c>
      <c r="CG295">
        <f ca="1">'Ref scen Calcs'!N942</f>
        <v>1.0729918055275515E-3</v>
      </c>
      <c r="CH295">
        <f ca="1">'Ref scen Calcs'!O942</f>
        <v>1.5031608456259281E-3</v>
      </c>
      <c r="CI295">
        <f ca="1">'Ref scen Calcs'!P942</f>
        <v>1.9263204222196954E-3</v>
      </c>
      <c r="CJ295">
        <f ca="1">'Ref scen Calcs'!Q942</f>
        <v>2.3737370520660016E-3</v>
      </c>
      <c r="CK295">
        <f ca="1">'Ref scen Calcs'!R942</f>
        <v>2.8419224626667272E-3</v>
      </c>
      <c r="CL295">
        <f ca="1">'Ref scen Calcs'!S942</f>
        <v>3.4047638546805259E-3</v>
      </c>
      <c r="CM295">
        <f ca="1">'Ref scen Calcs'!T942</f>
        <v>3.9920085640807708E-3</v>
      </c>
      <c r="CN295">
        <f ca="1">'Ref scen Calcs'!U942</f>
        <v>4.4891215414800236E-3</v>
      </c>
      <c r="CO295">
        <f ca="1">'Ref scen Calcs'!V942</f>
        <v>5.0111436813551988E-3</v>
      </c>
      <c r="CP295">
        <f ca="1">'Ref scen Calcs'!W942</f>
        <v>5.9830026728982339E-3</v>
      </c>
      <c r="CQ295">
        <f ca="1">'Ref scen Calcs'!X942</f>
        <v>7.0240135947657418E-3</v>
      </c>
      <c r="CR295">
        <f ca="1">'Ref scen Calcs'!Y942</f>
        <v>8.2069651704287511E-3</v>
      </c>
      <c r="CS295">
        <f ca="1">'Ref scen Calcs'!Z942</f>
        <v>9.380877849504787E-3</v>
      </c>
      <c r="CT295">
        <f ca="1">'Ref scen Calcs'!AA942</f>
        <v>1.0686070465632098E-2</v>
      </c>
      <c r="CU295">
        <f ca="1">'Ref scen Calcs'!AB942</f>
        <v>1.2634347343940158E-2</v>
      </c>
      <c r="CV295">
        <f ca="1">'Ref scen Calcs'!AC942</f>
        <v>1.3783594286011678E-2</v>
      </c>
    </row>
    <row r="297" spans="1:100">
      <c r="A297" s="11" t="s">
        <v>294</v>
      </c>
    </row>
    <row r="298" spans="1:100">
      <c r="A298" t="str">
        <f>'Ref scen Calcs'!C930</f>
        <v>GHG emissions</v>
      </c>
      <c r="B298">
        <f>'Ref scen Calcs'!D930</f>
        <v>0</v>
      </c>
      <c r="C298">
        <f>'Ref scen Calcs'!E930</f>
        <v>0</v>
      </c>
      <c r="D298">
        <f>'Ref scen Calcs'!F930</f>
        <v>0</v>
      </c>
      <c r="E298">
        <f>'Ref scen Calcs'!G930</f>
        <v>0</v>
      </c>
      <c r="F298">
        <f>'Ref scen Calcs'!H930</f>
        <v>0</v>
      </c>
      <c r="G298">
        <f ca="1">'Ref scen Calcs'!I930</f>
        <v>0</v>
      </c>
      <c r="H298">
        <f ca="1">'Ref scen Calcs'!J930</f>
        <v>0</v>
      </c>
      <c r="I298">
        <f ca="1">'Ref scen Calcs'!K930</f>
        <v>1.5897728804899998</v>
      </c>
      <c r="J298">
        <f ca="1">'Ref scen Calcs'!L930</f>
        <v>4.76931864147</v>
      </c>
      <c r="K298">
        <f ca="1">'Ref scen Calcs'!M930</f>
        <v>12.941522995109445</v>
      </c>
      <c r="L298">
        <f ca="1">'Ref scen Calcs'!N930</f>
        <v>20.752734510708375</v>
      </c>
      <c r="M298">
        <f ca="1">'Ref scen Calcs'!O930</f>
        <v>29.072633915251078</v>
      </c>
      <c r="N298">
        <f ca="1">'Ref scen Calcs'!P930</f>
        <v>37.256963286151127</v>
      </c>
      <c r="O298">
        <f ca="1">'Ref scen Calcs'!Q930</f>
        <v>45.910448324008541</v>
      </c>
      <c r="P298">
        <f ca="1">'Ref scen Calcs'!R930</f>
        <v>54.965622350437165</v>
      </c>
      <c r="Q298">
        <f ca="1">'Ref scen Calcs'!S930</f>
        <v>65.851537713376061</v>
      </c>
      <c r="R298">
        <f ca="1">'Ref scen Calcs'!T930</f>
        <v>77.209437637886197</v>
      </c>
      <c r="S298">
        <f ca="1">'Ref scen Calcs'!U930</f>
        <v>86.824099733765138</v>
      </c>
      <c r="T298">
        <f ca="1">'Ref scen Calcs'!V930</f>
        <v>96.920529941090919</v>
      </c>
      <c r="U298">
        <f ca="1">'Ref scen Calcs'!W930</f>
        <v>115.71725469652476</v>
      </c>
      <c r="V298">
        <f ca="1">'Ref scen Calcs'!X930</f>
        <v>135.85144693636423</v>
      </c>
      <c r="W298">
        <f ca="1">'Ref scen Calcs'!Y930</f>
        <v>158.73091336126248</v>
      </c>
      <c r="X298">
        <f ca="1">'Ref scen Calcs'!Z930</f>
        <v>181.43555848727209</v>
      </c>
      <c r="Y298">
        <f ca="1">'Ref scen Calcs'!AA930</f>
        <v>206.67928887579041</v>
      </c>
      <c r="Z298">
        <f ca="1">'Ref scen Calcs'!AB930</f>
        <v>244.36091197914661</v>
      </c>
      <c r="AA298">
        <f ca="1">'Ref scen Calcs'!AC930</f>
        <v>266.58849708575184</v>
      </c>
      <c r="AP298">
        <f>'Alt scen Calcs'!D930</f>
        <v>0</v>
      </c>
      <c r="AQ298">
        <f>'Alt scen Calcs'!E930</f>
        <v>0</v>
      </c>
      <c r="AR298">
        <f>'Alt scen Calcs'!F930</f>
        <v>0</v>
      </c>
      <c r="AS298">
        <f>'Alt scen Calcs'!G930</f>
        <v>0</v>
      </c>
      <c r="AT298">
        <f>'Alt scen Calcs'!H930</f>
        <v>0</v>
      </c>
      <c r="AU298">
        <f ca="1">'Alt scen Calcs'!I930</f>
        <v>0</v>
      </c>
      <c r="AV298">
        <f ca="1">'Alt scen Calcs'!J930</f>
        <v>0</v>
      </c>
      <c r="AW298">
        <f ca="1">'Alt scen Calcs'!K930</f>
        <v>0</v>
      </c>
      <c r="AX298">
        <f ca="1">'Alt scen Calcs'!L930</f>
        <v>0</v>
      </c>
      <c r="AY298">
        <f ca="1">'Alt scen Calcs'!M930</f>
        <v>0</v>
      </c>
      <c r="AZ298">
        <f ca="1">'Alt scen Calcs'!N930</f>
        <v>0</v>
      </c>
      <c r="BA298">
        <f ca="1">'Alt scen Calcs'!O930</f>
        <v>0</v>
      </c>
      <c r="BB298">
        <f ca="1">'Alt scen Calcs'!P930</f>
        <v>0</v>
      </c>
      <c r="BC298">
        <f ca="1">'Alt scen Calcs'!Q930</f>
        <v>0</v>
      </c>
      <c r="BD298">
        <f ca="1">'Alt scen Calcs'!R930</f>
        <v>0</v>
      </c>
      <c r="BE298">
        <f ca="1">'Alt scen Calcs'!S930</f>
        <v>0</v>
      </c>
      <c r="BF298">
        <f ca="1">'Alt scen Calcs'!T930</f>
        <v>0</v>
      </c>
      <c r="BG298">
        <f ca="1">'Alt scen Calcs'!U930</f>
        <v>0</v>
      </c>
      <c r="BH298">
        <f ca="1">'Alt scen Calcs'!V930</f>
        <v>0</v>
      </c>
      <c r="BI298">
        <f ca="1">'Alt scen Calcs'!W930</f>
        <v>0</v>
      </c>
      <c r="BJ298">
        <f ca="1">'Alt scen Calcs'!X930</f>
        <v>0</v>
      </c>
      <c r="BK298">
        <f ca="1">'Alt scen Calcs'!Y930</f>
        <v>0</v>
      </c>
      <c r="BL298">
        <f ca="1">'Alt scen Calcs'!Z930</f>
        <v>0</v>
      </c>
      <c r="BM298">
        <f ca="1">'Alt scen Calcs'!AA930</f>
        <v>0</v>
      </c>
      <c r="BN298">
        <f ca="1">'Alt scen Calcs'!AB930</f>
        <v>0</v>
      </c>
      <c r="BO298">
        <f ca="1">'Alt scen Calcs'!AC930</f>
        <v>0</v>
      </c>
      <c r="BV298" s="11" t="s">
        <v>302</v>
      </c>
      <c r="BW298">
        <f>'Alt scen Calcs'!D938</f>
        <v>0</v>
      </c>
      <c r="BX298">
        <f>'Alt scen Calcs'!E938</f>
        <v>0</v>
      </c>
      <c r="BY298">
        <f>'Alt scen Calcs'!F938</f>
        <v>0</v>
      </c>
      <c r="BZ298">
        <f>'Alt scen Calcs'!G938</f>
        <v>0</v>
      </c>
      <c r="CA298">
        <f>'Alt scen Calcs'!H938</f>
        <v>0</v>
      </c>
      <c r="CB298">
        <f ca="1">'Alt scen Calcs'!I938</f>
        <v>0</v>
      </c>
      <c r="CC298">
        <f ca="1">'Alt scen Calcs'!J938</f>
        <v>0</v>
      </c>
      <c r="CD298">
        <f ca="1">'Alt scen Calcs'!K938</f>
        <v>1.5897728804899998</v>
      </c>
      <c r="CE298">
        <f ca="1">'Alt scen Calcs'!L938</f>
        <v>4.76931864147</v>
      </c>
      <c r="CF298">
        <f ca="1">'Alt scen Calcs'!M938</f>
        <v>9.981494968181412</v>
      </c>
      <c r="CG298">
        <f ca="1">'Alt scen Calcs'!N938</f>
        <v>15.779114604001057</v>
      </c>
      <c r="CH298">
        <f ca="1">'Alt scen Calcs'!O938</f>
        <v>21.592084124276493</v>
      </c>
      <c r="CI298">
        <f ca="1">'Alt scen Calcs'!P938</f>
        <v>25.336371454784519</v>
      </c>
      <c r="CJ298">
        <f ca="1">'Alt scen Calcs'!Q938</f>
        <v>27.576462434297909</v>
      </c>
      <c r="CK298">
        <f ca="1">'Alt scen Calcs'!R938</f>
        <v>27.011545373210616</v>
      </c>
      <c r="CL298">
        <f ca="1">'Alt scen Calcs'!S938</f>
        <v>26.304017630681393</v>
      </c>
      <c r="CM298">
        <f ca="1">'Alt scen Calcs'!T938</f>
        <v>22.861777420551583</v>
      </c>
      <c r="CN298">
        <f ca="1">'Alt scen Calcs'!U938</f>
        <v>20.554104407970506</v>
      </c>
      <c r="CO298">
        <f ca="1">'Alt scen Calcs'!V938</f>
        <v>19.077274565880003</v>
      </c>
      <c r="CP298">
        <f ca="1">'Alt scen Calcs'!W938</f>
        <v>19.077274565880003</v>
      </c>
      <c r="CQ298">
        <f ca="1">'Alt scen Calcs'!X938</f>
        <v>19.197835426423797</v>
      </c>
      <c r="CR298">
        <f ca="1">'Alt scen Calcs'!Y938</f>
        <v>25.221586697982048</v>
      </c>
      <c r="CS298">
        <f ca="1">'Alt scen Calcs'!Z938</f>
        <v>27.691949386680839</v>
      </c>
      <c r="CT298">
        <f ca="1">'Alt scen Calcs'!AA938</f>
        <v>31.012113695903075</v>
      </c>
      <c r="CU298">
        <f ca="1">'Alt scen Calcs'!AB938</f>
        <v>42.832671502947825</v>
      </c>
      <c r="CV298">
        <f ca="1">'Alt scen Calcs'!AC938</f>
        <v>44.08351296332367</v>
      </c>
    </row>
    <row r="299" spans="1:100">
      <c r="A299" t="str">
        <f>'Ref scen Calcs'!C931</f>
        <v>SOx emissions</v>
      </c>
      <c r="B299">
        <f>'Ref scen Calcs'!D931</f>
        <v>0</v>
      </c>
      <c r="C299">
        <f>'Ref scen Calcs'!E931</f>
        <v>0</v>
      </c>
      <c r="D299">
        <f>'Ref scen Calcs'!F931</f>
        <v>0</v>
      </c>
      <c r="E299">
        <f>'Ref scen Calcs'!G931</f>
        <v>0</v>
      </c>
      <c r="F299">
        <f>'Ref scen Calcs'!H931</f>
        <v>0</v>
      </c>
      <c r="G299">
        <f ca="1">'Ref scen Calcs'!I931</f>
        <v>0</v>
      </c>
      <c r="H299">
        <f ca="1">'Ref scen Calcs'!J931</f>
        <v>0</v>
      </c>
      <c r="I299">
        <f ca="1">'Ref scen Calcs'!K931</f>
        <v>0</v>
      </c>
      <c r="J299">
        <f ca="1">'Ref scen Calcs'!L931</f>
        <v>0</v>
      </c>
      <c r="K299">
        <f ca="1">'Ref scen Calcs'!M931</f>
        <v>0</v>
      </c>
      <c r="L299">
        <f ca="1">'Ref scen Calcs'!N931</f>
        <v>0</v>
      </c>
      <c r="M299">
        <f ca="1">'Ref scen Calcs'!O931</f>
        <v>0</v>
      </c>
      <c r="N299">
        <f ca="1">'Ref scen Calcs'!P931</f>
        <v>0</v>
      </c>
      <c r="O299">
        <f ca="1">'Ref scen Calcs'!Q931</f>
        <v>0</v>
      </c>
      <c r="P299">
        <f ca="1">'Ref scen Calcs'!R931</f>
        <v>0</v>
      </c>
      <c r="Q299">
        <f ca="1">'Ref scen Calcs'!S931</f>
        <v>0</v>
      </c>
      <c r="R299">
        <f ca="1">'Ref scen Calcs'!T931</f>
        <v>0</v>
      </c>
      <c r="S299">
        <f ca="1">'Ref scen Calcs'!U931</f>
        <v>0</v>
      </c>
      <c r="T299">
        <f ca="1">'Ref scen Calcs'!V931</f>
        <v>0</v>
      </c>
      <c r="U299">
        <f ca="1">'Ref scen Calcs'!W931</f>
        <v>0</v>
      </c>
      <c r="V299">
        <f ca="1">'Ref scen Calcs'!X931</f>
        <v>0</v>
      </c>
      <c r="W299">
        <f ca="1">'Ref scen Calcs'!Y931</f>
        <v>0</v>
      </c>
      <c r="X299">
        <f ca="1">'Ref scen Calcs'!Z931</f>
        <v>0</v>
      </c>
      <c r="Y299">
        <f ca="1">'Ref scen Calcs'!AA931</f>
        <v>0</v>
      </c>
      <c r="Z299">
        <f ca="1">'Ref scen Calcs'!AB931</f>
        <v>0</v>
      </c>
      <c r="AA299">
        <f ca="1">'Ref scen Calcs'!AC931</f>
        <v>0</v>
      </c>
      <c r="AP299">
        <f>'Alt scen Calcs'!D931</f>
        <v>0</v>
      </c>
      <c r="AQ299">
        <f>'Alt scen Calcs'!E931</f>
        <v>0</v>
      </c>
      <c r="AR299">
        <f>'Alt scen Calcs'!F931</f>
        <v>0</v>
      </c>
      <c r="AS299">
        <f>'Alt scen Calcs'!G931</f>
        <v>0</v>
      </c>
      <c r="AT299">
        <f>'Alt scen Calcs'!H931</f>
        <v>0</v>
      </c>
      <c r="AU299">
        <f ca="1">'Alt scen Calcs'!I931</f>
        <v>0</v>
      </c>
      <c r="AV299">
        <f ca="1">'Alt scen Calcs'!J931</f>
        <v>0</v>
      </c>
      <c r="AW299">
        <f ca="1">'Alt scen Calcs'!K931</f>
        <v>0</v>
      </c>
      <c r="AX299">
        <f ca="1">'Alt scen Calcs'!L931</f>
        <v>0</v>
      </c>
      <c r="AY299">
        <f ca="1">'Alt scen Calcs'!M931</f>
        <v>0</v>
      </c>
      <c r="AZ299">
        <f ca="1">'Alt scen Calcs'!N931</f>
        <v>0</v>
      </c>
      <c r="BA299">
        <f ca="1">'Alt scen Calcs'!O931</f>
        <v>0</v>
      </c>
      <c r="BB299">
        <f ca="1">'Alt scen Calcs'!P931</f>
        <v>0</v>
      </c>
      <c r="BC299">
        <f ca="1">'Alt scen Calcs'!Q931</f>
        <v>0</v>
      </c>
      <c r="BD299">
        <f ca="1">'Alt scen Calcs'!R931</f>
        <v>0</v>
      </c>
      <c r="BE299">
        <f ca="1">'Alt scen Calcs'!S931</f>
        <v>0</v>
      </c>
      <c r="BF299">
        <f ca="1">'Alt scen Calcs'!T931</f>
        <v>0</v>
      </c>
      <c r="BG299">
        <f ca="1">'Alt scen Calcs'!U931</f>
        <v>0</v>
      </c>
      <c r="BH299">
        <f ca="1">'Alt scen Calcs'!V931</f>
        <v>0</v>
      </c>
      <c r="BI299">
        <f ca="1">'Alt scen Calcs'!W931</f>
        <v>0</v>
      </c>
      <c r="BJ299">
        <f ca="1">'Alt scen Calcs'!X931</f>
        <v>0</v>
      </c>
      <c r="BK299">
        <f ca="1">'Alt scen Calcs'!Y931</f>
        <v>0</v>
      </c>
      <c r="BL299">
        <f ca="1">'Alt scen Calcs'!Z931</f>
        <v>0</v>
      </c>
      <c r="BM299">
        <f ca="1">'Alt scen Calcs'!AA931</f>
        <v>0</v>
      </c>
      <c r="BN299">
        <f ca="1">'Alt scen Calcs'!AB931</f>
        <v>0</v>
      </c>
      <c r="BO299">
        <f ca="1">'Alt scen Calcs'!AC931</f>
        <v>0</v>
      </c>
      <c r="BW299">
        <f>'Alt scen Calcs'!D939</f>
        <v>0</v>
      </c>
      <c r="BX299">
        <f>'Alt scen Calcs'!E939</f>
        <v>0</v>
      </c>
      <c r="BY299">
        <f>'Alt scen Calcs'!F939</f>
        <v>0</v>
      </c>
      <c r="BZ299">
        <f>'Alt scen Calcs'!G939</f>
        <v>0</v>
      </c>
      <c r="CA299">
        <f>'Alt scen Calcs'!H939</f>
        <v>0</v>
      </c>
      <c r="CB299">
        <f ca="1">'Alt scen Calcs'!I939</f>
        <v>0</v>
      </c>
      <c r="CC299">
        <f ca="1">'Alt scen Calcs'!J939</f>
        <v>0</v>
      </c>
      <c r="CD299">
        <f ca="1">'Alt scen Calcs'!K939</f>
        <v>0</v>
      </c>
      <c r="CE299">
        <f ca="1">'Alt scen Calcs'!L939</f>
        <v>0</v>
      </c>
      <c r="CF299">
        <f ca="1">'Alt scen Calcs'!M939</f>
        <v>0</v>
      </c>
      <c r="CG299">
        <f ca="1">'Alt scen Calcs'!N939</f>
        <v>0</v>
      </c>
      <c r="CH299">
        <f ca="1">'Alt scen Calcs'!O939</f>
        <v>0</v>
      </c>
      <c r="CI299">
        <f ca="1">'Alt scen Calcs'!P939</f>
        <v>0</v>
      </c>
      <c r="CJ299">
        <f ca="1">'Alt scen Calcs'!Q939</f>
        <v>0</v>
      </c>
      <c r="CK299">
        <f ca="1">'Alt scen Calcs'!R939</f>
        <v>0</v>
      </c>
      <c r="CL299">
        <f ca="1">'Alt scen Calcs'!S939</f>
        <v>0</v>
      </c>
      <c r="CM299">
        <f ca="1">'Alt scen Calcs'!T939</f>
        <v>0</v>
      </c>
      <c r="CN299">
        <f ca="1">'Alt scen Calcs'!U939</f>
        <v>0</v>
      </c>
      <c r="CO299">
        <f ca="1">'Alt scen Calcs'!V939</f>
        <v>0</v>
      </c>
      <c r="CP299">
        <f ca="1">'Alt scen Calcs'!W939</f>
        <v>0</v>
      </c>
      <c r="CQ299">
        <f ca="1">'Alt scen Calcs'!X939</f>
        <v>0</v>
      </c>
      <c r="CR299">
        <f ca="1">'Alt scen Calcs'!Y939</f>
        <v>0</v>
      </c>
      <c r="CS299">
        <f ca="1">'Alt scen Calcs'!Z939</f>
        <v>0</v>
      </c>
      <c r="CT299">
        <f ca="1">'Alt scen Calcs'!AA939</f>
        <v>0</v>
      </c>
      <c r="CU299">
        <f ca="1">'Alt scen Calcs'!AB939</f>
        <v>0</v>
      </c>
      <c r="CV299">
        <f ca="1">'Alt scen Calcs'!AC939</f>
        <v>0</v>
      </c>
    </row>
    <row r="300" spans="1:100">
      <c r="A300" t="str">
        <f>'Ref scen Calcs'!C932</f>
        <v>NOx emissions</v>
      </c>
      <c r="B300">
        <f>'Ref scen Calcs'!D932</f>
        <v>0</v>
      </c>
      <c r="C300">
        <f>'Ref scen Calcs'!E932</f>
        <v>0</v>
      </c>
      <c r="D300">
        <f>'Ref scen Calcs'!F932</f>
        <v>0</v>
      </c>
      <c r="E300">
        <f>'Ref scen Calcs'!G932</f>
        <v>0</v>
      </c>
      <c r="F300">
        <f>'Ref scen Calcs'!H932</f>
        <v>0</v>
      </c>
      <c r="G300">
        <f ca="1">'Ref scen Calcs'!I932</f>
        <v>0</v>
      </c>
      <c r="H300">
        <f ca="1">'Ref scen Calcs'!J932</f>
        <v>0</v>
      </c>
      <c r="I300">
        <f ca="1">'Ref scen Calcs'!K932</f>
        <v>4.9318221823794004E-3</v>
      </c>
      <c r="J300">
        <f ca="1">'Ref scen Calcs'!L932</f>
        <v>1.4795466547138203E-2</v>
      </c>
      <c r="K300">
        <f ca="1">'Ref scen Calcs'!M932</f>
        <v>4.0147426694926144E-2</v>
      </c>
      <c r="L300">
        <f ca="1">'Ref scen Calcs'!N932</f>
        <v>6.4379508331653096E-2</v>
      </c>
      <c r="M300">
        <f ca="1">'Ref scen Calcs'!O932</f>
        <v>9.0189650737555679E-2</v>
      </c>
      <c r="N300">
        <f ca="1">'Ref scen Calcs'!P932</f>
        <v>0.11557922533318173</v>
      </c>
      <c r="O300">
        <f ca="1">'Ref scen Calcs'!Q932</f>
        <v>0.14242422312396011</v>
      </c>
      <c r="P300">
        <f ca="1">'Ref scen Calcs'!R932</f>
        <v>0.1705153477600036</v>
      </c>
      <c r="Q300">
        <f ca="1">'Ref scen Calcs'!S932</f>
        <v>0.20428583128083155</v>
      </c>
      <c r="R300">
        <f ca="1">'Ref scen Calcs'!T932</f>
        <v>0.23952051384484624</v>
      </c>
      <c r="S300">
        <f ca="1">'Ref scen Calcs'!U932</f>
        <v>0.2693472924888014</v>
      </c>
      <c r="T300">
        <f ca="1">'Ref scen Calcs'!V932</f>
        <v>0.30066862088131197</v>
      </c>
      <c r="U300">
        <f ca="1">'Ref scen Calcs'!W932</f>
        <v>0.35898016037389402</v>
      </c>
      <c r="V300">
        <f ca="1">'Ref scen Calcs'!X932</f>
        <v>0.42144081568594449</v>
      </c>
      <c r="W300">
        <f ca="1">'Ref scen Calcs'!Y932</f>
        <v>0.49241791022572506</v>
      </c>
      <c r="X300">
        <f ca="1">'Ref scen Calcs'!Z932</f>
        <v>0.56285267097028724</v>
      </c>
      <c r="Y300">
        <f ca="1">'Ref scen Calcs'!AA932</f>
        <v>0.64116422793792582</v>
      </c>
      <c r="Z300">
        <f ca="1">'Ref scen Calcs'!AB932</f>
        <v>0.75806084063640944</v>
      </c>
      <c r="AA300">
        <f ca="1">'Ref scen Calcs'!AC932</f>
        <v>0.82701565716070058</v>
      </c>
      <c r="AP300">
        <f>'Alt scen Calcs'!D932</f>
        <v>0</v>
      </c>
      <c r="AQ300">
        <f>'Alt scen Calcs'!E932</f>
        <v>0</v>
      </c>
      <c r="AR300">
        <f>'Alt scen Calcs'!F932</f>
        <v>0</v>
      </c>
      <c r="AS300">
        <f>'Alt scen Calcs'!G932</f>
        <v>0</v>
      </c>
      <c r="AT300">
        <f>'Alt scen Calcs'!H932</f>
        <v>0</v>
      </c>
      <c r="AU300">
        <f ca="1">'Alt scen Calcs'!I932</f>
        <v>0</v>
      </c>
      <c r="AV300">
        <f ca="1">'Alt scen Calcs'!J932</f>
        <v>0</v>
      </c>
      <c r="AW300">
        <f ca="1">'Alt scen Calcs'!K932</f>
        <v>0</v>
      </c>
      <c r="AX300">
        <f ca="1">'Alt scen Calcs'!L932</f>
        <v>0</v>
      </c>
      <c r="AY300">
        <f ca="1">'Alt scen Calcs'!M932</f>
        <v>0</v>
      </c>
      <c r="AZ300">
        <f ca="1">'Alt scen Calcs'!N932</f>
        <v>0</v>
      </c>
      <c r="BA300">
        <f ca="1">'Alt scen Calcs'!O932</f>
        <v>0</v>
      </c>
      <c r="BB300">
        <f ca="1">'Alt scen Calcs'!P932</f>
        <v>0</v>
      </c>
      <c r="BC300">
        <f ca="1">'Alt scen Calcs'!Q932</f>
        <v>0</v>
      </c>
      <c r="BD300">
        <f ca="1">'Alt scen Calcs'!R932</f>
        <v>0</v>
      </c>
      <c r="BE300">
        <f ca="1">'Alt scen Calcs'!S932</f>
        <v>0</v>
      </c>
      <c r="BF300">
        <f ca="1">'Alt scen Calcs'!T932</f>
        <v>0</v>
      </c>
      <c r="BG300">
        <f ca="1">'Alt scen Calcs'!U932</f>
        <v>0</v>
      </c>
      <c r="BH300">
        <f ca="1">'Alt scen Calcs'!V932</f>
        <v>0</v>
      </c>
      <c r="BI300">
        <f ca="1">'Alt scen Calcs'!W932</f>
        <v>0</v>
      </c>
      <c r="BJ300">
        <f ca="1">'Alt scen Calcs'!X932</f>
        <v>0</v>
      </c>
      <c r="BK300">
        <f ca="1">'Alt scen Calcs'!Y932</f>
        <v>0</v>
      </c>
      <c r="BL300">
        <f ca="1">'Alt scen Calcs'!Z932</f>
        <v>0</v>
      </c>
      <c r="BM300">
        <f ca="1">'Alt scen Calcs'!AA932</f>
        <v>0</v>
      </c>
      <c r="BN300">
        <f ca="1">'Alt scen Calcs'!AB932</f>
        <v>0</v>
      </c>
      <c r="BO300">
        <f ca="1">'Alt scen Calcs'!AC932</f>
        <v>0</v>
      </c>
      <c r="BW300">
        <f>'Alt scen Calcs'!D940</f>
        <v>0</v>
      </c>
      <c r="BX300">
        <f>'Alt scen Calcs'!E940</f>
        <v>0</v>
      </c>
      <c r="BY300">
        <f>'Alt scen Calcs'!F940</f>
        <v>0</v>
      </c>
      <c r="BZ300">
        <f>'Alt scen Calcs'!G940</f>
        <v>0</v>
      </c>
      <c r="CA300">
        <f>'Alt scen Calcs'!H940</f>
        <v>0</v>
      </c>
      <c r="CB300">
        <f ca="1">'Alt scen Calcs'!I940</f>
        <v>0</v>
      </c>
      <c r="CC300">
        <f ca="1">'Alt scen Calcs'!J940</f>
        <v>0</v>
      </c>
      <c r="CD300">
        <f ca="1">'Alt scen Calcs'!K940</f>
        <v>4.9318221823794004E-3</v>
      </c>
      <c r="CE300">
        <f ca="1">'Alt scen Calcs'!L940</f>
        <v>1.4795466547138203E-2</v>
      </c>
      <c r="CF300">
        <f ca="1">'Alt scen Calcs'!M940</f>
        <v>3.0964774214926039E-2</v>
      </c>
      <c r="CG300">
        <f ca="1">'Alt scen Calcs'!N940</f>
        <v>4.8950254704516999E-2</v>
      </c>
      <c r="CH300">
        <f ca="1">'Alt scen Calcs'!O940</f>
        <v>6.6983353883283664E-2</v>
      </c>
      <c r="CI300">
        <f ca="1">'Alt scen Calcs'!P940</f>
        <v>7.8598949758909617E-2</v>
      </c>
      <c r="CJ300">
        <f ca="1">'Alt scen Calcs'!Q940</f>
        <v>8.5548200509687936E-2</v>
      </c>
      <c r="CK300">
        <f ca="1">'Alt scen Calcs'!R940</f>
        <v>8.3795704585731698E-2</v>
      </c>
      <c r="CL300">
        <f ca="1">'Alt scen Calcs'!S940</f>
        <v>8.1600799226559301E-2</v>
      </c>
      <c r="CM300">
        <f ca="1">'Alt scen Calcs'!T940</f>
        <v>7.0922219390574165E-2</v>
      </c>
      <c r="CN300">
        <f ca="1">'Alt scen Calcs'!U940</f>
        <v>6.3763314434529247E-2</v>
      </c>
      <c r="CO300">
        <f ca="1">'Alt scen Calcs'!V940</f>
        <v>5.9181866188552826E-2</v>
      </c>
      <c r="CP300">
        <f ca="1">'Alt scen Calcs'!W940</f>
        <v>5.9181866188552826E-2</v>
      </c>
      <c r="CQ300">
        <f ca="1">'Alt scen Calcs'!X940</f>
        <v>5.9555872270587236E-2</v>
      </c>
      <c r="CR300">
        <f ca="1">'Alt scen Calcs'!Y940</f>
        <v>7.824286241036775E-2</v>
      </c>
      <c r="CS300">
        <f ca="1">'Alt scen Calcs'!Z940</f>
        <v>8.5906466222059372E-2</v>
      </c>
      <c r="CT300">
        <f ca="1">'Alt scen Calcs'!AA940</f>
        <v>9.6206339990392645E-2</v>
      </c>
      <c r="CU300">
        <f ca="1">'Alt scen Calcs'!AB940</f>
        <v>0.13287628820520497</v>
      </c>
      <c r="CV300">
        <f ca="1">'Alt scen Calcs'!AC940</f>
        <v>0.13675667120621582</v>
      </c>
    </row>
    <row r="301" spans="1:100">
      <c r="A301" t="str">
        <f>'Ref scen Calcs'!C933</f>
        <v>CO emissions</v>
      </c>
      <c r="B301">
        <f>'Ref scen Calcs'!D933</f>
        <v>0</v>
      </c>
      <c r="C301">
        <f>'Ref scen Calcs'!E933</f>
        <v>0</v>
      </c>
      <c r="D301">
        <f>'Ref scen Calcs'!F933</f>
        <v>0</v>
      </c>
      <c r="E301">
        <f>'Ref scen Calcs'!G933</f>
        <v>0</v>
      </c>
      <c r="F301">
        <f>'Ref scen Calcs'!H933</f>
        <v>0</v>
      </c>
      <c r="G301">
        <f ca="1">'Ref scen Calcs'!I933</f>
        <v>0</v>
      </c>
      <c r="H301">
        <f ca="1">'Ref scen Calcs'!J933</f>
        <v>0</v>
      </c>
      <c r="I301">
        <f ca="1">'Ref scen Calcs'!K933</f>
        <v>3.2878814549196006E-4</v>
      </c>
      <c r="J301">
        <f ca="1">'Ref scen Calcs'!L933</f>
        <v>9.8636443647588017E-4</v>
      </c>
      <c r="K301">
        <f ca="1">'Ref scen Calcs'!M933</f>
        <v>2.6764951129950761E-3</v>
      </c>
      <c r="L301">
        <f ca="1">'Ref scen Calcs'!N933</f>
        <v>4.2919672221102059E-3</v>
      </c>
      <c r="M301">
        <f ca="1">'Ref scen Calcs'!O933</f>
        <v>6.0126433825037125E-3</v>
      </c>
      <c r="N301">
        <f ca="1">'Ref scen Calcs'!P933</f>
        <v>7.7052816888787817E-3</v>
      </c>
      <c r="O301">
        <f ca="1">'Ref scen Calcs'!Q933</f>
        <v>9.4949482082640063E-3</v>
      </c>
      <c r="P301">
        <f ca="1">'Ref scen Calcs'!R933</f>
        <v>1.1367689850666909E-2</v>
      </c>
      <c r="Q301">
        <f ca="1">'Ref scen Calcs'!S933</f>
        <v>1.3619055418722104E-2</v>
      </c>
      <c r="R301">
        <f ca="1">'Ref scen Calcs'!T933</f>
        <v>1.5968034256323083E-2</v>
      </c>
      <c r="S301">
        <f ca="1">'Ref scen Calcs'!U933</f>
        <v>1.7956486165920094E-2</v>
      </c>
      <c r="T301">
        <f ca="1">'Ref scen Calcs'!V933</f>
        <v>2.0044574725420795E-2</v>
      </c>
      <c r="U301">
        <f ca="1">'Ref scen Calcs'!W933</f>
        <v>2.3932010691592936E-2</v>
      </c>
      <c r="V301">
        <f ca="1">'Ref scen Calcs'!X933</f>
        <v>2.8096054379062967E-2</v>
      </c>
      <c r="W301">
        <f ca="1">'Ref scen Calcs'!Y933</f>
        <v>3.2827860681715004E-2</v>
      </c>
      <c r="X301">
        <f ca="1">'Ref scen Calcs'!Z933</f>
        <v>3.7523511398019148E-2</v>
      </c>
      <c r="Y301">
        <f ca="1">'Ref scen Calcs'!AA933</f>
        <v>4.2744281862528391E-2</v>
      </c>
      <c r="Z301">
        <f ca="1">'Ref scen Calcs'!AB933</f>
        <v>5.0537389375760633E-2</v>
      </c>
      <c r="AA301">
        <f ca="1">'Ref scen Calcs'!AC933</f>
        <v>5.513437714404671E-2</v>
      </c>
      <c r="AP301">
        <f>'Alt scen Calcs'!D933</f>
        <v>0</v>
      </c>
      <c r="AQ301">
        <f>'Alt scen Calcs'!E933</f>
        <v>0</v>
      </c>
      <c r="AR301">
        <f>'Alt scen Calcs'!F933</f>
        <v>0</v>
      </c>
      <c r="AS301">
        <f>'Alt scen Calcs'!G933</f>
        <v>0</v>
      </c>
      <c r="AT301">
        <f>'Alt scen Calcs'!H933</f>
        <v>0</v>
      </c>
      <c r="AU301">
        <f ca="1">'Alt scen Calcs'!I933</f>
        <v>0</v>
      </c>
      <c r="AV301">
        <f ca="1">'Alt scen Calcs'!J933</f>
        <v>0</v>
      </c>
      <c r="AW301">
        <f ca="1">'Alt scen Calcs'!K933</f>
        <v>0</v>
      </c>
      <c r="AX301">
        <f ca="1">'Alt scen Calcs'!L933</f>
        <v>0</v>
      </c>
      <c r="AY301">
        <f ca="1">'Alt scen Calcs'!M933</f>
        <v>0</v>
      </c>
      <c r="AZ301">
        <f ca="1">'Alt scen Calcs'!N933</f>
        <v>0</v>
      </c>
      <c r="BA301">
        <f ca="1">'Alt scen Calcs'!O933</f>
        <v>0</v>
      </c>
      <c r="BB301">
        <f ca="1">'Alt scen Calcs'!P933</f>
        <v>0</v>
      </c>
      <c r="BC301">
        <f ca="1">'Alt scen Calcs'!Q933</f>
        <v>0</v>
      </c>
      <c r="BD301">
        <f ca="1">'Alt scen Calcs'!R933</f>
        <v>0</v>
      </c>
      <c r="BE301">
        <f ca="1">'Alt scen Calcs'!S933</f>
        <v>0</v>
      </c>
      <c r="BF301">
        <f ca="1">'Alt scen Calcs'!T933</f>
        <v>0</v>
      </c>
      <c r="BG301">
        <f ca="1">'Alt scen Calcs'!U933</f>
        <v>0</v>
      </c>
      <c r="BH301">
        <f ca="1">'Alt scen Calcs'!V933</f>
        <v>0</v>
      </c>
      <c r="BI301">
        <f ca="1">'Alt scen Calcs'!W933</f>
        <v>0</v>
      </c>
      <c r="BJ301">
        <f ca="1">'Alt scen Calcs'!X933</f>
        <v>0</v>
      </c>
      <c r="BK301">
        <f ca="1">'Alt scen Calcs'!Y933</f>
        <v>0</v>
      </c>
      <c r="BL301">
        <f ca="1">'Alt scen Calcs'!Z933</f>
        <v>0</v>
      </c>
      <c r="BM301">
        <f ca="1">'Alt scen Calcs'!AA933</f>
        <v>0</v>
      </c>
      <c r="BN301">
        <f ca="1">'Alt scen Calcs'!AB933</f>
        <v>0</v>
      </c>
      <c r="BO301">
        <f ca="1">'Alt scen Calcs'!AC933</f>
        <v>0</v>
      </c>
      <c r="BW301">
        <f>'Alt scen Calcs'!D941</f>
        <v>0</v>
      </c>
      <c r="BX301">
        <f>'Alt scen Calcs'!E941</f>
        <v>0</v>
      </c>
      <c r="BY301">
        <f>'Alt scen Calcs'!F941</f>
        <v>0</v>
      </c>
      <c r="BZ301">
        <f>'Alt scen Calcs'!G941</f>
        <v>0</v>
      </c>
      <c r="CA301">
        <f>'Alt scen Calcs'!H941</f>
        <v>0</v>
      </c>
      <c r="CB301">
        <f ca="1">'Alt scen Calcs'!I941</f>
        <v>0</v>
      </c>
      <c r="CC301">
        <f ca="1">'Alt scen Calcs'!J941</f>
        <v>0</v>
      </c>
      <c r="CD301">
        <f ca="1">'Alt scen Calcs'!K941</f>
        <v>3.2878814549196006E-4</v>
      </c>
      <c r="CE301">
        <f ca="1">'Alt scen Calcs'!L941</f>
        <v>9.8636443647588017E-4</v>
      </c>
      <c r="CF301">
        <f ca="1">'Alt scen Calcs'!M941</f>
        <v>2.0643182809950695E-3</v>
      </c>
      <c r="CG301">
        <f ca="1">'Alt scen Calcs'!N941</f>
        <v>3.2633503136344669E-3</v>
      </c>
      <c r="CH301">
        <f ca="1">'Alt scen Calcs'!O941</f>
        <v>4.465556925552245E-3</v>
      </c>
      <c r="CI301">
        <f ca="1">'Alt scen Calcs'!P941</f>
        <v>5.2399299839273076E-3</v>
      </c>
      <c r="CJ301">
        <f ca="1">'Alt scen Calcs'!Q941</f>
        <v>5.7032133673125297E-3</v>
      </c>
      <c r="CK301">
        <f ca="1">'Alt scen Calcs'!R941</f>
        <v>5.586380305715447E-3</v>
      </c>
      <c r="CL301">
        <f ca="1">'Alt scen Calcs'!S941</f>
        <v>5.4400532817706201E-3</v>
      </c>
      <c r="CM301">
        <f ca="1">'Alt scen Calcs'!T941</f>
        <v>4.7281479593716111E-3</v>
      </c>
      <c r="CN301">
        <f ca="1">'Alt scen Calcs'!U941</f>
        <v>4.2508876289686168E-3</v>
      </c>
      <c r="CO301">
        <f ca="1">'Alt scen Calcs'!V941</f>
        <v>3.9454577459035215E-3</v>
      </c>
      <c r="CP301">
        <f ca="1">'Alt scen Calcs'!W941</f>
        <v>3.9454577459035215E-3</v>
      </c>
      <c r="CQ301">
        <f ca="1">'Alt scen Calcs'!X941</f>
        <v>3.9703914847058156E-3</v>
      </c>
      <c r="CR301">
        <f ca="1">'Alt scen Calcs'!Y941</f>
        <v>5.2161908273578505E-3</v>
      </c>
      <c r="CS301">
        <f ca="1">'Alt scen Calcs'!Z941</f>
        <v>5.7270977481372913E-3</v>
      </c>
      <c r="CT301">
        <f ca="1">'Alt scen Calcs'!AA941</f>
        <v>6.4137559993595102E-3</v>
      </c>
      <c r="CU301">
        <f ca="1">'Alt scen Calcs'!AB941</f>
        <v>8.8584192136803314E-3</v>
      </c>
      <c r="CV301">
        <f ca="1">'Alt scen Calcs'!AC941</f>
        <v>9.1171114137477208E-3</v>
      </c>
    </row>
    <row r="302" spans="1:100">
      <c r="A302" t="str">
        <f>'Ref scen Calcs'!C934</f>
        <v>NMVOC emissions</v>
      </c>
      <c r="B302">
        <f>'Ref scen Calcs'!D934</f>
        <v>0</v>
      </c>
      <c r="C302">
        <f>'Ref scen Calcs'!E934</f>
        <v>0</v>
      </c>
      <c r="D302">
        <f>'Ref scen Calcs'!F934</f>
        <v>0</v>
      </c>
      <c r="E302">
        <f>'Ref scen Calcs'!G934</f>
        <v>0</v>
      </c>
      <c r="F302">
        <f>'Ref scen Calcs'!H934</f>
        <v>0</v>
      </c>
      <c r="G302">
        <f ca="1">'Ref scen Calcs'!I934</f>
        <v>0</v>
      </c>
      <c r="H302">
        <f ca="1">'Ref scen Calcs'!J934</f>
        <v>0</v>
      </c>
      <c r="I302">
        <f ca="1">'Ref scen Calcs'!K934</f>
        <v>8.2197036372990014E-5</v>
      </c>
      <c r="J302">
        <f ca="1">'Ref scen Calcs'!L934</f>
        <v>2.4659110911897004E-4</v>
      </c>
      <c r="K302">
        <f ca="1">'Ref scen Calcs'!M934</f>
        <v>6.6912377824876901E-4</v>
      </c>
      <c r="L302">
        <f ca="1">'Ref scen Calcs'!N934</f>
        <v>1.0729918055275515E-3</v>
      </c>
      <c r="M302">
        <f ca="1">'Ref scen Calcs'!O934</f>
        <v>1.5031608456259281E-3</v>
      </c>
      <c r="N302">
        <f ca="1">'Ref scen Calcs'!P934</f>
        <v>1.9263204222196954E-3</v>
      </c>
      <c r="O302">
        <f ca="1">'Ref scen Calcs'!Q934</f>
        <v>2.3737370520660016E-3</v>
      </c>
      <c r="P302">
        <f ca="1">'Ref scen Calcs'!R934</f>
        <v>2.8419224626667272E-3</v>
      </c>
      <c r="Q302">
        <f ca="1">'Ref scen Calcs'!S934</f>
        <v>3.4047638546805259E-3</v>
      </c>
      <c r="R302">
        <f ca="1">'Ref scen Calcs'!T934</f>
        <v>3.9920085640807708E-3</v>
      </c>
      <c r="S302">
        <f ca="1">'Ref scen Calcs'!U934</f>
        <v>4.4891215414800236E-3</v>
      </c>
      <c r="T302">
        <f ca="1">'Ref scen Calcs'!V934</f>
        <v>5.0111436813551988E-3</v>
      </c>
      <c r="U302">
        <f ca="1">'Ref scen Calcs'!W934</f>
        <v>5.9830026728982339E-3</v>
      </c>
      <c r="V302">
        <f ca="1">'Ref scen Calcs'!X934</f>
        <v>7.0240135947657418E-3</v>
      </c>
      <c r="W302">
        <f ca="1">'Ref scen Calcs'!Y934</f>
        <v>8.2069651704287511E-3</v>
      </c>
      <c r="X302">
        <f ca="1">'Ref scen Calcs'!Z934</f>
        <v>9.380877849504787E-3</v>
      </c>
      <c r="Y302">
        <f ca="1">'Ref scen Calcs'!AA934</f>
        <v>1.0686070465632098E-2</v>
      </c>
      <c r="Z302">
        <f ca="1">'Ref scen Calcs'!AB934</f>
        <v>1.2634347343940158E-2</v>
      </c>
      <c r="AA302">
        <f ca="1">'Ref scen Calcs'!AC934</f>
        <v>1.3783594286011678E-2</v>
      </c>
      <c r="AP302">
        <f>'Alt scen Calcs'!D934</f>
        <v>0</v>
      </c>
      <c r="AQ302">
        <f>'Alt scen Calcs'!E934</f>
        <v>0</v>
      </c>
      <c r="AR302">
        <f>'Alt scen Calcs'!F934</f>
        <v>0</v>
      </c>
      <c r="AS302">
        <f>'Alt scen Calcs'!G934</f>
        <v>0</v>
      </c>
      <c r="AT302">
        <f>'Alt scen Calcs'!H934</f>
        <v>0</v>
      </c>
      <c r="AU302">
        <f ca="1">'Alt scen Calcs'!I934</f>
        <v>0</v>
      </c>
      <c r="AV302">
        <f ca="1">'Alt scen Calcs'!J934</f>
        <v>0</v>
      </c>
      <c r="AW302">
        <f ca="1">'Alt scen Calcs'!K934</f>
        <v>0</v>
      </c>
      <c r="AX302">
        <f ca="1">'Alt scen Calcs'!L934</f>
        <v>0</v>
      </c>
      <c r="AY302">
        <f ca="1">'Alt scen Calcs'!M934</f>
        <v>0</v>
      </c>
      <c r="AZ302">
        <f ca="1">'Alt scen Calcs'!N934</f>
        <v>0</v>
      </c>
      <c r="BA302">
        <f ca="1">'Alt scen Calcs'!O934</f>
        <v>0</v>
      </c>
      <c r="BB302">
        <f ca="1">'Alt scen Calcs'!P934</f>
        <v>0</v>
      </c>
      <c r="BC302">
        <f ca="1">'Alt scen Calcs'!Q934</f>
        <v>0</v>
      </c>
      <c r="BD302">
        <f ca="1">'Alt scen Calcs'!R934</f>
        <v>0</v>
      </c>
      <c r="BE302">
        <f ca="1">'Alt scen Calcs'!S934</f>
        <v>0</v>
      </c>
      <c r="BF302">
        <f ca="1">'Alt scen Calcs'!T934</f>
        <v>0</v>
      </c>
      <c r="BG302">
        <f ca="1">'Alt scen Calcs'!U934</f>
        <v>0</v>
      </c>
      <c r="BH302">
        <f ca="1">'Alt scen Calcs'!V934</f>
        <v>0</v>
      </c>
      <c r="BI302">
        <f ca="1">'Alt scen Calcs'!W934</f>
        <v>0</v>
      </c>
      <c r="BJ302">
        <f ca="1">'Alt scen Calcs'!X934</f>
        <v>0</v>
      </c>
      <c r="BK302">
        <f ca="1">'Alt scen Calcs'!Y934</f>
        <v>0</v>
      </c>
      <c r="BL302">
        <f ca="1">'Alt scen Calcs'!Z934</f>
        <v>0</v>
      </c>
      <c r="BM302">
        <f ca="1">'Alt scen Calcs'!AA934</f>
        <v>0</v>
      </c>
      <c r="BN302">
        <f ca="1">'Alt scen Calcs'!AB934</f>
        <v>0</v>
      </c>
      <c r="BO302">
        <f ca="1">'Alt scen Calcs'!AC934</f>
        <v>0</v>
      </c>
      <c r="BW302">
        <f>'Alt scen Calcs'!D942</f>
        <v>0</v>
      </c>
      <c r="BX302">
        <f>'Alt scen Calcs'!E942</f>
        <v>0</v>
      </c>
      <c r="BY302">
        <f>'Alt scen Calcs'!F942</f>
        <v>0</v>
      </c>
      <c r="BZ302">
        <f>'Alt scen Calcs'!G942</f>
        <v>0</v>
      </c>
      <c r="CA302">
        <f>'Alt scen Calcs'!H942</f>
        <v>0</v>
      </c>
      <c r="CB302">
        <f ca="1">'Alt scen Calcs'!I942</f>
        <v>0</v>
      </c>
      <c r="CC302">
        <f ca="1">'Alt scen Calcs'!J942</f>
        <v>0</v>
      </c>
      <c r="CD302">
        <f ca="1">'Alt scen Calcs'!K942</f>
        <v>8.2197036372990014E-5</v>
      </c>
      <c r="CE302">
        <f ca="1">'Alt scen Calcs'!L942</f>
        <v>2.4659110911897004E-4</v>
      </c>
      <c r="CF302">
        <f ca="1">'Alt scen Calcs'!M942</f>
        <v>5.1607957024876739E-4</v>
      </c>
      <c r="CG302">
        <f ca="1">'Alt scen Calcs'!N942</f>
        <v>8.1583757840861671E-4</v>
      </c>
      <c r="CH302">
        <f ca="1">'Alt scen Calcs'!O942</f>
        <v>1.1163892313880612E-3</v>
      </c>
      <c r="CI302">
        <f ca="1">'Alt scen Calcs'!P942</f>
        <v>1.3099824959818269E-3</v>
      </c>
      <c r="CJ302">
        <f ca="1">'Alt scen Calcs'!Q942</f>
        <v>1.4258033418281324E-3</v>
      </c>
      <c r="CK302">
        <f ca="1">'Alt scen Calcs'!R942</f>
        <v>1.3965950764288618E-3</v>
      </c>
      <c r="CL302">
        <f ca="1">'Alt scen Calcs'!S942</f>
        <v>1.360013320442655E-3</v>
      </c>
      <c r="CM302">
        <f ca="1">'Alt scen Calcs'!T942</f>
        <v>1.1820369898429028E-3</v>
      </c>
      <c r="CN302">
        <f ca="1">'Alt scen Calcs'!U942</f>
        <v>1.0627219072421542E-3</v>
      </c>
      <c r="CO302">
        <f ca="1">'Alt scen Calcs'!V942</f>
        <v>9.8636443647588039E-4</v>
      </c>
      <c r="CP302">
        <f ca="1">'Alt scen Calcs'!W942</f>
        <v>9.8636443647588039E-4</v>
      </c>
      <c r="CQ302">
        <f ca="1">'Alt scen Calcs'!X942</f>
        <v>9.925978711764539E-4</v>
      </c>
      <c r="CR302">
        <f ca="1">'Alt scen Calcs'!Y942</f>
        <v>1.3040477068394626E-3</v>
      </c>
      <c r="CS302">
        <f ca="1">'Alt scen Calcs'!Z942</f>
        <v>1.4317744370343228E-3</v>
      </c>
      <c r="CT302">
        <f ca="1">'Alt scen Calcs'!AA942</f>
        <v>1.6034389998398776E-3</v>
      </c>
      <c r="CU302">
        <f ca="1">'Alt scen Calcs'!AB942</f>
        <v>2.2146048034200829E-3</v>
      </c>
      <c r="CV302">
        <f ca="1">'Alt scen Calcs'!AC942</f>
        <v>2.2792778534369302E-3</v>
      </c>
    </row>
    <row r="303" spans="1:100">
      <c r="AP303" s="11" t="s">
        <v>275</v>
      </c>
      <c r="BC303" s="11" t="s">
        <v>276</v>
      </c>
    </row>
    <row r="304" spans="1:100">
      <c r="B304" s="11" t="s">
        <v>275</v>
      </c>
      <c r="O304" s="11" t="s">
        <v>276</v>
      </c>
    </row>
  </sheetData>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sheetPr codeName="Sheet14">
    <tabColor theme="0" tint="-0.249977111117893"/>
  </sheetPr>
  <dimension ref="A3:BL970"/>
  <sheetViews>
    <sheetView zoomScale="85" zoomScaleNormal="85" workbookViewId="0">
      <pane xSplit="3" ySplit="7" topLeftCell="G15" activePane="bottomRight" state="frozen"/>
      <selection activeCell="C1" sqref="C1"/>
      <selection pane="topRight" activeCell="D1" sqref="D1"/>
      <selection pane="bottomLeft" activeCell="C5" sqref="C5"/>
      <selection pane="bottomRight" activeCell="I35" sqref="I35"/>
    </sheetView>
  </sheetViews>
  <sheetFormatPr defaultRowHeight="12.75"/>
  <cols>
    <col min="1" max="1" width="6.28515625" customWidth="1"/>
    <col min="2" max="2" width="6.5703125" customWidth="1"/>
    <col min="3" max="3" width="34.85546875" customWidth="1"/>
    <col min="4" max="4" width="13.5703125" customWidth="1"/>
    <col min="5" max="5" width="8.85546875" customWidth="1"/>
    <col min="6" max="6" width="8.7109375" customWidth="1"/>
    <col min="7" max="7" width="9.28515625" customWidth="1"/>
    <col min="8" max="8" width="10.85546875" customWidth="1"/>
    <col min="9" max="9" width="12" customWidth="1"/>
    <col min="10" max="11" width="8.42578125" customWidth="1"/>
    <col min="12" max="14" width="8.5703125" customWidth="1"/>
    <col min="15" max="28" width="8.42578125" customWidth="1"/>
    <col min="29" max="29" width="10" customWidth="1"/>
    <col min="30" max="49" width="11.28515625" bestFit="1" customWidth="1"/>
    <col min="53" max="53" width="12.7109375" bestFit="1" customWidth="1"/>
    <col min="55" max="56" width="12.7109375" bestFit="1" customWidth="1"/>
    <col min="57" max="57" width="11.7109375" customWidth="1"/>
  </cols>
  <sheetData>
    <row r="3" spans="1:49" ht="20.25" thickBot="1">
      <c r="A3" s="283" t="s">
        <v>605</v>
      </c>
      <c r="B3" s="283"/>
      <c r="C3" s="283"/>
      <c r="AD3" s="11" t="s">
        <v>426</v>
      </c>
      <c r="AE3" s="25">
        <v>1E-8</v>
      </c>
    </row>
    <row r="4" spans="1:49" ht="13.5" thickTop="1">
      <c r="C4" s="36"/>
    </row>
    <row r="5" spans="1:49">
      <c r="A5" s="4" t="s">
        <v>706</v>
      </c>
      <c r="C5" s="329" t="s">
        <v>734</v>
      </c>
    </row>
    <row r="6" spans="1:49">
      <c r="C6" s="4" t="s">
        <v>35</v>
      </c>
      <c r="D6" s="4" t="s">
        <v>315</v>
      </c>
      <c r="E6" s="4"/>
      <c r="F6" s="4"/>
      <c r="G6" s="4"/>
      <c r="I6" s="4" t="s">
        <v>316</v>
      </c>
      <c r="AD6" s="4" t="s">
        <v>313</v>
      </c>
    </row>
    <row r="7" spans="1:49" s="39" customFormat="1" ht="41.25" customHeight="1">
      <c r="A7" s="39" t="s">
        <v>40</v>
      </c>
      <c r="B7" s="39" t="s">
        <v>163</v>
      </c>
      <c r="D7" s="39">
        <v>2005</v>
      </c>
      <c r="E7" s="39">
        <v>2006</v>
      </c>
      <c r="F7" s="39">
        <v>2007</v>
      </c>
      <c r="G7" s="39">
        <v>2008</v>
      </c>
      <c r="H7" s="39">
        <v>2009</v>
      </c>
      <c r="I7" s="39">
        <f>H7+1</f>
        <v>2010</v>
      </c>
      <c r="J7" s="39">
        <f t="shared" ref="J7:AC7" si="0">I7+1</f>
        <v>2011</v>
      </c>
      <c r="K7" s="39">
        <f t="shared" si="0"/>
        <v>2012</v>
      </c>
      <c r="L7" s="39">
        <f t="shared" si="0"/>
        <v>2013</v>
      </c>
      <c r="M7" s="39">
        <f t="shared" si="0"/>
        <v>2014</v>
      </c>
      <c r="N7" s="39">
        <f t="shared" si="0"/>
        <v>2015</v>
      </c>
      <c r="O7" s="39">
        <f t="shared" si="0"/>
        <v>2016</v>
      </c>
      <c r="P7" s="39">
        <f t="shared" si="0"/>
        <v>2017</v>
      </c>
      <c r="Q7" s="39">
        <f t="shared" si="0"/>
        <v>2018</v>
      </c>
      <c r="R7" s="39">
        <f t="shared" si="0"/>
        <v>2019</v>
      </c>
      <c r="S7" s="39">
        <f t="shared" si="0"/>
        <v>2020</v>
      </c>
      <c r="T7" s="39">
        <f t="shared" si="0"/>
        <v>2021</v>
      </c>
      <c r="U7" s="39">
        <f t="shared" si="0"/>
        <v>2022</v>
      </c>
      <c r="V7" s="39">
        <f t="shared" si="0"/>
        <v>2023</v>
      </c>
      <c r="W7" s="39">
        <f t="shared" si="0"/>
        <v>2024</v>
      </c>
      <c r="X7" s="39">
        <f t="shared" si="0"/>
        <v>2025</v>
      </c>
      <c r="Y7" s="39">
        <f t="shared" si="0"/>
        <v>2026</v>
      </c>
      <c r="Z7" s="39">
        <f t="shared" si="0"/>
        <v>2027</v>
      </c>
      <c r="AA7" s="39">
        <f t="shared" si="0"/>
        <v>2028</v>
      </c>
      <c r="AB7" s="39">
        <f t="shared" si="0"/>
        <v>2029</v>
      </c>
      <c r="AC7" s="39">
        <f t="shared" si="0"/>
        <v>2030</v>
      </c>
      <c r="AD7" s="71">
        <f t="shared" ref="AD7:AW7" si="1">AC7+1</f>
        <v>2031</v>
      </c>
      <c r="AE7" s="71">
        <f t="shared" si="1"/>
        <v>2032</v>
      </c>
      <c r="AF7" s="71">
        <f t="shared" si="1"/>
        <v>2033</v>
      </c>
      <c r="AG7" s="71">
        <f t="shared" si="1"/>
        <v>2034</v>
      </c>
      <c r="AH7" s="71">
        <f t="shared" si="1"/>
        <v>2035</v>
      </c>
      <c r="AI7" s="71">
        <f t="shared" si="1"/>
        <v>2036</v>
      </c>
      <c r="AJ7" s="71">
        <f t="shared" si="1"/>
        <v>2037</v>
      </c>
      <c r="AK7" s="71">
        <f t="shared" si="1"/>
        <v>2038</v>
      </c>
      <c r="AL7" s="71">
        <f t="shared" si="1"/>
        <v>2039</v>
      </c>
      <c r="AM7" s="71">
        <f t="shared" si="1"/>
        <v>2040</v>
      </c>
      <c r="AN7" s="71">
        <f t="shared" si="1"/>
        <v>2041</v>
      </c>
      <c r="AO7" s="71">
        <f t="shared" si="1"/>
        <v>2042</v>
      </c>
      <c r="AP7" s="71">
        <f t="shared" si="1"/>
        <v>2043</v>
      </c>
      <c r="AQ7" s="71">
        <f t="shared" si="1"/>
        <v>2044</v>
      </c>
      <c r="AR7" s="71">
        <f t="shared" si="1"/>
        <v>2045</v>
      </c>
      <c r="AS7" s="71">
        <f t="shared" si="1"/>
        <v>2046</v>
      </c>
      <c r="AT7" s="71">
        <f t="shared" si="1"/>
        <v>2047</v>
      </c>
      <c r="AU7" s="71">
        <f t="shared" si="1"/>
        <v>2048</v>
      </c>
      <c r="AV7" s="71">
        <f t="shared" si="1"/>
        <v>2049</v>
      </c>
      <c r="AW7" s="71">
        <f t="shared" si="1"/>
        <v>2050</v>
      </c>
    </row>
    <row r="8" spans="1:49" ht="15">
      <c r="A8">
        <v>1</v>
      </c>
      <c r="C8" t="str">
        <f>'Tech Parameters'!B6</f>
        <v>Existing coal Large</v>
      </c>
      <c r="D8" s="212">
        <f>RetiringCapacity!C6</f>
        <v>30.471</v>
      </c>
      <c r="E8" s="213">
        <f>RetiringCapacity!D6</f>
        <v>30.471</v>
      </c>
      <c r="F8" s="213">
        <f>RetiringCapacity!E6</f>
        <v>30.471</v>
      </c>
      <c r="G8" s="213">
        <f>RetiringCapacity!F6</f>
        <v>30.471</v>
      </c>
      <c r="H8" s="214">
        <f>RetiringCapacity!G6</f>
        <v>30.471</v>
      </c>
      <c r="I8" s="72">
        <f ca="1">H8+RetiringCapacity!H6+I121+I144</f>
        <v>30.471</v>
      </c>
      <c r="J8" s="72">
        <f ca="1">I8+RetiringCapacity!I6+J121+J144</f>
        <v>30.471</v>
      </c>
      <c r="K8" s="72">
        <f ca="1">J8+RetiringCapacity!J6+K121+K144</f>
        <v>30.471</v>
      </c>
      <c r="L8" s="72">
        <f ca="1">K8+RetiringCapacity!K6+L121+L144</f>
        <v>30.471</v>
      </c>
      <c r="M8" s="72">
        <f ca="1">L8+RetiringCapacity!L6+M121+M144</f>
        <v>30.471</v>
      </c>
      <c r="N8" s="72">
        <f ca="1">M8+RetiringCapacity!M6+N121+N144</f>
        <v>30.471</v>
      </c>
      <c r="O8" s="72">
        <f ca="1">N8+RetiringCapacity!N6+O121+O144</f>
        <v>30.471</v>
      </c>
      <c r="P8" s="72">
        <f ca="1">O8+RetiringCapacity!O6+P121+P144</f>
        <v>30.471</v>
      </c>
      <c r="Q8" s="72">
        <f ca="1">P8+RetiringCapacity!P6+Q121+Q144</f>
        <v>30.471</v>
      </c>
      <c r="R8" s="72">
        <f ca="1">Q8+RetiringCapacity!Q6+R121+R144</f>
        <v>30.471</v>
      </c>
      <c r="S8" s="72">
        <f ca="1">R8+RetiringCapacity!R6+S121+S144</f>
        <v>30.471</v>
      </c>
      <c r="T8" s="72">
        <f ca="1">S8+RetiringCapacity!S6+T121+T144</f>
        <v>30.471</v>
      </c>
      <c r="U8" s="72">
        <f ca="1">T8+RetiringCapacity!T6+U121+U144</f>
        <v>30.471</v>
      </c>
      <c r="V8" s="72">
        <f ca="1">U8+RetiringCapacity!U6+V121+V144</f>
        <v>30.471</v>
      </c>
      <c r="W8" s="72">
        <f ca="1">V8+RetiringCapacity!V6+W121+W144</f>
        <v>29.331</v>
      </c>
      <c r="X8" s="72">
        <f ca="1">W8+RetiringCapacity!W6+X121+X144</f>
        <v>28.190999999999999</v>
      </c>
      <c r="Y8" s="72">
        <f ca="1">X8+RetiringCapacity!X6+Y121+Y144</f>
        <v>26.765999999999998</v>
      </c>
      <c r="Z8" s="72">
        <f ca="1">Y8+RetiringCapacity!Y6+Z121+Z144</f>
        <v>25.340999999999998</v>
      </c>
      <c r="AA8" s="72">
        <f ca="1">Z8+RetiringCapacity!Z6+AA121+AA144</f>
        <v>23.615999999999996</v>
      </c>
      <c r="AB8" s="72">
        <f ca="1">AA8+RetiringCapacity!AA6+AB121+AB144</f>
        <v>20.165999999999997</v>
      </c>
      <c r="AC8" s="72">
        <f ca="1">AB8+RetiringCapacity!AB6+AC121+AC144</f>
        <v>18.440999999999995</v>
      </c>
      <c r="AD8" s="73">
        <f ca="1">AC8+RetiringCapacity!AC6+AD121+AD144</f>
        <v>18.440999999999995</v>
      </c>
      <c r="AE8" s="73">
        <f ca="1">AD8+RetiringCapacity!AD6+AE121+AE144</f>
        <v>18.440999999999995</v>
      </c>
      <c r="AF8" s="73">
        <f ca="1">AE8+RetiringCapacity!AE6+AF121+AF144</f>
        <v>18.440999999999995</v>
      </c>
      <c r="AG8" s="73">
        <f ca="1">AF8+RetiringCapacity!AF6+AG121+AG144</f>
        <v>14.906999999999996</v>
      </c>
      <c r="AH8" s="73">
        <f ca="1">AG8+RetiringCapacity!AG6+AH121+AH144</f>
        <v>11.372999999999998</v>
      </c>
      <c r="AI8" s="73">
        <f ca="1">AH8+RetiringCapacity!AH6+AI121+AI144</f>
        <v>9.5279999999999969</v>
      </c>
      <c r="AJ8" s="73">
        <f ca="1">AI8+RetiringCapacity!AI6+AJ121+AJ144</f>
        <v>5.7629999999999963</v>
      </c>
      <c r="AK8" s="73">
        <f ca="1">AJ8+RetiringCapacity!AJ6+AK121+AK144</f>
        <v>3.8429999999999964</v>
      </c>
      <c r="AL8" s="73">
        <f ca="1">AK8+RetiringCapacity!AK6+AL121+AL144</f>
        <v>3.8429999999999964</v>
      </c>
      <c r="AM8" s="73">
        <f ca="1">AL8+RetiringCapacity!AL6+AM121+AM144</f>
        <v>3.8429999999999964</v>
      </c>
      <c r="AN8" s="73">
        <f ca="1">AM8+RetiringCapacity!AM6+AN121+AN144</f>
        <v>3.8429999999999964</v>
      </c>
      <c r="AO8" s="73">
        <f ca="1">AN8+RetiringCapacity!AN6+AO121+AO144</f>
        <v>3.8429999999999964</v>
      </c>
      <c r="AP8" s="73">
        <f ca="1">AO8+RetiringCapacity!AO6+AP121+AP144</f>
        <v>3.8429999999999964</v>
      </c>
      <c r="AQ8" s="73">
        <f ca="1">AP8+RetiringCapacity!AP6+AQ121+AQ144</f>
        <v>3.8429999999999964</v>
      </c>
      <c r="AR8" s="73">
        <f ca="1">AQ8+RetiringCapacity!AQ6+AR121+AR144</f>
        <v>1.9214999999999964</v>
      </c>
      <c r="AS8" s="73">
        <f ca="1">AR8+RetiringCapacity!AR6+AS121+AS144</f>
        <v>-3.5527136788005009E-15</v>
      </c>
      <c r="AT8" s="73">
        <f ca="1">AS8+RetiringCapacity!AS6+AT121+AT144</f>
        <v>-3.5527136788005009E-15</v>
      </c>
      <c r="AU8" s="73">
        <f ca="1">AT8+RetiringCapacity!AT6+AU121+AU144</f>
        <v>-3.5527136788005009E-15</v>
      </c>
      <c r="AV8" s="73">
        <f ca="1">AU8+RetiringCapacity!AU6+AV121+AV144</f>
        <v>-3.5527136788005009E-15</v>
      </c>
      <c r="AW8" s="73">
        <f ca="1">AV8+RetiringCapacity!AV6+AW121+AW144</f>
        <v>-3.5527136788005009E-15</v>
      </c>
    </row>
    <row r="9" spans="1:49" ht="15">
      <c r="A9">
        <v>1</v>
      </c>
      <c r="C9" t="str">
        <f>'Tech Parameters'!B7</f>
        <v>Existing coal Small</v>
      </c>
      <c r="D9" s="215">
        <f>RetiringCapacity!C7</f>
        <v>5.434444444444444</v>
      </c>
      <c r="E9" s="216">
        <f>RetiringCapacity!D7</f>
        <v>5.434444444444444</v>
      </c>
      <c r="F9" s="216">
        <f>RetiringCapacity!E7</f>
        <v>5.434444444444444</v>
      </c>
      <c r="G9" s="216">
        <f>RetiringCapacity!F7</f>
        <v>5.434444444444444</v>
      </c>
      <c r="H9" s="217">
        <f>RetiringCapacity!G7</f>
        <v>5.434444444444444</v>
      </c>
      <c r="I9" s="72">
        <f ca="1">H9+RetiringCapacity!H7+I122+I145</f>
        <v>6.1174444444444438</v>
      </c>
      <c r="J9" s="72">
        <f ca="1">I9+RetiringCapacity!I7+J122+J145</f>
        <v>6.5214444444444437</v>
      </c>
      <c r="K9" s="72">
        <f ca="1">J9+RetiringCapacity!J7+K122+K145</f>
        <v>6.5214444444444437</v>
      </c>
      <c r="L9" s="72">
        <f ca="1">K9+RetiringCapacity!K7+L122+L145</f>
        <v>6.5214444444444437</v>
      </c>
      <c r="M9" s="72">
        <f ca="1">L9+RetiringCapacity!L7+M122+M145</f>
        <v>6.5214444444444437</v>
      </c>
      <c r="N9" s="72">
        <f ca="1">M9+RetiringCapacity!M7+N122+N145</f>
        <v>6.5214444444444437</v>
      </c>
      <c r="O9" s="72">
        <f ca="1">N9+RetiringCapacity!N7+O122+O145</f>
        <v>6.4839444444444441</v>
      </c>
      <c r="P9" s="72">
        <f ca="1">O9+RetiringCapacity!O7+P122+P145</f>
        <v>6.4464444444444444</v>
      </c>
      <c r="Q9" s="72">
        <f ca="1">P9+RetiringCapacity!P7+Q122+Q145</f>
        <v>6.3964444444444446</v>
      </c>
      <c r="R9" s="72">
        <f ca="1">Q9+RetiringCapacity!Q7+R122+R145</f>
        <v>6.3464444444444448</v>
      </c>
      <c r="S9" s="72">
        <f ca="1">R9+RetiringCapacity!R7+S122+S145</f>
        <v>5.3964444444444446</v>
      </c>
      <c r="T9" s="72">
        <f ca="1">S9+RetiringCapacity!S7+T122+T145</f>
        <v>4.4464444444444444</v>
      </c>
      <c r="U9" s="72">
        <f ca="1">T9+RetiringCapacity!T7+U122+U145</f>
        <v>4.4464444444444444</v>
      </c>
      <c r="V9" s="72">
        <f ca="1">U9+RetiringCapacity!U7+V122+V145</f>
        <v>4.4464444444444444</v>
      </c>
      <c r="W9" s="72">
        <f ca="1">V9+RetiringCapacity!V7+W122+W145</f>
        <v>4.4464444444444444</v>
      </c>
      <c r="X9" s="72">
        <f ca="1">W9+RetiringCapacity!W7+X122+X145</f>
        <v>4.0087222222222225</v>
      </c>
      <c r="Y9" s="72">
        <f ca="1">X9+RetiringCapacity!X7+Y122+Y145</f>
        <v>3.5710000000000002</v>
      </c>
      <c r="Z9" s="72">
        <f ca="1">Y9+RetiringCapacity!Y7+Z122+Z145</f>
        <v>3.5710000000000002</v>
      </c>
      <c r="AA9" s="72">
        <f ca="1">Z9+RetiringCapacity!Z7+AA122+AA145</f>
        <v>3.5710000000000002</v>
      </c>
      <c r="AB9" s="72">
        <f ca="1">AA9+RetiringCapacity!AA7+AB122+AB145</f>
        <v>3.5710000000000002</v>
      </c>
      <c r="AC9" s="72">
        <f ca="1">AB9+RetiringCapacity!AB7+AC122+AC145</f>
        <v>3.5710000000000002</v>
      </c>
      <c r="AD9" s="73">
        <f ca="1">AC9+RetiringCapacity!AC7+AD122+AD145</f>
        <v>3.5710000000000002</v>
      </c>
      <c r="AE9" s="73">
        <f ca="1">AD9+RetiringCapacity!AD7+AE122+AE145</f>
        <v>3.4690000000000003</v>
      </c>
      <c r="AF9" s="73">
        <f ca="1">AE9+RetiringCapacity!AE7+AF122+AF145</f>
        <v>3.3670000000000004</v>
      </c>
      <c r="AG9" s="73">
        <f ca="1">AF9+RetiringCapacity!AF7+AG122+AG145</f>
        <v>3.3670000000000004</v>
      </c>
      <c r="AH9" s="73">
        <f ca="1">AG9+RetiringCapacity!AG7+AH122+AH145</f>
        <v>3.3670000000000004</v>
      </c>
      <c r="AI9" s="73">
        <f ca="1">AH9+RetiringCapacity!AH7+AI122+AI145</f>
        <v>3.3670000000000004</v>
      </c>
      <c r="AJ9" s="73">
        <f ca="1">AI9+RetiringCapacity!AI7+AJ122+AJ145</f>
        <v>3.3670000000000004</v>
      </c>
      <c r="AK9" s="73">
        <f ca="1">AJ9+RetiringCapacity!AJ7+AK122+AK145</f>
        <v>2.9870000000000005</v>
      </c>
      <c r="AL9" s="73">
        <f ca="1">AK9+RetiringCapacity!AK7+AL122+AL145</f>
        <v>2.6070000000000007</v>
      </c>
      <c r="AM9" s="73">
        <f ca="1">AL9+RetiringCapacity!AL7+AM122+AM145</f>
        <v>2.6070000000000007</v>
      </c>
      <c r="AN9" s="73">
        <f ca="1">AM9+RetiringCapacity!AM7+AN122+AN145</f>
        <v>2.6070000000000007</v>
      </c>
      <c r="AO9" s="73">
        <f ca="1">AN9+RetiringCapacity!AN7+AO122+AO145</f>
        <v>2.6070000000000007</v>
      </c>
      <c r="AP9" s="73">
        <f ca="1">AO9+RetiringCapacity!AO7+AP122+AP145</f>
        <v>2.6070000000000007</v>
      </c>
      <c r="AQ9" s="73">
        <f ca="1">AP9+RetiringCapacity!AP7+AQ122+AQ145</f>
        <v>2.6070000000000007</v>
      </c>
      <c r="AR9" s="73">
        <f ca="1">AQ9+RetiringCapacity!AQ7+AR122+AR145</f>
        <v>2.6070000000000007</v>
      </c>
      <c r="AS9" s="73">
        <f ca="1">AR9+RetiringCapacity!AR7+AS122+AS145</f>
        <v>2.6070000000000007</v>
      </c>
      <c r="AT9" s="73">
        <f ca="1">AS9+RetiringCapacity!AS7+AT122+AT145</f>
        <v>2.6070000000000007</v>
      </c>
      <c r="AU9" s="73">
        <f ca="1">AT9+RetiringCapacity!AT7+AU122+AU145</f>
        <v>2.6070000000000007</v>
      </c>
      <c r="AV9" s="73">
        <f ca="1">AU9+RetiringCapacity!AU7+AV122+AV145</f>
        <v>2.6070000000000007</v>
      </c>
      <c r="AW9" s="73">
        <f ca="1">AV9+RetiringCapacity!AV7+AW122+AW145</f>
        <v>2.6070000000000007</v>
      </c>
    </row>
    <row r="10" spans="1:49" ht="15">
      <c r="A10" s="11">
        <v>1</v>
      </c>
      <c r="C10" t="str">
        <f>'Tech Parameters'!B8</f>
        <v>OCGT liquid fuels</v>
      </c>
      <c r="D10" s="326">
        <f>RetiringCapacity!C8</f>
        <v>2.4</v>
      </c>
      <c r="E10" s="219">
        <f>RetiringCapacity!D8</f>
        <v>2.4</v>
      </c>
      <c r="F10" s="219">
        <f>RetiringCapacity!E8</f>
        <v>2.4</v>
      </c>
      <c r="G10" s="219">
        <f>RetiringCapacity!F8</f>
        <v>2.4</v>
      </c>
      <c r="H10" s="220">
        <f>RetiringCapacity!G8</f>
        <v>2.4</v>
      </c>
      <c r="I10" s="72">
        <f ca="1">H10+RetiringCapacity!H8+I123+I146</f>
        <v>2.4</v>
      </c>
      <c r="J10" s="72">
        <f ca="1">I10+RetiringCapacity!I8+J123+J146</f>
        <v>3.48</v>
      </c>
      <c r="K10" s="72">
        <f ca="1">J10+RetiringCapacity!J8+K123+K146</f>
        <v>3.48</v>
      </c>
      <c r="L10" s="72">
        <f ca="1">K10+RetiringCapacity!K8+L123+L146</f>
        <v>3.48</v>
      </c>
      <c r="M10" s="72">
        <f ca="1">L10+RetiringCapacity!L8+M123+M146</f>
        <v>3.48</v>
      </c>
      <c r="N10" s="72">
        <f ca="1">M10+RetiringCapacity!M8+N123+N146</f>
        <v>3.48</v>
      </c>
      <c r="O10" s="72">
        <f ca="1">N10+RetiringCapacity!N8+O123+O146</f>
        <v>3.48</v>
      </c>
      <c r="P10" s="72">
        <f ca="1">O10+RetiringCapacity!O8+P123+P146</f>
        <v>3.48</v>
      </c>
      <c r="Q10" s="72">
        <f ca="1">P10+RetiringCapacity!P8+Q123+Q146</f>
        <v>3.48</v>
      </c>
      <c r="R10" s="72">
        <f ca="1">Q10+RetiringCapacity!Q8+R123+R146</f>
        <v>3.48</v>
      </c>
      <c r="S10" s="72">
        <f ca="1">R10+RetiringCapacity!R8+S123+S146</f>
        <v>3.48</v>
      </c>
      <c r="T10" s="72">
        <f ca="1">S10+RetiringCapacity!S8+T123+T146</f>
        <v>3.48</v>
      </c>
      <c r="U10" s="72">
        <f ca="1">T10+RetiringCapacity!T8+U123+U146</f>
        <v>3.48</v>
      </c>
      <c r="V10" s="72">
        <f ca="1">U10+RetiringCapacity!U8+V123+V146</f>
        <v>4.2</v>
      </c>
      <c r="W10" s="72">
        <f ca="1">V10+RetiringCapacity!V8+W123+W146</f>
        <v>4.2</v>
      </c>
      <c r="X10" s="72">
        <f ca="1">W10+RetiringCapacity!W8+X123+X146</f>
        <v>4.2</v>
      </c>
      <c r="Y10" s="72">
        <f ca="1">X10+RetiringCapacity!X8+Y123+Y146</f>
        <v>4.92</v>
      </c>
      <c r="Z10" s="72">
        <f ca="1">Y10+RetiringCapacity!Y8+Z123+Z146</f>
        <v>4.92</v>
      </c>
      <c r="AA10" s="72">
        <f ca="1">Z10+RetiringCapacity!Z8+AA123+AA146</f>
        <v>4.92</v>
      </c>
      <c r="AB10" s="72">
        <f ca="1">AA10+RetiringCapacity!AA8+AB123+AB146</f>
        <v>5.64</v>
      </c>
      <c r="AC10" s="72">
        <f ca="1">AB10+RetiringCapacity!AB8+AC123+AC146</f>
        <v>5.4689999999999994</v>
      </c>
      <c r="AD10" s="73">
        <f ca="1">AC10+RetiringCapacity!AC8+AD123+AD146</f>
        <v>4.2689999999999992</v>
      </c>
      <c r="AE10" s="73">
        <f ca="1">AD10+RetiringCapacity!AD8+AE123+AE146</f>
        <v>3.2399999999999993</v>
      </c>
      <c r="AF10" s="73">
        <f ca="1">AE10+RetiringCapacity!AE8+AF123+AF146</f>
        <v>3.2399999999999993</v>
      </c>
      <c r="AG10" s="73">
        <f ca="1">AF10+RetiringCapacity!AF8+AG123+AG146</f>
        <v>3.2399999999999993</v>
      </c>
      <c r="AH10" s="73">
        <f ca="1">AG10+RetiringCapacity!AG8+AH123+AH146</f>
        <v>3.2399999999999993</v>
      </c>
      <c r="AI10" s="73">
        <f ca="1">AH10+RetiringCapacity!AH8+AI123+AI146</f>
        <v>3.2399999999999993</v>
      </c>
      <c r="AJ10" s="73">
        <f ca="1">AI10+RetiringCapacity!AI8+AJ123+AJ146</f>
        <v>3.2399999999999993</v>
      </c>
      <c r="AK10" s="73">
        <f ca="1">AJ10+RetiringCapacity!AJ8+AK123+AK146</f>
        <v>3.2399999999999993</v>
      </c>
      <c r="AL10" s="73">
        <f ca="1">AK10+RetiringCapacity!AK8+AL123+AL146</f>
        <v>3.2399999999999993</v>
      </c>
      <c r="AM10" s="73">
        <f ca="1">AL10+RetiringCapacity!AL8+AM123+AM146</f>
        <v>3.2399999999999993</v>
      </c>
      <c r="AN10" s="73">
        <f ca="1">AM10+RetiringCapacity!AM8+AN123+AN146</f>
        <v>3.2399999999999993</v>
      </c>
      <c r="AO10" s="73">
        <f ca="1">AN10+RetiringCapacity!AN8+AO123+AO146</f>
        <v>3.2399999999999993</v>
      </c>
      <c r="AP10" s="73">
        <f ca="1">AO10+RetiringCapacity!AO8+AP123+AP146</f>
        <v>3.2399999999999993</v>
      </c>
      <c r="AQ10" s="73">
        <f ca="1">AP10+RetiringCapacity!AP8+AQ123+AQ146</f>
        <v>3.2399999999999993</v>
      </c>
      <c r="AR10" s="73">
        <f ca="1">AQ10+RetiringCapacity!AQ8+AR123+AR146</f>
        <v>3.2399999999999993</v>
      </c>
      <c r="AS10" s="73">
        <f ca="1">AR10+RetiringCapacity!AR8+AS123+AS146</f>
        <v>3.2399999999999993</v>
      </c>
      <c r="AT10" s="73">
        <f ca="1">AS10+RetiringCapacity!AS8+AT123+AT146</f>
        <v>3.2399999999999993</v>
      </c>
      <c r="AU10" s="73">
        <f ca="1">AT10+RetiringCapacity!AT8+AU123+AU146</f>
        <v>3.2399999999999993</v>
      </c>
      <c r="AV10" s="73">
        <f ca="1">AU10+RetiringCapacity!AU8+AV123+AV146</f>
        <v>3.2399999999999993</v>
      </c>
      <c r="AW10" s="73">
        <f ca="1">AV10+RetiringCapacity!AV8+AW123+AW146</f>
        <v>3.2399999999999993</v>
      </c>
    </row>
    <row r="11" spans="1:49" ht="15">
      <c r="A11" s="11">
        <v>1</v>
      </c>
      <c r="C11" t="str">
        <f>'Tech Parameters'!B9</f>
        <v>PWR nuclear</v>
      </c>
      <c r="D11" s="218">
        <f>RetiringCapacity!C9</f>
        <v>1.8</v>
      </c>
      <c r="E11" s="219">
        <f>RetiringCapacity!D9</f>
        <v>1.8</v>
      </c>
      <c r="F11" s="219">
        <f>RetiringCapacity!E9</f>
        <v>1.8</v>
      </c>
      <c r="G11" s="219">
        <f>RetiringCapacity!F9</f>
        <v>1.8</v>
      </c>
      <c r="H11" s="220">
        <f>RetiringCapacity!G9</f>
        <v>1.8</v>
      </c>
      <c r="I11" s="72">
        <f ca="1">H11+RetiringCapacity!H9+I124+I147</f>
        <v>1.8</v>
      </c>
      <c r="J11" s="72">
        <f ca="1">I11+RetiringCapacity!I9+J124+J147</f>
        <v>1.8</v>
      </c>
      <c r="K11" s="72">
        <f ca="1">J11+RetiringCapacity!J9+K124+K147</f>
        <v>1.8</v>
      </c>
      <c r="L11" s="72">
        <f ca="1">K11+RetiringCapacity!K9+L124+L147</f>
        <v>1.8</v>
      </c>
      <c r="M11" s="72">
        <f ca="1">L11+RetiringCapacity!L9+M124+M147</f>
        <v>1.8</v>
      </c>
      <c r="N11" s="72">
        <f ca="1">M11+RetiringCapacity!M9+N124+N147</f>
        <v>1.8</v>
      </c>
      <c r="O11" s="72">
        <f ca="1">N11+RetiringCapacity!N9+O124+O147</f>
        <v>1.8</v>
      </c>
      <c r="P11" s="72">
        <f ca="1">O11+RetiringCapacity!O9+P124+P147</f>
        <v>1.8</v>
      </c>
      <c r="Q11" s="72">
        <f ca="1">P11+RetiringCapacity!P9+Q124+Q147</f>
        <v>1.8</v>
      </c>
      <c r="R11" s="72">
        <f ca="1">Q11+RetiringCapacity!Q9+R124+R147</f>
        <v>1.8</v>
      </c>
      <c r="S11" s="72">
        <f ca="1">R11+RetiringCapacity!R9+S124+S147</f>
        <v>1.8</v>
      </c>
      <c r="T11" s="72">
        <f ca="1">S11+RetiringCapacity!S9+T124+T147</f>
        <v>1.8</v>
      </c>
      <c r="U11" s="72">
        <f ca="1">T11+RetiringCapacity!T9+U124+U147</f>
        <v>1.8</v>
      </c>
      <c r="V11" s="72">
        <f ca="1">U11+RetiringCapacity!U9+V124+V147</f>
        <v>1.8</v>
      </c>
      <c r="W11" s="72">
        <f ca="1">V11+RetiringCapacity!V9+W124+W147</f>
        <v>1.8</v>
      </c>
      <c r="X11" s="72">
        <f ca="1">W11+RetiringCapacity!W9+X124+X147</f>
        <v>1.8</v>
      </c>
      <c r="Y11" s="72">
        <f ca="1">X11+RetiringCapacity!X9+Y124+Y147</f>
        <v>1.8</v>
      </c>
      <c r="Z11" s="72">
        <f ca="1">Y11+RetiringCapacity!Y9+Z124+Z147</f>
        <v>1.8</v>
      </c>
      <c r="AA11" s="72">
        <f ca="1">Z11+RetiringCapacity!Z9+AA124+AA147</f>
        <v>1.8</v>
      </c>
      <c r="AB11" s="72">
        <f ca="1">AA11+RetiringCapacity!AA9+AB124+AB147</f>
        <v>1.8</v>
      </c>
      <c r="AC11" s="72">
        <f ca="1">AB11+RetiringCapacity!AB9+AC124+AC147</f>
        <v>1.8</v>
      </c>
      <c r="AD11" s="73">
        <f ca="1">AC11+RetiringCapacity!AC9+AD124+AD147</f>
        <v>1.1385000000000001</v>
      </c>
      <c r="AE11" s="73">
        <f ca="1">AD11+RetiringCapacity!AD9+AE124+AE147</f>
        <v>0.47700000000000009</v>
      </c>
      <c r="AF11" s="73">
        <f ca="1">AE11+RetiringCapacity!AE9+AF124+AF147</f>
        <v>0.47700000000000009</v>
      </c>
      <c r="AG11" s="73">
        <f ca="1">AF11+RetiringCapacity!AF9+AG124+AG147</f>
        <v>0.47700000000000009</v>
      </c>
      <c r="AH11" s="73">
        <f ca="1">AG11+RetiringCapacity!AG9+AH124+AH147</f>
        <v>0.47700000000000009</v>
      </c>
      <c r="AI11" s="73">
        <f ca="1">AH11+RetiringCapacity!AH9+AI124+AI147</f>
        <v>0.47700000000000009</v>
      </c>
      <c r="AJ11" s="73">
        <f ca="1">AI11+RetiringCapacity!AI9+AJ124+AJ147</f>
        <v>0.47700000000000009</v>
      </c>
      <c r="AK11" s="73">
        <f ca="1">AJ11+RetiringCapacity!AJ9+AK124+AK147</f>
        <v>0.47700000000000009</v>
      </c>
      <c r="AL11" s="73">
        <f ca="1">AK11+RetiringCapacity!AK9+AL124+AL147</f>
        <v>0.47700000000000009</v>
      </c>
      <c r="AM11" s="73">
        <f ca="1">AL11+RetiringCapacity!AL9+AM124+AM147</f>
        <v>0.47700000000000009</v>
      </c>
      <c r="AN11" s="73">
        <f ca="1">AM11+RetiringCapacity!AM9+AN124+AN147</f>
        <v>0.47700000000000009</v>
      </c>
      <c r="AO11" s="73">
        <f ca="1">AN11+RetiringCapacity!AN9+AO124+AO147</f>
        <v>0.47700000000000009</v>
      </c>
      <c r="AP11" s="73">
        <f ca="1">AO11+RetiringCapacity!AO9+AP124+AP147</f>
        <v>0.47700000000000009</v>
      </c>
      <c r="AQ11" s="73">
        <f ca="1">AP11+RetiringCapacity!AP9+AQ124+AQ147</f>
        <v>0.47700000000000009</v>
      </c>
      <c r="AR11" s="73">
        <f ca="1">AQ11+RetiringCapacity!AQ9+AR124+AR147</f>
        <v>0.47700000000000009</v>
      </c>
      <c r="AS11" s="73">
        <f ca="1">AR11+RetiringCapacity!AR9+AS124+AS147</f>
        <v>0.47700000000000009</v>
      </c>
      <c r="AT11" s="73">
        <f ca="1">AS11+RetiringCapacity!AS9+AT124+AT147</f>
        <v>0.47700000000000009</v>
      </c>
      <c r="AU11" s="73">
        <f ca="1">AT11+RetiringCapacity!AT9+AU124+AU147</f>
        <v>0.47700000000000009</v>
      </c>
      <c r="AV11" s="73">
        <f ca="1">AU11+RetiringCapacity!AU9+AV124+AV147</f>
        <v>0.47700000000000009</v>
      </c>
      <c r="AW11" s="73">
        <f ca="1">AV11+RetiringCapacity!AV9+AW124+AW147</f>
        <v>0.47700000000000009</v>
      </c>
    </row>
    <row r="12" spans="1:49" ht="15">
      <c r="A12" s="11">
        <v>1</v>
      </c>
      <c r="B12" s="11" t="s">
        <v>36</v>
      </c>
      <c r="C12" t="str">
        <f>'Tech Parameters'!B10</f>
        <v>Hydro</v>
      </c>
      <c r="D12" s="218">
        <f>RetiringCapacity!C10</f>
        <v>0.66500000000000004</v>
      </c>
      <c r="E12" s="219">
        <f>RetiringCapacity!D10</f>
        <v>0.66500000000000004</v>
      </c>
      <c r="F12" s="219">
        <f>RetiringCapacity!E10</f>
        <v>0.66500000000000004</v>
      </c>
      <c r="G12" s="219">
        <f>RetiringCapacity!F10</f>
        <v>0.66500000000000004</v>
      </c>
      <c r="H12" s="220">
        <f>RetiringCapacity!G10</f>
        <v>0.66500000000000004</v>
      </c>
      <c r="I12" s="72">
        <f ca="1">H12+RetiringCapacity!H10+I125+I148</f>
        <v>0.66500000000000004</v>
      </c>
      <c r="J12" s="72">
        <f ca="1">I12+RetiringCapacity!I10+J125+J148</f>
        <v>0.66500000000000004</v>
      </c>
      <c r="K12" s="72">
        <f ca="1">J12+RetiringCapacity!J10+K125+K148</f>
        <v>0.66500000000000004</v>
      </c>
      <c r="L12" s="72">
        <f ca="1">K12+RetiringCapacity!K10+L125+L148</f>
        <v>0.66500000000000004</v>
      </c>
      <c r="M12" s="72">
        <f ca="1">L12+RetiringCapacity!L10+M125+M148</f>
        <v>0.66500000000000004</v>
      </c>
      <c r="N12" s="72">
        <f ca="1">M12+RetiringCapacity!M10+N125+N148</f>
        <v>0.66500000000000004</v>
      </c>
      <c r="O12" s="72">
        <f ca="1">N12+RetiringCapacity!N10+O125+O148</f>
        <v>0.66500000000000004</v>
      </c>
      <c r="P12" s="72">
        <f ca="1">O12+RetiringCapacity!O10+P125+P148</f>
        <v>0.66500000000000004</v>
      </c>
      <c r="Q12" s="72">
        <f ca="1">P12+RetiringCapacity!P10+Q125+Q148</f>
        <v>0.66500000000000004</v>
      </c>
      <c r="R12" s="72">
        <f ca="1">Q12+RetiringCapacity!Q10+R125+R148</f>
        <v>0.66500000000000004</v>
      </c>
      <c r="S12" s="72">
        <f ca="1">R12+RetiringCapacity!R10+S125+S148</f>
        <v>0.66500000000000004</v>
      </c>
      <c r="T12" s="72">
        <f ca="1">S12+RetiringCapacity!S10+T125+T148</f>
        <v>0.66500000000000004</v>
      </c>
      <c r="U12" s="72">
        <f ca="1">T12+RetiringCapacity!T10+U125+U148</f>
        <v>0.66500000000000004</v>
      </c>
      <c r="V12" s="72">
        <f ca="1">U12+RetiringCapacity!U10+V125+V148</f>
        <v>0.66500000000000004</v>
      </c>
      <c r="W12" s="72">
        <f ca="1">V12+RetiringCapacity!V10+W125+W148</f>
        <v>0.66500000000000004</v>
      </c>
      <c r="X12" s="72">
        <f ca="1">W12+RetiringCapacity!W10+X125+X148</f>
        <v>0.66500000000000004</v>
      </c>
      <c r="Y12" s="72">
        <f ca="1">X12+RetiringCapacity!X10+Y125+Y148</f>
        <v>0.66500000000000004</v>
      </c>
      <c r="Z12" s="72">
        <f ca="1">Y12+RetiringCapacity!Y10+Z125+Z148</f>
        <v>0.66500000000000004</v>
      </c>
      <c r="AA12" s="72">
        <f ca="1">Z12+RetiringCapacity!Z10+AA125+AA148</f>
        <v>0.66500000000000004</v>
      </c>
      <c r="AB12" s="72">
        <f ca="1">AA12+RetiringCapacity!AA10+AB125+AB148</f>
        <v>0.66500000000000004</v>
      </c>
      <c r="AC12" s="72">
        <f ca="1">AB12+RetiringCapacity!AB10+AC125+AC148</f>
        <v>0.66500000000000004</v>
      </c>
      <c r="AD12" s="73">
        <f ca="1">AC12+RetiringCapacity!AC10+AD125+AD148</f>
        <v>0.66500000000000004</v>
      </c>
      <c r="AE12" s="73">
        <f ca="1">AD12+RetiringCapacity!AD10+AE125+AE148</f>
        <v>0.66500000000000004</v>
      </c>
      <c r="AF12" s="73">
        <f ca="1">AE12+RetiringCapacity!AE10+AF125+AF148</f>
        <v>0.66500000000000004</v>
      </c>
      <c r="AG12" s="73">
        <f ca="1">AF12+RetiringCapacity!AF10+AG125+AG148</f>
        <v>0.66500000000000004</v>
      </c>
      <c r="AH12" s="73">
        <f ca="1">AG12+RetiringCapacity!AG10+AH125+AH148</f>
        <v>0.66500000000000004</v>
      </c>
      <c r="AI12" s="73">
        <f ca="1">AH12+RetiringCapacity!AH10+AI125+AI148</f>
        <v>0.66500000000000004</v>
      </c>
      <c r="AJ12" s="73">
        <f ca="1">AI12+RetiringCapacity!AI10+AJ125+AJ148</f>
        <v>0.66500000000000004</v>
      </c>
      <c r="AK12" s="73">
        <f ca="1">AJ12+RetiringCapacity!AJ10+AK125+AK148</f>
        <v>0.66500000000000004</v>
      </c>
      <c r="AL12" s="73">
        <f ca="1">AK12+RetiringCapacity!AK10+AL125+AL148</f>
        <v>0.66500000000000004</v>
      </c>
      <c r="AM12" s="73">
        <f ca="1">AL12+RetiringCapacity!AL10+AM125+AM148</f>
        <v>0.66500000000000004</v>
      </c>
      <c r="AN12" s="73">
        <f ca="1">AM12+RetiringCapacity!AM10+AN125+AN148</f>
        <v>0.66500000000000004</v>
      </c>
      <c r="AO12" s="73">
        <f ca="1">AN12+RetiringCapacity!AN10+AO125+AO148</f>
        <v>0.66500000000000004</v>
      </c>
      <c r="AP12" s="73">
        <f ca="1">AO12+RetiringCapacity!AO10+AP125+AP148</f>
        <v>0.66500000000000004</v>
      </c>
      <c r="AQ12" s="73">
        <f ca="1">AP12+RetiringCapacity!AP10+AQ125+AQ148</f>
        <v>0.66500000000000004</v>
      </c>
      <c r="AR12" s="73">
        <f ca="1">AQ12+RetiringCapacity!AQ10+AR125+AR148</f>
        <v>0.66500000000000004</v>
      </c>
      <c r="AS12" s="73">
        <f ca="1">AR12+RetiringCapacity!AR10+AS125+AS148</f>
        <v>0.66500000000000004</v>
      </c>
      <c r="AT12" s="73">
        <f ca="1">AS12+RetiringCapacity!AS10+AT125+AT148</f>
        <v>0.66500000000000004</v>
      </c>
      <c r="AU12" s="73">
        <f ca="1">AT12+RetiringCapacity!AT10+AU125+AU148</f>
        <v>0.66500000000000004</v>
      </c>
      <c r="AV12" s="73">
        <f ca="1">AU12+RetiringCapacity!AU10+AV125+AV148</f>
        <v>0.66500000000000004</v>
      </c>
      <c r="AW12" s="73">
        <f ca="1">AV12+RetiringCapacity!AV10+AW125+AW148</f>
        <v>0.66500000000000004</v>
      </c>
    </row>
    <row r="13" spans="1:49" ht="15">
      <c r="A13" s="11">
        <v>1</v>
      </c>
      <c r="B13" s="11" t="s">
        <v>36</v>
      </c>
      <c r="C13" t="str">
        <f>'Tech Parameters'!B11</f>
        <v>Landfill gas</v>
      </c>
      <c r="D13" s="218">
        <f>RetiringCapacity!C11</f>
        <v>7.0000000000000007E-2</v>
      </c>
      <c r="E13" s="219">
        <f>RetiringCapacity!D11</f>
        <v>7.0000000000000007E-2</v>
      </c>
      <c r="F13" s="219">
        <f>RetiringCapacity!E11</f>
        <v>7.0000000000000007E-2</v>
      </c>
      <c r="G13" s="219">
        <f>RetiringCapacity!F11</f>
        <v>7.0000000000000007E-2</v>
      </c>
      <c r="H13" s="220">
        <f>RetiringCapacity!G11</f>
        <v>7.0000000000000007E-2</v>
      </c>
      <c r="I13" s="72">
        <f ca="1">H13+RetiringCapacity!H11+I126+I149</f>
        <v>7.0000000000000007E-2</v>
      </c>
      <c r="J13" s="72">
        <f ca="1">I13+RetiringCapacity!I11+J126+J149</f>
        <v>7.0000000000000007E-2</v>
      </c>
      <c r="K13" s="72">
        <f ca="1">J13+RetiringCapacity!J11+K126+K149</f>
        <v>7.0000000000000007E-2</v>
      </c>
      <c r="L13" s="72">
        <f ca="1">K13+RetiringCapacity!K11+L126+L149</f>
        <v>7.0000000000000007E-2</v>
      </c>
      <c r="M13" s="72">
        <f ca="1">L13+RetiringCapacity!L11+M126+M149</f>
        <v>7.0000000000000007E-2</v>
      </c>
      <c r="N13" s="72">
        <f ca="1">M13+RetiringCapacity!M11+N126+N149</f>
        <v>7.0000000000000007E-2</v>
      </c>
      <c r="O13" s="72">
        <f ca="1">N13+RetiringCapacity!N11+O126+O149</f>
        <v>7.0000000000000007E-2</v>
      </c>
      <c r="P13" s="72">
        <f ca="1">O13+RetiringCapacity!O11+P126+P149</f>
        <v>7.0000000000000007E-2</v>
      </c>
      <c r="Q13" s="72">
        <f ca="1">P13+RetiringCapacity!P11+Q126+Q149</f>
        <v>7.0000000000000007E-2</v>
      </c>
      <c r="R13" s="72">
        <f ca="1">Q13+RetiringCapacity!Q11+R126+R149</f>
        <v>7.0000000000000007E-2</v>
      </c>
      <c r="S13" s="72">
        <f ca="1">R13+RetiringCapacity!R11+S126+S149</f>
        <v>7.0000000000000007E-2</v>
      </c>
      <c r="T13" s="72">
        <f ca="1">S13+RetiringCapacity!S11+T126+T149</f>
        <v>7.0000000000000007E-2</v>
      </c>
      <c r="U13" s="72">
        <f ca="1">T13+RetiringCapacity!T11+U126+U149</f>
        <v>7.0000000000000007E-2</v>
      </c>
      <c r="V13" s="72">
        <f ca="1">U13+RetiringCapacity!U11+V126+V149</f>
        <v>7.0000000000000007E-2</v>
      </c>
      <c r="W13" s="72">
        <f ca="1">V13+RetiringCapacity!V11+W126+W149</f>
        <v>7.0000000000000007E-2</v>
      </c>
      <c r="X13" s="72">
        <f ca="1">W13+RetiringCapacity!W11+X126+X149</f>
        <v>7.0000000000000007E-2</v>
      </c>
      <c r="Y13" s="72">
        <f ca="1">X13+RetiringCapacity!X11+Y126+Y149</f>
        <v>7.0000000000000007E-2</v>
      </c>
      <c r="Z13" s="72">
        <f ca="1">Y13+RetiringCapacity!Y11+Z126+Z149</f>
        <v>7.0000000000000007E-2</v>
      </c>
      <c r="AA13" s="72">
        <f ca="1">Z13+RetiringCapacity!Z11+AA126+AA149</f>
        <v>7.0000000000000007E-2</v>
      </c>
      <c r="AB13" s="72">
        <f ca="1">AA13+RetiringCapacity!AA11+AB126+AB149</f>
        <v>7.0000000000000007E-2</v>
      </c>
      <c r="AC13" s="72">
        <f ca="1">AB13+RetiringCapacity!AB11+AC126+AC149</f>
        <v>7.0000000000000007E-2</v>
      </c>
      <c r="AD13" s="73">
        <f ca="1">AC13+RetiringCapacity!AC11+AD126+AD149</f>
        <v>7.0000000000000007E-2</v>
      </c>
      <c r="AE13" s="73">
        <f ca="1">AD13+RetiringCapacity!AD11+AE126+AE149</f>
        <v>7.0000000000000007E-2</v>
      </c>
      <c r="AF13" s="73">
        <f ca="1">AE13+RetiringCapacity!AE11+AF126+AF149</f>
        <v>7.0000000000000007E-2</v>
      </c>
      <c r="AG13" s="73">
        <f ca="1">AF13+RetiringCapacity!AF11+AG126+AG149</f>
        <v>7.0000000000000007E-2</v>
      </c>
      <c r="AH13" s="73">
        <f ca="1">AG13+RetiringCapacity!AG11+AH126+AH149</f>
        <v>7.0000000000000007E-2</v>
      </c>
      <c r="AI13" s="73">
        <f ca="1">AH13+RetiringCapacity!AH11+AI126+AI149</f>
        <v>7.0000000000000007E-2</v>
      </c>
      <c r="AJ13" s="73">
        <f ca="1">AI13+RetiringCapacity!AI11+AJ126+AJ149</f>
        <v>7.0000000000000007E-2</v>
      </c>
      <c r="AK13" s="73">
        <f ca="1">AJ13+RetiringCapacity!AJ11+AK126+AK149</f>
        <v>7.0000000000000007E-2</v>
      </c>
      <c r="AL13" s="73">
        <f ca="1">AK13+RetiringCapacity!AK11+AL126+AL149</f>
        <v>7.0000000000000007E-2</v>
      </c>
      <c r="AM13" s="73">
        <f ca="1">AL13+RetiringCapacity!AL11+AM126+AM149</f>
        <v>7.0000000000000007E-2</v>
      </c>
      <c r="AN13" s="73">
        <f ca="1">AM13+RetiringCapacity!AM11+AN126+AN149</f>
        <v>7.0000000000000007E-2</v>
      </c>
      <c r="AO13" s="73">
        <f ca="1">AN13+RetiringCapacity!AN11+AO126+AO149</f>
        <v>7.0000000000000007E-2</v>
      </c>
      <c r="AP13" s="73">
        <f ca="1">AO13+RetiringCapacity!AO11+AP126+AP149</f>
        <v>7.0000000000000007E-2</v>
      </c>
      <c r="AQ13" s="73">
        <f ca="1">AP13+RetiringCapacity!AP11+AQ126+AQ149</f>
        <v>7.0000000000000007E-2</v>
      </c>
      <c r="AR13" s="73">
        <f ca="1">AQ13+RetiringCapacity!AQ11+AR126+AR149</f>
        <v>7.0000000000000007E-2</v>
      </c>
      <c r="AS13" s="73">
        <f ca="1">AR13+RetiringCapacity!AR11+AS126+AS149</f>
        <v>7.0000000000000007E-2</v>
      </c>
      <c r="AT13" s="73">
        <f ca="1">AS13+RetiringCapacity!AS11+AT126+AT149</f>
        <v>7.0000000000000007E-2</v>
      </c>
      <c r="AU13" s="73">
        <f ca="1">AT13+RetiringCapacity!AT11+AU126+AU149</f>
        <v>7.0000000000000007E-2</v>
      </c>
      <c r="AV13" s="73">
        <f ca="1">AU13+RetiringCapacity!AU11+AV126+AV149</f>
        <v>7.0000000000000007E-2</v>
      </c>
      <c r="AW13" s="73">
        <f ca="1">AV13+RetiringCapacity!AV11+AW126+AW149</f>
        <v>7.0000000000000007E-2</v>
      </c>
    </row>
    <row r="14" spans="1:49" ht="15">
      <c r="A14" s="11">
        <v>1</v>
      </c>
      <c r="B14" s="11" t="s">
        <v>36</v>
      </c>
      <c r="C14" t="str">
        <f>'Tech Parameters'!B12</f>
        <v>Biomass</v>
      </c>
      <c r="D14" s="218">
        <f>RetiringCapacity!C12</f>
        <v>0.19</v>
      </c>
      <c r="E14" s="219">
        <f>RetiringCapacity!D12</f>
        <v>0.19</v>
      </c>
      <c r="F14" s="219">
        <f>RetiringCapacity!E12</f>
        <v>0.19</v>
      </c>
      <c r="G14" s="219">
        <f>RetiringCapacity!F12</f>
        <v>0.19</v>
      </c>
      <c r="H14" s="220">
        <f>RetiringCapacity!G12</f>
        <v>0.19</v>
      </c>
      <c r="I14" s="72">
        <f ca="1">H14+RetiringCapacity!H12+I127+I150</f>
        <v>0.19</v>
      </c>
      <c r="J14" s="72">
        <f ca="1">I14+RetiringCapacity!I12+J127+J150</f>
        <v>0.19</v>
      </c>
      <c r="K14" s="72">
        <f ca="1">J14+RetiringCapacity!J12+K127+K150</f>
        <v>0.19</v>
      </c>
      <c r="L14" s="72">
        <f ca="1">K14+RetiringCapacity!K12+L127+L150</f>
        <v>0.19</v>
      </c>
      <c r="M14" s="72">
        <f ca="1">L14+RetiringCapacity!L12+M127+M150</f>
        <v>0.19</v>
      </c>
      <c r="N14" s="72">
        <f ca="1">M14+RetiringCapacity!M12+N127+N150</f>
        <v>0.19</v>
      </c>
      <c r="O14" s="72">
        <f ca="1">N14+RetiringCapacity!N12+O127+O150</f>
        <v>0.19</v>
      </c>
      <c r="P14" s="72">
        <f ca="1">O14+RetiringCapacity!O12+P127+P150</f>
        <v>0.19</v>
      </c>
      <c r="Q14" s="72">
        <f ca="1">P14+RetiringCapacity!P12+Q127+Q150</f>
        <v>0.19</v>
      </c>
      <c r="R14" s="72">
        <f ca="1">Q14+RetiringCapacity!Q12+R127+R150</f>
        <v>0.19</v>
      </c>
      <c r="S14" s="72">
        <f ca="1">R14+RetiringCapacity!R12+S127+S150</f>
        <v>0.19</v>
      </c>
      <c r="T14" s="72">
        <f ca="1">S14+RetiringCapacity!S12+T127+T150</f>
        <v>0.19</v>
      </c>
      <c r="U14" s="72">
        <f ca="1">T14+RetiringCapacity!T12+U127+U150</f>
        <v>0.19</v>
      </c>
      <c r="V14" s="72">
        <f ca="1">U14+RetiringCapacity!U12+V127+V150</f>
        <v>0.19</v>
      </c>
      <c r="W14" s="72">
        <f ca="1">V14+RetiringCapacity!V12+W127+W150</f>
        <v>0.19</v>
      </c>
      <c r="X14" s="72">
        <f ca="1">W14+RetiringCapacity!W12+X127+X150</f>
        <v>0.19</v>
      </c>
      <c r="Y14" s="72">
        <f ca="1">X14+RetiringCapacity!X12+Y127+Y150</f>
        <v>0.19</v>
      </c>
      <c r="Z14" s="72">
        <f ca="1">Y14+RetiringCapacity!Y12+Z127+Z150</f>
        <v>0.19</v>
      </c>
      <c r="AA14" s="72">
        <f ca="1">Z14+RetiringCapacity!Z12+AA127+AA150</f>
        <v>0.19</v>
      </c>
      <c r="AB14" s="72">
        <f ca="1">AA14+RetiringCapacity!AA12+AB127+AB150</f>
        <v>0.19</v>
      </c>
      <c r="AC14" s="72">
        <f ca="1">AB14+RetiringCapacity!AB12+AC127+AC150</f>
        <v>0.19</v>
      </c>
      <c r="AD14" s="73">
        <f ca="1">AC14+RetiringCapacity!AC12+AD127+AD150</f>
        <v>0.19</v>
      </c>
      <c r="AE14" s="73">
        <f ca="1">AD14+RetiringCapacity!AD12+AE127+AE150</f>
        <v>0.19</v>
      </c>
      <c r="AF14" s="73">
        <f ca="1">AE14+RetiringCapacity!AE12+AF127+AF150</f>
        <v>0.19</v>
      </c>
      <c r="AG14" s="73">
        <f ca="1">AF14+RetiringCapacity!AF12+AG127+AG150</f>
        <v>0.19</v>
      </c>
      <c r="AH14" s="73">
        <f ca="1">AG14+RetiringCapacity!AG12+AH127+AH150</f>
        <v>0.19</v>
      </c>
      <c r="AI14" s="73">
        <f ca="1">AH14+RetiringCapacity!AH12+AI127+AI150</f>
        <v>0.19</v>
      </c>
      <c r="AJ14" s="73">
        <f ca="1">AI14+RetiringCapacity!AI12+AJ127+AJ150</f>
        <v>0.19</v>
      </c>
      <c r="AK14" s="73">
        <f ca="1">AJ14+RetiringCapacity!AJ12+AK127+AK150</f>
        <v>0.19</v>
      </c>
      <c r="AL14" s="73">
        <f ca="1">AK14+RetiringCapacity!AK12+AL127+AL150</f>
        <v>0.19</v>
      </c>
      <c r="AM14" s="73">
        <f ca="1">AL14+RetiringCapacity!AL12+AM127+AM150</f>
        <v>0.19</v>
      </c>
      <c r="AN14" s="73">
        <f ca="1">AM14+RetiringCapacity!AM12+AN127+AN150</f>
        <v>0.19</v>
      </c>
      <c r="AO14" s="73">
        <f ca="1">AN14+RetiringCapacity!AN12+AO127+AO150</f>
        <v>0.19</v>
      </c>
      <c r="AP14" s="73">
        <f ca="1">AO14+RetiringCapacity!AO12+AP127+AP150</f>
        <v>0.19</v>
      </c>
      <c r="AQ14" s="73">
        <f ca="1">AP14+RetiringCapacity!AP12+AQ127+AQ150</f>
        <v>0.19</v>
      </c>
      <c r="AR14" s="73">
        <f ca="1">AQ14+RetiringCapacity!AQ12+AR127+AR150</f>
        <v>0.19</v>
      </c>
      <c r="AS14" s="73">
        <f ca="1">AR14+RetiringCapacity!AR12+AS127+AS150</f>
        <v>0.19</v>
      </c>
      <c r="AT14" s="73">
        <f ca="1">AS14+RetiringCapacity!AS12+AT127+AT150</f>
        <v>0.19</v>
      </c>
      <c r="AU14" s="73">
        <f ca="1">AT14+RetiringCapacity!AT12+AU127+AU150</f>
        <v>0.19</v>
      </c>
      <c r="AV14" s="73">
        <f ca="1">AU14+RetiringCapacity!AU12+AV127+AV150</f>
        <v>0.19</v>
      </c>
      <c r="AW14" s="73">
        <f ca="1">AV14+RetiringCapacity!AV12+AW127+AW150</f>
        <v>0.19</v>
      </c>
    </row>
    <row r="15" spans="1:49" ht="15">
      <c r="A15" s="11">
        <v>1</v>
      </c>
      <c r="C15" t="str">
        <f>'Tech Parameters'!B13</f>
        <v>Supercritical coal</v>
      </c>
      <c r="D15" s="218">
        <f>RetiringCapacity!C13</f>
        <v>0</v>
      </c>
      <c r="E15" s="219">
        <f>RetiringCapacity!D13</f>
        <v>0</v>
      </c>
      <c r="F15" s="219">
        <f>RetiringCapacity!E13</f>
        <v>0</v>
      </c>
      <c r="G15" s="219">
        <f>RetiringCapacity!F13</f>
        <v>0</v>
      </c>
      <c r="H15" s="220">
        <f>RetiringCapacity!G13</f>
        <v>0</v>
      </c>
      <c r="I15" s="72">
        <f ca="1">H15+RetiringCapacity!H13+I128+I151</f>
        <v>0</v>
      </c>
      <c r="J15" s="72">
        <f ca="1">I15+RetiringCapacity!I13+J128+J151</f>
        <v>0</v>
      </c>
      <c r="K15" s="72">
        <f ca="1">J15+RetiringCapacity!J13+K128+K151</f>
        <v>0.79400000000000004</v>
      </c>
      <c r="L15" s="72">
        <f ca="1">K15+RetiringCapacity!K13+L128+L151</f>
        <v>2.3820000000000001</v>
      </c>
      <c r="M15" s="72">
        <f ca="1">L15+RetiringCapacity!L13+M128+M151</f>
        <v>4.7640000000000002</v>
      </c>
      <c r="N15" s="72">
        <f ca="1">M15+RetiringCapacity!M13+N128+N151</f>
        <v>7.1460000000000008</v>
      </c>
      <c r="O15" s="72">
        <f ca="1">N15+RetiringCapacity!N13+O128+O151</f>
        <v>8.7340000000000018</v>
      </c>
      <c r="P15" s="72">
        <f ca="1">O15+RetiringCapacity!O13+P128+P151</f>
        <v>10.322000000000003</v>
      </c>
      <c r="Q15" s="72">
        <f ca="1">P15+RetiringCapacity!P13+Q128+Q151</f>
        <v>12.704000000000002</v>
      </c>
      <c r="R15" s="72">
        <f ca="1">Q15+RetiringCapacity!Q13+R128+R151</f>
        <v>15.086000000000002</v>
      </c>
      <c r="S15" s="72">
        <f ca="1">R15+RetiringCapacity!R13+S128+S151</f>
        <v>17.468000000000004</v>
      </c>
      <c r="T15" s="72">
        <f ca="1">S15+RetiringCapacity!S13+T128+T151</f>
        <v>20.644000000000005</v>
      </c>
      <c r="U15" s="72">
        <f ca="1">T15+RetiringCapacity!T13+U128+U151</f>
        <v>23.820000000000007</v>
      </c>
      <c r="V15" s="72">
        <f ca="1">U15+RetiringCapacity!U13+V128+V151</f>
        <v>26.202000000000009</v>
      </c>
      <c r="W15" s="72">
        <f ca="1">V15+RetiringCapacity!V13+W128+W151</f>
        <v>29.378000000000007</v>
      </c>
      <c r="X15" s="72">
        <f ca="1">W15+RetiringCapacity!W13+X128+X151</f>
        <v>32.554000000000009</v>
      </c>
      <c r="Y15" s="72">
        <f ca="1">X15+RetiringCapacity!X13+Y128+Y151</f>
        <v>36.524000000000008</v>
      </c>
      <c r="Z15" s="72">
        <f ca="1">Y15+RetiringCapacity!Y13+Z128+Z151</f>
        <v>40.494000000000007</v>
      </c>
      <c r="AA15" s="72">
        <f ca="1">Z15+RetiringCapacity!Z13+AA128+AA151</f>
        <v>44.464000000000006</v>
      </c>
      <c r="AB15" s="72">
        <f ca="1">AA15+RetiringCapacity!AA13+AB128+AB151</f>
        <v>49.228000000000009</v>
      </c>
      <c r="AC15" s="72">
        <f ca="1">AB15+RetiringCapacity!AB13+AC128+AC151</f>
        <v>53.992000000000012</v>
      </c>
      <c r="AD15" s="73">
        <f ca="1">AC15+RetiringCapacity!AC13+AD128+AD151</f>
        <v>53.992000000000012</v>
      </c>
      <c r="AE15" s="73">
        <f ca="1">AD15+RetiringCapacity!AD13+AE128+AE151</f>
        <v>53.992000000000012</v>
      </c>
      <c r="AF15" s="73">
        <f ca="1">AE15+RetiringCapacity!AE13+AF128+AF151</f>
        <v>53.992000000000012</v>
      </c>
      <c r="AG15" s="73">
        <f ca="1">AF15+RetiringCapacity!AF13+AG128+AG151</f>
        <v>53.992000000000012</v>
      </c>
      <c r="AH15" s="73">
        <f ca="1">AG15+RetiringCapacity!AG13+AH128+AH151</f>
        <v>53.992000000000012</v>
      </c>
      <c r="AI15" s="73">
        <f ca="1">AH15+RetiringCapacity!AH13+AI128+AI151</f>
        <v>53.992000000000012</v>
      </c>
      <c r="AJ15" s="73">
        <f ca="1">AI15+RetiringCapacity!AI13+AJ128+AJ151</f>
        <v>53.992000000000012</v>
      </c>
      <c r="AK15" s="73">
        <f ca="1">AJ15+RetiringCapacity!AJ13+AK128+AK151</f>
        <v>53.992000000000012</v>
      </c>
      <c r="AL15" s="73">
        <f ca="1">AK15+RetiringCapacity!AK13+AL128+AL151</f>
        <v>53.992000000000012</v>
      </c>
      <c r="AM15" s="73">
        <f ca="1">AL15+RetiringCapacity!AL13+AM128+AM151</f>
        <v>53.992000000000012</v>
      </c>
      <c r="AN15" s="73">
        <f ca="1">AM15+RetiringCapacity!AM13+AN128+AN151</f>
        <v>53.992000000000012</v>
      </c>
      <c r="AO15" s="73">
        <f ca="1">AN15+RetiringCapacity!AN13+AO128+AO151</f>
        <v>53.992000000000012</v>
      </c>
      <c r="AP15" s="73">
        <f ca="1">AO15+RetiringCapacity!AO13+AP128+AP151</f>
        <v>53.992000000000012</v>
      </c>
      <c r="AQ15" s="73">
        <f ca="1">AP15+RetiringCapacity!AP13+AQ128+AQ151</f>
        <v>53.992000000000012</v>
      </c>
      <c r="AR15" s="73">
        <f ca="1">AQ15+RetiringCapacity!AQ13+AR128+AR151</f>
        <v>53.992000000000012</v>
      </c>
      <c r="AS15" s="73">
        <f ca="1">AR15+RetiringCapacity!AR13+AS128+AS151</f>
        <v>53.992000000000012</v>
      </c>
      <c r="AT15" s="73">
        <f ca="1">AS15+RetiringCapacity!AS13+AT128+AT151</f>
        <v>53.992000000000012</v>
      </c>
      <c r="AU15" s="73">
        <f ca="1">AT15+RetiringCapacity!AT13+AU128+AU151</f>
        <v>53.992000000000012</v>
      </c>
      <c r="AV15" s="73">
        <f ca="1">AU15+RetiringCapacity!AU13+AV128+AV151</f>
        <v>53.992000000000012</v>
      </c>
      <c r="AW15" s="73">
        <f ca="1">AV15+RetiringCapacity!AV13+AW128+AW151</f>
        <v>53.992000000000012</v>
      </c>
    </row>
    <row r="16" spans="1:49" ht="15">
      <c r="A16" s="11">
        <v>0.23</v>
      </c>
      <c r="B16" t="s">
        <v>36</v>
      </c>
      <c r="C16" t="str">
        <f>'Tech Parameters'!B14</f>
        <v xml:space="preserve">Wind 30% </v>
      </c>
      <c r="D16" s="218">
        <f>RetiringCapacity!C14</f>
        <v>0</v>
      </c>
      <c r="E16" s="219">
        <f>RetiringCapacity!D14</f>
        <v>0</v>
      </c>
      <c r="F16" s="219">
        <f>RetiringCapacity!E14</f>
        <v>0</v>
      </c>
      <c r="G16" s="219">
        <f>RetiringCapacity!F14</f>
        <v>0</v>
      </c>
      <c r="H16" s="220">
        <f>RetiringCapacity!G14</f>
        <v>0</v>
      </c>
      <c r="I16" s="72">
        <f ca="1">H16+RetiringCapacity!H14+I129+I152</f>
        <v>0.1</v>
      </c>
      <c r="J16" s="72">
        <f ca="1">I16+RetiringCapacity!I14+J129+J152</f>
        <v>0.1</v>
      </c>
      <c r="K16" s="72">
        <f ca="1">J16+RetiringCapacity!J14+K129+K152</f>
        <v>0.1</v>
      </c>
      <c r="L16" s="72">
        <f ca="1">K16+RetiringCapacity!K14+L129+L152</f>
        <v>0.1</v>
      </c>
      <c r="M16" s="72">
        <f ca="1">L16+RetiringCapacity!L14+M129+M152</f>
        <v>0.1</v>
      </c>
      <c r="N16" s="72">
        <f ca="1">M16+RetiringCapacity!M14+N129+N152</f>
        <v>0.1</v>
      </c>
      <c r="O16" s="72">
        <f ca="1">N16+RetiringCapacity!N14+O129+O152</f>
        <v>0.1</v>
      </c>
      <c r="P16" s="72">
        <f ca="1">O16+RetiringCapacity!O14+P129+P152</f>
        <v>0.1</v>
      </c>
      <c r="Q16" s="72">
        <f ca="1">P16+RetiringCapacity!P14+Q129+Q152</f>
        <v>0.1</v>
      </c>
      <c r="R16" s="72">
        <f ca="1">Q16+RetiringCapacity!Q14+R129+R152</f>
        <v>0.1</v>
      </c>
      <c r="S16" s="72">
        <f ca="1">R16+RetiringCapacity!R14+S129+S152</f>
        <v>0.1</v>
      </c>
      <c r="T16" s="72">
        <f ca="1">S16+RetiringCapacity!S14+T129+T152</f>
        <v>0.1</v>
      </c>
      <c r="U16" s="72">
        <f ca="1">T16+RetiringCapacity!T14+U129+U152</f>
        <v>0.1</v>
      </c>
      <c r="V16" s="72">
        <f ca="1">U16+RetiringCapacity!U14+V129+V152</f>
        <v>0.1</v>
      </c>
      <c r="W16" s="72">
        <f ca="1">V16+RetiringCapacity!V14+W129+W152</f>
        <v>0.1</v>
      </c>
      <c r="X16" s="72">
        <f ca="1">W16+RetiringCapacity!W14+X129+X152</f>
        <v>0.1</v>
      </c>
      <c r="Y16" s="72">
        <f ca="1">X16+RetiringCapacity!X14+Y129+Y152</f>
        <v>0.1</v>
      </c>
      <c r="Z16" s="72">
        <f ca="1">Y16+RetiringCapacity!Y14+Z129+Z152</f>
        <v>0.1</v>
      </c>
      <c r="AA16" s="72">
        <f ca="1">Z16+RetiringCapacity!Z14+AA129+AA152</f>
        <v>0.1</v>
      </c>
      <c r="AB16" s="72">
        <f ca="1">AA16+RetiringCapacity!AA14+AB129+AB152</f>
        <v>0.1</v>
      </c>
      <c r="AC16" s="72">
        <f ca="1">AB16+RetiringCapacity!AB14+AC129+AC152</f>
        <v>0</v>
      </c>
      <c r="AD16" s="73">
        <f ca="1">AC16+RetiringCapacity!AC14+AD129+AD152</f>
        <v>0</v>
      </c>
      <c r="AE16" s="73">
        <f ca="1">AD16+RetiringCapacity!AD14+AE129+AE152</f>
        <v>0</v>
      </c>
      <c r="AF16" s="73">
        <f ca="1">AE16+RetiringCapacity!AE14+AF129+AF152</f>
        <v>0</v>
      </c>
      <c r="AG16" s="73">
        <f ca="1">AF16+RetiringCapacity!AF14+AG129+AG152</f>
        <v>0</v>
      </c>
      <c r="AH16" s="73">
        <f ca="1">AG16+RetiringCapacity!AG14+AH129+AH152</f>
        <v>0</v>
      </c>
      <c r="AI16" s="73">
        <f ca="1">AH16+RetiringCapacity!AH14+AI129+AI152</f>
        <v>0</v>
      </c>
      <c r="AJ16" s="73">
        <f ca="1">AI16+RetiringCapacity!AI14+AJ129+AJ152</f>
        <v>0</v>
      </c>
      <c r="AK16" s="73">
        <f ca="1">AJ16+RetiringCapacity!AJ14+AK129+AK152</f>
        <v>0</v>
      </c>
      <c r="AL16" s="73">
        <f ca="1">AK16+RetiringCapacity!AK14+AL129+AL152</f>
        <v>0</v>
      </c>
      <c r="AM16" s="73">
        <f ca="1">AL16+RetiringCapacity!AL14+AM129+AM152</f>
        <v>0</v>
      </c>
      <c r="AN16" s="73">
        <f ca="1">AM16+RetiringCapacity!AM14+AN129+AN152</f>
        <v>0</v>
      </c>
      <c r="AO16" s="73">
        <f ca="1">AN16+RetiringCapacity!AN14+AO129+AO152</f>
        <v>0</v>
      </c>
      <c r="AP16" s="73">
        <f ca="1">AO16+RetiringCapacity!AO14+AP129+AP152</f>
        <v>0</v>
      </c>
      <c r="AQ16" s="73">
        <f ca="1">AP16+RetiringCapacity!AP14+AQ129+AQ152</f>
        <v>0</v>
      </c>
      <c r="AR16" s="73">
        <f ca="1">AQ16+RetiringCapacity!AQ14+AR129+AR152</f>
        <v>0</v>
      </c>
      <c r="AS16" s="73">
        <f ca="1">AR16+RetiringCapacity!AR14+AS129+AS152</f>
        <v>0</v>
      </c>
      <c r="AT16" s="73">
        <f ca="1">AS16+RetiringCapacity!AS14+AT129+AT152</f>
        <v>0</v>
      </c>
      <c r="AU16" s="73">
        <f ca="1">AT16+RetiringCapacity!AT14+AU129+AU152</f>
        <v>0</v>
      </c>
      <c r="AV16" s="73">
        <f ca="1">AU16+RetiringCapacity!AU14+AV129+AV152</f>
        <v>0</v>
      </c>
      <c r="AW16" s="73">
        <f ca="1">AV16+RetiringCapacity!AV14+AW129+AW152</f>
        <v>0</v>
      </c>
    </row>
    <row r="17" spans="1:49" ht="15">
      <c r="A17" s="11">
        <v>0.23</v>
      </c>
      <c r="B17" t="s">
        <v>36</v>
      </c>
      <c r="C17" t="str">
        <f>'Tech Parameters'!B15</f>
        <v>Wind 25%</v>
      </c>
      <c r="D17" s="218">
        <f>RetiringCapacity!C15</f>
        <v>0</v>
      </c>
      <c r="E17" s="219">
        <f>RetiringCapacity!D15</f>
        <v>0</v>
      </c>
      <c r="F17" s="219">
        <f>RetiringCapacity!E15</f>
        <v>0</v>
      </c>
      <c r="G17" s="219">
        <f>RetiringCapacity!F15</f>
        <v>0</v>
      </c>
      <c r="H17" s="220">
        <f>RetiringCapacity!G15</f>
        <v>0</v>
      </c>
      <c r="I17" s="72">
        <f ca="1">H17+RetiringCapacity!H15+I130+I153</f>
        <v>0</v>
      </c>
      <c r="J17" s="72">
        <f ca="1">I17+RetiringCapacity!I15+J130+J153</f>
        <v>0</v>
      </c>
      <c r="K17" s="72">
        <f ca="1">J17+RetiringCapacity!J15+K130+K153</f>
        <v>0</v>
      </c>
      <c r="L17" s="72">
        <f ca="1">K17+RetiringCapacity!K15+L130+L153</f>
        <v>0</v>
      </c>
      <c r="M17" s="72">
        <f ca="1">L17+RetiringCapacity!L15+M130+M153</f>
        <v>0</v>
      </c>
      <c r="N17" s="72">
        <f ca="1">M17+RetiringCapacity!M15+N130+N153</f>
        <v>0</v>
      </c>
      <c r="O17" s="72">
        <f ca="1">N17+RetiringCapacity!N15+O130+O153</f>
        <v>0</v>
      </c>
      <c r="P17" s="72">
        <f ca="1">O17+RetiringCapacity!O15+P130+P153</f>
        <v>0</v>
      </c>
      <c r="Q17" s="72">
        <f ca="1">P17+RetiringCapacity!P15+Q130+Q153</f>
        <v>0</v>
      </c>
      <c r="R17" s="72">
        <f ca="1">Q17+RetiringCapacity!Q15+R130+R153</f>
        <v>0</v>
      </c>
      <c r="S17" s="72">
        <f ca="1">R17+RetiringCapacity!R15+S130+S153</f>
        <v>0</v>
      </c>
      <c r="T17" s="72">
        <f ca="1">S17+RetiringCapacity!S15+T130+T153</f>
        <v>0</v>
      </c>
      <c r="U17" s="72">
        <f ca="1">T17+RetiringCapacity!T15+U130+U153</f>
        <v>0</v>
      </c>
      <c r="V17" s="72">
        <f ca="1">U17+RetiringCapacity!U15+V130+V153</f>
        <v>0</v>
      </c>
      <c r="W17" s="72">
        <f ca="1">V17+RetiringCapacity!V15+W130+W153</f>
        <v>0</v>
      </c>
      <c r="X17" s="72">
        <f ca="1">W17+RetiringCapacity!W15+X130+X153</f>
        <v>0</v>
      </c>
      <c r="Y17" s="72">
        <f ca="1">X17+RetiringCapacity!X15+Y130+Y153</f>
        <v>0</v>
      </c>
      <c r="Z17" s="72">
        <f ca="1">Y17+RetiringCapacity!Y15+Z130+Z153</f>
        <v>0</v>
      </c>
      <c r="AA17" s="72">
        <f ca="1">Z17+RetiringCapacity!Z15+AA130+AA153</f>
        <v>0</v>
      </c>
      <c r="AB17" s="72">
        <f ca="1">AA17+RetiringCapacity!AA15+AB130+AB153</f>
        <v>0</v>
      </c>
      <c r="AC17" s="72">
        <f ca="1">AB17+RetiringCapacity!AB15+AC130+AC153</f>
        <v>0</v>
      </c>
      <c r="AD17" s="73">
        <f ca="1">AC17+RetiringCapacity!AC15+AD130+AD153</f>
        <v>0</v>
      </c>
      <c r="AE17" s="73">
        <f ca="1">AD17+RetiringCapacity!AD15+AE130+AE153</f>
        <v>0</v>
      </c>
      <c r="AF17" s="73">
        <f ca="1">AE17+RetiringCapacity!AE15+AF130+AF153</f>
        <v>0</v>
      </c>
      <c r="AG17" s="73">
        <f ca="1">AF17+RetiringCapacity!AF15+AG130+AG153</f>
        <v>0</v>
      </c>
      <c r="AH17" s="73">
        <f ca="1">AG17+RetiringCapacity!AG15+AH130+AH153</f>
        <v>0</v>
      </c>
      <c r="AI17" s="73">
        <f ca="1">AH17+RetiringCapacity!AH15+AI130+AI153</f>
        <v>0</v>
      </c>
      <c r="AJ17" s="73">
        <f ca="1">AI17+RetiringCapacity!AI15+AJ130+AJ153</f>
        <v>0</v>
      </c>
      <c r="AK17" s="73">
        <f ca="1">AJ17+RetiringCapacity!AJ15+AK130+AK153</f>
        <v>0</v>
      </c>
      <c r="AL17" s="73">
        <f ca="1">AK17+RetiringCapacity!AK15+AL130+AL153</f>
        <v>0</v>
      </c>
      <c r="AM17" s="73">
        <f ca="1">AL17+RetiringCapacity!AL15+AM130+AM153</f>
        <v>0</v>
      </c>
      <c r="AN17" s="73">
        <f ca="1">AM17+RetiringCapacity!AM15+AN130+AN153</f>
        <v>0</v>
      </c>
      <c r="AO17" s="73">
        <f ca="1">AN17+RetiringCapacity!AN15+AO130+AO153</f>
        <v>0</v>
      </c>
      <c r="AP17" s="73">
        <f ca="1">AO17+RetiringCapacity!AO15+AP130+AP153</f>
        <v>0</v>
      </c>
      <c r="AQ17" s="73">
        <f ca="1">AP17+RetiringCapacity!AP15+AQ130+AQ153</f>
        <v>0</v>
      </c>
      <c r="AR17" s="73">
        <f ca="1">AQ17+RetiringCapacity!AQ15+AR130+AR153</f>
        <v>0</v>
      </c>
      <c r="AS17" s="73">
        <f ca="1">AR17+RetiringCapacity!AR15+AS130+AS153</f>
        <v>0</v>
      </c>
      <c r="AT17" s="73">
        <f ca="1">AS17+RetiringCapacity!AS15+AT130+AT153</f>
        <v>0</v>
      </c>
      <c r="AU17" s="73">
        <f ca="1">AT17+RetiringCapacity!AT15+AU130+AU153</f>
        <v>0</v>
      </c>
      <c r="AV17" s="73">
        <f ca="1">AU17+RetiringCapacity!AU15+AV130+AV153</f>
        <v>0</v>
      </c>
      <c r="AW17" s="73">
        <f ca="1">AV17+RetiringCapacity!AV15+AW130+AW153</f>
        <v>0</v>
      </c>
    </row>
    <row r="18" spans="1:49" ht="15">
      <c r="A18" s="11">
        <v>1</v>
      </c>
      <c r="B18" t="s">
        <v>36</v>
      </c>
      <c r="C18" t="str">
        <f>'Tech Parameters'!B16</f>
        <v>solar thermal central reciever</v>
      </c>
      <c r="D18" s="218">
        <f>RetiringCapacity!C16</f>
        <v>0</v>
      </c>
      <c r="E18" s="219">
        <f>RetiringCapacity!D16</f>
        <v>0</v>
      </c>
      <c r="F18" s="219">
        <f>RetiringCapacity!E16</f>
        <v>0</v>
      </c>
      <c r="G18" s="219">
        <f>RetiringCapacity!F16</f>
        <v>0</v>
      </c>
      <c r="H18" s="220">
        <f>RetiringCapacity!G16</f>
        <v>0</v>
      </c>
      <c r="I18" s="72">
        <f ca="1">H18+RetiringCapacity!H16+I131+I154</f>
        <v>0</v>
      </c>
      <c r="J18" s="72">
        <f ca="1">I18+RetiringCapacity!I16+J131+J154</f>
        <v>0</v>
      </c>
      <c r="K18" s="72">
        <f ca="1">J18+RetiringCapacity!J16+K131+K154</f>
        <v>0</v>
      </c>
      <c r="L18" s="72">
        <f ca="1">K18+RetiringCapacity!K16+L131+L154</f>
        <v>0</v>
      </c>
      <c r="M18" s="72">
        <f ca="1">L18+RetiringCapacity!L16+M131+M154</f>
        <v>0</v>
      </c>
      <c r="N18" s="72">
        <f ca="1">M18+RetiringCapacity!M16+N131+N154</f>
        <v>0</v>
      </c>
      <c r="O18" s="72">
        <f ca="1">N18+RetiringCapacity!N16+O131+O154</f>
        <v>0</v>
      </c>
      <c r="P18" s="72">
        <f ca="1">O18+RetiringCapacity!O16+P131+P154</f>
        <v>0</v>
      </c>
      <c r="Q18" s="72">
        <f ca="1">P18+RetiringCapacity!P16+Q131+Q154</f>
        <v>0</v>
      </c>
      <c r="R18" s="72">
        <f ca="1">Q18+RetiringCapacity!Q16+R131+R154</f>
        <v>0</v>
      </c>
      <c r="S18" s="72">
        <f ca="1">R18+RetiringCapacity!R16+S131+S154</f>
        <v>0</v>
      </c>
      <c r="T18" s="72">
        <f ca="1">S18+RetiringCapacity!S16+T131+T154</f>
        <v>0</v>
      </c>
      <c r="U18" s="72">
        <f ca="1">T18+RetiringCapacity!T16+U131+U154</f>
        <v>0</v>
      </c>
      <c r="V18" s="72">
        <f ca="1">U18+RetiringCapacity!U16+V131+V154</f>
        <v>0</v>
      </c>
      <c r="W18" s="72">
        <f ca="1">V18+RetiringCapacity!V16+W131+W154</f>
        <v>0</v>
      </c>
      <c r="X18" s="72">
        <f ca="1">W18+RetiringCapacity!W16+X131+X154</f>
        <v>0</v>
      </c>
      <c r="Y18" s="72">
        <f ca="1">X18+RetiringCapacity!X16+Y131+Y154</f>
        <v>0</v>
      </c>
      <c r="Z18" s="72">
        <f ca="1">Y18+RetiringCapacity!Y16+Z131+Z154</f>
        <v>0</v>
      </c>
      <c r="AA18" s="72">
        <f ca="1">Z18+RetiringCapacity!Z16+AA131+AA154</f>
        <v>0</v>
      </c>
      <c r="AB18" s="72">
        <f ca="1">AA18+RetiringCapacity!AA16+AB131+AB154</f>
        <v>0</v>
      </c>
      <c r="AC18" s="72">
        <f ca="1">AB18+RetiringCapacity!AB16+AC131+AC154</f>
        <v>0</v>
      </c>
      <c r="AD18" s="73">
        <f ca="1">AC18+RetiringCapacity!AC16+AD131+AD154</f>
        <v>0</v>
      </c>
      <c r="AE18" s="73">
        <f ca="1">AD18+RetiringCapacity!AD16+AE131+AE154</f>
        <v>0</v>
      </c>
      <c r="AF18" s="73">
        <f ca="1">AE18+RetiringCapacity!AE16+AF131+AF154</f>
        <v>0</v>
      </c>
      <c r="AG18" s="73">
        <f ca="1">AF18+RetiringCapacity!AF16+AG131+AG154</f>
        <v>0</v>
      </c>
      <c r="AH18" s="73">
        <f ca="1">AG18+RetiringCapacity!AG16+AH131+AH154</f>
        <v>0</v>
      </c>
      <c r="AI18" s="73">
        <f ca="1">AH18+RetiringCapacity!AH16+AI131+AI154</f>
        <v>0</v>
      </c>
      <c r="AJ18" s="73">
        <f ca="1">AI18+RetiringCapacity!AI16+AJ131+AJ154</f>
        <v>0</v>
      </c>
      <c r="AK18" s="73">
        <f ca="1">AJ18+RetiringCapacity!AJ16+AK131+AK154</f>
        <v>0</v>
      </c>
      <c r="AL18" s="73">
        <f ca="1">AK18+RetiringCapacity!AK16+AL131+AL154</f>
        <v>0</v>
      </c>
      <c r="AM18" s="73">
        <f ca="1">AL18+RetiringCapacity!AL16+AM131+AM154</f>
        <v>0</v>
      </c>
      <c r="AN18" s="73">
        <f ca="1">AM18+RetiringCapacity!AM16+AN131+AN154</f>
        <v>0</v>
      </c>
      <c r="AO18" s="73">
        <f ca="1">AN18+RetiringCapacity!AN16+AO131+AO154</f>
        <v>0</v>
      </c>
      <c r="AP18" s="73">
        <f ca="1">AO18+RetiringCapacity!AO16+AP131+AP154</f>
        <v>0</v>
      </c>
      <c r="AQ18" s="73">
        <f ca="1">AP18+RetiringCapacity!AP16+AQ131+AQ154</f>
        <v>0</v>
      </c>
      <c r="AR18" s="73">
        <f ca="1">AQ18+RetiringCapacity!AQ16+AR131+AR154</f>
        <v>0</v>
      </c>
      <c r="AS18" s="73">
        <f ca="1">AR18+RetiringCapacity!AR16+AS131+AS154</f>
        <v>0</v>
      </c>
      <c r="AT18" s="73">
        <f ca="1">AS18+RetiringCapacity!AS16+AT131+AT154</f>
        <v>0</v>
      </c>
      <c r="AU18" s="73">
        <f ca="1">AT18+RetiringCapacity!AT16+AU131+AU154</f>
        <v>0</v>
      </c>
      <c r="AV18" s="73">
        <f ca="1">AU18+RetiringCapacity!AU16+AV131+AV154</f>
        <v>0</v>
      </c>
      <c r="AW18" s="73">
        <f ca="1">AV18+RetiringCapacity!AV16+AW131+AW154</f>
        <v>0</v>
      </c>
    </row>
    <row r="19" spans="1:49" ht="15">
      <c r="A19" s="11">
        <v>1</v>
      </c>
      <c r="B19" t="s">
        <v>36</v>
      </c>
      <c r="C19" t="str">
        <f>'Tech Parameters'!B17</f>
        <v>solar thermal trough</v>
      </c>
      <c r="D19" s="218">
        <f>RetiringCapacity!C17</f>
        <v>0</v>
      </c>
      <c r="E19" s="219">
        <f>RetiringCapacity!D17</f>
        <v>0</v>
      </c>
      <c r="F19" s="219">
        <f>RetiringCapacity!E17</f>
        <v>0</v>
      </c>
      <c r="G19" s="219">
        <f>RetiringCapacity!F17</f>
        <v>0</v>
      </c>
      <c r="H19" s="220">
        <f>RetiringCapacity!G17</f>
        <v>0</v>
      </c>
      <c r="I19" s="72">
        <f ca="1">H19+RetiringCapacity!H17+I132+I155</f>
        <v>0</v>
      </c>
      <c r="J19" s="72">
        <f ca="1">I19+RetiringCapacity!I17+J132+J155</f>
        <v>0</v>
      </c>
      <c r="K19" s="72">
        <f ca="1">J19+RetiringCapacity!J17+K132+K155</f>
        <v>0</v>
      </c>
      <c r="L19" s="72">
        <f ca="1">K19+RetiringCapacity!K17+L132+L155</f>
        <v>0</v>
      </c>
      <c r="M19" s="72">
        <f ca="1">L19+RetiringCapacity!L17+M132+M155</f>
        <v>0</v>
      </c>
      <c r="N19" s="72">
        <f ca="1">M19+RetiringCapacity!M17+N132+N155</f>
        <v>0</v>
      </c>
      <c r="O19" s="72">
        <f ca="1">N19+RetiringCapacity!N17+O132+O155</f>
        <v>0</v>
      </c>
      <c r="P19" s="72">
        <f ca="1">O19+RetiringCapacity!O17+P132+P155</f>
        <v>0</v>
      </c>
      <c r="Q19" s="72">
        <f ca="1">P19+RetiringCapacity!P17+Q132+Q155</f>
        <v>0</v>
      </c>
      <c r="R19" s="72">
        <f ca="1">Q19+RetiringCapacity!Q17+R132+R155</f>
        <v>0</v>
      </c>
      <c r="S19" s="72">
        <f ca="1">R19+RetiringCapacity!R17+S132+S155</f>
        <v>0</v>
      </c>
      <c r="T19" s="72">
        <f ca="1">S19+RetiringCapacity!S17+T132+T155</f>
        <v>0</v>
      </c>
      <c r="U19" s="72">
        <f ca="1">T19+RetiringCapacity!T17+U132+U155</f>
        <v>0</v>
      </c>
      <c r="V19" s="72">
        <f ca="1">U19+RetiringCapacity!U17+V132+V155</f>
        <v>0</v>
      </c>
      <c r="W19" s="72">
        <f ca="1">V19+RetiringCapacity!V17+W132+W155</f>
        <v>0</v>
      </c>
      <c r="X19" s="72">
        <f ca="1">W19+RetiringCapacity!W17+X132+X155</f>
        <v>0</v>
      </c>
      <c r="Y19" s="72">
        <f ca="1">X19+RetiringCapacity!X17+Y132+Y155</f>
        <v>0</v>
      </c>
      <c r="Z19" s="72">
        <f ca="1">Y19+RetiringCapacity!Y17+Z132+Z155</f>
        <v>0</v>
      </c>
      <c r="AA19" s="72">
        <f ca="1">Z19+RetiringCapacity!Z17+AA132+AA155</f>
        <v>0</v>
      </c>
      <c r="AB19" s="72">
        <f ca="1">AA19+RetiringCapacity!AA17+AB132+AB155</f>
        <v>0</v>
      </c>
      <c r="AC19" s="72">
        <f ca="1">AB19+RetiringCapacity!AB17+AC132+AC155</f>
        <v>0</v>
      </c>
      <c r="AD19" s="73">
        <f ca="1">AC19+RetiringCapacity!AC17+AD132+AD155</f>
        <v>0</v>
      </c>
      <c r="AE19" s="73">
        <f ca="1">AD19+RetiringCapacity!AD17+AE132+AE155</f>
        <v>0</v>
      </c>
      <c r="AF19" s="73">
        <f ca="1">AE19+RetiringCapacity!AE17+AF132+AF155</f>
        <v>0</v>
      </c>
      <c r="AG19" s="73">
        <f ca="1">AF19+RetiringCapacity!AF17+AG132+AG155</f>
        <v>0</v>
      </c>
      <c r="AH19" s="73">
        <f ca="1">AG19+RetiringCapacity!AG17+AH132+AH155</f>
        <v>0</v>
      </c>
      <c r="AI19" s="73">
        <f ca="1">AH19+RetiringCapacity!AH17+AI132+AI155</f>
        <v>0</v>
      </c>
      <c r="AJ19" s="73">
        <f ca="1">AI19+RetiringCapacity!AI17+AJ132+AJ155</f>
        <v>0</v>
      </c>
      <c r="AK19" s="73">
        <f ca="1">AJ19+RetiringCapacity!AJ17+AK132+AK155</f>
        <v>0</v>
      </c>
      <c r="AL19" s="73">
        <f ca="1">AK19+RetiringCapacity!AK17+AL132+AL155</f>
        <v>0</v>
      </c>
      <c r="AM19" s="73">
        <f ca="1">AL19+RetiringCapacity!AL17+AM132+AM155</f>
        <v>0</v>
      </c>
      <c r="AN19" s="73">
        <f ca="1">AM19+RetiringCapacity!AM17+AN132+AN155</f>
        <v>0</v>
      </c>
      <c r="AO19" s="73">
        <f ca="1">AN19+RetiringCapacity!AN17+AO132+AO155</f>
        <v>0</v>
      </c>
      <c r="AP19" s="73">
        <f ca="1">AO19+RetiringCapacity!AO17+AP132+AP155</f>
        <v>0</v>
      </c>
      <c r="AQ19" s="73">
        <f ca="1">AP19+RetiringCapacity!AP17+AQ132+AQ155</f>
        <v>0</v>
      </c>
      <c r="AR19" s="73">
        <f ca="1">AQ19+RetiringCapacity!AQ17+AR132+AR155</f>
        <v>0</v>
      </c>
      <c r="AS19" s="73">
        <f ca="1">AR19+RetiringCapacity!AR17+AS132+AS155</f>
        <v>0</v>
      </c>
      <c r="AT19" s="73">
        <f ca="1">AS19+RetiringCapacity!AS17+AT132+AT155</f>
        <v>0</v>
      </c>
      <c r="AU19" s="73">
        <f ca="1">AT19+RetiringCapacity!AT17+AU132+AU155</f>
        <v>0</v>
      </c>
      <c r="AV19" s="73">
        <f ca="1">AU19+RetiringCapacity!AU17+AV132+AV155</f>
        <v>0</v>
      </c>
      <c r="AW19" s="73">
        <f ca="1">AV19+RetiringCapacity!AV17+AW132+AW155</f>
        <v>0</v>
      </c>
    </row>
    <row r="20" spans="1:49" ht="15">
      <c r="A20" s="11">
        <v>0</v>
      </c>
      <c r="B20" t="s">
        <v>36</v>
      </c>
      <c r="C20" t="str">
        <f>'Tech Parameters'!B18</f>
        <v>solar PV</v>
      </c>
      <c r="D20" s="218">
        <f>RetiringCapacity!C18</f>
        <v>0</v>
      </c>
      <c r="E20" s="219">
        <f>RetiringCapacity!D18</f>
        <v>0</v>
      </c>
      <c r="F20" s="219">
        <f>RetiringCapacity!E18</f>
        <v>0</v>
      </c>
      <c r="G20" s="219">
        <f>RetiringCapacity!F18</f>
        <v>0</v>
      </c>
      <c r="H20" s="220">
        <f>RetiringCapacity!G18</f>
        <v>0</v>
      </c>
      <c r="I20" s="72">
        <f ca="1">H20+RetiringCapacity!H18+I133+I156</f>
        <v>0</v>
      </c>
      <c r="J20" s="72">
        <f ca="1">I20+RetiringCapacity!I18+J133+J156</f>
        <v>0</v>
      </c>
      <c r="K20" s="72">
        <f ca="1">J20+RetiringCapacity!J18+K133+K156</f>
        <v>0</v>
      </c>
      <c r="L20" s="72">
        <f ca="1">K20+RetiringCapacity!K18+L133+L156</f>
        <v>0</v>
      </c>
      <c r="M20" s="72">
        <f ca="1">L20+RetiringCapacity!L18+M133+M156</f>
        <v>0</v>
      </c>
      <c r="N20" s="72">
        <f ca="1">M20+RetiringCapacity!M18+N133+N156</f>
        <v>0</v>
      </c>
      <c r="O20" s="72">
        <f ca="1">N20+RetiringCapacity!N18+O133+O156</f>
        <v>0</v>
      </c>
      <c r="P20" s="72">
        <f ca="1">O20+RetiringCapacity!O18+P133+P156</f>
        <v>0</v>
      </c>
      <c r="Q20" s="72">
        <f ca="1">P20+RetiringCapacity!P18+Q133+Q156</f>
        <v>0</v>
      </c>
      <c r="R20" s="72">
        <f ca="1">Q20+RetiringCapacity!Q18+R133+R156</f>
        <v>0</v>
      </c>
      <c r="S20" s="72">
        <f ca="1">R20+RetiringCapacity!R18+S133+S156</f>
        <v>0</v>
      </c>
      <c r="T20" s="72">
        <f ca="1">S20+RetiringCapacity!S18+T133+T156</f>
        <v>0</v>
      </c>
      <c r="U20" s="72">
        <f ca="1">T20+RetiringCapacity!T18+U133+U156</f>
        <v>0</v>
      </c>
      <c r="V20" s="72">
        <f ca="1">U20+RetiringCapacity!U18+V133+V156</f>
        <v>0</v>
      </c>
      <c r="W20" s="72">
        <f ca="1">V20+RetiringCapacity!V18+W133+W156</f>
        <v>0</v>
      </c>
      <c r="X20" s="72">
        <f ca="1">W20+RetiringCapacity!W18+X133+X156</f>
        <v>0</v>
      </c>
      <c r="Y20" s="72">
        <f ca="1">X20+RetiringCapacity!X18+Y133+Y156</f>
        <v>0</v>
      </c>
      <c r="Z20" s="72">
        <f ca="1">Y20+RetiringCapacity!Y18+Z133+Z156</f>
        <v>0</v>
      </c>
      <c r="AA20" s="72">
        <f ca="1">Z20+RetiringCapacity!Z18+AA133+AA156</f>
        <v>0</v>
      </c>
      <c r="AB20" s="72">
        <f ca="1">AA20+RetiringCapacity!AA18+AB133+AB156</f>
        <v>0</v>
      </c>
      <c r="AC20" s="72">
        <f ca="1">AB20+RetiringCapacity!AB18+AC133+AC156</f>
        <v>0</v>
      </c>
      <c r="AD20" s="73">
        <f ca="1">AC20+RetiringCapacity!AC18+AD133+AD156</f>
        <v>0</v>
      </c>
      <c r="AE20" s="73">
        <f ca="1">AD20+RetiringCapacity!AD18+AE133+AE156</f>
        <v>0</v>
      </c>
      <c r="AF20" s="73">
        <f ca="1">AE20+RetiringCapacity!AE18+AF133+AF156</f>
        <v>0</v>
      </c>
      <c r="AG20" s="73">
        <f ca="1">AF20+RetiringCapacity!AF18+AG133+AG156</f>
        <v>0</v>
      </c>
      <c r="AH20" s="73">
        <f ca="1">AG20+RetiringCapacity!AG18+AH133+AH156</f>
        <v>0</v>
      </c>
      <c r="AI20" s="73">
        <f ca="1">AH20+RetiringCapacity!AH18+AI133+AI156</f>
        <v>0</v>
      </c>
      <c r="AJ20" s="73">
        <f ca="1">AI20+RetiringCapacity!AI18+AJ133+AJ156</f>
        <v>0</v>
      </c>
      <c r="AK20" s="73">
        <f ca="1">AJ20+RetiringCapacity!AJ18+AK133+AK156</f>
        <v>0</v>
      </c>
      <c r="AL20" s="73">
        <f ca="1">AK20+RetiringCapacity!AK18+AL133+AL156</f>
        <v>0</v>
      </c>
      <c r="AM20" s="73">
        <f ca="1">AL20+RetiringCapacity!AL18+AM133+AM156</f>
        <v>0</v>
      </c>
      <c r="AN20" s="73">
        <f ca="1">AM20+RetiringCapacity!AM18+AN133+AN156</f>
        <v>0</v>
      </c>
      <c r="AO20" s="73">
        <f ca="1">AN20+RetiringCapacity!AN18+AO133+AO156</f>
        <v>0</v>
      </c>
      <c r="AP20" s="73">
        <f ca="1">AO20+RetiringCapacity!AO18+AP133+AP156</f>
        <v>0</v>
      </c>
      <c r="AQ20" s="73">
        <f ca="1">AP20+RetiringCapacity!AP18+AQ133+AQ156</f>
        <v>0</v>
      </c>
      <c r="AR20" s="73">
        <f ca="1">AQ20+RetiringCapacity!AQ18+AR133+AR156</f>
        <v>0</v>
      </c>
      <c r="AS20" s="73">
        <f ca="1">AR20+RetiringCapacity!AR18+AS133+AS156</f>
        <v>0</v>
      </c>
      <c r="AT20" s="73">
        <f ca="1">AS20+RetiringCapacity!AS18+AT133+AT156</f>
        <v>0</v>
      </c>
      <c r="AU20" s="73">
        <f ca="1">AT20+RetiringCapacity!AT18+AU133+AU156</f>
        <v>0</v>
      </c>
      <c r="AV20" s="73">
        <f ca="1">AU20+RetiringCapacity!AU18+AV133+AV156</f>
        <v>0</v>
      </c>
      <c r="AW20" s="73">
        <f ca="1">AV20+RetiringCapacity!AV18+AW133+AW156</f>
        <v>0</v>
      </c>
    </row>
    <row r="21" spans="1:49" ht="15">
      <c r="A21" s="11">
        <v>1</v>
      </c>
      <c r="C21" t="str">
        <f>'Tech Parameters'!B19</f>
        <v>combined cycle gas</v>
      </c>
      <c r="D21" s="218">
        <f>RetiringCapacity!C19</f>
        <v>0</v>
      </c>
      <c r="E21" s="219">
        <f>RetiringCapacity!D19</f>
        <v>0</v>
      </c>
      <c r="F21" s="219">
        <f>RetiringCapacity!E19</f>
        <v>0</v>
      </c>
      <c r="G21" s="219">
        <f>RetiringCapacity!F19</f>
        <v>0</v>
      </c>
      <c r="H21" s="220">
        <f>RetiringCapacity!G19</f>
        <v>0</v>
      </c>
      <c r="I21" s="72">
        <f ca="1">H21+RetiringCapacity!H19+I134+I157</f>
        <v>0</v>
      </c>
      <c r="J21" s="72">
        <f ca="1">I21+RetiringCapacity!I19+J134+J157</f>
        <v>0</v>
      </c>
      <c r="K21" s="72">
        <f ca="1">J21+RetiringCapacity!J19+K134+K157</f>
        <v>0</v>
      </c>
      <c r="L21" s="72">
        <f ca="1">K21+RetiringCapacity!K19+L134+L157</f>
        <v>0</v>
      </c>
      <c r="M21" s="72">
        <f ca="1">L21+RetiringCapacity!L19+M134+M157</f>
        <v>0</v>
      </c>
      <c r="N21" s="72">
        <f ca="1">M21+RetiringCapacity!M19+N134+N157</f>
        <v>0</v>
      </c>
      <c r="O21" s="72">
        <f ca="1">N21+RetiringCapacity!N19+O134+O157</f>
        <v>0</v>
      </c>
      <c r="P21" s="72">
        <f ca="1">O21+RetiringCapacity!O19+P134+P157</f>
        <v>0</v>
      </c>
      <c r="Q21" s="72">
        <f ca="1">P21+RetiringCapacity!P19+Q134+Q157</f>
        <v>0</v>
      </c>
      <c r="R21" s="72">
        <f ca="1">Q21+RetiringCapacity!Q19+R134+R157</f>
        <v>0</v>
      </c>
      <c r="S21" s="72">
        <f ca="1">R21+RetiringCapacity!R19+S134+S157</f>
        <v>0</v>
      </c>
      <c r="T21" s="72">
        <f ca="1">S21+RetiringCapacity!S19+T134+T157</f>
        <v>0</v>
      </c>
      <c r="U21" s="72">
        <f ca="1">T21+RetiringCapacity!T19+U134+U157</f>
        <v>0</v>
      </c>
      <c r="V21" s="72">
        <f ca="1">U21+RetiringCapacity!U19+V134+V157</f>
        <v>0</v>
      </c>
      <c r="W21" s="72">
        <f ca="1">V21+RetiringCapacity!V19+W134+W157</f>
        <v>0</v>
      </c>
      <c r="X21" s="72">
        <f ca="1">W21+RetiringCapacity!W19+X134+X157</f>
        <v>0</v>
      </c>
      <c r="Y21" s="72">
        <f ca="1">X21+RetiringCapacity!X19+Y134+Y157</f>
        <v>0</v>
      </c>
      <c r="Z21" s="72">
        <f ca="1">Y21+RetiringCapacity!Y19+Z134+Z157</f>
        <v>0</v>
      </c>
      <c r="AA21" s="72">
        <f ca="1">Z21+RetiringCapacity!Z19+AA134+AA157</f>
        <v>0</v>
      </c>
      <c r="AB21" s="72">
        <f ca="1">AA21+RetiringCapacity!AA19+AB134+AB157</f>
        <v>0</v>
      </c>
      <c r="AC21" s="72">
        <f ca="1">AB21+RetiringCapacity!AB19+AC134+AC157</f>
        <v>0</v>
      </c>
      <c r="AD21" s="73">
        <f ca="1">AC21+RetiringCapacity!AC19+AD134+AD157</f>
        <v>0</v>
      </c>
      <c r="AE21" s="73">
        <f ca="1">AD21+RetiringCapacity!AD19+AE134+AE157</f>
        <v>0</v>
      </c>
      <c r="AF21" s="73">
        <f ca="1">AE21+RetiringCapacity!AE19+AF134+AF157</f>
        <v>0</v>
      </c>
      <c r="AG21" s="73">
        <f ca="1">AF21+RetiringCapacity!AF19+AG134+AG157</f>
        <v>0</v>
      </c>
      <c r="AH21" s="73">
        <f ca="1">AG21+RetiringCapacity!AG19+AH134+AH157</f>
        <v>0</v>
      </c>
      <c r="AI21" s="73">
        <f ca="1">AH21+RetiringCapacity!AH19+AI134+AI157</f>
        <v>0</v>
      </c>
      <c r="AJ21" s="73">
        <f ca="1">AI21+RetiringCapacity!AI19+AJ134+AJ157</f>
        <v>0</v>
      </c>
      <c r="AK21" s="73">
        <f ca="1">AJ21+RetiringCapacity!AJ19+AK134+AK157</f>
        <v>0</v>
      </c>
      <c r="AL21" s="73">
        <f ca="1">AK21+RetiringCapacity!AK19+AL134+AL157</f>
        <v>0</v>
      </c>
      <c r="AM21" s="73">
        <f ca="1">AL21+RetiringCapacity!AL19+AM134+AM157</f>
        <v>0</v>
      </c>
      <c r="AN21" s="73">
        <f ca="1">AM21+RetiringCapacity!AM19+AN134+AN157</f>
        <v>0</v>
      </c>
      <c r="AO21" s="73">
        <f ca="1">AN21+RetiringCapacity!AN19+AO134+AO157</f>
        <v>0</v>
      </c>
      <c r="AP21" s="73">
        <f ca="1">AO21+RetiringCapacity!AO19+AP134+AP157</f>
        <v>0</v>
      </c>
      <c r="AQ21" s="73">
        <f ca="1">AP21+RetiringCapacity!AP19+AQ134+AQ157</f>
        <v>0</v>
      </c>
      <c r="AR21" s="73">
        <f ca="1">AQ21+RetiringCapacity!AQ19+AR134+AR157</f>
        <v>0</v>
      </c>
      <c r="AS21" s="73">
        <f ca="1">AR21+RetiringCapacity!AR19+AS134+AS157</f>
        <v>0</v>
      </c>
      <c r="AT21" s="73">
        <f ca="1">AS21+RetiringCapacity!AS19+AT134+AT157</f>
        <v>0</v>
      </c>
      <c r="AU21" s="73">
        <f ca="1">AT21+RetiringCapacity!AT19+AU134+AU157</f>
        <v>0</v>
      </c>
      <c r="AV21" s="73">
        <f ca="1">AU21+RetiringCapacity!AU19+AV134+AV157</f>
        <v>0</v>
      </c>
      <c r="AW21" s="73">
        <f ca="1">AV21+RetiringCapacity!AV19+AW134+AW157</f>
        <v>0</v>
      </c>
    </row>
    <row r="22" spans="1:49" ht="15">
      <c r="A22" s="11">
        <v>1</v>
      </c>
      <c r="C22" t="str">
        <f>'Tech Parameters'!B20</f>
        <v>PBMR</v>
      </c>
      <c r="D22" s="218">
        <f>RetiringCapacity!C20</f>
        <v>0</v>
      </c>
      <c r="E22" s="219">
        <f>RetiringCapacity!D20</f>
        <v>0</v>
      </c>
      <c r="F22" s="219">
        <f>RetiringCapacity!E20</f>
        <v>0</v>
      </c>
      <c r="G22" s="219">
        <f>RetiringCapacity!F20</f>
        <v>0</v>
      </c>
      <c r="H22" s="220">
        <f>RetiringCapacity!G20</f>
        <v>0</v>
      </c>
      <c r="I22" s="72">
        <f ca="1">H22+RetiringCapacity!H20+I135+I158</f>
        <v>0</v>
      </c>
      <c r="J22" s="72">
        <f ca="1">I22+RetiringCapacity!I20+J135+J158</f>
        <v>0</v>
      </c>
      <c r="K22" s="72">
        <f ca="1">J22+RetiringCapacity!J20+K135+K158</f>
        <v>0</v>
      </c>
      <c r="L22" s="72">
        <f ca="1">K22+RetiringCapacity!K20+L135+L158</f>
        <v>0</v>
      </c>
      <c r="M22" s="72">
        <f ca="1">L22+RetiringCapacity!L20+M135+M158</f>
        <v>0</v>
      </c>
      <c r="N22" s="72">
        <f ca="1">M22+RetiringCapacity!M20+N135+N158</f>
        <v>0</v>
      </c>
      <c r="O22" s="72">
        <f ca="1">N22+RetiringCapacity!N20+O135+O158</f>
        <v>0</v>
      </c>
      <c r="P22" s="72">
        <f ca="1">O22+RetiringCapacity!O20+P135+P158</f>
        <v>0</v>
      </c>
      <c r="Q22" s="72">
        <f ca="1">P22+RetiringCapacity!P20+Q135+Q158</f>
        <v>0</v>
      </c>
      <c r="R22" s="72">
        <f ca="1">Q22+RetiringCapacity!Q20+R135+R158</f>
        <v>0</v>
      </c>
      <c r="S22" s="72">
        <f ca="1">R22+RetiringCapacity!R20+S135+S158</f>
        <v>0</v>
      </c>
      <c r="T22" s="72">
        <f ca="1">S22+RetiringCapacity!S20+T135+T158</f>
        <v>0</v>
      </c>
      <c r="U22" s="72">
        <f ca="1">T22+RetiringCapacity!T20+U135+U158</f>
        <v>0</v>
      </c>
      <c r="V22" s="72">
        <f ca="1">U22+RetiringCapacity!U20+V135+V158</f>
        <v>0</v>
      </c>
      <c r="W22" s="72">
        <f ca="1">V22+RetiringCapacity!V20+W135+W158</f>
        <v>0</v>
      </c>
      <c r="X22" s="72">
        <f ca="1">W22+RetiringCapacity!W20+X135+X158</f>
        <v>0</v>
      </c>
      <c r="Y22" s="72">
        <f ca="1">X22+RetiringCapacity!X20+Y135+Y158</f>
        <v>0</v>
      </c>
      <c r="Z22" s="72">
        <f ca="1">Y22+RetiringCapacity!Y20+Z135+Z158</f>
        <v>0</v>
      </c>
      <c r="AA22" s="72">
        <f ca="1">Z22+RetiringCapacity!Z20+AA135+AA158</f>
        <v>0</v>
      </c>
      <c r="AB22" s="72">
        <f ca="1">AA22+RetiringCapacity!AA20+AB135+AB158</f>
        <v>0</v>
      </c>
      <c r="AC22" s="72">
        <f ca="1">AB22+RetiringCapacity!AB20+AC135+AC158</f>
        <v>0</v>
      </c>
      <c r="AD22" s="73">
        <f ca="1">AC22+RetiringCapacity!AC20+AD135+AD158</f>
        <v>0</v>
      </c>
      <c r="AE22" s="73">
        <f ca="1">AD22+RetiringCapacity!AD20+AE135+AE158</f>
        <v>0</v>
      </c>
      <c r="AF22" s="73">
        <f ca="1">AE22+RetiringCapacity!AE20+AF135+AF158</f>
        <v>0</v>
      </c>
      <c r="AG22" s="73">
        <f ca="1">AF22+RetiringCapacity!AF20+AG135+AG158</f>
        <v>0</v>
      </c>
      <c r="AH22" s="73">
        <f ca="1">AG22+RetiringCapacity!AG20+AH135+AH158</f>
        <v>0</v>
      </c>
      <c r="AI22" s="73">
        <f ca="1">AH22+RetiringCapacity!AH20+AI135+AI158</f>
        <v>0</v>
      </c>
      <c r="AJ22" s="73">
        <f ca="1">AI22+RetiringCapacity!AI20+AJ135+AJ158</f>
        <v>0</v>
      </c>
      <c r="AK22" s="73">
        <f ca="1">AJ22+RetiringCapacity!AJ20+AK135+AK158</f>
        <v>0</v>
      </c>
      <c r="AL22" s="73">
        <f ca="1">AK22+RetiringCapacity!AK20+AL135+AL158</f>
        <v>0</v>
      </c>
      <c r="AM22" s="73">
        <f ca="1">AL22+RetiringCapacity!AL20+AM135+AM158</f>
        <v>0</v>
      </c>
      <c r="AN22" s="73">
        <f ca="1">AM22+RetiringCapacity!AM20+AN135+AN158</f>
        <v>0</v>
      </c>
      <c r="AO22" s="73">
        <f ca="1">AN22+RetiringCapacity!AN20+AO135+AO158</f>
        <v>0</v>
      </c>
      <c r="AP22" s="73">
        <f ca="1">AO22+RetiringCapacity!AO20+AP135+AP158</f>
        <v>0</v>
      </c>
      <c r="AQ22" s="73">
        <f ca="1">AP22+RetiringCapacity!AP20+AQ135+AQ158</f>
        <v>0</v>
      </c>
      <c r="AR22" s="73">
        <f ca="1">AQ22+RetiringCapacity!AQ20+AR135+AR158</f>
        <v>0</v>
      </c>
      <c r="AS22" s="73">
        <f ca="1">AR22+RetiringCapacity!AR20+AS135+AS158</f>
        <v>0</v>
      </c>
      <c r="AT22" s="73">
        <f ca="1">AS22+RetiringCapacity!AS20+AT135+AT158</f>
        <v>0</v>
      </c>
      <c r="AU22" s="73">
        <f ca="1">AT22+RetiringCapacity!AT20+AU135+AU158</f>
        <v>0</v>
      </c>
      <c r="AV22" s="73">
        <f ca="1">AU22+RetiringCapacity!AU20+AV135+AV158</f>
        <v>0</v>
      </c>
      <c r="AW22" s="73">
        <f ca="1">AV22+RetiringCapacity!AV20+AW135+AW158</f>
        <v>0</v>
      </c>
    </row>
    <row r="23" spans="1:49" ht="15">
      <c r="A23" s="11"/>
      <c r="C23" t="str">
        <f>'Tech Parameters'!B21</f>
        <v>IGCC</v>
      </c>
      <c r="D23" s="218">
        <f>RetiringCapacity!C21</f>
        <v>0</v>
      </c>
      <c r="E23" s="219">
        <f>RetiringCapacity!D21</f>
        <v>0</v>
      </c>
      <c r="F23" s="219">
        <f>RetiringCapacity!E21</f>
        <v>0</v>
      </c>
      <c r="G23" s="219">
        <f>RetiringCapacity!F21</f>
        <v>0</v>
      </c>
      <c r="H23" s="220">
        <f>RetiringCapacity!G21</f>
        <v>0</v>
      </c>
      <c r="I23" s="72">
        <f ca="1">H23+RetiringCapacity!H21+I136+I159</f>
        <v>0</v>
      </c>
      <c r="J23" s="72">
        <f ca="1">I23+RetiringCapacity!I21+J136+J159</f>
        <v>0</v>
      </c>
      <c r="K23" s="72">
        <f ca="1">J23+RetiringCapacity!J21+K136+K159</f>
        <v>0</v>
      </c>
      <c r="L23" s="72">
        <f ca="1">K23+RetiringCapacity!K21+L136+L159</f>
        <v>0</v>
      </c>
      <c r="M23" s="72">
        <f ca="1">L23+RetiringCapacity!L21+M136+M159</f>
        <v>0</v>
      </c>
      <c r="N23" s="72">
        <f ca="1">M23+RetiringCapacity!M21+N136+N159</f>
        <v>0</v>
      </c>
      <c r="O23" s="72">
        <f ca="1">N23+RetiringCapacity!N21+O136+O159</f>
        <v>0</v>
      </c>
      <c r="P23" s="72">
        <f ca="1">O23+RetiringCapacity!O21+P136+P159</f>
        <v>0</v>
      </c>
      <c r="Q23" s="72">
        <f ca="1">P23+RetiringCapacity!P21+Q136+Q159</f>
        <v>0</v>
      </c>
      <c r="R23" s="72">
        <f ca="1">Q23+RetiringCapacity!Q21+R136+R159</f>
        <v>0</v>
      </c>
      <c r="S23" s="72">
        <f ca="1">R23+RetiringCapacity!R21+S136+S159</f>
        <v>0</v>
      </c>
      <c r="T23" s="72">
        <f ca="1">S23+RetiringCapacity!S21+T136+T159</f>
        <v>0</v>
      </c>
      <c r="U23" s="72">
        <f ca="1">T23+RetiringCapacity!T21+U136+U159</f>
        <v>0</v>
      </c>
      <c r="V23" s="72">
        <f ca="1">U23+RetiringCapacity!U21+V136+V159</f>
        <v>0</v>
      </c>
      <c r="W23" s="72">
        <f ca="1">V23+RetiringCapacity!V21+W136+W159</f>
        <v>0</v>
      </c>
      <c r="X23" s="72">
        <f ca="1">W23+RetiringCapacity!W21+X136+X159</f>
        <v>0</v>
      </c>
      <c r="Y23" s="72">
        <f ca="1">X23+RetiringCapacity!X21+Y136+Y159</f>
        <v>0</v>
      </c>
      <c r="Z23" s="72">
        <f ca="1">Y23+RetiringCapacity!Y21+Z136+Z159</f>
        <v>0</v>
      </c>
      <c r="AA23" s="72">
        <f ca="1">Z23+RetiringCapacity!Z21+AA136+AA159</f>
        <v>0</v>
      </c>
      <c r="AB23" s="72">
        <f ca="1">AA23+RetiringCapacity!AA21+AB136+AB159</f>
        <v>0</v>
      </c>
      <c r="AC23" s="72">
        <f ca="1">AB23+RetiringCapacity!AB21+AC136+AC159</f>
        <v>0</v>
      </c>
      <c r="AD23" s="73">
        <f ca="1">AC23+RetiringCapacity!AC21+AD136+AD159</f>
        <v>0</v>
      </c>
      <c r="AE23" s="73">
        <f ca="1">AD23+RetiringCapacity!AD21+AE136+AE159</f>
        <v>0</v>
      </c>
      <c r="AF23" s="73">
        <f ca="1">AE23+RetiringCapacity!AE21+AF136+AF159</f>
        <v>0</v>
      </c>
      <c r="AG23" s="73">
        <f ca="1">AF23+RetiringCapacity!AF21+AG136+AG159</f>
        <v>0</v>
      </c>
      <c r="AH23" s="73">
        <f ca="1">AG23+RetiringCapacity!AG21+AH136+AH159</f>
        <v>0</v>
      </c>
      <c r="AI23" s="73">
        <f ca="1">AH23+RetiringCapacity!AH21+AI136+AI159</f>
        <v>0</v>
      </c>
      <c r="AJ23" s="73">
        <f ca="1">AI23+RetiringCapacity!AI21+AJ136+AJ159</f>
        <v>0</v>
      </c>
      <c r="AK23" s="73">
        <f ca="1">AJ23+RetiringCapacity!AJ21+AK136+AK159</f>
        <v>0</v>
      </c>
      <c r="AL23" s="73">
        <f ca="1">AK23+RetiringCapacity!AK21+AL136+AL159</f>
        <v>0</v>
      </c>
      <c r="AM23" s="73">
        <f ca="1">AL23+RetiringCapacity!AL21+AM136+AM159</f>
        <v>0</v>
      </c>
      <c r="AN23" s="73">
        <f ca="1">AM23+RetiringCapacity!AM21+AN136+AN159</f>
        <v>0</v>
      </c>
      <c r="AO23" s="73">
        <f ca="1">AN23+RetiringCapacity!AN21+AO136+AO159</f>
        <v>0</v>
      </c>
      <c r="AP23" s="73">
        <f ca="1">AO23+RetiringCapacity!AO21+AP136+AP159</f>
        <v>0</v>
      </c>
      <c r="AQ23" s="73">
        <f ca="1">AP23+RetiringCapacity!AP21+AQ136+AQ159</f>
        <v>0</v>
      </c>
      <c r="AR23" s="73">
        <f ca="1">AQ23+RetiringCapacity!AQ21+AR136+AR159</f>
        <v>0</v>
      </c>
      <c r="AS23" s="73">
        <f ca="1">AR23+RetiringCapacity!AR21+AS136+AS159</f>
        <v>0</v>
      </c>
      <c r="AT23" s="73">
        <f ca="1">AS23+RetiringCapacity!AS21+AT136+AT159</f>
        <v>0</v>
      </c>
      <c r="AU23" s="73">
        <f ca="1">AT23+RetiringCapacity!AT21+AU136+AU159</f>
        <v>0</v>
      </c>
      <c r="AV23" s="73">
        <f ca="1">AU23+RetiringCapacity!AU21+AV136+AV159</f>
        <v>0</v>
      </c>
      <c r="AW23" s="73">
        <f ca="1">AV23+RetiringCapacity!AV21+AW136+AW159</f>
        <v>0</v>
      </c>
    </row>
    <row r="24" spans="1:49" ht="15">
      <c r="A24" s="11"/>
      <c r="C24" t="str">
        <f>'Tech Parameters'!B22</f>
        <v>-</v>
      </c>
      <c r="D24" s="218">
        <f>RetiringCapacity!C22</f>
        <v>0</v>
      </c>
      <c r="E24" s="219">
        <f>RetiringCapacity!D22</f>
        <v>0</v>
      </c>
      <c r="F24" s="219">
        <f>RetiringCapacity!E22</f>
        <v>0</v>
      </c>
      <c r="G24" s="219">
        <f>RetiringCapacity!F22</f>
        <v>0</v>
      </c>
      <c r="H24" s="220">
        <f>RetiringCapacity!G22</f>
        <v>0</v>
      </c>
      <c r="I24" s="72">
        <f ca="1">H24+RetiringCapacity!H22+I137+I160</f>
        <v>0</v>
      </c>
      <c r="J24" s="72">
        <f ca="1">I24+RetiringCapacity!I22+J137+J160</f>
        <v>0</v>
      </c>
      <c r="K24" s="72">
        <f ca="1">J24+RetiringCapacity!J22+K137+K160</f>
        <v>0</v>
      </c>
      <c r="L24" s="72">
        <f ca="1">K24+RetiringCapacity!K22+L137+L160</f>
        <v>0</v>
      </c>
      <c r="M24" s="72">
        <f ca="1">L24+RetiringCapacity!L22+M137+M160</f>
        <v>0</v>
      </c>
      <c r="N24" s="72">
        <f ca="1">M24+RetiringCapacity!M22+N137+N160</f>
        <v>0</v>
      </c>
      <c r="O24" s="72">
        <f ca="1">N24+RetiringCapacity!N22+O137+O160</f>
        <v>0</v>
      </c>
      <c r="P24" s="72">
        <f ca="1">O24+RetiringCapacity!O22+P137+P160</f>
        <v>0</v>
      </c>
      <c r="Q24" s="72">
        <f ca="1">P24+RetiringCapacity!P22+Q137+Q160</f>
        <v>0</v>
      </c>
      <c r="R24" s="72">
        <f ca="1">Q24+RetiringCapacity!Q22+R137+R160</f>
        <v>0</v>
      </c>
      <c r="S24" s="72">
        <f ca="1">R24+RetiringCapacity!R22+S137+S160</f>
        <v>0</v>
      </c>
      <c r="T24" s="72">
        <f ca="1">S24+RetiringCapacity!S22+T137+T160</f>
        <v>0</v>
      </c>
      <c r="U24" s="72">
        <f ca="1">T24+RetiringCapacity!T22+U137+U160</f>
        <v>0</v>
      </c>
      <c r="V24" s="72">
        <f ca="1">U24+RetiringCapacity!U22+V137+V160</f>
        <v>0</v>
      </c>
      <c r="W24" s="72">
        <f ca="1">V24+RetiringCapacity!V22+W137+W160</f>
        <v>0</v>
      </c>
      <c r="X24" s="72">
        <f ca="1">W24+RetiringCapacity!W22+X137+X160</f>
        <v>0</v>
      </c>
      <c r="Y24" s="72">
        <f ca="1">X24+RetiringCapacity!X22+Y137+Y160</f>
        <v>0</v>
      </c>
      <c r="Z24" s="72">
        <f ca="1">Y24+RetiringCapacity!Y22+Z137+Z160</f>
        <v>0</v>
      </c>
      <c r="AA24" s="72">
        <f ca="1">Z24+RetiringCapacity!Z22+AA137+AA160</f>
        <v>0</v>
      </c>
      <c r="AB24" s="72">
        <f ca="1">AA24+RetiringCapacity!AA22+AB137+AB160</f>
        <v>0</v>
      </c>
      <c r="AC24" s="72">
        <f ca="1">AB24+RetiringCapacity!AB22+AC137+AC160</f>
        <v>0</v>
      </c>
      <c r="AD24" s="73">
        <f ca="1">AC24+RetiringCapacity!AC22+AD137+AD160</f>
        <v>0</v>
      </c>
      <c r="AE24" s="73">
        <f ca="1">AD24+RetiringCapacity!AD22+AE137+AE160</f>
        <v>0</v>
      </c>
      <c r="AF24" s="73">
        <f ca="1">AE24+RetiringCapacity!AE22+AF137+AF160</f>
        <v>0</v>
      </c>
      <c r="AG24" s="73">
        <f ca="1">AF24+RetiringCapacity!AF22+AG137+AG160</f>
        <v>0</v>
      </c>
      <c r="AH24" s="73">
        <f ca="1">AG24+RetiringCapacity!AG22+AH137+AH160</f>
        <v>0</v>
      </c>
      <c r="AI24" s="73">
        <f ca="1">AH24+RetiringCapacity!AH22+AI137+AI160</f>
        <v>0</v>
      </c>
      <c r="AJ24" s="73">
        <f ca="1">AI24+RetiringCapacity!AI22+AJ137+AJ160</f>
        <v>0</v>
      </c>
      <c r="AK24" s="73">
        <f ca="1">AJ24+RetiringCapacity!AJ22+AK137+AK160</f>
        <v>0</v>
      </c>
      <c r="AL24" s="73">
        <f ca="1">AK24+RetiringCapacity!AK22+AL137+AL160</f>
        <v>0</v>
      </c>
      <c r="AM24" s="73">
        <f ca="1">AL24+RetiringCapacity!AL22+AM137+AM160</f>
        <v>0</v>
      </c>
      <c r="AN24" s="73">
        <f ca="1">AM24+RetiringCapacity!AM22+AN137+AN160</f>
        <v>0</v>
      </c>
      <c r="AO24" s="73">
        <f ca="1">AN24+RetiringCapacity!AN22+AO137+AO160</f>
        <v>0</v>
      </c>
      <c r="AP24" s="73">
        <f ca="1">AO24+RetiringCapacity!AO22+AP137+AP160</f>
        <v>0</v>
      </c>
      <c r="AQ24" s="73">
        <f ca="1">AP24+RetiringCapacity!AP22+AQ137+AQ160</f>
        <v>0</v>
      </c>
      <c r="AR24" s="73">
        <f ca="1">AQ24+RetiringCapacity!AQ22+AR137+AR160</f>
        <v>0</v>
      </c>
      <c r="AS24" s="73">
        <f ca="1">AR24+RetiringCapacity!AR22+AS137+AS160</f>
        <v>0</v>
      </c>
      <c r="AT24" s="73">
        <f ca="1">AS24+RetiringCapacity!AS22+AT137+AT160</f>
        <v>0</v>
      </c>
      <c r="AU24" s="73">
        <f ca="1">AT24+RetiringCapacity!AT22+AU137+AU160</f>
        <v>0</v>
      </c>
      <c r="AV24" s="73">
        <f ca="1">AU24+RetiringCapacity!AU22+AV137+AV160</f>
        <v>0</v>
      </c>
      <c r="AW24" s="73">
        <f ca="1">AV24+RetiringCapacity!AV22+AW137+AW160</f>
        <v>0</v>
      </c>
    </row>
    <row r="25" spans="1:49" ht="15">
      <c r="A25" s="11"/>
      <c r="C25" t="str">
        <f>'Tech Parameters'!B23</f>
        <v>-</v>
      </c>
      <c r="D25" s="218">
        <f>RetiringCapacity!C23</f>
        <v>0</v>
      </c>
      <c r="E25" s="219">
        <f>RetiringCapacity!D23</f>
        <v>0</v>
      </c>
      <c r="F25" s="219">
        <f>RetiringCapacity!E23</f>
        <v>0</v>
      </c>
      <c r="G25" s="219">
        <f>RetiringCapacity!F23</f>
        <v>0</v>
      </c>
      <c r="H25" s="220">
        <f>RetiringCapacity!G23</f>
        <v>0</v>
      </c>
      <c r="I25" s="72">
        <f ca="1">H25+RetiringCapacity!H23+I138+I161</f>
        <v>0</v>
      </c>
      <c r="J25" s="72">
        <f ca="1">I25+RetiringCapacity!I23+J138+J161</f>
        <v>0</v>
      </c>
      <c r="K25" s="72">
        <f ca="1">J25+RetiringCapacity!J23+K138+K161</f>
        <v>0</v>
      </c>
      <c r="L25" s="72">
        <f ca="1">K25+RetiringCapacity!K23+L138+L161</f>
        <v>0</v>
      </c>
      <c r="M25" s="72">
        <f ca="1">L25+RetiringCapacity!L23+M138+M161</f>
        <v>0</v>
      </c>
      <c r="N25" s="72">
        <f ca="1">M25+RetiringCapacity!M23+N138+N161</f>
        <v>0</v>
      </c>
      <c r="O25" s="72">
        <f ca="1">N25+RetiringCapacity!N23+O138+O161</f>
        <v>0</v>
      </c>
      <c r="P25" s="72">
        <f ca="1">O25+RetiringCapacity!O23+P138+P161</f>
        <v>0</v>
      </c>
      <c r="Q25" s="72">
        <f ca="1">P25+RetiringCapacity!P23+Q138+Q161</f>
        <v>0</v>
      </c>
      <c r="R25" s="72">
        <f ca="1">Q25+RetiringCapacity!Q23+R138+R161</f>
        <v>0</v>
      </c>
      <c r="S25" s="72">
        <f ca="1">R25+RetiringCapacity!R23+S138+S161</f>
        <v>0</v>
      </c>
      <c r="T25" s="72">
        <f ca="1">S25+RetiringCapacity!S23+T138+T161</f>
        <v>0</v>
      </c>
      <c r="U25" s="72">
        <f ca="1">T25+RetiringCapacity!T23+U138+U161</f>
        <v>0</v>
      </c>
      <c r="V25" s="72">
        <f ca="1">U25+RetiringCapacity!U23+V138+V161</f>
        <v>0</v>
      </c>
      <c r="W25" s="72">
        <f ca="1">V25+RetiringCapacity!V23+W138+W161</f>
        <v>0</v>
      </c>
      <c r="X25" s="72">
        <f ca="1">W25+RetiringCapacity!W23+X138+X161</f>
        <v>0</v>
      </c>
      <c r="Y25" s="72">
        <f ca="1">X25+RetiringCapacity!X23+Y138+Y161</f>
        <v>0</v>
      </c>
      <c r="Z25" s="72">
        <f ca="1">Y25+RetiringCapacity!Y23+Z138+Z161</f>
        <v>0</v>
      </c>
      <c r="AA25" s="72">
        <f ca="1">Z25+RetiringCapacity!Z23+AA138+AA161</f>
        <v>0</v>
      </c>
      <c r="AB25" s="72">
        <f ca="1">AA25+RetiringCapacity!AA23+AB138+AB161</f>
        <v>0</v>
      </c>
      <c r="AC25" s="72">
        <f ca="1">AB25+RetiringCapacity!AB23+AC138+AC161</f>
        <v>0</v>
      </c>
      <c r="AD25" s="73">
        <f ca="1">AC25+RetiringCapacity!AC23+AD138+AD161</f>
        <v>0</v>
      </c>
      <c r="AE25" s="73">
        <f ca="1">AD25+RetiringCapacity!AD23+AE138+AE161</f>
        <v>0</v>
      </c>
      <c r="AF25" s="73">
        <f ca="1">AE25+RetiringCapacity!AE23+AF138+AF161</f>
        <v>0</v>
      </c>
      <c r="AG25" s="73">
        <f ca="1">AF25+RetiringCapacity!AF23+AG138+AG161</f>
        <v>0</v>
      </c>
      <c r="AH25" s="73">
        <f ca="1">AG25+RetiringCapacity!AG23+AH138+AH161</f>
        <v>0</v>
      </c>
      <c r="AI25" s="73">
        <f ca="1">AH25+RetiringCapacity!AH23+AI138+AI161</f>
        <v>0</v>
      </c>
      <c r="AJ25" s="73">
        <f ca="1">AI25+RetiringCapacity!AI23+AJ138+AJ161</f>
        <v>0</v>
      </c>
      <c r="AK25" s="73">
        <f ca="1">AJ25+RetiringCapacity!AJ23+AK138+AK161</f>
        <v>0</v>
      </c>
      <c r="AL25" s="73">
        <f ca="1">AK25+RetiringCapacity!AK23+AL138+AL161</f>
        <v>0</v>
      </c>
      <c r="AM25" s="73">
        <f ca="1">AL25+RetiringCapacity!AL23+AM138+AM161</f>
        <v>0</v>
      </c>
      <c r="AN25" s="73">
        <f ca="1">AM25+RetiringCapacity!AM23+AN138+AN161</f>
        <v>0</v>
      </c>
      <c r="AO25" s="73">
        <f ca="1">AN25+RetiringCapacity!AN23+AO138+AO161</f>
        <v>0</v>
      </c>
      <c r="AP25" s="73">
        <f ca="1">AO25+RetiringCapacity!AO23+AP138+AP161</f>
        <v>0</v>
      </c>
      <c r="AQ25" s="73">
        <f ca="1">AP25+RetiringCapacity!AP23+AQ138+AQ161</f>
        <v>0</v>
      </c>
      <c r="AR25" s="73">
        <f ca="1">AQ25+RetiringCapacity!AQ23+AR138+AR161</f>
        <v>0</v>
      </c>
      <c r="AS25" s="73">
        <f ca="1">AR25+RetiringCapacity!AR23+AS138+AS161</f>
        <v>0</v>
      </c>
      <c r="AT25" s="73">
        <f ca="1">AS25+RetiringCapacity!AS23+AT138+AT161</f>
        <v>0</v>
      </c>
      <c r="AU25" s="73">
        <f ca="1">AT25+RetiringCapacity!AT23+AU138+AU161</f>
        <v>0</v>
      </c>
      <c r="AV25" s="73">
        <f ca="1">AU25+RetiringCapacity!AU23+AV138+AV161</f>
        <v>0</v>
      </c>
      <c r="AW25" s="73">
        <f ca="1">AV25+RetiringCapacity!AV23+AW138+AW161</f>
        <v>0</v>
      </c>
    </row>
    <row r="26" spans="1:49" ht="15">
      <c r="A26" s="11"/>
      <c r="C26" t="str">
        <f>'Tech Parameters'!B24</f>
        <v>-</v>
      </c>
      <c r="D26" s="218">
        <f>RetiringCapacity!C24</f>
        <v>0</v>
      </c>
      <c r="E26" s="219">
        <f>RetiringCapacity!D24</f>
        <v>0</v>
      </c>
      <c r="F26" s="219">
        <f>RetiringCapacity!E24</f>
        <v>0</v>
      </c>
      <c r="G26" s="219">
        <f>RetiringCapacity!F24</f>
        <v>0</v>
      </c>
      <c r="H26" s="220">
        <f>RetiringCapacity!G24</f>
        <v>0</v>
      </c>
      <c r="I26" s="72">
        <f ca="1">H26+RetiringCapacity!H24+I139+I162</f>
        <v>0</v>
      </c>
      <c r="J26" s="72">
        <f ca="1">I26+RetiringCapacity!I24+J139+J162</f>
        <v>0</v>
      </c>
      <c r="K26" s="72">
        <f ca="1">J26+RetiringCapacity!J24+K139+K162</f>
        <v>0</v>
      </c>
      <c r="L26" s="72">
        <f ca="1">K26+RetiringCapacity!K24+L139+L162</f>
        <v>0</v>
      </c>
      <c r="M26" s="72">
        <f ca="1">L26+RetiringCapacity!L24+M139+M162</f>
        <v>0</v>
      </c>
      <c r="N26" s="72">
        <f ca="1">M26+RetiringCapacity!M24+N139+N162</f>
        <v>0</v>
      </c>
      <c r="O26" s="72">
        <f ca="1">N26+RetiringCapacity!N24+O139+O162</f>
        <v>0</v>
      </c>
      <c r="P26" s="72">
        <f ca="1">O26+RetiringCapacity!O24+P139+P162</f>
        <v>0</v>
      </c>
      <c r="Q26" s="72">
        <f ca="1">P26+RetiringCapacity!P24+Q139+Q162</f>
        <v>0</v>
      </c>
      <c r="R26" s="72">
        <f ca="1">Q26+RetiringCapacity!Q24+R139+R162</f>
        <v>0</v>
      </c>
      <c r="S26" s="72">
        <f ca="1">R26+RetiringCapacity!R24+S139+S162</f>
        <v>0</v>
      </c>
      <c r="T26" s="72">
        <f ca="1">S26+RetiringCapacity!S24+T139+T162</f>
        <v>0</v>
      </c>
      <c r="U26" s="72">
        <f ca="1">T26+RetiringCapacity!T24+U139+U162</f>
        <v>0</v>
      </c>
      <c r="V26" s="72">
        <f ca="1">U26+RetiringCapacity!U24+V139+V162</f>
        <v>0</v>
      </c>
      <c r="W26" s="72">
        <f ca="1">V26+RetiringCapacity!V24+W139+W162</f>
        <v>0</v>
      </c>
      <c r="X26" s="72">
        <f ca="1">W26+RetiringCapacity!W24+X139+X162</f>
        <v>0</v>
      </c>
      <c r="Y26" s="72">
        <f ca="1">X26+RetiringCapacity!X24+Y139+Y162</f>
        <v>0</v>
      </c>
      <c r="Z26" s="72">
        <f ca="1">Y26+RetiringCapacity!Y24+Z139+Z162</f>
        <v>0</v>
      </c>
      <c r="AA26" s="72">
        <f ca="1">Z26+RetiringCapacity!Z24+AA139+AA162</f>
        <v>0</v>
      </c>
      <c r="AB26" s="72">
        <f ca="1">AA26+RetiringCapacity!AA24+AB139+AB162</f>
        <v>0</v>
      </c>
      <c r="AC26" s="72">
        <f ca="1">AB26+RetiringCapacity!AB24+AC139+AC162</f>
        <v>0</v>
      </c>
      <c r="AD26" s="73">
        <f ca="1">AC26+RetiringCapacity!AC24+AD139+AD162</f>
        <v>0</v>
      </c>
      <c r="AE26" s="73">
        <f ca="1">AD26+RetiringCapacity!AD24+AE139+AE162</f>
        <v>0</v>
      </c>
      <c r="AF26" s="73">
        <f ca="1">AE26+RetiringCapacity!AE24+AF139+AF162</f>
        <v>0</v>
      </c>
      <c r="AG26" s="73">
        <f ca="1">AF26+RetiringCapacity!AF24+AG139+AG162</f>
        <v>0</v>
      </c>
      <c r="AH26" s="73">
        <f ca="1">AG26+RetiringCapacity!AG24+AH139+AH162</f>
        <v>0</v>
      </c>
      <c r="AI26" s="73">
        <f ca="1">AH26+RetiringCapacity!AH24+AI139+AI162</f>
        <v>0</v>
      </c>
      <c r="AJ26" s="73">
        <f ca="1">AI26+RetiringCapacity!AI24+AJ139+AJ162</f>
        <v>0</v>
      </c>
      <c r="AK26" s="73">
        <f ca="1">AJ26+RetiringCapacity!AJ24+AK139+AK162</f>
        <v>0</v>
      </c>
      <c r="AL26" s="73">
        <f ca="1">AK26+RetiringCapacity!AK24+AL139+AL162</f>
        <v>0</v>
      </c>
      <c r="AM26" s="73">
        <f ca="1">AL26+RetiringCapacity!AL24+AM139+AM162</f>
        <v>0</v>
      </c>
      <c r="AN26" s="73">
        <f ca="1">AM26+RetiringCapacity!AM24+AN139+AN162</f>
        <v>0</v>
      </c>
      <c r="AO26" s="73">
        <f ca="1">AN26+RetiringCapacity!AN24+AO139+AO162</f>
        <v>0</v>
      </c>
      <c r="AP26" s="73">
        <f ca="1">AO26+RetiringCapacity!AO24+AP139+AP162</f>
        <v>0</v>
      </c>
      <c r="AQ26" s="73">
        <f ca="1">AP26+RetiringCapacity!AP24+AQ139+AQ162</f>
        <v>0</v>
      </c>
      <c r="AR26" s="73">
        <f ca="1">AQ26+RetiringCapacity!AQ24+AR139+AR162</f>
        <v>0</v>
      </c>
      <c r="AS26" s="73">
        <f ca="1">AR26+RetiringCapacity!AR24+AS139+AS162</f>
        <v>0</v>
      </c>
      <c r="AT26" s="73">
        <f ca="1">AS26+RetiringCapacity!AS24+AT139+AT162</f>
        <v>0</v>
      </c>
      <c r="AU26" s="73">
        <f ca="1">AT26+RetiringCapacity!AT24+AU139+AU162</f>
        <v>0</v>
      </c>
      <c r="AV26" s="73">
        <f ca="1">AU26+RetiringCapacity!AU24+AV139+AV162</f>
        <v>0</v>
      </c>
      <c r="AW26" s="73">
        <f ca="1">AV26+RetiringCapacity!AV24+AW139+AW162</f>
        <v>0</v>
      </c>
    </row>
    <row r="27" spans="1:49" ht="15">
      <c r="A27" s="11">
        <v>1</v>
      </c>
      <c r="C27" t="str">
        <f>'Tech Parameters'!B25</f>
        <v>Pumped storage</v>
      </c>
      <c r="D27" s="221">
        <f>RetiringCapacity!C25</f>
        <v>1.5799999999999998</v>
      </c>
      <c r="E27" s="222">
        <f>RetiringCapacity!D25</f>
        <v>1.5799999999999998</v>
      </c>
      <c r="F27" s="222">
        <f>RetiringCapacity!E25</f>
        <v>1.5799999999999998</v>
      </c>
      <c r="G27" s="222">
        <f>RetiringCapacity!F25</f>
        <v>1.5799999999999998</v>
      </c>
      <c r="H27" s="223">
        <f>RetiringCapacity!G25</f>
        <v>1.5799999999999998</v>
      </c>
      <c r="I27" s="72">
        <f ca="1">H27+RetiringCapacity!H25+I140+I163</f>
        <v>1.5799999999999998</v>
      </c>
      <c r="J27" s="72">
        <f ca="1">I27+RetiringCapacity!I25+J140+J163</f>
        <v>1.5799999999999998</v>
      </c>
      <c r="K27" s="72">
        <f ca="1">J27+RetiringCapacity!J25+K140+K163</f>
        <v>1.5799999999999998</v>
      </c>
      <c r="L27" s="72">
        <f ca="1">K27+RetiringCapacity!K25+L140+L163</f>
        <v>2.246</v>
      </c>
      <c r="M27" s="72">
        <f ca="1">L27+RetiringCapacity!L25+M140+M163</f>
        <v>2.9119999999999999</v>
      </c>
      <c r="N27" s="72">
        <f ca="1">M27+RetiringCapacity!M25+N140+N163</f>
        <v>2.9119999999999999</v>
      </c>
      <c r="O27" s="72">
        <f ca="1">N27+RetiringCapacity!N25+O140+O163</f>
        <v>2.9119999999999999</v>
      </c>
      <c r="P27" s="72">
        <f ca="1">O27+RetiringCapacity!O25+P140+P163</f>
        <v>2.9119999999999999</v>
      </c>
      <c r="Q27" s="72">
        <f ca="1">P27+RetiringCapacity!P25+Q140+Q163</f>
        <v>2.9119999999999999</v>
      </c>
      <c r="R27" s="72">
        <f ca="1">Q27+RetiringCapacity!Q25+R140+R163</f>
        <v>2.9119999999999999</v>
      </c>
      <c r="S27" s="72">
        <f ca="1">R27+RetiringCapacity!R25+S140+S163</f>
        <v>2.9119999999999999</v>
      </c>
      <c r="T27" s="72">
        <f ca="1">S27+RetiringCapacity!S25+T140+T163</f>
        <v>2.9119999999999999</v>
      </c>
      <c r="U27" s="72">
        <f ca="1">T27+RetiringCapacity!T25+U140+U163</f>
        <v>2.9119999999999999</v>
      </c>
      <c r="V27" s="72">
        <f ca="1">U27+RetiringCapacity!U25+V140+V163</f>
        <v>2.9119999999999999</v>
      </c>
      <c r="W27" s="72">
        <f ca="1">V27+RetiringCapacity!V25+W140+W163</f>
        <v>2.9119999999999999</v>
      </c>
      <c r="X27" s="72">
        <f ca="1">W27+RetiringCapacity!W25+X140+X163</f>
        <v>2.9119999999999999</v>
      </c>
      <c r="Y27" s="72">
        <f ca="1">X27+RetiringCapacity!X25+Y140+Y163</f>
        <v>2.9119999999999999</v>
      </c>
      <c r="Z27" s="72">
        <f ca="1">Y27+RetiringCapacity!Y25+Z140+Z163</f>
        <v>2.9119999999999999</v>
      </c>
      <c r="AA27" s="72">
        <f ca="1">Z27+RetiringCapacity!Z25+AA140+AA163</f>
        <v>2.9119999999999999</v>
      </c>
      <c r="AB27" s="72">
        <f ca="1">AA27+RetiringCapacity!AA25+AB140+AB163</f>
        <v>2.9119999999999999</v>
      </c>
      <c r="AC27" s="72">
        <f ca="1">AB27+RetiringCapacity!AB25+AC140+AC163</f>
        <v>2.9119999999999999</v>
      </c>
      <c r="AD27" s="73">
        <f ca="1">AC27+RetiringCapacity!AC25+AD140+AD163</f>
        <v>2.9119999999999999</v>
      </c>
      <c r="AE27" s="73">
        <f ca="1">AD27+RetiringCapacity!AD25+AE140+AE163</f>
        <v>2.9119999999999999</v>
      </c>
      <c r="AF27" s="73">
        <f ca="1">AE27+RetiringCapacity!AE25+AF140+AF163</f>
        <v>2.9119999999999999</v>
      </c>
      <c r="AG27" s="73">
        <f ca="1">AF27+RetiringCapacity!AF25+AG140+AG163</f>
        <v>2.9119999999999999</v>
      </c>
      <c r="AH27" s="73">
        <f ca="1">AG27+RetiringCapacity!AG25+AH140+AH163</f>
        <v>2.9119999999999999</v>
      </c>
      <c r="AI27" s="73">
        <f ca="1">AH27+RetiringCapacity!AH25+AI140+AI163</f>
        <v>2.9119999999999999</v>
      </c>
      <c r="AJ27" s="73">
        <f ca="1">AI27+RetiringCapacity!AI25+AJ140+AJ163</f>
        <v>2.9119999999999999</v>
      </c>
      <c r="AK27" s="73">
        <f ca="1">AJ27+RetiringCapacity!AJ25+AK140+AK163</f>
        <v>2.9119999999999999</v>
      </c>
      <c r="AL27" s="73">
        <f ca="1">AK27+RetiringCapacity!AK25+AL140+AL163</f>
        <v>2.9119999999999999</v>
      </c>
      <c r="AM27" s="73">
        <f ca="1">AL27+RetiringCapacity!AL25+AM140+AM163</f>
        <v>2.9119999999999999</v>
      </c>
      <c r="AN27" s="73">
        <f ca="1">AM27+RetiringCapacity!AM25+AN140+AN163</f>
        <v>2.9119999999999999</v>
      </c>
      <c r="AO27" s="73">
        <f ca="1">AN27+RetiringCapacity!AN25+AO140+AO163</f>
        <v>2.9119999999999999</v>
      </c>
      <c r="AP27" s="73">
        <f ca="1">AO27+RetiringCapacity!AO25+AP140+AP163</f>
        <v>2.9119999999999999</v>
      </c>
      <c r="AQ27" s="73">
        <f ca="1">AP27+RetiringCapacity!AP25+AQ140+AQ163</f>
        <v>2.9119999999999999</v>
      </c>
      <c r="AR27" s="73">
        <f ca="1">AQ27+RetiringCapacity!AQ25+AR140+AR163</f>
        <v>2.9119999999999999</v>
      </c>
      <c r="AS27" s="73">
        <f ca="1">AR27+RetiringCapacity!AR25+AS140+AS163</f>
        <v>2.9119999999999999</v>
      </c>
      <c r="AT27" s="73">
        <f ca="1">AS27+RetiringCapacity!AS25+AT140+AT163</f>
        <v>2.9119999999999999</v>
      </c>
      <c r="AU27" s="73">
        <f ca="1">AT27+RetiringCapacity!AT25+AU140+AU163</f>
        <v>2.9119999999999999</v>
      </c>
      <c r="AV27" s="73">
        <f ca="1">AU27+RetiringCapacity!AU25+AV140+AV163</f>
        <v>2.9119999999999999</v>
      </c>
      <c r="AW27" s="73">
        <f ca="1">AV27+RetiringCapacity!AV25+AW140+AW163</f>
        <v>2.9119999999999999</v>
      </c>
    </row>
    <row r="28" spans="1:49" s="4" customFormat="1">
      <c r="C28" s="3" t="s">
        <v>5</v>
      </c>
      <c r="D28" s="88">
        <f t="shared" ref="D28:I28" si="2">SUM(D8:D27)</f>
        <v>42.610444444444433</v>
      </c>
      <c r="E28" s="88">
        <f t="shared" si="2"/>
        <v>42.610444444444433</v>
      </c>
      <c r="F28" s="88">
        <f t="shared" si="2"/>
        <v>42.610444444444433</v>
      </c>
      <c r="G28" s="88">
        <f t="shared" si="2"/>
        <v>42.610444444444433</v>
      </c>
      <c r="H28" s="88">
        <f>SUM(H8:H27)</f>
        <v>42.610444444444433</v>
      </c>
      <c r="I28" s="88">
        <f t="shared" ca="1" si="2"/>
        <v>43.393444444444434</v>
      </c>
      <c r="J28" s="88">
        <f ca="1">SUM(J8:J27)</f>
        <v>44.877444444444436</v>
      </c>
      <c r="K28" s="88">
        <f t="shared" ref="K28:AC28" ca="1" si="3">SUM(K8:K27)</f>
        <v>45.671444444444433</v>
      </c>
      <c r="L28" s="88">
        <f t="shared" ca="1" si="3"/>
        <v>47.925444444444437</v>
      </c>
      <c r="M28" s="88">
        <f t="shared" ca="1" si="3"/>
        <v>50.973444444444439</v>
      </c>
      <c r="N28" s="88">
        <f t="shared" ca="1" si="3"/>
        <v>53.355444444444437</v>
      </c>
      <c r="O28" s="88">
        <f t="shared" ca="1" si="3"/>
        <v>54.905944444444437</v>
      </c>
      <c r="P28" s="88">
        <f t="shared" ca="1" si="3"/>
        <v>56.456444444444436</v>
      </c>
      <c r="Q28" s="88">
        <f t="shared" ca="1" si="3"/>
        <v>58.788444444444437</v>
      </c>
      <c r="R28" s="88">
        <f t="shared" ca="1" si="3"/>
        <v>61.120444444444445</v>
      </c>
      <c r="S28" s="88">
        <f t="shared" ca="1" si="3"/>
        <v>62.55244444444444</v>
      </c>
      <c r="T28" s="88">
        <f t="shared" ca="1" si="3"/>
        <v>64.778444444444446</v>
      </c>
      <c r="U28" s="88">
        <f t="shared" ca="1" si="3"/>
        <v>67.954444444444448</v>
      </c>
      <c r="V28" s="20">
        <f t="shared" ca="1" si="3"/>
        <v>71.056444444444452</v>
      </c>
      <c r="W28" s="20">
        <f t="shared" ca="1" si="3"/>
        <v>73.092444444444453</v>
      </c>
      <c r="X28" s="20">
        <f t="shared" ca="1" si="3"/>
        <v>74.690722222222234</v>
      </c>
      <c r="Y28" s="20">
        <f t="shared" ca="1" si="3"/>
        <v>77.518000000000001</v>
      </c>
      <c r="Z28" s="20">
        <f t="shared" ca="1" si="3"/>
        <v>80.063000000000002</v>
      </c>
      <c r="AA28" s="20">
        <f t="shared" ca="1" si="3"/>
        <v>82.307999999999993</v>
      </c>
      <c r="AB28" s="20">
        <f t="shared" ca="1" si="3"/>
        <v>84.342000000000013</v>
      </c>
      <c r="AC28" s="20">
        <f t="shared" ca="1" si="3"/>
        <v>87.110000000000014</v>
      </c>
      <c r="AD28" s="74">
        <f t="shared" ref="AD28:AW28" ca="1" si="4">SUM(AD8:AD27)</f>
        <v>85.248500000000007</v>
      </c>
      <c r="AE28" s="74">
        <f t="shared" ca="1" si="4"/>
        <v>83.456000000000017</v>
      </c>
      <c r="AF28" s="74">
        <f t="shared" ca="1" si="4"/>
        <v>83.354000000000013</v>
      </c>
      <c r="AG28" s="74">
        <f t="shared" ca="1" si="4"/>
        <v>79.820000000000022</v>
      </c>
      <c r="AH28" s="74">
        <f t="shared" ca="1" si="4"/>
        <v>76.286000000000016</v>
      </c>
      <c r="AI28" s="74">
        <f t="shared" ca="1" si="4"/>
        <v>74.441000000000017</v>
      </c>
      <c r="AJ28" s="74">
        <f t="shared" ca="1" si="4"/>
        <v>70.676000000000016</v>
      </c>
      <c r="AK28" s="74">
        <f t="shared" ca="1" si="4"/>
        <v>68.376000000000019</v>
      </c>
      <c r="AL28" s="74">
        <f t="shared" ca="1" si="4"/>
        <v>67.996000000000009</v>
      </c>
      <c r="AM28" s="74">
        <f t="shared" ca="1" si="4"/>
        <v>67.996000000000009</v>
      </c>
      <c r="AN28" s="74">
        <f t="shared" ca="1" si="4"/>
        <v>67.996000000000009</v>
      </c>
      <c r="AO28" s="74">
        <f t="shared" ca="1" si="4"/>
        <v>67.996000000000009</v>
      </c>
      <c r="AP28" s="74">
        <f t="shared" ca="1" si="4"/>
        <v>67.996000000000009</v>
      </c>
      <c r="AQ28" s="74">
        <f t="shared" ca="1" si="4"/>
        <v>67.996000000000009</v>
      </c>
      <c r="AR28" s="74">
        <f t="shared" ca="1" si="4"/>
        <v>66.074500000000015</v>
      </c>
      <c r="AS28" s="74">
        <f t="shared" ca="1" si="4"/>
        <v>64.153000000000006</v>
      </c>
      <c r="AT28" s="74">
        <f t="shared" ca="1" si="4"/>
        <v>64.153000000000006</v>
      </c>
      <c r="AU28" s="74">
        <f t="shared" ca="1" si="4"/>
        <v>64.153000000000006</v>
      </c>
      <c r="AV28" s="74">
        <f t="shared" ca="1" si="4"/>
        <v>64.153000000000006</v>
      </c>
      <c r="AW28" s="74">
        <f t="shared" ca="1" si="4"/>
        <v>64.153000000000006</v>
      </c>
    </row>
    <row r="29" spans="1:49">
      <c r="C29" s="3" t="s">
        <v>708</v>
      </c>
      <c r="D29" s="335">
        <f>D28+D40</f>
        <v>44.110444444444433</v>
      </c>
      <c r="E29" s="335">
        <f t="shared" ref="E29:J29" si="5">E28+E40</f>
        <v>44.110444444444433</v>
      </c>
      <c r="F29" s="335">
        <f t="shared" si="5"/>
        <v>44.110444444444433</v>
      </c>
      <c r="G29" s="335">
        <f t="shared" si="5"/>
        <v>44.110444444444433</v>
      </c>
      <c r="H29" s="335">
        <f t="shared" si="5"/>
        <v>44.110444444444433</v>
      </c>
      <c r="I29" s="335">
        <f t="shared" ca="1" si="5"/>
        <v>44.893444444444434</v>
      </c>
      <c r="J29" s="335">
        <f t="shared" ca="1" si="5"/>
        <v>46.377444444444436</v>
      </c>
      <c r="K29" s="335">
        <f t="shared" ref="K29" ca="1" si="6">K28+K40</f>
        <v>47.171444444444433</v>
      </c>
      <c r="L29" s="335">
        <f t="shared" ref="L29" ca="1" si="7">L28+L40</f>
        <v>49.425444444444437</v>
      </c>
      <c r="M29" s="335">
        <f t="shared" ref="M29" ca="1" si="8">M28+M40</f>
        <v>52.473444444444439</v>
      </c>
      <c r="N29" s="335">
        <f t="shared" ref="N29" ca="1" si="9">N28+N40</f>
        <v>54.855444444444437</v>
      </c>
      <c r="O29" s="335">
        <f t="shared" ref="O29:P29" ca="1" si="10">O28+O40</f>
        <v>56.405944444444437</v>
      </c>
      <c r="P29" s="335">
        <f t="shared" ca="1" si="10"/>
        <v>57.956444444444436</v>
      </c>
      <c r="Q29" s="335">
        <f t="shared" ref="Q29" ca="1" si="11">Q28+Q40</f>
        <v>60.288444444444437</v>
      </c>
      <c r="R29" s="335">
        <f t="shared" ref="R29" ca="1" si="12">R28+R40</f>
        <v>62.620444444444445</v>
      </c>
      <c r="S29" s="335">
        <f t="shared" ref="S29" ca="1" si="13">S28+S40</f>
        <v>64.052444444444433</v>
      </c>
      <c r="T29" s="335">
        <f t="shared" ref="T29" ca="1" si="14">T28+T40</f>
        <v>66.278444444444446</v>
      </c>
      <c r="U29" s="335">
        <f t="shared" ref="U29:V29" ca="1" si="15">U28+U40</f>
        <v>69.454444444444448</v>
      </c>
      <c r="V29" s="335">
        <f t="shared" ca="1" si="15"/>
        <v>72.556444444444452</v>
      </c>
      <c r="W29" s="335">
        <f t="shared" ref="W29" ca="1" si="16">W28+W40</f>
        <v>74.592444444444453</v>
      </c>
      <c r="X29" s="335">
        <f t="shared" ref="X29" ca="1" si="17">X28+X40</f>
        <v>76.190722222222234</v>
      </c>
      <c r="Y29" s="335">
        <f t="shared" ref="Y29" ca="1" si="18">Y28+Y40</f>
        <v>79.018000000000001</v>
      </c>
      <c r="Z29" s="335">
        <f t="shared" ref="Z29" ca="1" si="19">Z28+Z40</f>
        <v>81.563000000000002</v>
      </c>
      <c r="AA29" s="335">
        <f t="shared" ref="AA29:AB29" ca="1" si="20">AA28+AA40</f>
        <v>83.807999999999993</v>
      </c>
      <c r="AB29" s="335">
        <f t="shared" ca="1" si="20"/>
        <v>85.842000000000013</v>
      </c>
      <c r="AC29" s="335">
        <f t="shared" ref="AC29" ca="1" si="21">AC28+AC40</f>
        <v>88.610000000000014</v>
      </c>
    </row>
    <row r="30" spans="1:49">
      <c r="C30" s="3" t="s">
        <v>306</v>
      </c>
      <c r="D30" s="22"/>
      <c r="E30" s="22"/>
      <c r="F30" s="22"/>
      <c r="G30" s="22"/>
      <c r="H30" s="15"/>
      <c r="I30" s="26"/>
      <c r="J30" s="15"/>
      <c r="K30" s="15"/>
      <c r="L30" s="15"/>
      <c r="M30" s="15"/>
      <c r="N30" s="15"/>
      <c r="O30" s="15"/>
      <c r="P30" s="15"/>
      <c r="Q30" s="15"/>
      <c r="R30" s="15"/>
      <c r="S30" s="15"/>
      <c r="T30" s="15"/>
      <c r="U30" s="15"/>
      <c r="V30" s="15"/>
      <c r="W30" s="15"/>
      <c r="X30" s="15"/>
      <c r="Y30" s="15"/>
      <c r="Z30" s="15"/>
      <c r="AA30" s="15"/>
      <c r="AB30" s="15"/>
      <c r="AC30" s="15"/>
    </row>
    <row r="31" spans="1:49">
      <c r="C31" s="22"/>
      <c r="N31" s="31"/>
      <c r="O31" s="31"/>
      <c r="P31" s="31"/>
      <c r="Q31" s="31"/>
      <c r="R31" s="31"/>
      <c r="S31" s="31"/>
      <c r="T31" s="31"/>
      <c r="U31" s="31"/>
      <c r="V31" s="31"/>
      <c r="W31" s="31"/>
      <c r="X31" s="31"/>
      <c r="Y31" s="31"/>
      <c r="Z31" s="31"/>
      <c r="AA31" s="31"/>
      <c r="AB31" s="31"/>
      <c r="AC31" s="31"/>
    </row>
    <row r="32" spans="1:49">
      <c r="C32" s="22"/>
      <c r="D32" s="22"/>
      <c r="E32" s="22"/>
      <c r="F32" s="22"/>
      <c r="G32" s="22"/>
      <c r="H32" s="15"/>
      <c r="I32" s="15"/>
      <c r="J32" s="15"/>
      <c r="K32" s="15"/>
      <c r="L32" s="15"/>
      <c r="M32" s="15"/>
      <c r="N32" s="15"/>
      <c r="O32" s="15"/>
      <c r="P32" s="15"/>
      <c r="Q32" s="15"/>
      <c r="R32" s="15"/>
      <c r="S32" s="15"/>
      <c r="T32" s="15"/>
      <c r="U32" s="15"/>
      <c r="V32" s="15"/>
      <c r="W32" s="15"/>
      <c r="X32" s="15"/>
      <c r="Y32" s="15"/>
      <c r="Z32" s="15"/>
      <c r="AA32" s="15"/>
      <c r="AB32" s="15"/>
      <c r="AC32" s="15"/>
    </row>
    <row r="33" spans="3:35">
      <c r="C33" s="22" t="s">
        <v>62</v>
      </c>
      <c r="D33" s="22"/>
      <c r="E33" s="22"/>
      <c r="F33" s="22"/>
      <c r="G33" s="22"/>
      <c r="H33" s="15">
        <f>H28/H38-1</f>
        <v>0.12696112152073136</v>
      </c>
      <c r="I33" s="15">
        <f t="shared" ref="I33:AC33" ca="1" si="22">I28/I38-1</f>
        <v>0.1176776042581642</v>
      </c>
      <c r="J33" s="15">
        <f t="shared" ca="1" si="22"/>
        <v>0.13407311384643683</v>
      </c>
      <c r="K33" s="15">
        <f t="shared" ca="1" si="22"/>
        <v>0.12865867881430804</v>
      </c>
      <c r="L33" s="15">
        <f t="shared" ca="1" si="22"/>
        <v>0.15499073023502796</v>
      </c>
      <c r="M33" s="15">
        <f t="shared" ca="1" si="22"/>
        <v>0.19223553418763673</v>
      </c>
      <c r="N33" s="15">
        <f t="shared" ca="1" si="22"/>
        <v>0.21263513680446122</v>
      </c>
      <c r="O33" s="15">
        <f t="shared" ca="1" si="22"/>
        <v>0.21168011619348359</v>
      </c>
      <c r="P33" s="15">
        <f t="shared" ca="1" si="22"/>
        <v>0.21134031688442345</v>
      </c>
      <c r="Q33" s="15">
        <f t="shared" ca="1" si="22"/>
        <v>0.22552210999079869</v>
      </c>
      <c r="R33" s="15">
        <f t="shared" ca="1" si="22"/>
        <v>0.23731411507393485</v>
      </c>
      <c r="S33" s="15">
        <f t="shared" ca="1" si="22"/>
        <v>0.23055820274083372</v>
      </c>
      <c r="T33" s="15">
        <f t="shared" ca="1" si="22"/>
        <v>0.23758297430936159</v>
      </c>
      <c r="U33" s="15">
        <f t="shared" ca="1" si="22"/>
        <v>0.26132956292391474</v>
      </c>
      <c r="V33" s="15">
        <f t="shared" ca="1" si="22"/>
        <v>0.27997720108741109</v>
      </c>
      <c r="W33" s="15">
        <f t="shared" ca="1" si="22"/>
        <v>0.27763338358101919</v>
      </c>
      <c r="X33" s="15">
        <f t="shared" ca="1" si="22"/>
        <v>0.26638464493768432</v>
      </c>
      <c r="Y33" s="15">
        <f t="shared" ca="1" si="22"/>
        <v>0.27305340986896076</v>
      </c>
      <c r="Z33" s="15">
        <f t="shared" ca="1" si="22"/>
        <v>0.27317467792563743</v>
      </c>
      <c r="AA33" s="15">
        <f t="shared" ca="1" si="22"/>
        <v>0.2674448392448181</v>
      </c>
      <c r="AB33" s="15">
        <f t="shared" ca="1" si="22"/>
        <v>0.25809804019918725</v>
      </c>
      <c r="AC33" s="15">
        <f t="shared" ca="1" si="22"/>
        <v>0.27042084191242965</v>
      </c>
    </row>
    <row r="34" spans="3:35">
      <c r="C34" s="22" t="s">
        <v>63</v>
      </c>
      <c r="D34" s="22"/>
      <c r="E34" s="22"/>
      <c r="F34" s="22"/>
      <c r="G34" s="22"/>
      <c r="H34" s="15">
        <f>SUMPRODUCT($A$8:$A$27,H8:H27)/H38-1</f>
        <v>0.12696112152073136</v>
      </c>
      <c r="I34" s="15">
        <f t="shared" ref="I34:AC34" ca="1" si="23">SUMPRODUCT($A$8:$A$27,I8:I27)/I38-1</f>
        <v>0.11569432829033777</v>
      </c>
      <c r="J34" s="15">
        <f t="shared" ca="1" si="23"/>
        <v>0.13212728937164364</v>
      </c>
      <c r="K34" s="15">
        <f t="shared" ca="1" si="23"/>
        <v>0.12675581107439204</v>
      </c>
      <c r="L34" s="15">
        <f t="shared" ca="1" si="23"/>
        <v>0.15313505028757968</v>
      </c>
      <c r="M34" s="15">
        <f t="shared" ca="1" si="23"/>
        <v>0.19043455453768376</v>
      </c>
      <c r="N34" s="15">
        <f t="shared" ca="1" si="23"/>
        <v>0.21088512035335349</v>
      </c>
      <c r="O34" s="15">
        <f t="shared" ca="1" si="23"/>
        <v>0.20998085812787837</v>
      </c>
      <c r="P34" s="15">
        <f t="shared" ca="1" si="23"/>
        <v>0.209688190093267</v>
      </c>
      <c r="Q34" s="15">
        <f t="shared" ca="1" si="23"/>
        <v>0.22391694415657648</v>
      </c>
      <c r="R34" s="15">
        <f t="shared" ca="1" si="23"/>
        <v>0.23575533735681109</v>
      </c>
      <c r="S34" s="15">
        <f t="shared" ca="1" si="23"/>
        <v>0.2290434261009664</v>
      </c>
      <c r="T34" s="15">
        <f t="shared" ca="1" si="23"/>
        <v>0.23611190025318329</v>
      </c>
      <c r="U34" s="15">
        <f t="shared" ca="1" si="23"/>
        <v>0.25990033519437983</v>
      </c>
      <c r="V34" s="15">
        <f t="shared" ca="1" si="23"/>
        <v>0.27859015948612775</v>
      </c>
      <c r="W34" s="15">
        <f t="shared" ca="1" si="23"/>
        <v>0.27628744733160948</v>
      </c>
      <c r="X34" s="15">
        <f t="shared" ca="1" si="23"/>
        <v>0.26507910638136845</v>
      </c>
      <c r="Y34" s="15">
        <f t="shared" ca="1" si="23"/>
        <v>0.27178886340801078</v>
      </c>
      <c r="Z34" s="15">
        <f t="shared" ca="1" si="23"/>
        <v>0.27195021156539267</v>
      </c>
      <c r="AA34" s="15">
        <f t="shared" ca="1" si="23"/>
        <v>0.26625913126233947</v>
      </c>
      <c r="AB34" s="15">
        <f t="shared" ca="1" si="23"/>
        <v>0.25694946002447794</v>
      </c>
      <c r="AC34" s="15">
        <f t="shared" ca="1" si="23"/>
        <v>0.27042084191242965</v>
      </c>
    </row>
    <row r="35" spans="3:35">
      <c r="C35" s="22" t="s">
        <v>707</v>
      </c>
      <c r="D35" s="22"/>
      <c r="E35" s="22"/>
      <c r="F35" s="22"/>
      <c r="G35" s="22"/>
      <c r="H35" s="30"/>
      <c r="I35" s="30">
        <v>2.198E-2</v>
      </c>
      <c r="J35" s="30">
        <v>6.7400000000000003E-3</v>
      </c>
      <c r="K35" s="30">
        <v>8.8699999999999994E-3</v>
      </c>
      <c r="L35" s="30">
        <v>1.2999999999999999E-3</v>
      </c>
      <c r="M35" s="30">
        <v>2.0000000000000002E-5</v>
      </c>
      <c r="N35" s="30">
        <v>1.0000000000000001E-5</v>
      </c>
      <c r="O35" s="30">
        <v>1.0000000000000001E-5</v>
      </c>
      <c r="P35" s="30">
        <v>0</v>
      </c>
      <c r="Q35" s="30">
        <v>0</v>
      </c>
      <c r="R35" s="30">
        <v>0</v>
      </c>
      <c r="S35" s="30">
        <v>0</v>
      </c>
      <c r="T35" s="30">
        <v>0</v>
      </c>
      <c r="U35" s="30">
        <v>0</v>
      </c>
      <c r="V35" s="30">
        <v>0</v>
      </c>
      <c r="W35" s="30">
        <v>0</v>
      </c>
      <c r="X35" s="30">
        <v>0</v>
      </c>
      <c r="Y35" s="30">
        <v>0</v>
      </c>
      <c r="Z35" s="30">
        <v>0</v>
      </c>
      <c r="AA35" s="30">
        <v>0</v>
      </c>
      <c r="AB35" s="30">
        <v>0</v>
      </c>
      <c r="AC35" s="30">
        <v>0</v>
      </c>
      <c r="AD35" s="30"/>
      <c r="AE35" s="30"/>
      <c r="AF35" s="30"/>
      <c r="AG35" s="30"/>
      <c r="AH35" s="30"/>
      <c r="AI35" s="30"/>
    </row>
    <row r="36" spans="3:35">
      <c r="C36" s="14"/>
      <c r="D36" s="14"/>
      <c r="E36" s="14"/>
      <c r="F36" s="14"/>
      <c r="G36" s="14"/>
      <c r="I36" s="20"/>
    </row>
    <row r="37" spans="3:35">
      <c r="C37" s="3" t="s">
        <v>361</v>
      </c>
      <c r="D37" s="14"/>
      <c r="E37" s="14"/>
      <c r="F37" s="14"/>
      <c r="G37" s="14"/>
      <c r="I37" s="20"/>
    </row>
    <row r="38" spans="3:35">
      <c r="C38" s="22" t="s">
        <v>495</v>
      </c>
      <c r="D38" s="281">
        <f>'Elec Demand'!F33</f>
        <v>35.095999999999997</v>
      </c>
      <c r="E38" s="281">
        <f>'Elec Demand'!G33</f>
        <v>36.442</v>
      </c>
      <c r="F38" s="281">
        <f>'Elec Demand'!H33</f>
        <v>37.47473089407427</v>
      </c>
      <c r="G38" s="281">
        <f>'Elec Demand'!I33</f>
        <v>37.810039433255263</v>
      </c>
      <c r="H38" s="281">
        <f>'Elec Demand'!J33</f>
        <v>37.810039433255263</v>
      </c>
      <c r="I38" s="281">
        <f>'Elec Demand'!K33</f>
        <v>38.824652367661919</v>
      </c>
      <c r="J38" s="281">
        <f>'Elec Demand'!L33</f>
        <v>39.571914629237234</v>
      </c>
      <c r="K38" s="281">
        <f>'Elec Demand'!M33</f>
        <v>40.465240113533476</v>
      </c>
      <c r="L38" s="281">
        <f>'Elec Demand'!N33</f>
        <v>41.494224317014336</v>
      </c>
      <c r="M38" s="281">
        <f>'Elec Demand'!O33</f>
        <v>42.754508637571043</v>
      </c>
      <c r="N38" s="281">
        <f>'Elec Demand'!P33</f>
        <v>43.999586376036262</v>
      </c>
      <c r="O38" s="281">
        <f>'Elec Demand'!Q33</f>
        <v>45.313894080339054</v>
      </c>
      <c r="P38" s="281">
        <f>'Elec Demand'!R33</f>
        <v>46.606592431143419</v>
      </c>
      <c r="Q38" s="281">
        <f>'Elec Demand'!S33</f>
        <v>47.970121440637108</v>
      </c>
      <c r="R38" s="281">
        <f>'Elec Demand'!T33</f>
        <v>49.397678164200236</v>
      </c>
      <c r="S38" s="281">
        <f>'Elec Demand'!U33</f>
        <v>50.832576878623705</v>
      </c>
      <c r="T38" s="281">
        <f>'Elec Demand'!V33</f>
        <v>52.342708157078782</v>
      </c>
      <c r="U38" s="281">
        <f>'Elec Demand'!W33</f>
        <v>53.875249135458155</v>
      </c>
      <c r="V38" s="281">
        <f>'Elec Demand'!X33</f>
        <v>55.513836015265028</v>
      </c>
      <c r="W38" s="281">
        <f>'Elec Demand'!Y33</f>
        <v>57.209247491308531</v>
      </c>
      <c r="X38" s="281">
        <f>'Elec Demand'!Z33</f>
        <v>58.979491358170705</v>
      </c>
      <c r="Y38" s="281">
        <f>'Elec Demand'!AA33</f>
        <v>60.891396542411499</v>
      </c>
      <c r="Z38" s="281">
        <f>'Elec Demand'!AB33</f>
        <v>62.884536888877911</v>
      </c>
      <c r="AA38" s="281">
        <f>'Elec Demand'!AC33</f>
        <v>64.940104256562037</v>
      </c>
      <c r="AB38" s="281">
        <f>'Elec Demand'!AD33</f>
        <v>67.039290504455948</v>
      </c>
      <c r="AC38" s="281">
        <f>'Elec Demand'!AE33</f>
        <v>68.567829750705968</v>
      </c>
    </row>
    <row r="39" spans="3:35">
      <c r="C39" s="22" t="s">
        <v>358</v>
      </c>
      <c r="D39" s="13">
        <f>RetiringCapacity!C27</f>
        <v>2.5350000000000001</v>
      </c>
      <c r="E39" s="13">
        <f>RetiringCapacity!D27</f>
        <v>2.5350000000000001</v>
      </c>
      <c r="F39" s="13">
        <f>RetiringCapacity!E27</f>
        <v>2.5350000000000001</v>
      </c>
      <c r="G39" s="13">
        <f>RetiringCapacity!F27</f>
        <v>2.5350000000000001</v>
      </c>
      <c r="H39" s="13">
        <f>RetiringCapacity!G27</f>
        <v>2.5350000000000001</v>
      </c>
      <c r="I39" s="13">
        <f>H39+RetiringCapacity!H27+'Investment Plan'!C27/1000</f>
        <v>2.5350000000000001</v>
      </c>
      <c r="J39" s="13">
        <f>I39+RetiringCapacity!I27+'Investment Plan'!D27/1000</f>
        <v>2.5350000000000001</v>
      </c>
      <c r="K39" s="13">
        <f>J39+RetiringCapacity!J27+'Investment Plan'!E27/1000</f>
        <v>2.5350000000000001</v>
      </c>
      <c r="L39" s="13">
        <f>K39+RetiringCapacity!K27+'Investment Plan'!F27/1000</f>
        <v>1.9850000000000001</v>
      </c>
      <c r="M39" s="13">
        <f>L39+RetiringCapacity!L27+'Investment Plan'!G27/1000</f>
        <v>1.4350000000000001</v>
      </c>
      <c r="N39" s="13">
        <f>M39+RetiringCapacity!M27+'Investment Plan'!H27/1000</f>
        <v>1.4350000000000001</v>
      </c>
      <c r="O39" s="13">
        <f>N39+RetiringCapacity!N27+'Investment Plan'!I27/1000</f>
        <v>1.4350000000000001</v>
      </c>
      <c r="P39" s="13">
        <f>O39+RetiringCapacity!O27+'Investment Plan'!J27/1000</f>
        <v>1.4350000000000001</v>
      </c>
      <c r="Q39" s="13">
        <f>P39+RetiringCapacity!P27+'Investment Plan'!K27/1000</f>
        <v>1.4125000000000001</v>
      </c>
      <c r="R39" s="13">
        <f>Q39+RetiringCapacity!Q27+'Investment Plan'!L27/1000</f>
        <v>1.3900000000000001</v>
      </c>
      <c r="S39" s="13">
        <f>R39+RetiringCapacity!R27+'Investment Plan'!M27/1000</f>
        <v>1.3900000000000001</v>
      </c>
      <c r="T39" s="13">
        <f>S39+RetiringCapacity!S27+'Investment Plan'!N27/1000</f>
        <v>1.3900000000000001</v>
      </c>
      <c r="U39" s="13">
        <f>T39+RetiringCapacity!T27+'Investment Plan'!O27/1000</f>
        <v>1.3900000000000001</v>
      </c>
      <c r="V39" s="13">
        <f>U39+RetiringCapacity!U27+'Investment Plan'!P27/1000</f>
        <v>1.3900000000000001</v>
      </c>
      <c r="W39" s="13">
        <f>V39+RetiringCapacity!V27+'Investment Plan'!Q27/1000</f>
        <v>1.3900000000000001</v>
      </c>
      <c r="X39" s="13">
        <f>W39+RetiringCapacity!W27+'Investment Plan'!R27/1000</f>
        <v>0.9900000000000001</v>
      </c>
      <c r="Y39" s="13">
        <f>X39+RetiringCapacity!X27+'Investment Plan'!S27/1000</f>
        <v>0.9900000000000001</v>
      </c>
      <c r="Z39" s="13">
        <f>Y39+RetiringCapacity!Y27+'Investment Plan'!T27/1000</f>
        <v>0.9900000000000001</v>
      </c>
      <c r="AA39" s="13">
        <f>Z39+RetiringCapacity!Z27+'Investment Plan'!U27/1000</f>
        <v>0.9900000000000001</v>
      </c>
      <c r="AB39" s="13">
        <f>AA39+RetiringCapacity!AA27+'Investment Plan'!V27/1000</f>
        <v>0.9900000000000001</v>
      </c>
      <c r="AC39" s="13">
        <f>AB39+RetiringCapacity!AB27+'Investment Plan'!W27/1000</f>
        <v>0.9900000000000001</v>
      </c>
    </row>
    <row r="40" spans="3:35">
      <c r="C40" s="22" t="s">
        <v>357</v>
      </c>
      <c r="D40" s="14">
        <f>'Elec Demand'!F27</f>
        <v>1.5</v>
      </c>
      <c r="E40" s="14">
        <f>'Elec Demand'!G27</f>
        <v>1.5</v>
      </c>
      <c r="F40" s="14">
        <f>'Elec Demand'!H27</f>
        <v>1.5</v>
      </c>
      <c r="G40" s="14">
        <f>'Elec Demand'!I27</f>
        <v>1.5</v>
      </c>
      <c r="H40" s="14">
        <f>'Elec Demand'!J27</f>
        <v>1.5</v>
      </c>
      <c r="I40" s="14">
        <f>'Elec Demand'!K27</f>
        <v>1.5</v>
      </c>
      <c r="J40" s="14">
        <f>'Elec Demand'!L27</f>
        <v>1.5</v>
      </c>
      <c r="K40" s="14">
        <f>'Elec Demand'!M27</f>
        <v>1.5</v>
      </c>
      <c r="L40" s="14">
        <f>'Elec Demand'!N27</f>
        <v>1.5</v>
      </c>
      <c r="M40" s="14">
        <f>'Elec Demand'!O27</f>
        <v>1.5</v>
      </c>
      <c r="N40" s="14">
        <f>'Elec Demand'!P27</f>
        <v>1.5</v>
      </c>
      <c r="O40" s="14">
        <f>'Elec Demand'!Q27</f>
        <v>1.5</v>
      </c>
      <c r="P40" s="14">
        <f>'Elec Demand'!R27</f>
        <v>1.5</v>
      </c>
      <c r="Q40" s="14">
        <f>'Elec Demand'!S27</f>
        <v>1.5</v>
      </c>
      <c r="R40" s="14">
        <f>'Elec Demand'!T27</f>
        <v>1.5</v>
      </c>
      <c r="S40" s="14">
        <f>'Elec Demand'!U27</f>
        <v>1.5</v>
      </c>
      <c r="T40" s="14">
        <f>'Elec Demand'!V27</f>
        <v>1.5</v>
      </c>
      <c r="U40" s="14">
        <f>'Elec Demand'!W27</f>
        <v>1.5</v>
      </c>
      <c r="V40" s="14">
        <f>'Elec Demand'!X27</f>
        <v>1.5</v>
      </c>
      <c r="W40" s="14">
        <f>'Elec Demand'!Y27</f>
        <v>1.5</v>
      </c>
      <c r="X40" s="14">
        <f>'Elec Demand'!Z27</f>
        <v>1.5</v>
      </c>
      <c r="Y40" s="14">
        <f>'Elec Demand'!AA27</f>
        <v>1.5</v>
      </c>
      <c r="Z40" s="14">
        <f>'Elec Demand'!AB27</f>
        <v>1.5</v>
      </c>
      <c r="AA40" s="14">
        <f>'Elec Demand'!AC27</f>
        <v>1.5</v>
      </c>
      <c r="AB40" s="14">
        <f>'Elec Demand'!AD27</f>
        <v>1.5</v>
      </c>
      <c r="AC40" s="14">
        <f>'Elec Demand'!AE27</f>
        <v>1.5</v>
      </c>
    </row>
    <row r="41" spans="3:35">
      <c r="C41" s="22" t="s">
        <v>360</v>
      </c>
      <c r="D41" s="281">
        <f>SUMPRODUCT($A$8:$A$27,D8:D27)</f>
        <v>42.610444444444433</v>
      </c>
      <c r="E41" s="281">
        <f t="shared" ref="E41:AC41" si="24">SUMPRODUCT($A$8:$A$27,E8:E27)</f>
        <v>42.610444444444433</v>
      </c>
      <c r="F41" s="281">
        <f t="shared" si="24"/>
        <v>42.610444444444433</v>
      </c>
      <c r="G41" s="281">
        <f t="shared" si="24"/>
        <v>42.610444444444433</v>
      </c>
      <c r="H41" s="281">
        <f t="shared" si="24"/>
        <v>42.610444444444433</v>
      </c>
      <c r="I41" s="281">
        <f t="shared" ca="1" si="24"/>
        <v>43.316444444444436</v>
      </c>
      <c r="J41" s="281">
        <f t="shared" ca="1" si="24"/>
        <v>44.800444444444437</v>
      </c>
      <c r="K41" s="281">
        <f t="shared" ca="1" si="24"/>
        <v>45.594444444444434</v>
      </c>
      <c r="L41" s="281">
        <f t="shared" ca="1" si="24"/>
        <v>47.848444444444439</v>
      </c>
      <c r="M41" s="281">
        <f t="shared" ca="1" si="24"/>
        <v>50.896444444444441</v>
      </c>
      <c r="N41" s="281">
        <f t="shared" ca="1" si="24"/>
        <v>53.278444444444439</v>
      </c>
      <c r="O41" s="281">
        <f t="shared" ca="1" si="24"/>
        <v>54.828944444444438</v>
      </c>
      <c r="P41" s="281">
        <f t="shared" ca="1" si="24"/>
        <v>56.379444444444438</v>
      </c>
      <c r="Q41" s="281">
        <f t="shared" ca="1" si="24"/>
        <v>58.711444444444439</v>
      </c>
      <c r="R41" s="281">
        <f t="shared" ca="1" si="24"/>
        <v>61.043444444444447</v>
      </c>
      <c r="S41" s="281">
        <f t="shared" ca="1" si="24"/>
        <v>62.475444444444442</v>
      </c>
      <c r="T41" s="281">
        <f t="shared" ca="1" si="24"/>
        <v>64.701444444444448</v>
      </c>
      <c r="U41" s="281">
        <f t="shared" ca="1" si="24"/>
        <v>67.87744444444445</v>
      </c>
      <c r="V41" s="281">
        <f t="shared" ca="1" si="24"/>
        <v>70.979444444444454</v>
      </c>
      <c r="W41" s="281">
        <f t="shared" ca="1" si="24"/>
        <v>73.015444444444455</v>
      </c>
      <c r="X41" s="281">
        <f t="shared" ca="1" si="24"/>
        <v>74.613722222222236</v>
      </c>
      <c r="Y41" s="281">
        <f t="shared" ca="1" si="24"/>
        <v>77.441000000000003</v>
      </c>
      <c r="Z41" s="281">
        <f t="shared" ca="1" si="24"/>
        <v>79.986000000000004</v>
      </c>
      <c r="AA41" s="281">
        <f t="shared" ca="1" si="24"/>
        <v>82.230999999999995</v>
      </c>
      <c r="AB41" s="281">
        <f t="shared" ca="1" si="24"/>
        <v>84.265000000000015</v>
      </c>
      <c r="AC41" s="281">
        <f t="shared" ca="1" si="24"/>
        <v>87.110000000000014</v>
      </c>
    </row>
    <row r="42" spans="3:35">
      <c r="C42" s="14"/>
      <c r="D42" s="14"/>
      <c r="E42" s="14"/>
      <c r="F42" s="14"/>
      <c r="G42" s="14"/>
      <c r="I42" s="20"/>
    </row>
    <row r="43" spans="3:35">
      <c r="C43" s="3" t="s">
        <v>62</v>
      </c>
      <c r="D43" s="14"/>
      <c r="E43" s="14"/>
      <c r="F43" s="14"/>
      <c r="G43" s="14"/>
      <c r="I43" s="20"/>
    </row>
    <row r="44" spans="3:35">
      <c r="C44" s="22" t="s">
        <v>353</v>
      </c>
      <c r="D44" s="6">
        <f>D41/D38-1</f>
        <v>0.21411113643846691</v>
      </c>
      <c r="E44" s="6">
        <f t="shared" ref="E44:AC44" si="25">E41/E38-1</f>
        <v>0.16926745086560646</v>
      </c>
      <c r="F44" s="6">
        <f t="shared" si="25"/>
        <v>0.13704470793630841</v>
      </c>
      <c r="G44" s="6">
        <f t="shared" si="25"/>
        <v>0.12696112152073136</v>
      </c>
      <c r="H44" s="6">
        <f t="shared" si="25"/>
        <v>0.12696112152073136</v>
      </c>
      <c r="I44" s="6">
        <f t="shared" ca="1" si="25"/>
        <v>0.11569432829033777</v>
      </c>
      <c r="J44" s="6">
        <f t="shared" ca="1" si="25"/>
        <v>0.13212728937164364</v>
      </c>
      <c r="K44" s="6">
        <f t="shared" ca="1" si="25"/>
        <v>0.12675581107439204</v>
      </c>
      <c r="L44" s="6">
        <f t="shared" ca="1" si="25"/>
        <v>0.15313505028757968</v>
      </c>
      <c r="M44" s="6">
        <f t="shared" ca="1" si="25"/>
        <v>0.19043455453768376</v>
      </c>
      <c r="N44" s="6">
        <f t="shared" ca="1" si="25"/>
        <v>0.21088512035335349</v>
      </c>
      <c r="O44" s="6">
        <f t="shared" ca="1" si="25"/>
        <v>0.20998085812787837</v>
      </c>
      <c r="P44" s="6">
        <f t="shared" ca="1" si="25"/>
        <v>0.209688190093267</v>
      </c>
      <c r="Q44" s="6">
        <f t="shared" ca="1" si="25"/>
        <v>0.22391694415657648</v>
      </c>
      <c r="R44" s="6">
        <f t="shared" ca="1" si="25"/>
        <v>0.23575533735681109</v>
      </c>
      <c r="S44" s="6">
        <f t="shared" ca="1" si="25"/>
        <v>0.2290434261009664</v>
      </c>
      <c r="T44" s="6">
        <f t="shared" ca="1" si="25"/>
        <v>0.23611190025318329</v>
      </c>
      <c r="U44" s="6">
        <f t="shared" ca="1" si="25"/>
        <v>0.25990033519437983</v>
      </c>
      <c r="V44" s="6">
        <f t="shared" ca="1" si="25"/>
        <v>0.27859015948612775</v>
      </c>
      <c r="W44" s="6">
        <f t="shared" ca="1" si="25"/>
        <v>0.27628744733160948</v>
      </c>
      <c r="X44" s="6">
        <f t="shared" ca="1" si="25"/>
        <v>0.26507910638136845</v>
      </c>
      <c r="Y44" s="6">
        <f t="shared" ca="1" si="25"/>
        <v>0.27178886340801078</v>
      </c>
      <c r="Z44" s="6">
        <f t="shared" ca="1" si="25"/>
        <v>0.27195021156539267</v>
      </c>
      <c r="AA44" s="6">
        <f t="shared" ca="1" si="25"/>
        <v>0.26625913126233947</v>
      </c>
      <c r="AB44" s="6">
        <f t="shared" ca="1" si="25"/>
        <v>0.25694946002447794</v>
      </c>
      <c r="AC44" s="6">
        <f t="shared" ca="1" si="25"/>
        <v>0.27042084191242965</v>
      </c>
    </row>
    <row r="45" spans="3:35">
      <c r="C45" s="22" t="s">
        <v>354</v>
      </c>
      <c r="D45" s="6">
        <f>D41/(D38-D39)-1</f>
        <v>0.30863439220062161</v>
      </c>
      <c r="E45" s="6">
        <f t="shared" ref="E45:AC45" si="26">E41/(E38-E39)-1</f>
        <v>0.25668577121079528</v>
      </c>
      <c r="F45" s="6">
        <f t="shared" si="26"/>
        <v>0.21954128878740442</v>
      </c>
      <c r="G45" s="6">
        <f t="shared" si="26"/>
        <v>0.20794888195854933</v>
      </c>
      <c r="H45" s="6">
        <f t="shared" si="26"/>
        <v>0.20794888195854933</v>
      </c>
      <c r="I45" s="6">
        <f t="shared" ca="1" si="26"/>
        <v>0.19363073543917908</v>
      </c>
      <c r="J45" s="6">
        <f t="shared" ca="1" si="26"/>
        <v>0.20961599779368822</v>
      </c>
      <c r="K45" s="6">
        <f t="shared" ca="1" si="26"/>
        <v>0.20206052764154214</v>
      </c>
      <c r="L45" s="6">
        <f t="shared" ca="1" si="26"/>
        <v>0.21107020630214923</v>
      </c>
      <c r="M45" s="6">
        <f t="shared" ca="1" si="26"/>
        <v>0.23177758213139232</v>
      </c>
      <c r="N45" s="6">
        <f t="shared" ca="1" si="26"/>
        <v>0.25170826221020315</v>
      </c>
      <c r="O45" s="6">
        <f t="shared" ca="1" si="26"/>
        <v>0.24955164877347746</v>
      </c>
      <c r="P45" s="6">
        <f t="shared" ca="1" si="26"/>
        <v>0.24811726596500949</v>
      </c>
      <c r="Q45" s="6">
        <f t="shared" ca="1" si="26"/>
        <v>0.26104905336076833</v>
      </c>
      <c r="R45" s="6">
        <f t="shared" ca="1" si="26"/>
        <v>0.27153502895220427</v>
      </c>
      <c r="S45" s="6">
        <f t="shared" ca="1" si="26"/>
        <v>0.26359604188541885</v>
      </c>
      <c r="T45" s="6">
        <f t="shared" ca="1" si="26"/>
        <v>0.26983327843891214</v>
      </c>
      <c r="U45" s="6">
        <f t="shared" ca="1" si="26"/>
        <v>0.29326707146346731</v>
      </c>
      <c r="V45" s="6">
        <f t="shared" ca="1" si="26"/>
        <v>0.31142671455189341</v>
      </c>
      <c r="W45" s="6">
        <f t="shared" ca="1" si="26"/>
        <v>0.30806930809687993</v>
      </c>
      <c r="X45" s="6">
        <f t="shared" ca="1" si="26"/>
        <v>0.28667661113584142</v>
      </c>
      <c r="Y45" s="6">
        <f t="shared" ca="1" si="26"/>
        <v>0.29280792218542162</v>
      </c>
      <c r="Z45" s="6">
        <f t="shared" ca="1" si="26"/>
        <v>0.2922949911331032</v>
      </c>
      <c r="AA45" s="6">
        <f t="shared" ca="1" si="26"/>
        <v>0.28586185989778312</v>
      </c>
      <c r="AB45" s="6">
        <f t="shared" ca="1" si="26"/>
        <v>0.27578963159816472</v>
      </c>
      <c r="AC45" s="6">
        <f t="shared" ca="1" si="26"/>
        <v>0.28903222138603812</v>
      </c>
    </row>
    <row r="46" spans="3:35">
      <c r="C46" s="22" t="s">
        <v>355</v>
      </c>
      <c r="D46" s="6">
        <f>(D41+D40)/D38-1</f>
        <v>0.25685104981890916</v>
      </c>
      <c r="E46" s="6">
        <f t="shared" ref="E46:AC46" si="27">(E41+E40)/E38-1</f>
        <v>0.21042874826970071</v>
      </c>
      <c r="F46" s="6">
        <f t="shared" si="27"/>
        <v>0.17707167982410899</v>
      </c>
      <c r="G46" s="6">
        <f t="shared" si="27"/>
        <v>0.16663312457822355</v>
      </c>
      <c r="H46" s="6">
        <f t="shared" si="27"/>
        <v>0.16663312457822355</v>
      </c>
      <c r="I46" s="6">
        <f ca="1">(I41+I40)/I38-1</f>
        <v>0.15432957441682693</v>
      </c>
      <c r="J46" s="6">
        <f t="shared" ca="1" si="27"/>
        <v>0.1700329609585256</v>
      </c>
      <c r="K46" s="6">
        <f t="shared" ca="1" si="27"/>
        <v>0.16382466315067878</v>
      </c>
      <c r="L46" s="6">
        <f t="shared" ca="1" si="27"/>
        <v>0.1892846596534532</v>
      </c>
      <c r="M46" s="6">
        <f t="shared" ca="1" si="27"/>
        <v>0.22551857369260997</v>
      </c>
      <c r="N46" s="6">
        <f t="shared" ca="1" si="27"/>
        <v>0.24497634992038764</v>
      </c>
      <c r="O46" s="6">
        <f t="shared" ca="1" si="27"/>
        <v>0.24308328797733214</v>
      </c>
      <c r="P46" s="6">
        <f t="shared" ca="1" si="27"/>
        <v>0.24187247823267777</v>
      </c>
      <c r="Q46" s="6">
        <f t="shared" ca="1" si="27"/>
        <v>0.25518640845960605</v>
      </c>
      <c r="R46" s="6">
        <f t="shared" ca="1" si="27"/>
        <v>0.26612113704103768</v>
      </c>
      <c r="S46" s="6">
        <f t="shared" ca="1" si="27"/>
        <v>0.25855206194253788</v>
      </c>
      <c r="T46" s="6">
        <f t="shared" ca="1" si="27"/>
        <v>0.2647691870618547</v>
      </c>
      <c r="U46" s="6">
        <f t="shared" ca="1" si="27"/>
        <v>0.28774243382168385</v>
      </c>
      <c r="V46" s="6">
        <f t="shared" ca="1" si="27"/>
        <v>0.30561045042022084</v>
      </c>
      <c r="W46" s="6">
        <f t="shared" ca="1" si="27"/>
        <v>0.30250698465777148</v>
      </c>
      <c r="X46" s="6">
        <f t="shared" ca="1" si="27"/>
        <v>0.29051167566025216</v>
      </c>
      <c r="Y46" s="6">
        <f t="shared" ca="1" si="27"/>
        <v>0.29642288537456629</v>
      </c>
      <c r="Z46" s="6">
        <f t="shared" ca="1" si="27"/>
        <v>0.2958034523493811</v>
      </c>
      <c r="AA46" s="6">
        <f t="shared" ca="1" si="27"/>
        <v>0.28935733871322178</v>
      </c>
      <c r="AB46" s="6">
        <f t="shared" ca="1" si="27"/>
        <v>0.27932439849284219</v>
      </c>
      <c r="AC46" s="6">
        <f t="shared" ca="1" si="27"/>
        <v>0.29229699003398446</v>
      </c>
    </row>
    <row r="47" spans="3:35">
      <c r="C47" s="22" t="s">
        <v>356</v>
      </c>
      <c r="D47" s="6">
        <f>(D41+D40)/(D38-D39)-1</f>
        <v>0.35470177342355713</v>
      </c>
      <c r="E47" s="6">
        <f t="shared" ref="E47:AC47" si="28">(E41+E40)/(E38-E39)-1</f>
        <v>0.30092442399635577</v>
      </c>
      <c r="F47" s="6">
        <f t="shared" si="28"/>
        <v>0.26247235784879774</v>
      </c>
      <c r="G47" s="6">
        <f t="shared" si="28"/>
        <v>0.25047186773261743</v>
      </c>
      <c r="H47" s="6">
        <f t="shared" si="28"/>
        <v>0.25047186773261743</v>
      </c>
      <c r="I47" s="6">
        <f t="shared" ca="1" si="28"/>
        <v>0.23496483213437536</v>
      </c>
      <c r="J47" s="6">
        <f t="shared" ca="1" si="28"/>
        <v>0.2501161316470597</v>
      </c>
      <c r="K47" s="6">
        <f t="shared" ca="1" si="28"/>
        <v>0.2416068103834963</v>
      </c>
      <c r="L47" s="6">
        <f t="shared" ca="1" si="28"/>
        <v>0.24903602380249512</v>
      </c>
      <c r="M47" s="6">
        <f t="shared" ca="1" si="28"/>
        <v>0.26808004674095653</v>
      </c>
      <c r="N47" s="6">
        <f t="shared" ca="1" si="28"/>
        <v>0.28694882549791556</v>
      </c>
      <c r="O47" s="6">
        <f t="shared" ca="1" si="28"/>
        <v>0.28373664890710915</v>
      </c>
      <c r="P47" s="6">
        <f t="shared" ca="1" si="28"/>
        <v>0.28132397662694819</v>
      </c>
      <c r="Q47" s="6">
        <f t="shared" ca="1" si="28"/>
        <v>0.29326719409874746</v>
      </c>
      <c r="R47" s="6">
        <f t="shared" ca="1" si="28"/>
        <v>0.302780030946876</v>
      </c>
      <c r="S47" s="6">
        <f t="shared" ca="1" si="28"/>
        <v>0.29393426644200593</v>
      </c>
      <c r="T47" s="6">
        <f t="shared" ca="1" si="28"/>
        <v>0.29927234172433637</v>
      </c>
      <c r="U47" s="6">
        <f t="shared" ca="1" si="28"/>
        <v>0.32184652997244156</v>
      </c>
      <c r="V47" s="6">
        <f t="shared" ca="1" si="28"/>
        <v>0.33914093642591103</v>
      </c>
      <c r="W47" s="6">
        <f t="shared" ca="1" si="28"/>
        <v>0.33494175922108349</v>
      </c>
      <c r="X47" s="6">
        <f t="shared" ca="1" si="28"/>
        <v>0.31254336673014871</v>
      </c>
      <c r="Y47" s="6">
        <f t="shared" ca="1" si="28"/>
        <v>0.31784907458890466</v>
      </c>
      <c r="Z47" s="6">
        <f t="shared" ca="1" si="28"/>
        <v>0.31652976330197835</v>
      </c>
      <c r="AA47" s="6">
        <f t="shared" ca="1" si="28"/>
        <v>0.30931764652140048</v>
      </c>
      <c r="AB47" s="6">
        <f t="shared" ca="1" si="28"/>
        <v>0.29849994367788035</v>
      </c>
      <c r="AC47" s="6">
        <f t="shared" ca="1" si="28"/>
        <v>0.31122885015516966</v>
      </c>
    </row>
    <row r="48" spans="3:35">
      <c r="C48" s="14"/>
      <c r="D48" s="14"/>
      <c r="E48" s="14"/>
      <c r="F48" s="14"/>
      <c r="G48" s="14"/>
      <c r="I48" s="20"/>
    </row>
    <row r="49" spans="2:29">
      <c r="B49" s="4" t="s">
        <v>7</v>
      </c>
      <c r="C49" s="3" t="s">
        <v>334</v>
      </c>
      <c r="D49" s="3"/>
      <c r="E49" s="3"/>
      <c r="F49" s="3"/>
      <c r="G49" s="3"/>
      <c r="I49" s="27">
        <f>I7</f>
        <v>2010</v>
      </c>
      <c r="J49" s="27">
        <f t="shared" ref="J49:AC49" si="29">J7</f>
        <v>2011</v>
      </c>
      <c r="K49" s="27">
        <f t="shared" si="29"/>
        <v>2012</v>
      </c>
      <c r="L49" s="27">
        <f t="shared" si="29"/>
        <v>2013</v>
      </c>
      <c r="M49" s="27">
        <f t="shared" si="29"/>
        <v>2014</v>
      </c>
      <c r="N49" s="27">
        <f t="shared" si="29"/>
        <v>2015</v>
      </c>
      <c r="O49" s="27">
        <f t="shared" si="29"/>
        <v>2016</v>
      </c>
      <c r="P49" s="27">
        <f t="shared" si="29"/>
        <v>2017</v>
      </c>
      <c r="Q49" s="27">
        <f t="shared" si="29"/>
        <v>2018</v>
      </c>
      <c r="R49" s="27">
        <f t="shared" si="29"/>
        <v>2019</v>
      </c>
      <c r="S49" s="27">
        <f t="shared" si="29"/>
        <v>2020</v>
      </c>
      <c r="T49" s="27">
        <f t="shared" si="29"/>
        <v>2021</v>
      </c>
      <c r="U49" s="27">
        <f t="shared" si="29"/>
        <v>2022</v>
      </c>
      <c r="V49" s="27">
        <f t="shared" si="29"/>
        <v>2023</v>
      </c>
      <c r="W49" s="27">
        <f t="shared" si="29"/>
        <v>2024</v>
      </c>
      <c r="X49" s="27">
        <f t="shared" si="29"/>
        <v>2025</v>
      </c>
      <c r="Y49" s="27">
        <f t="shared" si="29"/>
        <v>2026</v>
      </c>
      <c r="Z49" s="27">
        <f t="shared" si="29"/>
        <v>2027</v>
      </c>
      <c r="AA49" s="27">
        <f t="shared" si="29"/>
        <v>2028</v>
      </c>
      <c r="AB49" s="27">
        <f t="shared" si="29"/>
        <v>2029</v>
      </c>
      <c r="AC49" s="27">
        <f t="shared" si="29"/>
        <v>2030</v>
      </c>
    </row>
    <row r="50" spans="2:29" ht="15">
      <c r="B50" s="228">
        <f>'Tech Parameters'!J6/1000</f>
        <v>0.56427777777777788</v>
      </c>
      <c r="C50" t="str">
        <f>C8</f>
        <v>Existing coal Large</v>
      </c>
      <c r="D50" s="14"/>
      <c r="E50" s="14"/>
      <c r="F50" s="14"/>
      <c r="G50" s="14"/>
      <c r="I50">
        <f>IF('Investment Plan'!C7&gt;0,'Investment Plan'!C7,0)</f>
        <v>0</v>
      </c>
      <c r="J50">
        <f>IF('Investment Plan'!D7&gt;0,'Investment Plan'!D7,0)</f>
        <v>0</v>
      </c>
      <c r="K50">
        <f>IF('Investment Plan'!E7&gt;0,'Investment Plan'!E7,0)</f>
        <v>0</v>
      </c>
      <c r="L50">
        <f>IF('Investment Plan'!F7&gt;0,'Investment Plan'!F7,0)</f>
        <v>0</v>
      </c>
      <c r="M50">
        <f>IF('Investment Plan'!G7&gt;0,'Investment Plan'!G7,0)</f>
        <v>0</v>
      </c>
      <c r="N50">
        <f>IF('Investment Plan'!H7&gt;0,'Investment Plan'!H7,0)</f>
        <v>0</v>
      </c>
      <c r="O50">
        <f>IF('Investment Plan'!I7&gt;0,'Investment Plan'!I7,0)</f>
        <v>0</v>
      </c>
      <c r="P50">
        <f>IF('Investment Plan'!J7&gt;0,'Investment Plan'!J7,0)</f>
        <v>0</v>
      </c>
      <c r="Q50">
        <f>IF('Investment Plan'!K7&gt;0,'Investment Plan'!K7,0)</f>
        <v>0</v>
      </c>
      <c r="R50">
        <f>IF('Investment Plan'!L7&gt;0,'Investment Plan'!L7,0)</f>
        <v>0</v>
      </c>
      <c r="S50">
        <f>IF('Investment Plan'!M7&gt;0,'Investment Plan'!M7,0)</f>
        <v>0</v>
      </c>
      <c r="T50">
        <f>IF('Investment Plan'!N7&gt;0,'Investment Plan'!N7,0)</f>
        <v>0</v>
      </c>
      <c r="U50">
        <f>IF('Investment Plan'!O7&gt;0,'Investment Plan'!O7,0)</f>
        <v>0</v>
      </c>
      <c r="V50">
        <f>IF('Investment Plan'!P7&gt;0,'Investment Plan'!P7,0)</f>
        <v>0</v>
      </c>
      <c r="W50">
        <f>IF('Investment Plan'!Q7&gt;0,'Investment Plan'!Q7,0)</f>
        <v>0</v>
      </c>
      <c r="X50">
        <f>IF('Investment Plan'!R7&gt;0,'Investment Plan'!R7,0)</f>
        <v>0</v>
      </c>
      <c r="Y50">
        <f>IF('Investment Plan'!S7&gt;0,'Investment Plan'!S7,0)</f>
        <v>0</v>
      </c>
      <c r="Z50">
        <f>IF('Investment Plan'!T7&gt;0,'Investment Plan'!T7,0)</f>
        <v>0</v>
      </c>
      <c r="AA50">
        <f>IF('Investment Plan'!U7&gt;0,'Investment Plan'!U7,0)</f>
        <v>0</v>
      </c>
      <c r="AB50">
        <f>IF('Investment Plan'!V7&gt;0,'Investment Plan'!V7,0)</f>
        <v>0</v>
      </c>
      <c r="AC50">
        <f>IF('Investment Plan'!W7&gt;0,'Investment Plan'!W7,0)</f>
        <v>0</v>
      </c>
    </row>
    <row r="51" spans="2:29" ht="15">
      <c r="B51" s="228">
        <f>'Tech Parameters'!J7/1000</f>
        <v>0.11443859649122806</v>
      </c>
      <c r="C51" t="str">
        <f t="shared" ref="C51:C69" si="30">C9</f>
        <v>Existing coal Small</v>
      </c>
      <c r="D51" s="14"/>
      <c r="E51" s="14"/>
      <c r="F51" s="14"/>
      <c r="G51" s="14"/>
      <c r="I51">
        <f>IF('Investment Plan'!C8&gt;0,'Investment Plan'!C8,0)</f>
        <v>0</v>
      </c>
      <c r="J51">
        <f>IF('Investment Plan'!D8&gt;0,'Investment Plan'!D8,0)</f>
        <v>0</v>
      </c>
      <c r="K51">
        <f>IF('Investment Plan'!E8&gt;0,'Investment Plan'!E8,0)</f>
        <v>0</v>
      </c>
      <c r="L51">
        <f>IF('Investment Plan'!F8&gt;0,'Investment Plan'!F8,0)</f>
        <v>0</v>
      </c>
      <c r="M51">
        <f>IF('Investment Plan'!G8&gt;0,'Investment Plan'!G8,0)</f>
        <v>0</v>
      </c>
      <c r="N51">
        <f>IF('Investment Plan'!H8&gt;0,'Investment Plan'!H8,0)</f>
        <v>0</v>
      </c>
      <c r="O51">
        <f>IF('Investment Plan'!I8&gt;0,'Investment Plan'!I8,0)</f>
        <v>0</v>
      </c>
      <c r="P51">
        <f>IF('Investment Plan'!J8&gt;0,'Investment Plan'!J8,0)</f>
        <v>0</v>
      </c>
      <c r="Q51">
        <f>IF('Investment Plan'!K8&gt;0,'Investment Plan'!K8,0)</f>
        <v>0</v>
      </c>
      <c r="R51">
        <f>IF('Investment Plan'!L8&gt;0,'Investment Plan'!L8,0)</f>
        <v>0</v>
      </c>
      <c r="S51">
        <f>IF('Investment Plan'!M8&gt;0,'Investment Plan'!M8,0)</f>
        <v>0</v>
      </c>
      <c r="T51">
        <f>IF('Investment Plan'!N8&gt;0,'Investment Plan'!N8,0)</f>
        <v>0</v>
      </c>
      <c r="U51">
        <f>IF('Investment Plan'!O8&gt;0,'Investment Plan'!O8,0)</f>
        <v>0</v>
      </c>
      <c r="V51">
        <f>IF('Investment Plan'!P8&gt;0,'Investment Plan'!P8,0)</f>
        <v>0</v>
      </c>
      <c r="W51">
        <f>IF('Investment Plan'!Q8&gt;0,'Investment Plan'!Q8,0)</f>
        <v>0</v>
      </c>
      <c r="X51">
        <f>IF('Investment Plan'!R8&gt;0,'Investment Plan'!R8,0)</f>
        <v>0</v>
      </c>
      <c r="Y51">
        <f>IF('Investment Plan'!S8&gt;0,'Investment Plan'!S8,0)</f>
        <v>0</v>
      </c>
      <c r="Z51">
        <f>IF('Investment Plan'!T8&gt;0,'Investment Plan'!T8,0)</f>
        <v>0</v>
      </c>
      <c r="AA51">
        <f>IF('Investment Plan'!U8&gt;0,'Investment Plan'!U8,0)</f>
        <v>0</v>
      </c>
      <c r="AB51">
        <f>IF('Investment Plan'!V8&gt;0,'Investment Plan'!V8,0)</f>
        <v>0</v>
      </c>
      <c r="AC51">
        <f>IF('Investment Plan'!W8&gt;0,'Investment Plan'!W8,0)</f>
        <v>0</v>
      </c>
    </row>
    <row r="52" spans="2:29" ht="15">
      <c r="B52" s="228">
        <f>'Tech Parameters'!J8/1000</f>
        <v>0.12</v>
      </c>
      <c r="C52" t="str">
        <f t="shared" si="30"/>
        <v>OCGT liquid fuels</v>
      </c>
      <c r="D52" s="14"/>
      <c r="E52" s="14"/>
      <c r="F52" s="14"/>
      <c r="G52" s="14"/>
      <c r="I52">
        <f>IF('Investment Plan'!C9&gt;0,'Investment Plan'!C9,0)</f>
        <v>0</v>
      </c>
      <c r="J52">
        <f>IF('Investment Plan'!D9&gt;0,'Investment Plan'!D9,0)</f>
        <v>9</v>
      </c>
      <c r="K52">
        <f>IF('Investment Plan'!E9&gt;0,'Investment Plan'!E9,0)</f>
        <v>0</v>
      </c>
      <c r="L52">
        <f>IF('Investment Plan'!F9&gt;0,'Investment Plan'!F9,0)</f>
        <v>0</v>
      </c>
      <c r="M52">
        <f>IF('Investment Plan'!G9&gt;0,'Investment Plan'!G9,0)</f>
        <v>0</v>
      </c>
      <c r="N52">
        <f>IF('Investment Plan'!H9&gt;0,'Investment Plan'!H9,0)</f>
        <v>0</v>
      </c>
      <c r="O52">
        <f>IF('Investment Plan'!I9&gt;0,'Investment Plan'!I9,0)</f>
        <v>0</v>
      </c>
      <c r="P52">
        <f>IF('Investment Plan'!J9&gt;0,'Investment Plan'!J9,0)</f>
        <v>0</v>
      </c>
      <c r="Q52">
        <f>IF('Investment Plan'!K9&gt;0,'Investment Plan'!K9,0)</f>
        <v>0</v>
      </c>
      <c r="R52">
        <f>IF('Investment Plan'!L9&gt;0,'Investment Plan'!L9,0)</f>
        <v>0</v>
      </c>
      <c r="S52">
        <f>IF('Investment Plan'!M9&gt;0,'Investment Plan'!M9,0)</f>
        <v>0</v>
      </c>
      <c r="T52">
        <f>IF('Investment Plan'!N9&gt;0,'Investment Plan'!N9,0)</f>
        <v>0</v>
      </c>
      <c r="U52">
        <f>IF('Investment Plan'!O9&gt;0,'Investment Plan'!O9,0)</f>
        <v>0</v>
      </c>
      <c r="V52">
        <f>IF('Investment Plan'!P9&gt;0,'Investment Plan'!P9,0)</f>
        <v>6</v>
      </c>
      <c r="W52">
        <f>IF('Investment Plan'!Q9&gt;0,'Investment Plan'!Q9,0)</f>
        <v>0</v>
      </c>
      <c r="X52">
        <f>IF('Investment Plan'!R9&gt;0,'Investment Plan'!R9,0)</f>
        <v>0</v>
      </c>
      <c r="Y52">
        <f>IF('Investment Plan'!S9&gt;0,'Investment Plan'!S9,0)</f>
        <v>6</v>
      </c>
      <c r="Z52">
        <f>IF('Investment Plan'!T9&gt;0,'Investment Plan'!T9,0)</f>
        <v>0</v>
      </c>
      <c r="AA52">
        <f>IF('Investment Plan'!U9&gt;0,'Investment Plan'!U9,0)</f>
        <v>0</v>
      </c>
      <c r="AB52">
        <f>IF('Investment Plan'!V9&gt;0,'Investment Plan'!V9,0)</f>
        <v>6</v>
      </c>
      <c r="AC52">
        <f>IF('Investment Plan'!W9&gt;0,'Investment Plan'!W9,0)</f>
        <v>0</v>
      </c>
    </row>
    <row r="53" spans="2:29" ht="15">
      <c r="B53" s="228">
        <f>'Tech Parameters'!J9/1000</f>
        <v>1.35</v>
      </c>
      <c r="C53" t="str">
        <f t="shared" si="30"/>
        <v>PWR nuclear</v>
      </c>
      <c r="D53" s="14"/>
      <c r="E53" s="14"/>
      <c r="F53" s="14"/>
      <c r="G53" s="14"/>
      <c r="I53">
        <f>IF('Investment Plan'!C10&gt;0,'Investment Plan'!C10,0)</f>
        <v>0</v>
      </c>
      <c r="J53">
        <f>IF('Investment Plan'!D10&gt;0,'Investment Plan'!D10,0)</f>
        <v>0</v>
      </c>
      <c r="K53">
        <f>IF('Investment Plan'!E10&gt;0,'Investment Plan'!E10,0)</f>
        <v>0</v>
      </c>
      <c r="L53">
        <f>IF('Investment Plan'!F10&gt;0,'Investment Plan'!F10,0)</f>
        <v>0</v>
      </c>
      <c r="M53">
        <f>IF('Investment Plan'!G10&gt;0,'Investment Plan'!G10,0)</f>
        <v>0</v>
      </c>
      <c r="N53">
        <f>IF('Investment Plan'!H10&gt;0,'Investment Plan'!H10,0)</f>
        <v>0</v>
      </c>
      <c r="O53">
        <f>IF('Investment Plan'!I10&gt;0,'Investment Plan'!I10,0)</f>
        <v>0</v>
      </c>
      <c r="P53">
        <f>IF('Investment Plan'!J10&gt;0,'Investment Plan'!J10,0)</f>
        <v>0</v>
      </c>
      <c r="Q53">
        <f>IF('Investment Plan'!K10&gt;0,'Investment Plan'!K10,0)</f>
        <v>0</v>
      </c>
      <c r="R53">
        <f>IF('Investment Plan'!L10&gt;0,'Investment Plan'!L10,0)</f>
        <v>0</v>
      </c>
      <c r="S53">
        <f>IF('Investment Plan'!M10&gt;0,'Investment Plan'!M10,0)</f>
        <v>0</v>
      </c>
      <c r="T53">
        <f>IF('Investment Plan'!N10&gt;0,'Investment Plan'!N10,0)</f>
        <v>0</v>
      </c>
      <c r="U53">
        <f>IF('Investment Plan'!O10&gt;0,'Investment Plan'!O10,0)</f>
        <v>0</v>
      </c>
      <c r="V53">
        <f>IF('Investment Plan'!P10&gt;0,'Investment Plan'!P10,0)</f>
        <v>0</v>
      </c>
      <c r="W53">
        <f>IF('Investment Plan'!Q10&gt;0,'Investment Plan'!Q10,0)</f>
        <v>0</v>
      </c>
      <c r="X53">
        <f>IF('Investment Plan'!R10&gt;0,'Investment Plan'!R10,0)</f>
        <v>0</v>
      </c>
      <c r="Y53">
        <f>IF('Investment Plan'!S10&gt;0,'Investment Plan'!S10,0)</f>
        <v>0</v>
      </c>
      <c r="Z53">
        <f>IF('Investment Plan'!T10&gt;0,'Investment Plan'!T10,0)</f>
        <v>0</v>
      </c>
      <c r="AA53">
        <f>IF('Investment Plan'!U10&gt;0,'Investment Plan'!U10,0)</f>
        <v>0</v>
      </c>
      <c r="AB53">
        <f>IF('Investment Plan'!V10&gt;0,'Investment Plan'!V10,0)</f>
        <v>0</v>
      </c>
      <c r="AC53">
        <f>IF('Investment Plan'!W10&gt;0,'Investment Plan'!W10,0)</f>
        <v>0</v>
      </c>
    </row>
    <row r="54" spans="2:29" ht="15">
      <c r="B54" s="228">
        <f>'Tech Parameters'!J10/1000</f>
        <v>9.5000000000000001E-2</v>
      </c>
      <c r="C54" t="str">
        <f t="shared" si="30"/>
        <v>Hydro</v>
      </c>
      <c r="D54" s="14"/>
      <c r="E54" s="14"/>
      <c r="F54" s="14"/>
      <c r="G54" s="14"/>
      <c r="I54">
        <f>IF('Investment Plan'!C11&gt;0,'Investment Plan'!C11,0)</f>
        <v>0</v>
      </c>
      <c r="J54">
        <f>IF('Investment Plan'!D11&gt;0,'Investment Plan'!D11,0)</f>
        <v>0</v>
      </c>
      <c r="K54">
        <f>IF('Investment Plan'!E11&gt;0,'Investment Plan'!E11,0)</f>
        <v>0</v>
      </c>
      <c r="L54">
        <f>IF('Investment Plan'!F11&gt;0,'Investment Plan'!F11,0)</f>
        <v>0</v>
      </c>
      <c r="M54">
        <f>IF('Investment Plan'!G11&gt;0,'Investment Plan'!G11,0)</f>
        <v>0</v>
      </c>
      <c r="N54">
        <f>IF('Investment Plan'!H11&gt;0,'Investment Plan'!H11,0)</f>
        <v>0</v>
      </c>
      <c r="O54">
        <f>IF('Investment Plan'!I11&gt;0,'Investment Plan'!I11,0)</f>
        <v>0</v>
      </c>
      <c r="P54">
        <f>IF('Investment Plan'!J11&gt;0,'Investment Plan'!J11,0)</f>
        <v>0</v>
      </c>
      <c r="Q54">
        <f>IF('Investment Plan'!K11&gt;0,'Investment Plan'!K11,0)</f>
        <v>0</v>
      </c>
      <c r="R54">
        <f>IF('Investment Plan'!L11&gt;0,'Investment Plan'!L11,0)</f>
        <v>0</v>
      </c>
      <c r="S54">
        <f>IF('Investment Plan'!M11&gt;0,'Investment Plan'!M11,0)</f>
        <v>0</v>
      </c>
      <c r="T54">
        <f>IF('Investment Plan'!N11&gt;0,'Investment Plan'!N11,0)</f>
        <v>0</v>
      </c>
      <c r="U54">
        <f>IF('Investment Plan'!O11&gt;0,'Investment Plan'!O11,0)</f>
        <v>0</v>
      </c>
      <c r="V54">
        <f>IF('Investment Plan'!P11&gt;0,'Investment Plan'!P11,0)</f>
        <v>0</v>
      </c>
      <c r="W54">
        <f>IF('Investment Plan'!Q11&gt;0,'Investment Plan'!Q11,0)</f>
        <v>0</v>
      </c>
      <c r="X54">
        <f>IF('Investment Plan'!R11&gt;0,'Investment Plan'!R11,0)</f>
        <v>0</v>
      </c>
      <c r="Y54">
        <f>IF('Investment Plan'!S11&gt;0,'Investment Plan'!S11,0)</f>
        <v>0</v>
      </c>
      <c r="Z54">
        <f>IF('Investment Plan'!T11&gt;0,'Investment Plan'!T11,0)</f>
        <v>0</v>
      </c>
      <c r="AA54">
        <f>IF('Investment Plan'!U11&gt;0,'Investment Plan'!U11,0)</f>
        <v>0</v>
      </c>
      <c r="AB54">
        <f>IF('Investment Plan'!V11&gt;0,'Investment Plan'!V11,0)</f>
        <v>0</v>
      </c>
      <c r="AC54">
        <f>IF('Investment Plan'!W11&gt;0,'Investment Plan'!W11,0)</f>
        <v>0</v>
      </c>
    </row>
    <row r="55" spans="2:29" ht="15">
      <c r="B55" s="228">
        <f>'Tech Parameters'!J11/1000</f>
        <v>0.03</v>
      </c>
      <c r="C55" t="str">
        <f t="shared" si="30"/>
        <v>Landfill gas</v>
      </c>
      <c r="D55" s="14"/>
      <c r="E55" s="14"/>
      <c r="F55" s="14"/>
      <c r="G55" s="14"/>
      <c r="I55">
        <f>IF('Investment Plan'!C12&gt;0,'Investment Plan'!C12,0)</f>
        <v>0</v>
      </c>
      <c r="J55">
        <f>IF('Investment Plan'!D12&gt;0,'Investment Plan'!D12,0)</f>
        <v>0</v>
      </c>
      <c r="K55">
        <f>IF('Investment Plan'!E12&gt;0,'Investment Plan'!E12,0)</f>
        <v>0</v>
      </c>
      <c r="L55">
        <f>IF('Investment Plan'!F12&gt;0,'Investment Plan'!F12,0)</f>
        <v>0</v>
      </c>
      <c r="M55">
        <f>IF('Investment Plan'!G12&gt;0,'Investment Plan'!G12,0)</f>
        <v>0</v>
      </c>
      <c r="N55">
        <f>IF('Investment Plan'!H12&gt;0,'Investment Plan'!H12,0)</f>
        <v>0</v>
      </c>
      <c r="O55">
        <f>IF('Investment Plan'!I12&gt;0,'Investment Plan'!I12,0)</f>
        <v>0</v>
      </c>
      <c r="P55">
        <f>IF('Investment Plan'!J12&gt;0,'Investment Plan'!J12,0)</f>
        <v>0</v>
      </c>
      <c r="Q55">
        <f>IF('Investment Plan'!K12&gt;0,'Investment Plan'!K12,0)</f>
        <v>0</v>
      </c>
      <c r="R55">
        <f>IF('Investment Plan'!L12&gt;0,'Investment Plan'!L12,0)</f>
        <v>0</v>
      </c>
      <c r="S55">
        <f>IF('Investment Plan'!M12&gt;0,'Investment Plan'!M12,0)</f>
        <v>0</v>
      </c>
      <c r="T55">
        <f>IF('Investment Plan'!N12&gt;0,'Investment Plan'!N12,0)</f>
        <v>0</v>
      </c>
      <c r="U55">
        <f>IF('Investment Plan'!O12&gt;0,'Investment Plan'!O12,0)</f>
        <v>0</v>
      </c>
      <c r="V55">
        <f>IF('Investment Plan'!P12&gt;0,'Investment Plan'!P12,0)</f>
        <v>0</v>
      </c>
      <c r="W55">
        <f>IF('Investment Plan'!Q12&gt;0,'Investment Plan'!Q12,0)</f>
        <v>0</v>
      </c>
      <c r="X55">
        <f>IF('Investment Plan'!R12&gt;0,'Investment Plan'!R12,0)</f>
        <v>0</v>
      </c>
      <c r="Y55">
        <f>IF('Investment Plan'!S12&gt;0,'Investment Plan'!S12,0)</f>
        <v>0</v>
      </c>
      <c r="Z55">
        <f>IF('Investment Plan'!T12&gt;0,'Investment Plan'!T12,0)</f>
        <v>0</v>
      </c>
      <c r="AA55">
        <f>IF('Investment Plan'!U12&gt;0,'Investment Plan'!U12,0)</f>
        <v>0</v>
      </c>
      <c r="AB55">
        <f>IF('Investment Plan'!V12&gt;0,'Investment Plan'!V12,0)</f>
        <v>0</v>
      </c>
      <c r="AC55">
        <f>IF('Investment Plan'!W12&gt;0,'Investment Plan'!W12,0)</f>
        <v>0</v>
      </c>
    </row>
    <row r="56" spans="2:29" ht="15">
      <c r="B56" s="228">
        <f>'Tech Parameters'!J12/1000</f>
        <v>0.08</v>
      </c>
      <c r="C56" t="str">
        <f t="shared" si="30"/>
        <v>Biomass</v>
      </c>
      <c r="D56" s="14"/>
      <c r="E56" s="14"/>
      <c r="F56" s="14"/>
      <c r="G56" s="14"/>
      <c r="I56">
        <f>IF('Investment Plan'!C13&gt;0,'Investment Plan'!C13,0)</f>
        <v>0</v>
      </c>
      <c r="J56">
        <f>IF('Investment Plan'!D13&gt;0,'Investment Plan'!D13,0)</f>
        <v>0</v>
      </c>
      <c r="K56">
        <f>IF('Investment Plan'!E13&gt;0,'Investment Plan'!E13,0)</f>
        <v>0</v>
      </c>
      <c r="L56">
        <f>IF('Investment Plan'!F13&gt;0,'Investment Plan'!F13,0)</f>
        <v>0</v>
      </c>
      <c r="M56">
        <f>IF('Investment Plan'!G13&gt;0,'Investment Plan'!G13,0)</f>
        <v>0</v>
      </c>
      <c r="N56">
        <f>IF('Investment Plan'!H13&gt;0,'Investment Plan'!H13,0)</f>
        <v>0</v>
      </c>
      <c r="O56">
        <f>IF('Investment Plan'!I13&gt;0,'Investment Plan'!I13,0)</f>
        <v>0</v>
      </c>
      <c r="P56">
        <f>IF('Investment Plan'!J13&gt;0,'Investment Plan'!J13,0)</f>
        <v>0</v>
      </c>
      <c r="Q56">
        <f>IF('Investment Plan'!K13&gt;0,'Investment Plan'!K13,0)</f>
        <v>0</v>
      </c>
      <c r="R56">
        <f>IF('Investment Plan'!L13&gt;0,'Investment Plan'!L13,0)</f>
        <v>0</v>
      </c>
      <c r="S56">
        <f>IF('Investment Plan'!M13&gt;0,'Investment Plan'!M13,0)</f>
        <v>0</v>
      </c>
      <c r="T56">
        <f>IF('Investment Plan'!N13&gt;0,'Investment Plan'!N13,0)</f>
        <v>0</v>
      </c>
      <c r="U56">
        <f>IF('Investment Plan'!O13&gt;0,'Investment Plan'!O13,0)</f>
        <v>0</v>
      </c>
      <c r="V56">
        <f>IF('Investment Plan'!P13&gt;0,'Investment Plan'!P13,0)</f>
        <v>0</v>
      </c>
      <c r="W56">
        <f>IF('Investment Plan'!Q13&gt;0,'Investment Plan'!Q13,0)</f>
        <v>0</v>
      </c>
      <c r="X56">
        <f>IF('Investment Plan'!R13&gt;0,'Investment Plan'!R13,0)</f>
        <v>0</v>
      </c>
      <c r="Y56">
        <f>IF('Investment Plan'!S13&gt;0,'Investment Plan'!S13,0)</f>
        <v>0</v>
      </c>
      <c r="Z56">
        <f>IF('Investment Plan'!T13&gt;0,'Investment Plan'!T13,0)</f>
        <v>0</v>
      </c>
      <c r="AA56">
        <f>IF('Investment Plan'!U13&gt;0,'Investment Plan'!U13,0)</f>
        <v>0</v>
      </c>
      <c r="AB56">
        <f>IF('Investment Plan'!V13&gt;0,'Investment Plan'!V13,0)</f>
        <v>0</v>
      </c>
      <c r="AC56">
        <f>IF('Investment Plan'!W13&gt;0,'Investment Plan'!W13,0)</f>
        <v>0</v>
      </c>
    </row>
    <row r="57" spans="2:29" ht="15">
      <c r="B57" s="228">
        <f>'Tech Parameters'!J13/1000</f>
        <v>0.79400000000000004</v>
      </c>
      <c r="C57" t="str">
        <f t="shared" si="30"/>
        <v>Supercritical coal</v>
      </c>
      <c r="D57" s="14"/>
      <c r="E57" s="14"/>
      <c r="F57" s="14"/>
      <c r="G57" s="14"/>
      <c r="I57">
        <f>IF('Investment Plan'!C14&gt;0,'Investment Plan'!C14,0)</f>
        <v>0</v>
      </c>
      <c r="J57">
        <f>IF('Investment Plan'!D14&gt;0,'Investment Plan'!D14,0)</f>
        <v>0</v>
      </c>
      <c r="K57">
        <f>IF('Investment Plan'!E14&gt;0,'Investment Plan'!E14,0)</f>
        <v>1</v>
      </c>
      <c r="L57">
        <f>IF('Investment Plan'!F14&gt;0,'Investment Plan'!F14,0)</f>
        <v>2</v>
      </c>
      <c r="M57">
        <f>IF('Investment Plan'!G14&gt;0,'Investment Plan'!G14,0)</f>
        <v>3</v>
      </c>
      <c r="N57">
        <f>IF('Investment Plan'!H14&gt;0,'Investment Plan'!H14,0)</f>
        <v>3</v>
      </c>
      <c r="O57">
        <f>IF('Investment Plan'!I14&gt;0,'Investment Plan'!I14,0)</f>
        <v>2</v>
      </c>
      <c r="P57">
        <f>IF('Investment Plan'!J14&gt;0,'Investment Plan'!J14,0)</f>
        <v>2</v>
      </c>
      <c r="Q57">
        <f>IF('Investment Plan'!K14&gt;0,'Investment Plan'!K14,0)</f>
        <v>3</v>
      </c>
      <c r="R57">
        <f>IF('Investment Plan'!L14&gt;0,'Investment Plan'!L14,0)</f>
        <v>3</v>
      </c>
      <c r="S57">
        <f>IF('Investment Plan'!M14&gt;0,'Investment Plan'!M14,0)</f>
        <v>3</v>
      </c>
      <c r="T57">
        <f>IF('Investment Plan'!N14&gt;0,'Investment Plan'!N14,0)</f>
        <v>4</v>
      </c>
      <c r="U57">
        <f>IF('Investment Plan'!O14&gt;0,'Investment Plan'!O14,0)</f>
        <v>4</v>
      </c>
      <c r="V57">
        <f>IF('Investment Plan'!P14&gt;0,'Investment Plan'!P14,0)</f>
        <v>3</v>
      </c>
      <c r="W57">
        <f>IF('Investment Plan'!Q14&gt;0,'Investment Plan'!Q14,0)</f>
        <v>4</v>
      </c>
      <c r="X57">
        <f>IF('Investment Plan'!R14&gt;0,'Investment Plan'!R14,0)</f>
        <v>4</v>
      </c>
      <c r="Y57">
        <f>IF('Investment Plan'!S14&gt;0,'Investment Plan'!S14,0)</f>
        <v>5</v>
      </c>
      <c r="Z57">
        <f>IF('Investment Plan'!T14&gt;0,'Investment Plan'!T14,0)</f>
        <v>5</v>
      </c>
      <c r="AA57">
        <f>IF('Investment Plan'!U14&gt;0,'Investment Plan'!U14,0)</f>
        <v>5</v>
      </c>
      <c r="AB57">
        <f>IF('Investment Plan'!V14&gt;0,'Investment Plan'!V14,0)</f>
        <v>6</v>
      </c>
      <c r="AC57">
        <f>IF('Investment Plan'!W14&gt;0,'Investment Plan'!W14,0)</f>
        <v>6</v>
      </c>
    </row>
    <row r="58" spans="2:29" ht="15">
      <c r="B58" s="228">
        <f>'Tech Parameters'!J14/1000</f>
        <v>1E-3</v>
      </c>
      <c r="C58" t="str">
        <f t="shared" si="30"/>
        <v xml:space="preserve">Wind 30% </v>
      </c>
      <c r="D58" s="14"/>
      <c r="E58" s="14"/>
      <c r="F58" s="14"/>
      <c r="G58" s="14"/>
      <c r="I58">
        <f>IF('Investment Plan'!C15&gt;0,'Investment Plan'!C15,0)</f>
        <v>100</v>
      </c>
      <c r="J58">
        <f>IF('Investment Plan'!D15&gt;0,'Investment Plan'!D15,0)</f>
        <v>0</v>
      </c>
      <c r="K58">
        <f>IF('Investment Plan'!E15&gt;0,'Investment Plan'!E15,0)</f>
        <v>0</v>
      </c>
      <c r="L58">
        <f>IF('Investment Plan'!F15&gt;0,'Investment Plan'!F15,0)</f>
        <v>0</v>
      </c>
      <c r="M58">
        <f>IF('Investment Plan'!G15&gt;0,'Investment Plan'!G15,0)</f>
        <v>0</v>
      </c>
      <c r="N58">
        <f>IF('Investment Plan'!H15&gt;0,'Investment Plan'!H15,0)</f>
        <v>0</v>
      </c>
      <c r="O58">
        <f>IF('Investment Plan'!I15&gt;0,'Investment Plan'!I15,0)</f>
        <v>0</v>
      </c>
      <c r="P58">
        <f>IF('Investment Plan'!J15&gt;0,'Investment Plan'!J15,0)</f>
        <v>0</v>
      </c>
      <c r="Q58">
        <f>IF('Investment Plan'!K15&gt;0,'Investment Plan'!K15,0)</f>
        <v>0</v>
      </c>
      <c r="R58">
        <f>IF('Investment Plan'!L15&gt;0,'Investment Plan'!L15,0)</f>
        <v>0</v>
      </c>
      <c r="S58">
        <f>IF('Investment Plan'!M15&gt;0,'Investment Plan'!M15,0)</f>
        <v>0</v>
      </c>
      <c r="T58">
        <f>IF('Investment Plan'!N15&gt;0,'Investment Plan'!N15,0)</f>
        <v>0</v>
      </c>
      <c r="U58">
        <f>IF('Investment Plan'!O15&gt;0,'Investment Plan'!O15,0)</f>
        <v>0</v>
      </c>
      <c r="V58">
        <f>IF('Investment Plan'!P15&gt;0,'Investment Plan'!P15,0)</f>
        <v>0</v>
      </c>
      <c r="W58">
        <f>IF('Investment Plan'!Q15&gt;0,'Investment Plan'!Q15,0)</f>
        <v>0</v>
      </c>
      <c r="X58">
        <f>IF('Investment Plan'!R15&gt;0,'Investment Plan'!R15,0)</f>
        <v>0</v>
      </c>
      <c r="Y58">
        <f>IF('Investment Plan'!S15&gt;0,'Investment Plan'!S15,0)</f>
        <v>0</v>
      </c>
      <c r="Z58">
        <f>IF('Investment Plan'!T15&gt;0,'Investment Plan'!T15,0)</f>
        <v>0</v>
      </c>
      <c r="AA58">
        <f>IF('Investment Plan'!U15&gt;0,'Investment Plan'!U15,0)</f>
        <v>0</v>
      </c>
      <c r="AB58">
        <f>IF('Investment Plan'!V15&gt;0,'Investment Plan'!V15,0)</f>
        <v>0</v>
      </c>
      <c r="AC58">
        <f>IF('Investment Plan'!W15&gt;0,'Investment Plan'!W15,0)</f>
        <v>0</v>
      </c>
    </row>
    <row r="59" spans="2:29" ht="15">
      <c r="B59" s="228">
        <f>'Tech Parameters'!J15/1000</f>
        <v>1E-3</v>
      </c>
      <c r="C59" t="str">
        <f t="shared" si="30"/>
        <v>Wind 25%</v>
      </c>
      <c r="D59" s="14"/>
      <c r="E59" s="14"/>
      <c r="F59" s="14"/>
      <c r="G59" s="14"/>
      <c r="I59">
        <f>IF('Investment Plan'!C16&gt;0,'Investment Plan'!C16,0)</f>
        <v>0</v>
      </c>
      <c r="J59">
        <f>IF('Investment Plan'!D16&gt;0,'Investment Plan'!D16,0)</f>
        <v>0</v>
      </c>
      <c r="K59">
        <f>IF('Investment Plan'!E16&gt;0,'Investment Plan'!E16,0)</f>
        <v>0</v>
      </c>
      <c r="L59">
        <f>IF('Investment Plan'!F16&gt;0,'Investment Plan'!F16,0)</f>
        <v>0</v>
      </c>
      <c r="M59">
        <f>IF('Investment Plan'!G16&gt;0,'Investment Plan'!G16,0)</f>
        <v>0</v>
      </c>
      <c r="N59">
        <f>IF('Investment Plan'!H16&gt;0,'Investment Plan'!H16,0)</f>
        <v>0</v>
      </c>
      <c r="O59">
        <f>IF('Investment Plan'!I16&gt;0,'Investment Plan'!I16,0)</f>
        <v>0</v>
      </c>
      <c r="P59">
        <f>IF('Investment Plan'!J16&gt;0,'Investment Plan'!J16,0)</f>
        <v>0</v>
      </c>
      <c r="Q59">
        <f>IF('Investment Plan'!K16&gt;0,'Investment Plan'!K16,0)</f>
        <v>0</v>
      </c>
      <c r="R59">
        <f>IF('Investment Plan'!L16&gt;0,'Investment Plan'!L16,0)</f>
        <v>0</v>
      </c>
      <c r="S59">
        <f>IF('Investment Plan'!M16&gt;0,'Investment Plan'!M16,0)</f>
        <v>0</v>
      </c>
      <c r="T59">
        <f>IF('Investment Plan'!N16&gt;0,'Investment Plan'!N16,0)</f>
        <v>0</v>
      </c>
      <c r="U59">
        <f>IF('Investment Plan'!O16&gt;0,'Investment Plan'!O16,0)</f>
        <v>0</v>
      </c>
      <c r="V59">
        <f>IF('Investment Plan'!P16&gt;0,'Investment Plan'!P16,0)</f>
        <v>0</v>
      </c>
      <c r="W59">
        <f>IF('Investment Plan'!Q16&gt;0,'Investment Plan'!Q16,0)</f>
        <v>0</v>
      </c>
      <c r="X59">
        <f>IF('Investment Plan'!R16&gt;0,'Investment Plan'!R16,0)</f>
        <v>0</v>
      </c>
      <c r="Y59">
        <f>IF('Investment Plan'!S16&gt;0,'Investment Plan'!S16,0)</f>
        <v>0</v>
      </c>
      <c r="Z59">
        <f>IF('Investment Plan'!T16&gt;0,'Investment Plan'!T16,0)</f>
        <v>0</v>
      </c>
      <c r="AA59">
        <f>IF('Investment Plan'!U16&gt;0,'Investment Plan'!U16,0)</f>
        <v>0</v>
      </c>
      <c r="AB59">
        <f>IF('Investment Plan'!V16&gt;0,'Investment Plan'!V16,0)</f>
        <v>0</v>
      </c>
      <c r="AC59">
        <f>IF('Investment Plan'!W16&gt;0,'Investment Plan'!W16,0)</f>
        <v>0</v>
      </c>
    </row>
    <row r="60" spans="2:29" ht="15">
      <c r="B60" s="228">
        <f>'Tech Parameters'!J16/1000</f>
        <v>0.1</v>
      </c>
      <c r="C60" t="str">
        <f t="shared" si="30"/>
        <v>solar thermal central reciever</v>
      </c>
      <c r="D60" s="14"/>
      <c r="E60" s="14"/>
      <c r="F60" s="14"/>
      <c r="G60" s="14"/>
      <c r="I60">
        <f>IF('Investment Plan'!C17&gt;0,'Investment Plan'!C17,0)</f>
        <v>0</v>
      </c>
      <c r="J60">
        <f>IF('Investment Plan'!D17&gt;0,'Investment Plan'!D17,0)</f>
        <v>0</v>
      </c>
      <c r="K60">
        <f>IF('Investment Plan'!E17&gt;0,'Investment Plan'!E17,0)</f>
        <v>0</v>
      </c>
      <c r="L60">
        <f>IF('Investment Plan'!F17&gt;0,'Investment Plan'!F17,0)</f>
        <v>0</v>
      </c>
      <c r="M60">
        <f>IF('Investment Plan'!G17&gt;0,'Investment Plan'!G17,0)</f>
        <v>0</v>
      </c>
      <c r="N60">
        <f>IF('Investment Plan'!H17&gt;0,'Investment Plan'!H17,0)</f>
        <v>0</v>
      </c>
      <c r="O60">
        <f>IF('Investment Plan'!I17&gt;0,'Investment Plan'!I17,0)</f>
        <v>0</v>
      </c>
      <c r="P60">
        <f>IF('Investment Plan'!J17&gt;0,'Investment Plan'!J17,0)</f>
        <v>0</v>
      </c>
      <c r="Q60">
        <f>IF('Investment Plan'!K17&gt;0,'Investment Plan'!K17,0)</f>
        <v>0</v>
      </c>
      <c r="R60">
        <f>IF('Investment Plan'!L17&gt;0,'Investment Plan'!L17,0)</f>
        <v>0</v>
      </c>
      <c r="S60">
        <f>IF('Investment Plan'!M17&gt;0,'Investment Plan'!M17,0)</f>
        <v>0</v>
      </c>
      <c r="T60">
        <f>IF('Investment Plan'!N17&gt;0,'Investment Plan'!N17,0)</f>
        <v>0</v>
      </c>
      <c r="U60">
        <f>IF('Investment Plan'!O17&gt;0,'Investment Plan'!O17,0)</f>
        <v>0</v>
      </c>
      <c r="V60">
        <f>IF('Investment Plan'!P17&gt;0,'Investment Plan'!P17,0)</f>
        <v>0</v>
      </c>
      <c r="W60">
        <f>IF('Investment Plan'!Q17&gt;0,'Investment Plan'!Q17,0)</f>
        <v>0</v>
      </c>
      <c r="X60">
        <f>IF('Investment Plan'!R17&gt;0,'Investment Plan'!R17,0)</f>
        <v>0</v>
      </c>
      <c r="Y60">
        <f>IF('Investment Plan'!S17&gt;0,'Investment Plan'!S17,0)</f>
        <v>0</v>
      </c>
      <c r="Z60">
        <f>IF('Investment Plan'!T17&gt;0,'Investment Plan'!T17,0)</f>
        <v>0</v>
      </c>
      <c r="AA60">
        <f>IF('Investment Plan'!U17&gt;0,'Investment Plan'!U17,0)</f>
        <v>0</v>
      </c>
      <c r="AB60">
        <f>IF('Investment Plan'!V17&gt;0,'Investment Plan'!V17,0)</f>
        <v>0</v>
      </c>
      <c r="AC60">
        <f>IF('Investment Plan'!W17&gt;0,'Investment Plan'!W17,0)</f>
        <v>0</v>
      </c>
    </row>
    <row r="61" spans="2:29" ht="15">
      <c r="B61" s="228">
        <f>'Tech Parameters'!J17/1000</f>
        <v>0.1</v>
      </c>
      <c r="C61" t="str">
        <f t="shared" si="30"/>
        <v>solar thermal trough</v>
      </c>
      <c r="D61" s="14"/>
      <c r="E61" s="14"/>
      <c r="F61" s="14"/>
      <c r="G61" s="14"/>
      <c r="I61">
        <f>IF('Investment Plan'!C18&gt;0,'Investment Plan'!C18,0)</f>
        <v>0</v>
      </c>
      <c r="J61">
        <f>IF('Investment Plan'!D18&gt;0,'Investment Plan'!D18,0)</f>
        <v>0</v>
      </c>
      <c r="K61">
        <f>IF('Investment Plan'!E18&gt;0,'Investment Plan'!E18,0)</f>
        <v>0</v>
      </c>
      <c r="L61">
        <f>IF('Investment Plan'!F18&gt;0,'Investment Plan'!F18,0)</f>
        <v>0</v>
      </c>
      <c r="M61">
        <f>IF('Investment Plan'!G18&gt;0,'Investment Plan'!G18,0)</f>
        <v>0</v>
      </c>
      <c r="N61">
        <f>IF('Investment Plan'!H18&gt;0,'Investment Plan'!H18,0)</f>
        <v>0</v>
      </c>
      <c r="O61">
        <f>IF('Investment Plan'!I18&gt;0,'Investment Plan'!I18,0)</f>
        <v>0</v>
      </c>
      <c r="P61">
        <f>IF('Investment Plan'!J18&gt;0,'Investment Plan'!J18,0)</f>
        <v>0</v>
      </c>
      <c r="Q61">
        <f>IF('Investment Plan'!K18&gt;0,'Investment Plan'!K18,0)</f>
        <v>0</v>
      </c>
      <c r="R61">
        <f>IF('Investment Plan'!L18&gt;0,'Investment Plan'!L18,0)</f>
        <v>0</v>
      </c>
      <c r="S61">
        <f>IF('Investment Plan'!M18&gt;0,'Investment Plan'!M18,0)</f>
        <v>0</v>
      </c>
      <c r="T61">
        <f>IF('Investment Plan'!N18&gt;0,'Investment Plan'!N18,0)</f>
        <v>0</v>
      </c>
      <c r="U61">
        <f>IF('Investment Plan'!O18&gt;0,'Investment Plan'!O18,0)</f>
        <v>0</v>
      </c>
      <c r="V61">
        <f>IF('Investment Plan'!P18&gt;0,'Investment Plan'!P18,0)</f>
        <v>0</v>
      </c>
      <c r="W61">
        <f>IF('Investment Plan'!Q18&gt;0,'Investment Plan'!Q18,0)</f>
        <v>0</v>
      </c>
      <c r="X61">
        <f>IF('Investment Plan'!R18&gt;0,'Investment Plan'!R18,0)</f>
        <v>0</v>
      </c>
      <c r="Y61">
        <f>IF('Investment Plan'!S18&gt;0,'Investment Plan'!S18,0)</f>
        <v>0</v>
      </c>
      <c r="Z61">
        <f>IF('Investment Plan'!T18&gt;0,'Investment Plan'!T18,0)</f>
        <v>0</v>
      </c>
      <c r="AA61">
        <f>IF('Investment Plan'!U18&gt;0,'Investment Plan'!U18,0)</f>
        <v>0</v>
      </c>
      <c r="AB61">
        <f>IF('Investment Plan'!V18&gt;0,'Investment Plan'!V18,0)</f>
        <v>0</v>
      </c>
      <c r="AC61">
        <f>IF('Investment Plan'!W18&gt;0,'Investment Plan'!W18,0)</f>
        <v>0</v>
      </c>
    </row>
    <row r="62" spans="2:29" ht="15">
      <c r="B62" s="228">
        <f>'Tech Parameters'!J18/1000</f>
        <v>5.0000000000000001E-3</v>
      </c>
      <c r="C62" t="str">
        <f t="shared" si="30"/>
        <v>solar PV</v>
      </c>
      <c r="D62" s="14"/>
      <c r="E62" s="14"/>
      <c r="F62" s="14"/>
      <c r="G62" s="14"/>
      <c r="I62">
        <f>IF('Investment Plan'!C19&gt;0,'Investment Plan'!C19,0)</f>
        <v>0</v>
      </c>
      <c r="J62">
        <f>IF('Investment Plan'!D19&gt;0,'Investment Plan'!D19,0)</f>
        <v>0</v>
      </c>
      <c r="K62">
        <f>IF('Investment Plan'!E19&gt;0,'Investment Plan'!E19,0)</f>
        <v>0</v>
      </c>
      <c r="L62">
        <f>IF('Investment Plan'!F19&gt;0,'Investment Plan'!F19,0)</f>
        <v>0</v>
      </c>
      <c r="M62">
        <f>IF('Investment Plan'!G19&gt;0,'Investment Plan'!G19,0)</f>
        <v>0</v>
      </c>
      <c r="N62">
        <f>IF('Investment Plan'!H19&gt;0,'Investment Plan'!H19,0)</f>
        <v>0</v>
      </c>
      <c r="O62">
        <f>IF('Investment Plan'!I19&gt;0,'Investment Plan'!I19,0)</f>
        <v>0</v>
      </c>
      <c r="P62">
        <f>IF('Investment Plan'!J19&gt;0,'Investment Plan'!J19,0)</f>
        <v>0</v>
      </c>
      <c r="Q62">
        <f>IF('Investment Plan'!K19&gt;0,'Investment Plan'!K19,0)</f>
        <v>0</v>
      </c>
      <c r="R62">
        <f>IF('Investment Plan'!L19&gt;0,'Investment Plan'!L19,0)</f>
        <v>0</v>
      </c>
      <c r="S62">
        <f>IF('Investment Plan'!M19&gt;0,'Investment Plan'!M19,0)</f>
        <v>0</v>
      </c>
      <c r="T62">
        <f>IF('Investment Plan'!N19&gt;0,'Investment Plan'!N19,0)</f>
        <v>0</v>
      </c>
      <c r="U62">
        <f>IF('Investment Plan'!O19&gt;0,'Investment Plan'!O19,0)</f>
        <v>0</v>
      </c>
      <c r="V62">
        <f>IF('Investment Plan'!P19&gt;0,'Investment Plan'!P19,0)</f>
        <v>0</v>
      </c>
      <c r="W62">
        <f>IF('Investment Plan'!Q19&gt;0,'Investment Plan'!Q19,0)</f>
        <v>0</v>
      </c>
      <c r="X62">
        <f>IF('Investment Plan'!R19&gt;0,'Investment Plan'!R19,0)</f>
        <v>0</v>
      </c>
      <c r="Y62">
        <f>IF('Investment Plan'!S19&gt;0,'Investment Plan'!S19,0)</f>
        <v>0</v>
      </c>
      <c r="Z62">
        <f>IF('Investment Plan'!T19&gt;0,'Investment Plan'!T19,0)</f>
        <v>0</v>
      </c>
      <c r="AA62">
        <f>IF('Investment Plan'!U19&gt;0,'Investment Plan'!U19,0)</f>
        <v>0</v>
      </c>
      <c r="AB62">
        <f>IF('Investment Plan'!V19&gt;0,'Investment Plan'!V19,0)</f>
        <v>0</v>
      </c>
      <c r="AC62">
        <f>IF('Investment Plan'!W19&gt;0,'Investment Plan'!W19,0)</f>
        <v>0</v>
      </c>
    </row>
    <row r="63" spans="2:29" ht="15">
      <c r="B63" s="228">
        <f>'Tech Parameters'!J19/1000</f>
        <v>0.38700000000000001</v>
      </c>
      <c r="C63" t="str">
        <f t="shared" si="30"/>
        <v>combined cycle gas</v>
      </c>
      <c r="D63" s="14"/>
      <c r="E63" s="14"/>
      <c r="F63" s="14"/>
      <c r="G63" s="14"/>
      <c r="I63">
        <f>IF('Investment Plan'!C20&gt;0,'Investment Plan'!C20,0)</f>
        <v>0</v>
      </c>
      <c r="J63">
        <f>IF('Investment Plan'!D20&gt;0,'Investment Plan'!D20,0)</f>
        <v>0</v>
      </c>
      <c r="K63">
        <f>IF('Investment Plan'!E20&gt;0,'Investment Plan'!E20,0)</f>
        <v>0</v>
      </c>
      <c r="L63">
        <f>IF('Investment Plan'!F20&gt;0,'Investment Plan'!F20,0)</f>
        <v>0</v>
      </c>
      <c r="M63">
        <f>IF('Investment Plan'!G20&gt;0,'Investment Plan'!G20,0)</f>
        <v>0</v>
      </c>
      <c r="N63">
        <f>IF('Investment Plan'!H20&gt;0,'Investment Plan'!H20,0)</f>
        <v>0</v>
      </c>
      <c r="O63">
        <f>IF('Investment Plan'!I20&gt;0,'Investment Plan'!I20,0)</f>
        <v>0</v>
      </c>
      <c r="P63">
        <f>IF('Investment Plan'!J20&gt;0,'Investment Plan'!J20,0)</f>
        <v>0</v>
      </c>
      <c r="Q63">
        <f>IF('Investment Plan'!K20&gt;0,'Investment Plan'!K20,0)</f>
        <v>0</v>
      </c>
      <c r="R63">
        <f>IF('Investment Plan'!L20&gt;0,'Investment Plan'!L20,0)</f>
        <v>0</v>
      </c>
      <c r="S63">
        <f>IF('Investment Plan'!M20&gt;0,'Investment Plan'!M20,0)</f>
        <v>0</v>
      </c>
      <c r="T63">
        <f>IF('Investment Plan'!N20&gt;0,'Investment Plan'!N20,0)</f>
        <v>0</v>
      </c>
      <c r="U63">
        <f>IF('Investment Plan'!O20&gt;0,'Investment Plan'!O20,0)</f>
        <v>0</v>
      </c>
      <c r="V63">
        <f>IF('Investment Plan'!P20&gt;0,'Investment Plan'!P20,0)</f>
        <v>0</v>
      </c>
      <c r="W63">
        <f>IF('Investment Plan'!Q20&gt;0,'Investment Plan'!Q20,0)</f>
        <v>0</v>
      </c>
      <c r="X63">
        <f>IF('Investment Plan'!R20&gt;0,'Investment Plan'!R20,0)</f>
        <v>0</v>
      </c>
      <c r="Y63">
        <f>IF('Investment Plan'!S20&gt;0,'Investment Plan'!S20,0)</f>
        <v>0</v>
      </c>
      <c r="Z63">
        <f>IF('Investment Plan'!T20&gt;0,'Investment Plan'!T20,0)</f>
        <v>0</v>
      </c>
      <c r="AA63">
        <f>IF('Investment Plan'!U20&gt;0,'Investment Plan'!U20,0)</f>
        <v>0</v>
      </c>
      <c r="AB63">
        <f>IF('Investment Plan'!V20&gt;0,'Investment Plan'!V20,0)</f>
        <v>0</v>
      </c>
      <c r="AC63">
        <f>IF('Investment Plan'!W20&gt;0,'Investment Plan'!W20,0)</f>
        <v>0</v>
      </c>
    </row>
    <row r="64" spans="2:29" ht="15">
      <c r="B64" s="228">
        <f>'Tech Parameters'!J20/1000</f>
        <v>0.16500000000000001</v>
      </c>
      <c r="C64" t="str">
        <f t="shared" si="30"/>
        <v>PBMR</v>
      </c>
      <c r="D64" s="14"/>
      <c r="E64" s="14"/>
      <c r="F64" s="14"/>
      <c r="G64" s="14"/>
      <c r="I64">
        <f>IF('Investment Plan'!C21&gt;0,'Investment Plan'!C21,0)</f>
        <v>0</v>
      </c>
      <c r="J64">
        <f>IF('Investment Plan'!D21&gt;0,'Investment Plan'!D21,0)</f>
        <v>0</v>
      </c>
      <c r="K64">
        <f>IF('Investment Plan'!E21&gt;0,'Investment Plan'!E21,0)</f>
        <v>0</v>
      </c>
      <c r="L64">
        <f>IF('Investment Plan'!F21&gt;0,'Investment Plan'!F21,0)</f>
        <v>0</v>
      </c>
      <c r="M64">
        <f>IF('Investment Plan'!G21&gt;0,'Investment Plan'!G21,0)</f>
        <v>0</v>
      </c>
      <c r="N64">
        <f>IF('Investment Plan'!H21&gt;0,'Investment Plan'!H21,0)</f>
        <v>0</v>
      </c>
      <c r="O64">
        <f>IF('Investment Plan'!I21&gt;0,'Investment Plan'!I21,0)</f>
        <v>0</v>
      </c>
      <c r="P64">
        <f>IF('Investment Plan'!J21&gt;0,'Investment Plan'!J21,0)</f>
        <v>0</v>
      </c>
      <c r="Q64">
        <f>IF('Investment Plan'!K21&gt;0,'Investment Plan'!K21,0)</f>
        <v>0</v>
      </c>
      <c r="R64">
        <f>IF('Investment Plan'!L21&gt;0,'Investment Plan'!L21,0)</f>
        <v>0</v>
      </c>
      <c r="S64">
        <f>IF('Investment Plan'!M21&gt;0,'Investment Plan'!M21,0)</f>
        <v>0</v>
      </c>
      <c r="T64">
        <f>IF('Investment Plan'!N21&gt;0,'Investment Plan'!N21,0)</f>
        <v>0</v>
      </c>
      <c r="U64">
        <f>IF('Investment Plan'!O21&gt;0,'Investment Plan'!O21,0)</f>
        <v>0</v>
      </c>
      <c r="V64">
        <f>IF('Investment Plan'!P21&gt;0,'Investment Plan'!P21,0)</f>
        <v>0</v>
      </c>
      <c r="W64">
        <f>IF('Investment Plan'!Q21&gt;0,'Investment Plan'!Q21,0)</f>
        <v>0</v>
      </c>
      <c r="X64">
        <f>IF('Investment Plan'!R21&gt;0,'Investment Plan'!R21,0)</f>
        <v>0</v>
      </c>
      <c r="Y64">
        <f>IF('Investment Plan'!S21&gt;0,'Investment Plan'!S21,0)</f>
        <v>0</v>
      </c>
      <c r="Z64">
        <f>IF('Investment Plan'!T21&gt;0,'Investment Plan'!T21,0)</f>
        <v>0</v>
      </c>
      <c r="AA64">
        <f>IF('Investment Plan'!U21&gt;0,'Investment Plan'!U21,0)</f>
        <v>0</v>
      </c>
      <c r="AB64">
        <f>IF('Investment Plan'!V21&gt;0,'Investment Plan'!V21,0)</f>
        <v>0</v>
      </c>
      <c r="AC64">
        <f>IF('Investment Plan'!W21&gt;0,'Investment Plan'!W21,0)</f>
        <v>0</v>
      </c>
    </row>
    <row r="65" spans="2:29" ht="15">
      <c r="B65" s="228">
        <f>'Tech Parameters'!J21/1000</f>
        <v>0.55000000000000004</v>
      </c>
      <c r="C65" t="str">
        <f t="shared" si="30"/>
        <v>IGCC</v>
      </c>
      <c r="D65" s="14"/>
      <c r="E65" s="14"/>
      <c r="F65" s="14"/>
      <c r="G65" s="14"/>
      <c r="I65">
        <f>IF('Investment Plan'!C22&gt;0,'Investment Plan'!C22,0)</f>
        <v>0</v>
      </c>
      <c r="J65">
        <f>IF('Investment Plan'!D22&gt;0,'Investment Plan'!D22,0)</f>
        <v>0</v>
      </c>
      <c r="K65">
        <f>IF('Investment Plan'!E22&gt;0,'Investment Plan'!E22,0)</f>
        <v>0</v>
      </c>
      <c r="L65">
        <f>IF('Investment Plan'!F22&gt;0,'Investment Plan'!F22,0)</f>
        <v>0</v>
      </c>
      <c r="M65">
        <f>IF('Investment Plan'!G22&gt;0,'Investment Plan'!G22,0)</f>
        <v>0</v>
      </c>
      <c r="N65">
        <f>IF('Investment Plan'!H22&gt;0,'Investment Plan'!H22,0)</f>
        <v>0</v>
      </c>
      <c r="O65">
        <f>IF('Investment Plan'!I22&gt;0,'Investment Plan'!I22,0)</f>
        <v>0</v>
      </c>
      <c r="P65">
        <f>IF('Investment Plan'!J22&gt;0,'Investment Plan'!J22,0)</f>
        <v>0</v>
      </c>
      <c r="Q65">
        <f>IF('Investment Plan'!K22&gt;0,'Investment Plan'!K22,0)</f>
        <v>0</v>
      </c>
      <c r="R65">
        <f>IF('Investment Plan'!L22&gt;0,'Investment Plan'!L22,0)</f>
        <v>0</v>
      </c>
      <c r="S65">
        <f>IF('Investment Plan'!M22&gt;0,'Investment Plan'!M22,0)</f>
        <v>0</v>
      </c>
      <c r="T65">
        <f>IF('Investment Plan'!N22&gt;0,'Investment Plan'!N22,0)</f>
        <v>0</v>
      </c>
      <c r="U65">
        <f>IF('Investment Plan'!O22&gt;0,'Investment Plan'!O22,0)</f>
        <v>0</v>
      </c>
      <c r="V65">
        <f>IF('Investment Plan'!P22&gt;0,'Investment Plan'!P22,0)</f>
        <v>0</v>
      </c>
      <c r="W65">
        <f>IF('Investment Plan'!Q22&gt;0,'Investment Plan'!Q22,0)</f>
        <v>0</v>
      </c>
      <c r="X65">
        <f>IF('Investment Plan'!R22&gt;0,'Investment Plan'!R22,0)</f>
        <v>0</v>
      </c>
      <c r="Y65">
        <f>IF('Investment Plan'!S22&gt;0,'Investment Plan'!S22,0)</f>
        <v>0</v>
      </c>
      <c r="Z65">
        <f>IF('Investment Plan'!T22&gt;0,'Investment Plan'!T22,0)</f>
        <v>0</v>
      </c>
      <c r="AA65">
        <f>IF('Investment Plan'!U22&gt;0,'Investment Plan'!U22,0)</f>
        <v>0</v>
      </c>
      <c r="AB65">
        <f>IF('Investment Plan'!V22&gt;0,'Investment Plan'!V22,0)</f>
        <v>0</v>
      </c>
      <c r="AC65">
        <f>IF('Investment Plan'!W22&gt;0,'Investment Plan'!W22,0)</f>
        <v>0</v>
      </c>
    </row>
    <row r="66" spans="2:29" ht="15">
      <c r="B66" s="228">
        <f>'Tech Parameters'!J22/1000</f>
        <v>0</v>
      </c>
      <c r="C66" t="str">
        <f t="shared" si="30"/>
        <v>-</v>
      </c>
      <c r="D66" s="14"/>
      <c r="E66" s="14"/>
      <c r="F66" s="14"/>
      <c r="G66" s="14"/>
      <c r="I66">
        <f>IF('Investment Plan'!C23&gt;0,'Investment Plan'!C23,0)</f>
        <v>0</v>
      </c>
      <c r="J66">
        <f>IF('Investment Plan'!D23&gt;0,'Investment Plan'!D23,0)</f>
        <v>0</v>
      </c>
      <c r="K66">
        <f>IF('Investment Plan'!E23&gt;0,'Investment Plan'!E23,0)</f>
        <v>0</v>
      </c>
      <c r="L66">
        <f>IF('Investment Plan'!F23&gt;0,'Investment Plan'!F23,0)</f>
        <v>0</v>
      </c>
      <c r="M66">
        <f>IF('Investment Plan'!G23&gt;0,'Investment Plan'!G23,0)</f>
        <v>0</v>
      </c>
      <c r="N66">
        <f>IF('Investment Plan'!H23&gt;0,'Investment Plan'!H23,0)</f>
        <v>0</v>
      </c>
      <c r="O66">
        <f>IF('Investment Plan'!I23&gt;0,'Investment Plan'!I23,0)</f>
        <v>0</v>
      </c>
      <c r="P66">
        <f>IF('Investment Plan'!J23&gt;0,'Investment Plan'!J23,0)</f>
        <v>0</v>
      </c>
      <c r="Q66">
        <f>IF('Investment Plan'!K23&gt;0,'Investment Plan'!K23,0)</f>
        <v>0</v>
      </c>
      <c r="R66">
        <f>IF('Investment Plan'!L23&gt;0,'Investment Plan'!L23,0)</f>
        <v>0</v>
      </c>
      <c r="S66">
        <f>IF('Investment Plan'!M23&gt;0,'Investment Plan'!M23,0)</f>
        <v>0</v>
      </c>
      <c r="T66">
        <f>IF('Investment Plan'!N23&gt;0,'Investment Plan'!N23,0)</f>
        <v>0</v>
      </c>
      <c r="U66">
        <f>IF('Investment Plan'!O23&gt;0,'Investment Plan'!O23,0)</f>
        <v>0</v>
      </c>
      <c r="V66">
        <f>IF('Investment Plan'!P23&gt;0,'Investment Plan'!P23,0)</f>
        <v>0</v>
      </c>
      <c r="W66">
        <f>IF('Investment Plan'!Q23&gt;0,'Investment Plan'!Q23,0)</f>
        <v>0</v>
      </c>
      <c r="X66">
        <f>IF('Investment Plan'!R23&gt;0,'Investment Plan'!R23,0)</f>
        <v>0</v>
      </c>
      <c r="Y66">
        <f>IF('Investment Plan'!S23&gt;0,'Investment Plan'!S23,0)</f>
        <v>0</v>
      </c>
      <c r="Z66">
        <f>IF('Investment Plan'!T23&gt;0,'Investment Plan'!T23,0)</f>
        <v>0</v>
      </c>
      <c r="AA66">
        <f>IF('Investment Plan'!U23&gt;0,'Investment Plan'!U23,0)</f>
        <v>0</v>
      </c>
      <c r="AB66">
        <f>IF('Investment Plan'!V23&gt;0,'Investment Plan'!V23,0)</f>
        <v>0</v>
      </c>
      <c r="AC66">
        <f>IF('Investment Plan'!W23&gt;0,'Investment Plan'!W23,0)</f>
        <v>0</v>
      </c>
    </row>
    <row r="67" spans="2:29" ht="15">
      <c r="B67" s="228">
        <f>'Tech Parameters'!J23/1000</f>
        <v>0</v>
      </c>
      <c r="C67" t="str">
        <f t="shared" si="30"/>
        <v>-</v>
      </c>
      <c r="D67" s="14"/>
      <c r="E67" s="14"/>
      <c r="F67" s="14"/>
      <c r="G67" s="14"/>
      <c r="I67">
        <f>IF('Investment Plan'!C24&gt;0,'Investment Plan'!C24,0)</f>
        <v>0</v>
      </c>
      <c r="J67">
        <f>IF('Investment Plan'!D24&gt;0,'Investment Plan'!D24,0)</f>
        <v>0</v>
      </c>
      <c r="K67">
        <f>IF('Investment Plan'!E24&gt;0,'Investment Plan'!E24,0)</f>
        <v>0</v>
      </c>
      <c r="L67">
        <f>IF('Investment Plan'!F24&gt;0,'Investment Plan'!F24,0)</f>
        <v>0</v>
      </c>
      <c r="M67">
        <f>IF('Investment Plan'!G24&gt;0,'Investment Plan'!G24,0)</f>
        <v>0</v>
      </c>
      <c r="N67">
        <f>IF('Investment Plan'!H24&gt;0,'Investment Plan'!H24,0)</f>
        <v>0</v>
      </c>
      <c r="O67">
        <f>IF('Investment Plan'!I24&gt;0,'Investment Plan'!I24,0)</f>
        <v>0</v>
      </c>
      <c r="P67">
        <f>IF('Investment Plan'!J24&gt;0,'Investment Plan'!J24,0)</f>
        <v>0</v>
      </c>
      <c r="Q67">
        <f>IF('Investment Plan'!K24&gt;0,'Investment Plan'!K24,0)</f>
        <v>0</v>
      </c>
      <c r="R67">
        <f>IF('Investment Plan'!L24&gt;0,'Investment Plan'!L24,0)</f>
        <v>0</v>
      </c>
      <c r="S67">
        <f>IF('Investment Plan'!M24&gt;0,'Investment Plan'!M24,0)</f>
        <v>0</v>
      </c>
      <c r="T67">
        <f>IF('Investment Plan'!N24&gt;0,'Investment Plan'!N24,0)</f>
        <v>0</v>
      </c>
      <c r="U67">
        <f>IF('Investment Plan'!O24&gt;0,'Investment Plan'!O24,0)</f>
        <v>0</v>
      </c>
      <c r="V67">
        <f>IF('Investment Plan'!P24&gt;0,'Investment Plan'!P24,0)</f>
        <v>0</v>
      </c>
      <c r="W67">
        <f>IF('Investment Plan'!Q24&gt;0,'Investment Plan'!Q24,0)</f>
        <v>0</v>
      </c>
      <c r="X67">
        <f>IF('Investment Plan'!R24&gt;0,'Investment Plan'!R24,0)</f>
        <v>0</v>
      </c>
      <c r="Y67">
        <f>IF('Investment Plan'!S24&gt;0,'Investment Plan'!S24,0)</f>
        <v>0</v>
      </c>
      <c r="Z67">
        <f>IF('Investment Plan'!T24&gt;0,'Investment Plan'!T24,0)</f>
        <v>0</v>
      </c>
      <c r="AA67">
        <f>IF('Investment Plan'!U24&gt;0,'Investment Plan'!U24,0)</f>
        <v>0</v>
      </c>
      <c r="AB67">
        <f>IF('Investment Plan'!V24&gt;0,'Investment Plan'!V24,0)</f>
        <v>0</v>
      </c>
      <c r="AC67">
        <f>IF('Investment Plan'!W24&gt;0,'Investment Plan'!W24,0)</f>
        <v>0</v>
      </c>
    </row>
    <row r="68" spans="2:29" ht="15">
      <c r="B68" s="228">
        <f>'Tech Parameters'!J24/1000</f>
        <v>0</v>
      </c>
      <c r="C68" t="str">
        <f t="shared" si="30"/>
        <v>-</v>
      </c>
      <c r="D68" s="14"/>
      <c r="E68" s="14"/>
      <c r="F68" s="14"/>
      <c r="G68" s="14"/>
      <c r="I68">
        <f>IF('Investment Plan'!C25&gt;0,'Investment Plan'!C25,0)</f>
        <v>0</v>
      </c>
      <c r="J68">
        <f>IF('Investment Plan'!D25&gt;0,'Investment Plan'!D25,0)</f>
        <v>0</v>
      </c>
      <c r="K68">
        <f>IF('Investment Plan'!E25&gt;0,'Investment Plan'!E25,0)</f>
        <v>0</v>
      </c>
      <c r="L68">
        <f>IF('Investment Plan'!F25&gt;0,'Investment Plan'!F25,0)</f>
        <v>0</v>
      </c>
      <c r="M68">
        <f>IF('Investment Plan'!G25&gt;0,'Investment Plan'!G25,0)</f>
        <v>0</v>
      </c>
      <c r="N68">
        <f>IF('Investment Plan'!H25&gt;0,'Investment Plan'!H25,0)</f>
        <v>0</v>
      </c>
      <c r="O68">
        <f>IF('Investment Plan'!I25&gt;0,'Investment Plan'!I25,0)</f>
        <v>0</v>
      </c>
      <c r="P68">
        <f>IF('Investment Plan'!J25&gt;0,'Investment Plan'!J25,0)</f>
        <v>0</v>
      </c>
      <c r="Q68">
        <f>IF('Investment Plan'!K25&gt;0,'Investment Plan'!K25,0)</f>
        <v>0</v>
      </c>
      <c r="R68">
        <f>IF('Investment Plan'!L25&gt;0,'Investment Plan'!L25,0)</f>
        <v>0</v>
      </c>
      <c r="S68">
        <f>IF('Investment Plan'!M25&gt;0,'Investment Plan'!M25,0)</f>
        <v>0</v>
      </c>
      <c r="T68">
        <f>IF('Investment Plan'!N25&gt;0,'Investment Plan'!N25,0)</f>
        <v>0</v>
      </c>
      <c r="U68">
        <f>IF('Investment Plan'!O25&gt;0,'Investment Plan'!O25,0)</f>
        <v>0</v>
      </c>
      <c r="V68">
        <f>IF('Investment Plan'!P25&gt;0,'Investment Plan'!P25,0)</f>
        <v>0</v>
      </c>
      <c r="W68">
        <f>IF('Investment Plan'!Q25&gt;0,'Investment Plan'!Q25,0)</f>
        <v>0</v>
      </c>
      <c r="X68">
        <f>IF('Investment Plan'!R25&gt;0,'Investment Plan'!R25,0)</f>
        <v>0</v>
      </c>
      <c r="Y68">
        <f>IF('Investment Plan'!S25&gt;0,'Investment Plan'!S25,0)</f>
        <v>0</v>
      </c>
      <c r="Z68">
        <f>IF('Investment Plan'!T25&gt;0,'Investment Plan'!T25,0)</f>
        <v>0</v>
      </c>
      <c r="AA68">
        <f>IF('Investment Plan'!U25&gt;0,'Investment Plan'!U25,0)</f>
        <v>0</v>
      </c>
      <c r="AB68">
        <f>IF('Investment Plan'!V25&gt;0,'Investment Plan'!V25,0)</f>
        <v>0</v>
      </c>
      <c r="AC68">
        <f>IF('Investment Plan'!W25&gt;0,'Investment Plan'!W25,0)</f>
        <v>0</v>
      </c>
    </row>
    <row r="69" spans="2:29" ht="15">
      <c r="B69" s="228">
        <f>'Tech Parameters'!J25/1000</f>
        <v>0.33300000000000002</v>
      </c>
      <c r="C69" t="str">
        <f t="shared" si="30"/>
        <v>Pumped storage</v>
      </c>
      <c r="D69" s="14"/>
      <c r="E69" s="14"/>
      <c r="F69" s="14"/>
      <c r="G69" s="14"/>
      <c r="I69">
        <f>IF('Investment Plan'!C26&gt;0,'Investment Plan'!C26,0)</f>
        <v>0</v>
      </c>
      <c r="J69">
        <f>IF('Investment Plan'!D26&gt;0,'Investment Plan'!D26,0)</f>
        <v>0</v>
      </c>
      <c r="K69">
        <f>IF('Investment Plan'!E26&gt;0,'Investment Plan'!E26,0)</f>
        <v>0</v>
      </c>
      <c r="L69">
        <f>IF('Investment Plan'!F26&gt;0,'Investment Plan'!F26,0)</f>
        <v>2</v>
      </c>
      <c r="M69">
        <f>IF('Investment Plan'!G26&gt;0,'Investment Plan'!G26,0)</f>
        <v>2</v>
      </c>
      <c r="N69">
        <f>IF('Investment Plan'!H26&gt;0,'Investment Plan'!H26,0)</f>
        <v>0</v>
      </c>
      <c r="O69">
        <f>IF('Investment Plan'!I26&gt;0,'Investment Plan'!I26,0)</f>
        <v>0</v>
      </c>
      <c r="P69">
        <f>IF('Investment Plan'!J26&gt;0,'Investment Plan'!J26,0)</f>
        <v>0</v>
      </c>
      <c r="Q69">
        <f>IF('Investment Plan'!K26&gt;0,'Investment Plan'!K26,0)</f>
        <v>0</v>
      </c>
      <c r="R69">
        <f>IF('Investment Plan'!L26&gt;0,'Investment Plan'!L26,0)</f>
        <v>0</v>
      </c>
      <c r="S69">
        <f>IF('Investment Plan'!M26&gt;0,'Investment Plan'!M26,0)</f>
        <v>0</v>
      </c>
      <c r="T69">
        <f>IF('Investment Plan'!N26&gt;0,'Investment Plan'!N26,0)</f>
        <v>0</v>
      </c>
      <c r="U69">
        <f>IF('Investment Plan'!O26&gt;0,'Investment Plan'!O26,0)</f>
        <v>0</v>
      </c>
      <c r="V69">
        <f>IF('Investment Plan'!P26&gt;0,'Investment Plan'!P26,0)</f>
        <v>0</v>
      </c>
      <c r="W69">
        <f>IF('Investment Plan'!Q26&gt;0,'Investment Plan'!Q26,0)</f>
        <v>0</v>
      </c>
      <c r="X69">
        <f>IF('Investment Plan'!R26&gt;0,'Investment Plan'!R26,0)</f>
        <v>0</v>
      </c>
      <c r="Y69">
        <f>IF('Investment Plan'!S26&gt;0,'Investment Plan'!S26,0)</f>
        <v>0</v>
      </c>
      <c r="Z69">
        <f>IF('Investment Plan'!T26&gt;0,'Investment Plan'!T26,0)</f>
        <v>0</v>
      </c>
      <c r="AA69">
        <f>IF('Investment Plan'!U26&gt;0,'Investment Plan'!U26,0)</f>
        <v>0</v>
      </c>
      <c r="AB69">
        <f>IF('Investment Plan'!V26&gt;0,'Investment Plan'!V26,0)</f>
        <v>0</v>
      </c>
      <c r="AC69">
        <f>IF('Investment Plan'!W26&gt;0,'Investment Plan'!W26,0)</f>
        <v>0</v>
      </c>
    </row>
    <row r="70" spans="2:29" ht="15">
      <c r="B70" s="228">
        <f>'Tech Parameters'!J26/1000</f>
        <v>0.375</v>
      </c>
      <c r="C70" s="1" t="s">
        <v>538</v>
      </c>
      <c r="D70" s="14"/>
      <c r="E70" s="14"/>
      <c r="F70" s="14"/>
      <c r="G70" s="14"/>
      <c r="I70" s="20"/>
    </row>
    <row r="71" spans="2:29">
      <c r="C71" s="38" t="s">
        <v>162</v>
      </c>
      <c r="D71" s="21"/>
      <c r="E71" s="21"/>
      <c r="F71" s="21"/>
      <c r="G71" s="21"/>
      <c r="H71" s="21"/>
      <c r="I71" s="21"/>
      <c r="J71" s="21"/>
      <c r="K71" s="21"/>
      <c r="L71" s="21"/>
      <c r="M71" s="21"/>
      <c r="N71" s="21"/>
      <c r="O71" s="21"/>
      <c r="P71" s="21"/>
      <c r="Q71" s="21"/>
      <c r="R71" s="21"/>
      <c r="S71" s="21"/>
      <c r="T71" s="21"/>
      <c r="U71" s="21"/>
      <c r="V71" s="21"/>
      <c r="W71" s="21"/>
      <c r="X71" s="21"/>
      <c r="Y71" s="21"/>
    </row>
    <row r="72" spans="2:29">
      <c r="C72" s="53" t="str">
        <f t="shared" ref="C72:C91" si="31">C8</f>
        <v>Existing coal Large</v>
      </c>
      <c r="D72" s="54">
        <f t="shared" ref="D72:AC72" si="32">ROUND(D8/($B50+eps),0)</f>
        <v>54</v>
      </c>
      <c r="E72" s="54">
        <f t="shared" si="32"/>
        <v>54</v>
      </c>
      <c r="F72" s="54">
        <f t="shared" si="32"/>
        <v>54</v>
      </c>
      <c r="G72" s="54">
        <f t="shared" si="32"/>
        <v>54</v>
      </c>
      <c r="H72" s="54">
        <f>ROUND(H8/($B50+eps),0)</f>
        <v>54</v>
      </c>
      <c r="I72" s="54">
        <f t="shared" ca="1" si="32"/>
        <v>54</v>
      </c>
      <c r="J72" s="54">
        <f t="shared" ca="1" si="32"/>
        <v>54</v>
      </c>
      <c r="K72" s="54">
        <f t="shared" ca="1" si="32"/>
        <v>54</v>
      </c>
      <c r="L72" s="54">
        <f t="shared" ca="1" si="32"/>
        <v>54</v>
      </c>
      <c r="M72" s="54">
        <f t="shared" ca="1" si="32"/>
        <v>54</v>
      </c>
      <c r="N72" s="54">
        <f t="shared" ca="1" si="32"/>
        <v>54</v>
      </c>
      <c r="O72" s="54">
        <f t="shared" ca="1" si="32"/>
        <v>54</v>
      </c>
      <c r="P72" s="54">
        <f t="shared" ca="1" si="32"/>
        <v>54</v>
      </c>
      <c r="Q72" s="54">
        <f t="shared" ca="1" si="32"/>
        <v>54</v>
      </c>
      <c r="R72" s="54">
        <f t="shared" ca="1" si="32"/>
        <v>54</v>
      </c>
      <c r="S72" s="54">
        <f t="shared" ca="1" si="32"/>
        <v>54</v>
      </c>
      <c r="T72" s="54">
        <f t="shared" ca="1" si="32"/>
        <v>54</v>
      </c>
      <c r="U72" s="54">
        <f t="shared" ca="1" si="32"/>
        <v>54</v>
      </c>
      <c r="V72" s="54">
        <f t="shared" ca="1" si="32"/>
        <v>54</v>
      </c>
      <c r="W72" s="54">
        <f t="shared" ca="1" si="32"/>
        <v>52</v>
      </c>
      <c r="X72" s="54">
        <f t="shared" ca="1" si="32"/>
        <v>50</v>
      </c>
      <c r="Y72" s="54">
        <f t="shared" ca="1" si="32"/>
        <v>47</v>
      </c>
      <c r="Z72" s="54">
        <f t="shared" ca="1" si="32"/>
        <v>45</v>
      </c>
      <c r="AA72" s="54">
        <f t="shared" ca="1" si="32"/>
        <v>42</v>
      </c>
      <c r="AB72" s="54">
        <f t="shared" ca="1" si="32"/>
        <v>36</v>
      </c>
      <c r="AC72" s="54">
        <f t="shared" ca="1" si="32"/>
        <v>33</v>
      </c>
    </row>
    <row r="73" spans="2:29">
      <c r="C73" s="53" t="str">
        <f t="shared" si="31"/>
        <v>Existing coal Small</v>
      </c>
      <c r="D73" s="54">
        <f t="shared" ref="D73:AC73" si="33">ROUND(D9/($B51+eps),0)</f>
        <v>47</v>
      </c>
      <c r="E73" s="54">
        <f t="shared" si="33"/>
        <v>47</v>
      </c>
      <c r="F73" s="54">
        <f t="shared" si="33"/>
        <v>47</v>
      </c>
      <c r="G73" s="54">
        <f t="shared" si="33"/>
        <v>47</v>
      </c>
      <c r="H73" s="54">
        <f t="shared" si="33"/>
        <v>47</v>
      </c>
      <c r="I73" s="54">
        <f t="shared" ca="1" si="33"/>
        <v>53</v>
      </c>
      <c r="J73" s="54">
        <f t="shared" ca="1" si="33"/>
        <v>57</v>
      </c>
      <c r="K73" s="54">
        <f t="shared" ca="1" si="33"/>
        <v>57</v>
      </c>
      <c r="L73" s="54">
        <f t="shared" ca="1" si="33"/>
        <v>57</v>
      </c>
      <c r="M73" s="54">
        <f t="shared" ca="1" si="33"/>
        <v>57</v>
      </c>
      <c r="N73" s="54">
        <f t="shared" ca="1" si="33"/>
        <v>57</v>
      </c>
      <c r="O73" s="54">
        <f t="shared" ca="1" si="33"/>
        <v>57</v>
      </c>
      <c r="P73" s="54">
        <f t="shared" ca="1" si="33"/>
        <v>56</v>
      </c>
      <c r="Q73" s="54">
        <f t="shared" ca="1" si="33"/>
        <v>56</v>
      </c>
      <c r="R73" s="54">
        <f t="shared" ca="1" si="33"/>
        <v>55</v>
      </c>
      <c r="S73" s="54">
        <f t="shared" ca="1" si="33"/>
        <v>47</v>
      </c>
      <c r="T73" s="54">
        <f t="shared" ca="1" si="33"/>
        <v>39</v>
      </c>
      <c r="U73" s="54">
        <f t="shared" ca="1" si="33"/>
        <v>39</v>
      </c>
      <c r="V73" s="54">
        <f t="shared" ca="1" si="33"/>
        <v>39</v>
      </c>
      <c r="W73" s="54">
        <f t="shared" ca="1" si="33"/>
        <v>39</v>
      </c>
      <c r="X73" s="54">
        <f t="shared" ca="1" si="33"/>
        <v>35</v>
      </c>
      <c r="Y73" s="54">
        <f t="shared" ca="1" si="33"/>
        <v>31</v>
      </c>
      <c r="Z73" s="54">
        <f t="shared" ca="1" si="33"/>
        <v>31</v>
      </c>
      <c r="AA73" s="54">
        <f t="shared" ca="1" si="33"/>
        <v>31</v>
      </c>
      <c r="AB73" s="54">
        <f t="shared" ca="1" si="33"/>
        <v>31</v>
      </c>
      <c r="AC73" s="54">
        <f t="shared" ca="1" si="33"/>
        <v>31</v>
      </c>
    </row>
    <row r="74" spans="2:29">
      <c r="C74" s="53" t="str">
        <f t="shared" si="31"/>
        <v>OCGT liquid fuels</v>
      </c>
      <c r="D74" s="54">
        <f t="shared" ref="D74:AC74" si="34">ROUND(D10/($B52+eps),0)</f>
        <v>20</v>
      </c>
      <c r="E74" s="54">
        <f t="shared" si="34"/>
        <v>20</v>
      </c>
      <c r="F74" s="54">
        <f t="shared" si="34"/>
        <v>20</v>
      </c>
      <c r="G74" s="54">
        <f t="shared" si="34"/>
        <v>20</v>
      </c>
      <c r="H74" s="54">
        <f t="shared" si="34"/>
        <v>20</v>
      </c>
      <c r="I74" s="54">
        <f t="shared" ca="1" si="34"/>
        <v>20</v>
      </c>
      <c r="J74" s="54">
        <f t="shared" ca="1" si="34"/>
        <v>29</v>
      </c>
      <c r="K74" s="54">
        <f t="shared" ca="1" si="34"/>
        <v>29</v>
      </c>
      <c r="L74" s="54">
        <f t="shared" ca="1" si="34"/>
        <v>29</v>
      </c>
      <c r="M74" s="54">
        <f t="shared" ca="1" si="34"/>
        <v>29</v>
      </c>
      <c r="N74" s="54">
        <f t="shared" ca="1" si="34"/>
        <v>29</v>
      </c>
      <c r="O74" s="54">
        <f t="shared" ca="1" si="34"/>
        <v>29</v>
      </c>
      <c r="P74" s="54">
        <f t="shared" ca="1" si="34"/>
        <v>29</v>
      </c>
      <c r="Q74" s="54">
        <f t="shared" ca="1" si="34"/>
        <v>29</v>
      </c>
      <c r="R74" s="54">
        <f t="shared" ca="1" si="34"/>
        <v>29</v>
      </c>
      <c r="S74" s="54">
        <f t="shared" ca="1" si="34"/>
        <v>29</v>
      </c>
      <c r="T74" s="54">
        <f t="shared" ca="1" si="34"/>
        <v>29</v>
      </c>
      <c r="U74" s="54">
        <f t="shared" ca="1" si="34"/>
        <v>29</v>
      </c>
      <c r="V74" s="54">
        <f t="shared" ca="1" si="34"/>
        <v>35</v>
      </c>
      <c r="W74" s="54">
        <f t="shared" ca="1" si="34"/>
        <v>35</v>
      </c>
      <c r="X74" s="54">
        <f t="shared" ca="1" si="34"/>
        <v>35</v>
      </c>
      <c r="Y74" s="54">
        <f t="shared" ca="1" si="34"/>
        <v>41</v>
      </c>
      <c r="Z74" s="54">
        <f t="shared" ca="1" si="34"/>
        <v>41</v>
      </c>
      <c r="AA74" s="54">
        <f t="shared" ca="1" si="34"/>
        <v>41</v>
      </c>
      <c r="AB74" s="54">
        <f t="shared" ca="1" si="34"/>
        <v>47</v>
      </c>
      <c r="AC74" s="54">
        <f t="shared" ca="1" si="34"/>
        <v>46</v>
      </c>
    </row>
    <row r="75" spans="2:29">
      <c r="C75" s="53" t="str">
        <f t="shared" si="31"/>
        <v>PWR nuclear</v>
      </c>
      <c r="D75" s="54">
        <f t="shared" ref="D75:AC75" si="35">ROUND(D11/($B53+eps),0)</f>
        <v>1</v>
      </c>
      <c r="E75" s="54">
        <f t="shared" si="35"/>
        <v>1</v>
      </c>
      <c r="F75" s="54">
        <f t="shared" si="35"/>
        <v>1</v>
      </c>
      <c r="G75" s="54">
        <f t="shared" si="35"/>
        <v>1</v>
      </c>
      <c r="H75" s="54">
        <f t="shared" si="35"/>
        <v>1</v>
      </c>
      <c r="I75" s="54">
        <f t="shared" ca="1" si="35"/>
        <v>1</v>
      </c>
      <c r="J75" s="54">
        <f t="shared" ca="1" si="35"/>
        <v>1</v>
      </c>
      <c r="K75" s="54">
        <f t="shared" ca="1" si="35"/>
        <v>1</v>
      </c>
      <c r="L75" s="54">
        <f t="shared" ca="1" si="35"/>
        <v>1</v>
      </c>
      <c r="M75" s="54">
        <f t="shared" ca="1" si="35"/>
        <v>1</v>
      </c>
      <c r="N75" s="54">
        <f t="shared" ca="1" si="35"/>
        <v>1</v>
      </c>
      <c r="O75" s="54">
        <f t="shared" ca="1" si="35"/>
        <v>1</v>
      </c>
      <c r="P75" s="54">
        <f t="shared" ca="1" si="35"/>
        <v>1</v>
      </c>
      <c r="Q75" s="54">
        <f t="shared" ca="1" si="35"/>
        <v>1</v>
      </c>
      <c r="R75" s="54">
        <f t="shared" ca="1" si="35"/>
        <v>1</v>
      </c>
      <c r="S75" s="54">
        <f t="shared" ca="1" si="35"/>
        <v>1</v>
      </c>
      <c r="T75" s="54">
        <f t="shared" ca="1" si="35"/>
        <v>1</v>
      </c>
      <c r="U75" s="54">
        <f t="shared" ca="1" si="35"/>
        <v>1</v>
      </c>
      <c r="V75" s="54">
        <f t="shared" ca="1" si="35"/>
        <v>1</v>
      </c>
      <c r="W75" s="54">
        <f t="shared" ca="1" si="35"/>
        <v>1</v>
      </c>
      <c r="X75" s="54">
        <f t="shared" ca="1" si="35"/>
        <v>1</v>
      </c>
      <c r="Y75" s="54">
        <f t="shared" ca="1" si="35"/>
        <v>1</v>
      </c>
      <c r="Z75" s="54">
        <f t="shared" ca="1" si="35"/>
        <v>1</v>
      </c>
      <c r="AA75" s="54">
        <f t="shared" ca="1" si="35"/>
        <v>1</v>
      </c>
      <c r="AB75" s="54">
        <f t="shared" ca="1" si="35"/>
        <v>1</v>
      </c>
      <c r="AC75" s="54">
        <f t="shared" ca="1" si="35"/>
        <v>1</v>
      </c>
    </row>
    <row r="76" spans="2:29">
      <c r="C76" s="53" t="str">
        <f t="shared" si="31"/>
        <v>Hydro</v>
      </c>
      <c r="D76" s="54">
        <f t="shared" ref="D76:AC76" si="36">ROUND(D12/($B54+eps),0)</f>
        <v>7</v>
      </c>
      <c r="E76" s="54">
        <f t="shared" si="36"/>
        <v>7</v>
      </c>
      <c r="F76" s="54">
        <f t="shared" si="36"/>
        <v>7</v>
      </c>
      <c r="G76" s="54">
        <f t="shared" si="36"/>
        <v>7</v>
      </c>
      <c r="H76" s="54">
        <f t="shared" si="36"/>
        <v>7</v>
      </c>
      <c r="I76" s="54">
        <f t="shared" ca="1" si="36"/>
        <v>7</v>
      </c>
      <c r="J76" s="54">
        <f t="shared" ca="1" si="36"/>
        <v>7</v>
      </c>
      <c r="K76" s="54">
        <f t="shared" ca="1" si="36"/>
        <v>7</v>
      </c>
      <c r="L76" s="54">
        <f t="shared" ca="1" si="36"/>
        <v>7</v>
      </c>
      <c r="M76" s="54">
        <f t="shared" ca="1" si="36"/>
        <v>7</v>
      </c>
      <c r="N76" s="54">
        <f t="shared" ca="1" si="36"/>
        <v>7</v>
      </c>
      <c r="O76" s="54">
        <f t="shared" ca="1" si="36"/>
        <v>7</v>
      </c>
      <c r="P76" s="54">
        <f t="shared" ca="1" si="36"/>
        <v>7</v>
      </c>
      <c r="Q76" s="54">
        <f t="shared" ca="1" si="36"/>
        <v>7</v>
      </c>
      <c r="R76" s="54">
        <f t="shared" ca="1" si="36"/>
        <v>7</v>
      </c>
      <c r="S76" s="54">
        <f t="shared" ca="1" si="36"/>
        <v>7</v>
      </c>
      <c r="T76" s="54">
        <f t="shared" ca="1" si="36"/>
        <v>7</v>
      </c>
      <c r="U76" s="54">
        <f t="shared" ca="1" si="36"/>
        <v>7</v>
      </c>
      <c r="V76" s="54">
        <f t="shared" ca="1" si="36"/>
        <v>7</v>
      </c>
      <c r="W76" s="54">
        <f t="shared" ca="1" si="36"/>
        <v>7</v>
      </c>
      <c r="X76" s="54">
        <f t="shared" ca="1" si="36"/>
        <v>7</v>
      </c>
      <c r="Y76" s="54">
        <f t="shared" ca="1" si="36"/>
        <v>7</v>
      </c>
      <c r="Z76" s="54">
        <f t="shared" ca="1" si="36"/>
        <v>7</v>
      </c>
      <c r="AA76" s="54">
        <f t="shared" ca="1" si="36"/>
        <v>7</v>
      </c>
      <c r="AB76" s="54">
        <f t="shared" ca="1" si="36"/>
        <v>7</v>
      </c>
      <c r="AC76" s="54">
        <f t="shared" ca="1" si="36"/>
        <v>7</v>
      </c>
    </row>
    <row r="77" spans="2:29">
      <c r="C77" s="53" t="str">
        <f t="shared" si="31"/>
        <v>Landfill gas</v>
      </c>
      <c r="D77" s="54">
        <f t="shared" ref="D77:AC77" si="37">ROUND(D13/($B55+eps),0)</f>
        <v>2</v>
      </c>
      <c r="E77" s="54">
        <f t="shared" si="37"/>
        <v>2</v>
      </c>
      <c r="F77" s="54">
        <f t="shared" si="37"/>
        <v>2</v>
      </c>
      <c r="G77" s="54">
        <f t="shared" si="37"/>
        <v>2</v>
      </c>
      <c r="H77" s="54">
        <f t="shared" si="37"/>
        <v>2</v>
      </c>
      <c r="I77" s="54">
        <f t="shared" ca="1" si="37"/>
        <v>2</v>
      </c>
      <c r="J77" s="54">
        <f t="shared" ca="1" si="37"/>
        <v>2</v>
      </c>
      <c r="K77" s="54">
        <f t="shared" ca="1" si="37"/>
        <v>2</v>
      </c>
      <c r="L77" s="54">
        <f t="shared" ca="1" si="37"/>
        <v>2</v>
      </c>
      <c r="M77" s="54">
        <f t="shared" ca="1" si="37"/>
        <v>2</v>
      </c>
      <c r="N77" s="54">
        <f t="shared" ca="1" si="37"/>
        <v>2</v>
      </c>
      <c r="O77" s="54">
        <f t="shared" ca="1" si="37"/>
        <v>2</v>
      </c>
      <c r="P77" s="54">
        <f t="shared" ca="1" si="37"/>
        <v>2</v>
      </c>
      <c r="Q77" s="54">
        <f t="shared" ca="1" si="37"/>
        <v>2</v>
      </c>
      <c r="R77" s="54">
        <f t="shared" ca="1" si="37"/>
        <v>2</v>
      </c>
      <c r="S77" s="54">
        <f t="shared" ca="1" si="37"/>
        <v>2</v>
      </c>
      <c r="T77" s="54">
        <f t="shared" ca="1" si="37"/>
        <v>2</v>
      </c>
      <c r="U77" s="54">
        <f t="shared" ca="1" si="37"/>
        <v>2</v>
      </c>
      <c r="V77" s="54">
        <f t="shared" ca="1" si="37"/>
        <v>2</v>
      </c>
      <c r="W77" s="54">
        <f t="shared" ca="1" si="37"/>
        <v>2</v>
      </c>
      <c r="X77" s="54">
        <f t="shared" ca="1" si="37"/>
        <v>2</v>
      </c>
      <c r="Y77" s="54">
        <f t="shared" ca="1" si="37"/>
        <v>2</v>
      </c>
      <c r="Z77" s="54">
        <f t="shared" ca="1" si="37"/>
        <v>2</v>
      </c>
      <c r="AA77" s="54">
        <f t="shared" ca="1" si="37"/>
        <v>2</v>
      </c>
      <c r="AB77" s="54">
        <f t="shared" ca="1" si="37"/>
        <v>2</v>
      </c>
      <c r="AC77" s="54">
        <f t="shared" ca="1" si="37"/>
        <v>2</v>
      </c>
    </row>
    <row r="78" spans="2:29">
      <c r="C78" s="53" t="str">
        <f t="shared" si="31"/>
        <v>Biomass</v>
      </c>
      <c r="D78" s="54">
        <f t="shared" ref="D78:AC78" si="38">ROUND(D14/($B56+eps),0)</f>
        <v>2</v>
      </c>
      <c r="E78" s="54">
        <f t="shared" si="38"/>
        <v>2</v>
      </c>
      <c r="F78" s="54">
        <f t="shared" si="38"/>
        <v>2</v>
      </c>
      <c r="G78" s="54">
        <f t="shared" si="38"/>
        <v>2</v>
      </c>
      <c r="H78" s="54">
        <f t="shared" si="38"/>
        <v>2</v>
      </c>
      <c r="I78" s="54">
        <f t="shared" ca="1" si="38"/>
        <v>2</v>
      </c>
      <c r="J78" s="54">
        <f t="shared" ca="1" si="38"/>
        <v>2</v>
      </c>
      <c r="K78" s="54">
        <f t="shared" ca="1" si="38"/>
        <v>2</v>
      </c>
      <c r="L78" s="54">
        <f t="shared" ca="1" si="38"/>
        <v>2</v>
      </c>
      <c r="M78" s="54">
        <f t="shared" ca="1" si="38"/>
        <v>2</v>
      </c>
      <c r="N78" s="54">
        <f t="shared" ca="1" si="38"/>
        <v>2</v>
      </c>
      <c r="O78" s="54">
        <f t="shared" ca="1" si="38"/>
        <v>2</v>
      </c>
      <c r="P78" s="54">
        <f t="shared" ca="1" si="38"/>
        <v>2</v>
      </c>
      <c r="Q78" s="54">
        <f t="shared" ca="1" si="38"/>
        <v>2</v>
      </c>
      <c r="R78" s="54">
        <f t="shared" ca="1" si="38"/>
        <v>2</v>
      </c>
      <c r="S78" s="54">
        <f t="shared" ca="1" si="38"/>
        <v>2</v>
      </c>
      <c r="T78" s="54">
        <f t="shared" ca="1" si="38"/>
        <v>2</v>
      </c>
      <c r="U78" s="54">
        <f t="shared" ca="1" si="38"/>
        <v>2</v>
      </c>
      <c r="V78" s="54">
        <f t="shared" ca="1" si="38"/>
        <v>2</v>
      </c>
      <c r="W78" s="54">
        <f t="shared" ca="1" si="38"/>
        <v>2</v>
      </c>
      <c r="X78" s="54">
        <f t="shared" ca="1" si="38"/>
        <v>2</v>
      </c>
      <c r="Y78" s="54">
        <f t="shared" ca="1" si="38"/>
        <v>2</v>
      </c>
      <c r="Z78" s="54">
        <f t="shared" ca="1" si="38"/>
        <v>2</v>
      </c>
      <c r="AA78" s="54">
        <f t="shared" ca="1" si="38"/>
        <v>2</v>
      </c>
      <c r="AB78" s="54">
        <f t="shared" ca="1" si="38"/>
        <v>2</v>
      </c>
      <c r="AC78" s="54">
        <f t="shared" ca="1" si="38"/>
        <v>2</v>
      </c>
    </row>
    <row r="79" spans="2:29">
      <c r="C79" s="53" t="str">
        <f t="shared" si="31"/>
        <v>Supercritical coal</v>
      </c>
      <c r="D79" s="54">
        <f t="shared" ref="D79:AC79" si="39">ROUND(D15/($B57+eps),0)</f>
        <v>0</v>
      </c>
      <c r="E79" s="54">
        <f t="shared" si="39"/>
        <v>0</v>
      </c>
      <c r="F79" s="54">
        <f t="shared" si="39"/>
        <v>0</v>
      </c>
      <c r="G79" s="54">
        <f t="shared" si="39"/>
        <v>0</v>
      </c>
      <c r="H79" s="54">
        <f t="shared" si="39"/>
        <v>0</v>
      </c>
      <c r="I79" s="54">
        <f t="shared" ca="1" si="39"/>
        <v>0</v>
      </c>
      <c r="J79" s="54">
        <f t="shared" ca="1" si="39"/>
        <v>0</v>
      </c>
      <c r="K79" s="54">
        <f t="shared" ca="1" si="39"/>
        <v>1</v>
      </c>
      <c r="L79" s="54">
        <f t="shared" ca="1" si="39"/>
        <v>3</v>
      </c>
      <c r="M79" s="54">
        <f t="shared" ca="1" si="39"/>
        <v>6</v>
      </c>
      <c r="N79" s="54">
        <f t="shared" ca="1" si="39"/>
        <v>9</v>
      </c>
      <c r="O79" s="54">
        <f t="shared" ca="1" si="39"/>
        <v>11</v>
      </c>
      <c r="P79" s="54">
        <f t="shared" ca="1" si="39"/>
        <v>13</v>
      </c>
      <c r="Q79" s="54">
        <f t="shared" ca="1" si="39"/>
        <v>16</v>
      </c>
      <c r="R79" s="54">
        <f t="shared" ca="1" si="39"/>
        <v>19</v>
      </c>
      <c r="S79" s="54">
        <f t="shared" ca="1" si="39"/>
        <v>22</v>
      </c>
      <c r="T79" s="54">
        <f t="shared" ca="1" si="39"/>
        <v>26</v>
      </c>
      <c r="U79" s="54">
        <f t="shared" ca="1" si="39"/>
        <v>30</v>
      </c>
      <c r="V79" s="54">
        <f t="shared" ca="1" si="39"/>
        <v>33</v>
      </c>
      <c r="W79" s="54">
        <f t="shared" ca="1" si="39"/>
        <v>37</v>
      </c>
      <c r="X79" s="54">
        <f t="shared" ca="1" si="39"/>
        <v>41</v>
      </c>
      <c r="Y79" s="54">
        <f t="shared" ca="1" si="39"/>
        <v>46</v>
      </c>
      <c r="Z79" s="54">
        <f t="shared" ca="1" si="39"/>
        <v>51</v>
      </c>
      <c r="AA79" s="54">
        <f t="shared" ca="1" si="39"/>
        <v>56</v>
      </c>
      <c r="AB79" s="54">
        <f t="shared" ca="1" si="39"/>
        <v>62</v>
      </c>
      <c r="AC79" s="54">
        <f t="shared" ca="1" si="39"/>
        <v>68</v>
      </c>
    </row>
    <row r="80" spans="2:29">
      <c r="C80" s="53" t="str">
        <f t="shared" si="31"/>
        <v xml:space="preserve">Wind 30% </v>
      </c>
      <c r="D80" s="54">
        <f t="shared" ref="D80:AC80" si="40">ROUND(D16/($B58+eps),0)</f>
        <v>0</v>
      </c>
      <c r="E80" s="54">
        <f t="shared" si="40"/>
        <v>0</v>
      </c>
      <c r="F80" s="54">
        <f t="shared" si="40"/>
        <v>0</v>
      </c>
      <c r="G80" s="54">
        <f t="shared" si="40"/>
        <v>0</v>
      </c>
      <c r="H80" s="54">
        <f t="shared" si="40"/>
        <v>0</v>
      </c>
      <c r="I80" s="54">
        <f t="shared" ca="1" si="40"/>
        <v>100</v>
      </c>
      <c r="J80" s="54">
        <f t="shared" ca="1" si="40"/>
        <v>100</v>
      </c>
      <c r="K80" s="54">
        <f t="shared" ca="1" si="40"/>
        <v>100</v>
      </c>
      <c r="L80" s="54">
        <f t="shared" ca="1" si="40"/>
        <v>100</v>
      </c>
      <c r="M80" s="54">
        <f t="shared" ca="1" si="40"/>
        <v>100</v>
      </c>
      <c r="N80" s="54">
        <f t="shared" ca="1" si="40"/>
        <v>100</v>
      </c>
      <c r="O80" s="54">
        <f t="shared" ca="1" si="40"/>
        <v>100</v>
      </c>
      <c r="P80" s="54">
        <f t="shared" ca="1" si="40"/>
        <v>100</v>
      </c>
      <c r="Q80" s="54">
        <f t="shared" ca="1" si="40"/>
        <v>100</v>
      </c>
      <c r="R80" s="54">
        <f t="shared" ca="1" si="40"/>
        <v>100</v>
      </c>
      <c r="S80" s="54">
        <f t="shared" ca="1" si="40"/>
        <v>100</v>
      </c>
      <c r="T80" s="54">
        <f t="shared" ca="1" si="40"/>
        <v>100</v>
      </c>
      <c r="U80" s="54">
        <f t="shared" ca="1" si="40"/>
        <v>100</v>
      </c>
      <c r="V80" s="54">
        <f t="shared" ca="1" si="40"/>
        <v>100</v>
      </c>
      <c r="W80" s="54">
        <f t="shared" ca="1" si="40"/>
        <v>100</v>
      </c>
      <c r="X80" s="54">
        <f t="shared" ca="1" si="40"/>
        <v>100</v>
      </c>
      <c r="Y80" s="54">
        <f t="shared" ca="1" si="40"/>
        <v>100</v>
      </c>
      <c r="Z80" s="54">
        <f t="shared" ca="1" si="40"/>
        <v>100</v>
      </c>
      <c r="AA80" s="54">
        <f t="shared" ca="1" si="40"/>
        <v>100</v>
      </c>
      <c r="AB80" s="54">
        <f t="shared" ca="1" si="40"/>
        <v>100</v>
      </c>
      <c r="AC80" s="54">
        <f t="shared" ca="1" si="40"/>
        <v>0</v>
      </c>
    </row>
    <row r="81" spans="3:29">
      <c r="C81" s="53" t="str">
        <f t="shared" si="31"/>
        <v>Wind 25%</v>
      </c>
      <c r="D81" s="54">
        <f t="shared" ref="D81:AC81" si="41">ROUND(D17/($B59+eps),0)</f>
        <v>0</v>
      </c>
      <c r="E81" s="54">
        <f t="shared" si="41"/>
        <v>0</v>
      </c>
      <c r="F81" s="54">
        <f t="shared" si="41"/>
        <v>0</v>
      </c>
      <c r="G81" s="54">
        <f t="shared" si="41"/>
        <v>0</v>
      </c>
      <c r="H81" s="54">
        <f t="shared" si="41"/>
        <v>0</v>
      </c>
      <c r="I81" s="54">
        <f t="shared" ca="1" si="41"/>
        <v>0</v>
      </c>
      <c r="J81" s="54">
        <f t="shared" ca="1" si="41"/>
        <v>0</v>
      </c>
      <c r="K81" s="54">
        <f t="shared" ca="1" si="41"/>
        <v>0</v>
      </c>
      <c r="L81" s="54">
        <f t="shared" ca="1" si="41"/>
        <v>0</v>
      </c>
      <c r="M81" s="54">
        <f t="shared" ca="1" si="41"/>
        <v>0</v>
      </c>
      <c r="N81" s="54">
        <f t="shared" ca="1" si="41"/>
        <v>0</v>
      </c>
      <c r="O81" s="54">
        <f t="shared" ca="1" si="41"/>
        <v>0</v>
      </c>
      <c r="P81" s="54">
        <f t="shared" ca="1" si="41"/>
        <v>0</v>
      </c>
      <c r="Q81" s="54">
        <f t="shared" ca="1" si="41"/>
        <v>0</v>
      </c>
      <c r="R81" s="54">
        <f t="shared" ca="1" si="41"/>
        <v>0</v>
      </c>
      <c r="S81" s="54">
        <f t="shared" ca="1" si="41"/>
        <v>0</v>
      </c>
      <c r="T81" s="54">
        <f t="shared" ca="1" si="41"/>
        <v>0</v>
      </c>
      <c r="U81" s="54">
        <f t="shared" ca="1" si="41"/>
        <v>0</v>
      </c>
      <c r="V81" s="54">
        <f t="shared" ca="1" si="41"/>
        <v>0</v>
      </c>
      <c r="W81" s="54">
        <f t="shared" ca="1" si="41"/>
        <v>0</v>
      </c>
      <c r="X81" s="54">
        <f t="shared" ca="1" si="41"/>
        <v>0</v>
      </c>
      <c r="Y81" s="54">
        <f t="shared" ca="1" si="41"/>
        <v>0</v>
      </c>
      <c r="Z81" s="54">
        <f t="shared" ca="1" si="41"/>
        <v>0</v>
      </c>
      <c r="AA81" s="54">
        <f t="shared" ca="1" si="41"/>
        <v>0</v>
      </c>
      <c r="AB81" s="54">
        <f t="shared" ca="1" si="41"/>
        <v>0</v>
      </c>
      <c r="AC81" s="54">
        <f t="shared" ca="1" si="41"/>
        <v>0</v>
      </c>
    </row>
    <row r="82" spans="3:29">
      <c r="C82" s="53" t="str">
        <f t="shared" si="31"/>
        <v>solar thermal central reciever</v>
      </c>
      <c r="D82" s="54">
        <f t="shared" ref="D82:AC82" si="42">ROUND(D18/($B60+eps),0)</f>
        <v>0</v>
      </c>
      <c r="E82" s="54">
        <f t="shared" si="42"/>
        <v>0</v>
      </c>
      <c r="F82" s="54">
        <f t="shared" si="42"/>
        <v>0</v>
      </c>
      <c r="G82" s="54">
        <f t="shared" si="42"/>
        <v>0</v>
      </c>
      <c r="H82" s="54">
        <f t="shared" si="42"/>
        <v>0</v>
      </c>
      <c r="I82" s="54">
        <f t="shared" ca="1" si="42"/>
        <v>0</v>
      </c>
      <c r="J82" s="54">
        <f t="shared" ca="1" si="42"/>
        <v>0</v>
      </c>
      <c r="K82" s="54">
        <f t="shared" ca="1" si="42"/>
        <v>0</v>
      </c>
      <c r="L82" s="54">
        <f t="shared" ca="1" si="42"/>
        <v>0</v>
      </c>
      <c r="M82" s="54">
        <f t="shared" ca="1" si="42"/>
        <v>0</v>
      </c>
      <c r="N82" s="54">
        <f t="shared" ca="1" si="42"/>
        <v>0</v>
      </c>
      <c r="O82" s="54">
        <f t="shared" ca="1" si="42"/>
        <v>0</v>
      </c>
      <c r="P82" s="54">
        <f t="shared" ca="1" si="42"/>
        <v>0</v>
      </c>
      <c r="Q82" s="54">
        <f t="shared" ca="1" si="42"/>
        <v>0</v>
      </c>
      <c r="R82" s="54">
        <f t="shared" ca="1" si="42"/>
        <v>0</v>
      </c>
      <c r="S82" s="54">
        <f t="shared" ca="1" si="42"/>
        <v>0</v>
      </c>
      <c r="T82" s="54">
        <f t="shared" ca="1" si="42"/>
        <v>0</v>
      </c>
      <c r="U82" s="54">
        <f t="shared" ca="1" si="42"/>
        <v>0</v>
      </c>
      <c r="V82" s="54">
        <f t="shared" ca="1" si="42"/>
        <v>0</v>
      </c>
      <c r="W82" s="54">
        <f t="shared" ca="1" si="42"/>
        <v>0</v>
      </c>
      <c r="X82" s="54">
        <f t="shared" ca="1" si="42"/>
        <v>0</v>
      </c>
      <c r="Y82" s="54">
        <f t="shared" ca="1" si="42"/>
        <v>0</v>
      </c>
      <c r="Z82" s="54">
        <f t="shared" ca="1" si="42"/>
        <v>0</v>
      </c>
      <c r="AA82" s="54">
        <f t="shared" ca="1" si="42"/>
        <v>0</v>
      </c>
      <c r="AB82" s="54">
        <f t="shared" ca="1" si="42"/>
        <v>0</v>
      </c>
      <c r="AC82" s="54">
        <f t="shared" ca="1" si="42"/>
        <v>0</v>
      </c>
    </row>
    <row r="83" spans="3:29">
      <c r="C83" s="53" t="str">
        <f t="shared" si="31"/>
        <v>solar thermal trough</v>
      </c>
      <c r="D83" s="54">
        <f t="shared" ref="D83:AC83" si="43">ROUND(D19/($B61+eps),0)</f>
        <v>0</v>
      </c>
      <c r="E83" s="54">
        <f t="shared" si="43"/>
        <v>0</v>
      </c>
      <c r="F83" s="54">
        <f t="shared" si="43"/>
        <v>0</v>
      </c>
      <c r="G83" s="54">
        <f t="shared" si="43"/>
        <v>0</v>
      </c>
      <c r="H83" s="54">
        <f t="shared" si="43"/>
        <v>0</v>
      </c>
      <c r="I83" s="54">
        <f t="shared" ca="1" si="43"/>
        <v>0</v>
      </c>
      <c r="J83" s="54">
        <f t="shared" ca="1" si="43"/>
        <v>0</v>
      </c>
      <c r="K83" s="54">
        <f t="shared" ca="1" si="43"/>
        <v>0</v>
      </c>
      <c r="L83" s="54">
        <f t="shared" ca="1" si="43"/>
        <v>0</v>
      </c>
      <c r="M83" s="54">
        <f t="shared" ca="1" si="43"/>
        <v>0</v>
      </c>
      <c r="N83" s="54">
        <f t="shared" ca="1" si="43"/>
        <v>0</v>
      </c>
      <c r="O83" s="54">
        <f t="shared" ca="1" si="43"/>
        <v>0</v>
      </c>
      <c r="P83" s="54">
        <f t="shared" ca="1" si="43"/>
        <v>0</v>
      </c>
      <c r="Q83" s="54">
        <f t="shared" ca="1" si="43"/>
        <v>0</v>
      </c>
      <c r="R83" s="54">
        <f t="shared" ca="1" si="43"/>
        <v>0</v>
      </c>
      <c r="S83" s="54">
        <f t="shared" ca="1" si="43"/>
        <v>0</v>
      </c>
      <c r="T83" s="54">
        <f t="shared" ca="1" si="43"/>
        <v>0</v>
      </c>
      <c r="U83" s="54">
        <f t="shared" ca="1" si="43"/>
        <v>0</v>
      </c>
      <c r="V83" s="54">
        <f t="shared" ca="1" si="43"/>
        <v>0</v>
      </c>
      <c r="W83" s="54">
        <f t="shared" ca="1" si="43"/>
        <v>0</v>
      </c>
      <c r="X83" s="54">
        <f t="shared" ca="1" si="43"/>
        <v>0</v>
      </c>
      <c r="Y83" s="54">
        <f t="shared" ca="1" si="43"/>
        <v>0</v>
      </c>
      <c r="Z83" s="54">
        <f t="shared" ca="1" si="43"/>
        <v>0</v>
      </c>
      <c r="AA83" s="54">
        <f t="shared" ca="1" si="43"/>
        <v>0</v>
      </c>
      <c r="AB83" s="54">
        <f t="shared" ca="1" si="43"/>
        <v>0</v>
      </c>
      <c r="AC83" s="54">
        <f t="shared" ca="1" si="43"/>
        <v>0</v>
      </c>
    </row>
    <row r="84" spans="3:29">
      <c r="C84" s="53" t="str">
        <f t="shared" si="31"/>
        <v>solar PV</v>
      </c>
      <c r="D84" s="54">
        <f t="shared" ref="D84:AC84" si="44">ROUND(D20/($B62+eps),0)</f>
        <v>0</v>
      </c>
      <c r="E84" s="54">
        <f t="shared" si="44"/>
        <v>0</v>
      </c>
      <c r="F84" s="54">
        <f t="shared" si="44"/>
        <v>0</v>
      </c>
      <c r="G84" s="54">
        <f t="shared" si="44"/>
        <v>0</v>
      </c>
      <c r="H84" s="54">
        <f t="shared" si="44"/>
        <v>0</v>
      </c>
      <c r="I84" s="54">
        <f t="shared" ca="1" si="44"/>
        <v>0</v>
      </c>
      <c r="J84" s="54">
        <f t="shared" ca="1" si="44"/>
        <v>0</v>
      </c>
      <c r="K84" s="54">
        <f t="shared" ca="1" si="44"/>
        <v>0</v>
      </c>
      <c r="L84" s="54">
        <f t="shared" ca="1" si="44"/>
        <v>0</v>
      </c>
      <c r="M84" s="54">
        <f t="shared" ca="1" si="44"/>
        <v>0</v>
      </c>
      <c r="N84" s="54">
        <f t="shared" ca="1" si="44"/>
        <v>0</v>
      </c>
      <c r="O84" s="54">
        <f t="shared" ca="1" si="44"/>
        <v>0</v>
      </c>
      <c r="P84" s="54">
        <f t="shared" ca="1" si="44"/>
        <v>0</v>
      </c>
      <c r="Q84" s="54">
        <f t="shared" ca="1" si="44"/>
        <v>0</v>
      </c>
      <c r="R84" s="54">
        <f t="shared" ca="1" si="44"/>
        <v>0</v>
      </c>
      <c r="S84" s="54">
        <f t="shared" ca="1" si="44"/>
        <v>0</v>
      </c>
      <c r="T84" s="54">
        <f t="shared" ca="1" si="44"/>
        <v>0</v>
      </c>
      <c r="U84" s="54">
        <f t="shared" ca="1" si="44"/>
        <v>0</v>
      </c>
      <c r="V84" s="54">
        <f t="shared" ca="1" si="44"/>
        <v>0</v>
      </c>
      <c r="W84" s="54">
        <f t="shared" ca="1" si="44"/>
        <v>0</v>
      </c>
      <c r="X84" s="54">
        <f t="shared" ca="1" si="44"/>
        <v>0</v>
      </c>
      <c r="Y84" s="54">
        <f t="shared" ca="1" si="44"/>
        <v>0</v>
      </c>
      <c r="Z84" s="54">
        <f t="shared" ca="1" si="44"/>
        <v>0</v>
      </c>
      <c r="AA84" s="54">
        <f t="shared" ca="1" si="44"/>
        <v>0</v>
      </c>
      <c r="AB84" s="54">
        <f t="shared" ca="1" si="44"/>
        <v>0</v>
      </c>
      <c r="AC84" s="54">
        <f t="shared" ca="1" si="44"/>
        <v>0</v>
      </c>
    </row>
    <row r="85" spans="3:29">
      <c r="C85" s="53" t="str">
        <f t="shared" si="31"/>
        <v>combined cycle gas</v>
      </c>
      <c r="D85" s="54">
        <f t="shared" ref="D85:AC85" si="45">ROUND(D21/($B63+eps),0)</f>
        <v>0</v>
      </c>
      <c r="E85" s="54">
        <f t="shared" si="45"/>
        <v>0</v>
      </c>
      <c r="F85" s="54">
        <f t="shared" si="45"/>
        <v>0</v>
      </c>
      <c r="G85" s="54">
        <f t="shared" si="45"/>
        <v>0</v>
      </c>
      <c r="H85" s="54">
        <f t="shared" si="45"/>
        <v>0</v>
      </c>
      <c r="I85" s="54">
        <f t="shared" ca="1" si="45"/>
        <v>0</v>
      </c>
      <c r="J85" s="54">
        <f t="shared" ca="1" si="45"/>
        <v>0</v>
      </c>
      <c r="K85" s="54">
        <f t="shared" ca="1" si="45"/>
        <v>0</v>
      </c>
      <c r="L85" s="54">
        <f t="shared" ca="1" si="45"/>
        <v>0</v>
      </c>
      <c r="M85" s="54">
        <f t="shared" ca="1" si="45"/>
        <v>0</v>
      </c>
      <c r="N85" s="54">
        <f t="shared" ca="1" si="45"/>
        <v>0</v>
      </c>
      <c r="O85" s="54">
        <f t="shared" ca="1" si="45"/>
        <v>0</v>
      </c>
      <c r="P85" s="54">
        <f t="shared" ca="1" si="45"/>
        <v>0</v>
      </c>
      <c r="Q85" s="54">
        <f t="shared" ca="1" si="45"/>
        <v>0</v>
      </c>
      <c r="R85" s="54">
        <f t="shared" ca="1" si="45"/>
        <v>0</v>
      </c>
      <c r="S85" s="54">
        <f t="shared" ca="1" si="45"/>
        <v>0</v>
      </c>
      <c r="T85" s="54">
        <f t="shared" ca="1" si="45"/>
        <v>0</v>
      </c>
      <c r="U85" s="54">
        <f t="shared" ca="1" si="45"/>
        <v>0</v>
      </c>
      <c r="V85" s="54">
        <f t="shared" ca="1" si="45"/>
        <v>0</v>
      </c>
      <c r="W85" s="54">
        <f t="shared" ca="1" si="45"/>
        <v>0</v>
      </c>
      <c r="X85" s="54">
        <f t="shared" ca="1" si="45"/>
        <v>0</v>
      </c>
      <c r="Y85" s="54">
        <f t="shared" ca="1" si="45"/>
        <v>0</v>
      </c>
      <c r="Z85" s="54">
        <f t="shared" ca="1" si="45"/>
        <v>0</v>
      </c>
      <c r="AA85" s="54">
        <f t="shared" ca="1" si="45"/>
        <v>0</v>
      </c>
      <c r="AB85" s="54">
        <f t="shared" ca="1" si="45"/>
        <v>0</v>
      </c>
      <c r="AC85" s="54">
        <f t="shared" ca="1" si="45"/>
        <v>0</v>
      </c>
    </row>
    <row r="86" spans="3:29">
      <c r="C86" s="53" t="str">
        <f t="shared" si="31"/>
        <v>PBMR</v>
      </c>
      <c r="D86" s="54">
        <f t="shared" ref="D86:AC86" si="46">ROUND(D22/($B64+eps),0)</f>
        <v>0</v>
      </c>
      <c r="E86" s="54">
        <f t="shared" si="46"/>
        <v>0</v>
      </c>
      <c r="F86" s="54">
        <f t="shared" si="46"/>
        <v>0</v>
      </c>
      <c r="G86" s="54">
        <f t="shared" si="46"/>
        <v>0</v>
      </c>
      <c r="H86" s="54">
        <f t="shared" si="46"/>
        <v>0</v>
      </c>
      <c r="I86" s="54">
        <f t="shared" ca="1" si="46"/>
        <v>0</v>
      </c>
      <c r="J86" s="54">
        <f t="shared" ca="1" si="46"/>
        <v>0</v>
      </c>
      <c r="K86" s="54">
        <f t="shared" ca="1" si="46"/>
        <v>0</v>
      </c>
      <c r="L86" s="54">
        <f t="shared" ca="1" si="46"/>
        <v>0</v>
      </c>
      <c r="M86" s="54">
        <f t="shared" ca="1" si="46"/>
        <v>0</v>
      </c>
      <c r="N86" s="54">
        <f t="shared" ca="1" si="46"/>
        <v>0</v>
      </c>
      <c r="O86" s="54">
        <f t="shared" ca="1" si="46"/>
        <v>0</v>
      </c>
      <c r="P86" s="54">
        <f t="shared" ca="1" si="46"/>
        <v>0</v>
      </c>
      <c r="Q86" s="54">
        <f t="shared" ca="1" si="46"/>
        <v>0</v>
      </c>
      <c r="R86" s="54">
        <f t="shared" ca="1" si="46"/>
        <v>0</v>
      </c>
      <c r="S86" s="54">
        <f t="shared" ca="1" si="46"/>
        <v>0</v>
      </c>
      <c r="T86" s="54">
        <f t="shared" ca="1" si="46"/>
        <v>0</v>
      </c>
      <c r="U86" s="54">
        <f t="shared" ca="1" si="46"/>
        <v>0</v>
      </c>
      <c r="V86" s="54">
        <f t="shared" ca="1" si="46"/>
        <v>0</v>
      </c>
      <c r="W86" s="54">
        <f t="shared" ca="1" si="46"/>
        <v>0</v>
      </c>
      <c r="X86" s="54">
        <f t="shared" ca="1" si="46"/>
        <v>0</v>
      </c>
      <c r="Y86" s="54">
        <f t="shared" ca="1" si="46"/>
        <v>0</v>
      </c>
      <c r="Z86" s="54">
        <f t="shared" ca="1" si="46"/>
        <v>0</v>
      </c>
      <c r="AA86" s="54">
        <f t="shared" ca="1" si="46"/>
        <v>0</v>
      </c>
      <c r="AB86" s="54">
        <f t="shared" ca="1" si="46"/>
        <v>0</v>
      </c>
      <c r="AC86" s="54">
        <f t="shared" ca="1" si="46"/>
        <v>0</v>
      </c>
    </row>
    <row r="87" spans="3:29">
      <c r="C87" s="53" t="str">
        <f t="shared" si="31"/>
        <v>IGCC</v>
      </c>
      <c r="D87" s="54">
        <f t="shared" ref="D87:AC87" si="47">ROUND(D23/($B65+eps),0)</f>
        <v>0</v>
      </c>
      <c r="E87" s="54">
        <f t="shared" si="47"/>
        <v>0</v>
      </c>
      <c r="F87" s="54">
        <f t="shared" si="47"/>
        <v>0</v>
      </c>
      <c r="G87" s="54">
        <f t="shared" si="47"/>
        <v>0</v>
      </c>
      <c r="H87" s="54">
        <f t="shared" si="47"/>
        <v>0</v>
      </c>
      <c r="I87" s="54">
        <f t="shared" ca="1" si="47"/>
        <v>0</v>
      </c>
      <c r="J87" s="54">
        <f t="shared" ca="1" si="47"/>
        <v>0</v>
      </c>
      <c r="K87" s="54">
        <f t="shared" ca="1" si="47"/>
        <v>0</v>
      </c>
      <c r="L87" s="54">
        <f t="shared" ca="1" si="47"/>
        <v>0</v>
      </c>
      <c r="M87" s="54">
        <f t="shared" ca="1" si="47"/>
        <v>0</v>
      </c>
      <c r="N87" s="54">
        <f t="shared" ca="1" si="47"/>
        <v>0</v>
      </c>
      <c r="O87" s="54">
        <f t="shared" ca="1" si="47"/>
        <v>0</v>
      </c>
      <c r="P87" s="54">
        <f t="shared" ca="1" si="47"/>
        <v>0</v>
      </c>
      <c r="Q87" s="54">
        <f t="shared" ca="1" si="47"/>
        <v>0</v>
      </c>
      <c r="R87" s="54">
        <f t="shared" ca="1" si="47"/>
        <v>0</v>
      </c>
      <c r="S87" s="54">
        <f t="shared" ca="1" si="47"/>
        <v>0</v>
      </c>
      <c r="T87" s="54">
        <f t="shared" ca="1" si="47"/>
        <v>0</v>
      </c>
      <c r="U87" s="54">
        <f t="shared" ca="1" si="47"/>
        <v>0</v>
      </c>
      <c r="V87" s="54">
        <f t="shared" ca="1" si="47"/>
        <v>0</v>
      </c>
      <c r="W87" s="54">
        <f t="shared" ca="1" si="47"/>
        <v>0</v>
      </c>
      <c r="X87" s="54">
        <f t="shared" ca="1" si="47"/>
        <v>0</v>
      </c>
      <c r="Y87" s="54">
        <f t="shared" ca="1" si="47"/>
        <v>0</v>
      </c>
      <c r="Z87" s="54">
        <f t="shared" ca="1" si="47"/>
        <v>0</v>
      </c>
      <c r="AA87" s="54">
        <f t="shared" ca="1" si="47"/>
        <v>0</v>
      </c>
      <c r="AB87" s="54">
        <f t="shared" ca="1" si="47"/>
        <v>0</v>
      </c>
      <c r="AC87" s="54">
        <f t="shared" ca="1" si="47"/>
        <v>0</v>
      </c>
    </row>
    <row r="88" spans="3:29">
      <c r="C88" s="53" t="str">
        <f t="shared" si="31"/>
        <v>-</v>
      </c>
      <c r="D88" s="54">
        <f t="shared" ref="D88:AC88" si="48">ROUND(D24/($B66+eps),0)</f>
        <v>0</v>
      </c>
      <c r="E88" s="54">
        <f t="shared" si="48"/>
        <v>0</v>
      </c>
      <c r="F88" s="54">
        <f t="shared" si="48"/>
        <v>0</v>
      </c>
      <c r="G88" s="54">
        <f t="shared" si="48"/>
        <v>0</v>
      </c>
      <c r="H88" s="54">
        <f t="shared" si="48"/>
        <v>0</v>
      </c>
      <c r="I88" s="54">
        <f t="shared" ca="1" si="48"/>
        <v>0</v>
      </c>
      <c r="J88" s="54">
        <f t="shared" ca="1" si="48"/>
        <v>0</v>
      </c>
      <c r="K88" s="54">
        <f t="shared" ca="1" si="48"/>
        <v>0</v>
      </c>
      <c r="L88" s="54">
        <f t="shared" ca="1" si="48"/>
        <v>0</v>
      </c>
      <c r="M88" s="54">
        <f t="shared" ca="1" si="48"/>
        <v>0</v>
      </c>
      <c r="N88" s="54">
        <f t="shared" ca="1" si="48"/>
        <v>0</v>
      </c>
      <c r="O88" s="54">
        <f t="shared" ca="1" si="48"/>
        <v>0</v>
      </c>
      <c r="P88" s="54">
        <f t="shared" ca="1" si="48"/>
        <v>0</v>
      </c>
      <c r="Q88" s="54">
        <f t="shared" ca="1" si="48"/>
        <v>0</v>
      </c>
      <c r="R88" s="54">
        <f t="shared" ca="1" si="48"/>
        <v>0</v>
      </c>
      <c r="S88" s="54">
        <f t="shared" ca="1" si="48"/>
        <v>0</v>
      </c>
      <c r="T88" s="54">
        <f t="shared" ca="1" si="48"/>
        <v>0</v>
      </c>
      <c r="U88" s="54">
        <f t="shared" ca="1" si="48"/>
        <v>0</v>
      </c>
      <c r="V88" s="54">
        <f t="shared" ca="1" si="48"/>
        <v>0</v>
      </c>
      <c r="W88" s="54">
        <f t="shared" ca="1" si="48"/>
        <v>0</v>
      </c>
      <c r="X88" s="54">
        <f t="shared" ca="1" si="48"/>
        <v>0</v>
      </c>
      <c r="Y88" s="54">
        <f t="shared" ca="1" si="48"/>
        <v>0</v>
      </c>
      <c r="Z88" s="54">
        <f t="shared" ca="1" si="48"/>
        <v>0</v>
      </c>
      <c r="AA88" s="54">
        <f t="shared" ca="1" si="48"/>
        <v>0</v>
      </c>
      <c r="AB88" s="54">
        <f t="shared" ca="1" si="48"/>
        <v>0</v>
      </c>
      <c r="AC88" s="54">
        <f t="shared" ca="1" si="48"/>
        <v>0</v>
      </c>
    </row>
    <row r="89" spans="3:29">
      <c r="C89" s="53" t="str">
        <f t="shared" si="31"/>
        <v>-</v>
      </c>
      <c r="D89" s="54">
        <f t="shared" ref="D89:AC89" si="49">ROUND(D25/($B67+eps),0)</f>
        <v>0</v>
      </c>
      <c r="E89" s="54">
        <f t="shared" si="49"/>
        <v>0</v>
      </c>
      <c r="F89" s="54">
        <f t="shared" si="49"/>
        <v>0</v>
      </c>
      <c r="G89" s="54">
        <f t="shared" si="49"/>
        <v>0</v>
      </c>
      <c r="H89" s="54">
        <f t="shared" si="49"/>
        <v>0</v>
      </c>
      <c r="I89" s="54">
        <f t="shared" ca="1" si="49"/>
        <v>0</v>
      </c>
      <c r="J89" s="54">
        <f t="shared" ca="1" si="49"/>
        <v>0</v>
      </c>
      <c r="K89" s="54">
        <f t="shared" ca="1" si="49"/>
        <v>0</v>
      </c>
      <c r="L89" s="54">
        <f t="shared" ca="1" si="49"/>
        <v>0</v>
      </c>
      <c r="M89" s="54">
        <f t="shared" ca="1" si="49"/>
        <v>0</v>
      </c>
      <c r="N89" s="54">
        <f t="shared" ca="1" si="49"/>
        <v>0</v>
      </c>
      <c r="O89" s="54">
        <f t="shared" ca="1" si="49"/>
        <v>0</v>
      </c>
      <c r="P89" s="54">
        <f t="shared" ca="1" si="49"/>
        <v>0</v>
      </c>
      <c r="Q89" s="54">
        <f t="shared" ca="1" si="49"/>
        <v>0</v>
      </c>
      <c r="R89" s="54">
        <f t="shared" ca="1" si="49"/>
        <v>0</v>
      </c>
      <c r="S89" s="54">
        <f t="shared" ca="1" si="49"/>
        <v>0</v>
      </c>
      <c r="T89" s="54">
        <f t="shared" ca="1" si="49"/>
        <v>0</v>
      </c>
      <c r="U89" s="54">
        <f t="shared" ca="1" si="49"/>
        <v>0</v>
      </c>
      <c r="V89" s="54">
        <f t="shared" ca="1" si="49"/>
        <v>0</v>
      </c>
      <c r="W89" s="54">
        <f t="shared" ca="1" si="49"/>
        <v>0</v>
      </c>
      <c r="X89" s="54">
        <f t="shared" ca="1" si="49"/>
        <v>0</v>
      </c>
      <c r="Y89" s="54">
        <f t="shared" ca="1" si="49"/>
        <v>0</v>
      </c>
      <c r="Z89" s="54">
        <f t="shared" ca="1" si="49"/>
        <v>0</v>
      </c>
      <c r="AA89" s="54">
        <f t="shared" ca="1" si="49"/>
        <v>0</v>
      </c>
      <c r="AB89" s="54">
        <f t="shared" ca="1" si="49"/>
        <v>0</v>
      </c>
      <c r="AC89" s="54">
        <f t="shared" ca="1" si="49"/>
        <v>0</v>
      </c>
    </row>
    <row r="90" spans="3:29">
      <c r="C90" s="53" t="str">
        <f t="shared" si="31"/>
        <v>-</v>
      </c>
      <c r="D90" s="54">
        <f t="shared" ref="D90:AC90" si="50">ROUND(D26/($B68+eps),0)</f>
        <v>0</v>
      </c>
      <c r="E90" s="54">
        <f t="shared" si="50"/>
        <v>0</v>
      </c>
      <c r="F90" s="54">
        <f t="shared" si="50"/>
        <v>0</v>
      </c>
      <c r="G90" s="54">
        <f t="shared" si="50"/>
        <v>0</v>
      </c>
      <c r="H90" s="54">
        <f t="shared" si="50"/>
        <v>0</v>
      </c>
      <c r="I90" s="54">
        <f t="shared" ca="1" si="50"/>
        <v>0</v>
      </c>
      <c r="J90" s="54">
        <f t="shared" ca="1" si="50"/>
        <v>0</v>
      </c>
      <c r="K90" s="54">
        <f t="shared" ca="1" si="50"/>
        <v>0</v>
      </c>
      <c r="L90" s="54">
        <f t="shared" ca="1" si="50"/>
        <v>0</v>
      </c>
      <c r="M90" s="54">
        <f t="shared" ca="1" si="50"/>
        <v>0</v>
      </c>
      <c r="N90" s="54">
        <f t="shared" ca="1" si="50"/>
        <v>0</v>
      </c>
      <c r="O90" s="54">
        <f t="shared" ca="1" si="50"/>
        <v>0</v>
      </c>
      <c r="P90" s="54">
        <f t="shared" ca="1" si="50"/>
        <v>0</v>
      </c>
      <c r="Q90" s="54">
        <f t="shared" ca="1" si="50"/>
        <v>0</v>
      </c>
      <c r="R90" s="54">
        <f t="shared" ca="1" si="50"/>
        <v>0</v>
      </c>
      <c r="S90" s="54">
        <f t="shared" ca="1" si="50"/>
        <v>0</v>
      </c>
      <c r="T90" s="54">
        <f t="shared" ca="1" si="50"/>
        <v>0</v>
      </c>
      <c r="U90" s="54">
        <f t="shared" ca="1" si="50"/>
        <v>0</v>
      </c>
      <c r="V90" s="54">
        <f t="shared" ca="1" si="50"/>
        <v>0</v>
      </c>
      <c r="W90" s="54">
        <f t="shared" ca="1" si="50"/>
        <v>0</v>
      </c>
      <c r="X90" s="54">
        <f t="shared" ca="1" si="50"/>
        <v>0</v>
      </c>
      <c r="Y90" s="54">
        <f t="shared" ca="1" si="50"/>
        <v>0</v>
      </c>
      <c r="Z90" s="54">
        <f t="shared" ca="1" si="50"/>
        <v>0</v>
      </c>
      <c r="AA90" s="54">
        <f t="shared" ca="1" si="50"/>
        <v>0</v>
      </c>
      <c r="AB90" s="54">
        <f t="shared" ca="1" si="50"/>
        <v>0</v>
      </c>
      <c r="AC90" s="54">
        <f t="shared" ca="1" si="50"/>
        <v>0</v>
      </c>
    </row>
    <row r="91" spans="3:29">
      <c r="C91" s="53" t="str">
        <f t="shared" si="31"/>
        <v>Pumped storage</v>
      </c>
      <c r="D91" s="54">
        <f t="shared" ref="D91:AC91" si="51">ROUND(D27/($B69+eps),0)</f>
        <v>5</v>
      </c>
      <c r="E91" s="54">
        <f t="shared" si="51"/>
        <v>5</v>
      </c>
      <c r="F91" s="54">
        <f t="shared" si="51"/>
        <v>5</v>
      </c>
      <c r="G91" s="54">
        <f t="shared" si="51"/>
        <v>5</v>
      </c>
      <c r="H91" s="54">
        <f t="shared" si="51"/>
        <v>5</v>
      </c>
      <c r="I91" s="54">
        <f t="shared" ca="1" si="51"/>
        <v>5</v>
      </c>
      <c r="J91" s="54">
        <f t="shared" ca="1" si="51"/>
        <v>5</v>
      </c>
      <c r="K91" s="54">
        <f t="shared" ca="1" si="51"/>
        <v>5</v>
      </c>
      <c r="L91" s="54">
        <f t="shared" ca="1" si="51"/>
        <v>7</v>
      </c>
      <c r="M91" s="54">
        <f t="shared" ca="1" si="51"/>
        <v>9</v>
      </c>
      <c r="N91" s="54">
        <f t="shared" ca="1" si="51"/>
        <v>9</v>
      </c>
      <c r="O91" s="54">
        <f t="shared" ca="1" si="51"/>
        <v>9</v>
      </c>
      <c r="P91" s="54">
        <f t="shared" ca="1" si="51"/>
        <v>9</v>
      </c>
      <c r="Q91" s="54">
        <f t="shared" ca="1" si="51"/>
        <v>9</v>
      </c>
      <c r="R91" s="54">
        <f t="shared" ca="1" si="51"/>
        <v>9</v>
      </c>
      <c r="S91" s="54">
        <f t="shared" ca="1" si="51"/>
        <v>9</v>
      </c>
      <c r="T91" s="54">
        <f t="shared" ca="1" si="51"/>
        <v>9</v>
      </c>
      <c r="U91" s="54">
        <f t="shared" ca="1" si="51"/>
        <v>9</v>
      </c>
      <c r="V91" s="54">
        <f t="shared" ca="1" si="51"/>
        <v>9</v>
      </c>
      <c r="W91" s="54">
        <f t="shared" ca="1" si="51"/>
        <v>9</v>
      </c>
      <c r="X91" s="54">
        <f t="shared" ca="1" si="51"/>
        <v>9</v>
      </c>
      <c r="Y91" s="54">
        <f t="shared" ca="1" si="51"/>
        <v>9</v>
      </c>
      <c r="Z91" s="54">
        <f t="shared" ca="1" si="51"/>
        <v>9</v>
      </c>
      <c r="AA91" s="54">
        <f t="shared" ca="1" si="51"/>
        <v>9</v>
      </c>
      <c r="AB91" s="54">
        <f t="shared" ca="1" si="51"/>
        <v>9</v>
      </c>
      <c r="AC91" s="54">
        <f t="shared" ca="1" si="51"/>
        <v>9</v>
      </c>
    </row>
    <row r="92" spans="3:29">
      <c r="C92" s="22" t="s">
        <v>538</v>
      </c>
      <c r="D92" s="14"/>
      <c r="E92" s="14"/>
      <c r="F92" s="14"/>
      <c r="G92" s="14"/>
      <c r="I92" s="54">
        <f t="shared" ref="I92:AC92" si="52">ROUND(I40/($B70+eps),0)</f>
        <v>4</v>
      </c>
      <c r="J92" s="54">
        <f t="shared" si="52"/>
        <v>4</v>
      </c>
      <c r="K92" s="54">
        <f t="shared" si="52"/>
        <v>4</v>
      </c>
      <c r="L92" s="54">
        <f t="shared" si="52"/>
        <v>4</v>
      </c>
      <c r="M92" s="54">
        <f t="shared" si="52"/>
        <v>4</v>
      </c>
      <c r="N92" s="54">
        <f t="shared" si="52"/>
        <v>4</v>
      </c>
      <c r="O92" s="54">
        <f t="shared" si="52"/>
        <v>4</v>
      </c>
      <c r="P92" s="54">
        <f t="shared" si="52"/>
        <v>4</v>
      </c>
      <c r="Q92" s="54">
        <f t="shared" si="52"/>
        <v>4</v>
      </c>
      <c r="R92" s="54">
        <f t="shared" si="52"/>
        <v>4</v>
      </c>
      <c r="S92" s="54">
        <f t="shared" si="52"/>
        <v>4</v>
      </c>
      <c r="T92" s="54">
        <f t="shared" si="52"/>
        <v>4</v>
      </c>
      <c r="U92" s="54">
        <f t="shared" si="52"/>
        <v>4</v>
      </c>
      <c r="V92" s="54">
        <f t="shared" si="52"/>
        <v>4</v>
      </c>
      <c r="W92" s="54">
        <f t="shared" si="52"/>
        <v>4</v>
      </c>
      <c r="X92" s="54">
        <f t="shared" si="52"/>
        <v>4</v>
      </c>
      <c r="Y92" s="54">
        <f t="shared" si="52"/>
        <v>4</v>
      </c>
      <c r="Z92" s="54">
        <f t="shared" si="52"/>
        <v>4</v>
      </c>
      <c r="AA92" s="54">
        <f t="shared" si="52"/>
        <v>4</v>
      </c>
      <c r="AB92" s="54">
        <f t="shared" si="52"/>
        <v>4</v>
      </c>
      <c r="AC92" s="54">
        <f t="shared" si="52"/>
        <v>4</v>
      </c>
    </row>
    <row r="93" spans="3:29">
      <c r="C93" s="22" t="s">
        <v>329</v>
      </c>
      <c r="D93" s="14"/>
      <c r="E93" s="14"/>
      <c r="F93" s="14"/>
      <c r="G93" s="14"/>
      <c r="I93" s="81">
        <f ca="1">SUMIF('Tech Parameters'!$L$6:$L$25,"PDF_1",'Ref scen Calcs'!I$8:I$27)</f>
        <v>0.1</v>
      </c>
      <c r="J93" s="81">
        <f ca="1">SUMIF('Tech Parameters'!$L$6:$L$25,"PDF_1",'Ref scen Calcs'!J$8:J$27)</f>
        <v>0.1</v>
      </c>
      <c r="K93" s="81">
        <f ca="1">SUMIF('Tech Parameters'!$L$6:$L$25,"PDF_1",'Ref scen Calcs'!K$8:K$27)</f>
        <v>0.1</v>
      </c>
      <c r="L93" s="81">
        <f ca="1">SUMIF('Tech Parameters'!$L$6:$L$25,"PDF_1",'Ref scen Calcs'!L$8:L$27)</f>
        <v>0.1</v>
      </c>
      <c r="M93" s="81">
        <f ca="1">SUMIF('Tech Parameters'!$L$6:$L$25,"PDF_1",'Ref scen Calcs'!M$8:M$27)</f>
        <v>0.1</v>
      </c>
      <c r="N93" s="81">
        <f ca="1">SUMIF('Tech Parameters'!$L$6:$L$25,"PDF_1",'Ref scen Calcs'!N$8:N$27)</f>
        <v>0.1</v>
      </c>
      <c r="O93" s="81">
        <f ca="1">SUMIF('Tech Parameters'!$L$6:$L$25,"PDF_1",'Ref scen Calcs'!O$8:O$27)</f>
        <v>0.1</v>
      </c>
      <c r="P93" s="81">
        <f ca="1">SUMIF('Tech Parameters'!$L$6:$L$25,"PDF_1",'Ref scen Calcs'!P$8:P$27)</f>
        <v>0.1</v>
      </c>
      <c r="Q93" s="81">
        <f ca="1">SUMIF('Tech Parameters'!$L$6:$L$25,"PDF_1",'Ref scen Calcs'!Q$8:Q$27)</f>
        <v>0.1</v>
      </c>
      <c r="R93" s="81">
        <f ca="1">SUMIF('Tech Parameters'!$L$6:$L$25,"PDF_1",'Ref scen Calcs'!R$8:R$27)</f>
        <v>0.1</v>
      </c>
      <c r="S93" s="81">
        <f ca="1">SUMIF('Tech Parameters'!$L$6:$L$25,"PDF_1",'Ref scen Calcs'!S$8:S$27)</f>
        <v>0.1</v>
      </c>
      <c r="T93" s="81">
        <f ca="1">SUMIF('Tech Parameters'!$L$6:$L$25,"PDF_1",'Ref scen Calcs'!T$8:T$27)</f>
        <v>0.1</v>
      </c>
      <c r="U93" s="81">
        <f ca="1">SUMIF('Tech Parameters'!$L$6:$L$25,"PDF_1",'Ref scen Calcs'!U$8:U$27)</f>
        <v>0.1</v>
      </c>
      <c r="V93" s="81">
        <f ca="1">SUMIF('Tech Parameters'!$L$6:$L$25,"PDF_1",'Ref scen Calcs'!V$8:V$27)</f>
        <v>0.1</v>
      </c>
      <c r="W93" s="81">
        <f ca="1">SUMIF('Tech Parameters'!$L$6:$L$25,"PDF_1",'Ref scen Calcs'!W$8:W$27)</f>
        <v>0.1</v>
      </c>
      <c r="X93" s="81">
        <f ca="1">SUMIF('Tech Parameters'!$L$6:$L$25,"PDF_1",'Ref scen Calcs'!X$8:X$27)</f>
        <v>0.1</v>
      </c>
      <c r="Y93" s="81">
        <f ca="1">SUMIF('Tech Parameters'!$L$6:$L$25,"PDF_1",'Ref scen Calcs'!Y$8:Y$27)</f>
        <v>0.1</v>
      </c>
      <c r="Z93" s="81">
        <f ca="1">SUMIF('Tech Parameters'!$L$6:$L$25,"PDF_1",'Ref scen Calcs'!Z$8:Z$27)</f>
        <v>0.1</v>
      </c>
      <c r="AA93" s="81">
        <f ca="1">SUMIF('Tech Parameters'!$L$6:$L$25,"PDF_1",'Ref scen Calcs'!AA$8:AA$27)</f>
        <v>0.1</v>
      </c>
      <c r="AB93" s="81">
        <f ca="1">SUMIF('Tech Parameters'!$L$6:$L$25,"PDF_1",'Ref scen Calcs'!AB$8:AB$27)</f>
        <v>0.1</v>
      </c>
      <c r="AC93" s="81">
        <f ca="1">SUMIF('Tech Parameters'!$L$6:$L$25,"PDF_1",'Ref scen Calcs'!AC$8:AC$27)</f>
        <v>0</v>
      </c>
    </row>
    <row r="94" spans="3:29">
      <c r="C94" s="22" t="s">
        <v>330</v>
      </c>
      <c r="D94" s="14"/>
      <c r="E94" s="14"/>
      <c r="F94" s="14"/>
      <c r="G94" s="14"/>
      <c r="I94" s="81">
        <f ca="1">SUMIF('Tech Parameters'!$L$6:$L$25,"PDF_2",'Ref scen Calcs'!I$8:I$27)</f>
        <v>0</v>
      </c>
      <c r="J94" s="81">
        <f ca="1">SUMIF('Tech Parameters'!$L$6:$L$25,"PDF_2",'Ref scen Calcs'!J$8:J$27)</f>
        <v>0</v>
      </c>
      <c r="K94" s="81">
        <f ca="1">SUMIF('Tech Parameters'!$L$6:$L$25,"PDF_2",'Ref scen Calcs'!K$8:K$27)</f>
        <v>0</v>
      </c>
      <c r="L94" s="81">
        <f ca="1">SUMIF('Tech Parameters'!$L$6:$L$25,"PDF_2",'Ref scen Calcs'!L$8:L$27)</f>
        <v>0</v>
      </c>
      <c r="M94" s="81">
        <f ca="1">SUMIF('Tech Parameters'!$L$6:$L$25,"PDF_2",'Ref scen Calcs'!M$8:M$27)</f>
        <v>0</v>
      </c>
      <c r="N94" s="81">
        <f ca="1">SUMIF('Tech Parameters'!$L$6:$L$25,"PDF_2",'Ref scen Calcs'!N$8:N$27)</f>
        <v>0</v>
      </c>
      <c r="O94" s="81">
        <f ca="1">SUMIF('Tech Parameters'!$L$6:$L$25,"PDF_2",'Ref scen Calcs'!O$8:O$27)</f>
        <v>0</v>
      </c>
      <c r="P94" s="81">
        <f ca="1">SUMIF('Tech Parameters'!$L$6:$L$25,"PDF_2",'Ref scen Calcs'!P$8:P$27)</f>
        <v>0</v>
      </c>
      <c r="Q94" s="81">
        <f ca="1">SUMIF('Tech Parameters'!$L$6:$L$25,"PDF_2",'Ref scen Calcs'!Q$8:Q$27)</f>
        <v>0</v>
      </c>
      <c r="R94" s="81">
        <f ca="1">SUMIF('Tech Parameters'!$L$6:$L$25,"PDF_2",'Ref scen Calcs'!R$8:R$27)</f>
        <v>0</v>
      </c>
      <c r="S94" s="81">
        <f ca="1">SUMIF('Tech Parameters'!$L$6:$L$25,"PDF_2",'Ref scen Calcs'!S$8:S$27)</f>
        <v>0</v>
      </c>
      <c r="T94" s="81">
        <f ca="1">SUMIF('Tech Parameters'!$L$6:$L$25,"PDF_2",'Ref scen Calcs'!T$8:T$27)</f>
        <v>0</v>
      </c>
      <c r="U94" s="81">
        <f ca="1">SUMIF('Tech Parameters'!$L$6:$L$25,"PDF_2",'Ref scen Calcs'!U$8:U$27)</f>
        <v>0</v>
      </c>
      <c r="V94" s="81">
        <f ca="1">SUMIF('Tech Parameters'!$L$6:$L$25,"PDF_2",'Ref scen Calcs'!V$8:V$27)</f>
        <v>0</v>
      </c>
      <c r="W94" s="81">
        <f ca="1">SUMIF('Tech Parameters'!$L$6:$L$25,"PDF_2",'Ref scen Calcs'!W$8:W$27)</f>
        <v>0</v>
      </c>
      <c r="X94" s="81">
        <f ca="1">SUMIF('Tech Parameters'!$L$6:$L$25,"PDF_2",'Ref scen Calcs'!X$8:X$27)</f>
        <v>0</v>
      </c>
      <c r="Y94" s="81">
        <f ca="1">SUMIF('Tech Parameters'!$L$6:$L$25,"PDF_2",'Ref scen Calcs'!Y$8:Y$27)</f>
        <v>0</v>
      </c>
      <c r="Z94" s="81">
        <f ca="1">SUMIF('Tech Parameters'!$L$6:$L$25,"PDF_2",'Ref scen Calcs'!Z$8:Z$27)</f>
        <v>0</v>
      </c>
      <c r="AA94" s="81">
        <f ca="1">SUMIF('Tech Parameters'!$L$6:$L$25,"PDF_2",'Ref scen Calcs'!AA$8:AA$27)</f>
        <v>0</v>
      </c>
      <c r="AB94" s="81">
        <f ca="1">SUMIF('Tech Parameters'!$L$6:$L$25,"PDF_2",'Ref scen Calcs'!AB$8:AB$27)</f>
        <v>0</v>
      </c>
      <c r="AC94" s="81">
        <f ca="1">SUMIF('Tech Parameters'!$L$6:$L$25,"PDF_2",'Ref scen Calcs'!AC$8:AC$27)</f>
        <v>0</v>
      </c>
    </row>
    <row r="95" spans="3:29">
      <c r="C95" s="14"/>
      <c r="D95" s="14"/>
      <c r="E95" s="14"/>
      <c r="F95" s="14"/>
      <c r="G95" s="14"/>
      <c r="I95" s="20"/>
    </row>
    <row r="96" spans="3:29">
      <c r="C96" s="14"/>
      <c r="D96" s="14"/>
      <c r="E96" s="14"/>
      <c r="F96" s="14"/>
      <c r="G96" s="14"/>
      <c r="I96" s="20"/>
    </row>
    <row r="97" spans="3:9">
      <c r="C97" s="14"/>
      <c r="D97" s="14"/>
      <c r="E97" s="14"/>
      <c r="F97" s="14"/>
      <c r="G97" s="14"/>
      <c r="I97" s="20"/>
    </row>
    <row r="98" spans="3:9">
      <c r="C98" s="14"/>
      <c r="D98" s="14"/>
      <c r="E98" s="14"/>
      <c r="F98" s="14"/>
      <c r="G98" s="14"/>
      <c r="I98" s="20"/>
    </row>
    <row r="99" spans="3:9">
      <c r="C99" s="14"/>
      <c r="D99" s="14"/>
      <c r="E99" s="14"/>
      <c r="F99" s="14"/>
      <c r="G99" s="14"/>
      <c r="I99" s="20"/>
    </row>
    <row r="100" spans="3:9">
      <c r="C100" s="14"/>
      <c r="D100" s="14"/>
      <c r="E100" s="14"/>
      <c r="F100" s="14"/>
      <c r="G100" s="14"/>
      <c r="I100" s="20"/>
    </row>
    <row r="101" spans="3:9">
      <c r="C101" s="14"/>
      <c r="D101" s="14"/>
      <c r="E101" s="14"/>
      <c r="F101" s="14"/>
      <c r="G101" s="14"/>
      <c r="I101" s="20"/>
    </row>
    <row r="102" spans="3:9">
      <c r="C102" s="14"/>
      <c r="D102" s="14"/>
      <c r="E102" s="14"/>
      <c r="F102" s="14"/>
      <c r="G102" s="14"/>
      <c r="I102" s="20"/>
    </row>
    <row r="103" spans="3:9">
      <c r="C103" s="14"/>
      <c r="D103" s="14"/>
      <c r="E103" s="14"/>
      <c r="F103" s="14"/>
      <c r="G103" s="14"/>
      <c r="I103" s="20"/>
    </row>
    <row r="104" spans="3:9">
      <c r="C104" s="14"/>
      <c r="D104" s="14"/>
      <c r="E104" s="14"/>
      <c r="F104" s="14"/>
      <c r="G104" s="14"/>
      <c r="I104" s="20"/>
    </row>
    <row r="105" spans="3:9">
      <c r="C105" s="14"/>
      <c r="D105" s="14"/>
      <c r="E105" s="14"/>
      <c r="F105" s="14"/>
      <c r="G105" s="14"/>
      <c r="I105" s="20"/>
    </row>
    <row r="106" spans="3:9">
      <c r="C106" s="14"/>
      <c r="D106" s="14"/>
      <c r="E106" s="14"/>
      <c r="F106" s="14"/>
      <c r="G106" s="14"/>
      <c r="I106" s="20"/>
    </row>
    <row r="107" spans="3:9">
      <c r="C107" s="14"/>
      <c r="D107" s="14"/>
      <c r="E107" s="14"/>
      <c r="F107" s="14"/>
      <c r="G107" s="14"/>
      <c r="I107" s="20"/>
    </row>
    <row r="108" spans="3:9">
      <c r="C108" s="14"/>
      <c r="D108" s="14"/>
      <c r="E108" s="14"/>
      <c r="F108" s="14"/>
      <c r="G108" s="14"/>
      <c r="I108" s="20"/>
    </row>
    <row r="109" spans="3:9">
      <c r="C109" s="14"/>
      <c r="D109" s="14"/>
      <c r="E109" s="14"/>
      <c r="F109" s="14"/>
      <c r="G109" s="14"/>
      <c r="I109" s="20"/>
    </row>
    <row r="110" spans="3:9">
      <c r="C110" s="14"/>
      <c r="D110" s="14"/>
      <c r="E110" s="14"/>
      <c r="F110" s="14"/>
      <c r="G110" s="14"/>
      <c r="I110" s="20"/>
    </row>
    <row r="111" spans="3:9">
      <c r="C111" s="14"/>
      <c r="D111" s="14"/>
      <c r="E111" s="14"/>
      <c r="F111" s="14"/>
      <c r="G111" s="14"/>
      <c r="I111" s="20"/>
    </row>
    <row r="112" spans="3:9">
      <c r="C112" s="14"/>
      <c r="D112" s="14"/>
      <c r="E112" s="14"/>
      <c r="F112" s="14"/>
      <c r="G112" s="14"/>
      <c r="I112" s="20"/>
    </row>
    <row r="113" spans="3:49">
      <c r="C113" s="14"/>
      <c r="D113" s="14"/>
      <c r="E113" s="14"/>
      <c r="F113" s="14"/>
      <c r="G113" s="14"/>
      <c r="I113" s="20"/>
    </row>
    <row r="114" spans="3:49">
      <c r="C114" s="14"/>
      <c r="D114" s="14"/>
      <c r="E114" s="14"/>
      <c r="F114" s="14"/>
      <c r="G114" s="14"/>
      <c r="I114" s="20"/>
    </row>
    <row r="115" spans="3:49">
      <c r="C115" s="14"/>
      <c r="D115" s="14"/>
      <c r="E115" s="14"/>
      <c r="F115" s="14"/>
      <c r="G115" s="14"/>
      <c r="I115" s="20"/>
    </row>
    <row r="116" spans="3:49">
      <c r="C116" s="14"/>
      <c r="D116" s="14"/>
      <c r="E116" s="14"/>
      <c r="F116" s="14"/>
      <c r="G116" s="14"/>
      <c r="I116" s="20"/>
    </row>
    <row r="117" spans="3:49">
      <c r="C117" s="14"/>
      <c r="D117" s="14"/>
      <c r="E117" s="14"/>
      <c r="F117" s="14"/>
      <c r="G117" s="14"/>
      <c r="I117" s="20"/>
    </row>
    <row r="118" spans="3:49">
      <c r="C118" s="14"/>
      <c r="D118" s="14"/>
      <c r="E118" s="14"/>
      <c r="F118" s="14"/>
      <c r="G118" s="14"/>
      <c r="I118" s="20"/>
    </row>
    <row r="119" spans="3:49">
      <c r="C119" s="14"/>
      <c r="D119" s="14"/>
      <c r="E119" s="14"/>
      <c r="F119" s="14"/>
      <c r="G119" s="14"/>
      <c r="I119" s="20"/>
      <c r="AD119" s="11" t="s">
        <v>317</v>
      </c>
    </row>
    <row r="120" spans="3:49" s="4" customFormat="1">
      <c r="C120" s="4" t="s">
        <v>34</v>
      </c>
      <c r="AD120" s="4" t="s">
        <v>314</v>
      </c>
    </row>
    <row r="121" spans="3:49">
      <c r="C121" t="str">
        <f>C8</f>
        <v>Existing coal Large</v>
      </c>
      <c r="D121" s="1"/>
      <c r="E121" s="1"/>
      <c r="F121" s="1"/>
      <c r="G121" s="1"/>
      <c r="I121" s="19">
        <f t="shared" ref="I121:AC121" si="53">I50*$B50</f>
        <v>0</v>
      </c>
      <c r="J121" s="19">
        <f t="shared" si="53"/>
        <v>0</v>
      </c>
      <c r="K121" s="19">
        <f t="shared" si="53"/>
        <v>0</v>
      </c>
      <c r="L121" s="19">
        <f t="shared" si="53"/>
        <v>0</v>
      </c>
      <c r="M121" s="19">
        <f t="shared" si="53"/>
        <v>0</v>
      </c>
      <c r="N121" s="19">
        <f t="shared" si="53"/>
        <v>0</v>
      </c>
      <c r="O121" s="19">
        <f t="shared" si="53"/>
        <v>0</v>
      </c>
      <c r="P121" s="19">
        <f t="shared" si="53"/>
        <v>0</v>
      </c>
      <c r="Q121" s="19">
        <f t="shared" si="53"/>
        <v>0</v>
      </c>
      <c r="R121" s="19">
        <f t="shared" si="53"/>
        <v>0</v>
      </c>
      <c r="S121" s="19">
        <f t="shared" si="53"/>
        <v>0</v>
      </c>
      <c r="T121" s="19">
        <f t="shared" si="53"/>
        <v>0</v>
      </c>
      <c r="U121" s="19">
        <f t="shared" si="53"/>
        <v>0</v>
      </c>
      <c r="V121" s="19">
        <f t="shared" si="53"/>
        <v>0</v>
      </c>
      <c r="W121" s="19">
        <f t="shared" si="53"/>
        <v>0</v>
      </c>
      <c r="X121" s="19">
        <f t="shared" si="53"/>
        <v>0</v>
      </c>
      <c r="Y121" s="19">
        <f t="shared" si="53"/>
        <v>0</v>
      </c>
      <c r="Z121" s="19">
        <f t="shared" si="53"/>
        <v>0</v>
      </c>
      <c r="AA121" s="19">
        <f t="shared" si="53"/>
        <v>0</v>
      </c>
      <c r="AB121" s="19">
        <f t="shared" si="53"/>
        <v>0</v>
      </c>
      <c r="AC121" s="19">
        <f t="shared" si="53"/>
        <v>0</v>
      </c>
      <c r="AD121" s="75"/>
      <c r="AE121" s="75"/>
      <c r="AF121" s="75"/>
      <c r="AG121" s="75"/>
      <c r="AH121" s="75"/>
      <c r="AI121" s="75"/>
      <c r="AJ121" s="75"/>
      <c r="AK121" s="75"/>
      <c r="AL121" s="75"/>
      <c r="AM121" s="75"/>
      <c r="AN121" s="75"/>
      <c r="AO121" s="75"/>
      <c r="AP121" s="75"/>
      <c r="AQ121" s="75"/>
      <c r="AR121" s="75"/>
      <c r="AS121" s="75"/>
      <c r="AT121" s="75"/>
      <c r="AU121" s="75"/>
      <c r="AV121" s="75"/>
      <c r="AW121" s="75"/>
    </row>
    <row r="122" spans="3:49">
      <c r="C122" t="str">
        <f t="shared" ref="C122:C140" si="54">C9</f>
        <v>Existing coal Small</v>
      </c>
      <c r="D122" s="1"/>
      <c r="E122" s="1"/>
      <c r="F122" s="1"/>
      <c r="G122" s="1"/>
      <c r="I122" s="19">
        <f t="shared" ref="I122:AC122" si="55">I51*$B51</f>
        <v>0</v>
      </c>
      <c r="J122" s="19">
        <f t="shared" si="55"/>
        <v>0</v>
      </c>
      <c r="K122" s="19">
        <f t="shared" si="55"/>
        <v>0</v>
      </c>
      <c r="L122" s="19">
        <f t="shared" si="55"/>
        <v>0</v>
      </c>
      <c r="M122" s="19">
        <f t="shared" si="55"/>
        <v>0</v>
      </c>
      <c r="N122" s="19">
        <f t="shared" si="55"/>
        <v>0</v>
      </c>
      <c r="O122" s="19">
        <f t="shared" si="55"/>
        <v>0</v>
      </c>
      <c r="P122" s="19">
        <f t="shared" si="55"/>
        <v>0</v>
      </c>
      <c r="Q122" s="19">
        <f t="shared" si="55"/>
        <v>0</v>
      </c>
      <c r="R122" s="19">
        <f t="shared" si="55"/>
        <v>0</v>
      </c>
      <c r="S122" s="19">
        <f t="shared" si="55"/>
        <v>0</v>
      </c>
      <c r="T122" s="19">
        <f t="shared" si="55"/>
        <v>0</v>
      </c>
      <c r="U122" s="19">
        <f t="shared" si="55"/>
        <v>0</v>
      </c>
      <c r="V122" s="19">
        <f t="shared" si="55"/>
        <v>0</v>
      </c>
      <c r="W122" s="19">
        <f t="shared" si="55"/>
        <v>0</v>
      </c>
      <c r="X122" s="19">
        <f t="shared" si="55"/>
        <v>0</v>
      </c>
      <c r="Y122" s="19">
        <f t="shared" si="55"/>
        <v>0</v>
      </c>
      <c r="Z122" s="19">
        <f t="shared" si="55"/>
        <v>0</v>
      </c>
      <c r="AA122" s="19">
        <f t="shared" si="55"/>
        <v>0</v>
      </c>
      <c r="AB122" s="19">
        <f t="shared" si="55"/>
        <v>0</v>
      </c>
      <c r="AC122" s="19">
        <f t="shared" si="55"/>
        <v>0</v>
      </c>
      <c r="AD122" s="75"/>
      <c r="AE122" s="75"/>
      <c r="AF122" s="75"/>
      <c r="AG122" s="75"/>
      <c r="AH122" s="75"/>
      <c r="AI122" s="75"/>
      <c r="AJ122" s="75"/>
      <c r="AK122" s="75"/>
      <c r="AL122" s="75"/>
      <c r="AM122" s="75"/>
      <c r="AN122" s="75"/>
      <c r="AO122" s="75"/>
      <c r="AP122" s="75"/>
      <c r="AQ122" s="75"/>
      <c r="AR122" s="75"/>
      <c r="AS122" s="75"/>
      <c r="AT122" s="75"/>
      <c r="AU122" s="75"/>
      <c r="AV122" s="75"/>
      <c r="AW122" s="75"/>
    </row>
    <row r="123" spans="3:49">
      <c r="C123" t="str">
        <f t="shared" si="54"/>
        <v>OCGT liquid fuels</v>
      </c>
      <c r="D123" s="1"/>
      <c r="E123" s="1"/>
      <c r="F123" s="1"/>
      <c r="G123" s="1"/>
      <c r="I123" s="19">
        <f t="shared" ref="I123:AC123" si="56">I52*$B52</f>
        <v>0</v>
      </c>
      <c r="J123" s="19">
        <f t="shared" si="56"/>
        <v>1.08</v>
      </c>
      <c r="K123" s="19">
        <f t="shared" si="56"/>
        <v>0</v>
      </c>
      <c r="L123" s="19">
        <f t="shared" si="56"/>
        <v>0</v>
      </c>
      <c r="M123" s="19">
        <f t="shared" si="56"/>
        <v>0</v>
      </c>
      <c r="N123" s="19">
        <f t="shared" si="56"/>
        <v>0</v>
      </c>
      <c r="O123" s="19">
        <f t="shared" si="56"/>
        <v>0</v>
      </c>
      <c r="P123" s="19">
        <f t="shared" si="56"/>
        <v>0</v>
      </c>
      <c r="Q123" s="19">
        <f t="shared" si="56"/>
        <v>0</v>
      </c>
      <c r="R123" s="19">
        <f t="shared" si="56"/>
        <v>0</v>
      </c>
      <c r="S123" s="19">
        <f t="shared" si="56"/>
        <v>0</v>
      </c>
      <c r="T123" s="19">
        <f t="shared" si="56"/>
        <v>0</v>
      </c>
      <c r="U123" s="19">
        <f t="shared" si="56"/>
        <v>0</v>
      </c>
      <c r="V123" s="19">
        <f t="shared" si="56"/>
        <v>0.72</v>
      </c>
      <c r="W123" s="19">
        <f t="shared" si="56"/>
        <v>0</v>
      </c>
      <c r="X123" s="19">
        <f t="shared" si="56"/>
        <v>0</v>
      </c>
      <c r="Y123" s="19">
        <f t="shared" si="56"/>
        <v>0.72</v>
      </c>
      <c r="Z123" s="19">
        <f t="shared" si="56"/>
        <v>0</v>
      </c>
      <c r="AA123" s="19">
        <f t="shared" si="56"/>
        <v>0</v>
      </c>
      <c r="AB123" s="19">
        <f t="shared" si="56"/>
        <v>0.72</v>
      </c>
      <c r="AC123" s="19">
        <f t="shared" si="56"/>
        <v>0</v>
      </c>
      <c r="AD123" s="75">
        <f t="shared" ref="AD123:AD140" ca="1" si="57">-AD146</f>
        <v>0</v>
      </c>
      <c r="AE123" s="75">
        <f t="shared" ref="AE123:AW135" ca="1" si="58">-AE146</f>
        <v>0</v>
      </c>
      <c r="AF123" s="75">
        <f t="shared" ca="1" si="58"/>
        <v>0</v>
      </c>
      <c r="AG123" s="75">
        <f t="shared" ca="1" si="58"/>
        <v>0</v>
      </c>
      <c r="AH123" s="75">
        <f t="shared" ca="1" si="58"/>
        <v>0</v>
      </c>
      <c r="AI123" s="75">
        <f t="shared" ca="1" si="58"/>
        <v>1.08</v>
      </c>
      <c r="AJ123" s="75">
        <f t="shared" ca="1" si="58"/>
        <v>0</v>
      </c>
      <c r="AK123" s="75">
        <f t="shared" ca="1" si="58"/>
        <v>0</v>
      </c>
      <c r="AL123" s="75">
        <f t="shared" ca="1" si="58"/>
        <v>0</v>
      </c>
      <c r="AM123" s="75">
        <f t="shared" ca="1" si="58"/>
        <v>0</v>
      </c>
      <c r="AN123" s="75">
        <f t="shared" ca="1" si="58"/>
        <v>0</v>
      </c>
      <c r="AO123" s="75">
        <f t="shared" ca="1" si="58"/>
        <v>0</v>
      </c>
      <c r="AP123" s="75">
        <f t="shared" ca="1" si="58"/>
        <v>0</v>
      </c>
      <c r="AQ123" s="75">
        <f t="shared" ca="1" si="58"/>
        <v>0</v>
      </c>
      <c r="AR123" s="75">
        <f t="shared" ca="1" si="58"/>
        <v>0</v>
      </c>
      <c r="AS123" s="75">
        <f t="shared" ca="1" si="58"/>
        <v>0</v>
      </c>
      <c r="AT123" s="75">
        <f t="shared" ca="1" si="58"/>
        <v>0</v>
      </c>
      <c r="AU123" s="75">
        <f t="shared" ca="1" si="58"/>
        <v>0.72</v>
      </c>
      <c r="AV123" s="75">
        <f t="shared" ca="1" si="58"/>
        <v>0</v>
      </c>
      <c r="AW123" s="75">
        <f t="shared" ca="1" si="58"/>
        <v>0</v>
      </c>
    </row>
    <row r="124" spans="3:49">
      <c r="C124" t="str">
        <f t="shared" si="54"/>
        <v>PWR nuclear</v>
      </c>
      <c r="D124" s="1"/>
      <c r="E124" s="1"/>
      <c r="F124" s="1"/>
      <c r="G124" s="1"/>
      <c r="I124" s="19">
        <f t="shared" ref="I124:AC124" si="59">I53*$B53</f>
        <v>0</v>
      </c>
      <c r="J124" s="19">
        <f t="shared" si="59"/>
        <v>0</v>
      </c>
      <c r="K124" s="19">
        <f t="shared" si="59"/>
        <v>0</v>
      </c>
      <c r="L124" s="19">
        <f t="shared" si="59"/>
        <v>0</v>
      </c>
      <c r="M124" s="19">
        <f t="shared" si="59"/>
        <v>0</v>
      </c>
      <c r="N124" s="19">
        <f t="shared" si="59"/>
        <v>0</v>
      </c>
      <c r="O124" s="19">
        <f t="shared" si="59"/>
        <v>0</v>
      </c>
      <c r="P124" s="19">
        <f t="shared" si="59"/>
        <v>0</v>
      </c>
      <c r="Q124" s="19">
        <f t="shared" si="59"/>
        <v>0</v>
      </c>
      <c r="R124" s="19">
        <f t="shared" si="59"/>
        <v>0</v>
      </c>
      <c r="S124" s="19">
        <f t="shared" si="59"/>
        <v>0</v>
      </c>
      <c r="T124" s="19">
        <f t="shared" si="59"/>
        <v>0</v>
      </c>
      <c r="U124" s="19">
        <f t="shared" si="59"/>
        <v>0</v>
      </c>
      <c r="V124" s="19">
        <f t="shared" si="59"/>
        <v>0</v>
      </c>
      <c r="W124" s="19">
        <f t="shared" si="59"/>
        <v>0</v>
      </c>
      <c r="X124" s="19">
        <f t="shared" si="59"/>
        <v>0</v>
      </c>
      <c r="Y124" s="19">
        <f t="shared" si="59"/>
        <v>0</v>
      </c>
      <c r="Z124" s="19">
        <f t="shared" si="59"/>
        <v>0</v>
      </c>
      <c r="AA124" s="19">
        <f t="shared" si="59"/>
        <v>0</v>
      </c>
      <c r="AB124" s="19">
        <f t="shared" si="59"/>
        <v>0</v>
      </c>
      <c r="AC124" s="19">
        <f t="shared" si="59"/>
        <v>0</v>
      </c>
      <c r="AD124" s="75">
        <f t="shared" ca="1" si="57"/>
        <v>0</v>
      </c>
      <c r="AE124" s="75">
        <f t="shared" ca="1" si="58"/>
        <v>0</v>
      </c>
      <c r="AF124" s="75">
        <f t="shared" ca="1" si="58"/>
        <v>0</v>
      </c>
      <c r="AG124" s="75">
        <f t="shared" ca="1" si="58"/>
        <v>0</v>
      </c>
      <c r="AH124" s="75">
        <f t="shared" ca="1" si="58"/>
        <v>0</v>
      </c>
      <c r="AI124" s="75">
        <f t="shared" ca="1" si="58"/>
        <v>0</v>
      </c>
      <c r="AJ124" s="75">
        <f t="shared" ca="1" si="58"/>
        <v>0</v>
      </c>
      <c r="AK124" s="75">
        <f t="shared" ca="1" si="58"/>
        <v>0</v>
      </c>
      <c r="AL124" s="75">
        <f t="shared" ca="1" si="58"/>
        <v>0</v>
      </c>
      <c r="AM124" s="75">
        <f t="shared" ca="1" si="58"/>
        <v>0</v>
      </c>
      <c r="AN124" s="75">
        <f t="shared" ca="1" si="58"/>
        <v>0</v>
      </c>
      <c r="AO124" s="75">
        <f t="shared" ca="1" si="58"/>
        <v>0</v>
      </c>
      <c r="AP124" s="75">
        <f t="shared" ca="1" si="58"/>
        <v>0</v>
      </c>
      <c r="AQ124" s="75">
        <f t="shared" ca="1" si="58"/>
        <v>0</v>
      </c>
      <c r="AR124" s="75">
        <f t="shared" ca="1" si="58"/>
        <v>0</v>
      </c>
      <c r="AS124" s="75">
        <f t="shared" ca="1" si="58"/>
        <v>0</v>
      </c>
      <c r="AT124" s="75">
        <f t="shared" ca="1" si="58"/>
        <v>0</v>
      </c>
      <c r="AU124" s="75">
        <f t="shared" ca="1" si="58"/>
        <v>0</v>
      </c>
      <c r="AV124" s="75">
        <f t="shared" ca="1" si="58"/>
        <v>0</v>
      </c>
      <c r="AW124" s="75">
        <f t="shared" ca="1" si="58"/>
        <v>0</v>
      </c>
    </row>
    <row r="125" spans="3:49">
      <c r="C125" t="str">
        <f t="shared" si="54"/>
        <v>Hydro</v>
      </c>
      <c r="D125" s="1"/>
      <c r="E125" s="1"/>
      <c r="F125" s="1"/>
      <c r="G125" s="1"/>
      <c r="I125" s="19">
        <f t="shared" ref="I125:AC125" si="60">I54*$B54</f>
        <v>0</v>
      </c>
      <c r="J125" s="19">
        <f t="shared" si="60"/>
        <v>0</v>
      </c>
      <c r="K125" s="19">
        <f t="shared" si="60"/>
        <v>0</v>
      </c>
      <c r="L125" s="19">
        <f t="shared" si="60"/>
        <v>0</v>
      </c>
      <c r="M125" s="19">
        <f t="shared" si="60"/>
        <v>0</v>
      </c>
      <c r="N125" s="19">
        <f t="shared" si="60"/>
        <v>0</v>
      </c>
      <c r="O125" s="19">
        <f t="shared" si="60"/>
        <v>0</v>
      </c>
      <c r="P125" s="19">
        <f t="shared" si="60"/>
        <v>0</v>
      </c>
      <c r="Q125" s="19">
        <f t="shared" si="60"/>
        <v>0</v>
      </c>
      <c r="R125" s="19">
        <f t="shared" si="60"/>
        <v>0</v>
      </c>
      <c r="S125" s="19">
        <f t="shared" si="60"/>
        <v>0</v>
      </c>
      <c r="T125" s="19">
        <f t="shared" si="60"/>
        <v>0</v>
      </c>
      <c r="U125" s="19">
        <f t="shared" si="60"/>
        <v>0</v>
      </c>
      <c r="V125" s="19">
        <f t="shared" si="60"/>
        <v>0</v>
      </c>
      <c r="W125" s="19">
        <f t="shared" si="60"/>
        <v>0</v>
      </c>
      <c r="X125" s="19">
        <f t="shared" si="60"/>
        <v>0</v>
      </c>
      <c r="Y125" s="19">
        <f t="shared" si="60"/>
        <v>0</v>
      </c>
      <c r="Z125" s="19">
        <f t="shared" si="60"/>
        <v>0</v>
      </c>
      <c r="AA125" s="19">
        <f t="shared" si="60"/>
        <v>0</v>
      </c>
      <c r="AB125" s="19">
        <f t="shared" si="60"/>
        <v>0</v>
      </c>
      <c r="AC125" s="19">
        <f t="shared" si="60"/>
        <v>0</v>
      </c>
      <c r="AD125" s="75">
        <f t="shared" ca="1" si="57"/>
        <v>0</v>
      </c>
      <c r="AE125" s="75">
        <f t="shared" ca="1" si="58"/>
        <v>0</v>
      </c>
      <c r="AF125" s="75">
        <f t="shared" ca="1" si="58"/>
        <v>0</v>
      </c>
      <c r="AG125" s="75">
        <f t="shared" ca="1" si="58"/>
        <v>0</v>
      </c>
      <c r="AH125" s="75">
        <f t="shared" ca="1" si="58"/>
        <v>0</v>
      </c>
      <c r="AI125" s="75">
        <f t="shared" ca="1" si="58"/>
        <v>0</v>
      </c>
      <c r="AJ125" s="75">
        <f t="shared" ca="1" si="58"/>
        <v>0</v>
      </c>
      <c r="AK125" s="75">
        <f t="shared" ca="1" si="58"/>
        <v>0</v>
      </c>
      <c r="AL125" s="75">
        <f t="shared" ca="1" si="58"/>
        <v>0</v>
      </c>
      <c r="AM125" s="75">
        <f t="shared" ca="1" si="58"/>
        <v>0</v>
      </c>
      <c r="AN125" s="75">
        <f t="shared" ca="1" si="58"/>
        <v>0</v>
      </c>
      <c r="AO125" s="75">
        <f t="shared" ca="1" si="58"/>
        <v>0</v>
      </c>
      <c r="AP125" s="75">
        <f t="shared" ca="1" si="58"/>
        <v>0</v>
      </c>
      <c r="AQ125" s="75">
        <f t="shared" ca="1" si="58"/>
        <v>0</v>
      </c>
      <c r="AR125" s="75">
        <f t="shared" ca="1" si="58"/>
        <v>0</v>
      </c>
      <c r="AS125" s="75">
        <f t="shared" ca="1" si="58"/>
        <v>0</v>
      </c>
      <c r="AT125" s="75">
        <f t="shared" ca="1" si="58"/>
        <v>0</v>
      </c>
      <c r="AU125" s="75">
        <f t="shared" ca="1" si="58"/>
        <v>0</v>
      </c>
      <c r="AV125" s="75">
        <f t="shared" ca="1" si="58"/>
        <v>0</v>
      </c>
      <c r="AW125" s="75">
        <f t="shared" ca="1" si="58"/>
        <v>0</v>
      </c>
    </row>
    <row r="126" spans="3:49">
      <c r="C126" t="str">
        <f t="shared" si="54"/>
        <v>Landfill gas</v>
      </c>
      <c r="D126" s="1"/>
      <c r="E126" s="1"/>
      <c r="F126" s="1"/>
      <c r="G126" s="1"/>
      <c r="I126" s="19">
        <f t="shared" ref="I126:AC126" si="61">I55*$B55</f>
        <v>0</v>
      </c>
      <c r="J126" s="19">
        <f t="shared" si="61"/>
        <v>0</v>
      </c>
      <c r="K126" s="19">
        <f t="shared" si="61"/>
        <v>0</v>
      </c>
      <c r="L126" s="19">
        <f t="shared" si="61"/>
        <v>0</v>
      </c>
      <c r="M126" s="19">
        <f t="shared" si="61"/>
        <v>0</v>
      </c>
      <c r="N126" s="19">
        <f t="shared" si="61"/>
        <v>0</v>
      </c>
      <c r="O126" s="19">
        <f t="shared" si="61"/>
        <v>0</v>
      </c>
      <c r="P126" s="19">
        <f t="shared" si="61"/>
        <v>0</v>
      </c>
      <c r="Q126" s="19">
        <f t="shared" si="61"/>
        <v>0</v>
      </c>
      <c r="R126" s="19">
        <f t="shared" si="61"/>
        <v>0</v>
      </c>
      <c r="S126" s="19">
        <f t="shared" si="61"/>
        <v>0</v>
      </c>
      <c r="T126" s="19">
        <f t="shared" si="61"/>
        <v>0</v>
      </c>
      <c r="U126" s="19">
        <f t="shared" si="61"/>
        <v>0</v>
      </c>
      <c r="V126" s="19">
        <f t="shared" si="61"/>
        <v>0</v>
      </c>
      <c r="W126" s="19">
        <f t="shared" si="61"/>
        <v>0</v>
      </c>
      <c r="X126" s="19">
        <f t="shared" si="61"/>
        <v>0</v>
      </c>
      <c r="Y126" s="19">
        <f t="shared" si="61"/>
        <v>0</v>
      </c>
      <c r="Z126" s="19">
        <f t="shared" si="61"/>
        <v>0</v>
      </c>
      <c r="AA126" s="19">
        <f t="shared" si="61"/>
        <v>0</v>
      </c>
      <c r="AB126" s="19">
        <f t="shared" si="61"/>
        <v>0</v>
      </c>
      <c r="AC126" s="19">
        <f t="shared" si="61"/>
        <v>0</v>
      </c>
      <c r="AD126" s="75">
        <f t="shared" ca="1" si="57"/>
        <v>0</v>
      </c>
      <c r="AE126" s="75">
        <f t="shared" ca="1" si="58"/>
        <v>0</v>
      </c>
      <c r="AF126" s="75">
        <f t="shared" ca="1" si="58"/>
        <v>0</v>
      </c>
      <c r="AG126" s="75">
        <f t="shared" ca="1" si="58"/>
        <v>0</v>
      </c>
      <c r="AH126" s="75">
        <f t="shared" ca="1" si="58"/>
        <v>0</v>
      </c>
      <c r="AI126" s="75">
        <f t="shared" ca="1" si="58"/>
        <v>0</v>
      </c>
      <c r="AJ126" s="75">
        <f t="shared" ca="1" si="58"/>
        <v>0</v>
      </c>
      <c r="AK126" s="75">
        <f t="shared" ca="1" si="58"/>
        <v>0</v>
      </c>
      <c r="AL126" s="75">
        <f t="shared" ca="1" si="58"/>
        <v>0</v>
      </c>
      <c r="AM126" s="75">
        <f t="shared" ca="1" si="58"/>
        <v>0</v>
      </c>
      <c r="AN126" s="75">
        <f t="shared" ca="1" si="58"/>
        <v>0</v>
      </c>
      <c r="AO126" s="75">
        <f t="shared" ca="1" si="58"/>
        <v>0</v>
      </c>
      <c r="AP126" s="75">
        <f t="shared" ca="1" si="58"/>
        <v>0</v>
      </c>
      <c r="AQ126" s="75">
        <f t="shared" ca="1" si="58"/>
        <v>0</v>
      </c>
      <c r="AR126" s="75">
        <f t="shared" ca="1" si="58"/>
        <v>0</v>
      </c>
      <c r="AS126" s="75">
        <f t="shared" ca="1" si="58"/>
        <v>0</v>
      </c>
      <c r="AT126" s="75">
        <f t="shared" ca="1" si="58"/>
        <v>0</v>
      </c>
      <c r="AU126" s="75">
        <f t="shared" ca="1" si="58"/>
        <v>0</v>
      </c>
      <c r="AV126" s="75">
        <f t="shared" ca="1" si="58"/>
        <v>0</v>
      </c>
      <c r="AW126" s="75">
        <f t="shared" ca="1" si="58"/>
        <v>0</v>
      </c>
    </row>
    <row r="127" spans="3:49">
      <c r="C127" t="str">
        <f t="shared" si="54"/>
        <v>Biomass</v>
      </c>
      <c r="D127" s="1"/>
      <c r="E127" s="1"/>
      <c r="F127" s="1"/>
      <c r="G127" s="1"/>
      <c r="I127" s="19">
        <f t="shared" ref="I127:AC127" si="62">I56*$B56</f>
        <v>0</v>
      </c>
      <c r="J127" s="19">
        <f t="shared" si="62"/>
        <v>0</v>
      </c>
      <c r="K127" s="19">
        <f t="shared" si="62"/>
        <v>0</v>
      </c>
      <c r="L127" s="19">
        <f t="shared" si="62"/>
        <v>0</v>
      </c>
      <c r="M127" s="19">
        <f t="shared" si="62"/>
        <v>0</v>
      </c>
      <c r="N127" s="19">
        <f t="shared" si="62"/>
        <v>0</v>
      </c>
      <c r="O127" s="19">
        <f t="shared" si="62"/>
        <v>0</v>
      </c>
      <c r="P127" s="19">
        <f t="shared" si="62"/>
        <v>0</v>
      </c>
      <c r="Q127" s="19">
        <f t="shared" si="62"/>
        <v>0</v>
      </c>
      <c r="R127" s="19">
        <f t="shared" si="62"/>
        <v>0</v>
      </c>
      <c r="S127" s="19">
        <f t="shared" si="62"/>
        <v>0</v>
      </c>
      <c r="T127" s="19">
        <f t="shared" si="62"/>
        <v>0</v>
      </c>
      <c r="U127" s="19">
        <f t="shared" si="62"/>
        <v>0</v>
      </c>
      <c r="V127" s="19">
        <f t="shared" si="62"/>
        <v>0</v>
      </c>
      <c r="W127" s="19">
        <f t="shared" si="62"/>
        <v>0</v>
      </c>
      <c r="X127" s="19">
        <f t="shared" si="62"/>
        <v>0</v>
      </c>
      <c r="Y127" s="19">
        <f t="shared" si="62"/>
        <v>0</v>
      </c>
      <c r="Z127" s="19">
        <f t="shared" si="62"/>
        <v>0</v>
      </c>
      <c r="AA127" s="19">
        <f t="shared" si="62"/>
        <v>0</v>
      </c>
      <c r="AB127" s="19">
        <f t="shared" si="62"/>
        <v>0</v>
      </c>
      <c r="AC127" s="19">
        <f t="shared" si="62"/>
        <v>0</v>
      </c>
      <c r="AD127" s="75">
        <f t="shared" ca="1" si="57"/>
        <v>0</v>
      </c>
      <c r="AE127" s="75">
        <f t="shared" ca="1" si="58"/>
        <v>0</v>
      </c>
      <c r="AF127" s="75">
        <f t="shared" ca="1" si="58"/>
        <v>0</v>
      </c>
      <c r="AG127" s="75">
        <f t="shared" ca="1" si="58"/>
        <v>0</v>
      </c>
      <c r="AH127" s="75">
        <f t="shared" ca="1" si="58"/>
        <v>0</v>
      </c>
      <c r="AI127" s="75">
        <f t="shared" ca="1" si="58"/>
        <v>0</v>
      </c>
      <c r="AJ127" s="75">
        <f t="shared" ca="1" si="58"/>
        <v>0</v>
      </c>
      <c r="AK127" s="75">
        <f t="shared" ca="1" si="58"/>
        <v>0</v>
      </c>
      <c r="AL127" s="75">
        <f t="shared" ca="1" si="58"/>
        <v>0</v>
      </c>
      <c r="AM127" s="75">
        <f t="shared" ca="1" si="58"/>
        <v>0</v>
      </c>
      <c r="AN127" s="75">
        <f t="shared" ca="1" si="58"/>
        <v>0</v>
      </c>
      <c r="AO127" s="75">
        <f t="shared" ca="1" si="58"/>
        <v>0</v>
      </c>
      <c r="AP127" s="75">
        <f t="shared" ca="1" si="58"/>
        <v>0</v>
      </c>
      <c r="AQ127" s="75">
        <f t="shared" ca="1" si="58"/>
        <v>0</v>
      </c>
      <c r="AR127" s="75">
        <f t="shared" ca="1" si="58"/>
        <v>0</v>
      </c>
      <c r="AS127" s="75">
        <f t="shared" ca="1" si="58"/>
        <v>0</v>
      </c>
      <c r="AT127" s="75">
        <f t="shared" ca="1" si="58"/>
        <v>0</v>
      </c>
      <c r="AU127" s="75">
        <f t="shared" ca="1" si="58"/>
        <v>0</v>
      </c>
      <c r="AV127" s="75">
        <f t="shared" ca="1" si="58"/>
        <v>0</v>
      </c>
      <c r="AW127" s="75">
        <f t="shared" ca="1" si="58"/>
        <v>0</v>
      </c>
    </row>
    <row r="128" spans="3:49">
      <c r="C128" t="str">
        <f t="shared" si="54"/>
        <v>Supercritical coal</v>
      </c>
      <c r="D128" s="1"/>
      <c r="E128" s="1"/>
      <c r="F128" s="1"/>
      <c r="G128" s="1"/>
      <c r="I128" s="19">
        <f t="shared" ref="I128:AC128" si="63">I57*$B57</f>
        <v>0</v>
      </c>
      <c r="J128" s="19">
        <f t="shared" si="63"/>
        <v>0</v>
      </c>
      <c r="K128" s="19">
        <f t="shared" si="63"/>
        <v>0.79400000000000004</v>
      </c>
      <c r="L128" s="19">
        <f t="shared" si="63"/>
        <v>1.5880000000000001</v>
      </c>
      <c r="M128" s="19">
        <f t="shared" si="63"/>
        <v>2.3820000000000001</v>
      </c>
      <c r="N128" s="19">
        <f t="shared" si="63"/>
        <v>2.3820000000000001</v>
      </c>
      <c r="O128" s="19">
        <f t="shared" si="63"/>
        <v>1.5880000000000001</v>
      </c>
      <c r="P128" s="19">
        <f t="shared" si="63"/>
        <v>1.5880000000000001</v>
      </c>
      <c r="Q128" s="19">
        <f t="shared" si="63"/>
        <v>2.3820000000000001</v>
      </c>
      <c r="R128" s="19">
        <f t="shared" si="63"/>
        <v>2.3820000000000001</v>
      </c>
      <c r="S128" s="19">
        <f t="shared" si="63"/>
        <v>2.3820000000000001</v>
      </c>
      <c r="T128" s="19">
        <f t="shared" si="63"/>
        <v>3.1760000000000002</v>
      </c>
      <c r="U128" s="19">
        <f t="shared" si="63"/>
        <v>3.1760000000000002</v>
      </c>
      <c r="V128" s="19">
        <f t="shared" si="63"/>
        <v>2.3820000000000001</v>
      </c>
      <c r="W128" s="19">
        <f t="shared" si="63"/>
        <v>3.1760000000000002</v>
      </c>
      <c r="X128" s="19">
        <f t="shared" si="63"/>
        <v>3.1760000000000002</v>
      </c>
      <c r="Y128" s="19">
        <f t="shared" si="63"/>
        <v>3.97</v>
      </c>
      <c r="Z128" s="19">
        <f t="shared" si="63"/>
        <v>3.97</v>
      </c>
      <c r="AA128" s="19">
        <f t="shared" si="63"/>
        <v>3.97</v>
      </c>
      <c r="AB128" s="19">
        <f t="shared" si="63"/>
        <v>4.7640000000000002</v>
      </c>
      <c r="AC128" s="19">
        <f t="shared" si="63"/>
        <v>4.7640000000000002</v>
      </c>
      <c r="AD128" s="75">
        <f ca="1">-AD151-AD144-AD145</f>
        <v>0</v>
      </c>
      <c r="AE128" s="75">
        <f t="shared" ref="AE128:AW128" ca="1" si="64">-AE151-AE144-AE145</f>
        <v>0</v>
      </c>
      <c r="AF128" s="75">
        <f t="shared" ca="1" si="64"/>
        <v>0</v>
      </c>
      <c r="AG128" s="75">
        <f t="shared" ca="1" si="64"/>
        <v>0</v>
      </c>
      <c r="AH128" s="75">
        <f t="shared" ca="1" si="64"/>
        <v>0</v>
      </c>
      <c r="AI128" s="75">
        <f t="shared" ca="1" si="64"/>
        <v>0</v>
      </c>
      <c r="AJ128" s="75">
        <f t="shared" ca="1" si="64"/>
        <v>0</v>
      </c>
      <c r="AK128" s="75">
        <f t="shared" ca="1" si="64"/>
        <v>0</v>
      </c>
      <c r="AL128" s="75">
        <f t="shared" ca="1" si="64"/>
        <v>0</v>
      </c>
      <c r="AM128" s="75">
        <f t="shared" ca="1" si="64"/>
        <v>0</v>
      </c>
      <c r="AN128" s="75">
        <f t="shared" ca="1" si="64"/>
        <v>0</v>
      </c>
      <c r="AO128" s="75">
        <f t="shared" ca="1" si="64"/>
        <v>0.79400000000000004</v>
      </c>
      <c r="AP128" s="75">
        <f t="shared" ca="1" si="64"/>
        <v>1.5880000000000001</v>
      </c>
      <c r="AQ128" s="75">
        <f t="shared" ca="1" si="64"/>
        <v>2.3820000000000001</v>
      </c>
      <c r="AR128" s="75">
        <f t="shared" ca="1" si="64"/>
        <v>2.3820000000000001</v>
      </c>
      <c r="AS128" s="75">
        <f t="shared" ca="1" si="64"/>
        <v>1.5880000000000001</v>
      </c>
      <c r="AT128" s="75">
        <f t="shared" ca="1" si="64"/>
        <v>1.5880000000000001</v>
      </c>
      <c r="AU128" s="75">
        <f t="shared" ca="1" si="64"/>
        <v>2.3820000000000001</v>
      </c>
      <c r="AV128" s="75">
        <f t="shared" ca="1" si="64"/>
        <v>2.3820000000000001</v>
      </c>
      <c r="AW128" s="75">
        <f t="shared" ca="1" si="64"/>
        <v>2.3820000000000001</v>
      </c>
    </row>
    <row r="129" spans="1:49">
      <c r="C129" t="str">
        <f t="shared" si="54"/>
        <v xml:space="preserve">Wind 30% </v>
      </c>
      <c r="D129" s="1"/>
      <c r="E129" s="1"/>
      <c r="F129" s="1"/>
      <c r="G129" s="1"/>
      <c r="I129" s="19">
        <f t="shared" ref="I129:AC129" si="65">I58*$B58</f>
        <v>0.1</v>
      </c>
      <c r="J129" s="63">
        <f t="shared" si="65"/>
        <v>0</v>
      </c>
      <c r="K129" s="19">
        <f t="shared" si="65"/>
        <v>0</v>
      </c>
      <c r="L129" s="19">
        <f t="shared" si="65"/>
        <v>0</v>
      </c>
      <c r="M129" s="19">
        <f t="shared" si="65"/>
        <v>0</v>
      </c>
      <c r="N129" s="19">
        <f t="shared" si="65"/>
        <v>0</v>
      </c>
      <c r="O129" s="19">
        <f t="shared" si="65"/>
        <v>0</v>
      </c>
      <c r="P129" s="19">
        <f t="shared" si="65"/>
        <v>0</v>
      </c>
      <c r="Q129" s="19">
        <f t="shared" si="65"/>
        <v>0</v>
      </c>
      <c r="R129" s="19">
        <f t="shared" si="65"/>
        <v>0</v>
      </c>
      <c r="S129" s="19">
        <f t="shared" si="65"/>
        <v>0</v>
      </c>
      <c r="T129" s="19">
        <f t="shared" si="65"/>
        <v>0</v>
      </c>
      <c r="U129" s="19">
        <f t="shared" si="65"/>
        <v>0</v>
      </c>
      <c r="V129" s="19">
        <f t="shared" si="65"/>
        <v>0</v>
      </c>
      <c r="W129" s="19">
        <f t="shared" si="65"/>
        <v>0</v>
      </c>
      <c r="X129" s="19">
        <f t="shared" si="65"/>
        <v>0</v>
      </c>
      <c r="Y129" s="19">
        <f t="shared" si="65"/>
        <v>0</v>
      </c>
      <c r="Z129" s="19">
        <f t="shared" si="65"/>
        <v>0</v>
      </c>
      <c r="AA129" s="19">
        <f t="shared" si="65"/>
        <v>0</v>
      </c>
      <c r="AB129" s="19">
        <f t="shared" si="65"/>
        <v>0</v>
      </c>
      <c r="AC129" s="19">
        <f t="shared" si="65"/>
        <v>0</v>
      </c>
      <c r="AD129" s="75">
        <f t="shared" ca="1" si="57"/>
        <v>0</v>
      </c>
      <c r="AE129" s="75">
        <f t="shared" ca="1" si="58"/>
        <v>0</v>
      </c>
      <c r="AF129" s="75">
        <f t="shared" ca="1" si="58"/>
        <v>0</v>
      </c>
      <c r="AG129" s="75">
        <f t="shared" ca="1" si="58"/>
        <v>0</v>
      </c>
      <c r="AH129" s="75">
        <f t="shared" ca="1" si="58"/>
        <v>0</v>
      </c>
      <c r="AI129" s="75">
        <f t="shared" ca="1" si="58"/>
        <v>0</v>
      </c>
      <c r="AJ129" s="75">
        <f t="shared" ca="1" si="58"/>
        <v>0</v>
      </c>
      <c r="AK129" s="75">
        <f t="shared" ca="1" si="58"/>
        <v>0</v>
      </c>
      <c r="AL129" s="75">
        <f t="shared" ca="1" si="58"/>
        <v>0</v>
      </c>
      <c r="AM129" s="75">
        <f t="shared" ca="1" si="58"/>
        <v>0</v>
      </c>
      <c r="AN129" s="75">
        <f t="shared" ca="1" si="58"/>
        <v>0</v>
      </c>
      <c r="AO129" s="75">
        <f t="shared" ca="1" si="58"/>
        <v>0</v>
      </c>
      <c r="AP129" s="75">
        <f t="shared" ca="1" si="58"/>
        <v>0</v>
      </c>
      <c r="AQ129" s="75">
        <f t="shared" ca="1" si="58"/>
        <v>0</v>
      </c>
      <c r="AR129" s="75">
        <f t="shared" ca="1" si="58"/>
        <v>0</v>
      </c>
      <c r="AS129" s="75">
        <f t="shared" ca="1" si="58"/>
        <v>0</v>
      </c>
      <c r="AT129" s="75">
        <f t="shared" ca="1" si="58"/>
        <v>0</v>
      </c>
      <c r="AU129" s="75">
        <f t="shared" ca="1" si="58"/>
        <v>0</v>
      </c>
      <c r="AV129" s="75">
        <f t="shared" ca="1" si="58"/>
        <v>0</v>
      </c>
      <c r="AW129" s="75">
        <f t="shared" ca="1" si="58"/>
        <v>0</v>
      </c>
    </row>
    <row r="130" spans="1:49">
      <c r="C130" t="str">
        <f t="shared" si="54"/>
        <v>Wind 25%</v>
      </c>
      <c r="D130" s="1"/>
      <c r="E130" s="1"/>
      <c r="F130" s="1"/>
      <c r="G130" s="1"/>
      <c r="I130" s="19">
        <f>I59*$B59</f>
        <v>0</v>
      </c>
      <c r="J130" s="19">
        <f t="shared" ref="J130:AC130" si="66">J59*$B59</f>
        <v>0</v>
      </c>
      <c r="K130" s="19">
        <f t="shared" si="66"/>
        <v>0</v>
      </c>
      <c r="L130" s="19">
        <f t="shared" si="66"/>
        <v>0</v>
      </c>
      <c r="M130" s="19">
        <f t="shared" si="66"/>
        <v>0</v>
      </c>
      <c r="N130" s="19">
        <f t="shared" si="66"/>
        <v>0</v>
      </c>
      <c r="O130" s="19">
        <f t="shared" si="66"/>
        <v>0</v>
      </c>
      <c r="P130" s="19">
        <f t="shared" si="66"/>
        <v>0</v>
      </c>
      <c r="Q130" s="19">
        <f t="shared" si="66"/>
        <v>0</v>
      </c>
      <c r="R130" s="19">
        <f t="shared" si="66"/>
        <v>0</v>
      </c>
      <c r="S130" s="19">
        <f t="shared" si="66"/>
        <v>0</v>
      </c>
      <c r="T130" s="19">
        <f t="shared" si="66"/>
        <v>0</v>
      </c>
      <c r="U130" s="19">
        <f t="shared" si="66"/>
        <v>0</v>
      </c>
      <c r="V130" s="19">
        <f t="shared" si="66"/>
        <v>0</v>
      </c>
      <c r="W130" s="19">
        <f t="shared" si="66"/>
        <v>0</v>
      </c>
      <c r="X130" s="19">
        <f t="shared" si="66"/>
        <v>0</v>
      </c>
      <c r="Y130" s="19">
        <f t="shared" si="66"/>
        <v>0</v>
      </c>
      <c r="Z130" s="19">
        <f t="shared" si="66"/>
        <v>0</v>
      </c>
      <c r="AA130" s="19">
        <f t="shared" si="66"/>
        <v>0</v>
      </c>
      <c r="AB130" s="19">
        <f t="shared" si="66"/>
        <v>0</v>
      </c>
      <c r="AC130" s="19">
        <f t="shared" si="66"/>
        <v>0</v>
      </c>
      <c r="AD130" s="75">
        <f t="shared" ca="1" si="57"/>
        <v>0</v>
      </c>
      <c r="AE130" s="75">
        <f t="shared" ca="1" si="58"/>
        <v>0</v>
      </c>
      <c r="AF130" s="75">
        <f t="shared" ca="1" si="58"/>
        <v>0</v>
      </c>
      <c r="AG130" s="75">
        <f t="shared" ca="1" si="58"/>
        <v>0</v>
      </c>
      <c r="AH130" s="75">
        <f t="shared" ca="1" si="58"/>
        <v>0</v>
      </c>
      <c r="AI130" s="75">
        <f t="shared" ca="1" si="58"/>
        <v>0</v>
      </c>
      <c r="AJ130" s="75">
        <f t="shared" ca="1" si="58"/>
        <v>0</v>
      </c>
      <c r="AK130" s="75">
        <f t="shared" ca="1" si="58"/>
        <v>0</v>
      </c>
      <c r="AL130" s="75">
        <f t="shared" ca="1" si="58"/>
        <v>0</v>
      </c>
      <c r="AM130" s="75">
        <f t="shared" ca="1" si="58"/>
        <v>0</v>
      </c>
      <c r="AN130" s="75">
        <f t="shared" ca="1" si="58"/>
        <v>0</v>
      </c>
      <c r="AO130" s="75">
        <f t="shared" ca="1" si="58"/>
        <v>0</v>
      </c>
      <c r="AP130" s="75">
        <f t="shared" ca="1" si="58"/>
        <v>0</v>
      </c>
      <c r="AQ130" s="75">
        <f t="shared" ca="1" si="58"/>
        <v>0</v>
      </c>
      <c r="AR130" s="75">
        <f t="shared" ca="1" si="58"/>
        <v>0</v>
      </c>
      <c r="AS130" s="75">
        <f t="shared" ca="1" si="58"/>
        <v>0</v>
      </c>
      <c r="AT130" s="75">
        <f t="shared" ca="1" si="58"/>
        <v>0</v>
      </c>
      <c r="AU130" s="75">
        <f t="shared" ca="1" si="58"/>
        <v>0</v>
      </c>
      <c r="AV130" s="75">
        <f t="shared" ca="1" si="58"/>
        <v>0</v>
      </c>
      <c r="AW130" s="75">
        <f t="shared" ca="1" si="58"/>
        <v>0</v>
      </c>
    </row>
    <row r="131" spans="1:49">
      <c r="C131" t="str">
        <f t="shared" si="54"/>
        <v>solar thermal central reciever</v>
      </c>
      <c r="D131" s="1"/>
      <c r="E131" s="1"/>
      <c r="F131" s="1"/>
      <c r="G131" s="1"/>
      <c r="I131" s="19">
        <f t="shared" ref="I131:AC131" si="67">I60*$B60</f>
        <v>0</v>
      </c>
      <c r="J131" s="19">
        <f t="shared" si="67"/>
        <v>0</v>
      </c>
      <c r="K131" s="19">
        <f t="shared" si="67"/>
        <v>0</v>
      </c>
      <c r="L131" s="19">
        <f t="shared" si="67"/>
        <v>0</v>
      </c>
      <c r="M131" s="19">
        <f t="shared" si="67"/>
        <v>0</v>
      </c>
      <c r="N131" s="19">
        <f t="shared" si="67"/>
        <v>0</v>
      </c>
      <c r="O131" s="19">
        <f t="shared" si="67"/>
        <v>0</v>
      </c>
      <c r="P131" s="19">
        <f t="shared" si="67"/>
        <v>0</v>
      </c>
      <c r="Q131" s="19">
        <f t="shared" si="67"/>
        <v>0</v>
      </c>
      <c r="R131" s="19">
        <f t="shared" si="67"/>
        <v>0</v>
      </c>
      <c r="S131" s="19">
        <f t="shared" si="67"/>
        <v>0</v>
      </c>
      <c r="T131" s="19">
        <f t="shared" si="67"/>
        <v>0</v>
      </c>
      <c r="U131" s="19">
        <f t="shared" si="67"/>
        <v>0</v>
      </c>
      <c r="V131" s="19">
        <f t="shared" si="67"/>
        <v>0</v>
      </c>
      <c r="W131" s="19">
        <f t="shared" si="67"/>
        <v>0</v>
      </c>
      <c r="X131" s="19">
        <f t="shared" si="67"/>
        <v>0</v>
      </c>
      <c r="Y131" s="19">
        <f t="shared" si="67"/>
        <v>0</v>
      </c>
      <c r="Z131" s="19">
        <f t="shared" si="67"/>
        <v>0</v>
      </c>
      <c r="AA131" s="19">
        <f t="shared" si="67"/>
        <v>0</v>
      </c>
      <c r="AB131" s="19">
        <f t="shared" si="67"/>
        <v>0</v>
      </c>
      <c r="AC131" s="19">
        <f t="shared" si="67"/>
        <v>0</v>
      </c>
      <c r="AD131" s="75">
        <f t="shared" ca="1" si="57"/>
        <v>0</v>
      </c>
      <c r="AE131" s="75">
        <f t="shared" ca="1" si="58"/>
        <v>0</v>
      </c>
      <c r="AF131" s="75">
        <f t="shared" ca="1" si="58"/>
        <v>0</v>
      </c>
      <c r="AG131" s="75">
        <f t="shared" ca="1" si="58"/>
        <v>0</v>
      </c>
      <c r="AH131" s="75">
        <f t="shared" ca="1" si="58"/>
        <v>0</v>
      </c>
      <c r="AI131" s="75">
        <f t="shared" ca="1" si="58"/>
        <v>0</v>
      </c>
      <c r="AJ131" s="75">
        <f t="shared" ca="1" si="58"/>
        <v>0</v>
      </c>
      <c r="AK131" s="75">
        <f t="shared" ca="1" si="58"/>
        <v>0</v>
      </c>
      <c r="AL131" s="75">
        <f t="shared" ca="1" si="58"/>
        <v>0</v>
      </c>
      <c r="AM131" s="75">
        <f t="shared" ca="1" si="58"/>
        <v>0</v>
      </c>
      <c r="AN131" s="75">
        <f t="shared" ca="1" si="58"/>
        <v>0</v>
      </c>
      <c r="AO131" s="75">
        <f t="shared" ca="1" si="58"/>
        <v>0</v>
      </c>
      <c r="AP131" s="75">
        <f t="shared" ca="1" si="58"/>
        <v>0</v>
      </c>
      <c r="AQ131" s="75">
        <f t="shared" ca="1" si="58"/>
        <v>0</v>
      </c>
      <c r="AR131" s="75">
        <f t="shared" ca="1" si="58"/>
        <v>0</v>
      </c>
      <c r="AS131" s="75">
        <f t="shared" ca="1" si="58"/>
        <v>0</v>
      </c>
      <c r="AT131" s="75">
        <f t="shared" ca="1" si="58"/>
        <v>0</v>
      </c>
      <c r="AU131" s="75">
        <f t="shared" ca="1" si="58"/>
        <v>0</v>
      </c>
      <c r="AV131" s="75">
        <f t="shared" ca="1" si="58"/>
        <v>0</v>
      </c>
      <c r="AW131" s="75">
        <f t="shared" ca="1" si="58"/>
        <v>0</v>
      </c>
    </row>
    <row r="132" spans="1:49">
      <c r="C132" t="str">
        <f t="shared" si="54"/>
        <v>solar thermal trough</v>
      </c>
      <c r="D132" s="1"/>
      <c r="E132" s="1"/>
      <c r="F132" s="1"/>
      <c r="G132" s="1"/>
      <c r="I132" s="19">
        <f t="shared" ref="I132:AC132" si="68">I61*$B61</f>
        <v>0</v>
      </c>
      <c r="J132" s="19">
        <f t="shared" si="68"/>
        <v>0</v>
      </c>
      <c r="K132" s="19">
        <f t="shared" si="68"/>
        <v>0</v>
      </c>
      <c r="L132" s="19">
        <f t="shared" si="68"/>
        <v>0</v>
      </c>
      <c r="M132" s="19">
        <f t="shared" si="68"/>
        <v>0</v>
      </c>
      <c r="N132" s="19">
        <f t="shared" si="68"/>
        <v>0</v>
      </c>
      <c r="O132" s="19">
        <f t="shared" si="68"/>
        <v>0</v>
      </c>
      <c r="P132" s="19">
        <f t="shared" si="68"/>
        <v>0</v>
      </c>
      <c r="Q132" s="19">
        <f t="shared" si="68"/>
        <v>0</v>
      </c>
      <c r="R132" s="19">
        <f t="shared" si="68"/>
        <v>0</v>
      </c>
      <c r="S132" s="19">
        <f t="shared" si="68"/>
        <v>0</v>
      </c>
      <c r="T132" s="19">
        <f t="shared" si="68"/>
        <v>0</v>
      </c>
      <c r="U132" s="19">
        <f t="shared" si="68"/>
        <v>0</v>
      </c>
      <c r="V132" s="19">
        <f t="shared" si="68"/>
        <v>0</v>
      </c>
      <c r="W132" s="19">
        <f t="shared" si="68"/>
        <v>0</v>
      </c>
      <c r="X132" s="19">
        <f t="shared" si="68"/>
        <v>0</v>
      </c>
      <c r="Y132" s="19">
        <f t="shared" si="68"/>
        <v>0</v>
      </c>
      <c r="Z132" s="19">
        <f t="shared" si="68"/>
        <v>0</v>
      </c>
      <c r="AA132" s="19">
        <f t="shared" si="68"/>
        <v>0</v>
      </c>
      <c r="AB132" s="19">
        <f t="shared" si="68"/>
        <v>0</v>
      </c>
      <c r="AC132" s="19">
        <f t="shared" si="68"/>
        <v>0</v>
      </c>
      <c r="AD132" s="75">
        <f t="shared" ca="1" si="57"/>
        <v>0</v>
      </c>
      <c r="AE132" s="75">
        <f t="shared" ca="1" si="58"/>
        <v>0</v>
      </c>
      <c r="AF132" s="75">
        <f t="shared" ca="1" si="58"/>
        <v>0</v>
      </c>
      <c r="AG132" s="75">
        <f t="shared" ca="1" si="58"/>
        <v>0</v>
      </c>
      <c r="AH132" s="75">
        <f t="shared" ca="1" si="58"/>
        <v>0</v>
      </c>
      <c r="AI132" s="75">
        <f t="shared" ca="1" si="58"/>
        <v>0</v>
      </c>
      <c r="AJ132" s="75">
        <f t="shared" ca="1" si="58"/>
        <v>0</v>
      </c>
      <c r="AK132" s="75">
        <f t="shared" ca="1" si="58"/>
        <v>0</v>
      </c>
      <c r="AL132" s="75">
        <f t="shared" ca="1" si="58"/>
        <v>0</v>
      </c>
      <c r="AM132" s="75">
        <f t="shared" ca="1" si="58"/>
        <v>0</v>
      </c>
      <c r="AN132" s="75">
        <f t="shared" ca="1" si="58"/>
        <v>0</v>
      </c>
      <c r="AO132" s="75">
        <f t="shared" ca="1" si="58"/>
        <v>0</v>
      </c>
      <c r="AP132" s="75">
        <f t="shared" ca="1" si="58"/>
        <v>0</v>
      </c>
      <c r="AQ132" s="75">
        <f t="shared" ca="1" si="58"/>
        <v>0</v>
      </c>
      <c r="AR132" s="75">
        <f t="shared" ca="1" si="58"/>
        <v>0</v>
      </c>
      <c r="AS132" s="75">
        <f t="shared" ca="1" si="58"/>
        <v>0</v>
      </c>
      <c r="AT132" s="75">
        <f t="shared" ca="1" si="58"/>
        <v>0</v>
      </c>
      <c r="AU132" s="75">
        <f t="shared" ca="1" si="58"/>
        <v>0</v>
      </c>
      <c r="AV132" s="75">
        <f t="shared" ca="1" si="58"/>
        <v>0</v>
      </c>
      <c r="AW132" s="75">
        <f t="shared" ca="1" si="58"/>
        <v>0</v>
      </c>
    </row>
    <row r="133" spans="1:49">
      <c r="A133" s="11"/>
      <c r="C133" t="str">
        <f t="shared" si="54"/>
        <v>solar PV</v>
      </c>
      <c r="D133" s="1"/>
      <c r="E133" s="1"/>
      <c r="F133" s="1"/>
      <c r="G133" s="1"/>
      <c r="I133" s="19">
        <f t="shared" ref="I133:AC133" si="69">I62*$B62</f>
        <v>0</v>
      </c>
      <c r="J133" s="19">
        <f t="shared" si="69"/>
        <v>0</v>
      </c>
      <c r="K133" s="19">
        <f t="shared" si="69"/>
        <v>0</v>
      </c>
      <c r="L133" s="19">
        <f t="shared" si="69"/>
        <v>0</v>
      </c>
      <c r="M133" s="19">
        <f t="shared" si="69"/>
        <v>0</v>
      </c>
      <c r="N133" s="19">
        <f t="shared" si="69"/>
        <v>0</v>
      </c>
      <c r="O133" s="19">
        <f t="shared" si="69"/>
        <v>0</v>
      </c>
      <c r="P133" s="19">
        <f t="shared" si="69"/>
        <v>0</v>
      </c>
      <c r="Q133" s="19">
        <f t="shared" si="69"/>
        <v>0</v>
      </c>
      <c r="R133" s="19">
        <f t="shared" si="69"/>
        <v>0</v>
      </c>
      <c r="S133" s="19">
        <f t="shared" si="69"/>
        <v>0</v>
      </c>
      <c r="T133" s="19">
        <f t="shared" si="69"/>
        <v>0</v>
      </c>
      <c r="U133" s="19">
        <f t="shared" si="69"/>
        <v>0</v>
      </c>
      <c r="V133" s="19">
        <f t="shared" si="69"/>
        <v>0</v>
      </c>
      <c r="W133" s="19">
        <f t="shared" si="69"/>
        <v>0</v>
      </c>
      <c r="X133" s="19">
        <f t="shared" si="69"/>
        <v>0</v>
      </c>
      <c r="Y133" s="19">
        <f t="shared" si="69"/>
        <v>0</v>
      </c>
      <c r="Z133" s="19">
        <f t="shared" si="69"/>
        <v>0</v>
      </c>
      <c r="AA133" s="19">
        <f t="shared" si="69"/>
        <v>0</v>
      </c>
      <c r="AB133" s="19">
        <f t="shared" si="69"/>
        <v>0</v>
      </c>
      <c r="AC133" s="19">
        <f t="shared" si="69"/>
        <v>0</v>
      </c>
      <c r="AD133" s="75">
        <f t="shared" ca="1" si="57"/>
        <v>0</v>
      </c>
      <c r="AE133" s="75">
        <f t="shared" ca="1" si="58"/>
        <v>0</v>
      </c>
      <c r="AF133" s="75">
        <f t="shared" ca="1" si="58"/>
        <v>0</v>
      </c>
      <c r="AG133" s="75">
        <f t="shared" ca="1" si="58"/>
        <v>0</v>
      </c>
      <c r="AH133" s="75">
        <f t="shared" ca="1" si="58"/>
        <v>0</v>
      </c>
      <c r="AI133" s="75">
        <f t="shared" ca="1" si="58"/>
        <v>0</v>
      </c>
      <c r="AJ133" s="75">
        <f t="shared" ca="1" si="58"/>
        <v>0</v>
      </c>
      <c r="AK133" s="75">
        <f t="shared" ca="1" si="58"/>
        <v>0</v>
      </c>
      <c r="AL133" s="75">
        <f t="shared" ca="1" si="58"/>
        <v>0</v>
      </c>
      <c r="AM133" s="75">
        <f t="shared" ca="1" si="58"/>
        <v>0</v>
      </c>
      <c r="AN133" s="75">
        <f t="shared" ca="1" si="58"/>
        <v>0</v>
      </c>
      <c r="AO133" s="75">
        <f t="shared" ca="1" si="58"/>
        <v>0</v>
      </c>
      <c r="AP133" s="75">
        <f t="shared" ca="1" si="58"/>
        <v>0</v>
      </c>
      <c r="AQ133" s="75">
        <f t="shared" ca="1" si="58"/>
        <v>0</v>
      </c>
      <c r="AR133" s="75">
        <f t="shared" ca="1" si="58"/>
        <v>0</v>
      </c>
      <c r="AS133" s="75">
        <f t="shared" ca="1" si="58"/>
        <v>0</v>
      </c>
      <c r="AT133" s="75">
        <f t="shared" ca="1" si="58"/>
        <v>0</v>
      </c>
      <c r="AU133" s="75">
        <f t="shared" ca="1" si="58"/>
        <v>0</v>
      </c>
      <c r="AV133" s="75">
        <f t="shared" ca="1" si="58"/>
        <v>0</v>
      </c>
      <c r="AW133" s="75">
        <f t="shared" ca="1" si="58"/>
        <v>0</v>
      </c>
    </row>
    <row r="134" spans="1:49">
      <c r="A134" s="11"/>
      <c r="C134" t="str">
        <f t="shared" si="54"/>
        <v>combined cycle gas</v>
      </c>
      <c r="D134" s="1"/>
      <c r="E134" s="1"/>
      <c r="F134" s="1"/>
      <c r="G134" s="1"/>
      <c r="I134" s="19">
        <f t="shared" ref="I134:AC134" si="70">I63*$B63</f>
        <v>0</v>
      </c>
      <c r="J134" s="19">
        <f t="shared" si="70"/>
        <v>0</v>
      </c>
      <c r="K134" s="19">
        <f t="shared" si="70"/>
        <v>0</v>
      </c>
      <c r="L134" s="19">
        <f t="shared" si="70"/>
        <v>0</v>
      </c>
      <c r="M134" s="19">
        <f t="shared" si="70"/>
        <v>0</v>
      </c>
      <c r="N134" s="19">
        <f t="shared" si="70"/>
        <v>0</v>
      </c>
      <c r="O134" s="19">
        <f t="shared" si="70"/>
        <v>0</v>
      </c>
      <c r="P134" s="19">
        <f t="shared" si="70"/>
        <v>0</v>
      </c>
      <c r="Q134" s="19">
        <f t="shared" si="70"/>
        <v>0</v>
      </c>
      <c r="R134" s="19">
        <f t="shared" si="70"/>
        <v>0</v>
      </c>
      <c r="S134" s="19">
        <f t="shared" si="70"/>
        <v>0</v>
      </c>
      <c r="T134" s="19">
        <f t="shared" si="70"/>
        <v>0</v>
      </c>
      <c r="U134" s="19">
        <f t="shared" si="70"/>
        <v>0</v>
      </c>
      <c r="V134" s="19">
        <f t="shared" si="70"/>
        <v>0</v>
      </c>
      <c r="W134" s="19">
        <f t="shared" si="70"/>
        <v>0</v>
      </c>
      <c r="X134" s="19">
        <f t="shared" si="70"/>
        <v>0</v>
      </c>
      <c r="Y134" s="19">
        <f t="shared" si="70"/>
        <v>0</v>
      </c>
      <c r="Z134" s="19">
        <f t="shared" si="70"/>
        <v>0</v>
      </c>
      <c r="AA134" s="19">
        <f t="shared" si="70"/>
        <v>0</v>
      </c>
      <c r="AB134" s="19">
        <f t="shared" si="70"/>
        <v>0</v>
      </c>
      <c r="AC134" s="19">
        <f t="shared" si="70"/>
        <v>0</v>
      </c>
      <c r="AD134" s="75">
        <f t="shared" ca="1" si="57"/>
        <v>0</v>
      </c>
      <c r="AE134" s="75">
        <f t="shared" ca="1" si="58"/>
        <v>0</v>
      </c>
      <c r="AF134" s="75">
        <f t="shared" ca="1" si="58"/>
        <v>0</v>
      </c>
      <c r="AG134" s="75">
        <f t="shared" ca="1" si="58"/>
        <v>0</v>
      </c>
      <c r="AH134" s="75">
        <f t="shared" ca="1" si="58"/>
        <v>0</v>
      </c>
      <c r="AI134" s="75">
        <f t="shared" ca="1" si="58"/>
        <v>0</v>
      </c>
      <c r="AJ134" s="75">
        <f t="shared" ca="1" si="58"/>
        <v>0</v>
      </c>
      <c r="AK134" s="75">
        <f t="shared" ca="1" si="58"/>
        <v>0</v>
      </c>
      <c r="AL134" s="75">
        <f t="shared" ca="1" si="58"/>
        <v>0</v>
      </c>
      <c r="AM134" s="75">
        <f t="shared" ca="1" si="58"/>
        <v>0</v>
      </c>
      <c r="AN134" s="75">
        <f t="shared" ca="1" si="58"/>
        <v>0</v>
      </c>
      <c r="AO134" s="75">
        <f t="shared" ca="1" si="58"/>
        <v>0</v>
      </c>
      <c r="AP134" s="75">
        <f t="shared" ca="1" si="58"/>
        <v>0</v>
      </c>
      <c r="AQ134" s="75">
        <f t="shared" ca="1" si="58"/>
        <v>0</v>
      </c>
      <c r="AR134" s="75">
        <f t="shared" ca="1" si="58"/>
        <v>0</v>
      </c>
      <c r="AS134" s="75">
        <f t="shared" ca="1" si="58"/>
        <v>0</v>
      </c>
      <c r="AT134" s="75">
        <f t="shared" ca="1" si="58"/>
        <v>0</v>
      </c>
      <c r="AU134" s="75">
        <f t="shared" ca="1" si="58"/>
        <v>0</v>
      </c>
      <c r="AV134" s="75">
        <f t="shared" ca="1" si="58"/>
        <v>0</v>
      </c>
      <c r="AW134" s="75">
        <f t="shared" ca="1" si="58"/>
        <v>0</v>
      </c>
    </row>
    <row r="135" spans="1:49">
      <c r="C135" t="str">
        <f t="shared" si="54"/>
        <v>PBMR</v>
      </c>
      <c r="D135" s="1"/>
      <c r="E135" s="1"/>
      <c r="F135" s="1"/>
      <c r="G135" s="1"/>
      <c r="I135" s="19">
        <f t="shared" ref="I135:AC136" si="71">I64*$B64</f>
        <v>0</v>
      </c>
      <c r="J135" s="19">
        <f t="shared" si="71"/>
        <v>0</v>
      </c>
      <c r="K135" s="19">
        <f t="shared" si="71"/>
        <v>0</v>
      </c>
      <c r="L135" s="19">
        <f t="shared" si="71"/>
        <v>0</v>
      </c>
      <c r="M135" s="19">
        <f t="shared" si="71"/>
        <v>0</v>
      </c>
      <c r="N135" s="19">
        <f t="shared" si="71"/>
        <v>0</v>
      </c>
      <c r="O135" s="19">
        <f t="shared" si="71"/>
        <v>0</v>
      </c>
      <c r="P135" s="19">
        <f t="shared" si="71"/>
        <v>0</v>
      </c>
      <c r="Q135" s="19">
        <f t="shared" si="71"/>
        <v>0</v>
      </c>
      <c r="R135" s="19">
        <f t="shared" si="71"/>
        <v>0</v>
      </c>
      <c r="S135" s="19">
        <f t="shared" si="71"/>
        <v>0</v>
      </c>
      <c r="T135" s="19">
        <f t="shared" si="71"/>
        <v>0</v>
      </c>
      <c r="U135" s="19">
        <f t="shared" si="71"/>
        <v>0</v>
      </c>
      <c r="V135" s="19">
        <f t="shared" si="71"/>
        <v>0</v>
      </c>
      <c r="W135" s="19">
        <f t="shared" si="71"/>
        <v>0</v>
      </c>
      <c r="X135" s="19">
        <f t="shared" si="71"/>
        <v>0</v>
      </c>
      <c r="Y135" s="19">
        <f t="shared" si="71"/>
        <v>0</v>
      </c>
      <c r="Z135" s="19">
        <f t="shared" si="71"/>
        <v>0</v>
      </c>
      <c r="AA135" s="19">
        <f t="shared" si="71"/>
        <v>0</v>
      </c>
      <c r="AB135" s="19">
        <f t="shared" si="71"/>
        <v>0</v>
      </c>
      <c r="AC135" s="19">
        <f t="shared" si="71"/>
        <v>0</v>
      </c>
      <c r="AD135" s="75">
        <f t="shared" ca="1" si="57"/>
        <v>0</v>
      </c>
      <c r="AE135" s="75">
        <f t="shared" ca="1" si="58"/>
        <v>0</v>
      </c>
      <c r="AF135" s="75">
        <f t="shared" ca="1" si="58"/>
        <v>0</v>
      </c>
      <c r="AG135" s="75">
        <f t="shared" ca="1" si="58"/>
        <v>0</v>
      </c>
      <c r="AH135" s="75">
        <f t="shared" ca="1" si="58"/>
        <v>0</v>
      </c>
      <c r="AI135" s="75">
        <f t="shared" ref="AE135:AW140" ca="1" si="72">-AI158</f>
        <v>0</v>
      </c>
      <c r="AJ135" s="75">
        <f t="shared" ca="1" si="72"/>
        <v>0</v>
      </c>
      <c r="AK135" s="75">
        <f t="shared" ca="1" si="72"/>
        <v>0</v>
      </c>
      <c r="AL135" s="75">
        <f t="shared" ca="1" si="72"/>
        <v>0</v>
      </c>
      <c r="AM135" s="75">
        <f t="shared" ca="1" si="72"/>
        <v>0</v>
      </c>
      <c r="AN135" s="75">
        <f t="shared" ca="1" si="72"/>
        <v>0</v>
      </c>
      <c r="AO135" s="75">
        <f t="shared" ca="1" si="72"/>
        <v>0</v>
      </c>
      <c r="AP135" s="75">
        <f t="shared" ca="1" si="72"/>
        <v>0</v>
      </c>
      <c r="AQ135" s="75">
        <f t="shared" ca="1" si="72"/>
        <v>0</v>
      </c>
      <c r="AR135" s="75">
        <f t="shared" ca="1" si="72"/>
        <v>0</v>
      </c>
      <c r="AS135" s="75">
        <f t="shared" ca="1" si="72"/>
        <v>0</v>
      </c>
      <c r="AT135" s="75">
        <f t="shared" ca="1" si="72"/>
        <v>0</v>
      </c>
      <c r="AU135" s="75">
        <f t="shared" ca="1" si="72"/>
        <v>0</v>
      </c>
      <c r="AV135" s="75">
        <f t="shared" ca="1" si="72"/>
        <v>0</v>
      </c>
      <c r="AW135" s="75">
        <f t="shared" ca="1" si="72"/>
        <v>0</v>
      </c>
    </row>
    <row r="136" spans="1:49">
      <c r="C136" t="str">
        <f t="shared" si="54"/>
        <v>IGCC</v>
      </c>
      <c r="D136" s="1"/>
      <c r="E136" s="1"/>
      <c r="F136" s="1"/>
      <c r="G136" s="1"/>
      <c r="I136" s="19">
        <f t="shared" si="71"/>
        <v>0</v>
      </c>
      <c r="J136" s="19">
        <f t="shared" ref="J136:AC136" si="73">J65*$B65</f>
        <v>0</v>
      </c>
      <c r="K136" s="19">
        <f t="shared" si="73"/>
        <v>0</v>
      </c>
      <c r="L136" s="19">
        <f t="shared" si="73"/>
        <v>0</v>
      </c>
      <c r="M136" s="19">
        <f t="shared" si="73"/>
        <v>0</v>
      </c>
      <c r="N136" s="19">
        <f t="shared" si="73"/>
        <v>0</v>
      </c>
      <c r="O136" s="19">
        <f t="shared" si="73"/>
        <v>0</v>
      </c>
      <c r="P136" s="19">
        <f t="shared" si="73"/>
        <v>0</v>
      </c>
      <c r="Q136" s="19">
        <f t="shared" si="73"/>
        <v>0</v>
      </c>
      <c r="R136" s="19">
        <f t="shared" si="73"/>
        <v>0</v>
      </c>
      <c r="S136" s="19">
        <f t="shared" si="73"/>
        <v>0</v>
      </c>
      <c r="T136" s="19">
        <f t="shared" si="73"/>
        <v>0</v>
      </c>
      <c r="U136" s="19">
        <f t="shared" si="73"/>
        <v>0</v>
      </c>
      <c r="V136" s="19">
        <f t="shared" si="73"/>
        <v>0</v>
      </c>
      <c r="W136" s="19">
        <f t="shared" si="73"/>
        <v>0</v>
      </c>
      <c r="X136" s="19">
        <f t="shared" si="73"/>
        <v>0</v>
      </c>
      <c r="Y136" s="19">
        <f t="shared" si="73"/>
        <v>0</v>
      </c>
      <c r="Z136" s="19">
        <f t="shared" si="73"/>
        <v>0</v>
      </c>
      <c r="AA136" s="19">
        <f t="shared" si="73"/>
        <v>0</v>
      </c>
      <c r="AB136" s="19">
        <f t="shared" si="73"/>
        <v>0</v>
      </c>
      <c r="AC136" s="19">
        <f t="shared" si="73"/>
        <v>0</v>
      </c>
      <c r="AD136" s="75">
        <f t="shared" ca="1" si="57"/>
        <v>0</v>
      </c>
      <c r="AE136" s="75">
        <f t="shared" ca="1" si="72"/>
        <v>0</v>
      </c>
      <c r="AF136" s="75">
        <f t="shared" ca="1" si="72"/>
        <v>0</v>
      </c>
      <c r="AG136" s="75">
        <f t="shared" ca="1" si="72"/>
        <v>0</v>
      </c>
      <c r="AH136" s="75">
        <f t="shared" ca="1" si="72"/>
        <v>0</v>
      </c>
      <c r="AI136" s="75">
        <f t="shared" ca="1" si="72"/>
        <v>0</v>
      </c>
      <c r="AJ136" s="75">
        <f t="shared" ca="1" si="72"/>
        <v>0</v>
      </c>
      <c r="AK136" s="75">
        <f t="shared" ca="1" si="72"/>
        <v>0</v>
      </c>
      <c r="AL136" s="75">
        <f t="shared" ca="1" si="72"/>
        <v>0</v>
      </c>
      <c r="AM136" s="75">
        <f t="shared" ca="1" si="72"/>
        <v>0</v>
      </c>
      <c r="AN136" s="75">
        <f t="shared" ca="1" si="72"/>
        <v>0</v>
      </c>
      <c r="AO136" s="75">
        <f t="shared" ca="1" si="72"/>
        <v>0</v>
      </c>
      <c r="AP136" s="75">
        <f t="shared" ca="1" si="72"/>
        <v>0</v>
      </c>
      <c r="AQ136" s="75">
        <f t="shared" ca="1" si="72"/>
        <v>0</v>
      </c>
      <c r="AR136" s="75">
        <f t="shared" ca="1" si="72"/>
        <v>0</v>
      </c>
      <c r="AS136" s="75">
        <f t="shared" ca="1" si="72"/>
        <v>0</v>
      </c>
      <c r="AT136" s="75">
        <f t="shared" ca="1" si="72"/>
        <v>0</v>
      </c>
      <c r="AU136" s="75">
        <f t="shared" ca="1" si="72"/>
        <v>0</v>
      </c>
      <c r="AV136" s="75">
        <f t="shared" ca="1" si="72"/>
        <v>0</v>
      </c>
      <c r="AW136" s="75">
        <f t="shared" ca="1" si="72"/>
        <v>0</v>
      </c>
    </row>
    <row r="137" spans="1:49">
      <c r="C137" t="str">
        <f t="shared" si="54"/>
        <v>-</v>
      </c>
      <c r="D137" s="1"/>
      <c r="E137" s="1"/>
      <c r="F137" s="1"/>
      <c r="G137" s="1"/>
      <c r="I137" s="19">
        <f t="shared" ref="I137:AC137" si="74">I66*$B66</f>
        <v>0</v>
      </c>
      <c r="J137" s="19">
        <f t="shared" si="74"/>
        <v>0</v>
      </c>
      <c r="K137" s="19">
        <f t="shared" si="74"/>
        <v>0</v>
      </c>
      <c r="L137" s="19">
        <f t="shared" si="74"/>
        <v>0</v>
      </c>
      <c r="M137" s="19">
        <f t="shared" si="74"/>
        <v>0</v>
      </c>
      <c r="N137" s="19">
        <f t="shared" si="74"/>
        <v>0</v>
      </c>
      <c r="O137" s="19">
        <f t="shared" si="74"/>
        <v>0</v>
      </c>
      <c r="P137" s="19">
        <f t="shared" si="74"/>
        <v>0</v>
      </c>
      <c r="Q137" s="19">
        <f t="shared" si="74"/>
        <v>0</v>
      </c>
      <c r="R137" s="19">
        <f t="shared" si="74"/>
        <v>0</v>
      </c>
      <c r="S137" s="19">
        <f t="shared" si="74"/>
        <v>0</v>
      </c>
      <c r="T137" s="19">
        <f t="shared" si="74"/>
        <v>0</v>
      </c>
      <c r="U137" s="19">
        <f t="shared" si="74"/>
        <v>0</v>
      </c>
      <c r="V137" s="19">
        <f t="shared" si="74"/>
        <v>0</v>
      </c>
      <c r="W137" s="19">
        <f t="shared" si="74"/>
        <v>0</v>
      </c>
      <c r="X137" s="19">
        <f t="shared" si="74"/>
        <v>0</v>
      </c>
      <c r="Y137" s="19">
        <f t="shared" si="74"/>
        <v>0</v>
      </c>
      <c r="Z137" s="19">
        <f t="shared" si="74"/>
        <v>0</v>
      </c>
      <c r="AA137" s="19">
        <f t="shared" si="74"/>
        <v>0</v>
      </c>
      <c r="AB137" s="19">
        <f t="shared" si="74"/>
        <v>0</v>
      </c>
      <c r="AC137" s="19">
        <f t="shared" si="74"/>
        <v>0</v>
      </c>
      <c r="AD137" s="75">
        <f t="shared" ca="1" si="57"/>
        <v>0</v>
      </c>
      <c r="AE137" s="75">
        <f t="shared" ca="1" si="72"/>
        <v>0</v>
      </c>
      <c r="AF137" s="75">
        <f t="shared" ca="1" si="72"/>
        <v>0</v>
      </c>
      <c r="AG137" s="75">
        <f t="shared" ca="1" si="72"/>
        <v>0</v>
      </c>
      <c r="AH137" s="75">
        <f t="shared" ca="1" si="72"/>
        <v>0</v>
      </c>
      <c r="AI137" s="75">
        <f t="shared" ca="1" si="72"/>
        <v>0</v>
      </c>
      <c r="AJ137" s="75">
        <f t="shared" ca="1" si="72"/>
        <v>0</v>
      </c>
      <c r="AK137" s="75">
        <f t="shared" ca="1" si="72"/>
        <v>0</v>
      </c>
      <c r="AL137" s="75">
        <f t="shared" ca="1" si="72"/>
        <v>0</v>
      </c>
      <c r="AM137" s="75">
        <f t="shared" ca="1" si="72"/>
        <v>0</v>
      </c>
      <c r="AN137" s="75">
        <f t="shared" ca="1" si="72"/>
        <v>0</v>
      </c>
      <c r="AO137" s="75">
        <f t="shared" ca="1" si="72"/>
        <v>0</v>
      </c>
      <c r="AP137" s="75">
        <f t="shared" ca="1" si="72"/>
        <v>0</v>
      </c>
      <c r="AQ137" s="75">
        <f t="shared" ca="1" si="72"/>
        <v>0</v>
      </c>
      <c r="AR137" s="75">
        <f t="shared" ca="1" si="72"/>
        <v>0</v>
      </c>
      <c r="AS137" s="75">
        <f t="shared" ca="1" si="72"/>
        <v>0</v>
      </c>
      <c r="AT137" s="75">
        <f t="shared" ca="1" si="72"/>
        <v>0</v>
      </c>
      <c r="AU137" s="75">
        <f t="shared" ca="1" si="72"/>
        <v>0</v>
      </c>
      <c r="AV137" s="75">
        <f t="shared" ca="1" si="72"/>
        <v>0</v>
      </c>
      <c r="AW137" s="75">
        <f t="shared" ca="1" si="72"/>
        <v>0</v>
      </c>
    </row>
    <row r="138" spans="1:49">
      <c r="C138" t="str">
        <f t="shared" si="54"/>
        <v>-</v>
      </c>
      <c r="D138" s="1"/>
      <c r="E138" s="1"/>
      <c r="F138" s="1"/>
      <c r="G138" s="1"/>
      <c r="I138" s="19">
        <f t="shared" ref="I138:AC138" si="75">I67*$B67</f>
        <v>0</v>
      </c>
      <c r="J138" s="19">
        <f t="shared" si="75"/>
        <v>0</v>
      </c>
      <c r="K138" s="19">
        <f t="shared" si="75"/>
        <v>0</v>
      </c>
      <c r="L138" s="19">
        <f t="shared" si="75"/>
        <v>0</v>
      </c>
      <c r="M138" s="19">
        <f t="shared" si="75"/>
        <v>0</v>
      </c>
      <c r="N138" s="19">
        <f t="shared" si="75"/>
        <v>0</v>
      </c>
      <c r="O138" s="19">
        <f t="shared" si="75"/>
        <v>0</v>
      </c>
      <c r="P138" s="19">
        <f t="shared" si="75"/>
        <v>0</v>
      </c>
      <c r="Q138" s="19">
        <f t="shared" si="75"/>
        <v>0</v>
      </c>
      <c r="R138" s="19">
        <f t="shared" si="75"/>
        <v>0</v>
      </c>
      <c r="S138" s="19">
        <f t="shared" si="75"/>
        <v>0</v>
      </c>
      <c r="T138" s="19">
        <f t="shared" si="75"/>
        <v>0</v>
      </c>
      <c r="U138" s="19">
        <f t="shared" si="75"/>
        <v>0</v>
      </c>
      <c r="V138" s="19">
        <f t="shared" si="75"/>
        <v>0</v>
      </c>
      <c r="W138" s="19">
        <f t="shared" si="75"/>
        <v>0</v>
      </c>
      <c r="X138" s="19">
        <f t="shared" si="75"/>
        <v>0</v>
      </c>
      <c r="Y138" s="19">
        <f t="shared" si="75"/>
        <v>0</v>
      </c>
      <c r="Z138" s="19">
        <f t="shared" si="75"/>
        <v>0</v>
      </c>
      <c r="AA138" s="19">
        <f t="shared" si="75"/>
        <v>0</v>
      </c>
      <c r="AB138" s="19">
        <f t="shared" si="75"/>
        <v>0</v>
      </c>
      <c r="AC138" s="19">
        <f t="shared" si="75"/>
        <v>0</v>
      </c>
      <c r="AD138" s="75">
        <f t="shared" ca="1" si="57"/>
        <v>0</v>
      </c>
      <c r="AE138" s="75">
        <f t="shared" ca="1" si="72"/>
        <v>0</v>
      </c>
      <c r="AF138" s="75">
        <f t="shared" ca="1" si="72"/>
        <v>0</v>
      </c>
      <c r="AG138" s="75">
        <f t="shared" ca="1" si="72"/>
        <v>0</v>
      </c>
      <c r="AH138" s="75">
        <f t="shared" ca="1" si="72"/>
        <v>0</v>
      </c>
      <c r="AI138" s="75">
        <f t="shared" ca="1" si="72"/>
        <v>0</v>
      </c>
      <c r="AJ138" s="75">
        <f t="shared" ca="1" si="72"/>
        <v>0</v>
      </c>
      <c r="AK138" s="75">
        <f t="shared" ca="1" si="72"/>
        <v>0</v>
      </c>
      <c r="AL138" s="75">
        <f t="shared" ca="1" si="72"/>
        <v>0</v>
      </c>
      <c r="AM138" s="75">
        <f t="shared" ca="1" si="72"/>
        <v>0</v>
      </c>
      <c r="AN138" s="75">
        <f t="shared" ca="1" si="72"/>
        <v>0</v>
      </c>
      <c r="AO138" s="75">
        <f t="shared" ca="1" si="72"/>
        <v>0</v>
      </c>
      <c r="AP138" s="75">
        <f t="shared" ca="1" si="72"/>
        <v>0</v>
      </c>
      <c r="AQ138" s="75">
        <f t="shared" ca="1" si="72"/>
        <v>0</v>
      </c>
      <c r="AR138" s="75">
        <f t="shared" ca="1" si="72"/>
        <v>0</v>
      </c>
      <c r="AS138" s="75">
        <f t="shared" ca="1" si="72"/>
        <v>0</v>
      </c>
      <c r="AT138" s="75">
        <f t="shared" ca="1" si="72"/>
        <v>0</v>
      </c>
      <c r="AU138" s="75">
        <f t="shared" ca="1" si="72"/>
        <v>0</v>
      </c>
      <c r="AV138" s="75">
        <f t="shared" ca="1" si="72"/>
        <v>0</v>
      </c>
      <c r="AW138" s="75">
        <f t="shared" ca="1" si="72"/>
        <v>0</v>
      </c>
    </row>
    <row r="139" spans="1:49">
      <c r="C139" t="str">
        <f t="shared" si="54"/>
        <v>-</v>
      </c>
      <c r="D139" s="1"/>
      <c r="E139" s="1"/>
      <c r="F139" s="1"/>
      <c r="G139" s="1"/>
      <c r="I139" s="19">
        <f t="shared" ref="I139:AC139" si="76">I68*$B68</f>
        <v>0</v>
      </c>
      <c r="J139" s="19">
        <f t="shared" si="76"/>
        <v>0</v>
      </c>
      <c r="K139" s="19">
        <f t="shared" si="76"/>
        <v>0</v>
      </c>
      <c r="L139" s="19">
        <f t="shared" si="76"/>
        <v>0</v>
      </c>
      <c r="M139" s="19">
        <f t="shared" si="76"/>
        <v>0</v>
      </c>
      <c r="N139" s="19">
        <f t="shared" si="76"/>
        <v>0</v>
      </c>
      <c r="O139" s="19">
        <f t="shared" si="76"/>
        <v>0</v>
      </c>
      <c r="P139" s="19">
        <f t="shared" si="76"/>
        <v>0</v>
      </c>
      <c r="Q139" s="19">
        <f t="shared" si="76"/>
        <v>0</v>
      </c>
      <c r="R139" s="19">
        <f t="shared" si="76"/>
        <v>0</v>
      </c>
      <c r="S139" s="19">
        <f t="shared" si="76"/>
        <v>0</v>
      </c>
      <c r="T139" s="19">
        <f t="shared" si="76"/>
        <v>0</v>
      </c>
      <c r="U139" s="19">
        <f t="shared" si="76"/>
        <v>0</v>
      </c>
      <c r="V139" s="19">
        <f t="shared" si="76"/>
        <v>0</v>
      </c>
      <c r="W139" s="19">
        <f t="shared" si="76"/>
        <v>0</v>
      </c>
      <c r="X139" s="19">
        <f t="shared" si="76"/>
        <v>0</v>
      </c>
      <c r="Y139" s="19">
        <f t="shared" si="76"/>
        <v>0</v>
      </c>
      <c r="Z139" s="19">
        <f t="shared" si="76"/>
        <v>0</v>
      </c>
      <c r="AA139" s="19">
        <f t="shared" si="76"/>
        <v>0</v>
      </c>
      <c r="AB139" s="19">
        <f t="shared" si="76"/>
        <v>0</v>
      </c>
      <c r="AC139" s="19">
        <f t="shared" si="76"/>
        <v>0</v>
      </c>
      <c r="AD139" s="75">
        <f t="shared" ca="1" si="57"/>
        <v>0</v>
      </c>
      <c r="AE139" s="75">
        <f t="shared" ca="1" si="72"/>
        <v>0</v>
      </c>
      <c r="AF139" s="75">
        <f t="shared" ca="1" si="72"/>
        <v>0</v>
      </c>
      <c r="AG139" s="75">
        <f t="shared" ca="1" si="72"/>
        <v>0</v>
      </c>
      <c r="AH139" s="75">
        <f t="shared" ca="1" si="72"/>
        <v>0</v>
      </c>
      <c r="AI139" s="75">
        <f t="shared" ca="1" si="72"/>
        <v>0</v>
      </c>
      <c r="AJ139" s="75">
        <f t="shared" ca="1" si="72"/>
        <v>0</v>
      </c>
      <c r="AK139" s="75">
        <f t="shared" ca="1" si="72"/>
        <v>0</v>
      </c>
      <c r="AL139" s="75">
        <f t="shared" ca="1" si="72"/>
        <v>0</v>
      </c>
      <c r="AM139" s="75">
        <f t="shared" ca="1" si="72"/>
        <v>0</v>
      </c>
      <c r="AN139" s="75">
        <f t="shared" ca="1" si="72"/>
        <v>0</v>
      </c>
      <c r="AO139" s="75">
        <f t="shared" ca="1" si="72"/>
        <v>0</v>
      </c>
      <c r="AP139" s="75">
        <f t="shared" ca="1" si="72"/>
        <v>0</v>
      </c>
      <c r="AQ139" s="75">
        <f t="shared" ca="1" si="72"/>
        <v>0</v>
      </c>
      <c r="AR139" s="75">
        <f t="shared" ca="1" si="72"/>
        <v>0</v>
      </c>
      <c r="AS139" s="75">
        <f t="shared" ca="1" si="72"/>
        <v>0</v>
      </c>
      <c r="AT139" s="75">
        <f t="shared" ca="1" si="72"/>
        <v>0</v>
      </c>
      <c r="AU139" s="75">
        <f t="shared" ca="1" si="72"/>
        <v>0</v>
      </c>
      <c r="AV139" s="75">
        <f t="shared" ca="1" si="72"/>
        <v>0</v>
      </c>
      <c r="AW139" s="75">
        <f t="shared" ca="1" si="72"/>
        <v>0</v>
      </c>
    </row>
    <row r="140" spans="1:49">
      <c r="C140" t="str">
        <f t="shared" si="54"/>
        <v>Pumped storage</v>
      </c>
      <c r="D140" s="1"/>
      <c r="E140" s="1"/>
      <c r="F140" s="1"/>
      <c r="G140" s="1"/>
      <c r="I140" s="19">
        <f t="shared" ref="I140:AC140" si="77">I69*$B69</f>
        <v>0</v>
      </c>
      <c r="J140" s="19">
        <f t="shared" si="77"/>
        <v>0</v>
      </c>
      <c r="K140" s="19">
        <f t="shared" si="77"/>
        <v>0</v>
      </c>
      <c r="L140" s="19">
        <f t="shared" si="77"/>
        <v>0.66600000000000004</v>
      </c>
      <c r="M140" s="19">
        <f t="shared" si="77"/>
        <v>0.66600000000000004</v>
      </c>
      <c r="N140" s="19">
        <f t="shared" si="77"/>
        <v>0</v>
      </c>
      <c r="O140" s="19">
        <f t="shared" si="77"/>
        <v>0</v>
      </c>
      <c r="P140" s="19">
        <f t="shared" si="77"/>
        <v>0</v>
      </c>
      <c r="Q140" s="19">
        <f t="shared" si="77"/>
        <v>0</v>
      </c>
      <c r="R140" s="19">
        <f t="shared" si="77"/>
        <v>0</v>
      </c>
      <c r="S140" s="19">
        <f t="shared" si="77"/>
        <v>0</v>
      </c>
      <c r="T140" s="19">
        <f t="shared" si="77"/>
        <v>0</v>
      </c>
      <c r="U140" s="19">
        <f t="shared" si="77"/>
        <v>0</v>
      </c>
      <c r="V140" s="19">
        <f t="shared" si="77"/>
        <v>0</v>
      </c>
      <c r="W140" s="19">
        <f t="shared" si="77"/>
        <v>0</v>
      </c>
      <c r="X140" s="19">
        <f t="shared" si="77"/>
        <v>0</v>
      </c>
      <c r="Y140" s="19">
        <f t="shared" si="77"/>
        <v>0</v>
      </c>
      <c r="Z140" s="19">
        <f t="shared" si="77"/>
        <v>0</v>
      </c>
      <c r="AA140" s="19">
        <f t="shared" si="77"/>
        <v>0</v>
      </c>
      <c r="AB140" s="19">
        <f t="shared" si="77"/>
        <v>0</v>
      </c>
      <c r="AC140" s="19">
        <f t="shared" si="77"/>
        <v>0</v>
      </c>
      <c r="AD140" s="75">
        <f t="shared" ca="1" si="57"/>
        <v>0</v>
      </c>
      <c r="AE140" s="75">
        <f t="shared" ca="1" si="72"/>
        <v>0</v>
      </c>
      <c r="AF140" s="75">
        <f t="shared" ca="1" si="72"/>
        <v>0</v>
      </c>
      <c r="AG140" s="75">
        <f t="shared" ca="1" si="72"/>
        <v>0</v>
      </c>
      <c r="AH140" s="75">
        <f t="shared" ca="1" si="72"/>
        <v>0</v>
      </c>
      <c r="AI140" s="75">
        <f t="shared" ca="1" si="72"/>
        <v>0</v>
      </c>
      <c r="AJ140" s="75">
        <f t="shared" ca="1" si="72"/>
        <v>0</v>
      </c>
      <c r="AK140" s="75">
        <f t="shared" ca="1" si="72"/>
        <v>0</v>
      </c>
      <c r="AL140" s="75">
        <f t="shared" ca="1" si="72"/>
        <v>0</v>
      </c>
      <c r="AM140" s="75">
        <f t="shared" ca="1" si="72"/>
        <v>0</v>
      </c>
      <c r="AN140" s="75">
        <f t="shared" ca="1" si="72"/>
        <v>0</v>
      </c>
      <c r="AO140" s="75">
        <f t="shared" ca="1" si="72"/>
        <v>0</v>
      </c>
      <c r="AP140" s="75">
        <f t="shared" ca="1" si="72"/>
        <v>0</v>
      </c>
      <c r="AQ140" s="75">
        <f t="shared" ca="1" si="72"/>
        <v>0</v>
      </c>
      <c r="AR140" s="75">
        <f t="shared" ca="1" si="72"/>
        <v>0</v>
      </c>
      <c r="AS140" s="75">
        <f t="shared" ca="1" si="72"/>
        <v>0</v>
      </c>
      <c r="AT140" s="75">
        <f t="shared" ca="1" si="72"/>
        <v>0</v>
      </c>
      <c r="AU140" s="75">
        <f t="shared" ca="1" si="72"/>
        <v>0</v>
      </c>
      <c r="AV140" s="75">
        <f t="shared" ca="1" si="72"/>
        <v>0</v>
      </c>
      <c r="AW140" s="75">
        <f t="shared" ca="1" si="72"/>
        <v>0</v>
      </c>
    </row>
    <row r="141" spans="1:49" s="4" customFormat="1">
      <c r="C141" s="3" t="s">
        <v>5</v>
      </c>
      <c r="D141" s="4">
        <f>SUM(D121:D140)</f>
        <v>0</v>
      </c>
      <c r="E141" s="4">
        <f>SUM(E121:E140)</f>
        <v>0</v>
      </c>
      <c r="F141" s="4">
        <f>SUM(F121:F140)</f>
        <v>0</v>
      </c>
      <c r="G141" s="4">
        <f>SUM(G121:G140)</f>
        <v>0</v>
      </c>
      <c r="H141" s="4">
        <f>SUM(H121:H140)</f>
        <v>0</v>
      </c>
      <c r="I141" s="4">
        <f t="shared" ref="I141:AW141" si="78">SUM(I121:I140)</f>
        <v>0.1</v>
      </c>
      <c r="J141" s="4">
        <f t="shared" si="78"/>
        <v>1.08</v>
      </c>
      <c r="K141" s="4">
        <f t="shared" si="78"/>
        <v>0.79400000000000004</v>
      </c>
      <c r="L141" s="4">
        <f t="shared" si="78"/>
        <v>2.254</v>
      </c>
      <c r="M141" s="4">
        <f t="shared" si="78"/>
        <v>3.048</v>
      </c>
      <c r="N141" s="4">
        <f t="shared" si="78"/>
        <v>2.3820000000000001</v>
      </c>
      <c r="O141" s="4">
        <f t="shared" si="78"/>
        <v>1.5880000000000001</v>
      </c>
      <c r="P141" s="4">
        <f t="shared" si="78"/>
        <v>1.5880000000000001</v>
      </c>
      <c r="Q141" s="4">
        <f t="shared" si="78"/>
        <v>2.3820000000000001</v>
      </c>
      <c r="R141" s="4">
        <f t="shared" si="78"/>
        <v>2.3820000000000001</v>
      </c>
      <c r="S141" s="4">
        <f t="shared" si="78"/>
        <v>2.3820000000000001</v>
      </c>
      <c r="T141" s="4">
        <f t="shared" si="78"/>
        <v>3.1760000000000002</v>
      </c>
      <c r="U141" s="4">
        <f t="shared" si="78"/>
        <v>3.1760000000000002</v>
      </c>
      <c r="V141" s="4">
        <f t="shared" si="78"/>
        <v>3.1020000000000003</v>
      </c>
      <c r="W141" s="4">
        <f t="shared" si="78"/>
        <v>3.1760000000000002</v>
      </c>
      <c r="X141" s="4">
        <f t="shared" si="78"/>
        <v>3.1760000000000002</v>
      </c>
      <c r="Y141" s="4">
        <f t="shared" si="78"/>
        <v>4.6900000000000004</v>
      </c>
      <c r="Z141" s="4">
        <f t="shared" si="78"/>
        <v>3.97</v>
      </c>
      <c r="AA141" s="4">
        <f t="shared" si="78"/>
        <v>3.97</v>
      </c>
      <c r="AB141" s="4">
        <f t="shared" si="78"/>
        <v>5.484</v>
      </c>
      <c r="AC141" s="4">
        <f t="shared" si="78"/>
        <v>4.7640000000000002</v>
      </c>
      <c r="AD141" s="4">
        <f t="shared" ca="1" si="78"/>
        <v>0</v>
      </c>
      <c r="AE141" s="4">
        <f t="shared" ca="1" si="78"/>
        <v>0</v>
      </c>
      <c r="AF141" s="4">
        <f t="shared" ca="1" si="78"/>
        <v>0</v>
      </c>
      <c r="AG141" s="4">
        <f t="shared" ca="1" si="78"/>
        <v>0</v>
      </c>
      <c r="AH141" s="4">
        <f t="shared" ca="1" si="78"/>
        <v>0</v>
      </c>
      <c r="AI141" s="4">
        <f t="shared" ca="1" si="78"/>
        <v>1.08</v>
      </c>
      <c r="AJ141" s="4">
        <f t="shared" ca="1" si="78"/>
        <v>0</v>
      </c>
      <c r="AK141" s="4">
        <f t="shared" ca="1" si="78"/>
        <v>0</v>
      </c>
      <c r="AL141" s="4">
        <f t="shared" ca="1" si="78"/>
        <v>0</v>
      </c>
      <c r="AM141" s="4">
        <f t="shared" ca="1" si="78"/>
        <v>0</v>
      </c>
      <c r="AN141" s="4">
        <f t="shared" ca="1" si="78"/>
        <v>0</v>
      </c>
      <c r="AO141" s="4">
        <f t="shared" ca="1" si="78"/>
        <v>0.79400000000000004</v>
      </c>
      <c r="AP141" s="4">
        <f t="shared" ca="1" si="78"/>
        <v>1.5880000000000001</v>
      </c>
      <c r="AQ141" s="4">
        <f t="shared" ca="1" si="78"/>
        <v>2.3820000000000001</v>
      </c>
      <c r="AR141" s="4">
        <f t="shared" ca="1" si="78"/>
        <v>2.3820000000000001</v>
      </c>
      <c r="AS141" s="4">
        <f t="shared" ca="1" si="78"/>
        <v>1.5880000000000001</v>
      </c>
      <c r="AT141" s="4">
        <f t="shared" ca="1" si="78"/>
        <v>1.5880000000000001</v>
      </c>
      <c r="AU141" s="4">
        <f t="shared" ca="1" si="78"/>
        <v>3.1020000000000003</v>
      </c>
      <c r="AV141" s="4">
        <f t="shared" ca="1" si="78"/>
        <v>2.3820000000000001</v>
      </c>
      <c r="AW141" s="4">
        <f t="shared" ca="1" si="78"/>
        <v>2.3820000000000001</v>
      </c>
    </row>
    <row r="143" spans="1:49">
      <c r="C143" s="4" t="s">
        <v>312</v>
      </c>
    </row>
    <row r="144" spans="1:49">
      <c r="C144" t="str">
        <f>C8</f>
        <v>Existing coal Large</v>
      </c>
      <c r="D144">
        <f ca="1">IF(D$7-'Tech Parameters'!$I6&lt;2006,0,-OFFSET(D121,0,-'Tech Parameters'!$I6))</f>
        <v>0</v>
      </c>
      <c r="E144">
        <f ca="1">IF(E$7-'Tech Parameters'!$I6&lt;2006,0,-OFFSET(E121,0,-'Tech Parameters'!$I6))</f>
        <v>0</v>
      </c>
      <c r="F144">
        <f ca="1">IF(F$7-'Tech Parameters'!$I6&lt;2006,0,-OFFSET(F121,0,-'Tech Parameters'!$I6))</f>
        <v>0</v>
      </c>
      <c r="G144">
        <f ca="1">IF(G$7-'Tech Parameters'!$I6&lt;2006,0,-OFFSET(G121,0,-'Tech Parameters'!$I6))</f>
        <v>0</v>
      </c>
      <c r="H144">
        <f ca="1">IF(H$7-'Tech Parameters'!$I6&lt;2006,0,-OFFSET(H121,0,-'Tech Parameters'!$I6))</f>
        <v>0</v>
      </c>
      <c r="I144">
        <f ca="1">IF(I$7-'Tech Parameters'!$I6&lt;2006,0,-OFFSET(I121,0,-'Tech Parameters'!$I6))</f>
        <v>0</v>
      </c>
      <c r="J144">
        <f ca="1">IF(J$7-'Tech Parameters'!$I6&lt;2006,0,-OFFSET(J121,0,-'Tech Parameters'!$I6))</f>
        <v>0</v>
      </c>
      <c r="K144">
        <f ca="1">IF(K$7-'Tech Parameters'!$I6&lt;2006,0,-OFFSET(K121,0,-'Tech Parameters'!$I6))</f>
        <v>0</v>
      </c>
      <c r="L144">
        <f ca="1">IF(L$7-'Tech Parameters'!$I6&lt;2006,0,-OFFSET(L121,0,-'Tech Parameters'!$I6))</f>
        <v>0</v>
      </c>
      <c r="M144">
        <f ca="1">IF(M$7-'Tech Parameters'!$I6&lt;2006,0,-OFFSET(M121,0,-'Tech Parameters'!$I6))</f>
        <v>0</v>
      </c>
      <c r="N144">
        <f ca="1">IF(N$7-'Tech Parameters'!$I6&lt;2006,0,-OFFSET(N121,0,-'Tech Parameters'!$I6))</f>
        <v>0</v>
      </c>
      <c r="O144">
        <f ca="1">IF(O$7-'Tech Parameters'!$I6&lt;2006,0,-OFFSET(O121,0,-'Tech Parameters'!$I6))</f>
        <v>0</v>
      </c>
      <c r="P144">
        <f ca="1">IF(P$7-'Tech Parameters'!$I6&lt;2006,0,-OFFSET(P121,0,-'Tech Parameters'!$I6))</f>
        <v>0</v>
      </c>
      <c r="Q144">
        <f ca="1">IF(Q$7-'Tech Parameters'!$I6&lt;2006,0,-OFFSET(Q121,0,-'Tech Parameters'!$I6))</f>
        <v>0</v>
      </c>
      <c r="R144">
        <f ca="1">IF(R$7-'Tech Parameters'!$I6&lt;2006,0,-OFFSET(R121,0,-'Tech Parameters'!$I6))</f>
        <v>0</v>
      </c>
      <c r="S144">
        <f ca="1">IF(S$7-'Tech Parameters'!$I6&lt;2006,0,-OFFSET(S121,0,-'Tech Parameters'!$I6))</f>
        <v>0</v>
      </c>
      <c r="T144">
        <f ca="1">IF(T$7-'Tech Parameters'!$I6&lt;2006,0,-OFFSET(T121,0,-'Tech Parameters'!$I6))</f>
        <v>0</v>
      </c>
      <c r="U144">
        <f ca="1">IF(U$7-'Tech Parameters'!$I6&lt;2006,0,-OFFSET(U121,0,-'Tech Parameters'!$I6))</f>
        <v>0</v>
      </c>
      <c r="V144">
        <f ca="1">IF(V$7-'Tech Parameters'!$I6&lt;2006,0,-OFFSET(V121,0,-'Tech Parameters'!$I6))</f>
        <v>0</v>
      </c>
      <c r="W144">
        <f ca="1">IF(W$7-'Tech Parameters'!$I6&lt;2006,0,-OFFSET(W121,0,-'Tech Parameters'!$I6))</f>
        <v>0</v>
      </c>
      <c r="X144">
        <f ca="1">IF(X$7-'Tech Parameters'!$I6&lt;2006,0,-OFFSET(X121,0,-'Tech Parameters'!$I6))</f>
        <v>0</v>
      </c>
      <c r="Y144">
        <f ca="1">IF(Y$7-'Tech Parameters'!$I6&lt;2006,0,-OFFSET(Y121,0,-'Tech Parameters'!$I6))</f>
        <v>0</v>
      </c>
      <c r="Z144">
        <f ca="1">IF(Z$7-'Tech Parameters'!$I6&lt;2006,0,-OFFSET(Z121,0,-'Tech Parameters'!$I6))</f>
        <v>0</v>
      </c>
      <c r="AA144">
        <f ca="1">IF(AA$7-'Tech Parameters'!$I6&lt;2006,0,-OFFSET(AA121,0,-'Tech Parameters'!$I6))</f>
        <v>0</v>
      </c>
      <c r="AB144">
        <f ca="1">IF(AB$7-'Tech Parameters'!$I6&lt;2006,0,-OFFSET(AB121,0,-'Tech Parameters'!$I6))</f>
        <v>0</v>
      </c>
      <c r="AC144">
        <f ca="1">IF(AC$7-'Tech Parameters'!$I6&lt;2006,0,-OFFSET(AC121,0,-'Tech Parameters'!$I6))</f>
        <v>0</v>
      </c>
      <c r="AD144">
        <f ca="1">IF(OR(AD$7-'Tech Parameters'!$I6&lt;2006,'Tech Parameters'!$I6=0),0,-OFFSET(AD121,0,-'Tech Parameters'!$I6))</f>
        <v>0</v>
      </c>
      <c r="AE144">
        <f ca="1">IF(OR(AE$7-'Tech Parameters'!$I6&lt;2006,'Tech Parameters'!$I6=0),0,-OFFSET(AE121,0,-'Tech Parameters'!$I6))</f>
        <v>0</v>
      </c>
      <c r="AF144">
        <f ca="1">IF(OR(AF$7-'Tech Parameters'!$I6&lt;2006,'Tech Parameters'!$I6=0),0,-OFFSET(AF121,0,-'Tech Parameters'!$I6))</f>
        <v>0</v>
      </c>
      <c r="AG144">
        <f ca="1">IF(OR(AG$7-'Tech Parameters'!$I6&lt;2006,'Tech Parameters'!$I6=0),0,-OFFSET(AG121,0,-'Tech Parameters'!$I6))</f>
        <v>0</v>
      </c>
      <c r="AH144">
        <f ca="1">IF(OR(AH$7-'Tech Parameters'!$I6&lt;2006,'Tech Parameters'!$I6=0),0,-OFFSET(AH121,0,-'Tech Parameters'!$I6))</f>
        <v>0</v>
      </c>
      <c r="AI144">
        <f ca="1">IF(OR(AI$7-'Tech Parameters'!$I6&lt;2006,'Tech Parameters'!$I6=0),0,-OFFSET(AI121,0,-'Tech Parameters'!$I6))</f>
        <v>0</v>
      </c>
      <c r="AJ144">
        <f ca="1">IF(OR(AJ$7-'Tech Parameters'!$I6&lt;2006,'Tech Parameters'!$I6=0),0,-OFFSET(AJ121,0,-'Tech Parameters'!$I6))</f>
        <v>0</v>
      </c>
      <c r="AK144">
        <f ca="1">IF(OR(AK$7-'Tech Parameters'!$I6&lt;2006,'Tech Parameters'!$I6=0),0,-OFFSET(AK121,0,-'Tech Parameters'!$I6))</f>
        <v>0</v>
      </c>
      <c r="AL144">
        <f ca="1">IF(OR(AL$7-'Tech Parameters'!$I6&lt;2006,'Tech Parameters'!$I6=0),0,-OFFSET(AL121,0,-'Tech Parameters'!$I6))</f>
        <v>0</v>
      </c>
      <c r="AM144">
        <f ca="1">IF(OR(AM$7-'Tech Parameters'!$I6&lt;2006,'Tech Parameters'!$I6=0),0,-OFFSET(AM121,0,-'Tech Parameters'!$I6))</f>
        <v>0</v>
      </c>
      <c r="AN144">
        <f ca="1">IF(OR(AN$7-'Tech Parameters'!$I6&lt;2006,'Tech Parameters'!$I6=0),0,-OFFSET(AN121,0,-'Tech Parameters'!$I6))</f>
        <v>0</v>
      </c>
      <c r="AO144">
        <f ca="1">IF(OR(AO$7-'Tech Parameters'!$I6&lt;2006,'Tech Parameters'!$I6=0),0,-OFFSET(AO121,0,-'Tech Parameters'!$I6))</f>
        <v>0</v>
      </c>
      <c r="AP144">
        <f ca="1">IF(OR(AP$7-'Tech Parameters'!$I6&lt;2006,'Tech Parameters'!$I6=0),0,-OFFSET(AP121,0,-'Tech Parameters'!$I6))</f>
        <v>0</v>
      </c>
      <c r="AQ144">
        <f ca="1">IF(OR(AQ$7-'Tech Parameters'!$I6&lt;2006,'Tech Parameters'!$I6=0),0,-OFFSET(AQ121,0,-'Tech Parameters'!$I6))</f>
        <v>0</v>
      </c>
      <c r="AR144">
        <f ca="1">IF(OR(AR$7-'Tech Parameters'!$I6&lt;2006,'Tech Parameters'!$I6=0),0,-OFFSET(AR121,0,-'Tech Parameters'!$I6))</f>
        <v>0</v>
      </c>
      <c r="AS144">
        <f ca="1">IF(OR(AS$7-'Tech Parameters'!$I6&lt;2006,'Tech Parameters'!$I6=0),0,-OFFSET(AS121,0,-'Tech Parameters'!$I6))</f>
        <v>0</v>
      </c>
      <c r="AT144">
        <f ca="1">IF(OR(AT$7-'Tech Parameters'!$I6&lt;2006,'Tech Parameters'!$I6=0),0,-OFFSET(AT121,0,-'Tech Parameters'!$I6))</f>
        <v>0</v>
      </c>
      <c r="AU144">
        <f ca="1">IF(OR(AU$7-'Tech Parameters'!$I6&lt;2006,'Tech Parameters'!$I6=0),0,-OFFSET(AU121,0,-'Tech Parameters'!$I6))</f>
        <v>0</v>
      </c>
      <c r="AV144">
        <f ca="1">IF(OR(AV$7-'Tech Parameters'!$I6&lt;2006,'Tech Parameters'!$I6=0),0,-OFFSET(AV121,0,-'Tech Parameters'!$I6))</f>
        <v>0</v>
      </c>
      <c r="AW144">
        <f ca="1">IF(OR(AW$7-'Tech Parameters'!$I6&lt;2006,'Tech Parameters'!$I6=0),0,-OFFSET(AW121,0,-'Tech Parameters'!$I6))</f>
        <v>0</v>
      </c>
    </row>
    <row r="145" spans="3:49">
      <c r="C145" t="str">
        <f t="shared" ref="C145:C164" si="79">C9</f>
        <v>Existing coal Small</v>
      </c>
      <c r="D145">
        <f ca="1">IF(D$7-'Tech Parameters'!$I7&lt;2006,0,-OFFSET(D122,0,-'Tech Parameters'!$I7))</f>
        <v>0</v>
      </c>
      <c r="E145">
        <f ca="1">IF(E$7-'Tech Parameters'!$I7&lt;2006,0,-OFFSET(E122,0,-'Tech Parameters'!$I7))</f>
        <v>0</v>
      </c>
      <c r="F145">
        <f ca="1">IF(F$7-'Tech Parameters'!$I7&lt;2006,0,-OFFSET(F122,0,-'Tech Parameters'!$I7))</f>
        <v>0</v>
      </c>
      <c r="G145">
        <f ca="1">IF(G$7-'Tech Parameters'!$I7&lt;2006,0,-OFFSET(G122,0,-'Tech Parameters'!$I7))</f>
        <v>0</v>
      </c>
      <c r="H145">
        <f ca="1">IF(H$7-'Tech Parameters'!$I7&lt;2006,0,-OFFSET(H122,0,-'Tech Parameters'!$I7))</f>
        <v>0</v>
      </c>
      <c r="I145">
        <f ca="1">IF(I$7-'Tech Parameters'!$I7&lt;2006,0,-OFFSET(I122,0,-'Tech Parameters'!$I7))</f>
        <v>0</v>
      </c>
      <c r="J145">
        <f ca="1">IF(J$7-'Tech Parameters'!$I7&lt;2006,0,-OFFSET(J122,0,-'Tech Parameters'!$I7))</f>
        <v>0</v>
      </c>
      <c r="K145">
        <f ca="1">IF(K$7-'Tech Parameters'!$I7&lt;2006,0,-OFFSET(K122,0,-'Tech Parameters'!$I7))</f>
        <v>0</v>
      </c>
      <c r="L145">
        <f ca="1">IF(L$7-'Tech Parameters'!$I7&lt;2006,0,-OFFSET(L122,0,-'Tech Parameters'!$I7))</f>
        <v>0</v>
      </c>
      <c r="M145">
        <f ca="1">IF(M$7-'Tech Parameters'!$I7&lt;2006,0,-OFFSET(M122,0,-'Tech Parameters'!$I7))</f>
        <v>0</v>
      </c>
      <c r="N145">
        <f ca="1">IF(N$7-'Tech Parameters'!$I7&lt;2006,0,-OFFSET(N122,0,-'Tech Parameters'!$I7))</f>
        <v>0</v>
      </c>
      <c r="O145">
        <f ca="1">IF(O$7-'Tech Parameters'!$I7&lt;2006,0,-OFFSET(O122,0,-'Tech Parameters'!$I7))</f>
        <v>0</v>
      </c>
      <c r="P145">
        <f ca="1">IF(P$7-'Tech Parameters'!$I7&lt;2006,0,-OFFSET(P122,0,-'Tech Parameters'!$I7))</f>
        <v>0</v>
      </c>
      <c r="Q145">
        <f ca="1">IF(Q$7-'Tech Parameters'!$I7&lt;2006,0,-OFFSET(Q122,0,-'Tech Parameters'!$I7))</f>
        <v>0</v>
      </c>
      <c r="R145">
        <f ca="1">IF(R$7-'Tech Parameters'!$I7&lt;2006,0,-OFFSET(R122,0,-'Tech Parameters'!$I7))</f>
        <v>0</v>
      </c>
      <c r="S145">
        <f ca="1">IF(S$7-'Tech Parameters'!$I7&lt;2006,0,-OFFSET(S122,0,-'Tech Parameters'!$I7))</f>
        <v>0</v>
      </c>
      <c r="T145">
        <f ca="1">IF(T$7-'Tech Parameters'!$I7&lt;2006,0,-OFFSET(T122,0,-'Tech Parameters'!$I7))</f>
        <v>0</v>
      </c>
      <c r="U145">
        <f ca="1">IF(U$7-'Tech Parameters'!$I7&lt;2006,0,-OFFSET(U122,0,-'Tech Parameters'!$I7))</f>
        <v>0</v>
      </c>
      <c r="V145">
        <f ca="1">IF(V$7-'Tech Parameters'!$I7&lt;2006,0,-OFFSET(V122,0,-'Tech Parameters'!$I7))</f>
        <v>0</v>
      </c>
      <c r="W145">
        <f ca="1">IF(W$7-'Tech Parameters'!$I7&lt;2006,0,-OFFSET(W122,0,-'Tech Parameters'!$I7))</f>
        <v>0</v>
      </c>
      <c r="X145">
        <f ca="1">IF(X$7-'Tech Parameters'!$I7&lt;2006,0,-OFFSET(X122,0,-'Tech Parameters'!$I7))</f>
        <v>0</v>
      </c>
      <c r="Y145">
        <f ca="1">IF(Y$7-'Tech Parameters'!$I7&lt;2006,0,-OFFSET(Y122,0,-'Tech Parameters'!$I7))</f>
        <v>0</v>
      </c>
      <c r="Z145">
        <f ca="1">IF(Z$7-'Tech Parameters'!$I7&lt;2006,0,-OFFSET(Z122,0,-'Tech Parameters'!$I7))</f>
        <v>0</v>
      </c>
      <c r="AA145">
        <f ca="1">IF(AA$7-'Tech Parameters'!$I7&lt;2006,0,-OFFSET(AA122,0,-'Tech Parameters'!$I7))</f>
        <v>0</v>
      </c>
      <c r="AB145">
        <f ca="1">IF(AB$7-'Tech Parameters'!$I7&lt;2006,0,-OFFSET(AB122,0,-'Tech Parameters'!$I7))</f>
        <v>0</v>
      </c>
      <c r="AC145">
        <f ca="1">IF(AC$7-'Tech Parameters'!$I7&lt;2006,0,-OFFSET(AC122,0,-'Tech Parameters'!$I7))</f>
        <v>0</v>
      </c>
      <c r="AD145">
        <f ca="1">IF(OR(AD$7-'Tech Parameters'!$I7&lt;2006,'Tech Parameters'!$I7=0),0,-OFFSET(AD122,0,-'Tech Parameters'!$I7))</f>
        <v>0</v>
      </c>
      <c r="AE145">
        <f ca="1">IF(OR(AE$7-'Tech Parameters'!$I7&lt;2006,'Tech Parameters'!$I7=0),0,-OFFSET(AE122,0,-'Tech Parameters'!$I7))</f>
        <v>0</v>
      </c>
      <c r="AF145">
        <f ca="1">IF(OR(AF$7-'Tech Parameters'!$I7&lt;2006,'Tech Parameters'!$I7=0),0,-OFFSET(AF122,0,-'Tech Parameters'!$I7))</f>
        <v>0</v>
      </c>
      <c r="AG145">
        <f ca="1">IF(OR(AG$7-'Tech Parameters'!$I7&lt;2006,'Tech Parameters'!$I7=0),0,-OFFSET(AG122,0,-'Tech Parameters'!$I7))</f>
        <v>0</v>
      </c>
      <c r="AH145">
        <f ca="1">IF(OR(AH$7-'Tech Parameters'!$I7&lt;2006,'Tech Parameters'!$I7=0),0,-OFFSET(AH122,0,-'Tech Parameters'!$I7))</f>
        <v>0</v>
      </c>
      <c r="AI145">
        <f ca="1">IF(OR(AI$7-'Tech Parameters'!$I7&lt;2006,'Tech Parameters'!$I7=0),0,-OFFSET(AI122,0,-'Tech Parameters'!$I7))</f>
        <v>0</v>
      </c>
      <c r="AJ145">
        <f ca="1">IF(OR(AJ$7-'Tech Parameters'!$I7&lt;2006,'Tech Parameters'!$I7=0),0,-OFFSET(AJ122,0,-'Tech Parameters'!$I7))</f>
        <v>0</v>
      </c>
      <c r="AK145">
        <f ca="1">IF(OR(AK$7-'Tech Parameters'!$I7&lt;2006,'Tech Parameters'!$I7=0),0,-OFFSET(AK122,0,-'Tech Parameters'!$I7))</f>
        <v>0</v>
      </c>
      <c r="AL145">
        <f ca="1">IF(OR(AL$7-'Tech Parameters'!$I7&lt;2006,'Tech Parameters'!$I7=0),0,-OFFSET(AL122,0,-'Tech Parameters'!$I7))</f>
        <v>0</v>
      </c>
      <c r="AM145">
        <f ca="1">IF(OR(AM$7-'Tech Parameters'!$I7&lt;2006,'Tech Parameters'!$I7=0),0,-OFFSET(AM122,0,-'Tech Parameters'!$I7))</f>
        <v>0</v>
      </c>
      <c r="AN145">
        <f ca="1">IF(OR(AN$7-'Tech Parameters'!$I7&lt;2006,'Tech Parameters'!$I7=0),0,-OFFSET(AN122,0,-'Tech Parameters'!$I7))</f>
        <v>0</v>
      </c>
      <c r="AO145">
        <f ca="1">IF(OR(AO$7-'Tech Parameters'!$I7&lt;2006,'Tech Parameters'!$I7=0),0,-OFFSET(AO122,0,-'Tech Parameters'!$I7))</f>
        <v>0</v>
      </c>
      <c r="AP145">
        <f ca="1">IF(OR(AP$7-'Tech Parameters'!$I7&lt;2006,'Tech Parameters'!$I7=0),0,-OFFSET(AP122,0,-'Tech Parameters'!$I7))</f>
        <v>0</v>
      </c>
      <c r="AQ145">
        <f ca="1">IF(OR(AQ$7-'Tech Parameters'!$I7&lt;2006,'Tech Parameters'!$I7=0),0,-OFFSET(AQ122,0,-'Tech Parameters'!$I7))</f>
        <v>0</v>
      </c>
      <c r="AR145">
        <f ca="1">IF(OR(AR$7-'Tech Parameters'!$I7&lt;2006,'Tech Parameters'!$I7=0),0,-OFFSET(AR122,0,-'Tech Parameters'!$I7))</f>
        <v>0</v>
      </c>
      <c r="AS145">
        <f ca="1">IF(OR(AS$7-'Tech Parameters'!$I7&lt;2006,'Tech Parameters'!$I7=0),0,-OFFSET(AS122,0,-'Tech Parameters'!$I7))</f>
        <v>0</v>
      </c>
      <c r="AT145">
        <f ca="1">IF(OR(AT$7-'Tech Parameters'!$I7&lt;2006,'Tech Parameters'!$I7=0),0,-OFFSET(AT122,0,-'Tech Parameters'!$I7))</f>
        <v>0</v>
      </c>
      <c r="AU145">
        <f ca="1">IF(OR(AU$7-'Tech Parameters'!$I7&lt;2006,'Tech Parameters'!$I7=0),0,-OFFSET(AU122,0,-'Tech Parameters'!$I7))</f>
        <v>0</v>
      </c>
      <c r="AV145">
        <f ca="1">IF(OR(AV$7-'Tech Parameters'!$I7&lt;2006,'Tech Parameters'!$I7=0),0,-OFFSET(AV122,0,-'Tech Parameters'!$I7))</f>
        <v>0</v>
      </c>
      <c r="AW145">
        <f ca="1">IF(OR(AW$7-'Tech Parameters'!$I7&lt;2006,'Tech Parameters'!$I7=0),0,-OFFSET(AW122,0,-'Tech Parameters'!$I7))</f>
        <v>0</v>
      </c>
    </row>
    <row r="146" spans="3:49">
      <c r="C146" t="str">
        <f t="shared" si="79"/>
        <v>OCGT liquid fuels</v>
      </c>
      <c r="D146">
        <f ca="1">IF(D$7-'Tech Parameters'!$I8&lt;2006,0,-OFFSET(D123,0,-'Tech Parameters'!$I8))</f>
        <v>0</v>
      </c>
      <c r="E146">
        <f ca="1">IF(E$7-'Tech Parameters'!$I8&lt;2006,0,-OFFSET(E123,0,-'Tech Parameters'!$I8))</f>
        <v>0</v>
      </c>
      <c r="F146">
        <f ca="1">IF(F$7-'Tech Parameters'!$I8&lt;2006,0,-OFFSET(F123,0,-'Tech Parameters'!$I8))</f>
        <v>0</v>
      </c>
      <c r="G146">
        <f ca="1">IF(G$7-'Tech Parameters'!$I8&lt;2006,0,-OFFSET(G123,0,-'Tech Parameters'!$I8))</f>
        <v>0</v>
      </c>
      <c r="H146">
        <f ca="1">IF(H$7-'Tech Parameters'!$I8&lt;2006,0,-OFFSET(H123,0,-'Tech Parameters'!$I8))</f>
        <v>0</v>
      </c>
      <c r="I146">
        <f ca="1">IF(I$7-'Tech Parameters'!$I8&lt;2006,0,-OFFSET(I123,0,-'Tech Parameters'!$I8))</f>
        <v>0</v>
      </c>
      <c r="J146">
        <f ca="1">IF(J$7-'Tech Parameters'!$I8&lt;2006,0,-OFFSET(J123,0,-'Tech Parameters'!$I8))</f>
        <v>0</v>
      </c>
      <c r="K146">
        <f ca="1">IF(K$7-'Tech Parameters'!$I8&lt;2006,0,-OFFSET(K123,0,-'Tech Parameters'!$I8))</f>
        <v>0</v>
      </c>
      <c r="L146">
        <f ca="1">IF(L$7-'Tech Parameters'!$I8&lt;2006,0,-OFFSET(L123,0,-'Tech Parameters'!$I8))</f>
        <v>0</v>
      </c>
      <c r="M146">
        <f ca="1">IF(M$7-'Tech Parameters'!$I8&lt;2006,0,-OFFSET(M123,0,-'Tech Parameters'!$I8))</f>
        <v>0</v>
      </c>
      <c r="N146">
        <f ca="1">IF(N$7-'Tech Parameters'!$I8&lt;2006,0,-OFFSET(N123,0,-'Tech Parameters'!$I8))</f>
        <v>0</v>
      </c>
      <c r="O146">
        <f ca="1">IF(O$7-'Tech Parameters'!$I8&lt;2006,0,-OFFSET(O123,0,-'Tech Parameters'!$I8))</f>
        <v>0</v>
      </c>
      <c r="P146">
        <f ca="1">IF(P$7-'Tech Parameters'!$I8&lt;2006,0,-OFFSET(P123,0,-'Tech Parameters'!$I8))</f>
        <v>0</v>
      </c>
      <c r="Q146">
        <f ca="1">IF(Q$7-'Tech Parameters'!$I8&lt;2006,0,-OFFSET(Q123,0,-'Tech Parameters'!$I8))</f>
        <v>0</v>
      </c>
      <c r="R146">
        <f ca="1">IF(R$7-'Tech Parameters'!$I8&lt;2006,0,-OFFSET(R123,0,-'Tech Parameters'!$I8))</f>
        <v>0</v>
      </c>
      <c r="S146">
        <f ca="1">IF(S$7-'Tech Parameters'!$I8&lt;2006,0,-OFFSET(S123,0,-'Tech Parameters'!$I8))</f>
        <v>0</v>
      </c>
      <c r="T146">
        <f ca="1">IF(T$7-'Tech Parameters'!$I8&lt;2006,0,-OFFSET(T123,0,-'Tech Parameters'!$I8))</f>
        <v>0</v>
      </c>
      <c r="U146">
        <f ca="1">IF(U$7-'Tech Parameters'!$I8&lt;2006,0,-OFFSET(U123,0,-'Tech Parameters'!$I8))</f>
        <v>0</v>
      </c>
      <c r="V146">
        <f ca="1">IF(V$7-'Tech Parameters'!$I8&lt;2006,0,-OFFSET(V123,0,-'Tech Parameters'!$I8))</f>
        <v>0</v>
      </c>
      <c r="W146">
        <f ca="1">IF(W$7-'Tech Parameters'!$I8&lt;2006,0,-OFFSET(W123,0,-'Tech Parameters'!$I8))</f>
        <v>0</v>
      </c>
      <c r="X146">
        <f ca="1">IF(X$7-'Tech Parameters'!$I8&lt;2006,0,-OFFSET(X123,0,-'Tech Parameters'!$I8))</f>
        <v>0</v>
      </c>
      <c r="Y146">
        <f ca="1">IF(Y$7-'Tech Parameters'!$I8&lt;2006,0,-OFFSET(Y123,0,-'Tech Parameters'!$I8))</f>
        <v>0</v>
      </c>
      <c r="Z146">
        <f ca="1">IF(Z$7-'Tech Parameters'!$I8&lt;2006,0,-OFFSET(Z123,0,-'Tech Parameters'!$I8))</f>
        <v>0</v>
      </c>
      <c r="AA146">
        <f ca="1">IF(AA$7-'Tech Parameters'!$I8&lt;2006,0,-OFFSET(AA123,0,-'Tech Parameters'!$I8))</f>
        <v>0</v>
      </c>
      <c r="AB146">
        <f ca="1">IF(AB$7-'Tech Parameters'!$I8&lt;2006,0,-OFFSET(AB123,0,-'Tech Parameters'!$I8))</f>
        <v>0</v>
      </c>
      <c r="AC146">
        <f ca="1">IF(AC$7-'Tech Parameters'!$I8&lt;2006,0,-OFFSET(AC123,0,-'Tech Parameters'!$I8))</f>
        <v>0</v>
      </c>
      <c r="AD146">
        <f ca="1">IF(OR(AD$7-'Tech Parameters'!$I8&lt;2006,'Tech Parameters'!$I8=0),0,-OFFSET(AD123,0,-'Tech Parameters'!$I8))</f>
        <v>0</v>
      </c>
      <c r="AE146">
        <f ca="1">IF(OR(AE$7-'Tech Parameters'!$I8&lt;2006,'Tech Parameters'!$I8=0),0,-OFFSET(AE123,0,-'Tech Parameters'!$I8))</f>
        <v>0</v>
      </c>
      <c r="AF146">
        <f ca="1">IF(OR(AF$7-'Tech Parameters'!$I8&lt;2006,'Tech Parameters'!$I8=0),0,-OFFSET(AF123,0,-'Tech Parameters'!$I8))</f>
        <v>0</v>
      </c>
      <c r="AG146">
        <f ca="1">IF(OR(AG$7-'Tech Parameters'!$I8&lt;2006,'Tech Parameters'!$I8=0),0,-OFFSET(AG123,0,-'Tech Parameters'!$I8))</f>
        <v>0</v>
      </c>
      <c r="AH146">
        <f ca="1">IF(OR(AH$7-'Tech Parameters'!$I8&lt;2006,'Tech Parameters'!$I8=0),0,-OFFSET(AH123,0,-'Tech Parameters'!$I8))</f>
        <v>0</v>
      </c>
      <c r="AI146">
        <f ca="1">IF(OR(AI$7-'Tech Parameters'!$I8&lt;2006,'Tech Parameters'!$I8=0),0,-OFFSET(AI123,0,-'Tech Parameters'!$I8))</f>
        <v>-1.08</v>
      </c>
      <c r="AJ146">
        <f ca="1">IF(OR(AJ$7-'Tech Parameters'!$I8&lt;2006,'Tech Parameters'!$I8=0),0,-OFFSET(AJ123,0,-'Tech Parameters'!$I8))</f>
        <v>0</v>
      </c>
      <c r="AK146">
        <f ca="1">IF(OR(AK$7-'Tech Parameters'!$I8&lt;2006,'Tech Parameters'!$I8=0),0,-OFFSET(AK123,0,-'Tech Parameters'!$I8))</f>
        <v>0</v>
      </c>
      <c r="AL146">
        <f ca="1">IF(OR(AL$7-'Tech Parameters'!$I8&lt;2006,'Tech Parameters'!$I8=0),0,-OFFSET(AL123,0,-'Tech Parameters'!$I8))</f>
        <v>0</v>
      </c>
      <c r="AM146">
        <f ca="1">IF(OR(AM$7-'Tech Parameters'!$I8&lt;2006,'Tech Parameters'!$I8=0),0,-OFFSET(AM123,0,-'Tech Parameters'!$I8))</f>
        <v>0</v>
      </c>
      <c r="AN146">
        <f ca="1">IF(OR(AN$7-'Tech Parameters'!$I8&lt;2006,'Tech Parameters'!$I8=0),0,-OFFSET(AN123,0,-'Tech Parameters'!$I8))</f>
        <v>0</v>
      </c>
      <c r="AO146">
        <f ca="1">IF(OR(AO$7-'Tech Parameters'!$I8&lt;2006,'Tech Parameters'!$I8=0),0,-OFFSET(AO123,0,-'Tech Parameters'!$I8))</f>
        <v>0</v>
      </c>
      <c r="AP146">
        <f ca="1">IF(OR(AP$7-'Tech Parameters'!$I8&lt;2006,'Tech Parameters'!$I8=0),0,-OFFSET(AP123,0,-'Tech Parameters'!$I8))</f>
        <v>0</v>
      </c>
      <c r="AQ146">
        <f ca="1">IF(OR(AQ$7-'Tech Parameters'!$I8&lt;2006,'Tech Parameters'!$I8=0),0,-OFFSET(AQ123,0,-'Tech Parameters'!$I8))</f>
        <v>0</v>
      </c>
      <c r="AR146">
        <f ca="1">IF(OR(AR$7-'Tech Parameters'!$I8&lt;2006,'Tech Parameters'!$I8=0),0,-OFFSET(AR123,0,-'Tech Parameters'!$I8))</f>
        <v>0</v>
      </c>
      <c r="AS146">
        <f ca="1">IF(OR(AS$7-'Tech Parameters'!$I8&lt;2006,'Tech Parameters'!$I8=0),0,-OFFSET(AS123,0,-'Tech Parameters'!$I8))</f>
        <v>0</v>
      </c>
      <c r="AT146">
        <f ca="1">IF(OR(AT$7-'Tech Parameters'!$I8&lt;2006,'Tech Parameters'!$I8=0),0,-OFFSET(AT123,0,-'Tech Parameters'!$I8))</f>
        <v>0</v>
      </c>
      <c r="AU146">
        <f ca="1">IF(OR(AU$7-'Tech Parameters'!$I8&lt;2006,'Tech Parameters'!$I8=0),0,-OFFSET(AU123,0,-'Tech Parameters'!$I8))</f>
        <v>-0.72</v>
      </c>
      <c r="AV146">
        <f ca="1">IF(OR(AV$7-'Tech Parameters'!$I8&lt;2006,'Tech Parameters'!$I8=0),0,-OFFSET(AV123,0,-'Tech Parameters'!$I8))</f>
        <v>0</v>
      </c>
      <c r="AW146">
        <f ca="1">IF(OR(AW$7-'Tech Parameters'!$I8&lt;2006,'Tech Parameters'!$I8=0),0,-OFFSET(AW123,0,-'Tech Parameters'!$I8))</f>
        <v>0</v>
      </c>
    </row>
    <row r="147" spans="3:49">
      <c r="C147" t="str">
        <f t="shared" si="79"/>
        <v>PWR nuclear</v>
      </c>
      <c r="D147">
        <f ca="1">IF(D$7-'Tech Parameters'!$I9&lt;2006,0,-OFFSET(D124,0,-'Tech Parameters'!$I9))</f>
        <v>0</v>
      </c>
      <c r="E147">
        <f ca="1">IF(E$7-'Tech Parameters'!$I9&lt;2006,0,-OFFSET(E124,0,-'Tech Parameters'!$I9))</f>
        <v>0</v>
      </c>
      <c r="F147">
        <f ca="1">IF(F$7-'Tech Parameters'!$I9&lt;2006,0,-OFFSET(F124,0,-'Tech Parameters'!$I9))</f>
        <v>0</v>
      </c>
      <c r="G147">
        <f ca="1">IF(G$7-'Tech Parameters'!$I9&lt;2006,0,-OFFSET(G124,0,-'Tech Parameters'!$I9))</f>
        <v>0</v>
      </c>
      <c r="H147">
        <f ca="1">IF(H$7-'Tech Parameters'!$I9&lt;2006,0,-OFFSET(H124,0,-'Tech Parameters'!$I9))</f>
        <v>0</v>
      </c>
      <c r="I147">
        <f ca="1">IF(I$7-'Tech Parameters'!$I9&lt;2006,0,-OFFSET(I124,0,-'Tech Parameters'!$I9))</f>
        <v>0</v>
      </c>
      <c r="J147">
        <f ca="1">IF(J$7-'Tech Parameters'!$I9&lt;2006,0,-OFFSET(J124,0,-'Tech Parameters'!$I9))</f>
        <v>0</v>
      </c>
      <c r="K147">
        <f ca="1">IF(K$7-'Tech Parameters'!$I9&lt;2006,0,-OFFSET(K124,0,-'Tech Parameters'!$I9))</f>
        <v>0</v>
      </c>
      <c r="L147">
        <f ca="1">IF(L$7-'Tech Parameters'!$I9&lt;2006,0,-OFFSET(L124,0,-'Tech Parameters'!$I9))</f>
        <v>0</v>
      </c>
      <c r="M147">
        <f ca="1">IF(M$7-'Tech Parameters'!$I9&lt;2006,0,-OFFSET(M124,0,-'Tech Parameters'!$I9))</f>
        <v>0</v>
      </c>
      <c r="N147">
        <f ca="1">IF(N$7-'Tech Parameters'!$I9&lt;2006,0,-OFFSET(N124,0,-'Tech Parameters'!$I9))</f>
        <v>0</v>
      </c>
      <c r="O147">
        <f ca="1">IF(O$7-'Tech Parameters'!$I9&lt;2006,0,-OFFSET(O124,0,-'Tech Parameters'!$I9))</f>
        <v>0</v>
      </c>
      <c r="P147">
        <f ca="1">IF(P$7-'Tech Parameters'!$I9&lt;2006,0,-OFFSET(P124,0,-'Tech Parameters'!$I9))</f>
        <v>0</v>
      </c>
      <c r="Q147">
        <f ca="1">IF(Q$7-'Tech Parameters'!$I9&lt;2006,0,-OFFSET(Q124,0,-'Tech Parameters'!$I9))</f>
        <v>0</v>
      </c>
      <c r="R147">
        <f ca="1">IF(R$7-'Tech Parameters'!$I9&lt;2006,0,-OFFSET(R124,0,-'Tech Parameters'!$I9))</f>
        <v>0</v>
      </c>
      <c r="S147">
        <f ca="1">IF(S$7-'Tech Parameters'!$I9&lt;2006,0,-OFFSET(S124,0,-'Tech Parameters'!$I9))</f>
        <v>0</v>
      </c>
      <c r="T147">
        <f ca="1">IF(T$7-'Tech Parameters'!$I9&lt;2006,0,-OFFSET(T124,0,-'Tech Parameters'!$I9))</f>
        <v>0</v>
      </c>
      <c r="U147">
        <f ca="1">IF(U$7-'Tech Parameters'!$I9&lt;2006,0,-OFFSET(U124,0,-'Tech Parameters'!$I9))</f>
        <v>0</v>
      </c>
      <c r="V147">
        <f ca="1">IF(V$7-'Tech Parameters'!$I9&lt;2006,0,-OFFSET(V124,0,-'Tech Parameters'!$I9))</f>
        <v>0</v>
      </c>
      <c r="W147">
        <f ca="1">IF(W$7-'Tech Parameters'!$I9&lt;2006,0,-OFFSET(W124,0,-'Tech Parameters'!$I9))</f>
        <v>0</v>
      </c>
      <c r="X147">
        <f ca="1">IF(X$7-'Tech Parameters'!$I9&lt;2006,0,-OFFSET(X124,0,-'Tech Parameters'!$I9))</f>
        <v>0</v>
      </c>
      <c r="Y147">
        <f ca="1">IF(Y$7-'Tech Parameters'!$I9&lt;2006,0,-OFFSET(Y124,0,-'Tech Parameters'!$I9))</f>
        <v>0</v>
      </c>
      <c r="Z147">
        <f ca="1">IF(Z$7-'Tech Parameters'!$I9&lt;2006,0,-OFFSET(Z124,0,-'Tech Parameters'!$I9))</f>
        <v>0</v>
      </c>
      <c r="AA147">
        <f ca="1">IF(AA$7-'Tech Parameters'!$I9&lt;2006,0,-OFFSET(AA124,0,-'Tech Parameters'!$I9))</f>
        <v>0</v>
      </c>
      <c r="AB147">
        <f ca="1">IF(AB$7-'Tech Parameters'!$I9&lt;2006,0,-OFFSET(AB124,0,-'Tech Parameters'!$I9))</f>
        <v>0</v>
      </c>
      <c r="AC147">
        <f ca="1">IF(AC$7-'Tech Parameters'!$I9&lt;2006,0,-OFFSET(AC124,0,-'Tech Parameters'!$I9))</f>
        <v>0</v>
      </c>
      <c r="AD147">
        <f ca="1">IF(OR(AD$7-'Tech Parameters'!$I9&lt;2006,'Tech Parameters'!$I9=0),0,-OFFSET(AD124,0,-'Tech Parameters'!$I9))</f>
        <v>0</v>
      </c>
      <c r="AE147">
        <f ca="1">IF(OR(AE$7-'Tech Parameters'!$I9&lt;2006,'Tech Parameters'!$I9=0),0,-OFFSET(AE124,0,-'Tech Parameters'!$I9))</f>
        <v>0</v>
      </c>
      <c r="AF147">
        <f ca="1">IF(OR(AF$7-'Tech Parameters'!$I9&lt;2006,'Tech Parameters'!$I9=0),0,-OFFSET(AF124,0,-'Tech Parameters'!$I9))</f>
        <v>0</v>
      </c>
      <c r="AG147">
        <f ca="1">IF(OR(AG$7-'Tech Parameters'!$I9&lt;2006,'Tech Parameters'!$I9=0),0,-OFFSET(AG124,0,-'Tech Parameters'!$I9))</f>
        <v>0</v>
      </c>
      <c r="AH147">
        <f ca="1">IF(OR(AH$7-'Tech Parameters'!$I9&lt;2006,'Tech Parameters'!$I9=0),0,-OFFSET(AH124,0,-'Tech Parameters'!$I9))</f>
        <v>0</v>
      </c>
      <c r="AI147">
        <f ca="1">IF(OR(AI$7-'Tech Parameters'!$I9&lt;2006,'Tech Parameters'!$I9=0),0,-OFFSET(AI124,0,-'Tech Parameters'!$I9))</f>
        <v>0</v>
      </c>
      <c r="AJ147">
        <f ca="1">IF(OR(AJ$7-'Tech Parameters'!$I9&lt;2006,'Tech Parameters'!$I9=0),0,-OFFSET(AJ124,0,-'Tech Parameters'!$I9))</f>
        <v>0</v>
      </c>
      <c r="AK147">
        <f ca="1">IF(OR(AK$7-'Tech Parameters'!$I9&lt;2006,'Tech Parameters'!$I9=0),0,-OFFSET(AK124,0,-'Tech Parameters'!$I9))</f>
        <v>0</v>
      </c>
      <c r="AL147">
        <f ca="1">IF(OR(AL$7-'Tech Parameters'!$I9&lt;2006,'Tech Parameters'!$I9=0),0,-OFFSET(AL124,0,-'Tech Parameters'!$I9))</f>
        <v>0</v>
      </c>
      <c r="AM147">
        <f ca="1">IF(OR(AM$7-'Tech Parameters'!$I9&lt;2006,'Tech Parameters'!$I9=0),0,-OFFSET(AM124,0,-'Tech Parameters'!$I9))</f>
        <v>0</v>
      </c>
      <c r="AN147">
        <f ca="1">IF(OR(AN$7-'Tech Parameters'!$I9&lt;2006,'Tech Parameters'!$I9=0),0,-OFFSET(AN124,0,-'Tech Parameters'!$I9))</f>
        <v>0</v>
      </c>
      <c r="AO147">
        <f ca="1">IF(OR(AO$7-'Tech Parameters'!$I9&lt;2006,'Tech Parameters'!$I9=0),0,-OFFSET(AO124,0,-'Tech Parameters'!$I9))</f>
        <v>0</v>
      </c>
      <c r="AP147">
        <f ca="1">IF(OR(AP$7-'Tech Parameters'!$I9&lt;2006,'Tech Parameters'!$I9=0),0,-OFFSET(AP124,0,-'Tech Parameters'!$I9))</f>
        <v>0</v>
      </c>
      <c r="AQ147">
        <f ca="1">IF(OR(AQ$7-'Tech Parameters'!$I9&lt;2006,'Tech Parameters'!$I9=0),0,-OFFSET(AQ124,0,-'Tech Parameters'!$I9))</f>
        <v>0</v>
      </c>
      <c r="AR147">
        <f ca="1">IF(OR(AR$7-'Tech Parameters'!$I9&lt;2006,'Tech Parameters'!$I9=0),0,-OFFSET(AR124,0,-'Tech Parameters'!$I9))</f>
        <v>0</v>
      </c>
      <c r="AS147">
        <f ca="1">IF(OR(AS$7-'Tech Parameters'!$I9&lt;2006,'Tech Parameters'!$I9=0),0,-OFFSET(AS124,0,-'Tech Parameters'!$I9))</f>
        <v>0</v>
      </c>
      <c r="AT147">
        <f ca="1">IF(OR(AT$7-'Tech Parameters'!$I9&lt;2006,'Tech Parameters'!$I9=0),0,-OFFSET(AT124,0,-'Tech Parameters'!$I9))</f>
        <v>0</v>
      </c>
      <c r="AU147">
        <f ca="1">IF(OR(AU$7-'Tech Parameters'!$I9&lt;2006,'Tech Parameters'!$I9=0),0,-OFFSET(AU124,0,-'Tech Parameters'!$I9))</f>
        <v>0</v>
      </c>
      <c r="AV147">
        <f ca="1">IF(OR(AV$7-'Tech Parameters'!$I9&lt;2006,'Tech Parameters'!$I9=0),0,-OFFSET(AV124,0,-'Tech Parameters'!$I9))</f>
        <v>0</v>
      </c>
      <c r="AW147">
        <f ca="1">IF(OR(AW$7-'Tech Parameters'!$I9&lt;2006,'Tech Parameters'!$I9=0),0,-OFFSET(AW124,0,-'Tech Parameters'!$I9))</f>
        <v>0</v>
      </c>
    </row>
    <row r="148" spans="3:49">
      <c r="C148" t="str">
        <f t="shared" si="79"/>
        <v>Hydro</v>
      </c>
      <c r="D148">
        <f ca="1">IF(D$7-'Tech Parameters'!$I10&lt;2006,0,-OFFSET(D125,0,-'Tech Parameters'!$I10))</f>
        <v>0</v>
      </c>
      <c r="E148">
        <f ca="1">IF(E$7-'Tech Parameters'!$I10&lt;2006,0,-OFFSET(E125,0,-'Tech Parameters'!$I10))</f>
        <v>0</v>
      </c>
      <c r="F148">
        <f ca="1">IF(F$7-'Tech Parameters'!$I10&lt;2006,0,-OFFSET(F125,0,-'Tech Parameters'!$I10))</f>
        <v>0</v>
      </c>
      <c r="G148">
        <f ca="1">IF(G$7-'Tech Parameters'!$I10&lt;2006,0,-OFFSET(G125,0,-'Tech Parameters'!$I10))</f>
        <v>0</v>
      </c>
      <c r="H148">
        <f ca="1">IF(H$7-'Tech Parameters'!$I10&lt;2006,0,-OFFSET(H125,0,-'Tech Parameters'!$I10))</f>
        <v>0</v>
      </c>
      <c r="I148">
        <f ca="1">IF(I$7-'Tech Parameters'!$I10&lt;2006,0,-OFFSET(I125,0,-'Tech Parameters'!$I10))</f>
        <v>0</v>
      </c>
      <c r="J148">
        <f ca="1">IF(J$7-'Tech Parameters'!$I10&lt;2006,0,-OFFSET(J125,0,-'Tech Parameters'!$I10))</f>
        <v>0</v>
      </c>
      <c r="K148">
        <f ca="1">IF(K$7-'Tech Parameters'!$I10&lt;2006,0,-OFFSET(K125,0,-'Tech Parameters'!$I10))</f>
        <v>0</v>
      </c>
      <c r="L148">
        <f ca="1">IF(L$7-'Tech Parameters'!$I10&lt;2006,0,-OFFSET(L125,0,-'Tech Parameters'!$I10))</f>
        <v>0</v>
      </c>
      <c r="M148">
        <f ca="1">IF(M$7-'Tech Parameters'!$I10&lt;2006,0,-OFFSET(M125,0,-'Tech Parameters'!$I10))</f>
        <v>0</v>
      </c>
      <c r="N148">
        <f ca="1">IF(N$7-'Tech Parameters'!$I10&lt;2006,0,-OFFSET(N125,0,-'Tech Parameters'!$I10))</f>
        <v>0</v>
      </c>
      <c r="O148">
        <f ca="1">IF(O$7-'Tech Parameters'!$I10&lt;2006,0,-OFFSET(O125,0,-'Tech Parameters'!$I10))</f>
        <v>0</v>
      </c>
      <c r="P148">
        <f ca="1">IF(P$7-'Tech Parameters'!$I10&lt;2006,0,-OFFSET(P125,0,-'Tech Parameters'!$I10))</f>
        <v>0</v>
      </c>
      <c r="Q148">
        <f ca="1">IF(Q$7-'Tech Parameters'!$I10&lt;2006,0,-OFFSET(Q125,0,-'Tech Parameters'!$I10))</f>
        <v>0</v>
      </c>
      <c r="R148">
        <f ca="1">IF(R$7-'Tech Parameters'!$I10&lt;2006,0,-OFFSET(R125,0,-'Tech Parameters'!$I10))</f>
        <v>0</v>
      </c>
      <c r="S148">
        <f ca="1">IF(S$7-'Tech Parameters'!$I10&lt;2006,0,-OFFSET(S125,0,-'Tech Parameters'!$I10))</f>
        <v>0</v>
      </c>
      <c r="T148">
        <f ca="1">IF(T$7-'Tech Parameters'!$I10&lt;2006,0,-OFFSET(T125,0,-'Tech Parameters'!$I10))</f>
        <v>0</v>
      </c>
      <c r="U148">
        <f ca="1">IF(U$7-'Tech Parameters'!$I10&lt;2006,0,-OFFSET(U125,0,-'Tech Parameters'!$I10))</f>
        <v>0</v>
      </c>
      <c r="V148">
        <f ca="1">IF(V$7-'Tech Parameters'!$I10&lt;2006,0,-OFFSET(V125,0,-'Tech Parameters'!$I10))</f>
        <v>0</v>
      </c>
      <c r="W148">
        <f ca="1">IF(W$7-'Tech Parameters'!$I10&lt;2006,0,-OFFSET(W125,0,-'Tech Parameters'!$I10))</f>
        <v>0</v>
      </c>
      <c r="X148">
        <f ca="1">IF(X$7-'Tech Parameters'!$I10&lt;2006,0,-OFFSET(X125,0,-'Tech Parameters'!$I10))</f>
        <v>0</v>
      </c>
      <c r="Y148">
        <f ca="1">IF(Y$7-'Tech Parameters'!$I10&lt;2006,0,-OFFSET(Y125,0,-'Tech Parameters'!$I10))</f>
        <v>0</v>
      </c>
      <c r="Z148">
        <f ca="1">IF(Z$7-'Tech Parameters'!$I10&lt;2006,0,-OFFSET(Z125,0,-'Tech Parameters'!$I10))</f>
        <v>0</v>
      </c>
      <c r="AA148">
        <f ca="1">IF(AA$7-'Tech Parameters'!$I10&lt;2006,0,-OFFSET(AA125,0,-'Tech Parameters'!$I10))</f>
        <v>0</v>
      </c>
      <c r="AB148">
        <f ca="1">IF(AB$7-'Tech Parameters'!$I10&lt;2006,0,-OFFSET(AB125,0,-'Tech Parameters'!$I10))</f>
        <v>0</v>
      </c>
      <c r="AC148">
        <f ca="1">IF(AC$7-'Tech Parameters'!$I10&lt;2006,0,-OFFSET(AC125,0,-'Tech Parameters'!$I10))</f>
        <v>0</v>
      </c>
      <c r="AD148">
        <f ca="1">IF(OR(AD$7-'Tech Parameters'!$I10&lt;2006,'Tech Parameters'!$I10=0),0,-OFFSET(AD125,0,-'Tech Parameters'!$I10))</f>
        <v>0</v>
      </c>
      <c r="AE148">
        <f ca="1">IF(OR(AE$7-'Tech Parameters'!$I10&lt;2006,'Tech Parameters'!$I10=0),0,-OFFSET(AE125,0,-'Tech Parameters'!$I10))</f>
        <v>0</v>
      </c>
      <c r="AF148">
        <f ca="1">IF(OR(AF$7-'Tech Parameters'!$I10&lt;2006,'Tech Parameters'!$I10=0),0,-OFFSET(AF125,0,-'Tech Parameters'!$I10))</f>
        <v>0</v>
      </c>
      <c r="AG148">
        <f ca="1">IF(OR(AG$7-'Tech Parameters'!$I10&lt;2006,'Tech Parameters'!$I10=0),0,-OFFSET(AG125,0,-'Tech Parameters'!$I10))</f>
        <v>0</v>
      </c>
      <c r="AH148">
        <f ca="1">IF(OR(AH$7-'Tech Parameters'!$I10&lt;2006,'Tech Parameters'!$I10=0),0,-OFFSET(AH125,0,-'Tech Parameters'!$I10))</f>
        <v>0</v>
      </c>
      <c r="AI148">
        <f ca="1">IF(OR(AI$7-'Tech Parameters'!$I10&lt;2006,'Tech Parameters'!$I10=0),0,-OFFSET(AI125,0,-'Tech Parameters'!$I10))</f>
        <v>0</v>
      </c>
      <c r="AJ148">
        <f ca="1">IF(OR(AJ$7-'Tech Parameters'!$I10&lt;2006,'Tech Parameters'!$I10=0),0,-OFFSET(AJ125,0,-'Tech Parameters'!$I10))</f>
        <v>0</v>
      </c>
      <c r="AK148">
        <f ca="1">IF(OR(AK$7-'Tech Parameters'!$I10&lt;2006,'Tech Parameters'!$I10=0),0,-OFFSET(AK125,0,-'Tech Parameters'!$I10))</f>
        <v>0</v>
      </c>
      <c r="AL148">
        <f ca="1">IF(OR(AL$7-'Tech Parameters'!$I10&lt;2006,'Tech Parameters'!$I10=0),0,-OFFSET(AL125,0,-'Tech Parameters'!$I10))</f>
        <v>0</v>
      </c>
      <c r="AM148">
        <f ca="1">IF(OR(AM$7-'Tech Parameters'!$I10&lt;2006,'Tech Parameters'!$I10=0),0,-OFFSET(AM125,0,-'Tech Parameters'!$I10))</f>
        <v>0</v>
      </c>
      <c r="AN148">
        <f ca="1">IF(OR(AN$7-'Tech Parameters'!$I10&lt;2006,'Tech Parameters'!$I10=0),0,-OFFSET(AN125,0,-'Tech Parameters'!$I10))</f>
        <v>0</v>
      </c>
      <c r="AO148">
        <f ca="1">IF(OR(AO$7-'Tech Parameters'!$I10&lt;2006,'Tech Parameters'!$I10=0),0,-OFFSET(AO125,0,-'Tech Parameters'!$I10))</f>
        <v>0</v>
      </c>
      <c r="AP148">
        <f ca="1">IF(OR(AP$7-'Tech Parameters'!$I10&lt;2006,'Tech Parameters'!$I10=0),0,-OFFSET(AP125,0,-'Tech Parameters'!$I10))</f>
        <v>0</v>
      </c>
      <c r="AQ148">
        <f ca="1">IF(OR(AQ$7-'Tech Parameters'!$I10&lt;2006,'Tech Parameters'!$I10=0),0,-OFFSET(AQ125,0,-'Tech Parameters'!$I10))</f>
        <v>0</v>
      </c>
      <c r="AR148">
        <f ca="1">IF(OR(AR$7-'Tech Parameters'!$I10&lt;2006,'Tech Parameters'!$I10=0),0,-OFFSET(AR125,0,-'Tech Parameters'!$I10))</f>
        <v>0</v>
      </c>
      <c r="AS148">
        <f ca="1">IF(OR(AS$7-'Tech Parameters'!$I10&lt;2006,'Tech Parameters'!$I10=0),0,-OFFSET(AS125,0,-'Tech Parameters'!$I10))</f>
        <v>0</v>
      </c>
      <c r="AT148">
        <f ca="1">IF(OR(AT$7-'Tech Parameters'!$I10&lt;2006,'Tech Parameters'!$I10=0),0,-OFFSET(AT125,0,-'Tech Parameters'!$I10))</f>
        <v>0</v>
      </c>
      <c r="AU148">
        <f ca="1">IF(OR(AU$7-'Tech Parameters'!$I10&lt;2006,'Tech Parameters'!$I10=0),0,-OFFSET(AU125,0,-'Tech Parameters'!$I10))</f>
        <v>0</v>
      </c>
      <c r="AV148">
        <f ca="1">IF(OR(AV$7-'Tech Parameters'!$I10&lt;2006,'Tech Parameters'!$I10=0),0,-OFFSET(AV125,0,-'Tech Parameters'!$I10))</f>
        <v>0</v>
      </c>
      <c r="AW148">
        <f ca="1">IF(OR(AW$7-'Tech Parameters'!$I10&lt;2006,'Tech Parameters'!$I10=0),0,-OFFSET(AW125,0,-'Tech Parameters'!$I10))</f>
        <v>0</v>
      </c>
    </row>
    <row r="149" spans="3:49">
      <c r="C149" t="str">
        <f t="shared" si="79"/>
        <v>Landfill gas</v>
      </c>
      <c r="D149">
        <f ca="1">IF(D$7-'Tech Parameters'!$I11&lt;2006,0,-OFFSET(D126,0,-'Tech Parameters'!$I11))</f>
        <v>0</v>
      </c>
      <c r="E149">
        <f ca="1">IF(E$7-'Tech Parameters'!$I11&lt;2006,0,-OFFSET(E126,0,-'Tech Parameters'!$I11))</f>
        <v>0</v>
      </c>
      <c r="F149">
        <f ca="1">IF(F$7-'Tech Parameters'!$I11&lt;2006,0,-OFFSET(F126,0,-'Tech Parameters'!$I11))</f>
        <v>0</v>
      </c>
      <c r="G149">
        <f ca="1">IF(G$7-'Tech Parameters'!$I11&lt;2006,0,-OFFSET(G126,0,-'Tech Parameters'!$I11))</f>
        <v>0</v>
      </c>
      <c r="H149">
        <f ca="1">IF(H$7-'Tech Parameters'!$I11&lt;2006,0,-OFFSET(H126,0,-'Tech Parameters'!$I11))</f>
        <v>0</v>
      </c>
      <c r="I149">
        <f ca="1">IF(I$7-'Tech Parameters'!$I11&lt;2006,0,-OFFSET(I126,0,-'Tech Parameters'!$I11))</f>
        <v>0</v>
      </c>
      <c r="J149">
        <f ca="1">IF(J$7-'Tech Parameters'!$I11&lt;2006,0,-OFFSET(J126,0,-'Tech Parameters'!$I11))</f>
        <v>0</v>
      </c>
      <c r="K149">
        <f ca="1">IF(K$7-'Tech Parameters'!$I11&lt;2006,0,-OFFSET(K126,0,-'Tech Parameters'!$I11))</f>
        <v>0</v>
      </c>
      <c r="L149">
        <f ca="1">IF(L$7-'Tech Parameters'!$I11&lt;2006,0,-OFFSET(L126,0,-'Tech Parameters'!$I11))</f>
        <v>0</v>
      </c>
      <c r="M149">
        <f ca="1">IF(M$7-'Tech Parameters'!$I11&lt;2006,0,-OFFSET(M126,0,-'Tech Parameters'!$I11))</f>
        <v>0</v>
      </c>
      <c r="N149">
        <f ca="1">IF(N$7-'Tech Parameters'!$I11&lt;2006,0,-OFFSET(N126,0,-'Tech Parameters'!$I11))</f>
        <v>0</v>
      </c>
      <c r="O149">
        <f ca="1">IF(O$7-'Tech Parameters'!$I11&lt;2006,0,-OFFSET(O126,0,-'Tech Parameters'!$I11))</f>
        <v>0</v>
      </c>
      <c r="P149">
        <f ca="1">IF(P$7-'Tech Parameters'!$I11&lt;2006,0,-OFFSET(P126,0,-'Tech Parameters'!$I11))</f>
        <v>0</v>
      </c>
      <c r="Q149">
        <f ca="1">IF(Q$7-'Tech Parameters'!$I11&lt;2006,0,-OFFSET(Q126,0,-'Tech Parameters'!$I11))</f>
        <v>0</v>
      </c>
      <c r="R149">
        <f ca="1">IF(R$7-'Tech Parameters'!$I11&lt;2006,0,-OFFSET(R126,0,-'Tech Parameters'!$I11))</f>
        <v>0</v>
      </c>
      <c r="S149">
        <f ca="1">IF(S$7-'Tech Parameters'!$I11&lt;2006,0,-OFFSET(S126,0,-'Tech Parameters'!$I11))</f>
        <v>0</v>
      </c>
      <c r="T149">
        <f ca="1">IF(T$7-'Tech Parameters'!$I11&lt;2006,0,-OFFSET(T126,0,-'Tech Parameters'!$I11))</f>
        <v>0</v>
      </c>
      <c r="U149">
        <f ca="1">IF(U$7-'Tech Parameters'!$I11&lt;2006,0,-OFFSET(U126,0,-'Tech Parameters'!$I11))</f>
        <v>0</v>
      </c>
      <c r="V149">
        <f ca="1">IF(V$7-'Tech Parameters'!$I11&lt;2006,0,-OFFSET(V126,0,-'Tech Parameters'!$I11))</f>
        <v>0</v>
      </c>
      <c r="W149">
        <f ca="1">IF(W$7-'Tech Parameters'!$I11&lt;2006,0,-OFFSET(W126,0,-'Tech Parameters'!$I11))</f>
        <v>0</v>
      </c>
      <c r="X149">
        <f ca="1">IF(X$7-'Tech Parameters'!$I11&lt;2006,0,-OFFSET(X126,0,-'Tech Parameters'!$I11))</f>
        <v>0</v>
      </c>
      <c r="Y149">
        <f ca="1">IF(Y$7-'Tech Parameters'!$I11&lt;2006,0,-OFFSET(Y126,0,-'Tech Parameters'!$I11))</f>
        <v>0</v>
      </c>
      <c r="Z149">
        <f ca="1">IF(Z$7-'Tech Parameters'!$I11&lt;2006,0,-OFFSET(Z126,0,-'Tech Parameters'!$I11))</f>
        <v>0</v>
      </c>
      <c r="AA149">
        <f ca="1">IF(AA$7-'Tech Parameters'!$I11&lt;2006,0,-OFFSET(AA126,0,-'Tech Parameters'!$I11))</f>
        <v>0</v>
      </c>
      <c r="AB149">
        <f ca="1">IF(AB$7-'Tech Parameters'!$I11&lt;2006,0,-OFFSET(AB126,0,-'Tech Parameters'!$I11))</f>
        <v>0</v>
      </c>
      <c r="AC149">
        <f ca="1">IF(AC$7-'Tech Parameters'!$I11&lt;2006,0,-OFFSET(AC126,0,-'Tech Parameters'!$I11))</f>
        <v>0</v>
      </c>
      <c r="AD149">
        <f ca="1">IF(OR(AD$7-'Tech Parameters'!$I11&lt;2006,'Tech Parameters'!$I11=0),0,-OFFSET(AD126,0,-'Tech Parameters'!$I11))</f>
        <v>0</v>
      </c>
      <c r="AE149">
        <f ca="1">IF(OR(AE$7-'Tech Parameters'!$I11&lt;2006,'Tech Parameters'!$I11=0),0,-OFFSET(AE126,0,-'Tech Parameters'!$I11))</f>
        <v>0</v>
      </c>
      <c r="AF149">
        <f ca="1">IF(OR(AF$7-'Tech Parameters'!$I11&lt;2006,'Tech Parameters'!$I11=0),0,-OFFSET(AF126,0,-'Tech Parameters'!$I11))</f>
        <v>0</v>
      </c>
      <c r="AG149">
        <f ca="1">IF(OR(AG$7-'Tech Parameters'!$I11&lt;2006,'Tech Parameters'!$I11=0),0,-OFFSET(AG126,0,-'Tech Parameters'!$I11))</f>
        <v>0</v>
      </c>
      <c r="AH149">
        <f ca="1">IF(OR(AH$7-'Tech Parameters'!$I11&lt;2006,'Tech Parameters'!$I11=0),0,-OFFSET(AH126,0,-'Tech Parameters'!$I11))</f>
        <v>0</v>
      </c>
      <c r="AI149">
        <f ca="1">IF(OR(AI$7-'Tech Parameters'!$I11&lt;2006,'Tech Parameters'!$I11=0),0,-OFFSET(AI126,0,-'Tech Parameters'!$I11))</f>
        <v>0</v>
      </c>
      <c r="AJ149">
        <f ca="1">IF(OR(AJ$7-'Tech Parameters'!$I11&lt;2006,'Tech Parameters'!$I11=0),0,-OFFSET(AJ126,0,-'Tech Parameters'!$I11))</f>
        <v>0</v>
      </c>
      <c r="AK149">
        <f ca="1">IF(OR(AK$7-'Tech Parameters'!$I11&lt;2006,'Tech Parameters'!$I11=0),0,-OFFSET(AK126,0,-'Tech Parameters'!$I11))</f>
        <v>0</v>
      </c>
      <c r="AL149">
        <f ca="1">IF(OR(AL$7-'Tech Parameters'!$I11&lt;2006,'Tech Parameters'!$I11=0),0,-OFFSET(AL126,0,-'Tech Parameters'!$I11))</f>
        <v>0</v>
      </c>
      <c r="AM149">
        <f ca="1">IF(OR(AM$7-'Tech Parameters'!$I11&lt;2006,'Tech Parameters'!$I11=0),0,-OFFSET(AM126,0,-'Tech Parameters'!$I11))</f>
        <v>0</v>
      </c>
      <c r="AN149">
        <f ca="1">IF(OR(AN$7-'Tech Parameters'!$I11&lt;2006,'Tech Parameters'!$I11=0),0,-OFFSET(AN126,0,-'Tech Parameters'!$I11))</f>
        <v>0</v>
      </c>
      <c r="AO149">
        <f ca="1">IF(OR(AO$7-'Tech Parameters'!$I11&lt;2006,'Tech Parameters'!$I11=0),0,-OFFSET(AO126,0,-'Tech Parameters'!$I11))</f>
        <v>0</v>
      </c>
      <c r="AP149">
        <f ca="1">IF(OR(AP$7-'Tech Parameters'!$I11&lt;2006,'Tech Parameters'!$I11=0),0,-OFFSET(AP126,0,-'Tech Parameters'!$I11))</f>
        <v>0</v>
      </c>
      <c r="AQ149">
        <f ca="1">IF(OR(AQ$7-'Tech Parameters'!$I11&lt;2006,'Tech Parameters'!$I11=0),0,-OFFSET(AQ126,0,-'Tech Parameters'!$I11))</f>
        <v>0</v>
      </c>
      <c r="AR149">
        <f ca="1">IF(OR(AR$7-'Tech Parameters'!$I11&lt;2006,'Tech Parameters'!$I11=0),0,-OFFSET(AR126,0,-'Tech Parameters'!$I11))</f>
        <v>0</v>
      </c>
      <c r="AS149">
        <f ca="1">IF(OR(AS$7-'Tech Parameters'!$I11&lt;2006,'Tech Parameters'!$I11=0),0,-OFFSET(AS126,0,-'Tech Parameters'!$I11))</f>
        <v>0</v>
      </c>
      <c r="AT149">
        <f ca="1">IF(OR(AT$7-'Tech Parameters'!$I11&lt;2006,'Tech Parameters'!$I11=0),0,-OFFSET(AT126,0,-'Tech Parameters'!$I11))</f>
        <v>0</v>
      </c>
      <c r="AU149">
        <f ca="1">IF(OR(AU$7-'Tech Parameters'!$I11&lt;2006,'Tech Parameters'!$I11=0),0,-OFFSET(AU126,0,-'Tech Parameters'!$I11))</f>
        <v>0</v>
      </c>
      <c r="AV149">
        <f ca="1">IF(OR(AV$7-'Tech Parameters'!$I11&lt;2006,'Tech Parameters'!$I11=0),0,-OFFSET(AV126,0,-'Tech Parameters'!$I11))</f>
        <v>0</v>
      </c>
      <c r="AW149">
        <f ca="1">IF(OR(AW$7-'Tech Parameters'!$I11&lt;2006,'Tech Parameters'!$I11=0),0,-OFFSET(AW126,0,-'Tech Parameters'!$I11))</f>
        <v>0</v>
      </c>
    </row>
    <row r="150" spans="3:49">
      <c r="C150" t="str">
        <f t="shared" si="79"/>
        <v>Biomass</v>
      </c>
      <c r="D150">
        <f ca="1">IF(D$7-'Tech Parameters'!$I12&lt;2006,0,-OFFSET(D127,0,-'Tech Parameters'!$I12))</f>
        <v>0</v>
      </c>
      <c r="E150">
        <f ca="1">IF(E$7-'Tech Parameters'!$I12&lt;2006,0,-OFFSET(E127,0,-'Tech Parameters'!$I12))</f>
        <v>0</v>
      </c>
      <c r="F150">
        <f ca="1">IF(F$7-'Tech Parameters'!$I12&lt;2006,0,-OFFSET(F127,0,-'Tech Parameters'!$I12))</f>
        <v>0</v>
      </c>
      <c r="G150">
        <f ca="1">IF(G$7-'Tech Parameters'!$I12&lt;2006,0,-OFFSET(G127,0,-'Tech Parameters'!$I12))</f>
        <v>0</v>
      </c>
      <c r="H150">
        <f ca="1">IF(H$7-'Tech Parameters'!$I12&lt;2006,0,-OFFSET(H127,0,-'Tech Parameters'!$I12))</f>
        <v>0</v>
      </c>
      <c r="I150">
        <f ca="1">IF(I$7-'Tech Parameters'!$I12&lt;2006,0,-OFFSET(I127,0,-'Tech Parameters'!$I12))</f>
        <v>0</v>
      </c>
      <c r="J150">
        <f ca="1">IF(J$7-'Tech Parameters'!$I12&lt;2006,0,-OFFSET(J127,0,-'Tech Parameters'!$I12))</f>
        <v>0</v>
      </c>
      <c r="K150">
        <f ca="1">IF(K$7-'Tech Parameters'!$I12&lt;2006,0,-OFFSET(K127,0,-'Tech Parameters'!$I12))</f>
        <v>0</v>
      </c>
      <c r="L150">
        <f ca="1">IF(L$7-'Tech Parameters'!$I12&lt;2006,0,-OFFSET(L127,0,-'Tech Parameters'!$I12))</f>
        <v>0</v>
      </c>
      <c r="M150">
        <f ca="1">IF(M$7-'Tech Parameters'!$I12&lt;2006,0,-OFFSET(M127,0,-'Tech Parameters'!$I12))</f>
        <v>0</v>
      </c>
      <c r="N150">
        <f ca="1">IF(N$7-'Tech Parameters'!$I12&lt;2006,0,-OFFSET(N127,0,-'Tech Parameters'!$I12))</f>
        <v>0</v>
      </c>
      <c r="O150">
        <f ca="1">IF(O$7-'Tech Parameters'!$I12&lt;2006,0,-OFFSET(O127,0,-'Tech Parameters'!$I12))</f>
        <v>0</v>
      </c>
      <c r="P150">
        <f ca="1">IF(P$7-'Tech Parameters'!$I12&lt;2006,0,-OFFSET(P127,0,-'Tech Parameters'!$I12))</f>
        <v>0</v>
      </c>
      <c r="Q150">
        <f ca="1">IF(Q$7-'Tech Parameters'!$I12&lt;2006,0,-OFFSET(Q127,0,-'Tech Parameters'!$I12))</f>
        <v>0</v>
      </c>
      <c r="R150">
        <f ca="1">IF(R$7-'Tech Parameters'!$I12&lt;2006,0,-OFFSET(R127,0,-'Tech Parameters'!$I12))</f>
        <v>0</v>
      </c>
      <c r="S150">
        <f ca="1">IF(S$7-'Tech Parameters'!$I12&lt;2006,0,-OFFSET(S127,0,-'Tech Parameters'!$I12))</f>
        <v>0</v>
      </c>
      <c r="T150">
        <f ca="1">IF(T$7-'Tech Parameters'!$I12&lt;2006,0,-OFFSET(T127,0,-'Tech Parameters'!$I12))</f>
        <v>0</v>
      </c>
      <c r="U150">
        <f ca="1">IF(U$7-'Tech Parameters'!$I12&lt;2006,0,-OFFSET(U127,0,-'Tech Parameters'!$I12))</f>
        <v>0</v>
      </c>
      <c r="V150">
        <f ca="1">IF(V$7-'Tech Parameters'!$I12&lt;2006,0,-OFFSET(V127,0,-'Tech Parameters'!$I12))</f>
        <v>0</v>
      </c>
      <c r="W150">
        <f ca="1">IF(W$7-'Tech Parameters'!$I12&lt;2006,0,-OFFSET(W127,0,-'Tech Parameters'!$I12))</f>
        <v>0</v>
      </c>
      <c r="X150">
        <f ca="1">IF(X$7-'Tech Parameters'!$I12&lt;2006,0,-OFFSET(X127,0,-'Tech Parameters'!$I12))</f>
        <v>0</v>
      </c>
      <c r="Y150">
        <f ca="1">IF(Y$7-'Tech Parameters'!$I12&lt;2006,0,-OFFSET(Y127,0,-'Tech Parameters'!$I12))</f>
        <v>0</v>
      </c>
      <c r="Z150">
        <f ca="1">IF(Z$7-'Tech Parameters'!$I12&lt;2006,0,-OFFSET(Z127,0,-'Tech Parameters'!$I12))</f>
        <v>0</v>
      </c>
      <c r="AA150">
        <f ca="1">IF(AA$7-'Tech Parameters'!$I12&lt;2006,0,-OFFSET(AA127,0,-'Tech Parameters'!$I12))</f>
        <v>0</v>
      </c>
      <c r="AB150">
        <f ca="1">IF(AB$7-'Tech Parameters'!$I12&lt;2006,0,-OFFSET(AB127,0,-'Tech Parameters'!$I12))</f>
        <v>0</v>
      </c>
      <c r="AC150">
        <f ca="1">IF(AC$7-'Tech Parameters'!$I12&lt;2006,0,-OFFSET(AC127,0,-'Tech Parameters'!$I12))</f>
        <v>0</v>
      </c>
      <c r="AD150">
        <f ca="1">IF(OR(AD$7-'Tech Parameters'!$I12&lt;2006,'Tech Parameters'!$I12=0),0,-OFFSET(AD127,0,-'Tech Parameters'!$I12))</f>
        <v>0</v>
      </c>
      <c r="AE150">
        <f ca="1">IF(OR(AE$7-'Tech Parameters'!$I12&lt;2006,'Tech Parameters'!$I12=0),0,-OFFSET(AE127,0,-'Tech Parameters'!$I12))</f>
        <v>0</v>
      </c>
      <c r="AF150">
        <f ca="1">IF(OR(AF$7-'Tech Parameters'!$I12&lt;2006,'Tech Parameters'!$I12=0),0,-OFFSET(AF127,0,-'Tech Parameters'!$I12))</f>
        <v>0</v>
      </c>
      <c r="AG150">
        <f ca="1">IF(OR(AG$7-'Tech Parameters'!$I12&lt;2006,'Tech Parameters'!$I12=0),0,-OFFSET(AG127,0,-'Tech Parameters'!$I12))</f>
        <v>0</v>
      </c>
      <c r="AH150">
        <f ca="1">IF(OR(AH$7-'Tech Parameters'!$I12&lt;2006,'Tech Parameters'!$I12=0),0,-OFFSET(AH127,0,-'Tech Parameters'!$I12))</f>
        <v>0</v>
      </c>
      <c r="AI150">
        <f ca="1">IF(OR(AI$7-'Tech Parameters'!$I12&lt;2006,'Tech Parameters'!$I12=0),0,-OFFSET(AI127,0,-'Tech Parameters'!$I12))</f>
        <v>0</v>
      </c>
      <c r="AJ150">
        <f ca="1">IF(OR(AJ$7-'Tech Parameters'!$I12&lt;2006,'Tech Parameters'!$I12=0),0,-OFFSET(AJ127,0,-'Tech Parameters'!$I12))</f>
        <v>0</v>
      </c>
      <c r="AK150">
        <f ca="1">IF(OR(AK$7-'Tech Parameters'!$I12&lt;2006,'Tech Parameters'!$I12=0),0,-OFFSET(AK127,0,-'Tech Parameters'!$I12))</f>
        <v>0</v>
      </c>
      <c r="AL150">
        <f ca="1">IF(OR(AL$7-'Tech Parameters'!$I12&lt;2006,'Tech Parameters'!$I12=0),0,-OFFSET(AL127,0,-'Tech Parameters'!$I12))</f>
        <v>0</v>
      </c>
      <c r="AM150">
        <f ca="1">IF(OR(AM$7-'Tech Parameters'!$I12&lt;2006,'Tech Parameters'!$I12=0),0,-OFFSET(AM127,0,-'Tech Parameters'!$I12))</f>
        <v>0</v>
      </c>
      <c r="AN150">
        <f ca="1">IF(OR(AN$7-'Tech Parameters'!$I12&lt;2006,'Tech Parameters'!$I12=0),0,-OFFSET(AN127,0,-'Tech Parameters'!$I12))</f>
        <v>0</v>
      </c>
      <c r="AO150">
        <f ca="1">IF(OR(AO$7-'Tech Parameters'!$I12&lt;2006,'Tech Parameters'!$I12=0),0,-OFFSET(AO127,0,-'Tech Parameters'!$I12))</f>
        <v>0</v>
      </c>
      <c r="AP150">
        <f ca="1">IF(OR(AP$7-'Tech Parameters'!$I12&lt;2006,'Tech Parameters'!$I12=0),0,-OFFSET(AP127,0,-'Tech Parameters'!$I12))</f>
        <v>0</v>
      </c>
      <c r="AQ150">
        <f ca="1">IF(OR(AQ$7-'Tech Parameters'!$I12&lt;2006,'Tech Parameters'!$I12=0),0,-OFFSET(AQ127,0,-'Tech Parameters'!$I12))</f>
        <v>0</v>
      </c>
      <c r="AR150">
        <f ca="1">IF(OR(AR$7-'Tech Parameters'!$I12&lt;2006,'Tech Parameters'!$I12=0),0,-OFFSET(AR127,0,-'Tech Parameters'!$I12))</f>
        <v>0</v>
      </c>
      <c r="AS150">
        <f ca="1">IF(OR(AS$7-'Tech Parameters'!$I12&lt;2006,'Tech Parameters'!$I12=0),0,-OFFSET(AS127,0,-'Tech Parameters'!$I12))</f>
        <v>0</v>
      </c>
      <c r="AT150">
        <f ca="1">IF(OR(AT$7-'Tech Parameters'!$I12&lt;2006,'Tech Parameters'!$I12=0),0,-OFFSET(AT127,0,-'Tech Parameters'!$I12))</f>
        <v>0</v>
      </c>
      <c r="AU150">
        <f ca="1">IF(OR(AU$7-'Tech Parameters'!$I12&lt;2006,'Tech Parameters'!$I12=0),0,-OFFSET(AU127,0,-'Tech Parameters'!$I12))</f>
        <v>0</v>
      </c>
      <c r="AV150">
        <f ca="1">IF(OR(AV$7-'Tech Parameters'!$I12&lt;2006,'Tech Parameters'!$I12=0),0,-OFFSET(AV127,0,-'Tech Parameters'!$I12))</f>
        <v>0</v>
      </c>
      <c r="AW150">
        <f ca="1">IF(OR(AW$7-'Tech Parameters'!$I12&lt;2006,'Tech Parameters'!$I12=0),0,-OFFSET(AW127,0,-'Tech Parameters'!$I12))</f>
        <v>0</v>
      </c>
    </row>
    <row r="151" spans="3:49">
      <c r="C151" t="str">
        <f t="shared" si="79"/>
        <v>Supercritical coal</v>
      </c>
      <c r="D151">
        <f ca="1">IF(D$7-'Tech Parameters'!$I13&lt;2006,0,-OFFSET(D128,0,-'Tech Parameters'!$I13))</f>
        <v>0</v>
      </c>
      <c r="E151">
        <f ca="1">IF(E$7-'Tech Parameters'!$I13&lt;2006,0,-OFFSET(E128,0,-'Tech Parameters'!$I13))</f>
        <v>0</v>
      </c>
      <c r="F151">
        <f ca="1">IF(F$7-'Tech Parameters'!$I13&lt;2006,0,-OFFSET(F128,0,-'Tech Parameters'!$I13))</f>
        <v>0</v>
      </c>
      <c r="G151">
        <f ca="1">IF(G$7-'Tech Parameters'!$I13&lt;2006,0,-OFFSET(G128,0,-'Tech Parameters'!$I13))</f>
        <v>0</v>
      </c>
      <c r="H151">
        <f ca="1">IF(H$7-'Tech Parameters'!$I13&lt;2006,0,-OFFSET(H128,0,-'Tech Parameters'!$I13))</f>
        <v>0</v>
      </c>
      <c r="I151">
        <f ca="1">IF(I$7-'Tech Parameters'!$I13&lt;2006,0,-OFFSET(I128,0,-'Tech Parameters'!$I13))</f>
        <v>0</v>
      </c>
      <c r="J151">
        <f ca="1">IF(J$7-'Tech Parameters'!$I13&lt;2006,0,-OFFSET(J128,0,-'Tech Parameters'!$I13))</f>
        <v>0</v>
      </c>
      <c r="K151">
        <f ca="1">IF(K$7-'Tech Parameters'!$I13&lt;2006,0,-OFFSET(K128,0,-'Tech Parameters'!$I13))</f>
        <v>0</v>
      </c>
      <c r="L151">
        <f ca="1">IF(L$7-'Tech Parameters'!$I13&lt;2006,0,-OFFSET(L128,0,-'Tech Parameters'!$I13))</f>
        <v>0</v>
      </c>
      <c r="M151">
        <f ca="1">IF(M$7-'Tech Parameters'!$I13&lt;2006,0,-OFFSET(M128,0,-'Tech Parameters'!$I13))</f>
        <v>0</v>
      </c>
      <c r="N151">
        <f ca="1">IF(N$7-'Tech Parameters'!$I13&lt;2006,0,-OFFSET(N128,0,-'Tech Parameters'!$I13))</f>
        <v>0</v>
      </c>
      <c r="O151">
        <f ca="1">IF(O$7-'Tech Parameters'!$I13&lt;2006,0,-OFFSET(O128,0,-'Tech Parameters'!$I13))</f>
        <v>0</v>
      </c>
      <c r="P151">
        <f ca="1">IF(P$7-'Tech Parameters'!$I13&lt;2006,0,-OFFSET(P128,0,-'Tech Parameters'!$I13))</f>
        <v>0</v>
      </c>
      <c r="Q151">
        <f ca="1">IF(Q$7-'Tech Parameters'!$I13&lt;2006,0,-OFFSET(Q128,0,-'Tech Parameters'!$I13))</f>
        <v>0</v>
      </c>
      <c r="R151">
        <f ca="1">IF(R$7-'Tech Parameters'!$I13&lt;2006,0,-OFFSET(R128,0,-'Tech Parameters'!$I13))</f>
        <v>0</v>
      </c>
      <c r="S151">
        <f ca="1">IF(S$7-'Tech Parameters'!$I13&lt;2006,0,-OFFSET(S128,0,-'Tech Parameters'!$I13))</f>
        <v>0</v>
      </c>
      <c r="T151">
        <f ca="1">IF(T$7-'Tech Parameters'!$I13&lt;2006,0,-OFFSET(T128,0,-'Tech Parameters'!$I13))</f>
        <v>0</v>
      </c>
      <c r="U151">
        <f ca="1">IF(U$7-'Tech Parameters'!$I13&lt;2006,0,-OFFSET(U128,0,-'Tech Parameters'!$I13))</f>
        <v>0</v>
      </c>
      <c r="V151">
        <f ca="1">IF(V$7-'Tech Parameters'!$I13&lt;2006,0,-OFFSET(V128,0,-'Tech Parameters'!$I13))</f>
        <v>0</v>
      </c>
      <c r="W151">
        <f ca="1">IF(W$7-'Tech Parameters'!$I13&lt;2006,0,-OFFSET(W128,0,-'Tech Parameters'!$I13))</f>
        <v>0</v>
      </c>
      <c r="X151">
        <f ca="1">IF(X$7-'Tech Parameters'!$I13&lt;2006,0,-OFFSET(X128,0,-'Tech Parameters'!$I13))</f>
        <v>0</v>
      </c>
      <c r="Y151">
        <f ca="1">IF(Y$7-'Tech Parameters'!$I13&lt;2006,0,-OFFSET(Y128,0,-'Tech Parameters'!$I13))</f>
        <v>0</v>
      </c>
      <c r="Z151">
        <f ca="1">IF(Z$7-'Tech Parameters'!$I13&lt;2006,0,-OFFSET(Z128,0,-'Tech Parameters'!$I13))</f>
        <v>0</v>
      </c>
      <c r="AA151">
        <f ca="1">IF(AA$7-'Tech Parameters'!$I13&lt;2006,0,-OFFSET(AA128,0,-'Tech Parameters'!$I13))</f>
        <v>0</v>
      </c>
      <c r="AB151">
        <f ca="1">IF(AB$7-'Tech Parameters'!$I13&lt;2006,0,-OFFSET(AB128,0,-'Tech Parameters'!$I13))</f>
        <v>0</v>
      </c>
      <c r="AC151">
        <f ca="1">IF(AC$7-'Tech Parameters'!$I13&lt;2006,0,-OFFSET(AC128,0,-'Tech Parameters'!$I13))</f>
        <v>0</v>
      </c>
      <c r="AD151">
        <f ca="1">IF(OR(AD$7-'Tech Parameters'!$I13&lt;2006,'Tech Parameters'!$I13=0),0,-OFFSET(AD128,0,-'Tech Parameters'!$I13))</f>
        <v>0</v>
      </c>
      <c r="AE151">
        <f ca="1">IF(OR(AE$7-'Tech Parameters'!$I13&lt;2006,'Tech Parameters'!$I13=0),0,-OFFSET(AE128,0,-'Tech Parameters'!$I13))</f>
        <v>0</v>
      </c>
      <c r="AF151">
        <f ca="1">IF(OR(AF$7-'Tech Parameters'!$I13&lt;2006,'Tech Parameters'!$I13=0),0,-OFFSET(AF128,0,-'Tech Parameters'!$I13))</f>
        <v>0</v>
      </c>
      <c r="AG151">
        <f ca="1">IF(OR(AG$7-'Tech Parameters'!$I13&lt;2006,'Tech Parameters'!$I13=0),0,-OFFSET(AG128,0,-'Tech Parameters'!$I13))</f>
        <v>0</v>
      </c>
      <c r="AH151">
        <f ca="1">IF(OR(AH$7-'Tech Parameters'!$I13&lt;2006,'Tech Parameters'!$I13=0),0,-OFFSET(AH128,0,-'Tech Parameters'!$I13))</f>
        <v>0</v>
      </c>
      <c r="AI151">
        <f ca="1">IF(OR(AI$7-'Tech Parameters'!$I13&lt;2006,'Tech Parameters'!$I13=0),0,-OFFSET(AI128,0,-'Tech Parameters'!$I13))</f>
        <v>0</v>
      </c>
      <c r="AJ151">
        <f ca="1">IF(OR(AJ$7-'Tech Parameters'!$I13&lt;2006,'Tech Parameters'!$I13=0),0,-OFFSET(AJ128,0,-'Tech Parameters'!$I13))</f>
        <v>0</v>
      </c>
      <c r="AK151">
        <f ca="1">IF(OR(AK$7-'Tech Parameters'!$I13&lt;2006,'Tech Parameters'!$I13=0),0,-OFFSET(AK128,0,-'Tech Parameters'!$I13))</f>
        <v>0</v>
      </c>
      <c r="AL151">
        <f ca="1">IF(OR(AL$7-'Tech Parameters'!$I13&lt;2006,'Tech Parameters'!$I13=0),0,-OFFSET(AL128,0,-'Tech Parameters'!$I13))</f>
        <v>0</v>
      </c>
      <c r="AM151">
        <f ca="1">IF(OR(AM$7-'Tech Parameters'!$I13&lt;2006,'Tech Parameters'!$I13=0),0,-OFFSET(AM128,0,-'Tech Parameters'!$I13))</f>
        <v>0</v>
      </c>
      <c r="AN151">
        <f ca="1">IF(OR(AN$7-'Tech Parameters'!$I13&lt;2006,'Tech Parameters'!$I13=0),0,-OFFSET(AN128,0,-'Tech Parameters'!$I13))</f>
        <v>0</v>
      </c>
      <c r="AO151">
        <f ca="1">IF(OR(AO$7-'Tech Parameters'!$I13&lt;2006,'Tech Parameters'!$I13=0),0,-OFFSET(AO128,0,-'Tech Parameters'!$I13))</f>
        <v>-0.79400000000000004</v>
      </c>
      <c r="AP151">
        <f ca="1">IF(OR(AP$7-'Tech Parameters'!$I13&lt;2006,'Tech Parameters'!$I13=0),0,-OFFSET(AP128,0,-'Tech Parameters'!$I13))</f>
        <v>-1.5880000000000001</v>
      </c>
      <c r="AQ151">
        <f ca="1">IF(OR(AQ$7-'Tech Parameters'!$I13&lt;2006,'Tech Parameters'!$I13=0),0,-OFFSET(AQ128,0,-'Tech Parameters'!$I13))</f>
        <v>-2.3820000000000001</v>
      </c>
      <c r="AR151">
        <f ca="1">IF(OR(AR$7-'Tech Parameters'!$I13&lt;2006,'Tech Parameters'!$I13=0),0,-OFFSET(AR128,0,-'Tech Parameters'!$I13))</f>
        <v>-2.3820000000000001</v>
      </c>
      <c r="AS151">
        <f ca="1">IF(OR(AS$7-'Tech Parameters'!$I13&lt;2006,'Tech Parameters'!$I13=0),0,-OFFSET(AS128,0,-'Tech Parameters'!$I13))</f>
        <v>-1.5880000000000001</v>
      </c>
      <c r="AT151">
        <f ca="1">IF(OR(AT$7-'Tech Parameters'!$I13&lt;2006,'Tech Parameters'!$I13=0),0,-OFFSET(AT128,0,-'Tech Parameters'!$I13))</f>
        <v>-1.5880000000000001</v>
      </c>
      <c r="AU151">
        <f ca="1">IF(OR(AU$7-'Tech Parameters'!$I13&lt;2006,'Tech Parameters'!$I13=0),0,-OFFSET(AU128,0,-'Tech Parameters'!$I13))</f>
        <v>-2.3820000000000001</v>
      </c>
      <c r="AV151">
        <f ca="1">IF(OR(AV$7-'Tech Parameters'!$I13&lt;2006,'Tech Parameters'!$I13=0),0,-OFFSET(AV128,0,-'Tech Parameters'!$I13))</f>
        <v>-2.3820000000000001</v>
      </c>
      <c r="AW151">
        <f ca="1">IF(OR(AW$7-'Tech Parameters'!$I13&lt;2006,'Tech Parameters'!$I13=0),0,-OFFSET(AW128,0,-'Tech Parameters'!$I13))</f>
        <v>-2.3820000000000001</v>
      </c>
    </row>
    <row r="152" spans="3:49">
      <c r="C152" t="str">
        <f t="shared" si="79"/>
        <v xml:space="preserve">Wind 30% </v>
      </c>
      <c r="D152">
        <f ca="1">IF(D$7-'Tech Parameters'!$I14&lt;2006,0,-OFFSET(D129,0,-'Tech Parameters'!$I14))</f>
        <v>0</v>
      </c>
      <c r="E152">
        <f ca="1">IF(E$7-'Tech Parameters'!$I14&lt;2006,0,-OFFSET(E129,0,-'Tech Parameters'!$I14))</f>
        <v>0</v>
      </c>
      <c r="F152">
        <f ca="1">IF(F$7-'Tech Parameters'!$I14&lt;2006,0,-OFFSET(F129,0,-'Tech Parameters'!$I14))</f>
        <v>0</v>
      </c>
      <c r="G152">
        <f ca="1">IF(G$7-'Tech Parameters'!$I14&lt;2006,0,-OFFSET(G129,0,-'Tech Parameters'!$I14))</f>
        <v>0</v>
      </c>
      <c r="H152">
        <f ca="1">IF(H$7-'Tech Parameters'!$I14&lt;2006,0,-OFFSET(H129,0,-'Tech Parameters'!$I14))</f>
        <v>0</v>
      </c>
      <c r="I152">
        <f ca="1">IF(I$7-'Tech Parameters'!$I14&lt;2006,0,-OFFSET(I129,0,-'Tech Parameters'!$I14))</f>
        <v>0</v>
      </c>
      <c r="J152">
        <f ca="1">IF(J$7-'Tech Parameters'!$I14&lt;2006,0,-OFFSET(J129,0,-'Tech Parameters'!$I14))</f>
        <v>0</v>
      </c>
      <c r="K152">
        <f ca="1">IF(K$7-'Tech Parameters'!$I14&lt;2006,0,-OFFSET(K129,0,-'Tech Parameters'!$I14))</f>
        <v>0</v>
      </c>
      <c r="L152">
        <f ca="1">IF(L$7-'Tech Parameters'!$I14&lt;2006,0,-OFFSET(L129,0,-'Tech Parameters'!$I14))</f>
        <v>0</v>
      </c>
      <c r="M152">
        <f ca="1">IF(M$7-'Tech Parameters'!$I14&lt;2006,0,-OFFSET(M129,0,-'Tech Parameters'!$I14))</f>
        <v>0</v>
      </c>
      <c r="N152">
        <f ca="1">IF(N$7-'Tech Parameters'!$I14&lt;2006,0,-OFFSET(N129,0,-'Tech Parameters'!$I14))</f>
        <v>0</v>
      </c>
      <c r="O152">
        <f ca="1">IF(O$7-'Tech Parameters'!$I14&lt;2006,0,-OFFSET(O129,0,-'Tech Parameters'!$I14))</f>
        <v>0</v>
      </c>
      <c r="P152">
        <f ca="1">IF(P$7-'Tech Parameters'!$I14&lt;2006,0,-OFFSET(P129,0,-'Tech Parameters'!$I14))</f>
        <v>0</v>
      </c>
      <c r="Q152">
        <f ca="1">IF(Q$7-'Tech Parameters'!$I14&lt;2006,0,-OFFSET(Q129,0,-'Tech Parameters'!$I14))</f>
        <v>0</v>
      </c>
      <c r="R152">
        <f ca="1">IF(R$7-'Tech Parameters'!$I14&lt;2006,0,-OFFSET(R129,0,-'Tech Parameters'!$I14))</f>
        <v>0</v>
      </c>
      <c r="S152">
        <f ca="1">IF(S$7-'Tech Parameters'!$I14&lt;2006,0,-OFFSET(S129,0,-'Tech Parameters'!$I14))</f>
        <v>0</v>
      </c>
      <c r="T152">
        <f ca="1">IF(T$7-'Tech Parameters'!$I14&lt;2006,0,-OFFSET(T129,0,-'Tech Parameters'!$I14))</f>
        <v>0</v>
      </c>
      <c r="U152">
        <f ca="1">IF(U$7-'Tech Parameters'!$I14&lt;2006,0,-OFFSET(U129,0,-'Tech Parameters'!$I14))</f>
        <v>0</v>
      </c>
      <c r="V152">
        <f ca="1">IF(V$7-'Tech Parameters'!$I14&lt;2006,0,-OFFSET(V129,0,-'Tech Parameters'!$I14))</f>
        <v>0</v>
      </c>
      <c r="W152">
        <f ca="1">IF(W$7-'Tech Parameters'!$I14&lt;2006,0,-OFFSET(W129,0,-'Tech Parameters'!$I14))</f>
        <v>0</v>
      </c>
      <c r="X152">
        <f ca="1">IF(X$7-'Tech Parameters'!$I14&lt;2006,0,-OFFSET(X129,0,-'Tech Parameters'!$I14))</f>
        <v>0</v>
      </c>
      <c r="Y152">
        <f ca="1">IF(Y$7-'Tech Parameters'!$I14&lt;2006,0,-OFFSET(Y129,0,-'Tech Parameters'!$I14))</f>
        <v>0</v>
      </c>
      <c r="Z152">
        <f ca="1">IF(Z$7-'Tech Parameters'!$I14&lt;2006,0,-OFFSET(Z129,0,-'Tech Parameters'!$I14))</f>
        <v>0</v>
      </c>
      <c r="AA152">
        <f ca="1">IF(AA$7-'Tech Parameters'!$I14&lt;2006,0,-OFFSET(AA129,0,-'Tech Parameters'!$I14))</f>
        <v>0</v>
      </c>
      <c r="AB152">
        <f ca="1">IF(AB$7-'Tech Parameters'!$I14&lt;2006,0,-OFFSET(AB129,0,-'Tech Parameters'!$I14))</f>
        <v>0</v>
      </c>
      <c r="AC152">
        <f ca="1">IF(AC$7-'Tech Parameters'!$I14&lt;2006,0,-OFFSET(AC129,0,-'Tech Parameters'!$I14))</f>
        <v>-0.1</v>
      </c>
      <c r="AD152">
        <f ca="1">IF(OR(AD$7-'Tech Parameters'!$I14&lt;2006,'Tech Parameters'!$I14=0),0,-OFFSET(AD129,0,-'Tech Parameters'!$I14))</f>
        <v>0</v>
      </c>
      <c r="AE152">
        <f ca="1">IF(OR(AE$7-'Tech Parameters'!$I14&lt;2006,'Tech Parameters'!$I14=0),0,-OFFSET(AE129,0,-'Tech Parameters'!$I14))</f>
        <v>0</v>
      </c>
      <c r="AF152">
        <f ca="1">IF(OR(AF$7-'Tech Parameters'!$I14&lt;2006,'Tech Parameters'!$I14=0),0,-OFFSET(AF129,0,-'Tech Parameters'!$I14))</f>
        <v>0</v>
      </c>
      <c r="AG152">
        <f ca="1">IF(OR(AG$7-'Tech Parameters'!$I14&lt;2006,'Tech Parameters'!$I14=0),0,-OFFSET(AG129,0,-'Tech Parameters'!$I14))</f>
        <v>0</v>
      </c>
      <c r="AH152">
        <f ca="1">IF(OR(AH$7-'Tech Parameters'!$I14&lt;2006,'Tech Parameters'!$I14=0),0,-OFFSET(AH129,0,-'Tech Parameters'!$I14))</f>
        <v>0</v>
      </c>
      <c r="AI152">
        <f ca="1">IF(OR(AI$7-'Tech Parameters'!$I14&lt;2006,'Tech Parameters'!$I14=0),0,-OFFSET(AI129,0,-'Tech Parameters'!$I14))</f>
        <v>0</v>
      </c>
      <c r="AJ152">
        <f ca="1">IF(OR(AJ$7-'Tech Parameters'!$I14&lt;2006,'Tech Parameters'!$I14=0),0,-OFFSET(AJ129,0,-'Tech Parameters'!$I14))</f>
        <v>0</v>
      </c>
      <c r="AK152">
        <f ca="1">IF(OR(AK$7-'Tech Parameters'!$I14&lt;2006,'Tech Parameters'!$I14=0),0,-OFFSET(AK129,0,-'Tech Parameters'!$I14))</f>
        <v>0</v>
      </c>
      <c r="AL152">
        <f ca="1">IF(OR(AL$7-'Tech Parameters'!$I14&lt;2006,'Tech Parameters'!$I14=0),0,-OFFSET(AL129,0,-'Tech Parameters'!$I14))</f>
        <v>0</v>
      </c>
      <c r="AM152">
        <f ca="1">IF(OR(AM$7-'Tech Parameters'!$I14&lt;2006,'Tech Parameters'!$I14=0),0,-OFFSET(AM129,0,-'Tech Parameters'!$I14))</f>
        <v>0</v>
      </c>
      <c r="AN152">
        <f ca="1">IF(OR(AN$7-'Tech Parameters'!$I14&lt;2006,'Tech Parameters'!$I14=0),0,-OFFSET(AN129,0,-'Tech Parameters'!$I14))</f>
        <v>0</v>
      </c>
      <c r="AO152">
        <f ca="1">IF(OR(AO$7-'Tech Parameters'!$I14&lt;2006,'Tech Parameters'!$I14=0),0,-OFFSET(AO129,0,-'Tech Parameters'!$I14))</f>
        <v>0</v>
      </c>
      <c r="AP152">
        <f ca="1">IF(OR(AP$7-'Tech Parameters'!$I14&lt;2006,'Tech Parameters'!$I14=0),0,-OFFSET(AP129,0,-'Tech Parameters'!$I14))</f>
        <v>0</v>
      </c>
      <c r="AQ152">
        <f ca="1">IF(OR(AQ$7-'Tech Parameters'!$I14&lt;2006,'Tech Parameters'!$I14=0),0,-OFFSET(AQ129,0,-'Tech Parameters'!$I14))</f>
        <v>0</v>
      </c>
      <c r="AR152">
        <f ca="1">IF(OR(AR$7-'Tech Parameters'!$I14&lt;2006,'Tech Parameters'!$I14=0),0,-OFFSET(AR129,0,-'Tech Parameters'!$I14))</f>
        <v>0</v>
      </c>
      <c r="AS152">
        <f ca="1">IF(OR(AS$7-'Tech Parameters'!$I14&lt;2006,'Tech Parameters'!$I14=0),0,-OFFSET(AS129,0,-'Tech Parameters'!$I14))</f>
        <v>0</v>
      </c>
      <c r="AT152">
        <f ca="1">IF(OR(AT$7-'Tech Parameters'!$I14&lt;2006,'Tech Parameters'!$I14=0),0,-OFFSET(AT129,0,-'Tech Parameters'!$I14))</f>
        <v>0</v>
      </c>
      <c r="AU152">
        <f ca="1">IF(OR(AU$7-'Tech Parameters'!$I14&lt;2006,'Tech Parameters'!$I14=0),0,-OFFSET(AU129,0,-'Tech Parameters'!$I14))</f>
        <v>0</v>
      </c>
      <c r="AV152">
        <f ca="1">IF(OR(AV$7-'Tech Parameters'!$I14&lt;2006,'Tech Parameters'!$I14=0),0,-OFFSET(AV129,0,-'Tech Parameters'!$I14))</f>
        <v>0</v>
      </c>
      <c r="AW152">
        <f ca="1">IF(OR(AW$7-'Tech Parameters'!$I14&lt;2006,'Tech Parameters'!$I14=0),0,-OFFSET(AW129,0,-'Tech Parameters'!$I14))</f>
        <v>0</v>
      </c>
    </row>
    <row r="153" spans="3:49">
      <c r="C153" t="str">
        <f t="shared" si="79"/>
        <v>Wind 25%</v>
      </c>
      <c r="D153">
        <f ca="1">IF(D$7-'Tech Parameters'!$I15&lt;2006,0,-OFFSET(D130,0,-'Tech Parameters'!$I15))</f>
        <v>0</v>
      </c>
      <c r="E153">
        <f ca="1">IF(E$7-'Tech Parameters'!$I15&lt;2006,0,-OFFSET(E130,0,-'Tech Parameters'!$I15))</f>
        <v>0</v>
      </c>
      <c r="F153">
        <f ca="1">IF(F$7-'Tech Parameters'!$I15&lt;2006,0,-OFFSET(F130,0,-'Tech Parameters'!$I15))</f>
        <v>0</v>
      </c>
      <c r="G153">
        <f ca="1">IF(G$7-'Tech Parameters'!$I15&lt;2006,0,-OFFSET(G130,0,-'Tech Parameters'!$I15))</f>
        <v>0</v>
      </c>
      <c r="H153">
        <f ca="1">IF(H$7-'Tech Parameters'!$I15&lt;2006,0,-OFFSET(H130,0,-'Tech Parameters'!$I15))</f>
        <v>0</v>
      </c>
      <c r="I153">
        <f ca="1">IF(I$7-'Tech Parameters'!$I15&lt;2006,0,-OFFSET(I130,0,-'Tech Parameters'!$I15))</f>
        <v>0</v>
      </c>
      <c r="J153">
        <f ca="1">IF(J$7-'Tech Parameters'!$I15&lt;2006,0,-OFFSET(J130,0,-'Tech Parameters'!$I15))</f>
        <v>0</v>
      </c>
      <c r="K153">
        <f ca="1">IF(K$7-'Tech Parameters'!$I15&lt;2006,0,-OFFSET(K130,0,-'Tech Parameters'!$I15))</f>
        <v>0</v>
      </c>
      <c r="L153">
        <f ca="1">IF(L$7-'Tech Parameters'!$I15&lt;2006,0,-OFFSET(L130,0,-'Tech Parameters'!$I15))</f>
        <v>0</v>
      </c>
      <c r="M153">
        <f ca="1">IF(M$7-'Tech Parameters'!$I15&lt;2006,0,-OFFSET(M130,0,-'Tech Parameters'!$I15))</f>
        <v>0</v>
      </c>
      <c r="N153">
        <f ca="1">IF(N$7-'Tech Parameters'!$I15&lt;2006,0,-OFFSET(N130,0,-'Tech Parameters'!$I15))</f>
        <v>0</v>
      </c>
      <c r="O153">
        <f ca="1">IF(O$7-'Tech Parameters'!$I15&lt;2006,0,-OFFSET(O130,0,-'Tech Parameters'!$I15))</f>
        <v>0</v>
      </c>
      <c r="P153">
        <f ca="1">IF(P$7-'Tech Parameters'!$I15&lt;2006,0,-OFFSET(P130,0,-'Tech Parameters'!$I15))</f>
        <v>0</v>
      </c>
      <c r="Q153">
        <f ca="1">IF(Q$7-'Tech Parameters'!$I15&lt;2006,0,-OFFSET(Q130,0,-'Tech Parameters'!$I15))</f>
        <v>0</v>
      </c>
      <c r="R153">
        <f ca="1">IF(R$7-'Tech Parameters'!$I15&lt;2006,0,-OFFSET(R130,0,-'Tech Parameters'!$I15))</f>
        <v>0</v>
      </c>
      <c r="S153">
        <f ca="1">IF(S$7-'Tech Parameters'!$I15&lt;2006,0,-OFFSET(S130,0,-'Tech Parameters'!$I15))</f>
        <v>0</v>
      </c>
      <c r="T153">
        <f ca="1">IF(T$7-'Tech Parameters'!$I15&lt;2006,0,-OFFSET(T130,0,-'Tech Parameters'!$I15))</f>
        <v>0</v>
      </c>
      <c r="U153">
        <f ca="1">IF(U$7-'Tech Parameters'!$I15&lt;2006,0,-OFFSET(U130,0,-'Tech Parameters'!$I15))</f>
        <v>0</v>
      </c>
      <c r="V153">
        <f ca="1">IF(V$7-'Tech Parameters'!$I15&lt;2006,0,-OFFSET(V130,0,-'Tech Parameters'!$I15))</f>
        <v>0</v>
      </c>
      <c r="W153">
        <f ca="1">IF(W$7-'Tech Parameters'!$I15&lt;2006,0,-OFFSET(W130,0,-'Tech Parameters'!$I15))</f>
        <v>0</v>
      </c>
      <c r="X153">
        <f ca="1">IF(X$7-'Tech Parameters'!$I15&lt;2006,0,-OFFSET(X130,0,-'Tech Parameters'!$I15))</f>
        <v>0</v>
      </c>
      <c r="Y153">
        <f ca="1">IF(Y$7-'Tech Parameters'!$I15&lt;2006,0,-OFFSET(Y130,0,-'Tech Parameters'!$I15))</f>
        <v>0</v>
      </c>
      <c r="Z153">
        <f ca="1">IF(Z$7-'Tech Parameters'!$I15&lt;2006,0,-OFFSET(Z130,0,-'Tech Parameters'!$I15))</f>
        <v>0</v>
      </c>
      <c r="AA153">
        <f ca="1">IF(AA$7-'Tech Parameters'!$I15&lt;2006,0,-OFFSET(AA130,0,-'Tech Parameters'!$I15))</f>
        <v>0</v>
      </c>
      <c r="AB153">
        <f ca="1">IF(AB$7-'Tech Parameters'!$I15&lt;2006,0,-OFFSET(AB130,0,-'Tech Parameters'!$I15))</f>
        <v>0</v>
      </c>
      <c r="AC153">
        <f ca="1">IF(AC$7-'Tech Parameters'!$I15&lt;2006,0,-OFFSET(AC130,0,-'Tech Parameters'!$I15))</f>
        <v>0</v>
      </c>
      <c r="AD153">
        <f ca="1">IF(OR(AD$7-'Tech Parameters'!$I15&lt;2006,'Tech Parameters'!$I15=0),0,-OFFSET(AD130,0,-'Tech Parameters'!$I15))</f>
        <v>0</v>
      </c>
      <c r="AE153">
        <f ca="1">IF(OR(AE$7-'Tech Parameters'!$I15&lt;2006,'Tech Parameters'!$I15=0),0,-OFFSET(AE130,0,-'Tech Parameters'!$I15))</f>
        <v>0</v>
      </c>
      <c r="AF153">
        <f ca="1">IF(OR(AF$7-'Tech Parameters'!$I15&lt;2006,'Tech Parameters'!$I15=0),0,-OFFSET(AF130,0,-'Tech Parameters'!$I15))</f>
        <v>0</v>
      </c>
      <c r="AG153">
        <f ca="1">IF(OR(AG$7-'Tech Parameters'!$I15&lt;2006,'Tech Parameters'!$I15=0),0,-OFFSET(AG130,0,-'Tech Parameters'!$I15))</f>
        <v>0</v>
      </c>
      <c r="AH153">
        <f ca="1">IF(OR(AH$7-'Tech Parameters'!$I15&lt;2006,'Tech Parameters'!$I15=0),0,-OFFSET(AH130,0,-'Tech Parameters'!$I15))</f>
        <v>0</v>
      </c>
      <c r="AI153">
        <f ca="1">IF(OR(AI$7-'Tech Parameters'!$I15&lt;2006,'Tech Parameters'!$I15=0),0,-OFFSET(AI130,0,-'Tech Parameters'!$I15))</f>
        <v>0</v>
      </c>
      <c r="AJ153">
        <f ca="1">IF(OR(AJ$7-'Tech Parameters'!$I15&lt;2006,'Tech Parameters'!$I15=0),0,-OFFSET(AJ130,0,-'Tech Parameters'!$I15))</f>
        <v>0</v>
      </c>
      <c r="AK153">
        <f ca="1">IF(OR(AK$7-'Tech Parameters'!$I15&lt;2006,'Tech Parameters'!$I15=0),0,-OFFSET(AK130,0,-'Tech Parameters'!$I15))</f>
        <v>0</v>
      </c>
      <c r="AL153">
        <f ca="1">IF(OR(AL$7-'Tech Parameters'!$I15&lt;2006,'Tech Parameters'!$I15=0),0,-OFFSET(AL130,0,-'Tech Parameters'!$I15))</f>
        <v>0</v>
      </c>
      <c r="AM153">
        <f ca="1">IF(OR(AM$7-'Tech Parameters'!$I15&lt;2006,'Tech Parameters'!$I15=0),0,-OFFSET(AM130,0,-'Tech Parameters'!$I15))</f>
        <v>0</v>
      </c>
      <c r="AN153">
        <f ca="1">IF(OR(AN$7-'Tech Parameters'!$I15&lt;2006,'Tech Parameters'!$I15=0),0,-OFFSET(AN130,0,-'Tech Parameters'!$I15))</f>
        <v>0</v>
      </c>
      <c r="AO153">
        <f ca="1">IF(OR(AO$7-'Tech Parameters'!$I15&lt;2006,'Tech Parameters'!$I15=0),0,-OFFSET(AO130,0,-'Tech Parameters'!$I15))</f>
        <v>0</v>
      </c>
      <c r="AP153">
        <f ca="1">IF(OR(AP$7-'Tech Parameters'!$I15&lt;2006,'Tech Parameters'!$I15=0),0,-OFFSET(AP130,0,-'Tech Parameters'!$I15))</f>
        <v>0</v>
      </c>
      <c r="AQ153">
        <f ca="1">IF(OR(AQ$7-'Tech Parameters'!$I15&lt;2006,'Tech Parameters'!$I15=0),0,-OFFSET(AQ130,0,-'Tech Parameters'!$I15))</f>
        <v>0</v>
      </c>
      <c r="AR153">
        <f ca="1">IF(OR(AR$7-'Tech Parameters'!$I15&lt;2006,'Tech Parameters'!$I15=0),0,-OFFSET(AR130,0,-'Tech Parameters'!$I15))</f>
        <v>0</v>
      </c>
      <c r="AS153">
        <f ca="1">IF(OR(AS$7-'Tech Parameters'!$I15&lt;2006,'Tech Parameters'!$I15=0),0,-OFFSET(AS130,0,-'Tech Parameters'!$I15))</f>
        <v>0</v>
      </c>
      <c r="AT153">
        <f ca="1">IF(OR(AT$7-'Tech Parameters'!$I15&lt;2006,'Tech Parameters'!$I15=0),0,-OFFSET(AT130,0,-'Tech Parameters'!$I15))</f>
        <v>0</v>
      </c>
      <c r="AU153">
        <f ca="1">IF(OR(AU$7-'Tech Parameters'!$I15&lt;2006,'Tech Parameters'!$I15=0),0,-OFFSET(AU130,0,-'Tech Parameters'!$I15))</f>
        <v>0</v>
      </c>
      <c r="AV153">
        <f ca="1">IF(OR(AV$7-'Tech Parameters'!$I15&lt;2006,'Tech Parameters'!$I15=0),0,-OFFSET(AV130,0,-'Tech Parameters'!$I15))</f>
        <v>0</v>
      </c>
      <c r="AW153">
        <f ca="1">IF(OR(AW$7-'Tech Parameters'!$I15&lt;2006,'Tech Parameters'!$I15=0),0,-OFFSET(AW130,0,-'Tech Parameters'!$I15))</f>
        <v>0</v>
      </c>
    </row>
    <row r="154" spans="3:49">
      <c r="C154" t="str">
        <f t="shared" si="79"/>
        <v>solar thermal central reciever</v>
      </c>
      <c r="D154">
        <f ca="1">IF(D$7-'Tech Parameters'!$I16&lt;2006,0,-OFFSET(D131,0,-'Tech Parameters'!$I16))</f>
        <v>0</v>
      </c>
      <c r="E154">
        <f ca="1">IF(E$7-'Tech Parameters'!$I16&lt;2006,0,-OFFSET(E131,0,-'Tech Parameters'!$I16))</f>
        <v>0</v>
      </c>
      <c r="F154">
        <f ca="1">IF(F$7-'Tech Parameters'!$I16&lt;2006,0,-OFFSET(F131,0,-'Tech Parameters'!$I16))</f>
        <v>0</v>
      </c>
      <c r="G154">
        <f ca="1">IF(G$7-'Tech Parameters'!$I16&lt;2006,0,-OFFSET(G131,0,-'Tech Parameters'!$I16))</f>
        <v>0</v>
      </c>
      <c r="H154">
        <f ca="1">IF(H$7-'Tech Parameters'!$I16&lt;2006,0,-OFFSET(H131,0,-'Tech Parameters'!$I16))</f>
        <v>0</v>
      </c>
      <c r="I154">
        <f ca="1">IF(I$7-'Tech Parameters'!$I16&lt;2006,0,-OFFSET(I131,0,-'Tech Parameters'!$I16))</f>
        <v>0</v>
      </c>
      <c r="J154">
        <f ca="1">IF(J$7-'Tech Parameters'!$I16&lt;2006,0,-OFFSET(J131,0,-'Tech Parameters'!$I16))</f>
        <v>0</v>
      </c>
      <c r="K154">
        <f ca="1">IF(K$7-'Tech Parameters'!$I16&lt;2006,0,-OFFSET(K131,0,-'Tech Parameters'!$I16))</f>
        <v>0</v>
      </c>
      <c r="L154">
        <f ca="1">IF(L$7-'Tech Parameters'!$I16&lt;2006,0,-OFFSET(L131,0,-'Tech Parameters'!$I16))</f>
        <v>0</v>
      </c>
      <c r="M154">
        <f ca="1">IF(M$7-'Tech Parameters'!$I16&lt;2006,0,-OFFSET(M131,0,-'Tech Parameters'!$I16))</f>
        <v>0</v>
      </c>
      <c r="N154">
        <f ca="1">IF(N$7-'Tech Parameters'!$I16&lt;2006,0,-OFFSET(N131,0,-'Tech Parameters'!$I16))</f>
        <v>0</v>
      </c>
      <c r="O154">
        <f ca="1">IF(O$7-'Tech Parameters'!$I16&lt;2006,0,-OFFSET(O131,0,-'Tech Parameters'!$I16))</f>
        <v>0</v>
      </c>
      <c r="P154">
        <f ca="1">IF(P$7-'Tech Parameters'!$I16&lt;2006,0,-OFFSET(P131,0,-'Tech Parameters'!$I16))</f>
        <v>0</v>
      </c>
      <c r="Q154">
        <f ca="1">IF(Q$7-'Tech Parameters'!$I16&lt;2006,0,-OFFSET(Q131,0,-'Tech Parameters'!$I16))</f>
        <v>0</v>
      </c>
      <c r="R154">
        <f ca="1">IF(R$7-'Tech Parameters'!$I16&lt;2006,0,-OFFSET(R131,0,-'Tech Parameters'!$I16))</f>
        <v>0</v>
      </c>
      <c r="S154">
        <f ca="1">IF(S$7-'Tech Parameters'!$I16&lt;2006,0,-OFFSET(S131,0,-'Tech Parameters'!$I16))</f>
        <v>0</v>
      </c>
      <c r="T154">
        <f ca="1">IF(T$7-'Tech Parameters'!$I16&lt;2006,0,-OFFSET(T131,0,-'Tech Parameters'!$I16))</f>
        <v>0</v>
      </c>
      <c r="U154">
        <f ca="1">IF(U$7-'Tech Parameters'!$I16&lt;2006,0,-OFFSET(U131,0,-'Tech Parameters'!$I16))</f>
        <v>0</v>
      </c>
      <c r="V154">
        <f ca="1">IF(V$7-'Tech Parameters'!$I16&lt;2006,0,-OFFSET(V131,0,-'Tech Parameters'!$I16))</f>
        <v>0</v>
      </c>
      <c r="W154">
        <f ca="1">IF(W$7-'Tech Parameters'!$I16&lt;2006,0,-OFFSET(W131,0,-'Tech Parameters'!$I16))</f>
        <v>0</v>
      </c>
      <c r="X154">
        <f ca="1">IF(X$7-'Tech Parameters'!$I16&lt;2006,0,-OFFSET(X131,0,-'Tech Parameters'!$I16))</f>
        <v>0</v>
      </c>
      <c r="Y154">
        <f ca="1">IF(Y$7-'Tech Parameters'!$I16&lt;2006,0,-OFFSET(Y131,0,-'Tech Parameters'!$I16))</f>
        <v>0</v>
      </c>
      <c r="Z154">
        <f ca="1">IF(Z$7-'Tech Parameters'!$I16&lt;2006,0,-OFFSET(Z131,0,-'Tech Parameters'!$I16))</f>
        <v>0</v>
      </c>
      <c r="AA154">
        <f ca="1">IF(AA$7-'Tech Parameters'!$I16&lt;2006,0,-OFFSET(AA131,0,-'Tech Parameters'!$I16))</f>
        <v>0</v>
      </c>
      <c r="AB154">
        <f ca="1">IF(AB$7-'Tech Parameters'!$I16&lt;2006,0,-OFFSET(AB131,0,-'Tech Parameters'!$I16))</f>
        <v>0</v>
      </c>
      <c r="AC154">
        <f ca="1">IF(AC$7-'Tech Parameters'!$I16&lt;2006,0,-OFFSET(AC131,0,-'Tech Parameters'!$I16))</f>
        <v>0</v>
      </c>
      <c r="AD154">
        <f ca="1">IF(OR(AD$7-'Tech Parameters'!$I16&lt;2006,'Tech Parameters'!$I16=0),0,-OFFSET(AD131,0,-'Tech Parameters'!$I16))</f>
        <v>0</v>
      </c>
      <c r="AE154">
        <f ca="1">IF(OR(AE$7-'Tech Parameters'!$I16&lt;2006,'Tech Parameters'!$I16=0),0,-OFFSET(AE131,0,-'Tech Parameters'!$I16))</f>
        <v>0</v>
      </c>
      <c r="AF154">
        <f ca="1">IF(OR(AF$7-'Tech Parameters'!$I16&lt;2006,'Tech Parameters'!$I16=0),0,-OFFSET(AF131,0,-'Tech Parameters'!$I16))</f>
        <v>0</v>
      </c>
      <c r="AG154">
        <f ca="1">IF(OR(AG$7-'Tech Parameters'!$I16&lt;2006,'Tech Parameters'!$I16=0),0,-OFFSET(AG131,0,-'Tech Parameters'!$I16))</f>
        <v>0</v>
      </c>
      <c r="AH154">
        <f ca="1">IF(OR(AH$7-'Tech Parameters'!$I16&lt;2006,'Tech Parameters'!$I16=0),0,-OFFSET(AH131,0,-'Tech Parameters'!$I16))</f>
        <v>0</v>
      </c>
      <c r="AI154">
        <f ca="1">IF(OR(AI$7-'Tech Parameters'!$I16&lt;2006,'Tech Parameters'!$I16=0),0,-OFFSET(AI131,0,-'Tech Parameters'!$I16))</f>
        <v>0</v>
      </c>
      <c r="AJ154">
        <f ca="1">IF(OR(AJ$7-'Tech Parameters'!$I16&lt;2006,'Tech Parameters'!$I16=0),0,-OFFSET(AJ131,0,-'Tech Parameters'!$I16))</f>
        <v>0</v>
      </c>
      <c r="AK154">
        <f ca="1">IF(OR(AK$7-'Tech Parameters'!$I16&lt;2006,'Tech Parameters'!$I16=0),0,-OFFSET(AK131,0,-'Tech Parameters'!$I16))</f>
        <v>0</v>
      </c>
      <c r="AL154">
        <f ca="1">IF(OR(AL$7-'Tech Parameters'!$I16&lt;2006,'Tech Parameters'!$I16=0),0,-OFFSET(AL131,0,-'Tech Parameters'!$I16))</f>
        <v>0</v>
      </c>
      <c r="AM154">
        <f ca="1">IF(OR(AM$7-'Tech Parameters'!$I16&lt;2006,'Tech Parameters'!$I16=0),0,-OFFSET(AM131,0,-'Tech Parameters'!$I16))</f>
        <v>0</v>
      </c>
      <c r="AN154">
        <f ca="1">IF(OR(AN$7-'Tech Parameters'!$I16&lt;2006,'Tech Parameters'!$I16=0),0,-OFFSET(AN131,0,-'Tech Parameters'!$I16))</f>
        <v>0</v>
      </c>
      <c r="AO154">
        <f ca="1">IF(OR(AO$7-'Tech Parameters'!$I16&lt;2006,'Tech Parameters'!$I16=0),0,-OFFSET(AO131,0,-'Tech Parameters'!$I16))</f>
        <v>0</v>
      </c>
      <c r="AP154">
        <f ca="1">IF(OR(AP$7-'Tech Parameters'!$I16&lt;2006,'Tech Parameters'!$I16=0),0,-OFFSET(AP131,0,-'Tech Parameters'!$I16))</f>
        <v>0</v>
      </c>
      <c r="AQ154">
        <f ca="1">IF(OR(AQ$7-'Tech Parameters'!$I16&lt;2006,'Tech Parameters'!$I16=0),0,-OFFSET(AQ131,0,-'Tech Parameters'!$I16))</f>
        <v>0</v>
      </c>
      <c r="AR154">
        <f ca="1">IF(OR(AR$7-'Tech Parameters'!$I16&lt;2006,'Tech Parameters'!$I16=0),0,-OFFSET(AR131,0,-'Tech Parameters'!$I16))</f>
        <v>0</v>
      </c>
      <c r="AS154">
        <f ca="1">IF(OR(AS$7-'Tech Parameters'!$I16&lt;2006,'Tech Parameters'!$I16=0),0,-OFFSET(AS131,0,-'Tech Parameters'!$I16))</f>
        <v>0</v>
      </c>
      <c r="AT154">
        <f ca="1">IF(OR(AT$7-'Tech Parameters'!$I16&lt;2006,'Tech Parameters'!$I16=0),0,-OFFSET(AT131,0,-'Tech Parameters'!$I16))</f>
        <v>0</v>
      </c>
      <c r="AU154">
        <f ca="1">IF(OR(AU$7-'Tech Parameters'!$I16&lt;2006,'Tech Parameters'!$I16=0),0,-OFFSET(AU131,0,-'Tech Parameters'!$I16))</f>
        <v>0</v>
      </c>
      <c r="AV154">
        <f ca="1">IF(OR(AV$7-'Tech Parameters'!$I16&lt;2006,'Tech Parameters'!$I16=0),0,-OFFSET(AV131,0,-'Tech Parameters'!$I16))</f>
        <v>0</v>
      </c>
      <c r="AW154">
        <f ca="1">IF(OR(AW$7-'Tech Parameters'!$I16&lt;2006,'Tech Parameters'!$I16=0),0,-OFFSET(AW131,0,-'Tech Parameters'!$I16))</f>
        <v>0</v>
      </c>
    </row>
    <row r="155" spans="3:49">
      <c r="C155" t="str">
        <f t="shared" si="79"/>
        <v>solar thermal trough</v>
      </c>
      <c r="D155">
        <f ca="1">IF(D$7-'Tech Parameters'!$I17&lt;2006,0,-OFFSET(D132,0,-'Tech Parameters'!$I17))</f>
        <v>0</v>
      </c>
      <c r="E155">
        <f ca="1">IF(E$7-'Tech Parameters'!$I17&lt;2006,0,-OFFSET(E132,0,-'Tech Parameters'!$I17))</f>
        <v>0</v>
      </c>
      <c r="F155">
        <f ca="1">IF(F$7-'Tech Parameters'!$I17&lt;2006,0,-OFFSET(F132,0,-'Tech Parameters'!$I17))</f>
        <v>0</v>
      </c>
      <c r="G155">
        <f ca="1">IF(G$7-'Tech Parameters'!$I17&lt;2006,0,-OFFSET(G132,0,-'Tech Parameters'!$I17))</f>
        <v>0</v>
      </c>
      <c r="H155">
        <f ca="1">IF(H$7-'Tech Parameters'!$I17&lt;2006,0,-OFFSET(H132,0,-'Tech Parameters'!$I17))</f>
        <v>0</v>
      </c>
      <c r="I155">
        <f ca="1">IF(I$7-'Tech Parameters'!$I17&lt;2006,0,-OFFSET(I132,0,-'Tech Parameters'!$I17))</f>
        <v>0</v>
      </c>
      <c r="J155">
        <f ca="1">IF(J$7-'Tech Parameters'!$I17&lt;2006,0,-OFFSET(J132,0,-'Tech Parameters'!$I17))</f>
        <v>0</v>
      </c>
      <c r="K155">
        <f ca="1">IF(K$7-'Tech Parameters'!$I17&lt;2006,0,-OFFSET(K132,0,-'Tech Parameters'!$I17))</f>
        <v>0</v>
      </c>
      <c r="L155">
        <f ca="1">IF(L$7-'Tech Parameters'!$I17&lt;2006,0,-OFFSET(L132,0,-'Tech Parameters'!$I17))</f>
        <v>0</v>
      </c>
      <c r="M155">
        <f ca="1">IF(M$7-'Tech Parameters'!$I17&lt;2006,0,-OFFSET(M132,0,-'Tech Parameters'!$I17))</f>
        <v>0</v>
      </c>
      <c r="N155">
        <f ca="1">IF(N$7-'Tech Parameters'!$I17&lt;2006,0,-OFFSET(N132,0,-'Tech Parameters'!$I17))</f>
        <v>0</v>
      </c>
      <c r="O155">
        <f ca="1">IF(O$7-'Tech Parameters'!$I17&lt;2006,0,-OFFSET(O132,0,-'Tech Parameters'!$I17))</f>
        <v>0</v>
      </c>
      <c r="P155">
        <f ca="1">IF(P$7-'Tech Parameters'!$I17&lt;2006,0,-OFFSET(P132,0,-'Tech Parameters'!$I17))</f>
        <v>0</v>
      </c>
      <c r="Q155">
        <f ca="1">IF(Q$7-'Tech Parameters'!$I17&lt;2006,0,-OFFSET(Q132,0,-'Tech Parameters'!$I17))</f>
        <v>0</v>
      </c>
      <c r="R155">
        <f ca="1">IF(R$7-'Tech Parameters'!$I17&lt;2006,0,-OFFSET(R132,0,-'Tech Parameters'!$I17))</f>
        <v>0</v>
      </c>
      <c r="S155">
        <f ca="1">IF(S$7-'Tech Parameters'!$I17&lt;2006,0,-OFFSET(S132,0,-'Tech Parameters'!$I17))</f>
        <v>0</v>
      </c>
      <c r="T155">
        <f ca="1">IF(T$7-'Tech Parameters'!$I17&lt;2006,0,-OFFSET(T132,0,-'Tech Parameters'!$I17))</f>
        <v>0</v>
      </c>
      <c r="U155">
        <f ca="1">IF(U$7-'Tech Parameters'!$I17&lt;2006,0,-OFFSET(U132,0,-'Tech Parameters'!$I17))</f>
        <v>0</v>
      </c>
      <c r="V155">
        <f ca="1">IF(V$7-'Tech Parameters'!$I17&lt;2006,0,-OFFSET(V132,0,-'Tech Parameters'!$I17))</f>
        <v>0</v>
      </c>
      <c r="W155">
        <f ca="1">IF(W$7-'Tech Parameters'!$I17&lt;2006,0,-OFFSET(W132,0,-'Tech Parameters'!$I17))</f>
        <v>0</v>
      </c>
      <c r="X155">
        <f ca="1">IF(X$7-'Tech Parameters'!$I17&lt;2006,0,-OFFSET(X132,0,-'Tech Parameters'!$I17))</f>
        <v>0</v>
      </c>
      <c r="Y155">
        <f ca="1">IF(Y$7-'Tech Parameters'!$I17&lt;2006,0,-OFFSET(Y132,0,-'Tech Parameters'!$I17))</f>
        <v>0</v>
      </c>
      <c r="Z155">
        <f ca="1">IF(Z$7-'Tech Parameters'!$I17&lt;2006,0,-OFFSET(Z132,0,-'Tech Parameters'!$I17))</f>
        <v>0</v>
      </c>
      <c r="AA155">
        <f ca="1">IF(AA$7-'Tech Parameters'!$I17&lt;2006,0,-OFFSET(AA132,0,-'Tech Parameters'!$I17))</f>
        <v>0</v>
      </c>
      <c r="AB155">
        <f ca="1">IF(AB$7-'Tech Parameters'!$I17&lt;2006,0,-OFFSET(AB132,0,-'Tech Parameters'!$I17))</f>
        <v>0</v>
      </c>
      <c r="AC155">
        <f ca="1">IF(AC$7-'Tech Parameters'!$I17&lt;2006,0,-OFFSET(AC132,0,-'Tech Parameters'!$I17))</f>
        <v>0</v>
      </c>
      <c r="AD155">
        <f ca="1">IF(OR(AD$7-'Tech Parameters'!$I17&lt;2006,'Tech Parameters'!$I17=0),0,-OFFSET(AD132,0,-'Tech Parameters'!$I17))</f>
        <v>0</v>
      </c>
      <c r="AE155">
        <f ca="1">IF(OR(AE$7-'Tech Parameters'!$I17&lt;2006,'Tech Parameters'!$I17=0),0,-OFFSET(AE132,0,-'Tech Parameters'!$I17))</f>
        <v>0</v>
      </c>
      <c r="AF155">
        <f ca="1">IF(OR(AF$7-'Tech Parameters'!$I17&lt;2006,'Tech Parameters'!$I17=0),0,-OFFSET(AF132,0,-'Tech Parameters'!$I17))</f>
        <v>0</v>
      </c>
      <c r="AG155">
        <f ca="1">IF(OR(AG$7-'Tech Parameters'!$I17&lt;2006,'Tech Parameters'!$I17=0),0,-OFFSET(AG132,0,-'Tech Parameters'!$I17))</f>
        <v>0</v>
      </c>
      <c r="AH155">
        <f ca="1">IF(OR(AH$7-'Tech Parameters'!$I17&lt;2006,'Tech Parameters'!$I17=0),0,-OFFSET(AH132,0,-'Tech Parameters'!$I17))</f>
        <v>0</v>
      </c>
      <c r="AI155">
        <f ca="1">IF(OR(AI$7-'Tech Parameters'!$I17&lt;2006,'Tech Parameters'!$I17=0),0,-OFFSET(AI132,0,-'Tech Parameters'!$I17))</f>
        <v>0</v>
      </c>
      <c r="AJ155">
        <f ca="1">IF(OR(AJ$7-'Tech Parameters'!$I17&lt;2006,'Tech Parameters'!$I17=0),0,-OFFSET(AJ132,0,-'Tech Parameters'!$I17))</f>
        <v>0</v>
      </c>
      <c r="AK155">
        <f ca="1">IF(OR(AK$7-'Tech Parameters'!$I17&lt;2006,'Tech Parameters'!$I17=0),0,-OFFSET(AK132,0,-'Tech Parameters'!$I17))</f>
        <v>0</v>
      </c>
      <c r="AL155">
        <f ca="1">IF(OR(AL$7-'Tech Parameters'!$I17&lt;2006,'Tech Parameters'!$I17=0),0,-OFFSET(AL132,0,-'Tech Parameters'!$I17))</f>
        <v>0</v>
      </c>
      <c r="AM155">
        <f ca="1">IF(OR(AM$7-'Tech Parameters'!$I17&lt;2006,'Tech Parameters'!$I17=0),0,-OFFSET(AM132,0,-'Tech Parameters'!$I17))</f>
        <v>0</v>
      </c>
      <c r="AN155">
        <f ca="1">IF(OR(AN$7-'Tech Parameters'!$I17&lt;2006,'Tech Parameters'!$I17=0),0,-OFFSET(AN132,0,-'Tech Parameters'!$I17))</f>
        <v>0</v>
      </c>
      <c r="AO155">
        <f ca="1">IF(OR(AO$7-'Tech Parameters'!$I17&lt;2006,'Tech Parameters'!$I17=0),0,-OFFSET(AO132,0,-'Tech Parameters'!$I17))</f>
        <v>0</v>
      </c>
      <c r="AP155">
        <f ca="1">IF(OR(AP$7-'Tech Parameters'!$I17&lt;2006,'Tech Parameters'!$I17=0),0,-OFFSET(AP132,0,-'Tech Parameters'!$I17))</f>
        <v>0</v>
      </c>
      <c r="AQ155">
        <f ca="1">IF(OR(AQ$7-'Tech Parameters'!$I17&lt;2006,'Tech Parameters'!$I17=0),0,-OFFSET(AQ132,0,-'Tech Parameters'!$I17))</f>
        <v>0</v>
      </c>
      <c r="AR155">
        <f ca="1">IF(OR(AR$7-'Tech Parameters'!$I17&lt;2006,'Tech Parameters'!$I17=0),0,-OFFSET(AR132,0,-'Tech Parameters'!$I17))</f>
        <v>0</v>
      </c>
      <c r="AS155">
        <f ca="1">IF(OR(AS$7-'Tech Parameters'!$I17&lt;2006,'Tech Parameters'!$I17=0),0,-OFFSET(AS132,0,-'Tech Parameters'!$I17))</f>
        <v>0</v>
      </c>
      <c r="AT155">
        <f ca="1">IF(OR(AT$7-'Tech Parameters'!$I17&lt;2006,'Tech Parameters'!$I17=0),0,-OFFSET(AT132,0,-'Tech Parameters'!$I17))</f>
        <v>0</v>
      </c>
      <c r="AU155">
        <f ca="1">IF(OR(AU$7-'Tech Parameters'!$I17&lt;2006,'Tech Parameters'!$I17=0),0,-OFFSET(AU132,0,-'Tech Parameters'!$I17))</f>
        <v>0</v>
      </c>
      <c r="AV155">
        <f ca="1">IF(OR(AV$7-'Tech Parameters'!$I17&lt;2006,'Tech Parameters'!$I17=0),0,-OFFSET(AV132,0,-'Tech Parameters'!$I17))</f>
        <v>0</v>
      </c>
      <c r="AW155">
        <f ca="1">IF(OR(AW$7-'Tech Parameters'!$I17&lt;2006,'Tech Parameters'!$I17=0),0,-OFFSET(AW132,0,-'Tech Parameters'!$I17))</f>
        <v>0</v>
      </c>
    </row>
    <row r="156" spans="3:49">
      <c r="C156" t="str">
        <f t="shared" si="79"/>
        <v>solar PV</v>
      </c>
      <c r="D156">
        <f ca="1">IF(D$7-'Tech Parameters'!$I18&lt;2006,0,-OFFSET(D133,0,-'Tech Parameters'!$I18))</f>
        <v>0</v>
      </c>
      <c r="E156">
        <f ca="1">IF(E$7-'Tech Parameters'!$I18&lt;2006,0,-OFFSET(E133,0,-'Tech Parameters'!$I18))</f>
        <v>0</v>
      </c>
      <c r="F156">
        <f ca="1">IF(F$7-'Tech Parameters'!$I18&lt;2006,0,-OFFSET(F133,0,-'Tech Parameters'!$I18))</f>
        <v>0</v>
      </c>
      <c r="G156">
        <f ca="1">IF(G$7-'Tech Parameters'!$I18&lt;2006,0,-OFFSET(G133,0,-'Tech Parameters'!$I18))</f>
        <v>0</v>
      </c>
      <c r="H156">
        <f ca="1">IF(H$7-'Tech Parameters'!$I18&lt;2006,0,-OFFSET(H133,0,-'Tech Parameters'!$I18))</f>
        <v>0</v>
      </c>
      <c r="I156">
        <f ca="1">IF(I$7-'Tech Parameters'!$I18&lt;2006,0,-OFFSET(I133,0,-'Tech Parameters'!$I18))</f>
        <v>0</v>
      </c>
      <c r="J156">
        <f ca="1">IF(J$7-'Tech Parameters'!$I18&lt;2006,0,-OFFSET(J133,0,-'Tech Parameters'!$I18))</f>
        <v>0</v>
      </c>
      <c r="K156">
        <f ca="1">IF(K$7-'Tech Parameters'!$I18&lt;2006,0,-OFFSET(K133,0,-'Tech Parameters'!$I18))</f>
        <v>0</v>
      </c>
      <c r="L156">
        <f ca="1">IF(L$7-'Tech Parameters'!$I18&lt;2006,0,-OFFSET(L133,0,-'Tech Parameters'!$I18))</f>
        <v>0</v>
      </c>
      <c r="M156">
        <f ca="1">IF(M$7-'Tech Parameters'!$I18&lt;2006,0,-OFFSET(M133,0,-'Tech Parameters'!$I18))</f>
        <v>0</v>
      </c>
      <c r="N156">
        <f ca="1">IF(N$7-'Tech Parameters'!$I18&lt;2006,0,-OFFSET(N133,0,-'Tech Parameters'!$I18))</f>
        <v>0</v>
      </c>
      <c r="O156">
        <f ca="1">IF(O$7-'Tech Parameters'!$I18&lt;2006,0,-OFFSET(O133,0,-'Tech Parameters'!$I18))</f>
        <v>0</v>
      </c>
      <c r="P156">
        <f ca="1">IF(P$7-'Tech Parameters'!$I18&lt;2006,0,-OFFSET(P133,0,-'Tech Parameters'!$I18))</f>
        <v>0</v>
      </c>
      <c r="Q156">
        <f ca="1">IF(Q$7-'Tech Parameters'!$I18&lt;2006,0,-OFFSET(Q133,0,-'Tech Parameters'!$I18))</f>
        <v>0</v>
      </c>
      <c r="R156">
        <f ca="1">IF(R$7-'Tech Parameters'!$I18&lt;2006,0,-OFFSET(R133,0,-'Tech Parameters'!$I18))</f>
        <v>0</v>
      </c>
      <c r="S156">
        <f ca="1">IF(S$7-'Tech Parameters'!$I18&lt;2006,0,-OFFSET(S133,0,-'Tech Parameters'!$I18))</f>
        <v>0</v>
      </c>
      <c r="T156">
        <f ca="1">IF(T$7-'Tech Parameters'!$I18&lt;2006,0,-OFFSET(T133,0,-'Tech Parameters'!$I18))</f>
        <v>0</v>
      </c>
      <c r="U156">
        <f ca="1">IF(U$7-'Tech Parameters'!$I18&lt;2006,0,-OFFSET(U133,0,-'Tech Parameters'!$I18))</f>
        <v>0</v>
      </c>
      <c r="V156">
        <f ca="1">IF(V$7-'Tech Parameters'!$I18&lt;2006,0,-OFFSET(V133,0,-'Tech Parameters'!$I18))</f>
        <v>0</v>
      </c>
      <c r="W156">
        <f ca="1">IF(W$7-'Tech Parameters'!$I18&lt;2006,0,-OFFSET(W133,0,-'Tech Parameters'!$I18))</f>
        <v>0</v>
      </c>
      <c r="X156">
        <f ca="1">IF(X$7-'Tech Parameters'!$I18&lt;2006,0,-OFFSET(X133,0,-'Tech Parameters'!$I18))</f>
        <v>0</v>
      </c>
      <c r="Y156">
        <f ca="1">IF(Y$7-'Tech Parameters'!$I18&lt;2006,0,-OFFSET(Y133,0,-'Tech Parameters'!$I18))</f>
        <v>0</v>
      </c>
      <c r="Z156">
        <f ca="1">IF(Z$7-'Tech Parameters'!$I18&lt;2006,0,-OFFSET(Z133,0,-'Tech Parameters'!$I18))</f>
        <v>0</v>
      </c>
      <c r="AA156">
        <f ca="1">IF(AA$7-'Tech Parameters'!$I18&lt;2006,0,-OFFSET(AA133,0,-'Tech Parameters'!$I18))</f>
        <v>0</v>
      </c>
      <c r="AB156">
        <f ca="1">IF(AB$7-'Tech Parameters'!$I18&lt;2006,0,-OFFSET(AB133,0,-'Tech Parameters'!$I18))</f>
        <v>0</v>
      </c>
      <c r="AC156">
        <f ca="1">IF(AC$7-'Tech Parameters'!$I18&lt;2006,0,-OFFSET(AC133,0,-'Tech Parameters'!$I18))</f>
        <v>0</v>
      </c>
      <c r="AD156">
        <f ca="1">IF(OR(AD$7-'Tech Parameters'!$I18&lt;2006,'Tech Parameters'!$I18=0),0,-OFFSET(AD133,0,-'Tech Parameters'!$I18))</f>
        <v>0</v>
      </c>
      <c r="AE156">
        <f ca="1">IF(OR(AE$7-'Tech Parameters'!$I18&lt;2006,'Tech Parameters'!$I18=0),0,-OFFSET(AE133,0,-'Tech Parameters'!$I18))</f>
        <v>0</v>
      </c>
      <c r="AF156">
        <f ca="1">IF(OR(AF$7-'Tech Parameters'!$I18&lt;2006,'Tech Parameters'!$I18=0),0,-OFFSET(AF133,0,-'Tech Parameters'!$I18))</f>
        <v>0</v>
      </c>
      <c r="AG156">
        <f ca="1">IF(OR(AG$7-'Tech Parameters'!$I18&lt;2006,'Tech Parameters'!$I18=0),0,-OFFSET(AG133,0,-'Tech Parameters'!$I18))</f>
        <v>0</v>
      </c>
      <c r="AH156">
        <f ca="1">IF(OR(AH$7-'Tech Parameters'!$I18&lt;2006,'Tech Parameters'!$I18=0),0,-OFFSET(AH133,0,-'Tech Parameters'!$I18))</f>
        <v>0</v>
      </c>
      <c r="AI156">
        <f ca="1">IF(OR(AI$7-'Tech Parameters'!$I18&lt;2006,'Tech Parameters'!$I18=0),0,-OFFSET(AI133,0,-'Tech Parameters'!$I18))</f>
        <v>0</v>
      </c>
      <c r="AJ156">
        <f ca="1">IF(OR(AJ$7-'Tech Parameters'!$I18&lt;2006,'Tech Parameters'!$I18=0),0,-OFFSET(AJ133,0,-'Tech Parameters'!$I18))</f>
        <v>0</v>
      </c>
      <c r="AK156">
        <f ca="1">IF(OR(AK$7-'Tech Parameters'!$I18&lt;2006,'Tech Parameters'!$I18=0),0,-OFFSET(AK133,0,-'Tech Parameters'!$I18))</f>
        <v>0</v>
      </c>
      <c r="AL156">
        <f ca="1">IF(OR(AL$7-'Tech Parameters'!$I18&lt;2006,'Tech Parameters'!$I18=0),0,-OFFSET(AL133,0,-'Tech Parameters'!$I18))</f>
        <v>0</v>
      </c>
      <c r="AM156">
        <f ca="1">IF(OR(AM$7-'Tech Parameters'!$I18&lt;2006,'Tech Parameters'!$I18=0),0,-OFFSET(AM133,0,-'Tech Parameters'!$I18))</f>
        <v>0</v>
      </c>
      <c r="AN156">
        <f ca="1">IF(OR(AN$7-'Tech Parameters'!$I18&lt;2006,'Tech Parameters'!$I18=0),0,-OFFSET(AN133,0,-'Tech Parameters'!$I18))</f>
        <v>0</v>
      </c>
      <c r="AO156">
        <f ca="1">IF(OR(AO$7-'Tech Parameters'!$I18&lt;2006,'Tech Parameters'!$I18=0),0,-OFFSET(AO133,0,-'Tech Parameters'!$I18))</f>
        <v>0</v>
      </c>
      <c r="AP156">
        <f ca="1">IF(OR(AP$7-'Tech Parameters'!$I18&lt;2006,'Tech Parameters'!$I18=0),0,-OFFSET(AP133,0,-'Tech Parameters'!$I18))</f>
        <v>0</v>
      </c>
      <c r="AQ156">
        <f ca="1">IF(OR(AQ$7-'Tech Parameters'!$I18&lt;2006,'Tech Parameters'!$I18=0),0,-OFFSET(AQ133,0,-'Tech Parameters'!$I18))</f>
        <v>0</v>
      </c>
      <c r="AR156">
        <f ca="1">IF(OR(AR$7-'Tech Parameters'!$I18&lt;2006,'Tech Parameters'!$I18=0),0,-OFFSET(AR133,0,-'Tech Parameters'!$I18))</f>
        <v>0</v>
      </c>
      <c r="AS156">
        <f ca="1">IF(OR(AS$7-'Tech Parameters'!$I18&lt;2006,'Tech Parameters'!$I18=0),0,-OFFSET(AS133,0,-'Tech Parameters'!$I18))</f>
        <v>0</v>
      </c>
      <c r="AT156">
        <f ca="1">IF(OR(AT$7-'Tech Parameters'!$I18&lt;2006,'Tech Parameters'!$I18=0),0,-OFFSET(AT133,0,-'Tech Parameters'!$I18))</f>
        <v>0</v>
      </c>
      <c r="AU156">
        <f ca="1">IF(OR(AU$7-'Tech Parameters'!$I18&lt;2006,'Tech Parameters'!$I18=0),0,-OFFSET(AU133,0,-'Tech Parameters'!$I18))</f>
        <v>0</v>
      </c>
      <c r="AV156">
        <f ca="1">IF(OR(AV$7-'Tech Parameters'!$I18&lt;2006,'Tech Parameters'!$I18=0),0,-OFFSET(AV133,0,-'Tech Parameters'!$I18))</f>
        <v>0</v>
      </c>
      <c r="AW156">
        <f ca="1">IF(OR(AW$7-'Tech Parameters'!$I18&lt;2006,'Tech Parameters'!$I18=0),0,-OFFSET(AW133,0,-'Tech Parameters'!$I18))</f>
        <v>0</v>
      </c>
    </row>
    <row r="157" spans="3:49">
      <c r="C157" t="str">
        <f t="shared" si="79"/>
        <v>combined cycle gas</v>
      </c>
      <c r="D157">
        <f ca="1">IF(D$7-'Tech Parameters'!$I19&lt;2006,0,-OFFSET(D134,0,-'Tech Parameters'!$I19))</f>
        <v>0</v>
      </c>
      <c r="E157">
        <f ca="1">IF(E$7-'Tech Parameters'!$I19&lt;2006,0,-OFFSET(E134,0,-'Tech Parameters'!$I19))</f>
        <v>0</v>
      </c>
      <c r="F157">
        <f ca="1">IF(F$7-'Tech Parameters'!$I19&lt;2006,0,-OFFSET(F134,0,-'Tech Parameters'!$I19))</f>
        <v>0</v>
      </c>
      <c r="G157">
        <f ca="1">IF(G$7-'Tech Parameters'!$I19&lt;2006,0,-OFFSET(G134,0,-'Tech Parameters'!$I19))</f>
        <v>0</v>
      </c>
      <c r="H157">
        <f ca="1">IF(H$7-'Tech Parameters'!$I19&lt;2006,0,-OFFSET(H134,0,-'Tech Parameters'!$I19))</f>
        <v>0</v>
      </c>
      <c r="I157">
        <f ca="1">IF(I$7-'Tech Parameters'!$I19&lt;2006,0,-OFFSET(I134,0,-'Tech Parameters'!$I19))</f>
        <v>0</v>
      </c>
      <c r="J157">
        <f ca="1">IF(J$7-'Tech Parameters'!$I19&lt;2006,0,-OFFSET(J134,0,-'Tech Parameters'!$I19))</f>
        <v>0</v>
      </c>
      <c r="K157">
        <f ca="1">IF(K$7-'Tech Parameters'!$I19&lt;2006,0,-OFFSET(K134,0,-'Tech Parameters'!$I19))</f>
        <v>0</v>
      </c>
      <c r="L157">
        <f ca="1">IF(L$7-'Tech Parameters'!$I19&lt;2006,0,-OFFSET(L134,0,-'Tech Parameters'!$I19))</f>
        <v>0</v>
      </c>
      <c r="M157">
        <f ca="1">IF(M$7-'Tech Parameters'!$I19&lt;2006,0,-OFFSET(M134,0,-'Tech Parameters'!$I19))</f>
        <v>0</v>
      </c>
      <c r="N157">
        <f ca="1">IF(N$7-'Tech Parameters'!$I19&lt;2006,0,-OFFSET(N134,0,-'Tech Parameters'!$I19))</f>
        <v>0</v>
      </c>
      <c r="O157">
        <f ca="1">IF(O$7-'Tech Parameters'!$I19&lt;2006,0,-OFFSET(O134,0,-'Tech Parameters'!$I19))</f>
        <v>0</v>
      </c>
      <c r="P157">
        <f ca="1">IF(P$7-'Tech Parameters'!$I19&lt;2006,0,-OFFSET(P134,0,-'Tech Parameters'!$I19))</f>
        <v>0</v>
      </c>
      <c r="Q157">
        <f ca="1">IF(Q$7-'Tech Parameters'!$I19&lt;2006,0,-OFFSET(Q134,0,-'Tech Parameters'!$I19))</f>
        <v>0</v>
      </c>
      <c r="R157">
        <f ca="1">IF(R$7-'Tech Parameters'!$I19&lt;2006,0,-OFFSET(R134,0,-'Tech Parameters'!$I19))</f>
        <v>0</v>
      </c>
      <c r="S157">
        <f ca="1">IF(S$7-'Tech Parameters'!$I19&lt;2006,0,-OFFSET(S134,0,-'Tech Parameters'!$I19))</f>
        <v>0</v>
      </c>
      <c r="T157">
        <f ca="1">IF(T$7-'Tech Parameters'!$I19&lt;2006,0,-OFFSET(T134,0,-'Tech Parameters'!$I19))</f>
        <v>0</v>
      </c>
      <c r="U157">
        <f ca="1">IF(U$7-'Tech Parameters'!$I19&lt;2006,0,-OFFSET(U134,0,-'Tech Parameters'!$I19))</f>
        <v>0</v>
      </c>
      <c r="V157">
        <f ca="1">IF(V$7-'Tech Parameters'!$I19&lt;2006,0,-OFFSET(V134,0,-'Tech Parameters'!$I19))</f>
        <v>0</v>
      </c>
      <c r="W157">
        <f ca="1">IF(W$7-'Tech Parameters'!$I19&lt;2006,0,-OFFSET(W134,0,-'Tech Parameters'!$I19))</f>
        <v>0</v>
      </c>
      <c r="X157">
        <f ca="1">IF(X$7-'Tech Parameters'!$I19&lt;2006,0,-OFFSET(X134,0,-'Tech Parameters'!$I19))</f>
        <v>0</v>
      </c>
      <c r="Y157">
        <f ca="1">IF(Y$7-'Tech Parameters'!$I19&lt;2006,0,-OFFSET(Y134,0,-'Tech Parameters'!$I19))</f>
        <v>0</v>
      </c>
      <c r="Z157">
        <f ca="1">IF(Z$7-'Tech Parameters'!$I19&lt;2006,0,-OFFSET(Z134,0,-'Tech Parameters'!$I19))</f>
        <v>0</v>
      </c>
      <c r="AA157">
        <f ca="1">IF(AA$7-'Tech Parameters'!$I19&lt;2006,0,-OFFSET(AA134,0,-'Tech Parameters'!$I19))</f>
        <v>0</v>
      </c>
      <c r="AB157">
        <f ca="1">IF(AB$7-'Tech Parameters'!$I19&lt;2006,0,-OFFSET(AB134,0,-'Tech Parameters'!$I19))</f>
        <v>0</v>
      </c>
      <c r="AC157">
        <f ca="1">IF(AC$7-'Tech Parameters'!$I19&lt;2006,0,-OFFSET(AC134,0,-'Tech Parameters'!$I19))</f>
        <v>0</v>
      </c>
      <c r="AD157">
        <f ca="1">IF(OR(AD$7-'Tech Parameters'!$I19&lt;2006,'Tech Parameters'!$I19=0),0,-OFFSET(AD134,0,-'Tech Parameters'!$I19))</f>
        <v>0</v>
      </c>
      <c r="AE157">
        <f ca="1">IF(OR(AE$7-'Tech Parameters'!$I19&lt;2006,'Tech Parameters'!$I19=0),0,-OFFSET(AE134,0,-'Tech Parameters'!$I19))</f>
        <v>0</v>
      </c>
      <c r="AF157">
        <f ca="1">IF(OR(AF$7-'Tech Parameters'!$I19&lt;2006,'Tech Parameters'!$I19=0),0,-OFFSET(AF134,0,-'Tech Parameters'!$I19))</f>
        <v>0</v>
      </c>
      <c r="AG157">
        <f ca="1">IF(OR(AG$7-'Tech Parameters'!$I19&lt;2006,'Tech Parameters'!$I19=0),0,-OFFSET(AG134,0,-'Tech Parameters'!$I19))</f>
        <v>0</v>
      </c>
      <c r="AH157">
        <f ca="1">IF(OR(AH$7-'Tech Parameters'!$I19&lt;2006,'Tech Parameters'!$I19=0),0,-OFFSET(AH134,0,-'Tech Parameters'!$I19))</f>
        <v>0</v>
      </c>
      <c r="AI157">
        <f ca="1">IF(OR(AI$7-'Tech Parameters'!$I19&lt;2006,'Tech Parameters'!$I19=0),0,-OFFSET(AI134,0,-'Tech Parameters'!$I19))</f>
        <v>0</v>
      </c>
      <c r="AJ157">
        <f ca="1">IF(OR(AJ$7-'Tech Parameters'!$I19&lt;2006,'Tech Parameters'!$I19=0),0,-OFFSET(AJ134,0,-'Tech Parameters'!$I19))</f>
        <v>0</v>
      </c>
      <c r="AK157">
        <f ca="1">IF(OR(AK$7-'Tech Parameters'!$I19&lt;2006,'Tech Parameters'!$I19=0),0,-OFFSET(AK134,0,-'Tech Parameters'!$I19))</f>
        <v>0</v>
      </c>
      <c r="AL157">
        <f ca="1">IF(OR(AL$7-'Tech Parameters'!$I19&lt;2006,'Tech Parameters'!$I19=0),0,-OFFSET(AL134,0,-'Tech Parameters'!$I19))</f>
        <v>0</v>
      </c>
      <c r="AM157">
        <f ca="1">IF(OR(AM$7-'Tech Parameters'!$I19&lt;2006,'Tech Parameters'!$I19=0),0,-OFFSET(AM134,0,-'Tech Parameters'!$I19))</f>
        <v>0</v>
      </c>
      <c r="AN157">
        <f ca="1">IF(OR(AN$7-'Tech Parameters'!$I19&lt;2006,'Tech Parameters'!$I19=0),0,-OFFSET(AN134,0,-'Tech Parameters'!$I19))</f>
        <v>0</v>
      </c>
      <c r="AO157">
        <f ca="1">IF(OR(AO$7-'Tech Parameters'!$I19&lt;2006,'Tech Parameters'!$I19=0),0,-OFFSET(AO134,0,-'Tech Parameters'!$I19))</f>
        <v>0</v>
      </c>
      <c r="AP157">
        <f ca="1">IF(OR(AP$7-'Tech Parameters'!$I19&lt;2006,'Tech Parameters'!$I19=0),0,-OFFSET(AP134,0,-'Tech Parameters'!$I19))</f>
        <v>0</v>
      </c>
      <c r="AQ157">
        <f ca="1">IF(OR(AQ$7-'Tech Parameters'!$I19&lt;2006,'Tech Parameters'!$I19=0),0,-OFFSET(AQ134,0,-'Tech Parameters'!$I19))</f>
        <v>0</v>
      </c>
      <c r="AR157">
        <f ca="1">IF(OR(AR$7-'Tech Parameters'!$I19&lt;2006,'Tech Parameters'!$I19=0),0,-OFFSET(AR134,0,-'Tech Parameters'!$I19))</f>
        <v>0</v>
      </c>
      <c r="AS157">
        <f ca="1">IF(OR(AS$7-'Tech Parameters'!$I19&lt;2006,'Tech Parameters'!$I19=0),0,-OFFSET(AS134,0,-'Tech Parameters'!$I19))</f>
        <v>0</v>
      </c>
      <c r="AT157">
        <f ca="1">IF(OR(AT$7-'Tech Parameters'!$I19&lt;2006,'Tech Parameters'!$I19=0),0,-OFFSET(AT134,0,-'Tech Parameters'!$I19))</f>
        <v>0</v>
      </c>
      <c r="AU157">
        <f ca="1">IF(OR(AU$7-'Tech Parameters'!$I19&lt;2006,'Tech Parameters'!$I19=0),0,-OFFSET(AU134,0,-'Tech Parameters'!$I19))</f>
        <v>0</v>
      </c>
      <c r="AV157">
        <f ca="1">IF(OR(AV$7-'Tech Parameters'!$I19&lt;2006,'Tech Parameters'!$I19=0),0,-OFFSET(AV134,0,-'Tech Parameters'!$I19))</f>
        <v>0</v>
      </c>
      <c r="AW157">
        <f ca="1">IF(OR(AW$7-'Tech Parameters'!$I19&lt;2006,'Tech Parameters'!$I19=0),0,-OFFSET(AW134,0,-'Tech Parameters'!$I19))</f>
        <v>0</v>
      </c>
    </row>
    <row r="158" spans="3:49">
      <c r="C158" t="str">
        <f t="shared" si="79"/>
        <v>PBMR</v>
      </c>
      <c r="D158">
        <f ca="1">IF(D$7-'Tech Parameters'!$I20&lt;2006,0,-OFFSET(D135,0,-'Tech Parameters'!$I20))</f>
        <v>0</v>
      </c>
      <c r="E158">
        <f ca="1">IF(E$7-'Tech Parameters'!$I20&lt;2006,0,-OFFSET(E135,0,-'Tech Parameters'!$I20))</f>
        <v>0</v>
      </c>
      <c r="F158">
        <f ca="1">IF(F$7-'Tech Parameters'!$I20&lt;2006,0,-OFFSET(F135,0,-'Tech Parameters'!$I20))</f>
        <v>0</v>
      </c>
      <c r="G158">
        <f ca="1">IF(G$7-'Tech Parameters'!$I20&lt;2006,0,-OFFSET(G135,0,-'Tech Parameters'!$I20))</f>
        <v>0</v>
      </c>
      <c r="H158">
        <f ca="1">IF(H$7-'Tech Parameters'!$I20&lt;2006,0,-OFFSET(H135,0,-'Tech Parameters'!$I20))</f>
        <v>0</v>
      </c>
      <c r="I158">
        <f ca="1">IF(I$7-'Tech Parameters'!$I20&lt;2006,0,-OFFSET(I135,0,-'Tech Parameters'!$I20))</f>
        <v>0</v>
      </c>
      <c r="J158">
        <f ca="1">IF(J$7-'Tech Parameters'!$I20&lt;2006,0,-OFFSET(J135,0,-'Tech Parameters'!$I20))</f>
        <v>0</v>
      </c>
      <c r="K158">
        <f ca="1">IF(K$7-'Tech Parameters'!$I20&lt;2006,0,-OFFSET(K135,0,-'Tech Parameters'!$I20))</f>
        <v>0</v>
      </c>
      <c r="L158">
        <f ca="1">IF(L$7-'Tech Parameters'!$I20&lt;2006,0,-OFFSET(L135,0,-'Tech Parameters'!$I20))</f>
        <v>0</v>
      </c>
      <c r="M158">
        <f ca="1">IF(M$7-'Tech Parameters'!$I20&lt;2006,0,-OFFSET(M135,0,-'Tech Parameters'!$I20))</f>
        <v>0</v>
      </c>
      <c r="N158">
        <f ca="1">IF(N$7-'Tech Parameters'!$I20&lt;2006,0,-OFFSET(N135,0,-'Tech Parameters'!$I20))</f>
        <v>0</v>
      </c>
      <c r="O158">
        <f ca="1">IF(O$7-'Tech Parameters'!$I20&lt;2006,0,-OFFSET(O135,0,-'Tech Parameters'!$I20))</f>
        <v>0</v>
      </c>
      <c r="P158">
        <f ca="1">IF(P$7-'Tech Parameters'!$I20&lt;2006,0,-OFFSET(P135,0,-'Tech Parameters'!$I20))</f>
        <v>0</v>
      </c>
      <c r="Q158">
        <f ca="1">IF(Q$7-'Tech Parameters'!$I20&lt;2006,0,-OFFSET(Q135,0,-'Tech Parameters'!$I20))</f>
        <v>0</v>
      </c>
      <c r="R158">
        <f ca="1">IF(R$7-'Tech Parameters'!$I20&lt;2006,0,-OFFSET(R135,0,-'Tech Parameters'!$I20))</f>
        <v>0</v>
      </c>
      <c r="S158">
        <f ca="1">IF(S$7-'Tech Parameters'!$I20&lt;2006,0,-OFFSET(S135,0,-'Tech Parameters'!$I20))</f>
        <v>0</v>
      </c>
      <c r="T158">
        <f ca="1">IF(T$7-'Tech Parameters'!$I20&lt;2006,0,-OFFSET(T135,0,-'Tech Parameters'!$I20))</f>
        <v>0</v>
      </c>
      <c r="U158">
        <f ca="1">IF(U$7-'Tech Parameters'!$I20&lt;2006,0,-OFFSET(U135,0,-'Tech Parameters'!$I20))</f>
        <v>0</v>
      </c>
      <c r="V158">
        <f ca="1">IF(V$7-'Tech Parameters'!$I20&lt;2006,0,-OFFSET(V135,0,-'Tech Parameters'!$I20))</f>
        <v>0</v>
      </c>
      <c r="W158">
        <f ca="1">IF(W$7-'Tech Parameters'!$I20&lt;2006,0,-OFFSET(W135,0,-'Tech Parameters'!$I20))</f>
        <v>0</v>
      </c>
      <c r="X158">
        <f ca="1">IF(X$7-'Tech Parameters'!$I20&lt;2006,0,-OFFSET(X135,0,-'Tech Parameters'!$I20))</f>
        <v>0</v>
      </c>
      <c r="Y158">
        <f ca="1">IF(Y$7-'Tech Parameters'!$I20&lt;2006,0,-OFFSET(Y135,0,-'Tech Parameters'!$I20))</f>
        <v>0</v>
      </c>
      <c r="Z158">
        <f ca="1">IF(Z$7-'Tech Parameters'!$I20&lt;2006,0,-OFFSET(Z135,0,-'Tech Parameters'!$I20))</f>
        <v>0</v>
      </c>
      <c r="AA158">
        <f ca="1">IF(AA$7-'Tech Parameters'!$I20&lt;2006,0,-OFFSET(AA135,0,-'Tech Parameters'!$I20))</f>
        <v>0</v>
      </c>
      <c r="AB158">
        <f ca="1">IF(AB$7-'Tech Parameters'!$I20&lt;2006,0,-OFFSET(AB135,0,-'Tech Parameters'!$I20))</f>
        <v>0</v>
      </c>
      <c r="AC158">
        <f ca="1">IF(AC$7-'Tech Parameters'!$I20&lt;2006,0,-OFFSET(AC135,0,-'Tech Parameters'!$I20))</f>
        <v>0</v>
      </c>
      <c r="AD158">
        <f ca="1">IF(OR(AD$7-'Tech Parameters'!$I20&lt;2006,'Tech Parameters'!$I20=0),0,-OFFSET(AD135,0,-'Tech Parameters'!$I20))</f>
        <v>0</v>
      </c>
      <c r="AE158">
        <f ca="1">IF(OR(AE$7-'Tech Parameters'!$I20&lt;2006,'Tech Parameters'!$I20=0),0,-OFFSET(AE135,0,-'Tech Parameters'!$I20))</f>
        <v>0</v>
      </c>
      <c r="AF158">
        <f ca="1">IF(OR(AF$7-'Tech Parameters'!$I20&lt;2006,'Tech Parameters'!$I20=0),0,-OFFSET(AF135,0,-'Tech Parameters'!$I20))</f>
        <v>0</v>
      </c>
      <c r="AG158">
        <f ca="1">IF(OR(AG$7-'Tech Parameters'!$I20&lt;2006,'Tech Parameters'!$I20=0),0,-OFFSET(AG135,0,-'Tech Parameters'!$I20))</f>
        <v>0</v>
      </c>
      <c r="AH158">
        <f ca="1">IF(OR(AH$7-'Tech Parameters'!$I20&lt;2006,'Tech Parameters'!$I20=0),0,-OFFSET(AH135,0,-'Tech Parameters'!$I20))</f>
        <v>0</v>
      </c>
      <c r="AI158">
        <f ca="1">IF(OR(AI$7-'Tech Parameters'!$I20&lt;2006,'Tech Parameters'!$I20=0),0,-OFFSET(AI135,0,-'Tech Parameters'!$I20))</f>
        <v>0</v>
      </c>
      <c r="AJ158">
        <f ca="1">IF(OR(AJ$7-'Tech Parameters'!$I20&lt;2006,'Tech Parameters'!$I20=0),0,-OFFSET(AJ135,0,-'Tech Parameters'!$I20))</f>
        <v>0</v>
      </c>
      <c r="AK158">
        <f ca="1">IF(OR(AK$7-'Tech Parameters'!$I20&lt;2006,'Tech Parameters'!$I20=0),0,-OFFSET(AK135,0,-'Tech Parameters'!$I20))</f>
        <v>0</v>
      </c>
      <c r="AL158">
        <f ca="1">IF(OR(AL$7-'Tech Parameters'!$I20&lt;2006,'Tech Parameters'!$I20=0),0,-OFFSET(AL135,0,-'Tech Parameters'!$I20))</f>
        <v>0</v>
      </c>
      <c r="AM158">
        <f ca="1">IF(OR(AM$7-'Tech Parameters'!$I20&lt;2006,'Tech Parameters'!$I20=0),0,-OFFSET(AM135,0,-'Tech Parameters'!$I20))</f>
        <v>0</v>
      </c>
      <c r="AN158">
        <f ca="1">IF(OR(AN$7-'Tech Parameters'!$I20&lt;2006,'Tech Parameters'!$I20=0),0,-OFFSET(AN135,0,-'Tech Parameters'!$I20))</f>
        <v>0</v>
      </c>
      <c r="AO158">
        <f ca="1">IF(OR(AO$7-'Tech Parameters'!$I20&lt;2006,'Tech Parameters'!$I20=0),0,-OFFSET(AO135,0,-'Tech Parameters'!$I20))</f>
        <v>0</v>
      </c>
      <c r="AP158">
        <f ca="1">IF(OR(AP$7-'Tech Parameters'!$I20&lt;2006,'Tech Parameters'!$I20=0),0,-OFFSET(AP135,0,-'Tech Parameters'!$I20))</f>
        <v>0</v>
      </c>
      <c r="AQ158">
        <f ca="1">IF(OR(AQ$7-'Tech Parameters'!$I20&lt;2006,'Tech Parameters'!$I20=0),0,-OFFSET(AQ135,0,-'Tech Parameters'!$I20))</f>
        <v>0</v>
      </c>
      <c r="AR158">
        <f ca="1">IF(OR(AR$7-'Tech Parameters'!$I20&lt;2006,'Tech Parameters'!$I20=0),0,-OFFSET(AR135,0,-'Tech Parameters'!$I20))</f>
        <v>0</v>
      </c>
      <c r="AS158">
        <f ca="1">IF(OR(AS$7-'Tech Parameters'!$I20&lt;2006,'Tech Parameters'!$I20=0),0,-OFFSET(AS135,0,-'Tech Parameters'!$I20))</f>
        <v>0</v>
      </c>
      <c r="AT158">
        <f ca="1">IF(OR(AT$7-'Tech Parameters'!$I20&lt;2006,'Tech Parameters'!$I20=0),0,-OFFSET(AT135,0,-'Tech Parameters'!$I20))</f>
        <v>0</v>
      </c>
      <c r="AU158">
        <f ca="1">IF(OR(AU$7-'Tech Parameters'!$I20&lt;2006,'Tech Parameters'!$I20=0),0,-OFFSET(AU135,0,-'Tech Parameters'!$I20))</f>
        <v>0</v>
      </c>
      <c r="AV158">
        <f ca="1">IF(OR(AV$7-'Tech Parameters'!$I20&lt;2006,'Tech Parameters'!$I20=0),0,-OFFSET(AV135,0,-'Tech Parameters'!$I20))</f>
        <v>0</v>
      </c>
      <c r="AW158">
        <f ca="1">IF(OR(AW$7-'Tech Parameters'!$I20&lt;2006,'Tech Parameters'!$I20=0),0,-OFFSET(AW135,0,-'Tech Parameters'!$I20))</f>
        <v>0</v>
      </c>
    </row>
    <row r="159" spans="3:49">
      <c r="C159" t="str">
        <f t="shared" si="79"/>
        <v>IGCC</v>
      </c>
      <c r="D159">
        <f ca="1">IF(D$7-'Tech Parameters'!$I21&lt;2006,0,-OFFSET(D136,0,-'Tech Parameters'!$I21))</f>
        <v>0</v>
      </c>
      <c r="E159">
        <f ca="1">IF(E$7-'Tech Parameters'!$I21&lt;2006,0,-OFFSET(E136,0,-'Tech Parameters'!$I21))</f>
        <v>0</v>
      </c>
      <c r="F159">
        <f ca="1">IF(F$7-'Tech Parameters'!$I21&lt;2006,0,-OFFSET(F136,0,-'Tech Parameters'!$I21))</f>
        <v>0</v>
      </c>
      <c r="G159">
        <f ca="1">IF(G$7-'Tech Parameters'!$I21&lt;2006,0,-OFFSET(G136,0,-'Tech Parameters'!$I21))</f>
        <v>0</v>
      </c>
      <c r="H159">
        <f ca="1">IF(H$7-'Tech Parameters'!$I21&lt;2006,0,-OFFSET(H136,0,-'Tech Parameters'!$I21))</f>
        <v>0</v>
      </c>
      <c r="I159">
        <f ca="1">IF(I$7-'Tech Parameters'!$I21&lt;2006,0,-OFFSET(I136,0,-'Tech Parameters'!$I21))</f>
        <v>0</v>
      </c>
      <c r="J159">
        <f ca="1">IF(J$7-'Tech Parameters'!$I21&lt;2006,0,-OFFSET(J136,0,-'Tech Parameters'!$I21))</f>
        <v>0</v>
      </c>
      <c r="K159">
        <f ca="1">IF(K$7-'Tech Parameters'!$I21&lt;2006,0,-OFFSET(K136,0,-'Tech Parameters'!$I21))</f>
        <v>0</v>
      </c>
      <c r="L159">
        <f ca="1">IF(L$7-'Tech Parameters'!$I21&lt;2006,0,-OFFSET(L136,0,-'Tech Parameters'!$I21))</f>
        <v>0</v>
      </c>
      <c r="M159">
        <f ca="1">IF(M$7-'Tech Parameters'!$I21&lt;2006,0,-OFFSET(M136,0,-'Tech Parameters'!$I21))</f>
        <v>0</v>
      </c>
      <c r="N159">
        <f ca="1">IF(N$7-'Tech Parameters'!$I21&lt;2006,0,-OFFSET(N136,0,-'Tech Parameters'!$I21))</f>
        <v>0</v>
      </c>
      <c r="O159">
        <f ca="1">IF(O$7-'Tech Parameters'!$I21&lt;2006,0,-OFFSET(O136,0,-'Tech Parameters'!$I21))</f>
        <v>0</v>
      </c>
      <c r="P159">
        <f ca="1">IF(P$7-'Tech Parameters'!$I21&lt;2006,0,-OFFSET(P136,0,-'Tech Parameters'!$I21))</f>
        <v>0</v>
      </c>
      <c r="Q159">
        <f ca="1">IF(Q$7-'Tech Parameters'!$I21&lt;2006,0,-OFFSET(Q136,0,-'Tech Parameters'!$I21))</f>
        <v>0</v>
      </c>
      <c r="R159">
        <f ca="1">IF(R$7-'Tech Parameters'!$I21&lt;2006,0,-OFFSET(R136,0,-'Tech Parameters'!$I21))</f>
        <v>0</v>
      </c>
      <c r="S159">
        <f ca="1">IF(S$7-'Tech Parameters'!$I21&lt;2006,0,-OFFSET(S136,0,-'Tech Parameters'!$I21))</f>
        <v>0</v>
      </c>
      <c r="T159">
        <f ca="1">IF(T$7-'Tech Parameters'!$I21&lt;2006,0,-OFFSET(T136,0,-'Tech Parameters'!$I21))</f>
        <v>0</v>
      </c>
      <c r="U159">
        <f ca="1">IF(U$7-'Tech Parameters'!$I21&lt;2006,0,-OFFSET(U136,0,-'Tech Parameters'!$I21))</f>
        <v>0</v>
      </c>
      <c r="V159">
        <f ca="1">IF(V$7-'Tech Parameters'!$I21&lt;2006,0,-OFFSET(V136,0,-'Tech Parameters'!$I21))</f>
        <v>0</v>
      </c>
      <c r="W159">
        <f ca="1">IF(W$7-'Tech Parameters'!$I21&lt;2006,0,-OFFSET(W136,0,-'Tech Parameters'!$I21))</f>
        <v>0</v>
      </c>
      <c r="X159">
        <f ca="1">IF(X$7-'Tech Parameters'!$I21&lt;2006,0,-OFFSET(X136,0,-'Tech Parameters'!$I21))</f>
        <v>0</v>
      </c>
      <c r="Y159">
        <f ca="1">IF(Y$7-'Tech Parameters'!$I21&lt;2006,0,-OFFSET(Y136,0,-'Tech Parameters'!$I21))</f>
        <v>0</v>
      </c>
      <c r="Z159">
        <f ca="1">IF(Z$7-'Tech Parameters'!$I21&lt;2006,0,-OFFSET(Z136,0,-'Tech Parameters'!$I21))</f>
        <v>0</v>
      </c>
      <c r="AA159">
        <f ca="1">IF(AA$7-'Tech Parameters'!$I21&lt;2006,0,-OFFSET(AA136,0,-'Tech Parameters'!$I21))</f>
        <v>0</v>
      </c>
      <c r="AB159">
        <f ca="1">IF(AB$7-'Tech Parameters'!$I21&lt;2006,0,-OFFSET(AB136,0,-'Tech Parameters'!$I21))</f>
        <v>0</v>
      </c>
      <c r="AC159">
        <f ca="1">IF(AC$7-'Tech Parameters'!$I21&lt;2006,0,-OFFSET(AC136,0,-'Tech Parameters'!$I21))</f>
        <v>0</v>
      </c>
      <c r="AD159">
        <f ca="1">IF(OR(AD$7-'Tech Parameters'!$I21&lt;2006,'Tech Parameters'!$I21=0),0,-OFFSET(AD136,0,-'Tech Parameters'!$I21))</f>
        <v>0</v>
      </c>
      <c r="AE159">
        <f ca="1">IF(OR(AE$7-'Tech Parameters'!$I21&lt;2006,'Tech Parameters'!$I21=0),0,-OFFSET(AE136,0,-'Tech Parameters'!$I21))</f>
        <v>0</v>
      </c>
      <c r="AF159">
        <f ca="1">IF(OR(AF$7-'Tech Parameters'!$I21&lt;2006,'Tech Parameters'!$I21=0),0,-OFFSET(AF136,0,-'Tech Parameters'!$I21))</f>
        <v>0</v>
      </c>
      <c r="AG159">
        <f ca="1">IF(OR(AG$7-'Tech Parameters'!$I21&lt;2006,'Tech Parameters'!$I21=0),0,-OFFSET(AG136,0,-'Tech Parameters'!$I21))</f>
        <v>0</v>
      </c>
      <c r="AH159">
        <f ca="1">IF(OR(AH$7-'Tech Parameters'!$I21&lt;2006,'Tech Parameters'!$I21=0),0,-OFFSET(AH136,0,-'Tech Parameters'!$I21))</f>
        <v>0</v>
      </c>
      <c r="AI159">
        <f ca="1">IF(OR(AI$7-'Tech Parameters'!$I21&lt;2006,'Tech Parameters'!$I21=0),0,-OFFSET(AI136,0,-'Tech Parameters'!$I21))</f>
        <v>0</v>
      </c>
      <c r="AJ159">
        <f ca="1">IF(OR(AJ$7-'Tech Parameters'!$I21&lt;2006,'Tech Parameters'!$I21=0),0,-OFFSET(AJ136,0,-'Tech Parameters'!$I21))</f>
        <v>0</v>
      </c>
      <c r="AK159">
        <f ca="1">IF(OR(AK$7-'Tech Parameters'!$I21&lt;2006,'Tech Parameters'!$I21=0),0,-OFFSET(AK136,0,-'Tech Parameters'!$I21))</f>
        <v>0</v>
      </c>
      <c r="AL159">
        <f ca="1">IF(OR(AL$7-'Tech Parameters'!$I21&lt;2006,'Tech Parameters'!$I21=0),0,-OFFSET(AL136,0,-'Tech Parameters'!$I21))</f>
        <v>0</v>
      </c>
      <c r="AM159">
        <f ca="1">IF(OR(AM$7-'Tech Parameters'!$I21&lt;2006,'Tech Parameters'!$I21=0),0,-OFFSET(AM136,0,-'Tech Parameters'!$I21))</f>
        <v>0</v>
      </c>
      <c r="AN159">
        <f ca="1">IF(OR(AN$7-'Tech Parameters'!$I21&lt;2006,'Tech Parameters'!$I21=0),0,-OFFSET(AN136,0,-'Tech Parameters'!$I21))</f>
        <v>0</v>
      </c>
      <c r="AO159">
        <f ca="1">IF(OR(AO$7-'Tech Parameters'!$I21&lt;2006,'Tech Parameters'!$I21=0),0,-OFFSET(AO136,0,-'Tech Parameters'!$I21))</f>
        <v>0</v>
      </c>
      <c r="AP159">
        <f ca="1">IF(OR(AP$7-'Tech Parameters'!$I21&lt;2006,'Tech Parameters'!$I21=0),0,-OFFSET(AP136,0,-'Tech Parameters'!$I21))</f>
        <v>0</v>
      </c>
      <c r="AQ159">
        <f ca="1">IF(OR(AQ$7-'Tech Parameters'!$I21&lt;2006,'Tech Parameters'!$I21=0),0,-OFFSET(AQ136,0,-'Tech Parameters'!$I21))</f>
        <v>0</v>
      </c>
      <c r="AR159">
        <f ca="1">IF(OR(AR$7-'Tech Parameters'!$I21&lt;2006,'Tech Parameters'!$I21=0),0,-OFFSET(AR136,0,-'Tech Parameters'!$I21))</f>
        <v>0</v>
      </c>
      <c r="AS159">
        <f ca="1">IF(OR(AS$7-'Tech Parameters'!$I21&lt;2006,'Tech Parameters'!$I21=0),0,-OFFSET(AS136,0,-'Tech Parameters'!$I21))</f>
        <v>0</v>
      </c>
      <c r="AT159">
        <f ca="1">IF(OR(AT$7-'Tech Parameters'!$I21&lt;2006,'Tech Parameters'!$I21=0),0,-OFFSET(AT136,0,-'Tech Parameters'!$I21))</f>
        <v>0</v>
      </c>
      <c r="AU159">
        <f ca="1">IF(OR(AU$7-'Tech Parameters'!$I21&lt;2006,'Tech Parameters'!$I21=0),0,-OFFSET(AU136,0,-'Tech Parameters'!$I21))</f>
        <v>0</v>
      </c>
      <c r="AV159">
        <f ca="1">IF(OR(AV$7-'Tech Parameters'!$I21&lt;2006,'Tech Parameters'!$I21=0),0,-OFFSET(AV136,0,-'Tech Parameters'!$I21))</f>
        <v>0</v>
      </c>
      <c r="AW159">
        <f ca="1">IF(OR(AW$7-'Tech Parameters'!$I21&lt;2006,'Tech Parameters'!$I21=0),0,-OFFSET(AW136,0,-'Tech Parameters'!$I21))</f>
        <v>0</v>
      </c>
    </row>
    <row r="160" spans="3:49">
      <c r="C160" t="str">
        <f t="shared" si="79"/>
        <v>-</v>
      </c>
      <c r="D160">
        <f ca="1">IF(D$7-'Tech Parameters'!$I22&lt;2006,0,-OFFSET(D137,0,-'Tech Parameters'!$I22))</f>
        <v>0</v>
      </c>
      <c r="E160">
        <f ca="1">IF(E$7-'Tech Parameters'!$I22&lt;2006,0,-OFFSET(E137,0,-'Tech Parameters'!$I22))</f>
        <v>0</v>
      </c>
      <c r="F160">
        <f ca="1">IF(F$7-'Tech Parameters'!$I22&lt;2006,0,-OFFSET(F137,0,-'Tech Parameters'!$I22))</f>
        <v>0</v>
      </c>
      <c r="G160">
        <f ca="1">IF(G$7-'Tech Parameters'!$I22&lt;2006,0,-OFFSET(G137,0,-'Tech Parameters'!$I22))</f>
        <v>0</v>
      </c>
      <c r="H160">
        <f ca="1">IF(H$7-'Tech Parameters'!$I22&lt;2006,0,-OFFSET(H137,0,-'Tech Parameters'!$I22))</f>
        <v>0</v>
      </c>
      <c r="I160">
        <f ca="1">IF(I$7-'Tech Parameters'!$I22&lt;2006,0,-OFFSET(I137,0,-'Tech Parameters'!$I22))</f>
        <v>0</v>
      </c>
      <c r="J160">
        <f ca="1">IF(J$7-'Tech Parameters'!$I22&lt;2006,0,-OFFSET(J137,0,-'Tech Parameters'!$I22))</f>
        <v>0</v>
      </c>
      <c r="K160">
        <f ca="1">IF(K$7-'Tech Parameters'!$I22&lt;2006,0,-OFFSET(K137,0,-'Tech Parameters'!$I22))</f>
        <v>0</v>
      </c>
      <c r="L160">
        <f ca="1">IF(L$7-'Tech Parameters'!$I22&lt;2006,0,-OFFSET(L137,0,-'Tech Parameters'!$I22))</f>
        <v>0</v>
      </c>
      <c r="M160">
        <f ca="1">IF(M$7-'Tech Parameters'!$I22&lt;2006,0,-OFFSET(M137,0,-'Tech Parameters'!$I22))</f>
        <v>0</v>
      </c>
      <c r="N160">
        <f ca="1">IF(N$7-'Tech Parameters'!$I22&lt;2006,0,-OFFSET(N137,0,-'Tech Parameters'!$I22))</f>
        <v>0</v>
      </c>
      <c r="O160">
        <f ca="1">IF(O$7-'Tech Parameters'!$I22&lt;2006,0,-OFFSET(O137,0,-'Tech Parameters'!$I22))</f>
        <v>0</v>
      </c>
      <c r="P160">
        <f ca="1">IF(P$7-'Tech Parameters'!$I22&lt;2006,0,-OFFSET(P137,0,-'Tech Parameters'!$I22))</f>
        <v>0</v>
      </c>
      <c r="Q160">
        <f ca="1">IF(Q$7-'Tech Parameters'!$I22&lt;2006,0,-OFFSET(Q137,0,-'Tech Parameters'!$I22))</f>
        <v>0</v>
      </c>
      <c r="R160">
        <f ca="1">IF(R$7-'Tech Parameters'!$I22&lt;2006,0,-OFFSET(R137,0,-'Tech Parameters'!$I22))</f>
        <v>0</v>
      </c>
      <c r="S160">
        <f ca="1">IF(S$7-'Tech Parameters'!$I22&lt;2006,0,-OFFSET(S137,0,-'Tech Parameters'!$I22))</f>
        <v>0</v>
      </c>
      <c r="T160">
        <f ca="1">IF(T$7-'Tech Parameters'!$I22&lt;2006,0,-OFFSET(T137,0,-'Tech Parameters'!$I22))</f>
        <v>0</v>
      </c>
      <c r="U160">
        <f ca="1">IF(U$7-'Tech Parameters'!$I22&lt;2006,0,-OFFSET(U137,0,-'Tech Parameters'!$I22))</f>
        <v>0</v>
      </c>
      <c r="V160">
        <f ca="1">IF(V$7-'Tech Parameters'!$I22&lt;2006,0,-OFFSET(V137,0,-'Tech Parameters'!$I22))</f>
        <v>0</v>
      </c>
      <c r="W160">
        <f ca="1">IF(W$7-'Tech Parameters'!$I22&lt;2006,0,-OFFSET(W137,0,-'Tech Parameters'!$I22))</f>
        <v>0</v>
      </c>
      <c r="X160">
        <f ca="1">IF(X$7-'Tech Parameters'!$I22&lt;2006,0,-OFFSET(X137,0,-'Tech Parameters'!$I22))</f>
        <v>0</v>
      </c>
      <c r="Y160">
        <f ca="1">IF(Y$7-'Tech Parameters'!$I22&lt;2006,0,-OFFSET(Y137,0,-'Tech Parameters'!$I22))</f>
        <v>0</v>
      </c>
      <c r="Z160">
        <f ca="1">IF(Z$7-'Tech Parameters'!$I22&lt;2006,0,-OFFSET(Z137,0,-'Tech Parameters'!$I22))</f>
        <v>0</v>
      </c>
      <c r="AA160">
        <f ca="1">IF(AA$7-'Tech Parameters'!$I22&lt;2006,0,-OFFSET(AA137,0,-'Tech Parameters'!$I22))</f>
        <v>0</v>
      </c>
      <c r="AB160">
        <f ca="1">IF(AB$7-'Tech Parameters'!$I22&lt;2006,0,-OFFSET(AB137,0,-'Tech Parameters'!$I22))</f>
        <v>0</v>
      </c>
      <c r="AC160">
        <f ca="1">IF(AC$7-'Tech Parameters'!$I22&lt;2006,0,-OFFSET(AC137,0,-'Tech Parameters'!$I22))</f>
        <v>0</v>
      </c>
      <c r="AD160">
        <f ca="1">IF(OR(AD$7-'Tech Parameters'!$I22&lt;2006,'Tech Parameters'!$I22=0),0,-OFFSET(AD137,0,-'Tech Parameters'!$I22))</f>
        <v>0</v>
      </c>
      <c r="AE160">
        <f ca="1">IF(OR(AE$7-'Tech Parameters'!$I22&lt;2006,'Tech Parameters'!$I22=0),0,-OFFSET(AE137,0,-'Tech Parameters'!$I22))</f>
        <v>0</v>
      </c>
      <c r="AF160">
        <f ca="1">IF(OR(AF$7-'Tech Parameters'!$I22&lt;2006,'Tech Parameters'!$I22=0),0,-OFFSET(AF137,0,-'Tech Parameters'!$I22))</f>
        <v>0</v>
      </c>
      <c r="AG160">
        <f ca="1">IF(OR(AG$7-'Tech Parameters'!$I22&lt;2006,'Tech Parameters'!$I22=0),0,-OFFSET(AG137,0,-'Tech Parameters'!$I22))</f>
        <v>0</v>
      </c>
      <c r="AH160">
        <f ca="1">IF(OR(AH$7-'Tech Parameters'!$I22&lt;2006,'Tech Parameters'!$I22=0),0,-OFFSET(AH137,0,-'Tech Parameters'!$I22))</f>
        <v>0</v>
      </c>
      <c r="AI160">
        <f ca="1">IF(OR(AI$7-'Tech Parameters'!$I22&lt;2006,'Tech Parameters'!$I22=0),0,-OFFSET(AI137,0,-'Tech Parameters'!$I22))</f>
        <v>0</v>
      </c>
      <c r="AJ160">
        <f ca="1">IF(OR(AJ$7-'Tech Parameters'!$I22&lt;2006,'Tech Parameters'!$I22=0),0,-OFFSET(AJ137,0,-'Tech Parameters'!$I22))</f>
        <v>0</v>
      </c>
      <c r="AK160">
        <f ca="1">IF(OR(AK$7-'Tech Parameters'!$I22&lt;2006,'Tech Parameters'!$I22=0),0,-OFFSET(AK137,0,-'Tech Parameters'!$I22))</f>
        <v>0</v>
      </c>
      <c r="AL160">
        <f ca="1">IF(OR(AL$7-'Tech Parameters'!$I22&lt;2006,'Tech Parameters'!$I22=0),0,-OFFSET(AL137,0,-'Tech Parameters'!$I22))</f>
        <v>0</v>
      </c>
      <c r="AM160">
        <f ca="1">IF(OR(AM$7-'Tech Parameters'!$I22&lt;2006,'Tech Parameters'!$I22=0),0,-OFFSET(AM137,0,-'Tech Parameters'!$I22))</f>
        <v>0</v>
      </c>
      <c r="AN160">
        <f ca="1">IF(OR(AN$7-'Tech Parameters'!$I22&lt;2006,'Tech Parameters'!$I22=0),0,-OFFSET(AN137,0,-'Tech Parameters'!$I22))</f>
        <v>0</v>
      </c>
      <c r="AO160">
        <f ca="1">IF(OR(AO$7-'Tech Parameters'!$I22&lt;2006,'Tech Parameters'!$I22=0),0,-OFFSET(AO137,0,-'Tech Parameters'!$I22))</f>
        <v>0</v>
      </c>
      <c r="AP160">
        <f ca="1">IF(OR(AP$7-'Tech Parameters'!$I22&lt;2006,'Tech Parameters'!$I22=0),0,-OFFSET(AP137,0,-'Tech Parameters'!$I22))</f>
        <v>0</v>
      </c>
      <c r="AQ160">
        <f ca="1">IF(OR(AQ$7-'Tech Parameters'!$I22&lt;2006,'Tech Parameters'!$I22=0),0,-OFFSET(AQ137,0,-'Tech Parameters'!$I22))</f>
        <v>0</v>
      </c>
      <c r="AR160">
        <f ca="1">IF(OR(AR$7-'Tech Parameters'!$I22&lt;2006,'Tech Parameters'!$I22=0),0,-OFFSET(AR137,0,-'Tech Parameters'!$I22))</f>
        <v>0</v>
      </c>
      <c r="AS160">
        <f ca="1">IF(OR(AS$7-'Tech Parameters'!$I22&lt;2006,'Tech Parameters'!$I22=0),0,-OFFSET(AS137,0,-'Tech Parameters'!$I22))</f>
        <v>0</v>
      </c>
      <c r="AT160">
        <f ca="1">IF(OR(AT$7-'Tech Parameters'!$I22&lt;2006,'Tech Parameters'!$I22=0),0,-OFFSET(AT137,0,-'Tech Parameters'!$I22))</f>
        <v>0</v>
      </c>
      <c r="AU160">
        <f ca="1">IF(OR(AU$7-'Tech Parameters'!$I22&lt;2006,'Tech Parameters'!$I22=0),0,-OFFSET(AU137,0,-'Tech Parameters'!$I22))</f>
        <v>0</v>
      </c>
      <c r="AV160">
        <f ca="1">IF(OR(AV$7-'Tech Parameters'!$I22&lt;2006,'Tech Parameters'!$I22=0),0,-OFFSET(AV137,0,-'Tech Parameters'!$I22))</f>
        <v>0</v>
      </c>
      <c r="AW160">
        <f ca="1">IF(OR(AW$7-'Tech Parameters'!$I22&lt;2006,'Tech Parameters'!$I22=0),0,-OFFSET(AW137,0,-'Tech Parameters'!$I22))</f>
        <v>0</v>
      </c>
    </row>
    <row r="161" spans="2:64">
      <c r="C161" t="str">
        <f t="shared" si="79"/>
        <v>-</v>
      </c>
      <c r="D161">
        <f ca="1">IF(D$7-'Tech Parameters'!$I23&lt;2006,0,-OFFSET(D138,0,-'Tech Parameters'!$I23))</f>
        <v>0</v>
      </c>
      <c r="E161">
        <f ca="1">IF(E$7-'Tech Parameters'!$I23&lt;2006,0,-OFFSET(E138,0,-'Tech Parameters'!$I23))</f>
        <v>0</v>
      </c>
      <c r="F161">
        <f ca="1">IF(F$7-'Tech Parameters'!$I23&lt;2006,0,-OFFSET(F138,0,-'Tech Parameters'!$I23))</f>
        <v>0</v>
      </c>
      <c r="G161">
        <f ca="1">IF(G$7-'Tech Parameters'!$I23&lt;2006,0,-OFFSET(G138,0,-'Tech Parameters'!$I23))</f>
        <v>0</v>
      </c>
      <c r="H161">
        <f ca="1">IF(H$7-'Tech Parameters'!$I23&lt;2006,0,-OFFSET(H138,0,-'Tech Parameters'!$I23))</f>
        <v>0</v>
      </c>
      <c r="I161">
        <f ca="1">IF(I$7-'Tech Parameters'!$I23&lt;2006,0,-OFFSET(I138,0,-'Tech Parameters'!$I23))</f>
        <v>0</v>
      </c>
      <c r="J161">
        <f ca="1">IF(J$7-'Tech Parameters'!$I23&lt;2006,0,-OFFSET(J138,0,-'Tech Parameters'!$I23))</f>
        <v>0</v>
      </c>
      <c r="K161">
        <f ca="1">IF(K$7-'Tech Parameters'!$I23&lt;2006,0,-OFFSET(K138,0,-'Tech Parameters'!$I23))</f>
        <v>0</v>
      </c>
      <c r="L161">
        <f ca="1">IF(L$7-'Tech Parameters'!$I23&lt;2006,0,-OFFSET(L138,0,-'Tech Parameters'!$I23))</f>
        <v>0</v>
      </c>
      <c r="M161">
        <f ca="1">IF(M$7-'Tech Parameters'!$I23&lt;2006,0,-OFFSET(M138,0,-'Tech Parameters'!$I23))</f>
        <v>0</v>
      </c>
      <c r="N161">
        <f ca="1">IF(N$7-'Tech Parameters'!$I23&lt;2006,0,-OFFSET(N138,0,-'Tech Parameters'!$I23))</f>
        <v>0</v>
      </c>
      <c r="O161">
        <f ca="1">IF(O$7-'Tech Parameters'!$I23&lt;2006,0,-OFFSET(O138,0,-'Tech Parameters'!$I23))</f>
        <v>0</v>
      </c>
      <c r="P161">
        <f ca="1">IF(P$7-'Tech Parameters'!$I23&lt;2006,0,-OFFSET(P138,0,-'Tech Parameters'!$I23))</f>
        <v>0</v>
      </c>
      <c r="Q161">
        <f ca="1">IF(Q$7-'Tech Parameters'!$I23&lt;2006,0,-OFFSET(Q138,0,-'Tech Parameters'!$I23))</f>
        <v>0</v>
      </c>
      <c r="R161">
        <f ca="1">IF(R$7-'Tech Parameters'!$I23&lt;2006,0,-OFFSET(R138,0,-'Tech Parameters'!$I23))</f>
        <v>0</v>
      </c>
      <c r="S161">
        <f ca="1">IF(S$7-'Tech Parameters'!$I23&lt;2006,0,-OFFSET(S138,0,-'Tech Parameters'!$I23))</f>
        <v>0</v>
      </c>
      <c r="T161">
        <f ca="1">IF(T$7-'Tech Parameters'!$I23&lt;2006,0,-OFFSET(T138,0,-'Tech Parameters'!$I23))</f>
        <v>0</v>
      </c>
      <c r="U161">
        <f ca="1">IF(U$7-'Tech Parameters'!$I23&lt;2006,0,-OFFSET(U138,0,-'Tech Parameters'!$I23))</f>
        <v>0</v>
      </c>
      <c r="V161">
        <f ca="1">IF(V$7-'Tech Parameters'!$I23&lt;2006,0,-OFFSET(V138,0,-'Tech Parameters'!$I23))</f>
        <v>0</v>
      </c>
      <c r="W161">
        <f ca="1">IF(W$7-'Tech Parameters'!$I23&lt;2006,0,-OFFSET(W138,0,-'Tech Parameters'!$I23))</f>
        <v>0</v>
      </c>
      <c r="X161">
        <f ca="1">IF(X$7-'Tech Parameters'!$I23&lt;2006,0,-OFFSET(X138,0,-'Tech Parameters'!$I23))</f>
        <v>0</v>
      </c>
      <c r="Y161">
        <f ca="1">IF(Y$7-'Tech Parameters'!$I23&lt;2006,0,-OFFSET(Y138,0,-'Tech Parameters'!$I23))</f>
        <v>0</v>
      </c>
      <c r="Z161">
        <f ca="1">IF(Z$7-'Tech Parameters'!$I23&lt;2006,0,-OFFSET(Z138,0,-'Tech Parameters'!$I23))</f>
        <v>0</v>
      </c>
      <c r="AA161">
        <f ca="1">IF(AA$7-'Tech Parameters'!$I23&lt;2006,0,-OFFSET(AA138,0,-'Tech Parameters'!$I23))</f>
        <v>0</v>
      </c>
      <c r="AB161">
        <f ca="1">IF(AB$7-'Tech Parameters'!$I23&lt;2006,0,-OFFSET(AB138,0,-'Tech Parameters'!$I23))</f>
        <v>0</v>
      </c>
      <c r="AC161">
        <f ca="1">IF(AC$7-'Tech Parameters'!$I23&lt;2006,0,-OFFSET(AC138,0,-'Tech Parameters'!$I23))</f>
        <v>0</v>
      </c>
      <c r="AD161">
        <f ca="1">IF(OR(AD$7-'Tech Parameters'!$I23&lt;2006,'Tech Parameters'!$I23=0),0,-OFFSET(AD138,0,-'Tech Parameters'!$I23))</f>
        <v>0</v>
      </c>
      <c r="AE161">
        <f ca="1">IF(OR(AE$7-'Tech Parameters'!$I23&lt;2006,'Tech Parameters'!$I23=0),0,-OFFSET(AE138,0,-'Tech Parameters'!$I23))</f>
        <v>0</v>
      </c>
      <c r="AF161">
        <f ca="1">IF(OR(AF$7-'Tech Parameters'!$I23&lt;2006,'Tech Parameters'!$I23=0),0,-OFFSET(AF138,0,-'Tech Parameters'!$I23))</f>
        <v>0</v>
      </c>
      <c r="AG161">
        <f ca="1">IF(OR(AG$7-'Tech Parameters'!$I23&lt;2006,'Tech Parameters'!$I23=0),0,-OFFSET(AG138,0,-'Tech Parameters'!$I23))</f>
        <v>0</v>
      </c>
      <c r="AH161">
        <f ca="1">IF(OR(AH$7-'Tech Parameters'!$I23&lt;2006,'Tech Parameters'!$I23=0),0,-OFFSET(AH138,0,-'Tech Parameters'!$I23))</f>
        <v>0</v>
      </c>
      <c r="AI161">
        <f ca="1">IF(OR(AI$7-'Tech Parameters'!$I23&lt;2006,'Tech Parameters'!$I23=0),0,-OFFSET(AI138,0,-'Tech Parameters'!$I23))</f>
        <v>0</v>
      </c>
      <c r="AJ161">
        <f ca="1">IF(OR(AJ$7-'Tech Parameters'!$I23&lt;2006,'Tech Parameters'!$I23=0),0,-OFFSET(AJ138,0,-'Tech Parameters'!$I23))</f>
        <v>0</v>
      </c>
      <c r="AK161">
        <f ca="1">IF(OR(AK$7-'Tech Parameters'!$I23&lt;2006,'Tech Parameters'!$I23=0),0,-OFFSET(AK138,0,-'Tech Parameters'!$I23))</f>
        <v>0</v>
      </c>
      <c r="AL161">
        <f ca="1">IF(OR(AL$7-'Tech Parameters'!$I23&lt;2006,'Tech Parameters'!$I23=0),0,-OFFSET(AL138,0,-'Tech Parameters'!$I23))</f>
        <v>0</v>
      </c>
      <c r="AM161">
        <f ca="1">IF(OR(AM$7-'Tech Parameters'!$I23&lt;2006,'Tech Parameters'!$I23=0),0,-OFFSET(AM138,0,-'Tech Parameters'!$I23))</f>
        <v>0</v>
      </c>
      <c r="AN161">
        <f ca="1">IF(OR(AN$7-'Tech Parameters'!$I23&lt;2006,'Tech Parameters'!$I23=0),0,-OFFSET(AN138,0,-'Tech Parameters'!$I23))</f>
        <v>0</v>
      </c>
      <c r="AO161">
        <f ca="1">IF(OR(AO$7-'Tech Parameters'!$I23&lt;2006,'Tech Parameters'!$I23=0),0,-OFFSET(AO138,0,-'Tech Parameters'!$I23))</f>
        <v>0</v>
      </c>
      <c r="AP161">
        <f ca="1">IF(OR(AP$7-'Tech Parameters'!$I23&lt;2006,'Tech Parameters'!$I23=0),0,-OFFSET(AP138,0,-'Tech Parameters'!$I23))</f>
        <v>0</v>
      </c>
      <c r="AQ161">
        <f ca="1">IF(OR(AQ$7-'Tech Parameters'!$I23&lt;2006,'Tech Parameters'!$I23=0),0,-OFFSET(AQ138,0,-'Tech Parameters'!$I23))</f>
        <v>0</v>
      </c>
      <c r="AR161">
        <f ca="1">IF(OR(AR$7-'Tech Parameters'!$I23&lt;2006,'Tech Parameters'!$I23=0),0,-OFFSET(AR138,0,-'Tech Parameters'!$I23))</f>
        <v>0</v>
      </c>
      <c r="AS161">
        <f ca="1">IF(OR(AS$7-'Tech Parameters'!$I23&lt;2006,'Tech Parameters'!$I23=0),0,-OFFSET(AS138,0,-'Tech Parameters'!$I23))</f>
        <v>0</v>
      </c>
      <c r="AT161">
        <f ca="1">IF(OR(AT$7-'Tech Parameters'!$I23&lt;2006,'Tech Parameters'!$I23=0),0,-OFFSET(AT138,0,-'Tech Parameters'!$I23))</f>
        <v>0</v>
      </c>
      <c r="AU161">
        <f ca="1">IF(OR(AU$7-'Tech Parameters'!$I23&lt;2006,'Tech Parameters'!$I23=0),0,-OFFSET(AU138,0,-'Tech Parameters'!$I23))</f>
        <v>0</v>
      </c>
      <c r="AV161">
        <f ca="1">IF(OR(AV$7-'Tech Parameters'!$I23&lt;2006,'Tech Parameters'!$I23=0),0,-OFFSET(AV138,0,-'Tech Parameters'!$I23))</f>
        <v>0</v>
      </c>
      <c r="AW161">
        <f ca="1">IF(OR(AW$7-'Tech Parameters'!$I23&lt;2006,'Tech Parameters'!$I23=0),0,-OFFSET(AW138,0,-'Tech Parameters'!$I23))</f>
        <v>0</v>
      </c>
    </row>
    <row r="162" spans="2:64">
      <c r="C162" t="str">
        <f t="shared" si="79"/>
        <v>-</v>
      </c>
      <c r="D162">
        <f ca="1">IF(D$7-'Tech Parameters'!$I24&lt;2006,0,-OFFSET(D139,0,-'Tech Parameters'!$I24))</f>
        <v>0</v>
      </c>
      <c r="E162">
        <f ca="1">IF(E$7-'Tech Parameters'!$I24&lt;2006,0,-OFFSET(E139,0,-'Tech Parameters'!$I24))</f>
        <v>0</v>
      </c>
      <c r="F162">
        <f ca="1">IF(F$7-'Tech Parameters'!$I24&lt;2006,0,-OFFSET(F139,0,-'Tech Parameters'!$I24))</f>
        <v>0</v>
      </c>
      <c r="G162">
        <f ca="1">IF(G$7-'Tech Parameters'!$I24&lt;2006,0,-OFFSET(G139,0,-'Tech Parameters'!$I24))</f>
        <v>0</v>
      </c>
      <c r="H162">
        <f ca="1">IF(H$7-'Tech Parameters'!$I24&lt;2006,0,-OFFSET(H139,0,-'Tech Parameters'!$I24))</f>
        <v>0</v>
      </c>
      <c r="I162">
        <f ca="1">IF(I$7-'Tech Parameters'!$I24&lt;2006,0,-OFFSET(I139,0,-'Tech Parameters'!$I24))</f>
        <v>0</v>
      </c>
      <c r="J162">
        <f ca="1">IF(J$7-'Tech Parameters'!$I24&lt;2006,0,-OFFSET(J139,0,-'Tech Parameters'!$I24))</f>
        <v>0</v>
      </c>
      <c r="K162">
        <f ca="1">IF(K$7-'Tech Parameters'!$I24&lt;2006,0,-OFFSET(K139,0,-'Tech Parameters'!$I24))</f>
        <v>0</v>
      </c>
      <c r="L162">
        <f ca="1">IF(L$7-'Tech Parameters'!$I24&lt;2006,0,-OFFSET(L139,0,-'Tech Parameters'!$I24))</f>
        <v>0</v>
      </c>
      <c r="M162">
        <f ca="1">IF(M$7-'Tech Parameters'!$I24&lt;2006,0,-OFFSET(M139,0,-'Tech Parameters'!$I24))</f>
        <v>0</v>
      </c>
      <c r="N162">
        <f ca="1">IF(N$7-'Tech Parameters'!$I24&lt;2006,0,-OFFSET(N139,0,-'Tech Parameters'!$I24))</f>
        <v>0</v>
      </c>
      <c r="O162">
        <f ca="1">IF(O$7-'Tech Parameters'!$I24&lt;2006,0,-OFFSET(O139,0,-'Tech Parameters'!$I24))</f>
        <v>0</v>
      </c>
      <c r="P162">
        <f ca="1">IF(P$7-'Tech Parameters'!$I24&lt;2006,0,-OFFSET(P139,0,-'Tech Parameters'!$I24))</f>
        <v>0</v>
      </c>
      <c r="Q162">
        <f ca="1">IF(Q$7-'Tech Parameters'!$I24&lt;2006,0,-OFFSET(Q139,0,-'Tech Parameters'!$I24))</f>
        <v>0</v>
      </c>
      <c r="R162">
        <f ca="1">IF(R$7-'Tech Parameters'!$I24&lt;2006,0,-OFFSET(R139,0,-'Tech Parameters'!$I24))</f>
        <v>0</v>
      </c>
      <c r="S162">
        <f ca="1">IF(S$7-'Tech Parameters'!$I24&lt;2006,0,-OFFSET(S139,0,-'Tech Parameters'!$I24))</f>
        <v>0</v>
      </c>
      <c r="T162">
        <f ca="1">IF(T$7-'Tech Parameters'!$I24&lt;2006,0,-OFFSET(T139,0,-'Tech Parameters'!$I24))</f>
        <v>0</v>
      </c>
      <c r="U162">
        <f ca="1">IF(U$7-'Tech Parameters'!$I24&lt;2006,0,-OFFSET(U139,0,-'Tech Parameters'!$I24))</f>
        <v>0</v>
      </c>
      <c r="V162">
        <f ca="1">IF(V$7-'Tech Parameters'!$I24&lt;2006,0,-OFFSET(V139,0,-'Tech Parameters'!$I24))</f>
        <v>0</v>
      </c>
      <c r="W162">
        <f ca="1">IF(W$7-'Tech Parameters'!$I24&lt;2006,0,-OFFSET(W139,0,-'Tech Parameters'!$I24))</f>
        <v>0</v>
      </c>
      <c r="X162">
        <f ca="1">IF(X$7-'Tech Parameters'!$I24&lt;2006,0,-OFFSET(X139,0,-'Tech Parameters'!$I24))</f>
        <v>0</v>
      </c>
      <c r="Y162">
        <f ca="1">IF(Y$7-'Tech Parameters'!$I24&lt;2006,0,-OFFSET(Y139,0,-'Tech Parameters'!$I24))</f>
        <v>0</v>
      </c>
      <c r="Z162">
        <f ca="1">IF(Z$7-'Tech Parameters'!$I24&lt;2006,0,-OFFSET(Z139,0,-'Tech Parameters'!$I24))</f>
        <v>0</v>
      </c>
      <c r="AA162">
        <f ca="1">IF(AA$7-'Tech Parameters'!$I24&lt;2006,0,-OFFSET(AA139,0,-'Tech Parameters'!$I24))</f>
        <v>0</v>
      </c>
      <c r="AB162">
        <f ca="1">IF(AB$7-'Tech Parameters'!$I24&lt;2006,0,-OFFSET(AB139,0,-'Tech Parameters'!$I24))</f>
        <v>0</v>
      </c>
      <c r="AC162">
        <f ca="1">IF(AC$7-'Tech Parameters'!$I24&lt;2006,0,-OFFSET(AC139,0,-'Tech Parameters'!$I24))</f>
        <v>0</v>
      </c>
      <c r="AD162">
        <f ca="1">IF(OR(AD$7-'Tech Parameters'!$I24&lt;2006,'Tech Parameters'!$I24=0),0,-OFFSET(AD139,0,-'Tech Parameters'!$I24))</f>
        <v>0</v>
      </c>
      <c r="AE162">
        <f ca="1">IF(OR(AE$7-'Tech Parameters'!$I24&lt;2006,'Tech Parameters'!$I24=0),0,-OFFSET(AE139,0,-'Tech Parameters'!$I24))</f>
        <v>0</v>
      </c>
      <c r="AF162">
        <f ca="1">IF(OR(AF$7-'Tech Parameters'!$I24&lt;2006,'Tech Parameters'!$I24=0),0,-OFFSET(AF139,0,-'Tech Parameters'!$I24))</f>
        <v>0</v>
      </c>
      <c r="AG162">
        <f ca="1">IF(OR(AG$7-'Tech Parameters'!$I24&lt;2006,'Tech Parameters'!$I24=0),0,-OFFSET(AG139,0,-'Tech Parameters'!$I24))</f>
        <v>0</v>
      </c>
      <c r="AH162">
        <f ca="1">IF(OR(AH$7-'Tech Parameters'!$I24&lt;2006,'Tech Parameters'!$I24=0),0,-OFFSET(AH139,0,-'Tech Parameters'!$I24))</f>
        <v>0</v>
      </c>
      <c r="AI162">
        <f ca="1">IF(OR(AI$7-'Tech Parameters'!$I24&lt;2006,'Tech Parameters'!$I24=0),0,-OFFSET(AI139,0,-'Tech Parameters'!$I24))</f>
        <v>0</v>
      </c>
      <c r="AJ162">
        <f ca="1">IF(OR(AJ$7-'Tech Parameters'!$I24&lt;2006,'Tech Parameters'!$I24=0),0,-OFFSET(AJ139,0,-'Tech Parameters'!$I24))</f>
        <v>0</v>
      </c>
      <c r="AK162">
        <f ca="1">IF(OR(AK$7-'Tech Parameters'!$I24&lt;2006,'Tech Parameters'!$I24=0),0,-OFFSET(AK139,0,-'Tech Parameters'!$I24))</f>
        <v>0</v>
      </c>
      <c r="AL162">
        <f ca="1">IF(OR(AL$7-'Tech Parameters'!$I24&lt;2006,'Tech Parameters'!$I24=0),0,-OFFSET(AL139,0,-'Tech Parameters'!$I24))</f>
        <v>0</v>
      </c>
      <c r="AM162">
        <f ca="1">IF(OR(AM$7-'Tech Parameters'!$I24&lt;2006,'Tech Parameters'!$I24=0),0,-OFFSET(AM139,0,-'Tech Parameters'!$I24))</f>
        <v>0</v>
      </c>
      <c r="AN162">
        <f ca="1">IF(OR(AN$7-'Tech Parameters'!$I24&lt;2006,'Tech Parameters'!$I24=0),0,-OFFSET(AN139,0,-'Tech Parameters'!$I24))</f>
        <v>0</v>
      </c>
      <c r="AO162">
        <f ca="1">IF(OR(AO$7-'Tech Parameters'!$I24&lt;2006,'Tech Parameters'!$I24=0),0,-OFFSET(AO139,0,-'Tech Parameters'!$I24))</f>
        <v>0</v>
      </c>
      <c r="AP162">
        <f ca="1">IF(OR(AP$7-'Tech Parameters'!$I24&lt;2006,'Tech Parameters'!$I24=0),0,-OFFSET(AP139,0,-'Tech Parameters'!$I24))</f>
        <v>0</v>
      </c>
      <c r="AQ162">
        <f ca="1">IF(OR(AQ$7-'Tech Parameters'!$I24&lt;2006,'Tech Parameters'!$I24=0),0,-OFFSET(AQ139,0,-'Tech Parameters'!$I24))</f>
        <v>0</v>
      </c>
      <c r="AR162">
        <f ca="1">IF(OR(AR$7-'Tech Parameters'!$I24&lt;2006,'Tech Parameters'!$I24=0),0,-OFFSET(AR139,0,-'Tech Parameters'!$I24))</f>
        <v>0</v>
      </c>
      <c r="AS162">
        <f ca="1">IF(OR(AS$7-'Tech Parameters'!$I24&lt;2006,'Tech Parameters'!$I24=0),0,-OFFSET(AS139,0,-'Tech Parameters'!$I24))</f>
        <v>0</v>
      </c>
      <c r="AT162">
        <f ca="1">IF(OR(AT$7-'Tech Parameters'!$I24&lt;2006,'Tech Parameters'!$I24=0),0,-OFFSET(AT139,0,-'Tech Parameters'!$I24))</f>
        <v>0</v>
      </c>
      <c r="AU162">
        <f ca="1">IF(OR(AU$7-'Tech Parameters'!$I24&lt;2006,'Tech Parameters'!$I24=0),0,-OFFSET(AU139,0,-'Tech Parameters'!$I24))</f>
        <v>0</v>
      </c>
      <c r="AV162">
        <f ca="1">IF(OR(AV$7-'Tech Parameters'!$I24&lt;2006,'Tech Parameters'!$I24=0),0,-OFFSET(AV139,0,-'Tech Parameters'!$I24))</f>
        <v>0</v>
      </c>
      <c r="AW162">
        <f ca="1">IF(OR(AW$7-'Tech Parameters'!$I24&lt;2006,'Tech Parameters'!$I24=0),0,-OFFSET(AW139,0,-'Tech Parameters'!$I24))</f>
        <v>0</v>
      </c>
    </row>
    <row r="163" spans="2:64">
      <c r="C163" t="str">
        <f t="shared" si="79"/>
        <v>Pumped storage</v>
      </c>
      <c r="D163">
        <f ca="1">IF(D$7-'Tech Parameters'!$I25&lt;2006,0,-OFFSET(D140,0,-'Tech Parameters'!$I25))</f>
        <v>0</v>
      </c>
      <c r="E163">
        <f ca="1">IF(E$7-'Tech Parameters'!$I25&lt;2006,0,-OFFSET(E140,0,-'Tech Parameters'!$I25))</f>
        <v>0</v>
      </c>
      <c r="F163">
        <f ca="1">IF(F$7-'Tech Parameters'!$I25&lt;2006,0,-OFFSET(F140,0,-'Tech Parameters'!$I25))</f>
        <v>0</v>
      </c>
      <c r="G163">
        <f ca="1">IF(G$7-'Tech Parameters'!$I25&lt;2006,0,-OFFSET(G140,0,-'Tech Parameters'!$I25))</f>
        <v>0</v>
      </c>
      <c r="H163">
        <f ca="1">IF(H$7-'Tech Parameters'!$I25&lt;2006,0,-OFFSET(H140,0,-'Tech Parameters'!$I25))</f>
        <v>0</v>
      </c>
      <c r="I163">
        <f ca="1">IF(I$7-'Tech Parameters'!$I25&lt;2006,0,-OFFSET(I140,0,-'Tech Parameters'!$I25))</f>
        <v>0</v>
      </c>
      <c r="J163">
        <f ca="1">IF(J$7-'Tech Parameters'!$I25&lt;2006,0,-OFFSET(J140,0,-'Tech Parameters'!$I25))</f>
        <v>0</v>
      </c>
      <c r="K163">
        <f ca="1">IF(K$7-'Tech Parameters'!$I25&lt;2006,0,-OFFSET(K140,0,-'Tech Parameters'!$I25))</f>
        <v>0</v>
      </c>
      <c r="L163">
        <f ca="1">IF(L$7-'Tech Parameters'!$I25&lt;2006,0,-OFFSET(L140,0,-'Tech Parameters'!$I25))</f>
        <v>0</v>
      </c>
      <c r="M163">
        <f ca="1">IF(M$7-'Tech Parameters'!$I25&lt;2006,0,-OFFSET(M140,0,-'Tech Parameters'!$I25))</f>
        <v>0</v>
      </c>
      <c r="N163">
        <f ca="1">IF(N$7-'Tech Parameters'!$I25&lt;2006,0,-OFFSET(N140,0,-'Tech Parameters'!$I25))</f>
        <v>0</v>
      </c>
      <c r="O163">
        <f ca="1">IF(O$7-'Tech Parameters'!$I25&lt;2006,0,-OFFSET(O140,0,-'Tech Parameters'!$I25))</f>
        <v>0</v>
      </c>
      <c r="P163">
        <f ca="1">IF(P$7-'Tech Parameters'!$I25&lt;2006,0,-OFFSET(P140,0,-'Tech Parameters'!$I25))</f>
        <v>0</v>
      </c>
      <c r="Q163">
        <f ca="1">IF(Q$7-'Tech Parameters'!$I25&lt;2006,0,-OFFSET(Q140,0,-'Tech Parameters'!$I25))</f>
        <v>0</v>
      </c>
      <c r="R163">
        <f ca="1">IF(R$7-'Tech Parameters'!$I25&lt;2006,0,-OFFSET(R140,0,-'Tech Parameters'!$I25))</f>
        <v>0</v>
      </c>
      <c r="S163">
        <f ca="1">IF(S$7-'Tech Parameters'!$I25&lt;2006,0,-OFFSET(S140,0,-'Tech Parameters'!$I25))</f>
        <v>0</v>
      </c>
      <c r="T163">
        <f ca="1">IF(T$7-'Tech Parameters'!$I25&lt;2006,0,-OFFSET(T140,0,-'Tech Parameters'!$I25))</f>
        <v>0</v>
      </c>
      <c r="U163">
        <f ca="1">IF(U$7-'Tech Parameters'!$I25&lt;2006,0,-OFFSET(U140,0,-'Tech Parameters'!$I25))</f>
        <v>0</v>
      </c>
      <c r="V163">
        <f ca="1">IF(V$7-'Tech Parameters'!$I25&lt;2006,0,-OFFSET(V140,0,-'Tech Parameters'!$I25))</f>
        <v>0</v>
      </c>
      <c r="W163">
        <f ca="1">IF(W$7-'Tech Parameters'!$I25&lt;2006,0,-OFFSET(W140,0,-'Tech Parameters'!$I25))</f>
        <v>0</v>
      </c>
      <c r="X163">
        <f ca="1">IF(X$7-'Tech Parameters'!$I25&lt;2006,0,-OFFSET(X140,0,-'Tech Parameters'!$I25))</f>
        <v>0</v>
      </c>
      <c r="Y163">
        <f ca="1">IF(Y$7-'Tech Parameters'!$I25&lt;2006,0,-OFFSET(Y140,0,-'Tech Parameters'!$I25))</f>
        <v>0</v>
      </c>
      <c r="Z163">
        <f ca="1">IF(Z$7-'Tech Parameters'!$I25&lt;2006,0,-OFFSET(Z140,0,-'Tech Parameters'!$I25))</f>
        <v>0</v>
      </c>
      <c r="AA163">
        <f ca="1">IF(AA$7-'Tech Parameters'!$I25&lt;2006,0,-OFFSET(AA140,0,-'Tech Parameters'!$I25))</f>
        <v>0</v>
      </c>
      <c r="AB163">
        <f ca="1">IF(AB$7-'Tech Parameters'!$I25&lt;2006,0,-OFFSET(AB140,0,-'Tech Parameters'!$I25))</f>
        <v>0</v>
      </c>
      <c r="AC163">
        <f ca="1">IF(AC$7-'Tech Parameters'!$I25&lt;2006,0,-OFFSET(AC140,0,-'Tech Parameters'!$I25))</f>
        <v>0</v>
      </c>
      <c r="AD163">
        <f ca="1">IF(OR(AD$7-'Tech Parameters'!$I25&lt;2006,'Tech Parameters'!$I25=0),0,-OFFSET(AD140,0,-'Tech Parameters'!$I25))</f>
        <v>0</v>
      </c>
      <c r="AE163">
        <f ca="1">IF(OR(AE$7-'Tech Parameters'!$I25&lt;2006,'Tech Parameters'!$I25=0),0,-OFFSET(AE140,0,-'Tech Parameters'!$I25))</f>
        <v>0</v>
      </c>
      <c r="AF163">
        <f ca="1">IF(OR(AF$7-'Tech Parameters'!$I25&lt;2006,'Tech Parameters'!$I25=0),0,-OFFSET(AF140,0,-'Tech Parameters'!$I25))</f>
        <v>0</v>
      </c>
      <c r="AG163">
        <f ca="1">IF(OR(AG$7-'Tech Parameters'!$I25&lt;2006,'Tech Parameters'!$I25=0),0,-OFFSET(AG140,0,-'Tech Parameters'!$I25))</f>
        <v>0</v>
      </c>
      <c r="AH163">
        <f ca="1">IF(OR(AH$7-'Tech Parameters'!$I25&lt;2006,'Tech Parameters'!$I25=0),0,-OFFSET(AH140,0,-'Tech Parameters'!$I25))</f>
        <v>0</v>
      </c>
      <c r="AI163">
        <f ca="1">IF(OR(AI$7-'Tech Parameters'!$I25&lt;2006,'Tech Parameters'!$I25=0),0,-OFFSET(AI140,0,-'Tech Parameters'!$I25))</f>
        <v>0</v>
      </c>
      <c r="AJ163">
        <f ca="1">IF(OR(AJ$7-'Tech Parameters'!$I25&lt;2006,'Tech Parameters'!$I25=0),0,-OFFSET(AJ140,0,-'Tech Parameters'!$I25))</f>
        <v>0</v>
      </c>
      <c r="AK163">
        <f ca="1">IF(OR(AK$7-'Tech Parameters'!$I25&lt;2006,'Tech Parameters'!$I25=0),0,-OFFSET(AK140,0,-'Tech Parameters'!$I25))</f>
        <v>0</v>
      </c>
      <c r="AL163">
        <f ca="1">IF(OR(AL$7-'Tech Parameters'!$I25&lt;2006,'Tech Parameters'!$I25=0),0,-OFFSET(AL140,0,-'Tech Parameters'!$I25))</f>
        <v>0</v>
      </c>
      <c r="AM163">
        <f ca="1">IF(OR(AM$7-'Tech Parameters'!$I25&lt;2006,'Tech Parameters'!$I25=0),0,-OFFSET(AM140,0,-'Tech Parameters'!$I25))</f>
        <v>0</v>
      </c>
      <c r="AN163">
        <f ca="1">IF(OR(AN$7-'Tech Parameters'!$I25&lt;2006,'Tech Parameters'!$I25=0),0,-OFFSET(AN140,0,-'Tech Parameters'!$I25))</f>
        <v>0</v>
      </c>
      <c r="AO163">
        <f ca="1">IF(OR(AO$7-'Tech Parameters'!$I25&lt;2006,'Tech Parameters'!$I25=0),0,-OFFSET(AO140,0,-'Tech Parameters'!$I25))</f>
        <v>0</v>
      </c>
      <c r="AP163">
        <f ca="1">IF(OR(AP$7-'Tech Parameters'!$I25&lt;2006,'Tech Parameters'!$I25=0),0,-OFFSET(AP140,0,-'Tech Parameters'!$I25))</f>
        <v>0</v>
      </c>
      <c r="AQ163">
        <f ca="1">IF(OR(AQ$7-'Tech Parameters'!$I25&lt;2006,'Tech Parameters'!$I25=0),0,-OFFSET(AQ140,0,-'Tech Parameters'!$I25))</f>
        <v>0</v>
      </c>
      <c r="AR163">
        <f ca="1">IF(OR(AR$7-'Tech Parameters'!$I25&lt;2006,'Tech Parameters'!$I25=0),0,-OFFSET(AR140,0,-'Tech Parameters'!$I25))</f>
        <v>0</v>
      </c>
      <c r="AS163">
        <f ca="1">IF(OR(AS$7-'Tech Parameters'!$I25&lt;2006,'Tech Parameters'!$I25=0),0,-OFFSET(AS140,0,-'Tech Parameters'!$I25))</f>
        <v>0</v>
      </c>
      <c r="AT163">
        <f ca="1">IF(OR(AT$7-'Tech Parameters'!$I25&lt;2006,'Tech Parameters'!$I25=0),0,-OFFSET(AT140,0,-'Tech Parameters'!$I25))</f>
        <v>0</v>
      </c>
      <c r="AU163">
        <f ca="1">IF(OR(AU$7-'Tech Parameters'!$I25&lt;2006,'Tech Parameters'!$I25=0),0,-OFFSET(AU140,0,-'Tech Parameters'!$I25))</f>
        <v>0</v>
      </c>
      <c r="AV163">
        <f ca="1">IF(OR(AV$7-'Tech Parameters'!$I25&lt;2006,'Tech Parameters'!$I25=0),0,-OFFSET(AV140,0,-'Tech Parameters'!$I25))</f>
        <v>0</v>
      </c>
      <c r="AW163">
        <f ca="1">IF(OR(AW$7-'Tech Parameters'!$I25&lt;2006,'Tech Parameters'!$I25=0),0,-OFFSET(AW140,0,-'Tech Parameters'!$I25))</f>
        <v>0</v>
      </c>
    </row>
    <row r="164" spans="2:64">
      <c r="C164" t="str">
        <f t="shared" si="79"/>
        <v>TOTAL</v>
      </c>
    </row>
    <row r="170" spans="2:64">
      <c r="C170" s="4" t="s">
        <v>235</v>
      </c>
    </row>
    <row r="171" spans="2:64">
      <c r="C171" s="4"/>
    </row>
    <row r="172" spans="2:64">
      <c r="B172" s="4" t="s">
        <v>236</v>
      </c>
      <c r="C172" s="4" t="s">
        <v>700</v>
      </c>
      <c r="E172" s="26"/>
      <c r="F172" s="26"/>
      <c r="G172" s="26"/>
      <c r="H172" s="26"/>
      <c r="I172" s="26"/>
      <c r="J172" s="26"/>
      <c r="K172" s="26"/>
      <c r="L172" s="26"/>
      <c r="BA172" s="4"/>
      <c r="BL172" s="4"/>
    </row>
    <row r="173" spans="2:64">
      <c r="B173" t="str">
        <f>'Tech Parameters'!C6</f>
        <v>Existing coal large</v>
      </c>
      <c r="C173" t="str">
        <f>'Tech Parameters'!B6</f>
        <v>Existing coal Large</v>
      </c>
      <c r="D173" s="9">
        <f>SUMIF('Tech Parameters'!$B$244:$B$269,$B173,'Tech Parameters'!H$244:H$269)*'Tech Parameters'!$H6*D8*8760</f>
        <v>69713.714846090443</v>
      </c>
      <c r="E173" s="9">
        <f>SUMIF('Tech Parameters'!$B$244:$B$269,$B173,'Tech Parameters'!I$244:I$269)*'Tech Parameters'!$H6*'Ref scen Calcs'!E8*8760</f>
        <v>69713.714846090443</v>
      </c>
      <c r="F173" s="9">
        <f>SUMIF('Tech Parameters'!$B$244:$B$269,$B173,'Tech Parameters'!J$244:J$269)*'Tech Parameters'!$H6*'Ref scen Calcs'!F8*8760</f>
        <v>69713.714846090443</v>
      </c>
      <c r="G173" s="9">
        <f>SUMIF('Tech Parameters'!$B$244:$B$269,$B173,'Tech Parameters'!K$244:K$269)*'Tech Parameters'!$H6*'Ref scen Calcs'!G8*8760</f>
        <v>69713.714846090443</v>
      </c>
      <c r="H173" s="9">
        <f>SUMIF('Tech Parameters'!$B$244:$B$269,$B173,'Tech Parameters'!L$244:L$269)*'Tech Parameters'!$H6*'Ref scen Calcs'!H8*8760</f>
        <v>69713.714846090443</v>
      </c>
      <c r="I173" s="9">
        <f ca="1">SUMIF('Tech Parameters'!$B$244:$B$269,$B173,'Tech Parameters'!M$244:M$269)*'Tech Parameters'!$H6*'Ref scen Calcs'!I8*8760</f>
        <v>69713.714846090443</v>
      </c>
      <c r="J173" s="9">
        <f ca="1">SUMIF('Tech Parameters'!$B$244:$B$269,$B173,'Tech Parameters'!N$244:N$269)*'Tech Parameters'!$H6*'Ref scen Calcs'!J8*8760</f>
        <v>69713.714846090443</v>
      </c>
      <c r="K173" s="9">
        <f ca="1">SUMIF('Tech Parameters'!$B$244:$B$269,$B173,'Tech Parameters'!O$244:O$269)*'Tech Parameters'!$H6*'Ref scen Calcs'!K8*8760</f>
        <v>69713.714846090443</v>
      </c>
      <c r="L173" s="9">
        <f ca="1">SUMIF('Tech Parameters'!$B$244:$B$269,$B173,'Tech Parameters'!P$244:P$269)*'Tech Parameters'!$H6*'Ref scen Calcs'!L8*8760</f>
        <v>69713.714846090443</v>
      </c>
      <c r="M173" s="9">
        <f ca="1">SUMIF('Tech Parameters'!$B$244:$B$269,$B173,'Tech Parameters'!Q$244:Q$269)*'Tech Parameters'!$H6*'Ref scen Calcs'!M8*8760</f>
        <v>69713.714846090443</v>
      </c>
      <c r="N173" s="9">
        <f ca="1">SUMIF('Tech Parameters'!$B$244:$B$269,$B173,'Tech Parameters'!R$244:R$269)*'Tech Parameters'!$H6*'Ref scen Calcs'!N8*8760</f>
        <v>69713.714846090443</v>
      </c>
      <c r="O173" s="9">
        <f ca="1">SUMIF('Tech Parameters'!$B$244:$B$269,$B173,'Tech Parameters'!S$244:S$269)*'Tech Parameters'!$H6*'Ref scen Calcs'!O8*8760</f>
        <v>69713.714846090443</v>
      </c>
      <c r="P173" s="9">
        <f ca="1">SUMIF('Tech Parameters'!$B$244:$B$269,$B173,'Tech Parameters'!T$244:T$269)*'Tech Parameters'!$H6*'Ref scen Calcs'!P8*8760</f>
        <v>69713.714846090443</v>
      </c>
      <c r="Q173" s="9">
        <f ca="1">SUMIF('Tech Parameters'!$B$244:$B$269,$B173,'Tech Parameters'!U$244:U$269)*'Tech Parameters'!$H6*'Ref scen Calcs'!Q8*8760</f>
        <v>69713.714846090443</v>
      </c>
      <c r="R173" s="9">
        <f ca="1">SUMIF('Tech Parameters'!$B$244:$B$269,$B173,'Tech Parameters'!V$244:V$269)*'Tech Parameters'!$H6*'Ref scen Calcs'!R8*8760</f>
        <v>69713.714846090443</v>
      </c>
      <c r="S173" s="9">
        <f ca="1">SUMIF('Tech Parameters'!$B$244:$B$269,$B173,'Tech Parameters'!W$244:W$269)*'Tech Parameters'!$H6*'Ref scen Calcs'!S8*8760</f>
        <v>69713.714846090443</v>
      </c>
      <c r="T173" s="9">
        <f ca="1">SUMIF('Tech Parameters'!$B$244:$B$269,$B173,'Tech Parameters'!X$244:X$269)*'Tech Parameters'!$H6*'Ref scen Calcs'!T8*8760</f>
        <v>69713.714846090443</v>
      </c>
      <c r="U173" s="9">
        <f ca="1">SUMIF('Tech Parameters'!$B$244:$B$269,$B173,'Tech Parameters'!Y$244:Y$269)*'Tech Parameters'!$H6*'Ref scen Calcs'!U8*8760</f>
        <v>69713.714846090443</v>
      </c>
      <c r="V173" s="9">
        <f ca="1">SUMIF('Tech Parameters'!$B$244:$B$269,$B173,'Tech Parameters'!Z$244:Z$269)*'Tech Parameters'!$H6*'Ref scen Calcs'!V8*8760</f>
        <v>69713.714846090443</v>
      </c>
      <c r="W173" s="9">
        <f ca="1">SUMIF('Tech Parameters'!$B$244:$B$269,$B173,'Tech Parameters'!AA$244:AA$269)*'Tech Parameters'!$H6*'Ref scen Calcs'!W8*8760</f>
        <v>67105.541995690277</v>
      </c>
      <c r="X173" s="9">
        <f ca="1">SUMIF('Tech Parameters'!$B$244:$B$269,$B173,'Tech Parameters'!AB$244:AB$269)*'Tech Parameters'!$H6*'Ref scen Calcs'!X8*8760</f>
        <v>64497.369145290126</v>
      </c>
      <c r="Y173" s="9">
        <f ca="1">SUMIF('Tech Parameters'!$B$244:$B$269,$B173,'Tech Parameters'!AC$244:AC$269)*'Tech Parameters'!$H6*'Ref scen Calcs'!Y8*8760</f>
        <v>61237.153082289929</v>
      </c>
      <c r="Z173" s="9">
        <f ca="1">SUMIF('Tech Parameters'!$B$244:$B$269,$B173,'Tech Parameters'!AD$244:AD$269)*'Tech Parameters'!$H6*'Ref scen Calcs'!Z8*8760</f>
        <v>57976.937019289733</v>
      </c>
      <c r="AA173" s="9">
        <f ca="1">SUMIF('Tech Parameters'!$B$244:$B$269,$B173,'Tech Parameters'!AE$244:AE$269)*'Tech Parameters'!$H6*'Ref scen Calcs'!AA8*8760</f>
        <v>54030.359679868452</v>
      </c>
      <c r="AB173" s="9">
        <f ca="1">SUMIF('Tech Parameters'!$B$244:$B$269,$B173,'Tech Parameters'!AF$244:AF$269)*'Tech Parameters'!$H6*'Ref scen Calcs'!AB8*8760</f>
        <v>46137.205001025875</v>
      </c>
      <c r="AC173" s="9">
        <f ca="1">SUMIF('Tech Parameters'!$B$244:$B$269,$B173,'Tech Parameters'!AG$244:AG$269)*'Tech Parameters'!$H6*'Ref scen Calcs'!AC8*8760</f>
        <v>42190.627661604587</v>
      </c>
      <c r="AD173" s="9"/>
      <c r="AE173" s="9"/>
      <c r="AF173" s="9"/>
      <c r="AG173" s="9"/>
      <c r="AH173" s="9"/>
      <c r="AI173" s="9"/>
      <c r="AJ173" s="9"/>
      <c r="AK173" s="9"/>
      <c r="AL173" s="9"/>
      <c r="AM173" s="9"/>
      <c r="AN173" s="9"/>
      <c r="AO173" s="9"/>
      <c r="AP173" s="9"/>
      <c r="AQ173" s="9"/>
      <c r="AR173" s="9"/>
      <c r="AS173" s="9"/>
      <c r="AT173" s="9"/>
      <c r="AU173" s="9"/>
      <c r="AV173" s="9"/>
      <c r="AW173" s="9"/>
      <c r="BA173" s="4"/>
      <c r="BL173" s="4"/>
    </row>
    <row r="174" spans="2:64">
      <c r="B174" t="str">
        <f>'Tech Parameters'!C7</f>
        <v>Existing coal small</v>
      </c>
      <c r="C174" t="str">
        <f>'Tech Parameters'!B7</f>
        <v>Existing coal Small</v>
      </c>
      <c r="D174" s="9">
        <f>SUMIF('Tech Parameters'!$B$244:$B$269,$B174,'Tech Parameters'!H$244:H$269)*'Tech Parameters'!$H7*'Ref scen Calcs'!D9*8760</f>
        <v>11481.108051601606</v>
      </c>
      <c r="E174" s="9">
        <f>SUMIF('Tech Parameters'!$B$244:$B$269,$B174,'Tech Parameters'!I$244:I$269)*'Tech Parameters'!$H7*'Ref scen Calcs'!E9*8760</f>
        <v>11481.108051601606</v>
      </c>
      <c r="F174" s="9">
        <f>SUMIF('Tech Parameters'!$B$244:$B$269,$B174,'Tech Parameters'!J$244:J$269)*'Tech Parameters'!$H7*'Ref scen Calcs'!F9*8760</f>
        <v>11481.108051601606</v>
      </c>
      <c r="G174" s="9">
        <f>SUMIF('Tech Parameters'!$B$244:$B$269,$B174,'Tech Parameters'!K$244:K$269)*'Tech Parameters'!$H7*'Ref scen Calcs'!G9*8760</f>
        <v>11481.108051601606</v>
      </c>
      <c r="H174" s="9">
        <f>SUMIF('Tech Parameters'!$B$244:$B$269,$B174,'Tech Parameters'!L$244:L$269)*'Tech Parameters'!$H7*'Ref scen Calcs'!H9*8760</f>
        <v>11481.108051601606</v>
      </c>
      <c r="I174" s="9">
        <f ca="1">SUMIF('Tech Parameters'!$B$244:$B$269,$B174,'Tech Parameters'!M$244:M$269)*'Tech Parameters'!$H7*'Ref scen Calcs'!I9*8760</f>
        <v>12924.051645819456</v>
      </c>
      <c r="J174" s="9">
        <f ca="1">SUMIF('Tech Parameters'!$B$244:$B$269,$B174,'Tech Parameters'!N$244:N$269)*'Tech Parameters'!$H7*'Ref scen Calcs'!J9*8760</f>
        <v>13777.564401403659</v>
      </c>
      <c r="K174" s="9">
        <f ca="1">SUMIF('Tech Parameters'!$B$244:$B$269,$B174,'Tech Parameters'!O$244:O$269)*'Tech Parameters'!$H7*'Ref scen Calcs'!K9*8760</f>
        <v>13777.564401403659</v>
      </c>
      <c r="L174" s="9">
        <f ca="1">SUMIF('Tech Parameters'!$B$244:$B$269,$B174,'Tech Parameters'!P$244:P$269)*'Tech Parameters'!$H7*'Ref scen Calcs'!L9*8760</f>
        <v>13777.564401403659</v>
      </c>
      <c r="M174" s="9">
        <f ca="1">SUMIF('Tech Parameters'!$B$244:$B$269,$B174,'Tech Parameters'!Q$244:Q$269)*'Tech Parameters'!$H7*'Ref scen Calcs'!M9*8760</f>
        <v>13777.564401403659</v>
      </c>
      <c r="N174" s="9">
        <f ca="1">SUMIF('Tech Parameters'!$B$244:$B$269,$B174,'Tech Parameters'!R$244:R$269)*'Tech Parameters'!$H7*'Ref scen Calcs'!N9*8760</f>
        <v>13777.564401403659</v>
      </c>
      <c r="O174" s="9">
        <f ca="1">SUMIF('Tech Parameters'!$B$244:$B$269,$B174,'Tech Parameters'!S$244:S$269)*'Tech Parameters'!$H7*'Ref scen Calcs'!O9*8760</f>
        <v>13698.339826318494</v>
      </c>
      <c r="P174" s="9">
        <f ca="1">SUMIF('Tech Parameters'!$B$244:$B$269,$B174,'Tech Parameters'!T$244:T$269)*'Tech Parameters'!$H7*'Ref scen Calcs'!P9*8760</f>
        <v>13619.115251233326</v>
      </c>
      <c r="Q174" s="9">
        <f ca="1">SUMIF('Tech Parameters'!$B$244:$B$269,$B174,'Tech Parameters'!U$244:U$269)*'Tech Parameters'!$H7*'Ref scen Calcs'!Q9*8760</f>
        <v>13513.482484453105</v>
      </c>
      <c r="R174" s="9">
        <f ca="1">SUMIF('Tech Parameters'!$B$244:$B$269,$B174,'Tech Parameters'!V$244:V$269)*'Tech Parameters'!$H7*'Ref scen Calcs'!R9*8760</f>
        <v>13407.84971767288</v>
      </c>
      <c r="S174" s="9">
        <f ca="1">SUMIF('Tech Parameters'!$B$244:$B$269,$B174,'Tech Parameters'!W$244:W$269)*'Tech Parameters'!$H7*'Ref scen Calcs'!S9*8760</f>
        <v>11400.827148848637</v>
      </c>
      <c r="T174" s="9">
        <f ca="1">SUMIF('Tech Parameters'!$B$244:$B$269,$B174,'Tech Parameters'!X$244:X$269)*'Tech Parameters'!$H7*'Ref scen Calcs'!T9*8760</f>
        <v>9393.8045800243945</v>
      </c>
      <c r="U174" s="9">
        <f ca="1">SUMIF('Tech Parameters'!$B$244:$B$269,$B174,'Tech Parameters'!Y$244:Y$269)*'Tech Parameters'!$H7*'Ref scen Calcs'!U9*8760</f>
        <v>9393.8045800243945</v>
      </c>
      <c r="V174" s="9">
        <f ca="1">SUMIF('Tech Parameters'!$B$244:$B$269,$B174,'Tech Parameters'!Z$244:Z$269)*'Tech Parameters'!$H7*'Ref scen Calcs'!V9*8760</f>
        <v>9393.8045800243945</v>
      </c>
      <c r="W174" s="9">
        <f ca="1">SUMIF('Tech Parameters'!$B$244:$B$269,$B174,'Tech Parameters'!AA$244:AA$269)*'Tech Parameters'!$H7*'Ref scen Calcs'!W9*8760</f>
        <v>9393.8045800243945</v>
      </c>
      <c r="X174" s="9">
        <f ca="1">SUMIF('Tech Parameters'!$B$244:$B$269,$B174,'Tech Parameters'!AB$244:AB$269)*'Tech Parameters'!$H7*'Ref scen Calcs'!X9*8760</f>
        <v>8469.0483917339716</v>
      </c>
      <c r="Y174" s="9">
        <f ca="1">SUMIF('Tech Parameters'!$B$244:$B$269,$B174,'Tech Parameters'!AC$244:AC$269)*'Tech Parameters'!$H7*'Ref scen Calcs'!Y9*8760</f>
        <v>7544.2922034435505</v>
      </c>
      <c r="Z174" s="9">
        <f ca="1">SUMIF('Tech Parameters'!$B$244:$B$269,$B174,'Tech Parameters'!AD$244:AD$269)*'Tech Parameters'!$H7*'Ref scen Calcs'!Z9*8760</f>
        <v>7544.2922034435505</v>
      </c>
      <c r="AA174" s="9">
        <f ca="1">SUMIF('Tech Parameters'!$B$244:$B$269,$B174,'Tech Parameters'!AE$244:AE$269)*'Tech Parameters'!$H7*'Ref scen Calcs'!AA9*8760</f>
        <v>7544.2922034435505</v>
      </c>
      <c r="AB174" s="9">
        <f ca="1">SUMIF('Tech Parameters'!$B$244:$B$269,$B174,'Tech Parameters'!AF$244:AF$269)*'Tech Parameters'!$H7*'Ref scen Calcs'!AB9*8760</f>
        <v>7544.2922034435505</v>
      </c>
      <c r="AC174" s="9">
        <f ca="1">SUMIF('Tech Parameters'!$B$244:$B$269,$B174,'Tech Parameters'!AG$244:AG$269)*'Tech Parameters'!$H7*'Ref scen Calcs'!AC9*8760</f>
        <v>7544.2922034435505</v>
      </c>
      <c r="AD174" s="9"/>
      <c r="AE174" s="9"/>
      <c r="AF174" s="9"/>
      <c r="AG174" s="9"/>
      <c r="AH174" s="9"/>
      <c r="AI174" s="9"/>
      <c r="AJ174" s="9"/>
      <c r="AK174" s="9"/>
      <c r="AL174" s="9"/>
      <c r="AM174" s="9"/>
      <c r="AN174" s="9"/>
      <c r="AO174" s="9"/>
      <c r="AP174" s="9"/>
      <c r="AQ174" s="9"/>
      <c r="AR174" s="9"/>
      <c r="AS174" s="9"/>
      <c r="AT174" s="9"/>
      <c r="AU174" s="9"/>
      <c r="AV174" s="9"/>
      <c r="AW174" s="9"/>
      <c r="BA174" s="4"/>
      <c r="BL174" s="4"/>
    </row>
    <row r="175" spans="2:64">
      <c r="B175" t="str">
        <f>'Tech Parameters'!C8</f>
        <v>Open-Cycle Gas Turbine diesel</v>
      </c>
      <c r="C175" t="str">
        <f>'Tech Parameters'!B8</f>
        <v>OCGT liquid fuels</v>
      </c>
      <c r="D175" s="9">
        <f>SUMIF('Tech Parameters'!$B$244:$B$269,$B175,'Tech Parameters'!H$244:H$269)*'Tech Parameters'!$H8*'Ref scen Calcs'!D10*8760</f>
        <v>651.77077055999985</v>
      </c>
      <c r="E175" s="9">
        <f>SUMIF('Tech Parameters'!$B$244:$B$269,$B175,'Tech Parameters'!I$244:I$269)*'Tech Parameters'!$H8*'Ref scen Calcs'!E10*8760</f>
        <v>651.77077055999985</v>
      </c>
      <c r="F175" s="9">
        <f>SUMIF('Tech Parameters'!$B$244:$B$269,$B175,'Tech Parameters'!J$244:J$269)*'Tech Parameters'!$H8*'Ref scen Calcs'!F10*8760</f>
        <v>651.77077055999985</v>
      </c>
      <c r="G175" s="9">
        <f>SUMIF('Tech Parameters'!$B$244:$B$269,$B175,'Tech Parameters'!K$244:K$269)*'Tech Parameters'!$H8*'Ref scen Calcs'!G10*8760</f>
        <v>651.77077055999985</v>
      </c>
      <c r="H175" s="9">
        <f>SUMIF('Tech Parameters'!$B$244:$B$269,$B175,'Tech Parameters'!L$244:L$269)*'Tech Parameters'!$H8*'Ref scen Calcs'!H10*8760</f>
        <v>651.77077055999985</v>
      </c>
      <c r="I175" s="9">
        <f ca="1">SUMIF('Tech Parameters'!$B$244:$B$269,$B175,'Tech Parameters'!M$244:M$269)*'Tech Parameters'!$H8*'Ref scen Calcs'!I10*8760</f>
        <v>651.77077055999985</v>
      </c>
      <c r="J175" s="9">
        <f ca="1">SUMIF('Tech Parameters'!$B$244:$B$269,$B175,'Tech Parameters'!N$244:N$269)*'Tech Parameters'!$H8*'Ref scen Calcs'!J10*8760</f>
        <v>945.06761731199981</v>
      </c>
      <c r="K175" s="9">
        <f ca="1">SUMIF('Tech Parameters'!$B$244:$B$269,$B175,'Tech Parameters'!O$244:O$269)*'Tech Parameters'!$H8*'Ref scen Calcs'!K10*8760</f>
        <v>945.06761731199981</v>
      </c>
      <c r="L175" s="9">
        <f ca="1">SUMIF('Tech Parameters'!$B$244:$B$269,$B175,'Tech Parameters'!P$244:P$269)*'Tech Parameters'!$H8*'Ref scen Calcs'!L10*8760</f>
        <v>945.06761731199981</v>
      </c>
      <c r="M175" s="9">
        <f ca="1">SUMIF('Tech Parameters'!$B$244:$B$269,$B175,'Tech Parameters'!Q$244:Q$269)*'Tech Parameters'!$H8*'Ref scen Calcs'!M10*8760</f>
        <v>945.06761731199981</v>
      </c>
      <c r="N175" s="9">
        <f ca="1">SUMIF('Tech Parameters'!$B$244:$B$269,$B175,'Tech Parameters'!R$244:R$269)*'Tech Parameters'!$H8*'Ref scen Calcs'!N10*8760</f>
        <v>945.06761731199981</v>
      </c>
      <c r="O175" s="9">
        <f ca="1">SUMIF('Tech Parameters'!$B$244:$B$269,$B175,'Tech Parameters'!S$244:S$269)*'Tech Parameters'!$H8*'Ref scen Calcs'!O10*8760</f>
        <v>945.06761731199981</v>
      </c>
      <c r="P175" s="9">
        <f ca="1">SUMIF('Tech Parameters'!$B$244:$B$269,$B175,'Tech Parameters'!T$244:T$269)*'Tech Parameters'!$H8*'Ref scen Calcs'!P10*8760</f>
        <v>945.06761731199981</v>
      </c>
      <c r="Q175" s="9">
        <f ca="1">SUMIF('Tech Parameters'!$B$244:$B$269,$B175,'Tech Parameters'!U$244:U$269)*'Tech Parameters'!$H8*'Ref scen Calcs'!Q10*8760</f>
        <v>945.06761731199981</v>
      </c>
      <c r="R175" s="9">
        <f ca="1">SUMIF('Tech Parameters'!$B$244:$B$269,$B175,'Tech Parameters'!V$244:V$269)*'Tech Parameters'!$H8*'Ref scen Calcs'!R10*8760</f>
        <v>945.06761731199981</v>
      </c>
      <c r="S175" s="9">
        <f ca="1">SUMIF('Tech Parameters'!$B$244:$B$269,$B175,'Tech Parameters'!W$244:W$269)*'Tech Parameters'!$H8*'Ref scen Calcs'!S10*8760</f>
        <v>945.06761731199981</v>
      </c>
      <c r="T175" s="9">
        <f ca="1">SUMIF('Tech Parameters'!$B$244:$B$269,$B175,'Tech Parameters'!X$244:X$269)*'Tech Parameters'!$H8*'Ref scen Calcs'!T10*8760</f>
        <v>945.06761731199981</v>
      </c>
      <c r="U175" s="9">
        <f ca="1">SUMIF('Tech Parameters'!$B$244:$B$269,$B175,'Tech Parameters'!Y$244:Y$269)*'Tech Parameters'!$H8*'Ref scen Calcs'!U10*8760</f>
        <v>945.06761731199981</v>
      </c>
      <c r="V175" s="9">
        <f ca="1">SUMIF('Tech Parameters'!$B$244:$B$269,$B175,'Tech Parameters'!Z$244:Z$269)*'Tech Parameters'!$H8*'Ref scen Calcs'!V10*8760</f>
        <v>1140.59884848</v>
      </c>
      <c r="W175" s="9">
        <f ca="1">SUMIF('Tech Parameters'!$B$244:$B$269,$B175,'Tech Parameters'!AA$244:AA$269)*'Tech Parameters'!$H8*'Ref scen Calcs'!W10*8760</f>
        <v>1140.59884848</v>
      </c>
      <c r="X175" s="9">
        <f ca="1">SUMIF('Tech Parameters'!$B$244:$B$269,$B175,'Tech Parameters'!AB$244:AB$269)*'Tech Parameters'!$H8*'Ref scen Calcs'!X10*8760</f>
        <v>1140.59884848</v>
      </c>
      <c r="Y175" s="9">
        <f ca="1">SUMIF('Tech Parameters'!$B$244:$B$269,$B175,'Tech Parameters'!AC$244:AC$269)*'Tech Parameters'!$H8*'Ref scen Calcs'!Y10*8760</f>
        <v>1336.1300796479998</v>
      </c>
      <c r="Z175" s="9">
        <f ca="1">SUMIF('Tech Parameters'!$B$244:$B$269,$B175,'Tech Parameters'!AD$244:AD$269)*'Tech Parameters'!$H8*'Ref scen Calcs'!Z10*8760</f>
        <v>1336.1300796479998</v>
      </c>
      <c r="AA175" s="9">
        <f ca="1">SUMIF('Tech Parameters'!$B$244:$B$269,$B175,'Tech Parameters'!AE$244:AE$269)*'Tech Parameters'!$H8*'Ref scen Calcs'!AA10*8760</f>
        <v>1336.1300796479998</v>
      </c>
      <c r="AB175" s="9">
        <f ca="1">SUMIF('Tech Parameters'!$B$244:$B$269,$B175,'Tech Parameters'!AF$244:AF$269)*'Tech Parameters'!$H8*'Ref scen Calcs'!AB10*8760</f>
        <v>1531.6613108159995</v>
      </c>
      <c r="AC175" s="9">
        <f ca="1">SUMIF('Tech Parameters'!$B$244:$B$269,$B175,'Tech Parameters'!AG$244:AG$269)*'Tech Parameters'!$H8*'Ref scen Calcs'!AC10*8760</f>
        <v>1485.2226434135996</v>
      </c>
      <c r="AD175" s="9"/>
      <c r="AE175" s="9"/>
      <c r="AF175" s="9"/>
      <c r="AG175" s="9"/>
      <c r="AH175" s="9"/>
      <c r="AI175" s="9"/>
      <c r="AJ175" s="9"/>
      <c r="AK175" s="9"/>
      <c r="AL175" s="9"/>
      <c r="AM175" s="9"/>
      <c r="AN175" s="9"/>
      <c r="AO175" s="9"/>
      <c r="AP175" s="9"/>
      <c r="AQ175" s="9"/>
      <c r="AR175" s="9"/>
      <c r="AS175" s="9"/>
      <c r="AT175" s="9"/>
      <c r="AU175" s="9"/>
      <c r="AV175" s="9"/>
      <c r="AW175" s="9"/>
      <c r="BA175" s="4"/>
      <c r="BL175" s="4"/>
    </row>
    <row r="176" spans="2:64">
      <c r="B176" t="str">
        <f>'Tech Parameters'!C9</f>
        <v>Nuclear Pressurised Water Reactor</v>
      </c>
      <c r="C176" t="str">
        <f>'Tech Parameters'!B9</f>
        <v>PWR nuclear</v>
      </c>
      <c r="D176" s="9">
        <f>SUMIF('Tech Parameters'!$B$244:$B$269,$B176,'Tech Parameters'!H$244:H$269)*'Tech Parameters'!$H9*'Ref scen Calcs'!D11*8760</f>
        <v>13197.815999999999</v>
      </c>
      <c r="E176" s="9">
        <f>SUMIF('Tech Parameters'!$B$244:$B$269,$B176,'Tech Parameters'!I$244:I$269)*'Tech Parameters'!$H9*'Ref scen Calcs'!E11*8760</f>
        <v>13197.815999999999</v>
      </c>
      <c r="F176" s="9">
        <f>SUMIF('Tech Parameters'!$B$244:$B$269,$B176,'Tech Parameters'!J$244:J$269)*'Tech Parameters'!$H9*'Ref scen Calcs'!F11*8760</f>
        <v>13197.815999999999</v>
      </c>
      <c r="G176" s="9">
        <f>SUMIF('Tech Parameters'!$B$244:$B$269,$B176,'Tech Parameters'!K$244:K$269)*'Tech Parameters'!$H9*'Ref scen Calcs'!G11*8760</f>
        <v>13197.815999999999</v>
      </c>
      <c r="H176" s="9">
        <f>SUMIF('Tech Parameters'!$B$244:$B$269,$B176,'Tech Parameters'!L$244:L$269)*'Tech Parameters'!$H9*'Ref scen Calcs'!H11*8760</f>
        <v>13197.815999999999</v>
      </c>
      <c r="I176" s="9">
        <f ca="1">SUMIF('Tech Parameters'!$B$244:$B$269,$B176,'Tech Parameters'!M$244:M$269)*'Tech Parameters'!$H9*'Ref scen Calcs'!I11*8760</f>
        <v>13197.815999999999</v>
      </c>
      <c r="J176" s="9">
        <f ca="1">SUMIF('Tech Parameters'!$B$244:$B$269,$B176,'Tech Parameters'!N$244:N$269)*'Tech Parameters'!$H9*'Ref scen Calcs'!J11*8760</f>
        <v>13197.815999999999</v>
      </c>
      <c r="K176" s="9">
        <f ca="1">SUMIF('Tech Parameters'!$B$244:$B$269,$B176,'Tech Parameters'!O$244:O$269)*'Tech Parameters'!$H9*'Ref scen Calcs'!K11*8760</f>
        <v>13197.815999999999</v>
      </c>
      <c r="L176" s="9">
        <f ca="1">SUMIF('Tech Parameters'!$B$244:$B$269,$B176,'Tech Parameters'!P$244:P$269)*'Tech Parameters'!$H9*'Ref scen Calcs'!L11*8760</f>
        <v>13197.815999999999</v>
      </c>
      <c r="M176" s="9">
        <f ca="1">SUMIF('Tech Parameters'!$B$244:$B$269,$B176,'Tech Parameters'!Q$244:Q$269)*'Tech Parameters'!$H9*'Ref scen Calcs'!M11*8760</f>
        <v>13197.815999999999</v>
      </c>
      <c r="N176" s="9">
        <f ca="1">SUMIF('Tech Parameters'!$B$244:$B$269,$B176,'Tech Parameters'!R$244:R$269)*'Tech Parameters'!$H9*'Ref scen Calcs'!N11*8760</f>
        <v>13197.815999999999</v>
      </c>
      <c r="O176" s="9">
        <f ca="1">SUMIF('Tech Parameters'!$B$244:$B$269,$B176,'Tech Parameters'!S$244:S$269)*'Tech Parameters'!$H9*'Ref scen Calcs'!O11*8760</f>
        <v>13197.815999999999</v>
      </c>
      <c r="P176" s="9">
        <f ca="1">SUMIF('Tech Parameters'!$B$244:$B$269,$B176,'Tech Parameters'!T$244:T$269)*'Tech Parameters'!$H9*'Ref scen Calcs'!P11*8760</f>
        <v>13197.815999999999</v>
      </c>
      <c r="Q176" s="9">
        <f ca="1">SUMIF('Tech Parameters'!$B$244:$B$269,$B176,'Tech Parameters'!U$244:U$269)*'Tech Parameters'!$H9*'Ref scen Calcs'!Q11*8760</f>
        <v>13197.815999999999</v>
      </c>
      <c r="R176" s="9">
        <f ca="1">SUMIF('Tech Parameters'!$B$244:$B$269,$B176,'Tech Parameters'!V$244:V$269)*'Tech Parameters'!$H9*'Ref scen Calcs'!R11*8760</f>
        <v>13197.815999999999</v>
      </c>
      <c r="S176" s="9">
        <f ca="1">SUMIF('Tech Parameters'!$B$244:$B$269,$B176,'Tech Parameters'!W$244:W$269)*'Tech Parameters'!$H9*'Ref scen Calcs'!S11*8760</f>
        <v>13197.815999999999</v>
      </c>
      <c r="T176" s="9">
        <f ca="1">SUMIF('Tech Parameters'!$B$244:$B$269,$B176,'Tech Parameters'!X$244:X$269)*'Tech Parameters'!$H9*'Ref scen Calcs'!T11*8760</f>
        <v>13197.815999999999</v>
      </c>
      <c r="U176" s="9">
        <f ca="1">SUMIF('Tech Parameters'!$B$244:$B$269,$B176,'Tech Parameters'!Y$244:Y$269)*'Tech Parameters'!$H9*'Ref scen Calcs'!U11*8760</f>
        <v>13197.815999999999</v>
      </c>
      <c r="V176" s="9">
        <f ca="1">SUMIF('Tech Parameters'!$B$244:$B$269,$B176,'Tech Parameters'!Z$244:Z$269)*'Tech Parameters'!$H9*'Ref scen Calcs'!V11*8760</f>
        <v>13197.815999999999</v>
      </c>
      <c r="W176" s="9">
        <f ca="1">SUMIF('Tech Parameters'!$B$244:$B$269,$B176,'Tech Parameters'!AA$244:AA$269)*'Tech Parameters'!$H9*'Ref scen Calcs'!W11*8760</f>
        <v>13197.815999999999</v>
      </c>
      <c r="X176" s="9">
        <f ca="1">SUMIF('Tech Parameters'!$B$244:$B$269,$B176,'Tech Parameters'!AB$244:AB$269)*'Tech Parameters'!$H9*'Ref scen Calcs'!X11*8760</f>
        <v>13197.815999999999</v>
      </c>
      <c r="Y176" s="9">
        <f ca="1">SUMIF('Tech Parameters'!$B$244:$B$269,$B176,'Tech Parameters'!AC$244:AC$269)*'Tech Parameters'!$H9*'Ref scen Calcs'!Y11*8760</f>
        <v>13197.815999999999</v>
      </c>
      <c r="Z176" s="9">
        <f ca="1">SUMIF('Tech Parameters'!$B$244:$B$269,$B176,'Tech Parameters'!AD$244:AD$269)*'Tech Parameters'!$H9*'Ref scen Calcs'!Z11*8760</f>
        <v>13197.815999999999</v>
      </c>
      <c r="AA176" s="9">
        <f ca="1">SUMIF('Tech Parameters'!$B$244:$B$269,$B176,'Tech Parameters'!AE$244:AE$269)*'Tech Parameters'!$H9*'Ref scen Calcs'!AA11*8760</f>
        <v>13197.815999999999</v>
      </c>
      <c r="AB176" s="9">
        <f ca="1">SUMIF('Tech Parameters'!$B$244:$B$269,$B176,'Tech Parameters'!AF$244:AF$269)*'Tech Parameters'!$H9*'Ref scen Calcs'!AB11*8760</f>
        <v>13197.815999999999</v>
      </c>
      <c r="AC176" s="9">
        <f ca="1">SUMIF('Tech Parameters'!$B$244:$B$269,$B176,'Tech Parameters'!AG$244:AG$269)*'Tech Parameters'!$H9*'Ref scen Calcs'!AC11*8760</f>
        <v>13197.815999999999</v>
      </c>
      <c r="AD176" s="9"/>
      <c r="AE176" s="9"/>
      <c r="AF176" s="9"/>
      <c r="AG176" s="9"/>
      <c r="AH176" s="9"/>
      <c r="AI176" s="9"/>
      <c r="AJ176" s="9"/>
      <c r="AK176" s="9"/>
      <c r="AL176" s="9"/>
      <c r="AM176" s="9"/>
      <c r="AN176" s="9"/>
      <c r="AO176" s="9"/>
      <c r="AP176" s="9"/>
      <c r="AQ176" s="9"/>
      <c r="AR176" s="9"/>
      <c r="AS176" s="9"/>
      <c r="AT176" s="9"/>
      <c r="AU176" s="9"/>
      <c r="AV176" s="9"/>
      <c r="AW176" s="9"/>
      <c r="BA176" s="4"/>
      <c r="BL176" s="4"/>
    </row>
    <row r="177" spans="2:64">
      <c r="B177" t="str">
        <f>'Tech Parameters'!C10</f>
        <v>Hydro existing</v>
      </c>
      <c r="C177" t="str">
        <f>'Tech Parameters'!B10</f>
        <v>Hydro</v>
      </c>
      <c r="D177" s="9">
        <f>SUMIF('Tech Parameters'!$B$244:$B$269,$B177,'Tech Parameters'!H$244:H$269)*'Tech Parameters'!$H10*'Ref scen Calcs'!D12*8760</f>
        <v>811.76619047619067</v>
      </c>
      <c r="E177" s="9">
        <f>SUMIF('Tech Parameters'!$B$244:$B$269,$B177,'Tech Parameters'!I$244:I$269)*'Tech Parameters'!$H10*'Ref scen Calcs'!E12*8760</f>
        <v>811.76619047619067</v>
      </c>
      <c r="F177" s="9">
        <f>SUMIF('Tech Parameters'!$B$244:$B$269,$B177,'Tech Parameters'!J$244:J$269)*'Tech Parameters'!$H10*'Ref scen Calcs'!F12*8760</f>
        <v>811.76619047619067</v>
      </c>
      <c r="G177" s="9">
        <f>SUMIF('Tech Parameters'!$B$244:$B$269,$B177,'Tech Parameters'!K$244:K$269)*'Tech Parameters'!$H10*'Ref scen Calcs'!G12*8760</f>
        <v>811.76619047619067</v>
      </c>
      <c r="H177" s="9">
        <f>SUMIF('Tech Parameters'!$B$244:$B$269,$B177,'Tech Parameters'!L$244:L$269)*'Tech Parameters'!$H10*'Ref scen Calcs'!H12*8760</f>
        <v>811.76619047619067</v>
      </c>
      <c r="I177" s="9">
        <f ca="1">SUMIF('Tech Parameters'!$B$244:$B$269,$B177,'Tech Parameters'!M$244:M$269)*'Tech Parameters'!$H10*'Ref scen Calcs'!I12*8760</f>
        <v>811.76619047619067</v>
      </c>
      <c r="J177" s="9">
        <f ca="1">SUMIF('Tech Parameters'!$B$244:$B$269,$B177,'Tech Parameters'!N$244:N$269)*'Tech Parameters'!$H10*'Ref scen Calcs'!J12*8760</f>
        <v>811.76619047619067</v>
      </c>
      <c r="K177" s="9">
        <f ca="1">SUMIF('Tech Parameters'!$B$244:$B$269,$B177,'Tech Parameters'!O$244:O$269)*'Tech Parameters'!$H10*'Ref scen Calcs'!K12*8760</f>
        <v>811.76619047619067</v>
      </c>
      <c r="L177" s="9">
        <f ca="1">SUMIF('Tech Parameters'!$B$244:$B$269,$B177,'Tech Parameters'!P$244:P$269)*'Tech Parameters'!$H10*'Ref scen Calcs'!L12*8760</f>
        <v>811.76619047619067</v>
      </c>
      <c r="M177" s="9">
        <f ca="1">SUMIF('Tech Parameters'!$B$244:$B$269,$B177,'Tech Parameters'!Q$244:Q$269)*'Tech Parameters'!$H10*'Ref scen Calcs'!M12*8760</f>
        <v>811.76619047619067</v>
      </c>
      <c r="N177" s="9">
        <f ca="1">SUMIF('Tech Parameters'!$B$244:$B$269,$B177,'Tech Parameters'!R$244:R$269)*'Tech Parameters'!$H10*'Ref scen Calcs'!N12*8760</f>
        <v>811.76619047619067</v>
      </c>
      <c r="O177" s="9">
        <f ca="1">SUMIF('Tech Parameters'!$B$244:$B$269,$B177,'Tech Parameters'!S$244:S$269)*'Tech Parameters'!$H10*'Ref scen Calcs'!O12*8760</f>
        <v>811.76619047619067</v>
      </c>
      <c r="P177" s="9">
        <f ca="1">SUMIF('Tech Parameters'!$B$244:$B$269,$B177,'Tech Parameters'!T$244:T$269)*'Tech Parameters'!$H10*'Ref scen Calcs'!P12*8760</f>
        <v>811.76619047619067</v>
      </c>
      <c r="Q177" s="9">
        <f ca="1">SUMIF('Tech Parameters'!$B$244:$B$269,$B177,'Tech Parameters'!U$244:U$269)*'Tech Parameters'!$H10*'Ref scen Calcs'!Q12*8760</f>
        <v>811.76619047619067</v>
      </c>
      <c r="R177" s="9">
        <f ca="1">SUMIF('Tech Parameters'!$B$244:$B$269,$B177,'Tech Parameters'!V$244:V$269)*'Tech Parameters'!$H10*'Ref scen Calcs'!R12*8760</f>
        <v>811.76619047619067</v>
      </c>
      <c r="S177" s="9">
        <f ca="1">SUMIF('Tech Parameters'!$B$244:$B$269,$B177,'Tech Parameters'!W$244:W$269)*'Tech Parameters'!$H10*'Ref scen Calcs'!S12*8760</f>
        <v>811.76619047619067</v>
      </c>
      <c r="T177" s="9">
        <f ca="1">SUMIF('Tech Parameters'!$B$244:$B$269,$B177,'Tech Parameters'!X$244:X$269)*'Tech Parameters'!$H10*'Ref scen Calcs'!T12*8760</f>
        <v>811.76619047619067</v>
      </c>
      <c r="U177" s="9">
        <f ca="1">SUMIF('Tech Parameters'!$B$244:$B$269,$B177,'Tech Parameters'!Y$244:Y$269)*'Tech Parameters'!$H10*'Ref scen Calcs'!U12*8760</f>
        <v>811.76619047619067</v>
      </c>
      <c r="V177" s="9">
        <f ca="1">SUMIF('Tech Parameters'!$B$244:$B$269,$B177,'Tech Parameters'!Z$244:Z$269)*'Tech Parameters'!$H10*'Ref scen Calcs'!V12*8760</f>
        <v>811.76619047619067</v>
      </c>
      <c r="W177" s="9">
        <f ca="1">SUMIF('Tech Parameters'!$B$244:$B$269,$B177,'Tech Parameters'!AA$244:AA$269)*'Tech Parameters'!$H10*'Ref scen Calcs'!W12*8760</f>
        <v>811.76619047619067</v>
      </c>
      <c r="X177" s="9">
        <f ca="1">SUMIF('Tech Parameters'!$B$244:$B$269,$B177,'Tech Parameters'!AB$244:AB$269)*'Tech Parameters'!$H10*'Ref scen Calcs'!X12*8760</f>
        <v>811.76619047619067</v>
      </c>
      <c r="Y177" s="9">
        <f ca="1">SUMIF('Tech Parameters'!$B$244:$B$269,$B177,'Tech Parameters'!AC$244:AC$269)*'Tech Parameters'!$H10*'Ref scen Calcs'!Y12*8760</f>
        <v>811.76619047619067</v>
      </c>
      <c r="Z177" s="9">
        <f ca="1">SUMIF('Tech Parameters'!$B$244:$B$269,$B177,'Tech Parameters'!AD$244:AD$269)*'Tech Parameters'!$H10*'Ref scen Calcs'!Z12*8760</f>
        <v>811.76619047619067</v>
      </c>
      <c r="AA177" s="9">
        <f ca="1">SUMIF('Tech Parameters'!$B$244:$B$269,$B177,'Tech Parameters'!AE$244:AE$269)*'Tech Parameters'!$H10*'Ref scen Calcs'!AA12*8760</f>
        <v>811.76619047619067</v>
      </c>
      <c r="AB177" s="9">
        <f ca="1">SUMIF('Tech Parameters'!$B$244:$B$269,$B177,'Tech Parameters'!AF$244:AF$269)*'Tech Parameters'!$H10*'Ref scen Calcs'!AB12*8760</f>
        <v>811.76619047619067</v>
      </c>
      <c r="AC177" s="9">
        <f ca="1">SUMIF('Tech Parameters'!$B$244:$B$269,$B177,'Tech Parameters'!AG$244:AG$269)*'Tech Parameters'!$H10*'Ref scen Calcs'!AC12*8760</f>
        <v>811.76619047619067</v>
      </c>
      <c r="AD177" s="9"/>
      <c r="AE177" s="9"/>
      <c r="AF177" s="9"/>
      <c r="AG177" s="9"/>
      <c r="AH177" s="9"/>
      <c r="AI177" s="9"/>
      <c r="AJ177" s="9"/>
      <c r="AK177" s="9"/>
      <c r="AL177" s="9"/>
      <c r="AM177" s="9"/>
      <c r="AN177" s="9"/>
      <c r="AO177" s="9"/>
      <c r="AP177" s="9"/>
      <c r="AQ177" s="9"/>
      <c r="AR177" s="9"/>
      <c r="AS177" s="9"/>
      <c r="AT177" s="9"/>
      <c r="AU177" s="9"/>
      <c r="AV177" s="9"/>
      <c r="AW177" s="9"/>
      <c r="BA177" s="4"/>
      <c r="BL177" s="4"/>
    </row>
    <row r="178" spans="2:64">
      <c r="B178" t="str">
        <f>'Tech Parameters'!C11</f>
        <v>Landfill gas</v>
      </c>
      <c r="C178" t="str">
        <f>'Tech Parameters'!B11</f>
        <v>Landfill gas</v>
      </c>
      <c r="D178" s="9">
        <f>SUMIF('Tech Parameters'!$B$244:$B$269,$B178,'Tech Parameters'!H$244:H$269)*'Tech Parameters'!$H11*'Ref scen Calcs'!D13*8760</f>
        <v>524.66925000000003</v>
      </c>
      <c r="E178" s="9">
        <f>SUMIF('Tech Parameters'!$B$244:$B$269,$B178,'Tech Parameters'!I$244:I$269)*'Tech Parameters'!$H11*'Ref scen Calcs'!E13*8760</f>
        <v>524.66925000000003</v>
      </c>
      <c r="F178" s="9">
        <f>SUMIF('Tech Parameters'!$B$244:$B$269,$B178,'Tech Parameters'!J$244:J$269)*'Tech Parameters'!$H11*'Ref scen Calcs'!F13*8760</f>
        <v>524.66925000000003</v>
      </c>
      <c r="G178" s="9">
        <f>SUMIF('Tech Parameters'!$B$244:$B$269,$B178,'Tech Parameters'!K$244:K$269)*'Tech Parameters'!$H11*'Ref scen Calcs'!G13*8760</f>
        <v>524.66925000000003</v>
      </c>
      <c r="H178" s="9">
        <f>SUMIF('Tech Parameters'!$B$244:$B$269,$B178,'Tech Parameters'!L$244:L$269)*'Tech Parameters'!$H11*'Ref scen Calcs'!H13*8760</f>
        <v>524.66925000000003</v>
      </c>
      <c r="I178" s="9">
        <f ca="1">SUMIF('Tech Parameters'!$B$244:$B$269,$B178,'Tech Parameters'!M$244:M$269)*'Tech Parameters'!$H11*'Ref scen Calcs'!I13*8760</f>
        <v>524.66925000000003</v>
      </c>
      <c r="J178" s="9">
        <f ca="1">SUMIF('Tech Parameters'!$B$244:$B$269,$B178,'Tech Parameters'!N$244:N$269)*'Tech Parameters'!$H11*'Ref scen Calcs'!J13*8760</f>
        <v>524.66925000000003</v>
      </c>
      <c r="K178" s="9">
        <f ca="1">SUMIF('Tech Parameters'!$B$244:$B$269,$B178,'Tech Parameters'!O$244:O$269)*'Tech Parameters'!$H11*'Ref scen Calcs'!K13*8760</f>
        <v>524.66925000000003</v>
      </c>
      <c r="L178" s="9">
        <f ca="1">SUMIF('Tech Parameters'!$B$244:$B$269,$B178,'Tech Parameters'!P$244:P$269)*'Tech Parameters'!$H11*'Ref scen Calcs'!L13*8760</f>
        <v>524.66925000000003</v>
      </c>
      <c r="M178" s="9">
        <f ca="1">SUMIF('Tech Parameters'!$B$244:$B$269,$B178,'Tech Parameters'!Q$244:Q$269)*'Tech Parameters'!$H11*'Ref scen Calcs'!M13*8760</f>
        <v>524.66925000000003</v>
      </c>
      <c r="N178" s="9">
        <f ca="1">SUMIF('Tech Parameters'!$B$244:$B$269,$B178,'Tech Parameters'!R$244:R$269)*'Tech Parameters'!$H11*'Ref scen Calcs'!N13*8760</f>
        <v>524.66925000000003</v>
      </c>
      <c r="O178" s="9">
        <f ca="1">SUMIF('Tech Parameters'!$B$244:$B$269,$B178,'Tech Parameters'!S$244:S$269)*'Tech Parameters'!$H11*'Ref scen Calcs'!O13*8760</f>
        <v>524.66925000000003</v>
      </c>
      <c r="P178" s="9">
        <f ca="1">SUMIF('Tech Parameters'!$B$244:$B$269,$B178,'Tech Parameters'!T$244:T$269)*'Tech Parameters'!$H11*'Ref scen Calcs'!P13*8760</f>
        <v>524.66925000000003</v>
      </c>
      <c r="Q178" s="9">
        <f ca="1">SUMIF('Tech Parameters'!$B$244:$B$269,$B178,'Tech Parameters'!U$244:U$269)*'Tech Parameters'!$H11*'Ref scen Calcs'!Q13*8760</f>
        <v>524.66925000000003</v>
      </c>
      <c r="R178" s="9">
        <f ca="1">SUMIF('Tech Parameters'!$B$244:$B$269,$B178,'Tech Parameters'!V$244:V$269)*'Tech Parameters'!$H11*'Ref scen Calcs'!R13*8760</f>
        <v>524.66925000000003</v>
      </c>
      <c r="S178" s="9">
        <f ca="1">SUMIF('Tech Parameters'!$B$244:$B$269,$B178,'Tech Parameters'!W$244:W$269)*'Tech Parameters'!$H11*'Ref scen Calcs'!S13*8760</f>
        <v>524.66925000000003</v>
      </c>
      <c r="T178" s="9">
        <f ca="1">SUMIF('Tech Parameters'!$B$244:$B$269,$B178,'Tech Parameters'!X$244:X$269)*'Tech Parameters'!$H11*'Ref scen Calcs'!T13*8760</f>
        <v>524.66925000000003</v>
      </c>
      <c r="U178" s="9">
        <f ca="1">SUMIF('Tech Parameters'!$B$244:$B$269,$B178,'Tech Parameters'!Y$244:Y$269)*'Tech Parameters'!$H11*'Ref scen Calcs'!U13*8760</f>
        <v>524.66925000000003</v>
      </c>
      <c r="V178" s="9">
        <f ca="1">SUMIF('Tech Parameters'!$B$244:$B$269,$B178,'Tech Parameters'!Z$244:Z$269)*'Tech Parameters'!$H11*'Ref scen Calcs'!V13*8760</f>
        <v>524.66925000000003</v>
      </c>
      <c r="W178" s="9">
        <f ca="1">SUMIF('Tech Parameters'!$B$244:$B$269,$B178,'Tech Parameters'!AA$244:AA$269)*'Tech Parameters'!$H11*'Ref scen Calcs'!W13*8760</f>
        <v>524.66925000000003</v>
      </c>
      <c r="X178" s="9">
        <f ca="1">SUMIF('Tech Parameters'!$B$244:$B$269,$B178,'Tech Parameters'!AB$244:AB$269)*'Tech Parameters'!$H11*'Ref scen Calcs'!X13*8760</f>
        <v>524.66925000000003</v>
      </c>
      <c r="Y178" s="9">
        <f ca="1">SUMIF('Tech Parameters'!$B$244:$B$269,$B178,'Tech Parameters'!AC$244:AC$269)*'Tech Parameters'!$H11*'Ref scen Calcs'!Y13*8760</f>
        <v>524.66925000000003</v>
      </c>
      <c r="Z178" s="9">
        <f ca="1">SUMIF('Tech Parameters'!$B$244:$B$269,$B178,'Tech Parameters'!AD$244:AD$269)*'Tech Parameters'!$H11*'Ref scen Calcs'!Z13*8760</f>
        <v>524.66925000000003</v>
      </c>
      <c r="AA178" s="9">
        <f ca="1">SUMIF('Tech Parameters'!$B$244:$B$269,$B178,'Tech Parameters'!AE$244:AE$269)*'Tech Parameters'!$H11*'Ref scen Calcs'!AA13*8760</f>
        <v>524.66925000000003</v>
      </c>
      <c r="AB178" s="9">
        <f ca="1">SUMIF('Tech Parameters'!$B$244:$B$269,$B178,'Tech Parameters'!AF$244:AF$269)*'Tech Parameters'!$H11*'Ref scen Calcs'!AB13*8760</f>
        <v>524.66925000000003</v>
      </c>
      <c r="AC178" s="9">
        <f ca="1">SUMIF('Tech Parameters'!$B$244:$B$269,$B178,'Tech Parameters'!AG$244:AG$269)*'Tech Parameters'!$H11*'Ref scen Calcs'!AC13*8760</f>
        <v>524.66925000000003</v>
      </c>
      <c r="AD178" s="9"/>
      <c r="AE178" s="9"/>
      <c r="AF178" s="9"/>
      <c r="AG178" s="9"/>
      <c r="AH178" s="9"/>
      <c r="AI178" s="9"/>
      <c r="AJ178" s="9"/>
      <c r="AK178" s="9"/>
      <c r="AL178" s="9"/>
      <c r="AM178" s="9"/>
      <c r="AN178" s="9"/>
      <c r="AO178" s="9"/>
      <c r="AP178" s="9"/>
      <c r="AQ178" s="9"/>
      <c r="AR178" s="9"/>
      <c r="AS178" s="9"/>
      <c r="AT178" s="9"/>
      <c r="AU178" s="9"/>
      <c r="AV178" s="9"/>
      <c r="AW178" s="9"/>
      <c r="BA178" s="4"/>
      <c r="BL178" s="4"/>
    </row>
    <row r="179" spans="2:64">
      <c r="B179" t="str">
        <f>'Tech Parameters'!C12</f>
        <v>Biomass</v>
      </c>
      <c r="C179" t="str">
        <f>'Tech Parameters'!B12</f>
        <v>Biomass</v>
      </c>
      <c r="D179" s="9">
        <f>SUMIF('Tech Parameters'!$B$244:$B$269,$B179,'Tech Parameters'!H$244:H$269)*'Tech Parameters'!$H12*'Ref scen Calcs'!D14*8760</f>
        <v>1502.1209999999999</v>
      </c>
      <c r="E179" s="9">
        <f>SUMIF('Tech Parameters'!$B$244:$B$269,$B179,'Tech Parameters'!I$244:I$269)*'Tech Parameters'!$H12*'Ref scen Calcs'!E14*8760</f>
        <v>1502.1209999999999</v>
      </c>
      <c r="F179" s="9">
        <f>SUMIF('Tech Parameters'!$B$244:$B$269,$B179,'Tech Parameters'!J$244:J$269)*'Tech Parameters'!$H12*'Ref scen Calcs'!F14*8760</f>
        <v>1502.1209999999999</v>
      </c>
      <c r="G179" s="9">
        <f>SUMIF('Tech Parameters'!$B$244:$B$269,$B179,'Tech Parameters'!K$244:K$269)*'Tech Parameters'!$H12*'Ref scen Calcs'!G14*8760</f>
        <v>1502.1209999999999</v>
      </c>
      <c r="H179" s="9">
        <f>SUMIF('Tech Parameters'!$B$244:$B$269,$B179,'Tech Parameters'!L$244:L$269)*'Tech Parameters'!$H12*'Ref scen Calcs'!H14*8760</f>
        <v>1502.1209999999999</v>
      </c>
      <c r="I179" s="9">
        <f ca="1">SUMIF('Tech Parameters'!$B$244:$B$269,$B179,'Tech Parameters'!M$244:M$269)*'Tech Parameters'!$H12*'Ref scen Calcs'!I14*8760</f>
        <v>1502.1209999999999</v>
      </c>
      <c r="J179" s="9">
        <f ca="1">SUMIF('Tech Parameters'!$B$244:$B$269,$B179,'Tech Parameters'!N$244:N$269)*'Tech Parameters'!$H12*'Ref scen Calcs'!J14*8760</f>
        <v>1502.1209999999999</v>
      </c>
      <c r="K179" s="9">
        <f ca="1">SUMIF('Tech Parameters'!$B$244:$B$269,$B179,'Tech Parameters'!O$244:O$269)*'Tech Parameters'!$H12*'Ref scen Calcs'!K14*8760</f>
        <v>1502.1209999999999</v>
      </c>
      <c r="L179" s="9">
        <f ca="1">SUMIF('Tech Parameters'!$B$244:$B$269,$B179,'Tech Parameters'!P$244:P$269)*'Tech Parameters'!$H12*'Ref scen Calcs'!L14*8760</f>
        <v>1502.1209999999999</v>
      </c>
      <c r="M179" s="9">
        <f ca="1">SUMIF('Tech Parameters'!$B$244:$B$269,$B179,'Tech Parameters'!Q$244:Q$269)*'Tech Parameters'!$H12*'Ref scen Calcs'!M14*8760</f>
        <v>1502.1209999999999</v>
      </c>
      <c r="N179" s="9">
        <f ca="1">SUMIF('Tech Parameters'!$B$244:$B$269,$B179,'Tech Parameters'!R$244:R$269)*'Tech Parameters'!$H12*'Ref scen Calcs'!N14*8760</f>
        <v>1502.1209999999999</v>
      </c>
      <c r="O179" s="9">
        <f ca="1">SUMIF('Tech Parameters'!$B$244:$B$269,$B179,'Tech Parameters'!S$244:S$269)*'Tech Parameters'!$H12*'Ref scen Calcs'!O14*8760</f>
        <v>1502.1209999999999</v>
      </c>
      <c r="P179" s="9">
        <f ca="1">SUMIF('Tech Parameters'!$B$244:$B$269,$B179,'Tech Parameters'!T$244:T$269)*'Tech Parameters'!$H12*'Ref scen Calcs'!P14*8760</f>
        <v>1502.1209999999999</v>
      </c>
      <c r="Q179" s="9">
        <f ca="1">SUMIF('Tech Parameters'!$B$244:$B$269,$B179,'Tech Parameters'!U$244:U$269)*'Tech Parameters'!$H12*'Ref scen Calcs'!Q14*8760</f>
        <v>1502.1209999999999</v>
      </c>
      <c r="R179" s="9">
        <f ca="1">SUMIF('Tech Parameters'!$B$244:$B$269,$B179,'Tech Parameters'!V$244:V$269)*'Tech Parameters'!$H12*'Ref scen Calcs'!R14*8760</f>
        <v>1502.1209999999999</v>
      </c>
      <c r="S179" s="9">
        <f ca="1">SUMIF('Tech Parameters'!$B$244:$B$269,$B179,'Tech Parameters'!W$244:W$269)*'Tech Parameters'!$H12*'Ref scen Calcs'!S14*8760</f>
        <v>1502.1209999999999</v>
      </c>
      <c r="T179" s="9">
        <f ca="1">SUMIF('Tech Parameters'!$B$244:$B$269,$B179,'Tech Parameters'!X$244:X$269)*'Tech Parameters'!$H12*'Ref scen Calcs'!T14*8760</f>
        <v>1502.1209999999999</v>
      </c>
      <c r="U179" s="9">
        <f ca="1">SUMIF('Tech Parameters'!$B$244:$B$269,$B179,'Tech Parameters'!Y$244:Y$269)*'Tech Parameters'!$H12*'Ref scen Calcs'!U14*8760</f>
        <v>1502.1209999999999</v>
      </c>
      <c r="V179" s="9">
        <f ca="1">SUMIF('Tech Parameters'!$B$244:$B$269,$B179,'Tech Parameters'!Z$244:Z$269)*'Tech Parameters'!$H12*'Ref scen Calcs'!V14*8760</f>
        <v>1502.1209999999999</v>
      </c>
      <c r="W179" s="9">
        <f ca="1">SUMIF('Tech Parameters'!$B$244:$B$269,$B179,'Tech Parameters'!AA$244:AA$269)*'Tech Parameters'!$H12*'Ref scen Calcs'!W14*8760</f>
        <v>1502.1209999999999</v>
      </c>
      <c r="X179" s="9">
        <f ca="1">SUMIF('Tech Parameters'!$B$244:$B$269,$B179,'Tech Parameters'!AB$244:AB$269)*'Tech Parameters'!$H12*'Ref scen Calcs'!X14*8760</f>
        <v>1502.1209999999999</v>
      </c>
      <c r="Y179" s="9">
        <f ca="1">SUMIF('Tech Parameters'!$B$244:$B$269,$B179,'Tech Parameters'!AC$244:AC$269)*'Tech Parameters'!$H12*'Ref scen Calcs'!Y14*8760</f>
        <v>1502.1209999999999</v>
      </c>
      <c r="Z179" s="9">
        <f ca="1">SUMIF('Tech Parameters'!$B$244:$B$269,$B179,'Tech Parameters'!AD$244:AD$269)*'Tech Parameters'!$H12*'Ref scen Calcs'!Z14*8760</f>
        <v>1502.1209999999999</v>
      </c>
      <c r="AA179" s="9">
        <f ca="1">SUMIF('Tech Parameters'!$B$244:$B$269,$B179,'Tech Parameters'!AE$244:AE$269)*'Tech Parameters'!$H12*'Ref scen Calcs'!AA14*8760</f>
        <v>1502.1209999999999</v>
      </c>
      <c r="AB179" s="9">
        <f ca="1">SUMIF('Tech Parameters'!$B$244:$B$269,$B179,'Tech Parameters'!AF$244:AF$269)*'Tech Parameters'!$H12*'Ref scen Calcs'!AB14*8760</f>
        <v>1502.1209999999999</v>
      </c>
      <c r="AC179" s="9">
        <f ca="1">SUMIF('Tech Parameters'!$B$244:$B$269,$B179,'Tech Parameters'!AG$244:AG$269)*'Tech Parameters'!$H12*'Ref scen Calcs'!AC14*8760</f>
        <v>1502.1209999999999</v>
      </c>
      <c r="AD179" s="9"/>
      <c r="AE179" s="9"/>
      <c r="AF179" s="9"/>
      <c r="AG179" s="9"/>
      <c r="AH179" s="9"/>
      <c r="AI179" s="9"/>
      <c r="AJ179" s="9"/>
      <c r="AK179" s="9"/>
      <c r="AL179" s="9"/>
      <c r="AM179" s="9"/>
      <c r="AN179" s="9"/>
      <c r="AO179" s="9"/>
      <c r="AP179" s="9"/>
      <c r="AQ179" s="9"/>
      <c r="AR179" s="9"/>
      <c r="AS179" s="9"/>
      <c r="AT179" s="9"/>
      <c r="AU179" s="9"/>
      <c r="AV179" s="9"/>
      <c r="AW179" s="9"/>
      <c r="BA179" s="4"/>
      <c r="BL179" s="4"/>
    </row>
    <row r="180" spans="2:64">
      <c r="B180" t="str">
        <f>'Tech Parameters'!C13</f>
        <v>Supercritical Coal</v>
      </c>
      <c r="C180" t="str">
        <f>'Tech Parameters'!B13</f>
        <v>Supercritical coal</v>
      </c>
      <c r="D180" s="9">
        <f>SUMIF('Tech Parameters'!$B$244:$B$269,$B180,'Tech Parameters'!H$244:H$269)*'Tech Parameters'!$H13*'Ref scen Calcs'!D15*8760</f>
        <v>0</v>
      </c>
      <c r="E180" s="9">
        <f>SUMIF('Tech Parameters'!$B$244:$B$269,$B180,'Tech Parameters'!I$244:I$269)*'Tech Parameters'!$H13*'Ref scen Calcs'!E15*8760</f>
        <v>0</v>
      </c>
      <c r="F180" s="9">
        <f>SUMIF('Tech Parameters'!$B$244:$B$269,$B180,'Tech Parameters'!J$244:J$269)*'Tech Parameters'!$H13*'Ref scen Calcs'!F15*8760</f>
        <v>0</v>
      </c>
      <c r="G180" s="9">
        <f>SUMIF('Tech Parameters'!$B$244:$B$269,$B180,'Tech Parameters'!K$244:K$269)*'Tech Parameters'!$H13*'Ref scen Calcs'!G15*8760</f>
        <v>0</v>
      </c>
      <c r="H180" s="9">
        <f>SUMIF('Tech Parameters'!$B$244:$B$269,$B180,'Tech Parameters'!L$244:L$269)*'Tech Parameters'!$H13*'Ref scen Calcs'!H15*8760</f>
        <v>0</v>
      </c>
      <c r="I180" s="9">
        <f ca="1">SUMIF('Tech Parameters'!$B$244:$B$269,$B180,'Tech Parameters'!M$244:M$269)*'Tech Parameters'!$H13*'Ref scen Calcs'!I15*8760</f>
        <v>0</v>
      </c>
      <c r="J180" s="9">
        <f ca="1">SUMIF('Tech Parameters'!$B$244:$B$269,$B180,'Tech Parameters'!N$244:N$269)*'Tech Parameters'!$H13*'Ref scen Calcs'!J15*8760</f>
        <v>0</v>
      </c>
      <c r="K180" s="9">
        <f ca="1">SUMIF('Tech Parameters'!$B$244:$B$269,$B180,'Tech Parameters'!O$244:O$269)*'Tech Parameters'!$H13*'Ref scen Calcs'!K15*8760</f>
        <v>1693.7365830000003</v>
      </c>
      <c r="L180" s="9">
        <f ca="1">SUMIF('Tech Parameters'!$B$244:$B$269,$B180,'Tech Parameters'!P$244:P$269)*'Tech Parameters'!$H13*'Ref scen Calcs'!L15*8760</f>
        <v>5081.2097490000015</v>
      </c>
      <c r="M180" s="9">
        <f ca="1">SUMIF('Tech Parameters'!$B$244:$B$269,$B180,'Tech Parameters'!Q$244:Q$269)*'Tech Parameters'!$H13*'Ref scen Calcs'!M15*8760</f>
        <v>10162.419498000003</v>
      </c>
      <c r="N180" s="9">
        <f ca="1">SUMIF('Tech Parameters'!$B$244:$B$269,$B180,'Tech Parameters'!R$244:R$269)*'Tech Parameters'!$H13*'Ref scen Calcs'!N15*8760</f>
        <v>15243.629247000003</v>
      </c>
      <c r="O180" s="9">
        <f ca="1">SUMIF('Tech Parameters'!$B$244:$B$269,$B180,'Tech Parameters'!S$244:S$269)*'Tech Parameters'!$H13*'Ref scen Calcs'!O15*8760</f>
        <v>18631.102413000004</v>
      </c>
      <c r="P180" s="9">
        <f ca="1">SUMIF('Tech Parameters'!$B$244:$B$269,$B180,'Tech Parameters'!T$244:T$269)*'Tech Parameters'!$H13*'Ref scen Calcs'!P15*8760</f>
        <v>22018.575579000008</v>
      </c>
      <c r="Q180" s="9">
        <f ca="1">SUMIF('Tech Parameters'!$B$244:$B$269,$B180,'Tech Parameters'!U$244:U$269)*'Tech Parameters'!$H13*'Ref scen Calcs'!Q15*8760</f>
        <v>27099.785328000009</v>
      </c>
      <c r="R180" s="9">
        <f ca="1">SUMIF('Tech Parameters'!$B$244:$B$269,$B180,'Tech Parameters'!V$244:V$269)*'Tech Parameters'!$H13*'Ref scen Calcs'!R15*8760</f>
        <v>32180.995077000007</v>
      </c>
      <c r="S180" s="9">
        <f ca="1">SUMIF('Tech Parameters'!$B$244:$B$269,$B180,'Tech Parameters'!W$244:W$269)*'Tech Parameters'!$H13*'Ref scen Calcs'!S15*8760</f>
        <v>37262.204826000008</v>
      </c>
      <c r="T180" s="9">
        <f ca="1">SUMIF('Tech Parameters'!$B$244:$B$269,$B180,'Tech Parameters'!X$244:X$269)*'Tech Parameters'!$H13*'Ref scen Calcs'!T15*8760</f>
        <v>44037.151158000015</v>
      </c>
      <c r="U180" s="9">
        <f ca="1">SUMIF('Tech Parameters'!$B$244:$B$269,$B180,'Tech Parameters'!Y$244:Y$269)*'Tech Parameters'!$H13*'Ref scen Calcs'!U15*8760</f>
        <v>50812.097490000015</v>
      </c>
      <c r="V180" s="9">
        <f ca="1">SUMIF('Tech Parameters'!$B$244:$B$269,$B180,'Tech Parameters'!Z$244:Z$269)*'Tech Parameters'!$H13*'Ref scen Calcs'!V15*8760</f>
        <v>55893.307239000023</v>
      </c>
      <c r="W180" s="9">
        <f ca="1">SUMIF('Tech Parameters'!$B$244:$B$269,$B180,'Tech Parameters'!AA$244:AA$269)*'Tech Parameters'!$H13*'Ref scen Calcs'!W15*8760</f>
        <v>62668.253571000023</v>
      </c>
      <c r="X180" s="9">
        <f ca="1">SUMIF('Tech Parameters'!$B$244:$B$269,$B180,'Tech Parameters'!AB$244:AB$269)*'Tech Parameters'!$H13*'Ref scen Calcs'!X15*8760</f>
        <v>69443.19990300003</v>
      </c>
      <c r="Y180" s="9">
        <f ca="1">SUMIF('Tech Parameters'!$B$244:$B$269,$B180,'Tech Parameters'!AC$244:AC$269)*'Tech Parameters'!$H13*'Ref scen Calcs'!Y15*8760</f>
        <v>77911.882818000027</v>
      </c>
      <c r="Z180" s="9">
        <f ca="1">SUMIF('Tech Parameters'!$B$244:$B$269,$B180,'Tech Parameters'!AD$244:AD$269)*'Tech Parameters'!$H13*'Ref scen Calcs'!Z15*8760</f>
        <v>86380.565733000025</v>
      </c>
      <c r="AA180" s="9">
        <f ca="1">SUMIF('Tech Parameters'!$B$244:$B$269,$B180,'Tech Parameters'!AE$244:AE$269)*'Tech Parameters'!$H13*'Ref scen Calcs'!AA15*8760</f>
        <v>94849.248648000023</v>
      </c>
      <c r="AB180" s="9">
        <f ca="1">SUMIF('Tech Parameters'!$B$244:$B$269,$B180,'Tech Parameters'!AF$244:AF$269)*'Tech Parameters'!$H13*'Ref scen Calcs'!AB15*8760</f>
        <v>105011.66814600003</v>
      </c>
      <c r="AC180" s="9">
        <f ca="1">SUMIF('Tech Parameters'!$B$244:$B$269,$B180,'Tech Parameters'!AG$244:AG$269)*'Tech Parameters'!$H13*'Ref scen Calcs'!AC15*8760</f>
        <v>115174.08764400003</v>
      </c>
      <c r="AD180" s="9"/>
      <c r="AE180" s="9"/>
      <c r="AF180" s="9"/>
      <c r="AG180" s="9"/>
      <c r="AH180" s="9"/>
      <c r="AI180" s="9"/>
      <c r="AJ180" s="9"/>
      <c r="AK180" s="9"/>
      <c r="AL180" s="9"/>
      <c r="AM180" s="9"/>
      <c r="AN180" s="9"/>
      <c r="AO180" s="9"/>
      <c r="AP180" s="9"/>
      <c r="AQ180" s="9"/>
      <c r="AR180" s="9"/>
      <c r="AS180" s="9"/>
      <c r="AT180" s="9"/>
      <c r="AU180" s="9"/>
      <c r="AV180" s="9"/>
      <c r="AW180" s="9"/>
      <c r="BA180" s="4"/>
      <c r="BL180" s="4"/>
    </row>
    <row r="181" spans="2:64">
      <c r="B181" t="str">
        <f>'Tech Parameters'!C14</f>
        <v>Wind</v>
      </c>
      <c r="C181" t="str">
        <f>'Tech Parameters'!B14</f>
        <v xml:space="preserve">Wind 30% </v>
      </c>
      <c r="D181" s="9">
        <f>SUMIF('Tech Parameters'!$B$244:$B$269,$B181,'Tech Parameters'!H$244:H$269)*'Tech Parameters'!$H14*'Ref scen Calcs'!D16*8760</f>
        <v>0</v>
      </c>
      <c r="E181" s="9">
        <f>SUMIF('Tech Parameters'!$B$244:$B$269,$B181,'Tech Parameters'!I$244:I$269)*'Tech Parameters'!$H14*'Ref scen Calcs'!E16*8760</f>
        <v>0</v>
      </c>
      <c r="F181" s="9">
        <f>SUMIF('Tech Parameters'!$B$244:$B$269,$B181,'Tech Parameters'!J$244:J$269)*'Tech Parameters'!$H14*'Ref scen Calcs'!F16*8760</f>
        <v>0</v>
      </c>
      <c r="G181" s="9">
        <f>SUMIF('Tech Parameters'!$B$244:$B$269,$B181,'Tech Parameters'!K$244:K$269)*'Tech Parameters'!$H14*'Ref scen Calcs'!G16*8760</f>
        <v>0</v>
      </c>
      <c r="H181" s="9">
        <f>SUMIF('Tech Parameters'!$B$244:$B$269,$B181,'Tech Parameters'!L$244:L$269)*'Tech Parameters'!$H14*'Ref scen Calcs'!H16*8760</f>
        <v>0</v>
      </c>
      <c r="I181" s="9">
        <f ca="1">SUMIF('Tech Parameters'!$B$244:$B$269,$B181,'Tech Parameters'!M$244:M$269)*'Tech Parameters'!$H14*'Ref scen Calcs'!I16*8760</f>
        <v>262.8</v>
      </c>
      <c r="J181" s="9">
        <f ca="1">SUMIF('Tech Parameters'!$B$244:$B$269,$B181,'Tech Parameters'!N$244:N$269)*'Tech Parameters'!$H14*'Ref scen Calcs'!J16*8760</f>
        <v>262.8</v>
      </c>
      <c r="K181" s="9">
        <f ca="1">SUMIF('Tech Parameters'!$B$244:$B$269,$B181,'Tech Parameters'!O$244:O$269)*'Tech Parameters'!$H14*'Ref scen Calcs'!K16*8760</f>
        <v>262.8</v>
      </c>
      <c r="L181" s="9">
        <f ca="1">SUMIF('Tech Parameters'!$B$244:$B$269,$B181,'Tech Parameters'!P$244:P$269)*'Tech Parameters'!$H14*'Ref scen Calcs'!L16*8760</f>
        <v>262.8</v>
      </c>
      <c r="M181" s="9">
        <f ca="1">SUMIF('Tech Parameters'!$B$244:$B$269,$B181,'Tech Parameters'!Q$244:Q$269)*'Tech Parameters'!$H14*'Ref scen Calcs'!M16*8760</f>
        <v>262.8</v>
      </c>
      <c r="N181" s="9">
        <f ca="1">SUMIF('Tech Parameters'!$B$244:$B$269,$B181,'Tech Parameters'!R$244:R$269)*'Tech Parameters'!$H14*'Ref scen Calcs'!N16*8760</f>
        <v>262.8</v>
      </c>
      <c r="O181" s="9">
        <f ca="1">SUMIF('Tech Parameters'!$B$244:$B$269,$B181,'Tech Parameters'!S$244:S$269)*'Tech Parameters'!$H14*'Ref scen Calcs'!O16*8760</f>
        <v>262.8</v>
      </c>
      <c r="P181" s="9">
        <f ca="1">SUMIF('Tech Parameters'!$B$244:$B$269,$B181,'Tech Parameters'!T$244:T$269)*'Tech Parameters'!$H14*'Ref scen Calcs'!P16*8760</f>
        <v>262.8</v>
      </c>
      <c r="Q181" s="9">
        <f ca="1">SUMIF('Tech Parameters'!$B$244:$B$269,$B181,'Tech Parameters'!U$244:U$269)*'Tech Parameters'!$H14*'Ref scen Calcs'!Q16*8760</f>
        <v>262.8</v>
      </c>
      <c r="R181" s="9">
        <f ca="1">SUMIF('Tech Parameters'!$B$244:$B$269,$B181,'Tech Parameters'!V$244:V$269)*'Tech Parameters'!$H14*'Ref scen Calcs'!R16*8760</f>
        <v>262.8</v>
      </c>
      <c r="S181" s="9">
        <f ca="1">SUMIF('Tech Parameters'!$B$244:$B$269,$B181,'Tech Parameters'!W$244:W$269)*'Tech Parameters'!$H14*'Ref scen Calcs'!S16*8760</f>
        <v>262.8</v>
      </c>
      <c r="T181" s="9">
        <f ca="1">SUMIF('Tech Parameters'!$B$244:$B$269,$B181,'Tech Parameters'!X$244:X$269)*'Tech Parameters'!$H14*'Ref scen Calcs'!T16*8760</f>
        <v>262.8</v>
      </c>
      <c r="U181" s="9">
        <f ca="1">SUMIF('Tech Parameters'!$B$244:$B$269,$B181,'Tech Parameters'!Y$244:Y$269)*'Tech Parameters'!$H14*'Ref scen Calcs'!U16*8760</f>
        <v>262.8</v>
      </c>
      <c r="V181" s="9">
        <f ca="1">SUMIF('Tech Parameters'!$B$244:$B$269,$B181,'Tech Parameters'!Z$244:Z$269)*'Tech Parameters'!$H14*'Ref scen Calcs'!V16*8760</f>
        <v>262.8</v>
      </c>
      <c r="W181" s="9">
        <f ca="1">SUMIF('Tech Parameters'!$B$244:$B$269,$B181,'Tech Parameters'!AA$244:AA$269)*'Tech Parameters'!$H14*'Ref scen Calcs'!W16*8760</f>
        <v>262.8</v>
      </c>
      <c r="X181" s="9">
        <f ca="1">SUMIF('Tech Parameters'!$B$244:$B$269,$B181,'Tech Parameters'!AB$244:AB$269)*'Tech Parameters'!$H14*'Ref scen Calcs'!X16*8760</f>
        <v>262.8</v>
      </c>
      <c r="Y181" s="9">
        <f ca="1">SUMIF('Tech Parameters'!$B$244:$B$269,$B181,'Tech Parameters'!AC$244:AC$269)*'Tech Parameters'!$H14*'Ref scen Calcs'!Y16*8760</f>
        <v>262.8</v>
      </c>
      <c r="Z181" s="9">
        <f ca="1">SUMIF('Tech Parameters'!$B$244:$B$269,$B181,'Tech Parameters'!AD$244:AD$269)*'Tech Parameters'!$H14*'Ref scen Calcs'!Z16*8760</f>
        <v>262.8</v>
      </c>
      <c r="AA181" s="9">
        <f ca="1">SUMIF('Tech Parameters'!$B$244:$B$269,$B181,'Tech Parameters'!AE$244:AE$269)*'Tech Parameters'!$H14*'Ref scen Calcs'!AA16*8760</f>
        <v>262.8</v>
      </c>
      <c r="AB181" s="9">
        <f ca="1">SUMIF('Tech Parameters'!$B$244:$B$269,$B181,'Tech Parameters'!AF$244:AF$269)*'Tech Parameters'!$H14*'Ref scen Calcs'!AB16*8760</f>
        <v>262.8</v>
      </c>
      <c r="AC181" s="9">
        <f ca="1">SUMIF('Tech Parameters'!$B$244:$B$269,$B181,'Tech Parameters'!AG$244:AG$269)*'Tech Parameters'!$H14*'Ref scen Calcs'!AC16*8760</f>
        <v>0</v>
      </c>
      <c r="AD181" s="9"/>
      <c r="AE181" s="9"/>
      <c r="AF181" s="9"/>
      <c r="AG181" s="9"/>
      <c r="AH181" s="9"/>
      <c r="AI181" s="9"/>
      <c r="AJ181" s="9"/>
      <c r="AK181" s="9"/>
      <c r="AL181" s="9"/>
      <c r="AM181" s="9"/>
      <c r="AN181" s="9"/>
      <c r="AO181" s="9"/>
      <c r="AP181" s="9"/>
      <c r="AQ181" s="9"/>
      <c r="AR181" s="9"/>
      <c r="AS181" s="9"/>
      <c r="AT181" s="9"/>
      <c r="AU181" s="9"/>
      <c r="AV181" s="9"/>
      <c r="AW181" s="9"/>
      <c r="BA181" s="4"/>
      <c r="BL181" s="4"/>
    </row>
    <row r="182" spans="2:64">
      <c r="B182" t="str">
        <f>'Tech Parameters'!C15</f>
        <v>Wind</v>
      </c>
      <c r="C182" t="str">
        <f>'Tech Parameters'!B15</f>
        <v>Wind 25%</v>
      </c>
      <c r="D182" s="9">
        <f>SUMIF('Tech Parameters'!$B$244:$B$269,$B182,'Tech Parameters'!H$244:H$269)*'Tech Parameters'!$H15*'Ref scen Calcs'!D17*8760</f>
        <v>0</v>
      </c>
      <c r="E182" s="9">
        <f>SUMIF('Tech Parameters'!$B$244:$B$269,$B182,'Tech Parameters'!I$244:I$269)*'Tech Parameters'!$H15*'Ref scen Calcs'!E17*8760</f>
        <v>0</v>
      </c>
      <c r="F182" s="9">
        <f>SUMIF('Tech Parameters'!$B$244:$B$269,$B182,'Tech Parameters'!J$244:J$269)*'Tech Parameters'!$H15*'Ref scen Calcs'!F17*8760</f>
        <v>0</v>
      </c>
      <c r="G182" s="9">
        <f>SUMIF('Tech Parameters'!$B$244:$B$269,$B182,'Tech Parameters'!K$244:K$269)*'Tech Parameters'!$H15*'Ref scen Calcs'!G17*8760</f>
        <v>0</v>
      </c>
      <c r="H182" s="9">
        <f>SUMIF('Tech Parameters'!$B$244:$B$269,$B182,'Tech Parameters'!L$244:L$269)*'Tech Parameters'!$H15*'Ref scen Calcs'!H17*8760</f>
        <v>0</v>
      </c>
      <c r="I182" s="9">
        <f ca="1">SUMIF('Tech Parameters'!$B$244:$B$269,$B182,'Tech Parameters'!M$244:M$269)*'Tech Parameters'!$H15*'Ref scen Calcs'!I17*8760</f>
        <v>0</v>
      </c>
      <c r="J182" s="9">
        <f ca="1">SUMIF('Tech Parameters'!$B$244:$B$269,$B182,'Tech Parameters'!N$244:N$269)*'Tech Parameters'!$H15*'Ref scen Calcs'!J17*8760</f>
        <v>0</v>
      </c>
      <c r="K182" s="9">
        <f ca="1">SUMIF('Tech Parameters'!$B$244:$B$269,$B182,'Tech Parameters'!O$244:O$269)*'Tech Parameters'!$H15*'Ref scen Calcs'!K17*8760</f>
        <v>0</v>
      </c>
      <c r="L182" s="9">
        <f ca="1">SUMIF('Tech Parameters'!$B$244:$B$269,$B182,'Tech Parameters'!P$244:P$269)*'Tech Parameters'!$H15*'Ref scen Calcs'!L17*8760</f>
        <v>0</v>
      </c>
      <c r="M182" s="9">
        <f ca="1">SUMIF('Tech Parameters'!$B$244:$B$269,$B182,'Tech Parameters'!Q$244:Q$269)*'Tech Parameters'!$H15*'Ref scen Calcs'!M17*8760</f>
        <v>0</v>
      </c>
      <c r="N182" s="9">
        <f ca="1">SUMIF('Tech Parameters'!$B$244:$B$269,$B182,'Tech Parameters'!R$244:R$269)*'Tech Parameters'!$H15*'Ref scen Calcs'!N17*8760</f>
        <v>0</v>
      </c>
      <c r="O182" s="9">
        <f ca="1">SUMIF('Tech Parameters'!$B$244:$B$269,$B182,'Tech Parameters'!S$244:S$269)*'Tech Parameters'!$H15*'Ref scen Calcs'!O17*8760</f>
        <v>0</v>
      </c>
      <c r="P182" s="9">
        <f ca="1">SUMIF('Tech Parameters'!$B$244:$B$269,$B182,'Tech Parameters'!T$244:T$269)*'Tech Parameters'!$H15*'Ref scen Calcs'!P17*8760</f>
        <v>0</v>
      </c>
      <c r="Q182" s="9">
        <f ca="1">SUMIF('Tech Parameters'!$B$244:$B$269,$B182,'Tech Parameters'!U$244:U$269)*'Tech Parameters'!$H15*'Ref scen Calcs'!Q17*8760</f>
        <v>0</v>
      </c>
      <c r="R182" s="9">
        <f ca="1">SUMIF('Tech Parameters'!$B$244:$B$269,$B182,'Tech Parameters'!V$244:V$269)*'Tech Parameters'!$H15*'Ref scen Calcs'!R17*8760</f>
        <v>0</v>
      </c>
      <c r="S182" s="9">
        <f ca="1">SUMIF('Tech Parameters'!$B$244:$B$269,$B182,'Tech Parameters'!W$244:W$269)*'Tech Parameters'!$H15*'Ref scen Calcs'!S17*8760</f>
        <v>0</v>
      </c>
      <c r="T182" s="9">
        <f ca="1">SUMIF('Tech Parameters'!$B$244:$B$269,$B182,'Tech Parameters'!X$244:X$269)*'Tech Parameters'!$H15*'Ref scen Calcs'!T17*8760</f>
        <v>0</v>
      </c>
      <c r="U182" s="9">
        <f ca="1">SUMIF('Tech Parameters'!$B$244:$B$269,$B182,'Tech Parameters'!Y$244:Y$269)*'Tech Parameters'!$H15*'Ref scen Calcs'!U17*8760</f>
        <v>0</v>
      </c>
      <c r="V182" s="9">
        <f ca="1">SUMIF('Tech Parameters'!$B$244:$B$269,$B182,'Tech Parameters'!Z$244:Z$269)*'Tech Parameters'!$H15*'Ref scen Calcs'!V17*8760</f>
        <v>0</v>
      </c>
      <c r="W182" s="9">
        <f ca="1">SUMIF('Tech Parameters'!$B$244:$B$269,$B182,'Tech Parameters'!AA$244:AA$269)*'Tech Parameters'!$H15*'Ref scen Calcs'!W17*8760</f>
        <v>0</v>
      </c>
      <c r="X182" s="9">
        <f ca="1">SUMIF('Tech Parameters'!$B$244:$B$269,$B182,'Tech Parameters'!AB$244:AB$269)*'Tech Parameters'!$H15*'Ref scen Calcs'!X17*8760</f>
        <v>0</v>
      </c>
      <c r="Y182" s="9">
        <f ca="1">SUMIF('Tech Parameters'!$B$244:$B$269,$B182,'Tech Parameters'!AC$244:AC$269)*'Tech Parameters'!$H15*'Ref scen Calcs'!Y17*8760</f>
        <v>0</v>
      </c>
      <c r="Z182" s="9">
        <f ca="1">SUMIF('Tech Parameters'!$B$244:$B$269,$B182,'Tech Parameters'!AD$244:AD$269)*'Tech Parameters'!$H15*'Ref scen Calcs'!Z17*8760</f>
        <v>0</v>
      </c>
      <c r="AA182" s="9">
        <f ca="1">SUMIF('Tech Parameters'!$B$244:$B$269,$B182,'Tech Parameters'!AE$244:AE$269)*'Tech Parameters'!$H15*'Ref scen Calcs'!AA17*8760</f>
        <v>0</v>
      </c>
      <c r="AB182" s="9">
        <f ca="1">SUMIF('Tech Parameters'!$B$244:$B$269,$B182,'Tech Parameters'!AF$244:AF$269)*'Tech Parameters'!$H15*'Ref scen Calcs'!AB17*8760</f>
        <v>0</v>
      </c>
      <c r="AC182" s="9">
        <f ca="1">SUMIF('Tech Parameters'!$B$244:$B$269,$B182,'Tech Parameters'!AG$244:AG$269)*'Tech Parameters'!$H15*'Ref scen Calcs'!AC17*8760</f>
        <v>0</v>
      </c>
      <c r="AD182" s="9"/>
      <c r="AE182" s="9"/>
      <c r="AF182" s="9"/>
      <c r="AG182" s="9"/>
      <c r="AH182" s="9"/>
      <c r="AI182" s="9"/>
      <c r="AJ182" s="9"/>
      <c r="AK182" s="9"/>
      <c r="AL182" s="9"/>
      <c r="AM182" s="9"/>
      <c r="AN182" s="9"/>
      <c r="AO182" s="9"/>
      <c r="AP182" s="9"/>
      <c r="AQ182" s="9"/>
      <c r="AR182" s="9"/>
      <c r="AS182" s="9"/>
      <c r="AT182" s="9"/>
      <c r="AU182" s="9"/>
      <c r="AV182" s="9"/>
      <c r="AW182" s="9"/>
      <c r="BA182" s="4"/>
      <c r="BL182" s="4"/>
    </row>
    <row r="183" spans="2:64">
      <c r="B183" t="str">
        <f>'Tech Parameters'!C16</f>
        <v>Solar Central Receiver</v>
      </c>
      <c r="C183" t="str">
        <f>'Tech Parameters'!B16</f>
        <v>solar thermal central reciever</v>
      </c>
      <c r="D183" s="9">
        <f>SUMIF('Tech Parameters'!$B$244:$B$269,$B183,'Tech Parameters'!H$244:H$269)*'Tech Parameters'!$H16*'Ref scen Calcs'!D18*8760</f>
        <v>0</v>
      </c>
      <c r="E183" s="9">
        <f>SUMIF('Tech Parameters'!$B$244:$B$269,$B183,'Tech Parameters'!I$244:I$269)*'Tech Parameters'!$H16*'Ref scen Calcs'!E18*8760</f>
        <v>0</v>
      </c>
      <c r="F183" s="9">
        <f>SUMIF('Tech Parameters'!$B$244:$B$269,$B183,'Tech Parameters'!J$244:J$269)*'Tech Parameters'!$H16*'Ref scen Calcs'!F18*8760</f>
        <v>0</v>
      </c>
      <c r="G183" s="9">
        <f>SUMIF('Tech Parameters'!$B$244:$B$269,$B183,'Tech Parameters'!K$244:K$269)*'Tech Parameters'!$H16*'Ref scen Calcs'!G18*8760</f>
        <v>0</v>
      </c>
      <c r="H183" s="9">
        <f>SUMIF('Tech Parameters'!$B$244:$B$269,$B183,'Tech Parameters'!L$244:L$269)*'Tech Parameters'!$H16*'Ref scen Calcs'!H18*8760</f>
        <v>0</v>
      </c>
      <c r="I183" s="9">
        <f ca="1">SUMIF('Tech Parameters'!$B$244:$B$269,$B183,'Tech Parameters'!M$244:M$269)*'Tech Parameters'!$H16*'Ref scen Calcs'!I18*8760</f>
        <v>0</v>
      </c>
      <c r="J183" s="9">
        <f ca="1">SUMIF('Tech Parameters'!$B$244:$B$269,$B183,'Tech Parameters'!N$244:N$269)*'Tech Parameters'!$H16*'Ref scen Calcs'!J18*8760</f>
        <v>0</v>
      </c>
      <c r="K183" s="9">
        <f ca="1">SUMIF('Tech Parameters'!$B$244:$B$269,$B183,'Tech Parameters'!O$244:O$269)*'Tech Parameters'!$H16*'Ref scen Calcs'!K18*8760</f>
        <v>0</v>
      </c>
      <c r="L183" s="9">
        <f ca="1">SUMIF('Tech Parameters'!$B$244:$B$269,$B183,'Tech Parameters'!P$244:P$269)*'Tech Parameters'!$H16*'Ref scen Calcs'!L18*8760</f>
        <v>0</v>
      </c>
      <c r="M183" s="9">
        <f ca="1">SUMIF('Tech Parameters'!$B$244:$B$269,$B183,'Tech Parameters'!Q$244:Q$269)*'Tech Parameters'!$H16*'Ref scen Calcs'!M18*8760</f>
        <v>0</v>
      </c>
      <c r="N183" s="9">
        <f ca="1">SUMIF('Tech Parameters'!$B$244:$B$269,$B183,'Tech Parameters'!R$244:R$269)*'Tech Parameters'!$H16*'Ref scen Calcs'!N18*8760</f>
        <v>0</v>
      </c>
      <c r="O183" s="9">
        <f ca="1">SUMIF('Tech Parameters'!$B$244:$B$269,$B183,'Tech Parameters'!S$244:S$269)*'Tech Parameters'!$H16*'Ref scen Calcs'!O18*8760</f>
        <v>0</v>
      </c>
      <c r="P183" s="9">
        <f ca="1">SUMIF('Tech Parameters'!$B$244:$B$269,$B183,'Tech Parameters'!T$244:T$269)*'Tech Parameters'!$H16*'Ref scen Calcs'!P18*8760</f>
        <v>0</v>
      </c>
      <c r="Q183" s="9">
        <f ca="1">SUMIF('Tech Parameters'!$B$244:$B$269,$B183,'Tech Parameters'!U$244:U$269)*'Tech Parameters'!$H16*'Ref scen Calcs'!Q18*8760</f>
        <v>0</v>
      </c>
      <c r="R183" s="9">
        <f ca="1">SUMIF('Tech Parameters'!$B$244:$B$269,$B183,'Tech Parameters'!V$244:V$269)*'Tech Parameters'!$H16*'Ref scen Calcs'!R18*8760</f>
        <v>0</v>
      </c>
      <c r="S183" s="9">
        <f ca="1">SUMIF('Tech Parameters'!$B$244:$B$269,$B183,'Tech Parameters'!W$244:W$269)*'Tech Parameters'!$H16*'Ref scen Calcs'!S18*8760</f>
        <v>0</v>
      </c>
      <c r="T183" s="9">
        <f ca="1">SUMIF('Tech Parameters'!$B$244:$B$269,$B183,'Tech Parameters'!X$244:X$269)*'Tech Parameters'!$H16*'Ref scen Calcs'!T18*8760</f>
        <v>0</v>
      </c>
      <c r="U183" s="9">
        <f ca="1">SUMIF('Tech Parameters'!$B$244:$B$269,$B183,'Tech Parameters'!Y$244:Y$269)*'Tech Parameters'!$H16*'Ref scen Calcs'!U18*8760</f>
        <v>0</v>
      </c>
      <c r="V183" s="9">
        <f ca="1">SUMIF('Tech Parameters'!$B$244:$B$269,$B183,'Tech Parameters'!Z$244:Z$269)*'Tech Parameters'!$H16*'Ref scen Calcs'!V18*8760</f>
        <v>0</v>
      </c>
      <c r="W183" s="9">
        <f ca="1">SUMIF('Tech Parameters'!$B$244:$B$269,$B183,'Tech Parameters'!AA$244:AA$269)*'Tech Parameters'!$H16*'Ref scen Calcs'!W18*8760</f>
        <v>0</v>
      </c>
      <c r="X183" s="9">
        <f ca="1">SUMIF('Tech Parameters'!$B$244:$B$269,$B183,'Tech Parameters'!AB$244:AB$269)*'Tech Parameters'!$H16*'Ref scen Calcs'!X18*8760</f>
        <v>0</v>
      </c>
      <c r="Y183" s="9">
        <f ca="1">SUMIF('Tech Parameters'!$B$244:$B$269,$B183,'Tech Parameters'!AC$244:AC$269)*'Tech Parameters'!$H16*'Ref scen Calcs'!Y18*8760</f>
        <v>0</v>
      </c>
      <c r="Z183" s="9">
        <f ca="1">SUMIF('Tech Parameters'!$B$244:$B$269,$B183,'Tech Parameters'!AD$244:AD$269)*'Tech Parameters'!$H16*'Ref scen Calcs'!Z18*8760</f>
        <v>0</v>
      </c>
      <c r="AA183" s="9">
        <f ca="1">SUMIF('Tech Parameters'!$B$244:$B$269,$B183,'Tech Parameters'!AE$244:AE$269)*'Tech Parameters'!$H16*'Ref scen Calcs'!AA18*8760</f>
        <v>0</v>
      </c>
      <c r="AB183" s="9">
        <f ca="1">SUMIF('Tech Parameters'!$B$244:$B$269,$B183,'Tech Parameters'!AF$244:AF$269)*'Tech Parameters'!$H16*'Ref scen Calcs'!AB18*8760</f>
        <v>0</v>
      </c>
      <c r="AC183" s="9">
        <f ca="1">SUMIF('Tech Parameters'!$B$244:$B$269,$B183,'Tech Parameters'!AG$244:AG$269)*'Tech Parameters'!$H16*'Ref scen Calcs'!AC18*8760</f>
        <v>0</v>
      </c>
      <c r="AD183" s="9"/>
      <c r="AE183" s="9"/>
      <c r="AF183" s="9"/>
      <c r="AG183" s="9"/>
      <c r="AH183" s="9"/>
      <c r="AI183" s="9"/>
      <c r="AJ183" s="9"/>
      <c r="AK183" s="9"/>
      <c r="AL183" s="9"/>
      <c r="AM183" s="9"/>
      <c r="AN183" s="9"/>
      <c r="AO183" s="9"/>
      <c r="AP183" s="9"/>
      <c r="AQ183" s="9"/>
      <c r="AR183" s="9"/>
      <c r="AS183" s="9"/>
      <c r="AT183" s="9"/>
      <c r="AU183" s="9"/>
      <c r="AV183" s="9"/>
      <c r="AW183" s="9"/>
      <c r="BA183" s="4"/>
      <c r="BL183" s="4"/>
    </row>
    <row r="184" spans="2:64">
      <c r="B184" t="str">
        <f>'Tech Parameters'!C17</f>
        <v>Solar Parabolic Trough</v>
      </c>
      <c r="C184" t="str">
        <f>'Tech Parameters'!B17</f>
        <v>solar thermal trough</v>
      </c>
      <c r="D184" s="9">
        <f>SUMIF('Tech Parameters'!$B$244:$B$269,$B184,'Tech Parameters'!H$244:H$269)*'Tech Parameters'!$H17*'Ref scen Calcs'!D19*8760</f>
        <v>0</v>
      </c>
      <c r="E184" s="9">
        <f>SUMIF('Tech Parameters'!$B$244:$B$269,$B184,'Tech Parameters'!I$244:I$269)*'Tech Parameters'!$H17*'Ref scen Calcs'!E19*8760</f>
        <v>0</v>
      </c>
      <c r="F184" s="9">
        <f>SUMIF('Tech Parameters'!$B$244:$B$269,$B184,'Tech Parameters'!J$244:J$269)*'Tech Parameters'!$H17*'Ref scen Calcs'!F19*8760</f>
        <v>0</v>
      </c>
      <c r="G184" s="9">
        <f>SUMIF('Tech Parameters'!$B$244:$B$269,$B184,'Tech Parameters'!K$244:K$269)*'Tech Parameters'!$H17*'Ref scen Calcs'!G19*8760</f>
        <v>0</v>
      </c>
      <c r="H184" s="9">
        <f>SUMIF('Tech Parameters'!$B$244:$B$269,$B184,'Tech Parameters'!L$244:L$269)*'Tech Parameters'!$H17*'Ref scen Calcs'!H19*8760</f>
        <v>0</v>
      </c>
      <c r="I184" s="9">
        <f ca="1">SUMIF('Tech Parameters'!$B$244:$B$269,$B184,'Tech Parameters'!M$244:M$269)*'Tech Parameters'!$H17*'Ref scen Calcs'!I19*8760</f>
        <v>0</v>
      </c>
      <c r="J184" s="9">
        <f ca="1">SUMIF('Tech Parameters'!$B$244:$B$269,$B184,'Tech Parameters'!N$244:N$269)*'Tech Parameters'!$H17*'Ref scen Calcs'!J19*8760</f>
        <v>0</v>
      </c>
      <c r="K184" s="9">
        <f ca="1">SUMIF('Tech Parameters'!$B$244:$B$269,$B184,'Tech Parameters'!O$244:O$269)*'Tech Parameters'!$H17*'Ref scen Calcs'!K19*8760</f>
        <v>0</v>
      </c>
      <c r="L184" s="9">
        <f ca="1">SUMIF('Tech Parameters'!$B$244:$B$269,$B184,'Tech Parameters'!P$244:P$269)*'Tech Parameters'!$H17*'Ref scen Calcs'!L19*8760</f>
        <v>0</v>
      </c>
      <c r="M184" s="9">
        <f ca="1">SUMIF('Tech Parameters'!$B$244:$B$269,$B184,'Tech Parameters'!Q$244:Q$269)*'Tech Parameters'!$H17*'Ref scen Calcs'!M19*8760</f>
        <v>0</v>
      </c>
      <c r="N184" s="9">
        <f ca="1">SUMIF('Tech Parameters'!$B$244:$B$269,$B184,'Tech Parameters'!R$244:R$269)*'Tech Parameters'!$H17*'Ref scen Calcs'!N19*8760</f>
        <v>0</v>
      </c>
      <c r="O184" s="9">
        <f ca="1">SUMIF('Tech Parameters'!$B$244:$B$269,$B184,'Tech Parameters'!S$244:S$269)*'Tech Parameters'!$H17*'Ref scen Calcs'!O19*8760</f>
        <v>0</v>
      </c>
      <c r="P184" s="9">
        <f ca="1">SUMIF('Tech Parameters'!$B$244:$B$269,$B184,'Tech Parameters'!T$244:T$269)*'Tech Parameters'!$H17*'Ref scen Calcs'!P19*8760</f>
        <v>0</v>
      </c>
      <c r="Q184" s="9">
        <f ca="1">SUMIF('Tech Parameters'!$B$244:$B$269,$B184,'Tech Parameters'!U$244:U$269)*'Tech Parameters'!$H17*'Ref scen Calcs'!Q19*8760</f>
        <v>0</v>
      </c>
      <c r="R184" s="9">
        <f ca="1">SUMIF('Tech Parameters'!$B$244:$B$269,$B184,'Tech Parameters'!V$244:V$269)*'Tech Parameters'!$H17*'Ref scen Calcs'!R19*8760</f>
        <v>0</v>
      </c>
      <c r="S184" s="9">
        <f ca="1">SUMIF('Tech Parameters'!$B$244:$B$269,$B184,'Tech Parameters'!W$244:W$269)*'Tech Parameters'!$H17*'Ref scen Calcs'!S19*8760</f>
        <v>0</v>
      </c>
      <c r="T184" s="9">
        <f ca="1">SUMIF('Tech Parameters'!$B$244:$B$269,$B184,'Tech Parameters'!X$244:X$269)*'Tech Parameters'!$H17*'Ref scen Calcs'!T19*8760</f>
        <v>0</v>
      </c>
      <c r="U184" s="9">
        <f ca="1">SUMIF('Tech Parameters'!$B$244:$B$269,$B184,'Tech Parameters'!Y$244:Y$269)*'Tech Parameters'!$H17*'Ref scen Calcs'!U19*8760</f>
        <v>0</v>
      </c>
      <c r="V184" s="9">
        <f ca="1">SUMIF('Tech Parameters'!$B$244:$B$269,$B184,'Tech Parameters'!Z$244:Z$269)*'Tech Parameters'!$H17*'Ref scen Calcs'!V19*8760</f>
        <v>0</v>
      </c>
      <c r="W184" s="9">
        <f ca="1">SUMIF('Tech Parameters'!$B$244:$B$269,$B184,'Tech Parameters'!AA$244:AA$269)*'Tech Parameters'!$H17*'Ref scen Calcs'!W19*8760</f>
        <v>0</v>
      </c>
      <c r="X184" s="9">
        <f ca="1">SUMIF('Tech Parameters'!$B$244:$B$269,$B184,'Tech Parameters'!AB$244:AB$269)*'Tech Parameters'!$H17*'Ref scen Calcs'!X19*8760</f>
        <v>0</v>
      </c>
      <c r="Y184" s="9">
        <f ca="1">SUMIF('Tech Parameters'!$B$244:$B$269,$B184,'Tech Parameters'!AC$244:AC$269)*'Tech Parameters'!$H17*'Ref scen Calcs'!Y19*8760</f>
        <v>0</v>
      </c>
      <c r="Z184" s="9">
        <f ca="1">SUMIF('Tech Parameters'!$B$244:$B$269,$B184,'Tech Parameters'!AD$244:AD$269)*'Tech Parameters'!$H17*'Ref scen Calcs'!Z19*8760</f>
        <v>0</v>
      </c>
      <c r="AA184" s="9">
        <f ca="1">SUMIF('Tech Parameters'!$B$244:$B$269,$B184,'Tech Parameters'!AE$244:AE$269)*'Tech Parameters'!$H17*'Ref scen Calcs'!AA19*8760</f>
        <v>0</v>
      </c>
      <c r="AB184" s="9">
        <f ca="1">SUMIF('Tech Parameters'!$B$244:$B$269,$B184,'Tech Parameters'!AF$244:AF$269)*'Tech Parameters'!$H17*'Ref scen Calcs'!AB19*8760</f>
        <v>0</v>
      </c>
      <c r="AC184" s="9">
        <f ca="1">SUMIF('Tech Parameters'!$B$244:$B$269,$B184,'Tech Parameters'!AG$244:AG$269)*'Tech Parameters'!$H17*'Ref scen Calcs'!AC19*8760</f>
        <v>0</v>
      </c>
      <c r="AD184" s="9"/>
      <c r="AE184" s="9"/>
      <c r="AF184" s="9"/>
      <c r="AG184" s="9"/>
      <c r="AH184" s="9"/>
      <c r="AI184" s="9"/>
      <c r="AJ184" s="9"/>
      <c r="AK184" s="9"/>
      <c r="AL184" s="9"/>
      <c r="AM184" s="9"/>
      <c r="AN184" s="9"/>
      <c r="AO184" s="9"/>
      <c r="AP184" s="9"/>
      <c r="AQ184" s="9"/>
      <c r="AR184" s="9"/>
      <c r="AS184" s="9"/>
      <c r="AT184" s="9"/>
      <c r="AU184" s="9"/>
      <c r="AV184" s="9"/>
      <c r="AW184" s="9"/>
      <c r="BA184" s="4"/>
      <c r="BL184" s="4"/>
    </row>
    <row r="185" spans="2:64">
      <c r="B185" t="str">
        <f>'Tech Parameters'!C18</f>
        <v>Solar Photovoltaic</v>
      </c>
      <c r="C185" t="str">
        <f>'Tech Parameters'!B18</f>
        <v>solar PV</v>
      </c>
      <c r="D185" s="9">
        <f>SUMIF('Tech Parameters'!$B$244:$B$269,$B185,'Tech Parameters'!H$244:H$269)*'Tech Parameters'!$H18*'Ref scen Calcs'!D20*8760</f>
        <v>0</v>
      </c>
      <c r="E185" s="9">
        <f>SUMIF('Tech Parameters'!$B$244:$B$269,$B185,'Tech Parameters'!I$244:I$269)*'Tech Parameters'!$H18*'Ref scen Calcs'!E20*8760</f>
        <v>0</v>
      </c>
      <c r="F185" s="9">
        <f>SUMIF('Tech Parameters'!$B$244:$B$269,$B185,'Tech Parameters'!J$244:J$269)*'Tech Parameters'!$H18*'Ref scen Calcs'!F20*8760</f>
        <v>0</v>
      </c>
      <c r="G185" s="9">
        <f>SUMIF('Tech Parameters'!$B$244:$B$269,$B185,'Tech Parameters'!K$244:K$269)*'Tech Parameters'!$H18*'Ref scen Calcs'!G20*8760</f>
        <v>0</v>
      </c>
      <c r="H185" s="9">
        <f>SUMIF('Tech Parameters'!$B$244:$B$269,$B185,'Tech Parameters'!L$244:L$269)*'Tech Parameters'!$H18*'Ref scen Calcs'!H20*8760</f>
        <v>0</v>
      </c>
      <c r="I185" s="9">
        <f ca="1">SUMIF('Tech Parameters'!$B$244:$B$269,$B185,'Tech Parameters'!M$244:M$269)*'Tech Parameters'!$H18*'Ref scen Calcs'!I20*8760</f>
        <v>0</v>
      </c>
      <c r="J185" s="9">
        <f ca="1">SUMIF('Tech Parameters'!$B$244:$B$269,$B185,'Tech Parameters'!N$244:N$269)*'Tech Parameters'!$H18*'Ref scen Calcs'!J20*8760</f>
        <v>0</v>
      </c>
      <c r="K185" s="9">
        <f ca="1">SUMIF('Tech Parameters'!$B$244:$B$269,$B185,'Tech Parameters'!O$244:O$269)*'Tech Parameters'!$H18*'Ref scen Calcs'!K20*8760</f>
        <v>0</v>
      </c>
      <c r="L185" s="9">
        <f ca="1">SUMIF('Tech Parameters'!$B$244:$B$269,$B185,'Tech Parameters'!P$244:P$269)*'Tech Parameters'!$H18*'Ref scen Calcs'!L20*8760</f>
        <v>0</v>
      </c>
      <c r="M185" s="9">
        <f ca="1">SUMIF('Tech Parameters'!$B$244:$B$269,$B185,'Tech Parameters'!Q$244:Q$269)*'Tech Parameters'!$H18*'Ref scen Calcs'!M20*8760</f>
        <v>0</v>
      </c>
      <c r="N185" s="9">
        <f ca="1">SUMIF('Tech Parameters'!$B$244:$B$269,$B185,'Tech Parameters'!R$244:R$269)*'Tech Parameters'!$H18*'Ref scen Calcs'!N20*8760</f>
        <v>0</v>
      </c>
      <c r="O185" s="9">
        <f ca="1">SUMIF('Tech Parameters'!$B$244:$B$269,$B185,'Tech Parameters'!S$244:S$269)*'Tech Parameters'!$H18*'Ref scen Calcs'!O20*8760</f>
        <v>0</v>
      </c>
      <c r="P185" s="9">
        <f ca="1">SUMIF('Tech Parameters'!$B$244:$B$269,$B185,'Tech Parameters'!T$244:T$269)*'Tech Parameters'!$H18*'Ref scen Calcs'!P20*8760</f>
        <v>0</v>
      </c>
      <c r="Q185" s="9">
        <f ca="1">SUMIF('Tech Parameters'!$B$244:$B$269,$B185,'Tech Parameters'!U$244:U$269)*'Tech Parameters'!$H18*'Ref scen Calcs'!Q20*8760</f>
        <v>0</v>
      </c>
      <c r="R185" s="9">
        <f ca="1">SUMIF('Tech Parameters'!$B$244:$B$269,$B185,'Tech Parameters'!V$244:V$269)*'Tech Parameters'!$H18*'Ref scen Calcs'!R20*8760</f>
        <v>0</v>
      </c>
      <c r="S185" s="9">
        <f ca="1">SUMIF('Tech Parameters'!$B$244:$B$269,$B185,'Tech Parameters'!W$244:W$269)*'Tech Parameters'!$H18*'Ref scen Calcs'!S20*8760</f>
        <v>0</v>
      </c>
      <c r="T185" s="9">
        <f ca="1">SUMIF('Tech Parameters'!$B$244:$B$269,$B185,'Tech Parameters'!X$244:X$269)*'Tech Parameters'!$H18*'Ref scen Calcs'!T20*8760</f>
        <v>0</v>
      </c>
      <c r="U185" s="9">
        <f ca="1">SUMIF('Tech Parameters'!$B$244:$B$269,$B185,'Tech Parameters'!Y$244:Y$269)*'Tech Parameters'!$H18*'Ref scen Calcs'!U20*8760</f>
        <v>0</v>
      </c>
      <c r="V185" s="9">
        <f ca="1">SUMIF('Tech Parameters'!$B$244:$B$269,$B185,'Tech Parameters'!Z$244:Z$269)*'Tech Parameters'!$H18*'Ref scen Calcs'!V20*8760</f>
        <v>0</v>
      </c>
      <c r="W185" s="9">
        <f ca="1">SUMIF('Tech Parameters'!$B$244:$B$269,$B185,'Tech Parameters'!AA$244:AA$269)*'Tech Parameters'!$H18*'Ref scen Calcs'!W20*8760</f>
        <v>0</v>
      </c>
      <c r="X185" s="9">
        <f ca="1">SUMIF('Tech Parameters'!$B$244:$B$269,$B185,'Tech Parameters'!AB$244:AB$269)*'Tech Parameters'!$H18*'Ref scen Calcs'!X20*8760</f>
        <v>0</v>
      </c>
      <c r="Y185" s="9">
        <f ca="1">SUMIF('Tech Parameters'!$B$244:$B$269,$B185,'Tech Parameters'!AC$244:AC$269)*'Tech Parameters'!$H18*'Ref scen Calcs'!Y20*8760</f>
        <v>0</v>
      </c>
      <c r="Z185" s="9">
        <f ca="1">SUMIF('Tech Parameters'!$B$244:$B$269,$B185,'Tech Parameters'!AD$244:AD$269)*'Tech Parameters'!$H18*'Ref scen Calcs'!Z20*8760</f>
        <v>0</v>
      </c>
      <c r="AA185" s="9">
        <f ca="1">SUMIF('Tech Parameters'!$B$244:$B$269,$B185,'Tech Parameters'!AE$244:AE$269)*'Tech Parameters'!$H18*'Ref scen Calcs'!AA20*8760</f>
        <v>0</v>
      </c>
      <c r="AB185" s="9">
        <f ca="1">SUMIF('Tech Parameters'!$B$244:$B$269,$B185,'Tech Parameters'!AF$244:AF$269)*'Tech Parameters'!$H18*'Ref scen Calcs'!AB20*8760</f>
        <v>0</v>
      </c>
      <c r="AC185" s="9">
        <f ca="1">SUMIF('Tech Parameters'!$B$244:$B$269,$B185,'Tech Parameters'!AG$244:AG$269)*'Tech Parameters'!$H18*'Ref scen Calcs'!AC20*8760</f>
        <v>0</v>
      </c>
      <c r="AD185" s="9"/>
      <c r="AE185" s="9"/>
      <c r="AF185" s="9"/>
      <c r="AG185" s="9"/>
      <c r="AH185" s="9"/>
      <c r="AI185" s="9"/>
      <c r="AJ185" s="9"/>
      <c r="AK185" s="9"/>
      <c r="AL185" s="9"/>
      <c r="AM185" s="9"/>
      <c r="AN185" s="9"/>
      <c r="AO185" s="9"/>
      <c r="AP185" s="9"/>
      <c r="AQ185" s="9"/>
      <c r="AR185" s="9"/>
      <c r="AS185" s="9"/>
      <c r="AT185" s="9"/>
      <c r="AU185" s="9"/>
      <c r="AV185" s="9"/>
      <c r="AW185" s="9"/>
      <c r="BA185" s="4"/>
      <c r="BL185" s="4"/>
    </row>
    <row r="186" spans="2:64">
      <c r="B186" t="str">
        <f>'Tech Parameters'!C19</f>
        <v>Combined Cycle Gas Turbine</v>
      </c>
      <c r="C186" t="str">
        <f>'Tech Parameters'!B19</f>
        <v>combined cycle gas</v>
      </c>
      <c r="D186" s="9">
        <f>SUMIF('Tech Parameters'!$B$244:$B$269,$B186,'Tech Parameters'!H$244:H$269)*'Tech Parameters'!$H19*'Ref scen Calcs'!D21*8760</f>
        <v>0</v>
      </c>
      <c r="E186" s="9">
        <f>SUMIF('Tech Parameters'!$B$244:$B$269,$B186,'Tech Parameters'!I$244:I$269)*'Tech Parameters'!$H19*'Ref scen Calcs'!E21*8760</f>
        <v>0</v>
      </c>
      <c r="F186" s="9">
        <f>SUMIF('Tech Parameters'!$B$244:$B$269,$B186,'Tech Parameters'!J$244:J$269)*'Tech Parameters'!$H19*'Ref scen Calcs'!F21*8760</f>
        <v>0</v>
      </c>
      <c r="G186" s="9">
        <f>SUMIF('Tech Parameters'!$B$244:$B$269,$B186,'Tech Parameters'!K$244:K$269)*'Tech Parameters'!$H19*'Ref scen Calcs'!G21*8760</f>
        <v>0</v>
      </c>
      <c r="H186" s="9">
        <f>SUMIF('Tech Parameters'!$B$244:$B$269,$B186,'Tech Parameters'!L$244:L$269)*'Tech Parameters'!$H19*'Ref scen Calcs'!H21*8760</f>
        <v>0</v>
      </c>
      <c r="I186" s="9">
        <f ca="1">SUMIF('Tech Parameters'!$B$244:$B$269,$B186,'Tech Parameters'!M$244:M$269)*'Tech Parameters'!$H19*'Ref scen Calcs'!I21*8760</f>
        <v>0</v>
      </c>
      <c r="J186" s="9">
        <f ca="1">SUMIF('Tech Parameters'!$B$244:$B$269,$B186,'Tech Parameters'!N$244:N$269)*'Tech Parameters'!$H19*'Ref scen Calcs'!J21*8760</f>
        <v>0</v>
      </c>
      <c r="K186" s="9">
        <f ca="1">SUMIF('Tech Parameters'!$B$244:$B$269,$B186,'Tech Parameters'!O$244:O$269)*'Tech Parameters'!$H19*'Ref scen Calcs'!K21*8760</f>
        <v>0</v>
      </c>
      <c r="L186" s="9">
        <f ca="1">SUMIF('Tech Parameters'!$B$244:$B$269,$B186,'Tech Parameters'!P$244:P$269)*'Tech Parameters'!$H19*'Ref scen Calcs'!L21*8760</f>
        <v>0</v>
      </c>
      <c r="M186" s="9">
        <f ca="1">SUMIF('Tech Parameters'!$B$244:$B$269,$B186,'Tech Parameters'!Q$244:Q$269)*'Tech Parameters'!$H19*'Ref scen Calcs'!M21*8760</f>
        <v>0</v>
      </c>
      <c r="N186" s="9">
        <f ca="1">SUMIF('Tech Parameters'!$B$244:$B$269,$B186,'Tech Parameters'!R$244:R$269)*'Tech Parameters'!$H19*'Ref scen Calcs'!N21*8760</f>
        <v>0</v>
      </c>
      <c r="O186" s="9">
        <f ca="1">SUMIF('Tech Parameters'!$B$244:$B$269,$B186,'Tech Parameters'!S$244:S$269)*'Tech Parameters'!$H19*'Ref scen Calcs'!O21*8760</f>
        <v>0</v>
      </c>
      <c r="P186" s="9">
        <f ca="1">SUMIF('Tech Parameters'!$B$244:$B$269,$B186,'Tech Parameters'!T$244:T$269)*'Tech Parameters'!$H19*'Ref scen Calcs'!P21*8760</f>
        <v>0</v>
      </c>
      <c r="Q186" s="9">
        <f ca="1">SUMIF('Tech Parameters'!$B$244:$B$269,$B186,'Tech Parameters'!U$244:U$269)*'Tech Parameters'!$H19*'Ref scen Calcs'!Q21*8760</f>
        <v>0</v>
      </c>
      <c r="R186" s="9">
        <f ca="1">SUMIF('Tech Parameters'!$B$244:$B$269,$B186,'Tech Parameters'!V$244:V$269)*'Tech Parameters'!$H19*'Ref scen Calcs'!R21*8760</f>
        <v>0</v>
      </c>
      <c r="S186" s="9">
        <f ca="1">SUMIF('Tech Parameters'!$B$244:$B$269,$B186,'Tech Parameters'!W$244:W$269)*'Tech Parameters'!$H19*'Ref scen Calcs'!S21*8760</f>
        <v>0</v>
      </c>
      <c r="T186" s="9">
        <f ca="1">SUMIF('Tech Parameters'!$B$244:$B$269,$B186,'Tech Parameters'!X$244:X$269)*'Tech Parameters'!$H19*'Ref scen Calcs'!T21*8760</f>
        <v>0</v>
      </c>
      <c r="U186" s="9">
        <f ca="1">SUMIF('Tech Parameters'!$B$244:$B$269,$B186,'Tech Parameters'!Y$244:Y$269)*'Tech Parameters'!$H19*'Ref scen Calcs'!U21*8760</f>
        <v>0</v>
      </c>
      <c r="V186" s="9">
        <f ca="1">SUMIF('Tech Parameters'!$B$244:$B$269,$B186,'Tech Parameters'!Z$244:Z$269)*'Tech Parameters'!$H19*'Ref scen Calcs'!V21*8760</f>
        <v>0</v>
      </c>
      <c r="W186" s="9">
        <f ca="1">SUMIF('Tech Parameters'!$B$244:$B$269,$B186,'Tech Parameters'!AA$244:AA$269)*'Tech Parameters'!$H19*'Ref scen Calcs'!W21*8760</f>
        <v>0</v>
      </c>
      <c r="X186" s="9">
        <f ca="1">SUMIF('Tech Parameters'!$B$244:$B$269,$B186,'Tech Parameters'!AB$244:AB$269)*'Tech Parameters'!$H19*'Ref scen Calcs'!X21*8760</f>
        <v>0</v>
      </c>
      <c r="Y186" s="9">
        <f ca="1">SUMIF('Tech Parameters'!$B$244:$B$269,$B186,'Tech Parameters'!AC$244:AC$269)*'Tech Parameters'!$H19*'Ref scen Calcs'!Y21*8760</f>
        <v>0</v>
      </c>
      <c r="Z186" s="9">
        <f ca="1">SUMIF('Tech Parameters'!$B$244:$B$269,$B186,'Tech Parameters'!AD$244:AD$269)*'Tech Parameters'!$H19*'Ref scen Calcs'!Z21*8760</f>
        <v>0</v>
      </c>
      <c r="AA186" s="9">
        <f ca="1">SUMIF('Tech Parameters'!$B$244:$B$269,$B186,'Tech Parameters'!AE$244:AE$269)*'Tech Parameters'!$H19*'Ref scen Calcs'!AA21*8760</f>
        <v>0</v>
      </c>
      <c r="AB186" s="9">
        <f ca="1">SUMIF('Tech Parameters'!$B$244:$B$269,$B186,'Tech Parameters'!AF$244:AF$269)*'Tech Parameters'!$H19*'Ref scen Calcs'!AB21*8760</f>
        <v>0</v>
      </c>
      <c r="AC186" s="9">
        <f ca="1">SUMIF('Tech Parameters'!$B$244:$B$269,$B186,'Tech Parameters'!AG$244:AG$269)*'Tech Parameters'!$H19*'Ref scen Calcs'!AC21*8760</f>
        <v>0</v>
      </c>
      <c r="AD186" s="9"/>
      <c r="AE186" s="9"/>
      <c r="AF186" s="9"/>
      <c r="AG186" s="9"/>
      <c r="AH186" s="9"/>
      <c r="AI186" s="9"/>
      <c r="AJ186" s="9"/>
      <c r="AK186" s="9"/>
      <c r="AL186" s="9"/>
      <c r="AM186" s="9"/>
      <c r="AN186" s="9"/>
      <c r="AO186" s="9"/>
      <c r="AP186" s="9"/>
      <c r="AQ186" s="9"/>
      <c r="AR186" s="9"/>
      <c r="AS186" s="9"/>
      <c r="AT186" s="9"/>
      <c r="AU186" s="9"/>
      <c r="AV186" s="9"/>
      <c r="AW186" s="9"/>
      <c r="BA186" s="4"/>
      <c r="BL186" s="4"/>
    </row>
    <row r="187" spans="2:64">
      <c r="B187" t="str">
        <f>'Tech Parameters'!C20</f>
        <v>Nuclear Pebble-Bed Modular Reactor</v>
      </c>
      <c r="C187" t="str">
        <f>'Tech Parameters'!B20</f>
        <v>PBMR</v>
      </c>
      <c r="D187" s="9">
        <f>SUMIF('Tech Parameters'!$B$244:$B$269,$B187,'Tech Parameters'!H$244:H$269)*'Tech Parameters'!$H20*'Ref scen Calcs'!D22*8760</f>
        <v>0</v>
      </c>
      <c r="E187" s="9">
        <f>SUMIF('Tech Parameters'!$B$244:$B$269,$B187,'Tech Parameters'!I$244:I$269)*'Tech Parameters'!$H20*'Ref scen Calcs'!E22*8760</f>
        <v>0</v>
      </c>
      <c r="F187" s="9">
        <f>SUMIF('Tech Parameters'!$B$244:$B$269,$B187,'Tech Parameters'!J$244:J$269)*'Tech Parameters'!$H20*'Ref scen Calcs'!F22*8760</f>
        <v>0</v>
      </c>
      <c r="G187" s="9">
        <f>SUMIF('Tech Parameters'!$B$244:$B$269,$B187,'Tech Parameters'!K$244:K$269)*'Tech Parameters'!$H20*'Ref scen Calcs'!G22*8760</f>
        <v>0</v>
      </c>
      <c r="H187" s="9">
        <f>SUMIF('Tech Parameters'!$B$244:$B$269,$B187,'Tech Parameters'!L$244:L$269)*'Tech Parameters'!$H20*'Ref scen Calcs'!H22*8760</f>
        <v>0</v>
      </c>
      <c r="I187" s="9">
        <f ca="1">SUMIF('Tech Parameters'!$B$244:$B$269,$B187,'Tech Parameters'!M$244:M$269)*'Tech Parameters'!$H20*'Ref scen Calcs'!I22*8760</f>
        <v>0</v>
      </c>
      <c r="J187" s="9">
        <f ca="1">SUMIF('Tech Parameters'!$B$244:$B$269,$B187,'Tech Parameters'!N$244:N$269)*'Tech Parameters'!$H20*'Ref scen Calcs'!J22*8760</f>
        <v>0</v>
      </c>
      <c r="K187" s="9">
        <f ca="1">SUMIF('Tech Parameters'!$B$244:$B$269,$B187,'Tech Parameters'!O$244:O$269)*'Tech Parameters'!$H20*'Ref scen Calcs'!K22*8760</f>
        <v>0</v>
      </c>
      <c r="L187" s="9">
        <f ca="1">SUMIF('Tech Parameters'!$B$244:$B$269,$B187,'Tech Parameters'!P$244:P$269)*'Tech Parameters'!$H20*'Ref scen Calcs'!L22*8760</f>
        <v>0</v>
      </c>
      <c r="M187" s="9">
        <f ca="1">SUMIF('Tech Parameters'!$B$244:$B$269,$B187,'Tech Parameters'!Q$244:Q$269)*'Tech Parameters'!$H20*'Ref scen Calcs'!M22*8760</f>
        <v>0</v>
      </c>
      <c r="N187" s="9">
        <f ca="1">SUMIF('Tech Parameters'!$B$244:$B$269,$B187,'Tech Parameters'!R$244:R$269)*'Tech Parameters'!$H20*'Ref scen Calcs'!N22*8760</f>
        <v>0</v>
      </c>
      <c r="O187" s="9">
        <f ca="1">SUMIF('Tech Parameters'!$B$244:$B$269,$B187,'Tech Parameters'!S$244:S$269)*'Tech Parameters'!$H20*'Ref scen Calcs'!O22*8760</f>
        <v>0</v>
      </c>
      <c r="P187" s="9">
        <f ca="1">SUMIF('Tech Parameters'!$B$244:$B$269,$B187,'Tech Parameters'!T$244:T$269)*'Tech Parameters'!$H20*'Ref scen Calcs'!P22*8760</f>
        <v>0</v>
      </c>
      <c r="Q187" s="9">
        <f ca="1">SUMIF('Tech Parameters'!$B$244:$B$269,$B187,'Tech Parameters'!U$244:U$269)*'Tech Parameters'!$H20*'Ref scen Calcs'!Q22*8760</f>
        <v>0</v>
      </c>
      <c r="R187" s="9">
        <f ca="1">SUMIF('Tech Parameters'!$B$244:$B$269,$B187,'Tech Parameters'!V$244:V$269)*'Tech Parameters'!$H20*'Ref scen Calcs'!R22*8760</f>
        <v>0</v>
      </c>
      <c r="S187" s="9">
        <f ca="1">SUMIF('Tech Parameters'!$B$244:$B$269,$B187,'Tech Parameters'!W$244:W$269)*'Tech Parameters'!$H20*'Ref scen Calcs'!S22*8760</f>
        <v>0</v>
      </c>
      <c r="T187" s="9">
        <f ca="1">SUMIF('Tech Parameters'!$B$244:$B$269,$B187,'Tech Parameters'!X$244:X$269)*'Tech Parameters'!$H20*'Ref scen Calcs'!T22*8760</f>
        <v>0</v>
      </c>
      <c r="U187" s="9">
        <f ca="1">SUMIF('Tech Parameters'!$B$244:$B$269,$B187,'Tech Parameters'!Y$244:Y$269)*'Tech Parameters'!$H20*'Ref scen Calcs'!U22*8760</f>
        <v>0</v>
      </c>
      <c r="V187" s="9">
        <f ca="1">SUMIF('Tech Parameters'!$B$244:$B$269,$B187,'Tech Parameters'!Z$244:Z$269)*'Tech Parameters'!$H20*'Ref scen Calcs'!V22*8760</f>
        <v>0</v>
      </c>
      <c r="W187" s="9">
        <f ca="1">SUMIF('Tech Parameters'!$B$244:$B$269,$B187,'Tech Parameters'!AA$244:AA$269)*'Tech Parameters'!$H20*'Ref scen Calcs'!W22*8760</f>
        <v>0</v>
      </c>
      <c r="X187" s="9">
        <f ca="1">SUMIF('Tech Parameters'!$B$244:$B$269,$B187,'Tech Parameters'!AB$244:AB$269)*'Tech Parameters'!$H20*'Ref scen Calcs'!X22*8760</f>
        <v>0</v>
      </c>
      <c r="Y187" s="9">
        <f ca="1">SUMIF('Tech Parameters'!$B$244:$B$269,$B187,'Tech Parameters'!AC$244:AC$269)*'Tech Parameters'!$H20*'Ref scen Calcs'!Y22*8760</f>
        <v>0</v>
      </c>
      <c r="Z187" s="9">
        <f ca="1">SUMIF('Tech Parameters'!$B$244:$B$269,$B187,'Tech Parameters'!AD$244:AD$269)*'Tech Parameters'!$H20*'Ref scen Calcs'!Z22*8760</f>
        <v>0</v>
      </c>
      <c r="AA187" s="9">
        <f ca="1">SUMIF('Tech Parameters'!$B$244:$B$269,$B187,'Tech Parameters'!AE$244:AE$269)*'Tech Parameters'!$H20*'Ref scen Calcs'!AA22*8760</f>
        <v>0</v>
      </c>
      <c r="AB187" s="9">
        <f ca="1">SUMIF('Tech Parameters'!$B$244:$B$269,$B187,'Tech Parameters'!AF$244:AF$269)*'Tech Parameters'!$H20*'Ref scen Calcs'!AB22*8760</f>
        <v>0</v>
      </c>
      <c r="AC187" s="9">
        <f ca="1">SUMIF('Tech Parameters'!$B$244:$B$269,$B187,'Tech Parameters'!AG$244:AG$269)*'Tech Parameters'!$H20*'Ref scen Calcs'!AC22*8760</f>
        <v>0</v>
      </c>
      <c r="AD187" s="9"/>
      <c r="AE187" s="9"/>
      <c r="AF187" s="9"/>
      <c r="AG187" s="9"/>
      <c r="AH187" s="9"/>
      <c r="AI187" s="9"/>
      <c r="AJ187" s="9"/>
      <c r="AK187" s="9"/>
      <c r="AL187" s="9"/>
      <c r="AM187" s="9"/>
      <c r="AN187" s="9"/>
      <c r="AO187" s="9"/>
      <c r="AP187" s="9"/>
      <c r="AQ187" s="9"/>
      <c r="AR187" s="9"/>
      <c r="AS187" s="9"/>
      <c r="AT187" s="9"/>
      <c r="AU187" s="9"/>
      <c r="AV187" s="9"/>
      <c r="AW187" s="9"/>
      <c r="BA187" s="4"/>
      <c r="BL187" s="4"/>
    </row>
    <row r="188" spans="2:64">
      <c r="B188" t="str">
        <f>'Tech Parameters'!C21</f>
        <v>Integrated Gasification Combined Cycle Coal</v>
      </c>
      <c r="C188" t="str">
        <f>'Tech Parameters'!B21</f>
        <v>IGCC</v>
      </c>
      <c r="D188" s="9">
        <f>SUMIF('Tech Parameters'!$B$244:$B$269,$B188,'Tech Parameters'!H$244:H$269)*'Tech Parameters'!$H21*'Ref scen Calcs'!D23*8760</f>
        <v>0</v>
      </c>
      <c r="E188" s="9">
        <f>SUMIF('Tech Parameters'!$B$244:$B$269,$B188,'Tech Parameters'!I$244:I$269)*'Tech Parameters'!$H21*'Ref scen Calcs'!E23*8760</f>
        <v>0</v>
      </c>
      <c r="F188" s="9">
        <f>SUMIF('Tech Parameters'!$B$244:$B$269,$B188,'Tech Parameters'!J$244:J$269)*'Tech Parameters'!$H21*'Ref scen Calcs'!F23*8760</f>
        <v>0</v>
      </c>
      <c r="G188" s="9">
        <f>SUMIF('Tech Parameters'!$B$244:$B$269,$B188,'Tech Parameters'!K$244:K$269)*'Tech Parameters'!$H21*'Ref scen Calcs'!G23*8760</f>
        <v>0</v>
      </c>
      <c r="H188" s="9">
        <f>SUMIF('Tech Parameters'!$B$244:$B$269,$B188,'Tech Parameters'!L$244:L$269)*'Tech Parameters'!$H21*'Ref scen Calcs'!H23*8760</f>
        <v>0</v>
      </c>
      <c r="I188" s="9">
        <f ca="1">SUMIF('Tech Parameters'!$B$244:$B$269,$B188,'Tech Parameters'!M$244:M$269)*'Tech Parameters'!$H21*'Ref scen Calcs'!I23*8760</f>
        <v>0</v>
      </c>
      <c r="J188" s="9">
        <f ca="1">SUMIF('Tech Parameters'!$B$244:$B$269,$B188,'Tech Parameters'!N$244:N$269)*'Tech Parameters'!$H21*'Ref scen Calcs'!J23*8760</f>
        <v>0</v>
      </c>
      <c r="K188" s="9">
        <f ca="1">SUMIF('Tech Parameters'!$B$244:$B$269,$B188,'Tech Parameters'!O$244:O$269)*'Tech Parameters'!$H21*'Ref scen Calcs'!K23*8760</f>
        <v>0</v>
      </c>
      <c r="L188" s="9">
        <f ca="1">SUMIF('Tech Parameters'!$B$244:$B$269,$B188,'Tech Parameters'!P$244:P$269)*'Tech Parameters'!$H21*'Ref scen Calcs'!L23*8760</f>
        <v>0</v>
      </c>
      <c r="M188" s="9">
        <f ca="1">SUMIF('Tech Parameters'!$B$244:$B$269,$B188,'Tech Parameters'!Q$244:Q$269)*'Tech Parameters'!$H21*'Ref scen Calcs'!M23*8760</f>
        <v>0</v>
      </c>
      <c r="N188" s="9">
        <f ca="1">SUMIF('Tech Parameters'!$B$244:$B$269,$B188,'Tech Parameters'!R$244:R$269)*'Tech Parameters'!$H21*'Ref scen Calcs'!N23*8760</f>
        <v>0</v>
      </c>
      <c r="O188" s="9">
        <f ca="1">SUMIF('Tech Parameters'!$B$244:$B$269,$B188,'Tech Parameters'!S$244:S$269)*'Tech Parameters'!$H21*'Ref scen Calcs'!O23*8760</f>
        <v>0</v>
      </c>
      <c r="P188" s="9">
        <f ca="1">SUMIF('Tech Parameters'!$B$244:$B$269,$B188,'Tech Parameters'!T$244:T$269)*'Tech Parameters'!$H21*'Ref scen Calcs'!P23*8760</f>
        <v>0</v>
      </c>
      <c r="Q188" s="9">
        <f ca="1">SUMIF('Tech Parameters'!$B$244:$B$269,$B188,'Tech Parameters'!U$244:U$269)*'Tech Parameters'!$H21*'Ref scen Calcs'!Q23*8760</f>
        <v>0</v>
      </c>
      <c r="R188" s="9">
        <f ca="1">SUMIF('Tech Parameters'!$B$244:$B$269,$B188,'Tech Parameters'!V$244:V$269)*'Tech Parameters'!$H21*'Ref scen Calcs'!R23*8760</f>
        <v>0</v>
      </c>
      <c r="S188" s="9">
        <f ca="1">SUMIF('Tech Parameters'!$B$244:$B$269,$B188,'Tech Parameters'!W$244:W$269)*'Tech Parameters'!$H21*'Ref scen Calcs'!S23*8760</f>
        <v>0</v>
      </c>
      <c r="T188" s="9">
        <f ca="1">SUMIF('Tech Parameters'!$B$244:$B$269,$B188,'Tech Parameters'!X$244:X$269)*'Tech Parameters'!$H21*'Ref scen Calcs'!T23*8760</f>
        <v>0</v>
      </c>
      <c r="U188" s="9">
        <f ca="1">SUMIF('Tech Parameters'!$B$244:$B$269,$B188,'Tech Parameters'!Y$244:Y$269)*'Tech Parameters'!$H21*'Ref scen Calcs'!U23*8760</f>
        <v>0</v>
      </c>
      <c r="V188" s="9">
        <f ca="1">SUMIF('Tech Parameters'!$B$244:$B$269,$B188,'Tech Parameters'!Z$244:Z$269)*'Tech Parameters'!$H21*'Ref scen Calcs'!V23*8760</f>
        <v>0</v>
      </c>
      <c r="W188" s="9">
        <f ca="1">SUMIF('Tech Parameters'!$B$244:$B$269,$B188,'Tech Parameters'!AA$244:AA$269)*'Tech Parameters'!$H21*'Ref scen Calcs'!W23*8760</f>
        <v>0</v>
      </c>
      <c r="X188" s="9">
        <f ca="1">SUMIF('Tech Parameters'!$B$244:$B$269,$B188,'Tech Parameters'!AB$244:AB$269)*'Tech Parameters'!$H21*'Ref scen Calcs'!X23*8760</f>
        <v>0</v>
      </c>
      <c r="Y188" s="9">
        <f ca="1">SUMIF('Tech Parameters'!$B$244:$B$269,$B188,'Tech Parameters'!AC$244:AC$269)*'Tech Parameters'!$H21*'Ref scen Calcs'!Y23*8760</f>
        <v>0</v>
      </c>
      <c r="Z188" s="9">
        <f ca="1">SUMIF('Tech Parameters'!$B$244:$B$269,$B188,'Tech Parameters'!AD$244:AD$269)*'Tech Parameters'!$H21*'Ref scen Calcs'!Z23*8760</f>
        <v>0</v>
      </c>
      <c r="AA188" s="9">
        <f ca="1">SUMIF('Tech Parameters'!$B$244:$B$269,$B188,'Tech Parameters'!AE$244:AE$269)*'Tech Parameters'!$H21*'Ref scen Calcs'!AA23*8760</f>
        <v>0</v>
      </c>
      <c r="AB188" s="9">
        <f ca="1">SUMIF('Tech Parameters'!$B$244:$B$269,$B188,'Tech Parameters'!AF$244:AF$269)*'Tech Parameters'!$H21*'Ref scen Calcs'!AB23*8760</f>
        <v>0</v>
      </c>
      <c r="AC188" s="9">
        <f ca="1">SUMIF('Tech Parameters'!$B$244:$B$269,$B188,'Tech Parameters'!AG$244:AG$269)*'Tech Parameters'!$H21*'Ref scen Calcs'!AC23*8760</f>
        <v>0</v>
      </c>
      <c r="AD188" s="9"/>
      <c r="AE188" s="9"/>
      <c r="AF188" s="9"/>
      <c r="AG188" s="9"/>
      <c r="AH188" s="9"/>
      <c r="AI188" s="9"/>
      <c r="AJ188" s="9"/>
      <c r="AK188" s="9"/>
      <c r="AL188" s="9"/>
      <c r="AM188" s="9"/>
      <c r="AN188" s="9"/>
      <c r="AO188" s="9"/>
      <c r="AP188" s="9"/>
      <c r="AQ188" s="9"/>
      <c r="AR188" s="9"/>
      <c r="AS188" s="9"/>
      <c r="AT188" s="9"/>
      <c r="AU188" s="9"/>
      <c r="AV188" s="9"/>
      <c r="AW188" s="9"/>
      <c r="BA188" s="4"/>
      <c r="BL188" s="4"/>
    </row>
    <row r="189" spans="2:64">
      <c r="B189" t="str">
        <f>'Tech Parameters'!C22</f>
        <v>not used</v>
      </c>
      <c r="C189" t="str">
        <f>'Tech Parameters'!B22</f>
        <v>-</v>
      </c>
      <c r="D189" s="9">
        <f>SUMIF('Tech Parameters'!$B$244:$B$269,$B189,'Tech Parameters'!H$244:H$269)*'Tech Parameters'!$H22*'Ref scen Calcs'!D24*8760</f>
        <v>0</v>
      </c>
      <c r="E189" s="9">
        <f>SUMIF('Tech Parameters'!$B$244:$B$269,$B189,'Tech Parameters'!I$244:I$269)*'Tech Parameters'!$H22*'Ref scen Calcs'!E24*8760</f>
        <v>0</v>
      </c>
      <c r="F189" s="9">
        <f>SUMIF('Tech Parameters'!$B$244:$B$269,$B189,'Tech Parameters'!J$244:J$269)*'Tech Parameters'!$H22*'Ref scen Calcs'!F24*8760</f>
        <v>0</v>
      </c>
      <c r="G189" s="9">
        <f>SUMIF('Tech Parameters'!$B$244:$B$269,$B189,'Tech Parameters'!K$244:K$269)*'Tech Parameters'!$H22*'Ref scen Calcs'!G24*8760</f>
        <v>0</v>
      </c>
      <c r="H189" s="9">
        <f>SUMIF('Tech Parameters'!$B$244:$B$269,$B189,'Tech Parameters'!L$244:L$269)*'Tech Parameters'!$H22*'Ref scen Calcs'!H24*8760</f>
        <v>0</v>
      </c>
      <c r="I189" s="9">
        <f ca="1">SUMIF('Tech Parameters'!$B$244:$B$269,$B189,'Tech Parameters'!M$244:M$269)*'Tech Parameters'!$H22*'Ref scen Calcs'!I24*8760</f>
        <v>0</v>
      </c>
      <c r="J189" s="9">
        <f ca="1">SUMIF('Tech Parameters'!$B$244:$B$269,$B189,'Tech Parameters'!N$244:N$269)*'Tech Parameters'!$H22*'Ref scen Calcs'!J24*8760</f>
        <v>0</v>
      </c>
      <c r="K189" s="9">
        <f ca="1">SUMIF('Tech Parameters'!$B$244:$B$269,$B189,'Tech Parameters'!O$244:O$269)*'Tech Parameters'!$H22*'Ref scen Calcs'!K24*8760</f>
        <v>0</v>
      </c>
      <c r="L189" s="9">
        <f ca="1">SUMIF('Tech Parameters'!$B$244:$B$269,$B189,'Tech Parameters'!P$244:P$269)*'Tech Parameters'!$H22*'Ref scen Calcs'!L24*8760</f>
        <v>0</v>
      </c>
      <c r="M189" s="9">
        <f ca="1">SUMIF('Tech Parameters'!$B$244:$B$269,$B189,'Tech Parameters'!Q$244:Q$269)*'Tech Parameters'!$H22*'Ref scen Calcs'!M24*8760</f>
        <v>0</v>
      </c>
      <c r="N189" s="9">
        <f ca="1">SUMIF('Tech Parameters'!$B$244:$B$269,$B189,'Tech Parameters'!R$244:R$269)*'Tech Parameters'!$H22*'Ref scen Calcs'!N24*8760</f>
        <v>0</v>
      </c>
      <c r="O189" s="9">
        <f ca="1">SUMIF('Tech Parameters'!$B$244:$B$269,$B189,'Tech Parameters'!S$244:S$269)*'Tech Parameters'!$H22*'Ref scen Calcs'!O24*8760</f>
        <v>0</v>
      </c>
      <c r="P189" s="9">
        <f ca="1">SUMIF('Tech Parameters'!$B$244:$B$269,$B189,'Tech Parameters'!T$244:T$269)*'Tech Parameters'!$H22*'Ref scen Calcs'!P24*8760</f>
        <v>0</v>
      </c>
      <c r="Q189" s="9">
        <f ca="1">SUMIF('Tech Parameters'!$B$244:$B$269,$B189,'Tech Parameters'!U$244:U$269)*'Tech Parameters'!$H22*'Ref scen Calcs'!Q24*8760</f>
        <v>0</v>
      </c>
      <c r="R189" s="9">
        <f ca="1">SUMIF('Tech Parameters'!$B$244:$B$269,$B189,'Tech Parameters'!V$244:V$269)*'Tech Parameters'!$H22*'Ref scen Calcs'!R24*8760</f>
        <v>0</v>
      </c>
      <c r="S189" s="9">
        <f ca="1">SUMIF('Tech Parameters'!$B$244:$B$269,$B189,'Tech Parameters'!W$244:W$269)*'Tech Parameters'!$H22*'Ref scen Calcs'!S24*8760</f>
        <v>0</v>
      </c>
      <c r="T189" s="9">
        <f ca="1">SUMIF('Tech Parameters'!$B$244:$B$269,$B189,'Tech Parameters'!X$244:X$269)*'Tech Parameters'!$H22*'Ref scen Calcs'!T24*8760</f>
        <v>0</v>
      </c>
      <c r="U189" s="9">
        <f ca="1">SUMIF('Tech Parameters'!$B$244:$B$269,$B189,'Tech Parameters'!Y$244:Y$269)*'Tech Parameters'!$H22*'Ref scen Calcs'!U24*8760</f>
        <v>0</v>
      </c>
      <c r="V189" s="9">
        <f ca="1">SUMIF('Tech Parameters'!$B$244:$B$269,$B189,'Tech Parameters'!Z$244:Z$269)*'Tech Parameters'!$H22*'Ref scen Calcs'!V24*8760</f>
        <v>0</v>
      </c>
      <c r="W189" s="9">
        <f ca="1">SUMIF('Tech Parameters'!$B$244:$B$269,$B189,'Tech Parameters'!AA$244:AA$269)*'Tech Parameters'!$H22*'Ref scen Calcs'!W24*8760</f>
        <v>0</v>
      </c>
      <c r="X189" s="9">
        <f ca="1">SUMIF('Tech Parameters'!$B$244:$B$269,$B189,'Tech Parameters'!AB$244:AB$269)*'Tech Parameters'!$H22*'Ref scen Calcs'!X24*8760</f>
        <v>0</v>
      </c>
      <c r="Y189" s="9">
        <f ca="1">SUMIF('Tech Parameters'!$B$244:$B$269,$B189,'Tech Parameters'!AC$244:AC$269)*'Tech Parameters'!$H22*'Ref scen Calcs'!Y24*8760</f>
        <v>0</v>
      </c>
      <c r="Z189" s="9">
        <f ca="1">SUMIF('Tech Parameters'!$B$244:$B$269,$B189,'Tech Parameters'!AD$244:AD$269)*'Tech Parameters'!$H22*'Ref scen Calcs'!Z24*8760</f>
        <v>0</v>
      </c>
      <c r="AA189" s="9">
        <f ca="1">SUMIF('Tech Parameters'!$B$244:$B$269,$B189,'Tech Parameters'!AE$244:AE$269)*'Tech Parameters'!$H22*'Ref scen Calcs'!AA24*8760</f>
        <v>0</v>
      </c>
      <c r="AB189" s="9">
        <f ca="1">SUMIF('Tech Parameters'!$B$244:$B$269,$B189,'Tech Parameters'!AF$244:AF$269)*'Tech Parameters'!$H22*'Ref scen Calcs'!AB24*8760</f>
        <v>0</v>
      </c>
      <c r="AC189" s="9">
        <f ca="1">SUMIF('Tech Parameters'!$B$244:$B$269,$B189,'Tech Parameters'!AG$244:AG$269)*'Tech Parameters'!$H22*'Ref scen Calcs'!AC24*8760</f>
        <v>0</v>
      </c>
      <c r="AD189" s="9"/>
      <c r="AE189" s="9"/>
      <c r="AF189" s="9"/>
      <c r="AG189" s="9"/>
      <c r="AH189" s="9"/>
      <c r="AI189" s="9"/>
      <c r="AJ189" s="9"/>
      <c r="AK189" s="9"/>
      <c r="AL189" s="9"/>
      <c r="AM189" s="9"/>
      <c r="AN189" s="9"/>
      <c r="AO189" s="9"/>
      <c r="AP189" s="9"/>
      <c r="AQ189" s="9"/>
      <c r="AR189" s="9"/>
      <c r="AS189" s="9"/>
      <c r="AT189" s="9"/>
      <c r="AU189" s="9"/>
      <c r="AV189" s="9"/>
      <c r="AW189" s="9"/>
      <c r="BA189" s="4"/>
      <c r="BL189" s="4"/>
    </row>
    <row r="190" spans="2:64">
      <c r="B190" t="str">
        <f>'Tech Parameters'!C23</f>
        <v>not used</v>
      </c>
      <c r="C190" t="str">
        <f>'Tech Parameters'!B23</f>
        <v>-</v>
      </c>
      <c r="D190" s="9">
        <f>SUMIF('Tech Parameters'!$B$244:$B$269,$B190,'Tech Parameters'!H$244:H$269)*'Tech Parameters'!$H23*'Ref scen Calcs'!D25*8760</f>
        <v>0</v>
      </c>
      <c r="E190" s="9">
        <f>SUMIF('Tech Parameters'!$B$244:$B$269,$B190,'Tech Parameters'!I$244:I$269)*'Tech Parameters'!$H23*'Ref scen Calcs'!E25*8760</f>
        <v>0</v>
      </c>
      <c r="F190" s="9">
        <f>SUMIF('Tech Parameters'!$B$244:$B$269,$B190,'Tech Parameters'!J$244:J$269)*'Tech Parameters'!$H23*'Ref scen Calcs'!F25*8760</f>
        <v>0</v>
      </c>
      <c r="G190" s="9">
        <f>SUMIF('Tech Parameters'!$B$244:$B$269,$B190,'Tech Parameters'!K$244:K$269)*'Tech Parameters'!$H23*'Ref scen Calcs'!G25*8760</f>
        <v>0</v>
      </c>
      <c r="H190" s="9">
        <f>SUMIF('Tech Parameters'!$B$244:$B$269,$B190,'Tech Parameters'!L$244:L$269)*'Tech Parameters'!$H23*'Ref scen Calcs'!H25*8760</f>
        <v>0</v>
      </c>
      <c r="I190" s="9">
        <f ca="1">SUMIF('Tech Parameters'!$B$244:$B$269,$B190,'Tech Parameters'!M$244:M$269)*'Tech Parameters'!$H23*'Ref scen Calcs'!I25*8760</f>
        <v>0</v>
      </c>
      <c r="J190" s="9">
        <f ca="1">SUMIF('Tech Parameters'!$B$244:$B$269,$B190,'Tech Parameters'!N$244:N$269)*'Tech Parameters'!$H23*'Ref scen Calcs'!J25*8760</f>
        <v>0</v>
      </c>
      <c r="K190" s="9">
        <f ca="1">SUMIF('Tech Parameters'!$B$244:$B$269,$B190,'Tech Parameters'!O$244:O$269)*'Tech Parameters'!$H23*'Ref scen Calcs'!K25*8760</f>
        <v>0</v>
      </c>
      <c r="L190" s="9">
        <f ca="1">SUMIF('Tech Parameters'!$B$244:$B$269,$B190,'Tech Parameters'!P$244:P$269)*'Tech Parameters'!$H23*'Ref scen Calcs'!L25*8760</f>
        <v>0</v>
      </c>
      <c r="M190" s="9">
        <f ca="1">SUMIF('Tech Parameters'!$B$244:$B$269,$B190,'Tech Parameters'!Q$244:Q$269)*'Tech Parameters'!$H23*'Ref scen Calcs'!M25*8760</f>
        <v>0</v>
      </c>
      <c r="N190" s="9">
        <f ca="1">SUMIF('Tech Parameters'!$B$244:$B$269,$B190,'Tech Parameters'!R$244:R$269)*'Tech Parameters'!$H23*'Ref scen Calcs'!N25*8760</f>
        <v>0</v>
      </c>
      <c r="O190" s="9">
        <f ca="1">SUMIF('Tech Parameters'!$B$244:$B$269,$B190,'Tech Parameters'!S$244:S$269)*'Tech Parameters'!$H23*'Ref scen Calcs'!O25*8760</f>
        <v>0</v>
      </c>
      <c r="P190" s="9">
        <f ca="1">SUMIF('Tech Parameters'!$B$244:$B$269,$B190,'Tech Parameters'!T$244:T$269)*'Tech Parameters'!$H23*'Ref scen Calcs'!P25*8760</f>
        <v>0</v>
      </c>
      <c r="Q190" s="9">
        <f ca="1">SUMIF('Tech Parameters'!$B$244:$B$269,$B190,'Tech Parameters'!U$244:U$269)*'Tech Parameters'!$H23*'Ref scen Calcs'!Q25*8760</f>
        <v>0</v>
      </c>
      <c r="R190" s="9">
        <f ca="1">SUMIF('Tech Parameters'!$B$244:$B$269,$B190,'Tech Parameters'!V$244:V$269)*'Tech Parameters'!$H23*'Ref scen Calcs'!R25*8760</f>
        <v>0</v>
      </c>
      <c r="S190" s="9">
        <f ca="1">SUMIF('Tech Parameters'!$B$244:$B$269,$B190,'Tech Parameters'!W$244:W$269)*'Tech Parameters'!$H23*'Ref scen Calcs'!S25*8760</f>
        <v>0</v>
      </c>
      <c r="T190" s="9">
        <f ca="1">SUMIF('Tech Parameters'!$B$244:$B$269,$B190,'Tech Parameters'!X$244:X$269)*'Tech Parameters'!$H23*'Ref scen Calcs'!T25*8760</f>
        <v>0</v>
      </c>
      <c r="U190" s="9">
        <f ca="1">SUMIF('Tech Parameters'!$B$244:$B$269,$B190,'Tech Parameters'!Y$244:Y$269)*'Tech Parameters'!$H23*'Ref scen Calcs'!U25*8760</f>
        <v>0</v>
      </c>
      <c r="V190" s="9">
        <f ca="1">SUMIF('Tech Parameters'!$B$244:$B$269,$B190,'Tech Parameters'!Z$244:Z$269)*'Tech Parameters'!$H23*'Ref scen Calcs'!V25*8760</f>
        <v>0</v>
      </c>
      <c r="W190" s="9">
        <f ca="1">SUMIF('Tech Parameters'!$B$244:$B$269,$B190,'Tech Parameters'!AA$244:AA$269)*'Tech Parameters'!$H23*'Ref scen Calcs'!W25*8760</f>
        <v>0</v>
      </c>
      <c r="X190" s="9">
        <f ca="1">SUMIF('Tech Parameters'!$B$244:$B$269,$B190,'Tech Parameters'!AB$244:AB$269)*'Tech Parameters'!$H23*'Ref scen Calcs'!X25*8760</f>
        <v>0</v>
      </c>
      <c r="Y190" s="9">
        <f ca="1">SUMIF('Tech Parameters'!$B$244:$B$269,$B190,'Tech Parameters'!AC$244:AC$269)*'Tech Parameters'!$H23*'Ref scen Calcs'!Y25*8760</f>
        <v>0</v>
      </c>
      <c r="Z190" s="9">
        <f ca="1">SUMIF('Tech Parameters'!$B$244:$B$269,$B190,'Tech Parameters'!AD$244:AD$269)*'Tech Parameters'!$H23*'Ref scen Calcs'!Z25*8760</f>
        <v>0</v>
      </c>
      <c r="AA190" s="9">
        <f ca="1">SUMIF('Tech Parameters'!$B$244:$B$269,$B190,'Tech Parameters'!AE$244:AE$269)*'Tech Parameters'!$H23*'Ref scen Calcs'!AA25*8760</f>
        <v>0</v>
      </c>
      <c r="AB190" s="9">
        <f ca="1">SUMIF('Tech Parameters'!$B$244:$B$269,$B190,'Tech Parameters'!AF$244:AF$269)*'Tech Parameters'!$H23*'Ref scen Calcs'!AB25*8760</f>
        <v>0</v>
      </c>
      <c r="AC190" s="9">
        <f ca="1">SUMIF('Tech Parameters'!$B$244:$B$269,$B190,'Tech Parameters'!AG$244:AG$269)*'Tech Parameters'!$H23*'Ref scen Calcs'!AC25*8760</f>
        <v>0</v>
      </c>
      <c r="AD190" s="9"/>
      <c r="AE190" s="9"/>
      <c r="AF190" s="9"/>
      <c r="AG190" s="9"/>
      <c r="AH190" s="9"/>
      <c r="AI190" s="9"/>
      <c r="AJ190" s="9"/>
      <c r="AK190" s="9"/>
      <c r="AL190" s="9"/>
      <c r="AM190" s="9"/>
      <c r="AN190" s="9"/>
      <c r="AO190" s="9"/>
      <c r="AP190" s="9"/>
      <c r="AQ190" s="9"/>
      <c r="AR190" s="9"/>
      <c r="AS190" s="9"/>
      <c r="AT190" s="9"/>
      <c r="AU190" s="9"/>
      <c r="AV190" s="9"/>
      <c r="AW190" s="9"/>
      <c r="BA190" s="4"/>
      <c r="BL190" s="4"/>
    </row>
    <row r="191" spans="2:64">
      <c r="B191" t="str">
        <f>'Tech Parameters'!C24</f>
        <v>not used</v>
      </c>
      <c r="C191" t="str">
        <f>'Tech Parameters'!B24</f>
        <v>-</v>
      </c>
      <c r="D191" s="9">
        <f>SUMIF('Tech Parameters'!$B$244:$B$269,$B191,'Tech Parameters'!H$244:H$269)*'Tech Parameters'!$H24*'Ref scen Calcs'!D26*8760</f>
        <v>0</v>
      </c>
      <c r="E191" s="9">
        <f>SUMIF('Tech Parameters'!$B$244:$B$269,$B191,'Tech Parameters'!I$244:I$269)*'Tech Parameters'!$H24*'Ref scen Calcs'!E26*8760</f>
        <v>0</v>
      </c>
      <c r="F191" s="9">
        <f>SUMIF('Tech Parameters'!$B$244:$B$269,$B191,'Tech Parameters'!J$244:J$269)*'Tech Parameters'!$H24*'Ref scen Calcs'!F26*8760</f>
        <v>0</v>
      </c>
      <c r="G191" s="9">
        <f>SUMIF('Tech Parameters'!$B$244:$B$269,$B191,'Tech Parameters'!K$244:K$269)*'Tech Parameters'!$H24*'Ref scen Calcs'!G26*8760</f>
        <v>0</v>
      </c>
      <c r="H191" s="9">
        <f>SUMIF('Tech Parameters'!$B$244:$B$269,$B191,'Tech Parameters'!L$244:L$269)*'Tech Parameters'!$H24*'Ref scen Calcs'!H26*8760</f>
        <v>0</v>
      </c>
      <c r="I191" s="9">
        <f ca="1">SUMIF('Tech Parameters'!$B$244:$B$269,$B191,'Tech Parameters'!M$244:M$269)*'Tech Parameters'!$H24*'Ref scen Calcs'!I26*8760</f>
        <v>0</v>
      </c>
      <c r="J191" s="9">
        <f ca="1">SUMIF('Tech Parameters'!$B$244:$B$269,$B191,'Tech Parameters'!N$244:N$269)*'Tech Parameters'!$H24*'Ref scen Calcs'!J26*8760</f>
        <v>0</v>
      </c>
      <c r="K191" s="9">
        <f ca="1">SUMIF('Tech Parameters'!$B$244:$B$269,$B191,'Tech Parameters'!O$244:O$269)*'Tech Parameters'!$H24*'Ref scen Calcs'!K26*8760</f>
        <v>0</v>
      </c>
      <c r="L191" s="9">
        <f ca="1">SUMIF('Tech Parameters'!$B$244:$B$269,$B191,'Tech Parameters'!P$244:P$269)*'Tech Parameters'!$H24*'Ref scen Calcs'!L26*8760</f>
        <v>0</v>
      </c>
      <c r="M191" s="9">
        <f ca="1">SUMIF('Tech Parameters'!$B$244:$B$269,$B191,'Tech Parameters'!Q$244:Q$269)*'Tech Parameters'!$H24*'Ref scen Calcs'!M26*8760</f>
        <v>0</v>
      </c>
      <c r="N191" s="9">
        <f ca="1">SUMIF('Tech Parameters'!$B$244:$B$269,$B191,'Tech Parameters'!R$244:R$269)*'Tech Parameters'!$H24*'Ref scen Calcs'!N26*8760</f>
        <v>0</v>
      </c>
      <c r="O191" s="9">
        <f ca="1">SUMIF('Tech Parameters'!$B$244:$B$269,$B191,'Tech Parameters'!S$244:S$269)*'Tech Parameters'!$H24*'Ref scen Calcs'!O26*8760</f>
        <v>0</v>
      </c>
      <c r="P191" s="9">
        <f ca="1">SUMIF('Tech Parameters'!$B$244:$B$269,$B191,'Tech Parameters'!T$244:T$269)*'Tech Parameters'!$H24*'Ref scen Calcs'!P26*8760</f>
        <v>0</v>
      </c>
      <c r="Q191" s="9">
        <f ca="1">SUMIF('Tech Parameters'!$B$244:$B$269,$B191,'Tech Parameters'!U$244:U$269)*'Tech Parameters'!$H24*'Ref scen Calcs'!Q26*8760</f>
        <v>0</v>
      </c>
      <c r="R191" s="9">
        <f ca="1">SUMIF('Tech Parameters'!$B$244:$B$269,$B191,'Tech Parameters'!V$244:V$269)*'Tech Parameters'!$H24*'Ref scen Calcs'!R26*8760</f>
        <v>0</v>
      </c>
      <c r="S191" s="9">
        <f ca="1">SUMIF('Tech Parameters'!$B$244:$B$269,$B191,'Tech Parameters'!W$244:W$269)*'Tech Parameters'!$H24*'Ref scen Calcs'!S26*8760</f>
        <v>0</v>
      </c>
      <c r="T191" s="9">
        <f ca="1">SUMIF('Tech Parameters'!$B$244:$B$269,$B191,'Tech Parameters'!X$244:X$269)*'Tech Parameters'!$H24*'Ref scen Calcs'!T26*8760</f>
        <v>0</v>
      </c>
      <c r="U191" s="9">
        <f ca="1">SUMIF('Tech Parameters'!$B$244:$B$269,$B191,'Tech Parameters'!Y$244:Y$269)*'Tech Parameters'!$H24*'Ref scen Calcs'!U26*8760</f>
        <v>0</v>
      </c>
      <c r="V191" s="9">
        <f ca="1">SUMIF('Tech Parameters'!$B$244:$B$269,$B191,'Tech Parameters'!Z$244:Z$269)*'Tech Parameters'!$H24*'Ref scen Calcs'!V26*8760</f>
        <v>0</v>
      </c>
      <c r="W191" s="9">
        <f ca="1">SUMIF('Tech Parameters'!$B$244:$B$269,$B191,'Tech Parameters'!AA$244:AA$269)*'Tech Parameters'!$H24*'Ref scen Calcs'!W26*8760</f>
        <v>0</v>
      </c>
      <c r="X191" s="9">
        <f ca="1">SUMIF('Tech Parameters'!$B$244:$B$269,$B191,'Tech Parameters'!AB$244:AB$269)*'Tech Parameters'!$H24*'Ref scen Calcs'!X26*8760</f>
        <v>0</v>
      </c>
      <c r="Y191" s="9">
        <f ca="1">SUMIF('Tech Parameters'!$B$244:$B$269,$B191,'Tech Parameters'!AC$244:AC$269)*'Tech Parameters'!$H24*'Ref scen Calcs'!Y26*8760</f>
        <v>0</v>
      </c>
      <c r="Z191" s="9">
        <f ca="1">SUMIF('Tech Parameters'!$B$244:$B$269,$B191,'Tech Parameters'!AD$244:AD$269)*'Tech Parameters'!$H24*'Ref scen Calcs'!Z26*8760</f>
        <v>0</v>
      </c>
      <c r="AA191" s="9">
        <f ca="1">SUMIF('Tech Parameters'!$B$244:$B$269,$B191,'Tech Parameters'!AE$244:AE$269)*'Tech Parameters'!$H24*'Ref scen Calcs'!AA26*8760</f>
        <v>0</v>
      </c>
      <c r="AB191" s="9">
        <f ca="1">SUMIF('Tech Parameters'!$B$244:$B$269,$B191,'Tech Parameters'!AF$244:AF$269)*'Tech Parameters'!$H24*'Ref scen Calcs'!AB26*8760</f>
        <v>0</v>
      </c>
      <c r="AC191" s="9">
        <f ca="1">SUMIF('Tech Parameters'!$B$244:$B$269,$B191,'Tech Parameters'!AG$244:AG$269)*'Tech Parameters'!$H24*'Ref scen Calcs'!AC26*8760</f>
        <v>0</v>
      </c>
      <c r="AD191" s="9"/>
      <c r="AE191" s="9"/>
      <c r="AF191" s="9"/>
      <c r="AG191" s="9"/>
      <c r="AH191" s="9"/>
      <c r="AI191" s="9"/>
      <c r="AJ191" s="9"/>
      <c r="AK191" s="9"/>
      <c r="AL191" s="9"/>
      <c r="AM191" s="9"/>
      <c r="AN191" s="9"/>
      <c r="AO191" s="9"/>
      <c r="AP191" s="9"/>
      <c r="AQ191" s="9"/>
      <c r="AR191" s="9"/>
      <c r="AS191" s="9"/>
      <c r="AT191" s="9"/>
      <c r="AU191" s="9"/>
      <c r="AV191" s="9"/>
      <c r="AW191" s="9"/>
      <c r="BA191" s="4"/>
      <c r="BL191" s="4"/>
    </row>
    <row r="192" spans="2:64">
      <c r="B192" t="str">
        <f>'Tech Parameters'!C25</f>
        <v>Pumped Storage</v>
      </c>
      <c r="C192" t="str">
        <f>'Tech Parameters'!B25</f>
        <v>Pumped storage</v>
      </c>
      <c r="D192" s="9">
        <f>SUMIF('Tech Parameters'!$B$244:$B$269,$B192,'Tech Parameters'!H$244:H$269)*'Tech Parameters'!$H25*'Ref scen Calcs'!D27*8760</f>
        <v>3096.0000000000005</v>
      </c>
      <c r="E192" s="9">
        <f>SUMIF('Tech Parameters'!$B$244:$B$269,$B192,'Tech Parameters'!I$244:I$269)*'Tech Parameters'!$H25*'Ref scen Calcs'!E27*8760</f>
        <v>3096.0000000000005</v>
      </c>
      <c r="F192" s="9">
        <f>SUMIF('Tech Parameters'!$B$244:$B$269,$B192,'Tech Parameters'!J$244:J$269)*'Tech Parameters'!$H25*'Ref scen Calcs'!F27*8760</f>
        <v>3096.0000000000005</v>
      </c>
      <c r="G192" s="9">
        <f>SUMIF('Tech Parameters'!$B$244:$B$269,$B192,'Tech Parameters'!K$244:K$269)*'Tech Parameters'!$H25*'Ref scen Calcs'!G27*8760</f>
        <v>3096.0000000000005</v>
      </c>
      <c r="H192" s="9">
        <f>SUMIF('Tech Parameters'!$B$244:$B$269,$B192,'Tech Parameters'!L$244:L$269)*'Tech Parameters'!$H25*'Ref scen Calcs'!H27*8760</f>
        <v>3096.0000000000005</v>
      </c>
      <c r="I192" s="9">
        <f ca="1">SUMIF('Tech Parameters'!$B$244:$B$269,$B192,'Tech Parameters'!M$244:M$269)*'Tech Parameters'!$H25*'Ref scen Calcs'!I27*8760</f>
        <v>3096.0000000000005</v>
      </c>
      <c r="J192" s="9">
        <f ca="1">SUMIF('Tech Parameters'!$B$244:$B$269,$B192,'Tech Parameters'!N$244:N$269)*'Tech Parameters'!$H25*'Ref scen Calcs'!J27*8760</f>
        <v>3096.0000000000005</v>
      </c>
      <c r="K192" s="9">
        <f ca="1">SUMIF('Tech Parameters'!$B$244:$B$269,$B192,'Tech Parameters'!O$244:O$269)*'Tech Parameters'!$H25*'Ref scen Calcs'!K27*8760</f>
        <v>3096.0000000000005</v>
      </c>
      <c r="L192" s="9">
        <f ca="1">SUMIF('Tech Parameters'!$B$244:$B$269,$B192,'Tech Parameters'!P$244:P$269)*'Tech Parameters'!$H25*'Ref scen Calcs'!L27*8760</f>
        <v>4401.0227848101276</v>
      </c>
      <c r="M192" s="9">
        <f ca="1">SUMIF('Tech Parameters'!$B$244:$B$269,$B192,'Tech Parameters'!Q$244:Q$269)*'Tech Parameters'!$H25*'Ref scen Calcs'!M27*8760</f>
        <v>5706.0455696202544</v>
      </c>
      <c r="N192" s="9">
        <f ca="1">SUMIF('Tech Parameters'!$B$244:$B$269,$B192,'Tech Parameters'!R$244:R$269)*'Tech Parameters'!$H25*'Ref scen Calcs'!N27*8760</f>
        <v>5706.0455696202544</v>
      </c>
      <c r="O192" s="9">
        <f ca="1">SUMIF('Tech Parameters'!$B$244:$B$269,$B192,'Tech Parameters'!S$244:S$269)*'Tech Parameters'!$H25*'Ref scen Calcs'!O27*8760</f>
        <v>5706.0455696202544</v>
      </c>
      <c r="P192" s="9">
        <f ca="1">SUMIF('Tech Parameters'!$B$244:$B$269,$B192,'Tech Parameters'!T$244:T$269)*'Tech Parameters'!$H25*'Ref scen Calcs'!P27*8760</f>
        <v>5706.0455696202544</v>
      </c>
      <c r="Q192" s="9">
        <f ca="1">SUMIF('Tech Parameters'!$B$244:$B$269,$B192,'Tech Parameters'!U$244:U$269)*'Tech Parameters'!$H25*'Ref scen Calcs'!Q27*8760</f>
        <v>5706.0455696202544</v>
      </c>
      <c r="R192" s="9">
        <f ca="1">SUMIF('Tech Parameters'!$B$244:$B$269,$B192,'Tech Parameters'!V$244:V$269)*'Tech Parameters'!$H25*'Ref scen Calcs'!R27*8760</f>
        <v>5706.0455696202544</v>
      </c>
      <c r="S192" s="9">
        <f ca="1">SUMIF('Tech Parameters'!$B$244:$B$269,$B192,'Tech Parameters'!W$244:W$269)*'Tech Parameters'!$H25*'Ref scen Calcs'!S27*8760</f>
        <v>5706.0455696202544</v>
      </c>
      <c r="T192" s="9">
        <f ca="1">SUMIF('Tech Parameters'!$B$244:$B$269,$B192,'Tech Parameters'!X$244:X$269)*'Tech Parameters'!$H25*'Ref scen Calcs'!T27*8760</f>
        <v>5706.0455696202544</v>
      </c>
      <c r="U192" s="9">
        <f ca="1">SUMIF('Tech Parameters'!$B$244:$B$269,$B192,'Tech Parameters'!Y$244:Y$269)*'Tech Parameters'!$H25*'Ref scen Calcs'!U27*8760</f>
        <v>5706.0455696202544</v>
      </c>
      <c r="V192" s="9">
        <f ca="1">SUMIF('Tech Parameters'!$B$244:$B$269,$B192,'Tech Parameters'!Z$244:Z$269)*'Tech Parameters'!$H25*'Ref scen Calcs'!V27*8760</f>
        <v>5706.0455696202544</v>
      </c>
      <c r="W192" s="9">
        <f ca="1">SUMIF('Tech Parameters'!$B$244:$B$269,$B192,'Tech Parameters'!AA$244:AA$269)*'Tech Parameters'!$H25*'Ref scen Calcs'!W27*8760</f>
        <v>5706.0455696202544</v>
      </c>
      <c r="X192" s="9">
        <f ca="1">SUMIF('Tech Parameters'!$B$244:$B$269,$B192,'Tech Parameters'!AB$244:AB$269)*'Tech Parameters'!$H25*'Ref scen Calcs'!X27*8760</f>
        <v>5706.0455696202544</v>
      </c>
      <c r="Y192" s="9">
        <f ca="1">SUMIF('Tech Parameters'!$B$244:$B$269,$B192,'Tech Parameters'!AC$244:AC$269)*'Tech Parameters'!$H25*'Ref scen Calcs'!Y27*8760</f>
        <v>5706.0455696202544</v>
      </c>
      <c r="Z192" s="9">
        <f ca="1">SUMIF('Tech Parameters'!$B$244:$B$269,$B192,'Tech Parameters'!AD$244:AD$269)*'Tech Parameters'!$H25*'Ref scen Calcs'!Z27*8760</f>
        <v>5706.0455696202544</v>
      </c>
      <c r="AA192" s="9">
        <f ca="1">SUMIF('Tech Parameters'!$B$244:$B$269,$B192,'Tech Parameters'!AE$244:AE$269)*'Tech Parameters'!$H25*'Ref scen Calcs'!AA27*8760</f>
        <v>5706.0455696202544</v>
      </c>
      <c r="AB192" s="9">
        <f ca="1">SUMIF('Tech Parameters'!$B$244:$B$269,$B192,'Tech Parameters'!AF$244:AF$269)*'Tech Parameters'!$H25*'Ref scen Calcs'!AB27*8760</f>
        <v>5706.0455696202544</v>
      </c>
      <c r="AC192" s="9">
        <f ca="1">SUMIF('Tech Parameters'!$B$244:$B$269,$B192,'Tech Parameters'!AG$244:AG$269)*'Tech Parameters'!$H25*'Ref scen Calcs'!AC27*8760</f>
        <v>5706.0455696202544</v>
      </c>
      <c r="AD192" s="9"/>
      <c r="AE192" s="9"/>
      <c r="AF192" s="9"/>
      <c r="AG192" s="9"/>
      <c r="AH192" s="9"/>
      <c r="AI192" s="9"/>
      <c r="AJ192" s="9"/>
      <c r="AK192" s="9"/>
      <c r="AL192" s="9"/>
      <c r="AM192" s="9"/>
      <c r="AN192" s="9"/>
      <c r="AO192" s="9"/>
      <c r="AP192" s="9"/>
      <c r="AQ192" s="9"/>
      <c r="AR192" s="9"/>
      <c r="AS192" s="9"/>
      <c r="AT192" s="9"/>
      <c r="AU192" s="9"/>
      <c r="AV192" s="9"/>
      <c r="AW192" s="9"/>
      <c r="BA192" s="4"/>
      <c r="BL192" s="4"/>
    </row>
    <row r="193" spans="2:64">
      <c r="D193" s="9"/>
      <c r="E193" s="9"/>
      <c r="F193" s="9"/>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BA193" s="4"/>
      <c r="BL193" s="4"/>
    </row>
    <row r="194" spans="2:64">
      <c r="C194" s="4" t="s">
        <v>701</v>
      </c>
      <c r="D194" s="9"/>
      <c r="E194" s="9"/>
      <c r="F194" s="9"/>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BA194" s="4"/>
      <c r="BL194" s="4"/>
    </row>
    <row r="195" spans="2:64">
      <c r="B195" t="str">
        <f>'Tech Parameters'!C6</f>
        <v>Existing coal large</v>
      </c>
      <c r="C195" t="str">
        <f>'Tech Parameters'!B6</f>
        <v>Existing coal Large</v>
      </c>
      <c r="D195" s="9">
        <f>SUMIF('Tech Parameters'!$B$273:$B$298,$B173,'Tech Parameters'!H$273:H$298)*'Tech Parameters'!$H6*'Ref scen Calcs'!D8*8760-D173</f>
        <v>162665.33464087764</v>
      </c>
      <c r="E195" s="9">
        <f>SUMIF('Tech Parameters'!$B$273:$B$298,$B173,'Tech Parameters'!I$273:I$298)*'Tech Parameters'!$H6*'Ref scen Calcs'!E8*8760-E173</f>
        <v>162665.33464087764</v>
      </c>
      <c r="F195" s="9">
        <f>SUMIF('Tech Parameters'!$B$273:$B$298,$B173,'Tech Parameters'!J$273:J$298)*'Tech Parameters'!$H6*'Ref scen Calcs'!F8*8760-F173</f>
        <v>162665.33464087764</v>
      </c>
      <c r="G195" s="9">
        <f>SUMIF('Tech Parameters'!$B$273:$B$298,$B173,'Tech Parameters'!K$273:K$298)*'Tech Parameters'!$H6*'Ref scen Calcs'!G8*8760-G173</f>
        <v>162665.33464087764</v>
      </c>
      <c r="H195" s="9">
        <f>SUMIF('Tech Parameters'!$B$273:$B$298,$B173,'Tech Parameters'!L$273:L$298)*'Tech Parameters'!$H6*'Ref scen Calcs'!H8*8760-H173</f>
        <v>162665.33464087764</v>
      </c>
      <c r="I195" s="9">
        <f ca="1">SUMIF('Tech Parameters'!$B$273:$B$298,$B173,'Tech Parameters'!M$273:M$298)*'Tech Parameters'!$H6*'Ref scen Calcs'!I8*8760-I173</f>
        <v>162665.33464087764</v>
      </c>
      <c r="J195" s="9">
        <f ca="1">SUMIF('Tech Parameters'!$B$273:$B$298,$B173,'Tech Parameters'!N$273:N$298)*'Tech Parameters'!$H6*'Ref scen Calcs'!J8*8760-J173</f>
        <v>162665.33464087764</v>
      </c>
      <c r="K195" s="9">
        <f ca="1">SUMIF('Tech Parameters'!$B$273:$B$298,$B173,'Tech Parameters'!O$273:O$298)*'Tech Parameters'!$H6*'Ref scen Calcs'!K8*8760-K173</f>
        <v>162665.33464087764</v>
      </c>
      <c r="L195" s="9">
        <f ca="1">SUMIF('Tech Parameters'!$B$273:$B$298,$B173,'Tech Parameters'!P$273:P$298)*'Tech Parameters'!$H6*'Ref scen Calcs'!L8*8760-L173</f>
        <v>162665.33464087764</v>
      </c>
      <c r="M195" s="9">
        <f ca="1">SUMIF('Tech Parameters'!$B$273:$B$298,$B173,'Tech Parameters'!Q$273:Q$298)*'Tech Parameters'!$H6*'Ref scen Calcs'!M8*8760-M173</f>
        <v>162665.33464087764</v>
      </c>
      <c r="N195" s="9">
        <f ca="1">SUMIF('Tech Parameters'!$B$273:$B$298,$B173,'Tech Parameters'!R$273:R$298)*'Tech Parameters'!$H6*'Ref scen Calcs'!N8*8760-N173</f>
        <v>162665.33464087764</v>
      </c>
      <c r="O195" s="9">
        <f ca="1">SUMIF('Tech Parameters'!$B$273:$B$298,$B173,'Tech Parameters'!S$273:S$298)*'Tech Parameters'!$H6*'Ref scen Calcs'!O8*8760-O173</f>
        <v>162665.33464087764</v>
      </c>
      <c r="P195" s="9">
        <f ca="1">SUMIF('Tech Parameters'!$B$273:$B$298,$B173,'Tech Parameters'!T$273:T$298)*'Tech Parameters'!$H6*'Ref scen Calcs'!P8*8760-P173</f>
        <v>162665.33464087764</v>
      </c>
      <c r="Q195" s="9">
        <f ca="1">SUMIF('Tech Parameters'!$B$273:$B$298,$B173,'Tech Parameters'!U$273:U$298)*'Tech Parameters'!$H6*'Ref scen Calcs'!Q8*8760-Q173</f>
        <v>162665.33464087764</v>
      </c>
      <c r="R195" s="9">
        <f ca="1">SUMIF('Tech Parameters'!$B$273:$B$298,$B173,'Tech Parameters'!V$273:V$298)*'Tech Parameters'!$H6*'Ref scen Calcs'!R8*8760-R173</f>
        <v>162665.33464087764</v>
      </c>
      <c r="S195" s="9">
        <f ca="1">SUMIF('Tech Parameters'!$B$273:$B$298,$B173,'Tech Parameters'!W$273:W$298)*'Tech Parameters'!$H6*'Ref scen Calcs'!S8*8760-S173</f>
        <v>162665.33464087764</v>
      </c>
      <c r="T195" s="9">
        <f ca="1">SUMIF('Tech Parameters'!$B$273:$B$298,$B173,'Tech Parameters'!X$273:X$298)*'Tech Parameters'!$H6*'Ref scen Calcs'!T8*8760-T173</f>
        <v>162665.33464087764</v>
      </c>
      <c r="U195" s="9">
        <f ca="1">SUMIF('Tech Parameters'!$B$273:$B$298,$B173,'Tech Parameters'!Y$273:Y$298)*'Tech Parameters'!$H6*'Ref scen Calcs'!U8*8760-U173</f>
        <v>162665.33464087764</v>
      </c>
      <c r="V195" s="9">
        <f ca="1">SUMIF('Tech Parameters'!$B$273:$B$298,$B173,'Tech Parameters'!Z$273:Z$298)*'Tech Parameters'!$H6*'Ref scen Calcs'!V8*8760-V173</f>
        <v>162665.33464087764</v>
      </c>
      <c r="W195" s="9">
        <f ca="1">SUMIF('Tech Parameters'!$B$273:$B$298,$B173,'Tech Parameters'!AA$273:AA$298)*'Tech Parameters'!$H6*'Ref scen Calcs'!W8*8760-W173</f>
        <v>156579.59798994398</v>
      </c>
      <c r="X195" s="9">
        <f ca="1">SUMIF('Tech Parameters'!$B$273:$B$298,$B173,'Tech Parameters'!AB$273:AB$298)*'Tech Parameters'!$H6*'Ref scen Calcs'!X8*8760-X173</f>
        <v>150493.8613390103</v>
      </c>
      <c r="Y195" s="9">
        <f ca="1">SUMIF('Tech Parameters'!$B$273:$B$298,$B173,'Tech Parameters'!AC$273:AC$298)*'Tech Parameters'!$H6*'Ref scen Calcs'!Y8*8760-Y173</f>
        <v>142886.69052534318</v>
      </c>
      <c r="Z195" s="9">
        <f ca="1">SUMIF('Tech Parameters'!$B$273:$B$298,$B173,'Tech Parameters'!AD$273:AD$298)*'Tech Parameters'!$H6*'Ref scen Calcs'!Z8*8760-Z173</f>
        <v>135279.51971167602</v>
      </c>
      <c r="AA195" s="9">
        <f ca="1">SUMIF('Tech Parameters'!$B$273:$B$298,$B173,'Tech Parameters'!AE$273:AE$298)*'Tech Parameters'!$H6*'Ref scen Calcs'!AA8*8760-AA173</f>
        <v>126070.83925302638</v>
      </c>
      <c r="AB195" s="9">
        <f ca="1">SUMIF('Tech Parameters'!$B$273:$B$298,$B173,'Tech Parameters'!AF$273:AF$298)*'Tech Parameters'!$H6*'Ref scen Calcs'!AB8*8760-AB173</f>
        <v>107653.47833572706</v>
      </c>
      <c r="AC195" s="9">
        <f ca="1">SUMIF('Tech Parameters'!$B$273:$B$298,$B173,'Tech Parameters'!AG$273:AG$298)*'Tech Parameters'!$H6*'Ref scen Calcs'!AC8*8760-AC173</f>
        <v>98444.797877077363</v>
      </c>
      <c r="AD195" s="9"/>
      <c r="AE195" s="9"/>
      <c r="AF195" s="9"/>
      <c r="AG195" s="9"/>
      <c r="AH195" s="9"/>
      <c r="AI195" s="9"/>
      <c r="AJ195" s="9"/>
      <c r="AK195" s="9"/>
      <c r="AL195" s="9"/>
      <c r="AM195" s="9"/>
      <c r="AN195" s="9"/>
      <c r="AO195" s="9"/>
      <c r="AP195" s="9"/>
      <c r="AQ195" s="9"/>
      <c r="AR195" s="9"/>
      <c r="AS195" s="9"/>
      <c r="AT195" s="9"/>
      <c r="AU195" s="9"/>
      <c r="AV195" s="9"/>
      <c r="AW195" s="9"/>
      <c r="BA195" s="4"/>
      <c r="BL195" s="4"/>
    </row>
    <row r="196" spans="2:64">
      <c r="B196" t="str">
        <f>'Tech Parameters'!C7</f>
        <v>Existing coal small</v>
      </c>
      <c r="C196" t="str">
        <f>'Tech Parameters'!B7</f>
        <v>Existing coal Small</v>
      </c>
      <c r="D196" s="9">
        <f>SUMIF('Tech Parameters'!$B$273:$B$298,$B174,'Tech Parameters'!H$273:H$298)*'Tech Parameters'!$H7*'Ref scen Calcs'!D9*8760-D174</f>
        <v>26789.252120403748</v>
      </c>
      <c r="E196" s="9">
        <f>SUMIF('Tech Parameters'!$B$273:$B$298,$B174,'Tech Parameters'!I$273:I$298)*'Tech Parameters'!$H7*'Ref scen Calcs'!E9*8760-E174</f>
        <v>26789.252120403748</v>
      </c>
      <c r="F196" s="9">
        <f>SUMIF('Tech Parameters'!$B$273:$B$298,$B174,'Tech Parameters'!J$273:J$298)*'Tech Parameters'!$H7*'Ref scen Calcs'!F9*8760-F174</f>
        <v>26789.252120403748</v>
      </c>
      <c r="G196" s="9">
        <f>SUMIF('Tech Parameters'!$B$273:$B$298,$B174,'Tech Parameters'!K$273:K$298)*'Tech Parameters'!$H7*'Ref scen Calcs'!G9*8760-G174</f>
        <v>26789.252120403748</v>
      </c>
      <c r="H196" s="9">
        <f>SUMIF('Tech Parameters'!$B$273:$B$298,$B174,'Tech Parameters'!L$273:L$298)*'Tech Parameters'!$H7*'Ref scen Calcs'!H9*8760-H174</f>
        <v>26789.252120403748</v>
      </c>
      <c r="I196" s="9">
        <f ca="1">SUMIF('Tech Parameters'!$B$273:$B$298,$B174,'Tech Parameters'!M$273:M$298)*'Tech Parameters'!$H7*'Ref scen Calcs'!I9*8760-I174</f>
        <v>30156.12050691207</v>
      </c>
      <c r="J196" s="9">
        <f ca="1">SUMIF('Tech Parameters'!$B$273:$B$298,$B174,'Tech Parameters'!N$273:N$298)*'Tech Parameters'!$H7*'Ref scen Calcs'!J9*8760-J174</f>
        <v>32147.650269941878</v>
      </c>
      <c r="K196" s="9">
        <f ca="1">SUMIF('Tech Parameters'!$B$273:$B$298,$B174,'Tech Parameters'!O$273:O$298)*'Tech Parameters'!$H7*'Ref scen Calcs'!K9*8760-K174</f>
        <v>32147.650269941878</v>
      </c>
      <c r="L196" s="9">
        <f ca="1">SUMIF('Tech Parameters'!$B$273:$B$298,$B174,'Tech Parameters'!P$273:P$298)*'Tech Parameters'!$H7*'Ref scen Calcs'!L9*8760-L174</f>
        <v>32147.650269941878</v>
      </c>
      <c r="M196" s="9">
        <f ca="1">SUMIF('Tech Parameters'!$B$273:$B$298,$B174,'Tech Parameters'!Q$273:Q$298)*'Tech Parameters'!$H7*'Ref scen Calcs'!M9*8760-M174</f>
        <v>32147.650269941878</v>
      </c>
      <c r="N196" s="9">
        <f ca="1">SUMIF('Tech Parameters'!$B$273:$B$298,$B174,'Tech Parameters'!R$273:R$298)*'Tech Parameters'!$H7*'Ref scen Calcs'!N9*8760-N174</f>
        <v>32147.650269941878</v>
      </c>
      <c r="O196" s="9">
        <f ca="1">SUMIF('Tech Parameters'!$B$273:$B$298,$B174,'Tech Parameters'!S$273:S$298)*'Tech Parameters'!$H7*'Ref scen Calcs'!O9*8760-O174</f>
        <v>31962.792928076487</v>
      </c>
      <c r="P196" s="9">
        <f ca="1">SUMIF('Tech Parameters'!$B$273:$B$298,$B174,'Tech Parameters'!T$273:T$298)*'Tech Parameters'!$H7*'Ref scen Calcs'!P9*8760-P174</f>
        <v>31777.935586211097</v>
      </c>
      <c r="Q196" s="9">
        <f ca="1">SUMIF('Tech Parameters'!$B$273:$B$298,$B174,'Tech Parameters'!U$273:U$298)*'Tech Parameters'!$H7*'Ref scen Calcs'!Q9*8760-Q174</f>
        <v>31531.459130390576</v>
      </c>
      <c r="R196" s="9">
        <f ca="1">SUMIF('Tech Parameters'!$B$273:$B$298,$B174,'Tech Parameters'!V$273:V$298)*'Tech Parameters'!$H7*'Ref scen Calcs'!R9*8760-R174</f>
        <v>31284.982674570063</v>
      </c>
      <c r="S196" s="9">
        <f ca="1">SUMIF('Tech Parameters'!$B$273:$B$298,$B174,'Tech Parameters'!W$273:W$298)*'Tech Parameters'!$H7*'Ref scen Calcs'!S9*8760-S174</f>
        <v>26601.930013980156</v>
      </c>
      <c r="T196" s="9">
        <f ca="1">SUMIF('Tech Parameters'!$B$273:$B$298,$B174,'Tech Parameters'!X$273:X$298)*'Tech Parameters'!$H7*'Ref scen Calcs'!T9*8760-T174</f>
        <v>21918.877353390257</v>
      </c>
      <c r="U196" s="9">
        <f ca="1">SUMIF('Tech Parameters'!$B$273:$B$298,$B174,'Tech Parameters'!Y$273:Y$298)*'Tech Parameters'!$H7*'Ref scen Calcs'!U9*8760-U174</f>
        <v>21918.877353390257</v>
      </c>
      <c r="V196" s="9">
        <f ca="1">SUMIF('Tech Parameters'!$B$273:$B$298,$B174,'Tech Parameters'!Z$273:Z$298)*'Tech Parameters'!$H7*'Ref scen Calcs'!V9*8760-V174</f>
        <v>21918.877353390257</v>
      </c>
      <c r="W196" s="9">
        <f ca="1">SUMIF('Tech Parameters'!$B$273:$B$298,$B174,'Tech Parameters'!AA$273:AA$298)*'Tech Parameters'!$H7*'Ref scen Calcs'!W9*8760-W174</f>
        <v>21918.877353390257</v>
      </c>
      <c r="X196" s="9">
        <f ca="1">SUMIF('Tech Parameters'!$B$273:$B$298,$B174,'Tech Parameters'!AB$273:AB$298)*'Tech Parameters'!$H7*'Ref scen Calcs'!X9*8760-X174</f>
        <v>19761.112914045938</v>
      </c>
      <c r="Y196" s="9">
        <f ca="1">SUMIF('Tech Parameters'!$B$273:$B$298,$B174,'Tech Parameters'!AC$273:AC$298)*'Tech Parameters'!$H7*'Ref scen Calcs'!Y9*8760-Y174</f>
        <v>17603.348474701619</v>
      </c>
      <c r="Z196" s="9">
        <f ca="1">SUMIF('Tech Parameters'!$B$273:$B$298,$B174,'Tech Parameters'!AD$273:AD$298)*'Tech Parameters'!$H7*'Ref scen Calcs'!Z9*8760-Z174</f>
        <v>17603.348474701619</v>
      </c>
      <c r="AA196" s="9">
        <f ca="1">SUMIF('Tech Parameters'!$B$273:$B$298,$B174,'Tech Parameters'!AE$273:AE$298)*'Tech Parameters'!$H7*'Ref scen Calcs'!AA9*8760-AA174</f>
        <v>17603.348474701619</v>
      </c>
      <c r="AB196" s="9">
        <f ca="1">SUMIF('Tech Parameters'!$B$273:$B$298,$B174,'Tech Parameters'!AF$273:AF$298)*'Tech Parameters'!$H7*'Ref scen Calcs'!AB9*8760-AB174</f>
        <v>17603.348474701619</v>
      </c>
      <c r="AC196" s="9">
        <f ca="1">SUMIF('Tech Parameters'!$B$273:$B$298,$B174,'Tech Parameters'!AG$273:AG$298)*'Tech Parameters'!$H7*'Ref scen Calcs'!AC9*8760-AC174</f>
        <v>17603.348474701619</v>
      </c>
      <c r="AD196" s="9"/>
      <c r="AE196" s="9"/>
      <c r="AF196" s="9"/>
      <c r="AG196" s="9"/>
      <c r="AH196" s="9"/>
      <c r="AI196" s="9"/>
      <c r="AJ196" s="9"/>
      <c r="AK196" s="9"/>
      <c r="AL196" s="9"/>
      <c r="AM196" s="9"/>
      <c r="AN196" s="9"/>
      <c r="AO196" s="9"/>
      <c r="AP196" s="9"/>
      <c r="AQ196" s="9"/>
      <c r="AR196" s="9"/>
      <c r="AS196" s="9"/>
      <c r="AT196" s="9"/>
      <c r="AU196" s="9"/>
      <c r="AV196" s="9"/>
      <c r="AW196" s="9"/>
      <c r="BA196" s="4"/>
      <c r="BL196" s="4"/>
    </row>
    <row r="197" spans="2:64">
      <c r="B197" t="str">
        <f>'Tech Parameters'!C8</f>
        <v>Open-Cycle Gas Turbine diesel</v>
      </c>
      <c r="C197" t="str">
        <f>'Tech Parameters'!B8</f>
        <v>OCGT liquid fuels</v>
      </c>
      <c r="D197" s="9">
        <f>SUMIF('Tech Parameters'!$B$273:$B$298,$B175,'Tech Parameters'!H$273:H$298)*'Tech Parameters'!$H8*'Ref scen Calcs'!D10*8760-D175</f>
        <v>912.47907878399997</v>
      </c>
      <c r="E197" s="9">
        <f>SUMIF('Tech Parameters'!$B$273:$B$298,$B175,'Tech Parameters'!I$273:I$298)*'Tech Parameters'!$H8*'Ref scen Calcs'!E10*8760-E175</f>
        <v>912.47907878399997</v>
      </c>
      <c r="F197" s="9">
        <f>SUMIF('Tech Parameters'!$B$273:$B$298,$B175,'Tech Parameters'!J$273:J$298)*'Tech Parameters'!$H8*'Ref scen Calcs'!F10*8760-F175</f>
        <v>912.47907878399997</v>
      </c>
      <c r="G197" s="9">
        <f>SUMIF('Tech Parameters'!$B$273:$B$298,$B175,'Tech Parameters'!K$273:K$298)*'Tech Parameters'!$H8*'Ref scen Calcs'!G10*8760-G175</f>
        <v>912.47907878399997</v>
      </c>
      <c r="H197" s="9">
        <f>SUMIF('Tech Parameters'!$B$273:$B$298,$B175,'Tech Parameters'!L$273:L$298)*'Tech Parameters'!$H8*'Ref scen Calcs'!H10*8760-H175</f>
        <v>912.47907878399997</v>
      </c>
      <c r="I197" s="9">
        <f ca="1">SUMIF('Tech Parameters'!$B$273:$B$298,$B175,'Tech Parameters'!M$273:M$298)*'Tech Parameters'!$H8*'Ref scen Calcs'!I10*8760-I175</f>
        <v>912.47907878399997</v>
      </c>
      <c r="J197" s="9">
        <f ca="1">SUMIF('Tech Parameters'!$B$273:$B$298,$B175,'Tech Parameters'!N$273:N$298)*'Tech Parameters'!$H8*'Ref scen Calcs'!J10*8760-J175</f>
        <v>1323.0946642368001</v>
      </c>
      <c r="K197" s="9">
        <f ca="1">SUMIF('Tech Parameters'!$B$273:$B$298,$B175,'Tech Parameters'!O$273:O$298)*'Tech Parameters'!$H8*'Ref scen Calcs'!K10*8760-K175</f>
        <v>1323.0946642368001</v>
      </c>
      <c r="L197" s="9">
        <f ca="1">SUMIF('Tech Parameters'!$B$273:$B$298,$B175,'Tech Parameters'!P$273:P$298)*'Tech Parameters'!$H8*'Ref scen Calcs'!L10*8760-L175</f>
        <v>1323.0946642368001</v>
      </c>
      <c r="M197" s="9">
        <f ca="1">SUMIF('Tech Parameters'!$B$273:$B$298,$B175,'Tech Parameters'!Q$273:Q$298)*'Tech Parameters'!$H8*'Ref scen Calcs'!M10*8760-M175</f>
        <v>1323.0946642368001</v>
      </c>
      <c r="N197" s="9">
        <f ca="1">SUMIF('Tech Parameters'!$B$273:$B$298,$B175,'Tech Parameters'!R$273:R$298)*'Tech Parameters'!$H8*'Ref scen Calcs'!N10*8760-N175</f>
        <v>1323.0946642368001</v>
      </c>
      <c r="O197" s="9">
        <f ca="1">SUMIF('Tech Parameters'!$B$273:$B$298,$B175,'Tech Parameters'!S$273:S$298)*'Tech Parameters'!$H8*'Ref scen Calcs'!O10*8760-O175</f>
        <v>1323.0946642368001</v>
      </c>
      <c r="P197" s="9">
        <f ca="1">SUMIF('Tech Parameters'!$B$273:$B$298,$B175,'Tech Parameters'!T$273:T$298)*'Tech Parameters'!$H8*'Ref scen Calcs'!P10*8760-P175</f>
        <v>1323.0946642368001</v>
      </c>
      <c r="Q197" s="9">
        <f ca="1">SUMIF('Tech Parameters'!$B$273:$B$298,$B175,'Tech Parameters'!U$273:U$298)*'Tech Parameters'!$H8*'Ref scen Calcs'!Q10*8760-Q175</f>
        <v>1323.0946642368001</v>
      </c>
      <c r="R197" s="9">
        <f ca="1">SUMIF('Tech Parameters'!$B$273:$B$298,$B175,'Tech Parameters'!V$273:V$298)*'Tech Parameters'!$H8*'Ref scen Calcs'!R10*8760-R175</f>
        <v>1323.0946642368001</v>
      </c>
      <c r="S197" s="9">
        <f ca="1">SUMIF('Tech Parameters'!$B$273:$B$298,$B175,'Tech Parameters'!W$273:W$298)*'Tech Parameters'!$H8*'Ref scen Calcs'!S10*8760-S175</f>
        <v>1323.0946642368001</v>
      </c>
      <c r="T197" s="9">
        <f ca="1">SUMIF('Tech Parameters'!$B$273:$B$298,$B175,'Tech Parameters'!X$273:X$298)*'Tech Parameters'!$H8*'Ref scen Calcs'!T10*8760-T175</f>
        <v>1323.0946642368001</v>
      </c>
      <c r="U197" s="9">
        <f ca="1">SUMIF('Tech Parameters'!$B$273:$B$298,$B175,'Tech Parameters'!Y$273:Y$298)*'Tech Parameters'!$H8*'Ref scen Calcs'!U10*8760-U175</f>
        <v>1323.0946642368001</v>
      </c>
      <c r="V197" s="9">
        <f ca="1">SUMIF('Tech Parameters'!$B$273:$B$298,$B175,'Tech Parameters'!Z$273:Z$298)*'Tech Parameters'!$H8*'Ref scen Calcs'!V10*8760-V175</f>
        <v>1596.8383878719997</v>
      </c>
      <c r="W197" s="9">
        <f ca="1">SUMIF('Tech Parameters'!$B$273:$B$298,$B175,'Tech Parameters'!AA$273:AA$298)*'Tech Parameters'!$H8*'Ref scen Calcs'!W10*8760-W175</f>
        <v>1596.8383878719997</v>
      </c>
      <c r="X197" s="9">
        <f ca="1">SUMIF('Tech Parameters'!$B$273:$B$298,$B175,'Tech Parameters'!AB$273:AB$298)*'Tech Parameters'!$H8*'Ref scen Calcs'!X10*8760-X175</f>
        <v>1596.8383878719997</v>
      </c>
      <c r="Y197" s="9">
        <f ca="1">SUMIF('Tech Parameters'!$B$273:$B$298,$B175,'Tech Parameters'!AC$273:AC$298)*'Tech Parameters'!$H8*'Ref scen Calcs'!Y10*8760-Y175</f>
        <v>1870.5821115072001</v>
      </c>
      <c r="Z197" s="9">
        <f ca="1">SUMIF('Tech Parameters'!$B$273:$B$298,$B175,'Tech Parameters'!AD$273:AD$298)*'Tech Parameters'!$H8*'Ref scen Calcs'!Z10*8760-Z175</f>
        <v>1870.5821115072001</v>
      </c>
      <c r="AA197" s="9">
        <f ca="1">SUMIF('Tech Parameters'!$B$273:$B$298,$B175,'Tech Parameters'!AE$273:AE$298)*'Tech Parameters'!$H8*'Ref scen Calcs'!AA10*8760-AA175</f>
        <v>1870.5821115072001</v>
      </c>
      <c r="AB197" s="9">
        <f ca="1">SUMIF('Tech Parameters'!$B$273:$B$298,$B175,'Tech Parameters'!AF$273:AF$298)*'Tech Parameters'!$H8*'Ref scen Calcs'!AB10*8760-AB175</f>
        <v>2144.3258351424001</v>
      </c>
      <c r="AC197" s="9">
        <f ca="1">SUMIF('Tech Parameters'!$B$273:$B$298,$B175,'Tech Parameters'!AG$273:AG$298)*'Tech Parameters'!$H8*'Ref scen Calcs'!AC10*8760-AC175</f>
        <v>2079.3117007790402</v>
      </c>
      <c r="AD197" s="9"/>
      <c r="AE197" s="9"/>
      <c r="AF197" s="9"/>
      <c r="AG197" s="9"/>
      <c r="AH197" s="9"/>
      <c r="AI197" s="9"/>
      <c r="AJ197" s="9"/>
      <c r="AK197" s="9"/>
      <c r="AL197" s="9"/>
      <c r="AM197" s="9"/>
      <c r="AN197" s="9"/>
      <c r="AO197" s="9"/>
      <c r="AP197" s="9"/>
      <c r="AQ197" s="9"/>
      <c r="AR197" s="9"/>
      <c r="AS197" s="9"/>
      <c r="AT197" s="9"/>
      <c r="AU197" s="9"/>
      <c r="AV197" s="9"/>
      <c r="AW197" s="9"/>
      <c r="BA197" s="4"/>
      <c r="BL197" s="4"/>
    </row>
    <row r="198" spans="2:64">
      <c r="B198" t="str">
        <f>'Tech Parameters'!C9</f>
        <v>Nuclear Pressurised Water Reactor</v>
      </c>
      <c r="C198" t="str">
        <f>'Tech Parameters'!B9</f>
        <v>PWR nuclear</v>
      </c>
      <c r="D198" s="9">
        <f>SUMIF('Tech Parameters'!$B$273:$B$298,$B176,'Tech Parameters'!H$273:H$298)*'Tech Parameters'!$H9*'Ref scen Calcs'!D11*8760-D176</f>
        <v>0</v>
      </c>
      <c r="E198" s="9">
        <f>SUMIF('Tech Parameters'!$B$273:$B$298,$B176,'Tech Parameters'!I$273:I$298)*'Tech Parameters'!$H9*'Ref scen Calcs'!E11*8760-E176</f>
        <v>0</v>
      </c>
      <c r="F198" s="9">
        <f>SUMIF('Tech Parameters'!$B$273:$B$298,$B176,'Tech Parameters'!J$273:J$298)*'Tech Parameters'!$H9*'Ref scen Calcs'!F11*8760-F176</f>
        <v>0</v>
      </c>
      <c r="G198" s="9">
        <f>SUMIF('Tech Parameters'!$B$273:$B$298,$B176,'Tech Parameters'!K$273:K$298)*'Tech Parameters'!$H9*'Ref scen Calcs'!G11*8760-G176</f>
        <v>0</v>
      </c>
      <c r="H198" s="9">
        <f>SUMIF('Tech Parameters'!$B$273:$B$298,$B176,'Tech Parameters'!L$273:L$298)*'Tech Parameters'!$H9*'Ref scen Calcs'!H11*8760-H176</f>
        <v>0</v>
      </c>
      <c r="I198" s="9">
        <f ca="1">SUMIF('Tech Parameters'!$B$273:$B$298,$B176,'Tech Parameters'!M$273:M$298)*'Tech Parameters'!$H9*'Ref scen Calcs'!I11*8760-I176</f>
        <v>0</v>
      </c>
      <c r="J198" s="9">
        <f ca="1">SUMIF('Tech Parameters'!$B$273:$B$298,$B176,'Tech Parameters'!N$273:N$298)*'Tech Parameters'!$H9*'Ref scen Calcs'!J11*8760-J176</f>
        <v>0</v>
      </c>
      <c r="K198" s="9">
        <f ca="1">SUMIF('Tech Parameters'!$B$273:$B$298,$B176,'Tech Parameters'!O$273:O$298)*'Tech Parameters'!$H9*'Ref scen Calcs'!K11*8760-K176</f>
        <v>0</v>
      </c>
      <c r="L198" s="9">
        <f ca="1">SUMIF('Tech Parameters'!$B$273:$B$298,$B176,'Tech Parameters'!P$273:P$298)*'Tech Parameters'!$H9*'Ref scen Calcs'!L11*8760-L176</f>
        <v>0</v>
      </c>
      <c r="M198" s="9">
        <f ca="1">SUMIF('Tech Parameters'!$B$273:$B$298,$B176,'Tech Parameters'!Q$273:Q$298)*'Tech Parameters'!$H9*'Ref scen Calcs'!M11*8760-M176</f>
        <v>0</v>
      </c>
      <c r="N198" s="9">
        <f ca="1">SUMIF('Tech Parameters'!$B$273:$B$298,$B176,'Tech Parameters'!R$273:R$298)*'Tech Parameters'!$H9*'Ref scen Calcs'!N11*8760-N176</f>
        <v>0</v>
      </c>
      <c r="O198" s="9">
        <f ca="1">SUMIF('Tech Parameters'!$B$273:$B$298,$B176,'Tech Parameters'!S$273:S$298)*'Tech Parameters'!$H9*'Ref scen Calcs'!O11*8760-O176</f>
        <v>0</v>
      </c>
      <c r="P198" s="9">
        <f ca="1">SUMIF('Tech Parameters'!$B$273:$B$298,$B176,'Tech Parameters'!T$273:T$298)*'Tech Parameters'!$H9*'Ref scen Calcs'!P11*8760-P176</f>
        <v>0</v>
      </c>
      <c r="Q198" s="9">
        <f ca="1">SUMIF('Tech Parameters'!$B$273:$B$298,$B176,'Tech Parameters'!U$273:U$298)*'Tech Parameters'!$H9*'Ref scen Calcs'!Q11*8760-Q176</f>
        <v>0</v>
      </c>
      <c r="R198" s="9">
        <f ca="1">SUMIF('Tech Parameters'!$B$273:$B$298,$B176,'Tech Parameters'!V$273:V$298)*'Tech Parameters'!$H9*'Ref scen Calcs'!R11*8760-R176</f>
        <v>0</v>
      </c>
      <c r="S198" s="9">
        <f ca="1">SUMIF('Tech Parameters'!$B$273:$B$298,$B176,'Tech Parameters'!W$273:W$298)*'Tech Parameters'!$H9*'Ref scen Calcs'!S11*8760-S176</f>
        <v>0</v>
      </c>
      <c r="T198" s="9">
        <f ca="1">SUMIF('Tech Parameters'!$B$273:$B$298,$B176,'Tech Parameters'!X$273:X$298)*'Tech Parameters'!$H9*'Ref scen Calcs'!T11*8760-T176</f>
        <v>0</v>
      </c>
      <c r="U198" s="9">
        <f ca="1">SUMIF('Tech Parameters'!$B$273:$B$298,$B176,'Tech Parameters'!Y$273:Y$298)*'Tech Parameters'!$H9*'Ref scen Calcs'!U11*8760-U176</f>
        <v>0</v>
      </c>
      <c r="V198" s="9">
        <f ca="1">SUMIF('Tech Parameters'!$B$273:$B$298,$B176,'Tech Parameters'!Z$273:Z$298)*'Tech Parameters'!$H9*'Ref scen Calcs'!V11*8760-V176</f>
        <v>0</v>
      </c>
      <c r="W198" s="9">
        <f ca="1">SUMIF('Tech Parameters'!$B$273:$B$298,$B176,'Tech Parameters'!AA$273:AA$298)*'Tech Parameters'!$H9*'Ref scen Calcs'!W11*8760-W176</f>
        <v>0</v>
      </c>
      <c r="X198" s="9">
        <f ca="1">SUMIF('Tech Parameters'!$B$273:$B$298,$B176,'Tech Parameters'!AB$273:AB$298)*'Tech Parameters'!$H9*'Ref scen Calcs'!X11*8760-X176</f>
        <v>0</v>
      </c>
      <c r="Y198" s="9">
        <f ca="1">SUMIF('Tech Parameters'!$B$273:$B$298,$B176,'Tech Parameters'!AC$273:AC$298)*'Tech Parameters'!$H9*'Ref scen Calcs'!Y11*8760-Y176</f>
        <v>0</v>
      </c>
      <c r="Z198" s="9">
        <f ca="1">SUMIF('Tech Parameters'!$B$273:$B$298,$B176,'Tech Parameters'!AD$273:AD$298)*'Tech Parameters'!$H9*'Ref scen Calcs'!Z11*8760-Z176</f>
        <v>0</v>
      </c>
      <c r="AA198" s="9">
        <f ca="1">SUMIF('Tech Parameters'!$B$273:$B$298,$B176,'Tech Parameters'!AE$273:AE$298)*'Tech Parameters'!$H9*'Ref scen Calcs'!AA11*8760-AA176</f>
        <v>0</v>
      </c>
      <c r="AB198" s="9">
        <f ca="1">SUMIF('Tech Parameters'!$B$273:$B$298,$B176,'Tech Parameters'!AF$273:AF$298)*'Tech Parameters'!$H9*'Ref scen Calcs'!AB11*8760-AB176</f>
        <v>0</v>
      </c>
      <c r="AC198" s="9">
        <f ca="1">SUMIF('Tech Parameters'!$B$273:$B$298,$B176,'Tech Parameters'!AG$273:AG$298)*'Tech Parameters'!$H9*'Ref scen Calcs'!AC11*8760-AC176</f>
        <v>0</v>
      </c>
      <c r="AD198" s="9"/>
      <c r="AE198" s="9"/>
      <c r="AF198" s="9"/>
      <c r="AG198" s="9"/>
      <c r="AH198" s="9"/>
      <c r="AI198" s="9"/>
      <c r="AJ198" s="9"/>
      <c r="AK198" s="9"/>
      <c r="AL198" s="9"/>
      <c r="AM198" s="9"/>
      <c r="AN198" s="9"/>
      <c r="AO198" s="9"/>
      <c r="AP198" s="9"/>
      <c r="AQ198" s="9"/>
      <c r="AR198" s="9"/>
      <c r="AS198" s="9"/>
      <c r="AT198" s="9"/>
      <c r="AU198" s="9"/>
      <c r="AV198" s="9"/>
      <c r="AW198" s="9"/>
      <c r="BA198" s="4"/>
      <c r="BL198" s="4"/>
    </row>
    <row r="199" spans="2:64">
      <c r="B199" t="str">
        <f>'Tech Parameters'!C10</f>
        <v>Hydro existing</v>
      </c>
      <c r="C199" t="str">
        <f>'Tech Parameters'!B10</f>
        <v>Hydro</v>
      </c>
      <c r="D199" s="9">
        <f>SUMIF('Tech Parameters'!$B$273:$B$298,$B177,'Tech Parameters'!H$273:H$298)*'Tech Parameters'!$H10*'Ref scen Calcs'!D12*8760-D177</f>
        <v>66.660329523809537</v>
      </c>
      <c r="E199" s="9">
        <f>SUMIF('Tech Parameters'!$B$273:$B$298,$B177,'Tech Parameters'!I$273:I$298)*'Tech Parameters'!$H10*'Ref scen Calcs'!E12*8760-E177</f>
        <v>66.660329523809537</v>
      </c>
      <c r="F199" s="9">
        <f>SUMIF('Tech Parameters'!$B$273:$B$298,$B177,'Tech Parameters'!J$273:J$298)*'Tech Parameters'!$H10*'Ref scen Calcs'!F12*8760-F177</f>
        <v>66.660329523809537</v>
      </c>
      <c r="G199" s="9">
        <f>SUMIF('Tech Parameters'!$B$273:$B$298,$B177,'Tech Parameters'!K$273:K$298)*'Tech Parameters'!$H10*'Ref scen Calcs'!G12*8760-G177</f>
        <v>66.660329523809537</v>
      </c>
      <c r="H199" s="9">
        <f>SUMIF('Tech Parameters'!$B$273:$B$298,$B177,'Tech Parameters'!L$273:L$298)*'Tech Parameters'!$H10*'Ref scen Calcs'!H12*8760-H177</f>
        <v>66.660329523809537</v>
      </c>
      <c r="I199" s="9">
        <f ca="1">SUMIF('Tech Parameters'!$B$273:$B$298,$B177,'Tech Parameters'!M$273:M$298)*'Tech Parameters'!$H10*'Ref scen Calcs'!I12*8760-I177</f>
        <v>66.660329523809537</v>
      </c>
      <c r="J199" s="9">
        <f ca="1">SUMIF('Tech Parameters'!$B$273:$B$298,$B177,'Tech Parameters'!N$273:N$298)*'Tech Parameters'!$H10*'Ref scen Calcs'!J12*8760-J177</f>
        <v>66.660329523809537</v>
      </c>
      <c r="K199" s="9">
        <f ca="1">SUMIF('Tech Parameters'!$B$273:$B$298,$B177,'Tech Parameters'!O$273:O$298)*'Tech Parameters'!$H10*'Ref scen Calcs'!K12*8760-K177</f>
        <v>66.660329523809537</v>
      </c>
      <c r="L199" s="9">
        <f ca="1">SUMIF('Tech Parameters'!$B$273:$B$298,$B177,'Tech Parameters'!P$273:P$298)*'Tech Parameters'!$H10*'Ref scen Calcs'!L12*8760-L177</f>
        <v>66.660329523809537</v>
      </c>
      <c r="M199" s="9">
        <f ca="1">SUMIF('Tech Parameters'!$B$273:$B$298,$B177,'Tech Parameters'!Q$273:Q$298)*'Tech Parameters'!$H10*'Ref scen Calcs'!M12*8760-M177</f>
        <v>66.660329523809537</v>
      </c>
      <c r="N199" s="9">
        <f ca="1">SUMIF('Tech Parameters'!$B$273:$B$298,$B177,'Tech Parameters'!R$273:R$298)*'Tech Parameters'!$H10*'Ref scen Calcs'!N12*8760-N177</f>
        <v>66.660329523809537</v>
      </c>
      <c r="O199" s="9">
        <f ca="1">SUMIF('Tech Parameters'!$B$273:$B$298,$B177,'Tech Parameters'!S$273:S$298)*'Tech Parameters'!$H10*'Ref scen Calcs'!O12*8760-O177</f>
        <v>66.660329523809537</v>
      </c>
      <c r="P199" s="9">
        <f ca="1">SUMIF('Tech Parameters'!$B$273:$B$298,$B177,'Tech Parameters'!T$273:T$298)*'Tech Parameters'!$H10*'Ref scen Calcs'!P12*8760-P177</f>
        <v>66.660329523809537</v>
      </c>
      <c r="Q199" s="9">
        <f ca="1">SUMIF('Tech Parameters'!$B$273:$B$298,$B177,'Tech Parameters'!U$273:U$298)*'Tech Parameters'!$H10*'Ref scen Calcs'!Q12*8760-Q177</f>
        <v>66.660329523809537</v>
      </c>
      <c r="R199" s="9">
        <f ca="1">SUMIF('Tech Parameters'!$B$273:$B$298,$B177,'Tech Parameters'!V$273:V$298)*'Tech Parameters'!$H10*'Ref scen Calcs'!R12*8760-R177</f>
        <v>66.660329523809537</v>
      </c>
      <c r="S199" s="9">
        <f ca="1">SUMIF('Tech Parameters'!$B$273:$B$298,$B177,'Tech Parameters'!W$273:W$298)*'Tech Parameters'!$H10*'Ref scen Calcs'!S12*8760-S177</f>
        <v>66.660329523809537</v>
      </c>
      <c r="T199" s="9">
        <f ca="1">SUMIF('Tech Parameters'!$B$273:$B$298,$B177,'Tech Parameters'!X$273:X$298)*'Tech Parameters'!$H10*'Ref scen Calcs'!T12*8760-T177</f>
        <v>66.660329523809537</v>
      </c>
      <c r="U199" s="9">
        <f ca="1">SUMIF('Tech Parameters'!$B$273:$B$298,$B177,'Tech Parameters'!Y$273:Y$298)*'Tech Parameters'!$H10*'Ref scen Calcs'!U12*8760-U177</f>
        <v>66.660329523809537</v>
      </c>
      <c r="V199" s="9">
        <f ca="1">SUMIF('Tech Parameters'!$B$273:$B$298,$B177,'Tech Parameters'!Z$273:Z$298)*'Tech Parameters'!$H10*'Ref scen Calcs'!V12*8760-V177</f>
        <v>66.660329523809537</v>
      </c>
      <c r="W199" s="9">
        <f ca="1">SUMIF('Tech Parameters'!$B$273:$B$298,$B177,'Tech Parameters'!AA$273:AA$298)*'Tech Parameters'!$H10*'Ref scen Calcs'!W12*8760-W177</f>
        <v>66.660329523809537</v>
      </c>
      <c r="X199" s="9">
        <f ca="1">SUMIF('Tech Parameters'!$B$273:$B$298,$B177,'Tech Parameters'!AB$273:AB$298)*'Tech Parameters'!$H10*'Ref scen Calcs'!X12*8760-X177</f>
        <v>66.660329523809537</v>
      </c>
      <c r="Y199" s="9">
        <f ca="1">SUMIF('Tech Parameters'!$B$273:$B$298,$B177,'Tech Parameters'!AC$273:AC$298)*'Tech Parameters'!$H10*'Ref scen Calcs'!Y12*8760-Y177</f>
        <v>66.660329523809537</v>
      </c>
      <c r="Z199" s="9">
        <f ca="1">SUMIF('Tech Parameters'!$B$273:$B$298,$B177,'Tech Parameters'!AD$273:AD$298)*'Tech Parameters'!$H10*'Ref scen Calcs'!Z12*8760-Z177</f>
        <v>66.660329523809537</v>
      </c>
      <c r="AA199" s="9">
        <f ca="1">SUMIF('Tech Parameters'!$B$273:$B$298,$B177,'Tech Parameters'!AE$273:AE$298)*'Tech Parameters'!$H10*'Ref scen Calcs'!AA12*8760-AA177</f>
        <v>66.660329523809537</v>
      </c>
      <c r="AB199" s="9">
        <f ca="1">SUMIF('Tech Parameters'!$B$273:$B$298,$B177,'Tech Parameters'!AF$273:AF$298)*'Tech Parameters'!$H10*'Ref scen Calcs'!AB12*8760-AB177</f>
        <v>66.660329523809537</v>
      </c>
      <c r="AC199" s="9">
        <f ca="1">SUMIF('Tech Parameters'!$B$273:$B$298,$B177,'Tech Parameters'!AG$273:AG$298)*'Tech Parameters'!$H10*'Ref scen Calcs'!AC12*8760-AC177</f>
        <v>66.660329523809537</v>
      </c>
      <c r="AD199" s="9"/>
      <c r="AE199" s="9"/>
      <c r="AF199" s="9"/>
      <c r="AG199" s="9"/>
      <c r="AH199" s="9"/>
      <c r="AI199" s="9"/>
      <c r="AJ199" s="9"/>
      <c r="AK199" s="9"/>
      <c r="AL199" s="9"/>
      <c r="AM199" s="9"/>
      <c r="AN199" s="9"/>
      <c r="AO199" s="9"/>
      <c r="AP199" s="9"/>
      <c r="AQ199" s="9"/>
      <c r="AR199" s="9"/>
      <c r="AS199" s="9"/>
      <c r="AT199" s="9"/>
      <c r="AU199" s="9"/>
      <c r="AV199" s="9"/>
      <c r="AW199" s="9"/>
      <c r="BA199" s="4"/>
      <c r="BL199" s="4"/>
    </row>
    <row r="200" spans="2:64">
      <c r="B200" t="str">
        <f>'Tech Parameters'!C11</f>
        <v>Landfill gas</v>
      </c>
      <c r="C200" t="str">
        <f>'Tech Parameters'!B11</f>
        <v>Landfill gas</v>
      </c>
      <c r="D200" s="9">
        <f>SUMIF('Tech Parameters'!$B$273:$B$298,$B178,'Tech Parameters'!H$273:H$298)*'Tech Parameters'!$H11*'Ref scen Calcs'!D13*8760-D178</f>
        <v>0</v>
      </c>
      <c r="E200" s="9">
        <f>SUMIF('Tech Parameters'!$B$273:$B$298,$B178,'Tech Parameters'!I$273:I$298)*'Tech Parameters'!$H11*'Ref scen Calcs'!E13*8760-E178</f>
        <v>0</v>
      </c>
      <c r="F200" s="9">
        <f>SUMIF('Tech Parameters'!$B$273:$B$298,$B178,'Tech Parameters'!J$273:J$298)*'Tech Parameters'!$H11*'Ref scen Calcs'!F13*8760-F178</f>
        <v>0</v>
      </c>
      <c r="G200" s="9">
        <f>SUMIF('Tech Parameters'!$B$273:$B$298,$B178,'Tech Parameters'!K$273:K$298)*'Tech Parameters'!$H11*'Ref scen Calcs'!G13*8760-G178</f>
        <v>0</v>
      </c>
      <c r="H200" s="9">
        <f>SUMIF('Tech Parameters'!$B$273:$B$298,$B178,'Tech Parameters'!L$273:L$298)*'Tech Parameters'!$H11*'Ref scen Calcs'!H13*8760-H178</f>
        <v>0</v>
      </c>
      <c r="I200" s="9">
        <f ca="1">SUMIF('Tech Parameters'!$B$273:$B$298,$B178,'Tech Parameters'!M$273:M$298)*'Tech Parameters'!$H11*'Ref scen Calcs'!I13*8760-I178</f>
        <v>0</v>
      </c>
      <c r="J200" s="9">
        <f ca="1">SUMIF('Tech Parameters'!$B$273:$B$298,$B178,'Tech Parameters'!N$273:N$298)*'Tech Parameters'!$H11*'Ref scen Calcs'!J13*8760-J178</f>
        <v>0</v>
      </c>
      <c r="K200" s="9">
        <f ca="1">SUMIF('Tech Parameters'!$B$273:$B$298,$B178,'Tech Parameters'!O$273:O$298)*'Tech Parameters'!$H11*'Ref scen Calcs'!K13*8760-K178</f>
        <v>0</v>
      </c>
      <c r="L200" s="9">
        <f ca="1">SUMIF('Tech Parameters'!$B$273:$B$298,$B178,'Tech Parameters'!P$273:P$298)*'Tech Parameters'!$H11*'Ref scen Calcs'!L13*8760-L178</f>
        <v>0</v>
      </c>
      <c r="M200" s="9">
        <f ca="1">SUMIF('Tech Parameters'!$B$273:$B$298,$B178,'Tech Parameters'!Q$273:Q$298)*'Tech Parameters'!$H11*'Ref scen Calcs'!M13*8760-M178</f>
        <v>0</v>
      </c>
      <c r="N200" s="9">
        <f ca="1">SUMIF('Tech Parameters'!$B$273:$B$298,$B178,'Tech Parameters'!R$273:R$298)*'Tech Parameters'!$H11*'Ref scen Calcs'!N13*8760-N178</f>
        <v>0</v>
      </c>
      <c r="O200" s="9">
        <f ca="1">SUMIF('Tech Parameters'!$B$273:$B$298,$B178,'Tech Parameters'!S$273:S$298)*'Tech Parameters'!$H11*'Ref scen Calcs'!O13*8760-O178</f>
        <v>0</v>
      </c>
      <c r="P200" s="9">
        <f ca="1">SUMIF('Tech Parameters'!$B$273:$B$298,$B178,'Tech Parameters'!T$273:T$298)*'Tech Parameters'!$H11*'Ref scen Calcs'!P13*8760-P178</f>
        <v>0</v>
      </c>
      <c r="Q200" s="9">
        <f ca="1">SUMIF('Tech Parameters'!$B$273:$B$298,$B178,'Tech Parameters'!U$273:U$298)*'Tech Parameters'!$H11*'Ref scen Calcs'!Q13*8760-Q178</f>
        <v>0</v>
      </c>
      <c r="R200" s="9">
        <f ca="1">SUMIF('Tech Parameters'!$B$273:$B$298,$B178,'Tech Parameters'!V$273:V$298)*'Tech Parameters'!$H11*'Ref scen Calcs'!R13*8760-R178</f>
        <v>0</v>
      </c>
      <c r="S200" s="9">
        <f ca="1">SUMIF('Tech Parameters'!$B$273:$B$298,$B178,'Tech Parameters'!W$273:W$298)*'Tech Parameters'!$H11*'Ref scen Calcs'!S13*8760-S178</f>
        <v>0</v>
      </c>
      <c r="T200" s="9">
        <f ca="1">SUMIF('Tech Parameters'!$B$273:$B$298,$B178,'Tech Parameters'!X$273:X$298)*'Tech Parameters'!$H11*'Ref scen Calcs'!T13*8760-T178</f>
        <v>0</v>
      </c>
      <c r="U200" s="9">
        <f ca="1">SUMIF('Tech Parameters'!$B$273:$B$298,$B178,'Tech Parameters'!Y$273:Y$298)*'Tech Parameters'!$H11*'Ref scen Calcs'!U13*8760-U178</f>
        <v>0</v>
      </c>
      <c r="V200" s="9">
        <f ca="1">SUMIF('Tech Parameters'!$B$273:$B$298,$B178,'Tech Parameters'!Z$273:Z$298)*'Tech Parameters'!$H11*'Ref scen Calcs'!V13*8760-V178</f>
        <v>0</v>
      </c>
      <c r="W200" s="9">
        <f ca="1">SUMIF('Tech Parameters'!$B$273:$B$298,$B178,'Tech Parameters'!AA$273:AA$298)*'Tech Parameters'!$H11*'Ref scen Calcs'!W13*8760-W178</f>
        <v>0</v>
      </c>
      <c r="X200" s="9">
        <f ca="1">SUMIF('Tech Parameters'!$B$273:$B$298,$B178,'Tech Parameters'!AB$273:AB$298)*'Tech Parameters'!$H11*'Ref scen Calcs'!X13*8760-X178</f>
        <v>0</v>
      </c>
      <c r="Y200" s="9">
        <f ca="1">SUMIF('Tech Parameters'!$B$273:$B$298,$B178,'Tech Parameters'!AC$273:AC$298)*'Tech Parameters'!$H11*'Ref scen Calcs'!Y13*8760-Y178</f>
        <v>0</v>
      </c>
      <c r="Z200" s="9">
        <f ca="1">SUMIF('Tech Parameters'!$B$273:$B$298,$B178,'Tech Parameters'!AD$273:AD$298)*'Tech Parameters'!$H11*'Ref scen Calcs'!Z13*8760-Z178</f>
        <v>0</v>
      </c>
      <c r="AA200" s="9">
        <f ca="1">SUMIF('Tech Parameters'!$B$273:$B$298,$B178,'Tech Parameters'!AE$273:AE$298)*'Tech Parameters'!$H11*'Ref scen Calcs'!AA13*8760-AA178</f>
        <v>0</v>
      </c>
      <c r="AB200" s="9">
        <f ca="1">SUMIF('Tech Parameters'!$B$273:$B$298,$B178,'Tech Parameters'!AF$273:AF$298)*'Tech Parameters'!$H11*'Ref scen Calcs'!AB13*8760-AB178</f>
        <v>0</v>
      </c>
      <c r="AC200" s="9">
        <f ca="1">SUMIF('Tech Parameters'!$B$273:$B$298,$B178,'Tech Parameters'!AG$273:AG$298)*'Tech Parameters'!$H11*'Ref scen Calcs'!AC13*8760-AC178</f>
        <v>0</v>
      </c>
      <c r="AD200" s="9"/>
      <c r="AE200" s="9"/>
      <c r="AF200" s="9"/>
      <c r="AG200" s="9"/>
      <c r="AH200" s="9"/>
      <c r="AI200" s="9"/>
      <c r="AJ200" s="9"/>
      <c r="AK200" s="9"/>
      <c r="AL200" s="9"/>
      <c r="AM200" s="9"/>
      <c r="AN200" s="9"/>
      <c r="AO200" s="9"/>
      <c r="AP200" s="9"/>
      <c r="AQ200" s="9"/>
      <c r="AR200" s="9"/>
      <c r="AS200" s="9"/>
      <c r="AT200" s="9"/>
      <c r="AU200" s="9"/>
      <c r="AV200" s="9"/>
      <c r="AW200" s="9"/>
      <c r="BA200" s="4"/>
      <c r="BL200" s="4"/>
    </row>
    <row r="201" spans="2:64">
      <c r="B201" t="str">
        <f>'Tech Parameters'!C12</f>
        <v>Biomass</v>
      </c>
      <c r="C201" t="str">
        <f>'Tech Parameters'!B12</f>
        <v>Biomass</v>
      </c>
      <c r="D201" s="9">
        <f>SUMIF('Tech Parameters'!$B$273:$B$298,$B179,'Tech Parameters'!H$273:H$298)*'Tech Parameters'!$H12*'Ref scen Calcs'!D14*8760-D179</f>
        <v>0</v>
      </c>
      <c r="E201" s="9">
        <f>SUMIF('Tech Parameters'!$B$273:$B$298,$B179,'Tech Parameters'!I$273:I$298)*'Tech Parameters'!$H12*'Ref scen Calcs'!E14*8760-E179</f>
        <v>0</v>
      </c>
      <c r="F201" s="9">
        <f>SUMIF('Tech Parameters'!$B$273:$B$298,$B179,'Tech Parameters'!J$273:J$298)*'Tech Parameters'!$H12*'Ref scen Calcs'!F14*8760-F179</f>
        <v>0</v>
      </c>
      <c r="G201" s="9">
        <f>SUMIF('Tech Parameters'!$B$273:$B$298,$B179,'Tech Parameters'!K$273:K$298)*'Tech Parameters'!$H12*'Ref scen Calcs'!G14*8760-G179</f>
        <v>0</v>
      </c>
      <c r="H201" s="9">
        <f>SUMIF('Tech Parameters'!$B$273:$B$298,$B179,'Tech Parameters'!L$273:L$298)*'Tech Parameters'!$H12*'Ref scen Calcs'!H14*8760-H179</f>
        <v>0</v>
      </c>
      <c r="I201" s="9">
        <f ca="1">SUMIF('Tech Parameters'!$B$273:$B$298,$B179,'Tech Parameters'!M$273:M$298)*'Tech Parameters'!$H12*'Ref scen Calcs'!I14*8760-I179</f>
        <v>0</v>
      </c>
      <c r="J201" s="9">
        <f ca="1">SUMIF('Tech Parameters'!$B$273:$B$298,$B179,'Tech Parameters'!N$273:N$298)*'Tech Parameters'!$H12*'Ref scen Calcs'!J14*8760-J179</f>
        <v>0</v>
      </c>
      <c r="K201" s="9">
        <f ca="1">SUMIF('Tech Parameters'!$B$273:$B$298,$B179,'Tech Parameters'!O$273:O$298)*'Tech Parameters'!$H12*'Ref scen Calcs'!K14*8760-K179</f>
        <v>0</v>
      </c>
      <c r="L201" s="9">
        <f ca="1">SUMIF('Tech Parameters'!$B$273:$B$298,$B179,'Tech Parameters'!P$273:P$298)*'Tech Parameters'!$H12*'Ref scen Calcs'!L14*8760-L179</f>
        <v>0</v>
      </c>
      <c r="M201" s="9">
        <f ca="1">SUMIF('Tech Parameters'!$B$273:$B$298,$B179,'Tech Parameters'!Q$273:Q$298)*'Tech Parameters'!$H12*'Ref scen Calcs'!M14*8760-M179</f>
        <v>0</v>
      </c>
      <c r="N201" s="9">
        <f ca="1">SUMIF('Tech Parameters'!$B$273:$B$298,$B179,'Tech Parameters'!R$273:R$298)*'Tech Parameters'!$H12*'Ref scen Calcs'!N14*8760-N179</f>
        <v>0</v>
      </c>
      <c r="O201" s="9">
        <f ca="1">SUMIF('Tech Parameters'!$B$273:$B$298,$B179,'Tech Parameters'!S$273:S$298)*'Tech Parameters'!$H12*'Ref scen Calcs'!O14*8760-O179</f>
        <v>0</v>
      </c>
      <c r="P201" s="9">
        <f ca="1">SUMIF('Tech Parameters'!$B$273:$B$298,$B179,'Tech Parameters'!T$273:T$298)*'Tech Parameters'!$H12*'Ref scen Calcs'!P14*8760-P179</f>
        <v>0</v>
      </c>
      <c r="Q201" s="9">
        <f ca="1">SUMIF('Tech Parameters'!$B$273:$B$298,$B179,'Tech Parameters'!U$273:U$298)*'Tech Parameters'!$H12*'Ref scen Calcs'!Q14*8760-Q179</f>
        <v>0</v>
      </c>
      <c r="R201" s="9">
        <f ca="1">SUMIF('Tech Parameters'!$B$273:$B$298,$B179,'Tech Parameters'!V$273:V$298)*'Tech Parameters'!$H12*'Ref scen Calcs'!R14*8760-R179</f>
        <v>0</v>
      </c>
      <c r="S201" s="9">
        <f ca="1">SUMIF('Tech Parameters'!$B$273:$B$298,$B179,'Tech Parameters'!W$273:W$298)*'Tech Parameters'!$H12*'Ref scen Calcs'!S14*8760-S179</f>
        <v>0</v>
      </c>
      <c r="T201" s="9">
        <f ca="1">SUMIF('Tech Parameters'!$B$273:$B$298,$B179,'Tech Parameters'!X$273:X$298)*'Tech Parameters'!$H12*'Ref scen Calcs'!T14*8760-T179</f>
        <v>0</v>
      </c>
      <c r="U201" s="9">
        <f ca="1">SUMIF('Tech Parameters'!$B$273:$B$298,$B179,'Tech Parameters'!Y$273:Y$298)*'Tech Parameters'!$H12*'Ref scen Calcs'!U14*8760-U179</f>
        <v>0</v>
      </c>
      <c r="V201" s="9">
        <f ca="1">SUMIF('Tech Parameters'!$B$273:$B$298,$B179,'Tech Parameters'!Z$273:Z$298)*'Tech Parameters'!$H12*'Ref scen Calcs'!V14*8760-V179</f>
        <v>0</v>
      </c>
      <c r="W201" s="9">
        <f ca="1">SUMIF('Tech Parameters'!$B$273:$B$298,$B179,'Tech Parameters'!AA$273:AA$298)*'Tech Parameters'!$H12*'Ref scen Calcs'!W14*8760-W179</f>
        <v>0</v>
      </c>
      <c r="X201" s="9">
        <f ca="1">SUMIF('Tech Parameters'!$B$273:$B$298,$B179,'Tech Parameters'!AB$273:AB$298)*'Tech Parameters'!$H12*'Ref scen Calcs'!X14*8760-X179</f>
        <v>0</v>
      </c>
      <c r="Y201" s="9">
        <f ca="1">SUMIF('Tech Parameters'!$B$273:$B$298,$B179,'Tech Parameters'!AC$273:AC$298)*'Tech Parameters'!$H12*'Ref scen Calcs'!Y14*8760-Y179</f>
        <v>0</v>
      </c>
      <c r="Z201" s="9">
        <f ca="1">SUMIF('Tech Parameters'!$B$273:$B$298,$B179,'Tech Parameters'!AD$273:AD$298)*'Tech Parameters'!$H12*'Ref scen Calcs'!Z14*8760-Z179</f>
        <v>0</v>
      </c>
      <c r="AA201" s="9">
        <f ca="1">SUMIF('Tech Parameters'!$B$273:$B$298,$B179,'Tech Parameters'!AE$273:AE$298)*'Tech Parameters'!$H12*'Ref scen Calcs'!AA14*8760-AA179</f>
        <v>0</v>
      </c>
      <c r="AB201" s="9">
        <f ca="1">SUMIF('Tech Parameters'!$B$273:$B$298,$B179,'Tech Parameters'!AF$273:AF$298)*'Tech Parameters'!$H12*'Ref scen Calcs'!AB14*8760-AB179</f>
        <v>0</v>
      </c>
      <c r="AC201" s="9">
        <f ca="1">SUMIF('Tech Parameters'!$B$273:$B$298,$B179,'Tech Parameters'!AG$273:AG$298)*'Tech Parameters'!$H12*'Ref scen Calcs'!AC14*8760-AC179</f>
        <v>0</v>
      </c>
      <c r="AD201" s="9"/>
      <c r="AE201" s="9"/>
      <c r="AF201" s="9"/>
      <c r="AG201" s="9"/>
      <c r="AH201" s="9"/>
      <c r="AI201" s="9"/>
      <c r="AJ201" s="9"/>
      <c r="AK201" s="9"/>
      <c r="AL201" s="9"/>
      <c r="AM201" s="9"/>
      <c r="AN201" s="9"/>
      <c r="AO201" s="9"/>
      <c r="AP201" s="9"/>
      <c r="AQ201" s="9"/>
      <c r="AR201" s="9"/>
      <c r="AS201" s="9"/>
      <c r="AT201" s="9"/>
      <c r="AU201" s="9"/>
      <c r="AV201" s="9"/>
      <c r="AW201" s="9"/>
      <c r="BA201" s="4"/>
      <c r="BL201" s="4"/>
    </row>
    <row r="202" spans="2:64">
      <c r="B202" t="str">
        <f>'Tech Parameters'!C13</f>
        <v>Supercritical Coal</v>
      </c>
      <c r="C202" t="str">
        <f>'Tech Parameters'!B13</f>
        <v>Supercritical coal</v>
      </c>
      <c r="D202" s="9">
        <f>SUMIF('Tech Parameters'!$B$273:$B$298,$B180,'Tech Parameters'!H$273:H$298)*'Tech Parameters'!$H13*'Ref scen Calcs'!D15*8760-D180</f>
        <v>0</v>
      </c>
      <c r="E202" s="9">
        <f>SUMIF('Tech Parameters'!$B$273:$B$298,$B180,'Tech Parameters'!I$273:I$298)*'Tech Parameters'!$H13*'Ref scen Calcs'!E15*8760-E180</f>
        <v>0</v>
      </c>
      <c r="F202" s="9">
        <f>SUMIF('Tech Parameters'!$B$273:$B$298,$B180,'Tech Parameters'!J$273:J$298)*'Tech Parameters'!$H13*'Ref scen Calcs'!F15*8760-F180</f>
        <v>0</v>
      </c>
      <c r="G202" s="9">
        <f>SUMIF('Tech Parameters'!$B$273:$B$298,$B180,'Tech Parameters'!K$273:K$298)*'Tech Parameters'!$H13*'Ref scen Calcs'!G15*8760-G180</f>
        <v>0</v>
      </c>
      <c r="H202" s="9">
        <f>SUMIF('Tech Parameters'!$B$273:$B$298,$B180,'Tech Parameters'!L$273:L$298)*'Tech Parameters'!$H13*'Ref scen Calcs'!H15*8760-H180</f>
        <v>0</v>
      </c>
      <c r="I202" s="9">
        <f ca="1">SUMIF('Tech Parameters'!$B$273:$B$298,$B180,'Tech Parameters'!M$273:M$298)*'Tech Parameters'!$H13*'Ref scen Calcs'!I15*8760-I180</f>
        <v>0</v>
      </c>
      <c r="J202" s="9">
        <f ca="1">SUMIF('Tech Parameters'!$B$273:$B$298,$B180,'Tech Parameters'!N$273:N$298)*'Tech Parameters'!$H13*'Ref scen Calcs'!J15*8760-J180</f>
        <v>0</v>
      </c>
      <c r="K202" s="9">
        <f ca="1">SUMIF('Tech Parameters'!$B$273:$B$298,$B180,'Tech Parameters'!O$273:O$298)*'Tech Parameters'!$H13*'Ref scen Calcs'!K15*8760-K180</f>
        <v>4268.2161891600008</v>
      </c>
      <c r="L202" s="9">
        <f ca="1">SUMIF('Tech Parameters'!$B$273:$B$298,$B180,'Tech Parameters'!P$273:P$298)*'Tech Parameters'!$H13*'Ref scen Calcs'!L15*8760-L180</f>
        <v>12804.648567479999</v>
      </c>
      <c r="M202" s="9">
        <f ca="1">SUMIF('Tech Parameters'!$B$273:$B$298,$B180,'Tech Parameters'!Q$273:Q$298)*'Tech Parameters'!$H13*'Ref scen Calcs'!M15*8760-M180</f>
        <v>25609.297134959997</v>
      </c>
      <c r="N202" s="9">
        <f ca="1">SUMIF('Tech Parameters'!$B$273:$B$298,$B180,'Tech Parameters'!R$273:R$298)*'Tech Parameters'!$H13*'Ref scen Calcs'!N15*8760-N180</f>
        <v>38413.945702440004</v>
      </c>
      <c r="O202" s="9">
        <f ca="1">SUMIF('Tech Parameters'!$B$273:$B$298,$B180,'Tech Parameters'!S$273:S$298)*'Tech Parameters'!$H13*'Ref scen Calcs'!O15*8760-O180</f>
        <v>46950.378080760012</v>
      </c>
      <c r="P202" s="9">
        <f ca="1">SUMIF('Tech Parameters'!$B$273:$B$298,$B180,'Tech Parameters'!T$273:T$298)*'Tech Parameters'!$H13*'Ref scen Calcs'!P15*8760-P180</f>
        <v>55486.810459080007</v>
      </c>
      <c r="Q202" s="9">
        <f ca="1">SUMIF('Tech Parameters'!$B$273:$B$298,$B180,'Tech Parameters'!U$273:U$298)*'Tech Parameters'!$H13*'Ref scen Calcs'!Q15*8760-Q180</f>
        <v>68291.459026560013</v>
      </c>
      <c r="R202" s="9">
        <f ca="1">SUMIF('Tech Parameters'!$B$273:$B$298,$B180,'Tech Parameters'!V$273:V$298)*'Tech Parameters'!$H13*'Ref scen Calcs'!R15*8760-R180</f>
        <v>81096.107594040019</v>
      </c>
      <c r="S202" s="9">
        <f ca="1">SUMIF('Tech Parameters'!$B$273:$B$298,$B180,'Tech Parameters'!W$273:W$298)*'Tech Parameters'!$H13*'Ref scen Calcs'!S15*8760-S180</f>
        <v>93900.756161520025</v>
      </c>
      <c r="T202" s="9">
        <f ca="1">SUMIF('Tech Parameters'!$B$273:$B$298,$B180,'Tech Parameters'!X$273:X$298)*'Tech Parameters'!$H13*'Ref scen Calcs'!T15*8760-T180</f>
        <v>110973.62091816001</v>
      </c>
      <c r="U202" s="9">
        <f ca="1">SUMIF('Tech Parameters'!$B$273:$B$298,$B180,'Tech Parameters'!Y$273:Y$298)*'Tech Parameters'!$H13*'Ref scen Calcs'!U15*8760-U180</f>
        <v>128046.48567480003</v>
      </c>
      <c r="V202" s="9">
        <f ca="1">SUMIF('Tech Parameters'!$B$273:$B$298,$B180,'Tech Parameters'!Z$273:Z$298)*'Tech Parameters'!$H13*'Ref scen Calcs'!V15*8760-V180</f>
        <v>140851.13424228007</v>
      </c>
      <c r="W202" s="9">
        <f ca="1">SUMIF('Tech Parameters'!$B$273:$B$298,$B180,'Tech Parameters'!AA$273:AA$298)*'Tech Parameters'!$H13*'Ref scen Calcs'!W15*8760-W180</f>
        <v>157923.99899892003</v>
      </c>
      <c r="X202" s="9">
        <f ca="1">SUMIF('Tech Parameters'!$B$273:$B$298,$B180,'Tech Parameters'!AB$273:AB$298)*'Tech Parameters'!$H13*'Ref scen Calcs'!X15*8760-X180</f>
        <v>174996.86375556004</v>
      </c>
      <c r="Y202" s="9">
        <f ca="1">SUMIF('Tech Parameters'!$B$273:$B$298,$B180,'Tech Parameters'!AC$273:AC$298)*'Tech Parameters'!$H13*'Ref scen Calcs'!Y15*8760-Y180</f>
        <v>196337.94470136001</v>
      </c>
      <c r="Z202" s="9">
        <f ca="1">SUMIF('Tech Parameters'!$B$273:$B$298,$B180,'Tech Parameters'!AD$273:AD$298)*'Tech Parameters'!$H13*'Ref scen Calcs'!Z15*8760-Z180</f>
        <v>217679.02564716004</v>
      </c>
      <c r="AA202" s="9">
        <f ca="1">SUMIF('Tech Parameters'!$B$273:$B$298,$B180,'Tech Parameters'!AE$273:AE$298)*'Tech Parameters'!$H13*'Ref scen Calcs'!AA15*8760-AA180</f>
        <v>239020.10659296007</v>
      </c>
      <c r="AB202" s="9">
        <f ca="1">SUMIF('Tech Parameters'!$B$273:$B$298,$B180,'Tech Parameters'!AF$273:AF$298)*'Tech Parameters'!$H13*'Ref scen Calcs'!AB15*8760-AB180</f>
        <v>264629.40372792009</v>
      </c>
      <c r="AC202" s="9">
        <f ca="1">SUMIF('Tech Parameters'!$B$273:$B$298,$B180,'Tech Parameters'!AG$273:AG$298)*'Tech Parameters'!$H13*'Ref scen Calcs'!AC15*8760-AC180</f>
        <v>290238.7008628801</v>
      </c>
      <c r="AD202" s="9"/>
      <c r="AE202" s="9"/>
      <c r="AF202" s="9"/>
      <c r="AG202" s="9"/>
      <c r="AH202" s="9"/>
      <c r="AI202" s="9"/>
      <c r="AJ202" s="9"/>
      <c r="AK202" s="9"/>
      <c r="AL202" s="9"/>
      <c r="AM202" s="9"/>
      <c r="AN202" s="9"/>
      <c r="AO202" s="9"/>
      <c r="AP202" s="9"/>
      <c r="AQ202" s="9"/>
      <c r="AR202" s="9"/>
      <c r="AS202" s="9"/>
      <c r="AT202" s="9"/>
      <c r="AU202" s="9"/>
      <c r="AV202" s="9"/>
      <c r="AW202" s="9"/>
      <c r="BA202" s="4"/>
      <c r="BL202" s="4"/>
    </row>
    <row r="203" spans="2:64">
      <c r="B203" t="str">
        <f>'Tech Parameters'!C14</f>
        <v>Wind</v>
      </c>
      <c r="C203" t="str">
        <f>'Tech Parameters'!B14</f>
        <v xml:space="preserve">Wind 30% </v>
      </c>
      <c r="D203" s="9">
        <f>SUMIF('Tech Parameters'!$B$273:$B$298,$B181,'Tech Parameters'!H$273:H$298)*'Tech Parameters'!$H14*'Ref scen Calcs'!D16*8760-D181</f>
        <v>0</v>
      </c>
      <c r="E203" s="9">
        <f>SUMIF('Tech Parameters'!$B$273:$B$298,$B181,'Tech Parameters'!I$273:I$298)*'Tech Parameters'!$H14*'Ref scen Calcs'!E16*8760-E181</f>
        <v>0</v>
      </c>
      <c r="F203" s="9">
        <f>SUMIF('Tech Parameters'!$B$273:$B$298,$B181,'Tech Parameters'!J$273:J$298)*'Tech Parameters'!$H14*'Ref scen Calcs'!F16*8760-F181</f>
        <v>0</v>
      </c>
      <c r="G203" s="9">
        <f>SUMIF('Tech Parameters'!$B$273:$B$298,$B181,'Tech Parameters'!K$273:K$298)*'Tech Parameters'!$H14*'Ref scen Calcs'!G16*8760-G181</f>
        <v>0</v>
      </c>
      <c r="H203" s="9">
        <f>SUMIF('Tech Parameters'!$B$273:$B$298,$B181,'Tech Parameters'!L$273:L$298)*'Tech Parameters'!$H14*'Ref scen Calcs'!H16*8760-H181</f>
        <v>0</v>
      </c>
      <c r="I203" s="9">
        <f ca="1">SUMIF('Tech Parameters'!$B$273:$B$298,$B181,'Tech Parameters'!M$273:M$298)*'Tech Parameters'!$H14*'Ref scen Calcs'!I16*8760-I181</f>
        <v>0</v>
      </c>
      <c r="J203" s="9">
        <f ca="1">SUMIF('Tech Parameters'!$B$273:$B$298,$B181,'Tech Parameters'!N$273:N$298)*'Tech Parameters'!$H14*'Ref scen Calcs'!J16*8760-J181</f>
        <v>0</v>
      </c>
      <c r="K203" s="9">
        <f ca="1">SUMIF('Tech Parameters'!$B$273:$B$298,$B181,'Tech Parameters'!O$273:O$298)*'Tech Parameters'!$H14*'Ref scen Calcs'!K16*8760-K181</f>
        <v>0</v>
      </c>
      <c r="L203" s="9">
        <f ca="1">SUMIF('Tech Parameters'!$B$273:$B$298,$B181,'Tech Parameters'!P$273:P$298)*'Tech Parameters'!$H14*'Ref scen Calcs'!L16*8760-L181</f>
        <v>0</v>
      </c>
      <c r="M203" s="9">
        <f ca="1">SUMIF('Tech Parameters'!$B$273:$B$298,$B181,'Tech Parameters'!Q$273:Q$298)*'Tech Parameters'!$H14*'Ref scen Calcs'!M16*8760-M181</f>
        <v>0</v>
      </c>
      <c r="N203" s="9">
        <f ca="1">SUMIF('Tech Parameters'!$B$273:$B$298,$B181,'Tech Parameters'!R$273:R$298)*'Tech Parameters'!$H14*'Ref scen Calcs'!N16*8760-N181</f>
        <v>0</v>
      </c>
      <c r="O203" s="9">
        <f ca="1">SUMIF('Tech Parameters'!$B$273:$B$298,$B181,'Tech Parameters'!S$273:S$298)*'Tech Parameters'!$H14*'Ref scen Calcs'!O16*8760-O181</f>
        <v>0</v>
      </c>
      <c r="P203" s="9">
        <f ca="1">SUMIF('Tech Parameters'!$B$273:$B$298,$B181,'Tech Parameters'!T$273:T$298)*'Tech Parameters'!$H14*'Ref scen Calcs'!P16*8760-P181</f>
        <v>0</v>
      </c>
      <c r="Q203" s="9">
        <f ca="1">SUMIF('Tech Parameters'!$B$273:$B$298,$B181,'Tech Parameters'!U$273:U$298)*'Tech Parameters'!$H14*'Ref scen Calcs'!Q16*8760-Q181</f>
        <v>0</v>
      </c>
      <c r="R203" s="9">
        <f ca="1">SUMIF('Tech Parameters'!$B$273:$B$298,$B181,'Tech Parameters'!V$273:V$298)*'Tech Parameters'!$H14*'Ref scen Calcs'!R16*8760-R181</f>
        <v>0</v>
      </c>
      <c r="S203" s="9">
        <f ca="1">SUMIF('Tech Parameters'!$B$273:$B$298,$B181,'Tech Parameters'!W$273:W$298)*'Tech Parameters'!$H14*'Ref scen Calcs'!S16*8760-S181</f>
        <v>0</v>
      </c>
      <c r="T203" s="9">
        <f ca="1">SUMIF('Tech Parameters'!$B$273:$B$298,$B181,'Tech Parameters'!X$273:X$298)*'Tech Parameters'!$H14*'Ref scen Calcs'!T16*8760-T181</f>
        <v>0</v>
      </c>
      <c r="U203" s="9">
        <f ca="1">SUMIF('Tech Parameters'!$B$273:$B$298,$B181,'Tech Parameters'!Y$273:Y$298)*'Tech Parameters'!$H14*'Ref scen Calcs'!U16*8760-U181</f>
        <v>0</v>
      </c>
      <c r="V203" s="9">
        <f ca="1">SUMIF('Tech Parameters'!$B$273:$B$298,$B181,'Tech Parameters'!Z$273:Z$298)*'Tech Parameters'!$H14*'Ref scen Calcs'!V16*8760-V181</f>
        <v>0</v>
      </c>
      <c r="W203" s="9">
        <f ca="1">SUMIF('Tech Parameters'!$B$273:$B$298,$B181,'Tech Parameters'!AA$273:AA$298)*'Tech Parameters'!$H14*'Ref scen Calcs'!W16*8760-W181</f>
        <v>0</v>
      </c>
      <c r="X203" s="9">
        <f ca="1">SUMIF('Tech Parameters'!$B$273:$B$298,$B181,'Tech Parameters'!AB$273:AB$298)*'Tech Parameters'!$H14*'Ref scen Calcs'!X16*8760-X181</f>
        <v>0</v>
      </c>
      <c r="Y203" s="9">
        <f ca="1">SUMIF('Tech Parameters'!$B$273:$B$298,$B181,'Tech Parameters'!AC$273:AC$298)*'Tech Parameters'!$H14*'Ref scen Calcs'!Y16*8760-Y181</f>
        <v>0</v>
      </c>
      <c r="Z203" s="9">
        <f ca="1">SUMIF('Tech Parameters'!$B$273:$B$298,$B181,'Tech Parameters'!AD$273:AD$298)*'Tech Parameters'!$H14*'Ref scen Calcs'!Z16*8760-Z181</f>
        <v>0</v>
      </c>
      <c r="AA203" s="9">
        <f ca="1">SUMIF('Tech Parameters'!$B$273:$B$298,$B181,'Tech Parameters'!AE$273:AE$298)*'Tech Parameters'!$H14*'Ref scen Calcs'!AA16*8760-AA181</f>
        <v>0</v>
      </c>
      <c r="AB203" s="9">
        <f ca="1">SUMIF('Tech Parameters'!$B$273:$B$298,$B181,'Tech Parameters'!AF$273:AF$298)*'Tech Parameters'!$H14*'Ref scen Calcs'!AB16*8760-AB181</f>
        <v>0</v>
      </c>
      <c r="AC203" s="9">
        <f ca="1">SUMIF('Tech Parameters'!$B$273:$B$298,$B181,'Tech Parameters'!AG$273:AG$298)*'Tech Parameters'!$H14*'Ref scen Calcs'!AC16*8760-AC181</f>
        <v>0</v>
      </c>
      <c r="AD203" s="9"/>
      <c r="AE203" s="9"/>
      <c r="AF203" s="9"/>
      <c r="AG203" s="9"/>
      <c r="AH203" s="9"/>
      <c r="AI203" s="9"/>
      <c r="AJ203" s="9"/>
      <c r="AK203" s="9"/>
      <c r="AL203" s="9"/>
      <c r="AM203" s="9"/>
      <c r="AN203" s="9"/>
      <c r="AO203" s="9"/>
      <c r="AP203" s="9"/>
      <c r="AQ203" s="9"/>
      <c r="AR203" s="9"/>
      <c r="AS203" s="9"/>
      <c r="AT203" s="9"/>
      <c r="AU203" s="9"/>
      <c r="AV203" s="9"/>
      <c r="AW203" s="9"/>
      <c r="BA203" s="4"/>
      <c r="BL203" s="4"/>
    </row>
    <row r="204" spans="2:64">
      <c r="B204" t="str">
        <f>'Tech Parameters'!C15</f>
        <v>Wind</v>
      </c>
      <c r="C204" t="str">
        <f>'Tech Parameters'!B15</f>
        <v>Wind 25%</v>
      </c>
      <c r="D204" s="9">
        <f>SUMIF('Tech Parameters'!$B$273:$B$298,$B182,'Tech Parameters'!H$273:H$298)*'Tech Parameters'!$H15*'Ref scen Calcs'!D17*8760-D182</f>
        <v>0</v>
      </c>
      <c r="E204" s="9">
        <f>SUMIF('Tech Parameters'!$B$273:$B$298,$B182,'Tech Parameters'!I$273:I$298)*'Tech Parameters'!$H15*'Ref scen Calcs'!E17*8760-E182</f>
        <v>0</v>
      </c>
      <c r="F204" s="9">
        <f>SUMIF('Tech Parameters'!$B$273:$B$298,$B182,'Tech Parameters'!J$273:J$298)*'Tech Parameters'!$H15*'Ref scen Calcs'!F17*8760-F182</f>
        <v>0</v>
      </c>
      <c r="G204" s="9">
        <f>SUMIF('Tech Parameters'!$B$273:$B$298,$B182,'Tech Parameters'!K$273:K$298)*'Tech Parameters'!$H15*'Ref scen Calcs'!G17*8760-G182</f>
        <v>0</v>
      </c>
      <c r="H204" s="9">
        <f>SUMIF('Tech Parameters'!$B$273:$B$298,$B182,'Tech Parameters'!L$273:L$298)*'Tech Parameters'!$H15*'Ref scen Calcs'!H17*8760-H182</f>
        <v>0</v>
      </c>
      <c r="I204" s="9">
        <f ca="1">SUMIF('Tech Parameters'!$B$273:$B$298,$B182,'Tech Parameters'!M$273:M$298)*'Tech Parameters'!$H15*'Ref scen Calcs'!I17*8760-I182</f>
        <v>0</v>
      </c>
      <c r="J204" s="9">
        <f ca="1">SUMIF('Tech Parameters'!$B$273:$B$298,$B182,'Tech Parameters'!N$273:N$298)*'Tech Parameters'!$H15*'Ref scen Calcs'!J17*8760-J182</f>
        <v>0</v>
      </c>
      <c r="K204" s="9">
        <f ca="1">SUMIF('Tech Parameters'!$B$273:$B$298,$B182,'Tech Parameters'!O$273:O$298)*'Tech Parameters'!$H15*'Ref scen Calcs'!K17*8760-K182</f>
        <v>0</v>
      </c>
      <c r="L204" s="9">
        <f ca="1">SUMIF('Tech Parameters'!$B$273:$B$298,$B182,'Tech Parameters'!P$273:P$298)*'Tech Parameters'!$H15*'Ref scen Calcs'!L17*8760-L182</f>
        <v>0</v>
      </c>
      <c r="M204" s="9">
        <f ca="1">SUMIF('Tech Parameters'!$B$273:$B$298,$B182,'Tech Parameters'!Q$273:Q$298)*'Tech Parameters'!$H15*'Ref scen Calcs'!M17*8760-M182</f>
        <v>0</v>
      </c>
      <c r="N204" s="9">
        <f ca="1">SUMIF('Tech Parameters'!$B$273:$B$298,$B182,'Tech Parameters'!R$273:R$298)*'Tech Parameters'!$H15*'Ref scen Calcs'!N17*8760-N182</f>
        <v>0</v>
      </c>
      <c r="O204" s="9">
        <f ca="1">SUMIF('Tech Parameters'!$B$273:$B$298,$B182,'Tech Parameters'!S$273:S$298)*'Tech Parameters'!$H15*'Ref scen Calcs'!O17*8760-O182</f>
        <v>0</v>
      </c>
      <c r="P204" s="9">
        <f ca="1">SUMIF('Tech Parameters'!$B$273:$B$298,$B182,'Tech Parameters'!T$273:T$298)*'Tech Parameters'!$H15*'Ref scen Calcs'!P17*8760-P182</f>
        <v>0</v>
      </c>
      <c r="Q204" s="9">
        <f ca="1">SUMIF('Tech Parameters'!$B$273:$B$298,$B182,'Tech Parameters'!U$273:U$298)*'Tech Parameters'!$H15*'Ref scen Calcs'!Q17*8760-Q182</f>
        <v>0</v>
      </c>
      <c r="R204" s="9">
        <f ca="1">SUMIF('Tech Parameters'!$B$273:$B$298,$B182,'Tech Parameters'!V$273:V$298)*'Tech Parameters'!$H15*'Ref scen Calcs'!R17*8760-R182</f>
        <v>0</v>
      </c>
      <c r="S204" s="9">
        <f ca="1">SUMIF('Tech Parameters'!$B$273:$B$298,$B182,'Tech Parameters'!W$273:W$298)*'Tech Parameters'!$H15*'Ref scen Calcs'!S17*8760-S182</f>
        <v>0</v>
      </c>
      <c r="T204" s="9">
        <f ca="1">SUMIF('Tech Parameters'!$B$273:$B$298,$B182,'Tech Parameters'!X$273:X$298)*'Tech Parameters'!$H15*'Ref scen Calcs'!T17*8760-T182</f>
        <v>0</v>
      </c>
      <c r="U204" s="9">
        <f ca="1">SUMIF('Tech Parameters'!$B$273:$B$298,$B182,'Tech Parameters'!Y$273:Y$298)*'Tech Parameters'!$H15*'Ref scen Calcs'!U17*8760-U182</f>
        <v>0</v>
      </c>
      <c r="V204" s="9">
        <f ca="1">SUMIF('Tech Parameters'!$B$273:$B$298,$B182,'Tech Parameters'!Z$273:Z$298)*'Tech Parameters'!$H15*'Ref scen Calcs'!V17*8760-V182</f>
        <v>0</v>
      </c>
      <c r="W204" s="9">
        <f ca="1">SUMIF('Tech Parameters'!$B$273:$B$298,$B182,'Tech Parameters'!AA$273:AA$298)*'Tech Parameters'!$H15*'Ref scen Calcs'!W17*8760-W182</f>
        <v>0</v>
      </c>
      <c r="X204" s="9">
        <f ca="1">SUMIF('Tech Parameters'!$B$273:$B$298,$B182,'Tech Parameters'!AB$273:AB$298)*'Tech Parameters'!$H15*'Ref scen Calcs'!X17*8760-X182</f>
        <v>0</v>
      </c>
      <c r="Y204" s="9">
        <f ca="1">SUMIF('Tech Parameters'!$B$273:$B$298,$B182,'Tech Parameters'!AC$273:AC$298)*'Tech Parameters'!$H15*'Ref scen Calcs'!Y17*8760-Y182</f>
        <v>0</v>
      </c>
      <c r="Z204" s="9">
        <f ca="1">SUMIF('Tech Parameters'!$B$273:$B$298,$B182,'Tech Parameters'!AD$273:AD$298)*'Tech Parameters'!$H15*'Ref scen Calcs'!Z17*8760-Z182</f>
        <v>0</v>
      </c>
      <c r="AA204" s="9">
        <f ca="1">SUMIF('Tech Parameters'!$B$273:$B$298,$B182,'Tech Parameters'!AE$273:AE$298)*'Tech Parameters'!$H15*'Ref scen Calcs'!AA17*8760-AA182</f>
        <v>0</v>
      </c>
      <c r="AB204" s="9">
        <f ca="1">SUMIF('Tech Parameters'!$B$273:$B$298,$B182,'Tech Parameters'!AF$273:AF$298)*'Tech Parameters'!$H15*'Ref scen Calcs'!AB17*8760-AB182</f>
        <v>0</v>
      </c>
      <c r="AC204" s="9">
        <f ca="1">SUMIF('Tech Parameters'!$B$273:$B$298,$B182,'Tech Parameters'!AG$273:AG$298)*'Tech Parameters'!$H15*'Ref scen Calcs'!AC17*8760-AC182</f>
        <v>0</v>
      </c>
      <c r="AD204" s="9"/>
      <c r="AE204" s="9"/>
      <c r="AF204" s="9"/>
      <c r="AG204" s="9"/>
      <c r="AH204" s="9"/>
      <c r="AI204" s="9"/>
      <c r="AJ204" s="9"/>
      <c r="AK204" s="9"/>
      <c r="AL204" s="9"/>
      <c r="AM204" s="9"/>
      <c r="AN204" s="9"/>
      <c r="AO204" s="9"/>
      <c r="AP204" s="9"/>
      <c r="AQ204" s="9"/>
      <c r="AR204" s="9"/>
      <c r="AS204" s="9"/>
      <c r="AT204" s="9"/>
      <c r="AU204" s="9"/>
      <c r="AV204" s="9"/>
      <c r="AW204" s="9"/>
      <c r="BA204" s="4"/>
      <c r="BL204" s="4"/>
    </row>
    <row r="205" spans="2:64">
      <c r="B205" t="str">
        <f>'Tech Parameters'!C16</f>
        <v>Solar Central Receiver</v>
      </c>
      <c r="C205" t="str">
        <f>'Tech Parameters'!B16</f>
        <v>solar thermal central reciever</v>
      </c>
      <c r="D205" s="9">
        <f>SUMIF('Tech Parameters'!$B$273:$B$298,$B183,'Tech Parameters'!H$273:H$298)*'Tech Parameters'!$H16*'Ref scen Calcs'!D18*8760-D183</f>
        <v>0</v>
      </c>
      <c r="E205" s="9">
        <f>SUMIF('Tech Parameters'!$B$273:$B$298,$B183,'Tech Parameters'!I$273:I$298)*'Tech Parameters'!$H16*'Ref scen Calcs'!E18*8760-E183</f>
        <v>0</v>
      </c>
      <c r="F205" s="9">
        <f>SUMIF('Tech Parameters'!$B$273:$B$298,$B183,'Tech Parameters'!J$273:J$298)*'Tech Parameters'!$H16*'Ref scen Calcs'!F18*8760-F183</f>
        <v>0</v>
      </c>
      <c r="G205" s="9">
        <f>SUMIF('Tech Parameters'!$B$273:$B$298,$B183,'Tech Parameters'!K$273:K$298)*'Tech Parameters'!$H16*'Ref scen Calcs'!G18*8760-G183</f>
        <v>0</v>
      </c>
      <c r="H205" s="9">
        <f>SUMIF('Tech Parameters'!$B$273:$B$298,$B183,'Tech Parameters'!L$273:L$298)*'Tech Parameters'!$H16*'Ref scen Calcs'!H18*8760-H183</f>
        <v>0</v>
      </c>
      <c r="I205" s="9">
        <f ca="1">SUMIF('Tech Parameters'!$B$273:$B$298,$B183,'Tech Parameters'!M$273:M$298)*'Tech Parameters'!$H16*'Ref scen Calcs'!I18*8760-I183</f>
        <v>0</v>
      </c>
      <c r="J205" s="9">
        <f ca="1">SUMIF('Tech Parameters'!$B$273:$B$298,$B183,'Tech Parameters'!N$273:N$298)*'Tech Parameters'!$H16*'Ref scen Calcs'!J18*8760-J183</f>
        <v>0</v>
      </c>
      <c r="K205" s="9">
        <f ca="1">SUMIF('Tech Parameters'!$B$273:$B$298,$B183,'Tech Parameters'!O$273:O$298)*'Tech Parameters'!$H16*'Ref scen Calcs'!K18*8760-K183</f>
        <v>0</v>
      </c>
      <c r="L205" s="9">
        <f ca="1">SUMIF('Tech Parameters'!$B$273:$B$298,$B183,'Tech Parameters'!P$273:P$298)*'Tech Parameters'!$H16*'Ref scen Calcs'!L18*8760-L183</f>
        <v>0</v>
      </c>
      <c r="M205" s="9">
        <f ca="1">SUMIF('Tech Parameters'!$B$273:$B$298,$B183,'Tech Parameters'!Q$273:Q$298)*'Tech Parameters'!$H16*'Ref scen Calcs'!M18*8760-M183</f>
        <v>0</v>
      </c>
      <c r="N205" s="9">
        <f ca="1">SUMIF('Tech Parameters'!$B$273:$B$298,$B183,'Tech Parameters'!R$273:R$298)*'Tech Parameters'!$H16*'Ref scen Calcs'!N18*8760-N183</f>
        <v>0</v>
      </c>
      <c r="O205" s="9">
        <f ca="1">SUMIF('Tech Parameters'!$B$273:$B$298,$B183,'Tech Parameters'!S$273:S$298)*'Tech Parameters'!$H16*'Ref scen Calcs'!O18*8760-O183</f>
        <v>0</v>
      </c>
      <c r="P205" s="9">
        <f ca="1">SUMIF('Tech Parameters'!$B$273:$B$298,$B183,'Tech Parameters'!T$273:T$298)*'Tech Parameters'!$H16*'Ref scen Calcs'!P18*8760-P183</f>
        <v>0</v>
      </c>
      <c r="Q205" s="9">
        <f ca="1">SUMIF('Tech Parameters'!$B$273:$B$298,$B183,'Tech Parameters'!U$273:U$298)*'Tech Parameters'!$H16*'Ref scen Calcs'!Q18*8760-Q183</f>
        <v>0</v>
      </c>
      <c r="R205" s="9">
        <f ca="1">SUMIF('Tech Parameters'!$B$273:$B$298,$B183,'Tech Parameters'!V$273:V$298)*'Tech Parameters'!$H16*'Ref scen Calcs'!R18*8760-R183</f>
        <v>0</v>
      </c>
      <c r="S205" s="9">
        <f ca="1">SUMIF('Tech Parameters'!$B$273:$B$298,$B183,'Tech Parameters'!W$273:W$298)*'Tech Parameters'!$H16*'Ref scen Calcs'!S18*8760-S183</f>
        <v>0</v>
      </c>
      <c r="T205" s="9">
        <f ca="1">SUMIF('Tech Parameters'!$B$273:$B$298,$B183,'Tech Parameters'!X$273:X$298)*'Tech Parameters'!$H16*'Ref scen Calcs'!T18*8760-T183</f>
        <v>0</v>
      </c>
      <c r="U205" s="9">
        <f ca="1">SUMIF('Tech Parameters'!$B$273:$B$298,$B183,'Tech Parameters'!Y$273:Y$298)*'Tech Parameters'!$H16*'Ref scen Calcs'!U18*8760-U183</f>
        <v>0</v>
      </c>
      <c r="V205" s="9">
        <f ca="1">SUMIF('Tech Parameters'!$B$273:$B$298,$B183,'Tech Parameters'!Z$273:Z$298)*'Tech Parameters'!$H16*'Ref scen Calcs'!V18*8760-V183</f>
        <v>0</v>
      </c>
      <c r="W205" s="9">
        <f ca="1">SUMIF('Tech Parameters'!$B$273:$B$298,$B183,'Tech Parameters'!AA$273:AA$298)*'Tech Parameters'!$H16*'Ref scen Calcs'!W18*8760-W183</f>
        <v>0</v>
      </c>
      <c r="X205" s="9">
        <f ca="1">SUMIF('Tech Parameters'!$B$273:$B$298,$B183,'Tech Parameters'!AB$273:AB$298)*'Tech Parameters'!$H16*'Ref scen Calcs'!X18*8760-X183</f>
        <v>0</v>
      </c>
      <c r="Y205" s="9">
        <f ca="1">SUMIF('Tech Parameters'!$B$273:$B$298,$B183,'Tech Parameters'!AC$273:AC$298)*'Tech Parameters'!$H16*'Ref scen Calcs'!Y18*8760-Y183</f>
        <v>0</v>
      </c>
      <c r="Z205" s="9">
        <f ca="1">SUMIF('Tech Parameters'!$B$273:$B$298,$B183,'Tech Parameters'!AD$273:AD$298)*'Tech Parameters'!$H16*'Ref scen Calcs'!Z18*8760-Z183</f>
        <v>0</v>
      </c>
      <c r="AA205" s="9">
        <f ca="1">SUMIF('Tech Parameters'!$B$273:$B$298,$B183,'Tech Parameters'!AE$273:AE$298)*'Tech Parameters'!$H16*'Ref scen Calcs'!AA18*8760-AA183</f>
        <v>0</v>
      </c>
      <c r="AB205" s="9">
        <f ca="1">SUMIF('Tech Parameters'!$B$273:$B$298,$B183,'Tech Parameters'!AF$273:AF$298)*'Tech Parameters'!$H16*'Ref scen Calcs'!AB18*8760-AB183</f>
        <v>0</v>
      </c>
      <c r="AC205" s="9">
        <f ca="1">SUMIF('Tech Parameters'!$B$273:$B$298,$B183,'Tech Parameters'!AG$273:AG$298)*'Tech Parameters'!$H16*'Ref scen Calcs'!AC18*8760-AC183</f>
        <v>0</v>
      </c>
      <c r="AD205" s="9"/>
      <c r="AE205" s="9"/>
      <c r="AF205" s="9"/>
      <c r="AG205" s="9"/>
      <c r="AH205" s="9"/>
      <c r="AI205" s="9"/>
      <c r="AJ205" s="9"/>
      <c r="AK205" s="9"/>
      <c r="AL205" s="9"/>
      <c r="AM205" s="9"/>
      <c r="AN205" s="9"/>
      <c r="AO205" s="9"/>
      <c r="AP205" s="9"/>
      <c r="AQ205" s="9"/>
      <c r="AR205" s="9"/>
      <c r="AS205" s="9"/>
      <c r="AT205" s="9"/>
      <c r="AU205" s="9"/>
      <c r="AV205" s="9"/>
      <c r="AW205" s="9"/>
      <c r="BA205" s="4"/>
      <c r="BL205" s="4"/>
    </row>
    <row r="206" spans="2:64">
      <c r="B206" t="str">
        <f>'Tech Parameters'!C17</f>
        <v>Solar Parabolic Trough</v>
      </c>
      <c r="C206" t="str">
        <f>'Tech Parameters'!B17</f>
        <v>solar thermal trough</v>
      </c>
      <c r="D206" s="9">
        <f>SUMIF('Tech Parameters'!$B$273:$B$298,$B184,'Tech Parameters'!H$273:H$298)*'Tech Parameters'!$H17*'Ref scen Calcs'!D19*8760-D184</f>
        <v>0</v>
      </c>
      <c r="E206" s="9">
        <f>SUMIF('Tech Parameters'!$B$273:$B$298,$B184,'Tech Parameters'!I$273:I$298)*'Tech Parameters'!$H17*'Ref scen Calcs'!E19*8760-E184</f>
        <v>0</v>
      </c>
      <c r="F206" s="9">
        <f>SUMIF('Tech Parameters'!$B$273:$B$298,$B184,'Tech Parameters'!J$273:J$298)*'Tech Parameters'!$H17*'Ref scen Calcs'!F19*8760-F184</f>
        <v>0</v>
      </c>
      <c r="G206" s="9">
        <f>SUMIF('Tech Parameters'!$B$273:$B$298,$B184,'Tech Parameters'!K$273:K$298)*'Tech Parameters'!$H17*'Ref scen Calcs'!G19*8760-G184</f>
        <v>0</v>
      </c>
      <c r="H206" s="9">
        <f>SUMIF('Tech Parameters'!$B$273:$B$298,$B184,'Tech Parameters'!L$273:L$298)*'Tech Parameters'!$H17*'Ref scen Calcs'!H19*8760-H184</f>
        <v>0</v>
      </c>
      <c r="I206" s="9">
        <f ca="1">SUMIF('Tech Parameters'!$B$273:$B$298,$B184,'Tech Parameters'!M$273:M$298)*'Tech Parameters'!$H17*'Ref scen Calcs'!I19*8760-I184</f>
        <v>0</v>
      </c>
      <c r="J206" s="9">
        <f ca="1">SUMIF('Tech Parameters'!$B$273:$B$298,$B184,'Tech Parameters'!N$273:N$298)*'Tech Parameters'!$H17*'Ref scen Calcs'!J19*8760-J184</f>
        <v>0</v>
      </c>
      <c r="K206" s="9">
        <f ca="1">SUMIF('Tech Parameters'!$B$273:$B$298,$B184,'Tech Parameters'!O$273:O$298)*'Tech Parameters'!$H17*'Ref scen Calcs'!K19*8760-K184</f>
        <v>0</v>
      </c>
      <c r="L206" s="9">
        <f ca="1">SUMIF('Tech Parameters'!$B$273:$B$298,$B184,'Tech Parameters'!P$273:P$298)*'Tech Parameters'!$H17*'Ref scen Calcs'!L19*8760-L184</f>
        <v>0</v>
      </c>
      <c r="M206" s="9">
        <f ca="1">SUMIF('Tech Parameters'!$B$273:$B$298,$B184,'Tech Parameters'!Q$273:Q$298)*'Tech Parameters'!$H17*'Ref scen Calcs'!M19*8760-M184</f>
        <v>0</v>
      </c>
      <c r="N206" s="9">
        <f ca="1">SUMIF('Tech Parameters'!$B$273:$B$298,$B184,'Tech Parameters'!R$273:R$298)*'Tech Parameters'!$H17*'Ref scen Calcs'!N19*8760-N184</f>
        <v>0</v>
      </c>
      <c r="O206" s="9">
        <f ca="1">SUMIF('Tech Parameters'!$B$273:$B$298,$B184,'Tech Parameters'!S$273:S$298)*'Tech Parameters'!$H17*'Ref scen Calcs'!O19*8760-O184</f>
        <v>0</v>
      </c>
      <c r="P206" s="9">
        <f ca="1">SUMIF('Tech Parameters'!$B$273:$B$298,$B184,'Tech Parameters'!T$273:T$298)*'Tech Parameters'!$H17*'Ref scen Calcs'!P19*8760-P184</f>
        <v>0</v>
      </c>
      <c r="Q206" s="9">
        <f ca="1">SUMIF('Tech Parameters'!$B$273:$B$298,$B184,'Tech Parameters'!U$273:U$298)*'Tech Parameters'!$H17*'Ref scen Calcs'!Q19*8760-Q184</f>
        <v>0</v>
      </c>
      <c r="R206" s="9">
        <f ca="1">SUMIF('Tech Parameters'!$B$273:$B$298,$B184,'Tech Parameters'!V$273:V$298)*'Tech Parameters'!$H17*'Ref scen Calcs'!R19*8760-R184</f>
        <v>0</v>
      </c>
      <c r="S206" s="9">
        <f ca="1">SUMIF('Tech Parameters'!$B$273:$B$298,$B184,'Tech Parameters'!W$273:W$298)*'Tech Parameters'!$H17*'Ref scen Calcs'!S19*8760-S184</f>
        <v>0</v>
      </c>
      <c r="T206" s="9">
        <f ca="1">SUMIF('Tech Parameters'!$B$273:$B$298,$B184,'Tech Parameters'!X$273:X$298)*'Tech Parameters'!$H17*'Ref scen Calcs'!T19*8760-T184</f>
        <v>0</v>
      </c>
      <c r="U206" s="9">
        <f ca="1">SUMIF('Tech Parameters'!$B$273:$B$298,$B184,'Tech Parameters'!Y$273:Y$298)*'Tech Parameters'!$H17*'Ref scen Calcs'!U19*8760-U184</f>
        <v>0</v>
      </c>
      <c r="V206" s="9">
        <f ca="1">SUMIF('Tech Parameters'!$B$273:$B$298,$B184,'Tech Parameters'!Z$273:Z$298)*'Tech Parameters'!$H17*'Ref scen Calcs'!V19*8760-V184</f>
        <v>0</v>
      </c>
      <c r="W206" s="9">
        <f ca="1">SUMIF('Tech Parameters'!$B$273:$B$298,$B184,'Tech Parameters'!AA$273:AA$298)*'Tech Parameters'!$H17*'Ref scen Calcs'!W19*8760-W184</f>
        <v>0</v>
      </c>
      <c r="X206" s="9">
        <f ca="1">SUMIF('Tech Parameters'!$B$273:$B$298,$B184,'Tech Parameters'!AB$273:AB$298)*'Tech Parameters'!$H17*'Ref scen Calcs'!X19*8760-X184</f>
        <v>0</v>
      </c>
      <c r="Y206" s="9">
        <f ca="1">SUMIF('Tech Parameters'!$B$273:$B$298,$B184,'Tech Parameters'!AC$273:AC$298)*'Tech Parameters'!$H17*'Ref scen Calcs'!Y19*8760-Y184</f>
        <v>0</v>
      </c>
      <c r="Z206" s="9">
        <f ca="1">SUMIF('Tech Parameters'!$B$273:$B$298,$B184,'Tech Parameters'!AD$273:AD$298)*'Tech Parameters'!$H17*'Ref scen Calcs'!Z19*8760-Z184</f>
        <v>0</v>
      </c>
      <c r="AA206" s="9">
        <f ca="1">SUMIF('Tech Parameters'!$B$273:$B$298,$B184,'Tech Parameters'!AE$273:AE$298)*'Tech Parameters'!$H17*'Ref scen Calcs'!AA19*8760-AA184</f>
        <v>0</v>
      </c>
      <c r="AB206" s="9">
        <f ca="1">SUMIF('Tech Parameters'!$B$273:$B$298,$B184,'Tech Parameters'!AF$273:AF$298)*'Tech Parameters'!$H17*'Ref scen Calcs'!AB19*8760-AB184</f>
        <v>0</v>
      </c>
      <c r="AC206" s="9">
        <f ca="1">SUMIF('Tech Parameters'!$B$273:$B$298,$B184,'Tech Parameters'!AG$273:AG$298)*'Tech Parameters'!$H17*'Ref scen Calcs'!AC19*8760-AC184</f>
        <v>0</v>
      </c>
      <c r="AD206" s="9"/>
      <c r="AE206" s="9"/>
      <c r="AF206" s="9"/>
      <c r="AG206" s="9"/>
      <c r="AH206" s="9"/>
      <c r="AI206" s="9"/>
      <c r="AJ206" s="9"/>
      <c r="AK206" s="9"/>
      <c r="AL206" s="9"/>
      <c r="AM206" s="9"/>
      <c r="AN206" s="9"/>
      <c r="AO206" s="9"/>
      <c r="AP206" s="9"/>
      <c r="AQ206" s="9"/>
      <c r="AR206" s="9"/>
      <c r="AS206" s="9"/>
      <c r="AT206" s="9"/>
      <c r="AU206" s="9"/>
      <c r="AV206" s="9"/>
      <c r="AW206" s="9"/>
      <c r="BA206" s="4"/>
      <c r="BL206" s="4"/>
    </row>
    <row r="207" spans="2:64">
      <c r="B207" t="str">
        <f>'Tech Parameters'!C18</f>
        <v>Solar Photovoltaic</v>
      </c>
      <c r="C207" t="str">
        <f>'Tech Parameters'!B18</f>
        <v>solar PV</v>
      </c>
      <c r="D207" s="9">
        <f>SUMIF('Tech Parameters'!$B$273:$B$298,$B185,'Tech Parameters'!H$273:H$298)*'Tech Parameters'!$H18*'Ref scen Calcs'!D20*8760-D185</f>
        <v>0</v>
      </c>
      <c r="E207" s="9">
        <f>SUMIF('Tech Parameters'!$B$273:$B$298,$B185,'Tech Parameters'!I$273:I$298)*'Tech Parameters'!$H18*'Ref scen Calcs'!E20*8760-E185</f>
        <v>0</v>
      </c>
      <c r="F207" s="9">
        <f>SUMIF('Tech Parameters'!$B$273:$B$298,$B185,'Tech Parameters'!J$273:J$298)*'Tech Parameters'!$H18*'Ref scen Calcs'!F20*8760-F185</f>
        <v>0</v>
      </c>
      <c r="G207" s="9">
        <f>SUMIF('Tech Parameters'!$B$273:$B$298,$B185,'Tech Parameters'!K$273:K$298)*'Tech Parameters'!$H18*'Ref scen Calcs'!G20*8760-G185</f>
        <v>0</v>
      </c>
      <c r="H207" s="9">
        <f>SUMIF('Tech Parameters'!$B$273:$B$298,$B185,'Tech Parameters'!L$273:L$298)*'Tech Parameters'!$H18*'Ref scen Calcs'!H20*8760-H185</f>
        <v>0</v>
      </c>
      <c r="I207" s="9">
        <f ca="1">SUMIF('Tech Parameters'!$B$273:$B$298,$B185,'Tech Parameters'!M$273:M$298)*'Tech Parameters'!$H18*'Ref scen Calcs'!I20*8760-I185</f>
        <v>0</v>
      </c>
      <c r="J207" s="9">
        <f ca="1">SUMIF('Tech Parameters'!$B$273:$B$298,$B185,'Tech Parameters'!N$273:N$298)*'Tech Parameters'!$H18*'Ref scen Calcs'!J20*8760-J185</f>
        <v>0</v>
      </c>
      <c r="K207" s="9">
        <f ca="1">SUMIF('Tech Parameters'!$B$273:$B$298,$B185,'Tech Parameters'!O$273:O$298)*'Tech Parameters'!$H18*'Ref scen Calcs'!K20*8760-K185</f>
        <v>0</v>
      </c>
      <c r="L207" s="9">
        <f ca="1">SUMIF('Tech Parameters'!$B$273:$B$298,$B185,'Tech Parameters'!P$273:P$298)*'Tech Parameters'!$H18*'Ref scen Calcs'!L20*8760-L185</f>
        <v>0</v>
      </c>
      <c r="M207" s="9">
        <f ca="1">SUMIF('Tech Parameters'!$B$273:$B$298,$B185,'Tech Parameters'!Q$273:Q$298)*'Tech Parameters'!$H18*'Ref scen Calcs'!M20*8760-M185</f>
        <v>0</v>
      </c>
      <c r="N207" s="9">
        <f ca="1">SUMIF('Tech Parameters'!$B$273:$B$298,$B185,'Tech Parameters'!R$273:R$298)*'Tech Parameters'!$H18*'Ref scen Calcs'!N20*8760-N185</f>
        <v>0</v>
      </c>
      <c r="O207" s="9">
        <f ca="1">SUMIF('Tech Parameters'!$B$273:$B$298,$B185,'Tech Parameters'!S$273:S$298)*'Tech Parameters'!$H18*'Ref scen Calcs'!O20*8760-O185</f>
        <v>0</v>
      </c>
      <c r="P207" s="9">
        <f ca="1">SUMIF('Tech Parameters'!$B$273:$B$298,$B185,'Tech Parameters'!T$273:T$298)*'Tech Parameters'!$H18*'Ref scen Calcs'!P20*8760-P185</f>
        <v>0</v>
      </c>
      <c r="Q207" s="9">
        <f ca="1">SUMIF('Tech Parameters'!$B$273:$B$298,$B185,'Tech Parameters'!U$273:U$298)*'Tech Parameters'!$H18*'Ref scen Calcs'!Q20*8760-Q185</f>
        <v>0</v>
      </c>
      <c r="R207" s="9">
        <f ca="1">SUMIF('Tech Parameters'!$B$273:$B$298,$B185,'Tech Parameters'!V$273:V$298)*'Tech Parameters'!$H18*'Ref scen Calcs'!R20*8760-R185</f>
        <v>0</v>
      </c>
      <c r="S207" s="9">
        <f ca="1">SUMIF('Tech Parameters'!$B$273:$B$298,$B185,'Tech Parameters'!W$273:W$298)*'Tech Parameters'!$H18*'Ref scen Calcs'!S20*8760-S185</f>
        <v>0</v>
      </c>
      <c r="T207" s="9">
        <f ca="1">SUMIF('Tech Parameters'!$B$273:$B$298,$B185,'Tech Parameters'!X$273:X$298)*'Tech Parameters'!$H18*'Ref scen Calcs'!T20*8760-T185</f>
        <v>0</v>
      </c>
      <c r="U207" s="9">
        <f ca="1">SUMIF('Tech Parameters'!$B$273:$B$298,$B185,'Tech Parameters'!Y$273:Y$298)*'Tech Parameters'!$H18*'Ref scen Calcs'!U20*8760-U185</f>
        <v>0</v>
      </c>
      <c r="V207" s="9">
        <f ca="1">SUMIF('Tech Parameters'!$B$273:$B$298,$B185,'Tech Parameters'!Z$273:Z$298)*'Tech Parameters'!$H18*'Ref scen Calcs'!V20*8760-V185</f>
        <v>0</v>
      </c>
      <c r="W207" s="9">
        <f ca="1">SUMIF('Tech Parameters'!$B$273:$B$298,$B185,'Tech Parameters'!AA$273:AA$298)*'Tech Parameters'!$H18*'Ref scen Calcs'!W20*8760-W185</f>
        <v>0</v>
      </c>
      <c r="X207" s="9">
        <f ca="1">SUMIF('Tech Parameters'!$B$273:$B$298,$B185,'Tech Parameters'!AB$273:AB$298)*'Tech Parameters'!$H18*'Ref scen Calcs'!X20*8760-X185</f>
        <v>0</v>
      </c>
      <c r="Y207" s="9">
        <f ca="1">SUMIF('Tech Parameters'!$B$273:$B$298,$B185,'Tech Parameters'!AC$273:AC$298)*'Tech Parameters'!$H18*'Ref scen Calcs'!Y20*8760-Y185</f>
        <v>0</v>
      </c>
      <c r="Z207" s="9">
        <f ca="1">SUMIF('Tech Parameters'!$B$273:$B$298,$B185,'Tech Parameters'!AD$273:AD$298)*'Tech Parameters'!$H18*'Ref scen Calcs'!Z20*8760-Z185</f>
        <v>0</v>
      </c>
      <c r="AA207" s="9">
        <f ca="1">SUMIF('Tech Parameters'!$B$273:$B$298,$B185,'Tech Parameters'!AE$273:AE$298)*'Tech Parameters'!$H18*'Ref scen Calcs'!AA20*8760-AA185</f>
        <v>0</v>
      </c>
      <c r="AB207" s="9">
        <f ca="1">SUMIF('Tech Parameters'!$B$273:$B$298,$B185,'Tech Parameters'!AF$273:AF$298)*'Tech Parameters'!$H18*'Ref scen Calcs'!AB20*8760-AB185</f>
        <v>0</v>
      </c>
      <c r="AC207" s="9">
        <f ca="1">SUMIF('Tech Parameters'!$B$273:$B$298,$B185,'Tech Parameters'!AG$273:AG$298)*'Tech Parameters'!$H18*'Ref scen Calcs'!AC20*8760-AC185</f>
        <v>0</v>
      </c>
      <c r="AD207" s="9"/>
      <c r="AE207" s="9"/>
      <c r="AF207" s="9"/>
      <c r="AG207" s="9"/>
      <c r="AH207" s="9"/>
      <c r="AI207" s="9"/>
      <c r="AJ207" s="9"/>
      <c r="AK207" s="9"/>
      <c r="AL207" s="9"/>
      <c r="AM207" s="9"/>
      <c r="AN207" s="9"/>
      <c r="AO207" s="9"/>
      <c r="AP207" s="9"/>
      <c r="AQ207" s="9"/>
      <c r="AR207" s="9"/>
      <c r="AS207" s="9"/>
      <c r="AT207" s="9"/>
      <c r="AU207" s="9"/>
      <c r="AV207" s="9"/>
      <c r="AW207" s="9"/>
      <c r="BA207" s="4"/>
      <c r="BL207" s="4"/>
    </row>
    <row r="208" spans="2:64">
      <c r="B208" t="str">
        <f>'Tech Parameters'!C19</f>
        <v>Combined Cycle Gas Turbine</v>
      </c>
      <c r="C208" t="str">
        <f>'Tech Parameters'!B19</f>
        <v>combined cycle gas</v>
      </c>
      <c r="D208" s="9">
        <f>SUMIF('Tech Parameters'!$B$273:$B$298,$B186,'Tech Parameters'!H$273:H$298)*'Tech Parameters'!$H19*'Ref scen Calcs'!D21*8760-D186</f>
        <v>0</v>
      </c>
      <c r="E208" s="9">
        <f>SUMIF('Tech Parameters'!$B$273:$B$298,$B186,'Tech Parameters'!I$273:I$298)*'Tech Parameters'!$H19*'Ref scen Calcs'!E21*8760-E186</f>
        <v>0</v>
      </c>
      <c r="F208" s="9">
        <f>SUMIF('Tech Parameters'!$B$273:$B$298,$B186,'Tech Parameters'!J$273:J$298)*'Tech Parameters'!$H19*'Ref scen Calcs'!F21*8760-F186</f>
        <v>0</v>
      </c>
      <c r="G208" s="9">
        <f>SUMIF('Tech Parameters'!$B$273:$B$298,$B186,'Tech Parameters'!K$273:K$298)*'Tech Parameters'!$H19*'Ref scen Calcs'!G21*8760-G186</f>
        <v>0</v>
      </c>
      <c r="H208" s="9">
        <f>SUMIF('Tech Parameters'!$B$273:$B$298,$B186,'Tech Parameters'!L$273:L$298)*'Tech Parameters'!$H19*'Ref scen Calcs'!H21*8760-H186</f>
        <v>0</v>
      </c>
      <c r="I208" s="9">
        <f ca="1">SUMIF('Tech Parameters'!$B$273:$B$298,$B186,'Tech Parameters'!M$273:M$298)*'Tech Parameters'!$H19*'Ref scen Calcs'!I21*8760-I186</f>
        <v>0</v>
      </c>
      <c r="J208" s="9">
        <f ca="1">SUMIF('Tech Parameters'!$B$273:$B$298,$B186,'Tech Parameters'!N$273:N$298)*'Tech Parameters'!$H19*'Ref scen Calcs'!J21*8760-J186</f>
        <v>0</v>
      </c>
      <c r="K208" s="9">
        <f ca="1">SUMIF('Tech Parameters'!$B$273:$B$298,$B186,'Tech Parameters'!O$273:O$298)*'Tech Parameters'!$H19*'Ref scen Calcs'!K21*8760-K186</f>
        <v>0</v>
      </c>
      <c r="L208" s="9">
        <f ca="1">SUMIF('Tech Parameters'!$B$273:$B$298,$B186,'Tech Parameters'!P$273:P$298)*'Tech Parameters'!$H19*'Ref scen Calcs'!L21*8760-L186</f>
        <v>0</v>
      </c>
      <c r="M208" s="9">
        <f ca="1">SUMIF('Tech Parameters'!$B$273:$B$298,$B186,'Tech Parameters'!Q$273:Q$298)*'Tech Parameters'!$H19*'Ref scen Calcs'!M21*8760-M186</f>
        <v>0</v>
      </c>
      <c r="N208" s="9">
        <f ca="1">SUMIF('Tech Parameters'!$B$273:$B$298,$B186,'Tech Parameters'!R$273:R$298)*'Tech Parameters'!$H19*'Ref scen Calcs'!N21*8760-N186</f>
        <v>0</v>
      </c>
      <c r="O208" s="9">
        <f ca="1">SUMIF('Tech Parameters'!$B$273:$B$298,$B186,'Tech Parameters'!S$273:S$298)*'Tech Parameters'!$H19*'Ref scen Calcs'!O21*8760-O186</f>
        <v>0</v>
      </c>
      <c r="P208" s="9">
        <f ca="1">SUMIF('Tech Parameters'!$B$273:$B$298,$B186,'Tech Parameters'!T$273:T$298)*'Tech Parameters'!$H19*'Ref scen Calcs'!P21*8760-P186</f>
        <v>0</v>
      </c>
      <c r="Q208" s="9">
        <f ca="1">SUMIF('Tech Parameters'!$B$273:$B$298,$B186,'Tech Parameters'!U$273:U$298)*'Tech Parameters'!$H19*'Ref scen Calcs'!Q21*8760-Q186</f>
        <v>0</v>
      </c>
      <c r="R208" s="9">
        <f ca="1">SUMIF('Tech Parameters'!$B$273:$B$298,$B186,'Tech Parameters'!V$273:V$298)*'Tech Parameters'!$H19*'Ref scen Calcs'!R21*8760-R186</f>
        <v>0</v>
      </c>
      <c r="S208" s="9">
        <f ca="1">SUMIF('Tech Parameters'!$B$273:$B$298,$B186,'Tech Parameters'!W$273:W$298)*'Tech Parameters'!$H19*'Ref scen Calcs'!S21*8760-S186</f>
        <v>0</v>
      </c>
      <c r="T208" s="9">
        <f ca="1">SUMIF('Tech Parameters'!$B$273:$B$298,$B186,'Tech Parameters'!X$273:X$298)*'Tech Parameters'!$H19*'Ref scen Calcs'!T21*8760-T186</f>
        <v>0</v>
      </c>
      <c r="U208" s="9">
        <f ca="1">SUMIF('Tech Parameters'!$B$273:$B$298,$B186,'Tech Parameters'!Y$273:Y$298)*'Tech Parameters'!$H19*'Ref scen Calcs'!U21*8760-U186</f>
        <v>0</v>
      </c>
      <c r="V208" s="9">
        <f ca="1">SUMIF('Tech Parameters'!$B$273:$B$298,$B186,'Tech Parameters'!Z$273:Z$298)*'Tech Parameters'!$H19*'Ref scen Calcs'!V21*8760-V186</f>
        <v>0</v>
      </c>
      <c r="W208" s="9">
        <f ca="1">SUMIF('Tech Parameters'!$B$273:$B$298,$B186,'Tech Parameters'!AA$273:AA$298)*'Tech Parameters'!$H19*'Ref scen Calcs'!W21*8760-W186</f>
        <v>0</v>
      </c>
      <c r="X208" s="9">
        <f ca="1">SUMIF('Tech Parameters'!$B$273:$B$298,$B186,'Tech Parameters'!AB$273:AB$298)*'Tech Parameters'!$H19*'Ref scen Calcs'!X21*8760-X186</f>
        <v>0</v>
      </c>
      <c r="Y208" s="9">
        <f ca="1">SUMIF('Tech Parameters'!$B$273:$B$298,$B186,'Tech Parameters'!AC$273:AC$298)*'Tech Parameters'!$H19*'Ref scen Calcs'!Y21*8760-Y186</f>
        <v>0</v>
      </c>
      <c r="Z208" s="9">
        <f ca="1">SUMIF('Tech Parameters'!$B$273:$B$298,$B186,'Tech Parameters'!AD$273:AD$298)*'Tech Parameters'!$H19*'Ref scen Calcs'!Z21*8760-Z186</f>
        <v>0</v>
      </c>
      <c r="AA208" s="9">
        <f ca="1">SUMIF('Tech Parameters'!$B$273:$B$298,$B186,'Tech Parameters'!AE$273:AE$298)*'Tech Parameters'!$H19*'Ref scen Calcs'!AA21*8760-AA186</f>
        <v>0</v>
      </c>
      <c r="AB208" s="9">
        <f ca="1">SUMIF('Tech Parameters'!$B$273:$B$298,$B186,'Tech Parameters'!AF$273:AF$298)*'Tech Parameters'!$H19*'Ref scen Calcs'!AB21*8760-AB186</f>
        <v>0</v>
      </c>
      <c r="AC208" s="9">
        <f ca="1">SUMIF('Tech Parameters'!$B$273:$B$298,$B186,'Tech Parameters'!AG$273:AG$298)*'Tech Parameters'!$H19*'Ref scen Calcs'!AC21*8760-AC186</f>
        <v>0</v>
      </c>
      <c r="AD208" s="9"/>
      <c r="AE208" s="9"/>
      <c r="AF208" s="9"/>
      <c r="AG208" s="9"/>
      <c r="AH208" s="9"/>
      <c r="AI208" s="9"/>
      <c r="AJ208" s="9"/>
      <c r="AK208" s="9"/>
      <c r="AL208" s="9"/>
      <c r="AM208" s="9"/>
      <c r="AN208" s="9"/>
      <c r="AO208" s="9"/>
      <c r="AP208" s="9"/>
      <c r="AQ208" s="9"/>
      <c r="AR208" s="9"/>
      <c r="AS208" s="9"/>
      <c r="AT208" s="9"/>
      <c r="AU208" s="9"/>
      <c r="AV208" s="9"/>
      <c r="AW208" s="9"/>
      <c r="BA208" s="4"/>
      <c r="BL208" s="4"/>
    </row>
    <row r="209" spans="2:64">
      <c r="B209" t="str">
        <f>'Tech Parameters'!C20</f>
        <v>Nuclear Pebble-Bed Modular Reactor</v>
      </c>
      <c r="C209" t="str">
        <f>'Tech Parameters'!B20</f>
        <v>PBMR</v>
      </c>
      <c r="D209" s="9">
        <f>SUMIF('Tech Parameters'!$B$273:$B$298,$B187,'Tech Parameters'!H$273:H$298)*'Tech Parameters'!$H20*'Ref scen Calcs'!D22*8760-D187</f>
        <v>0</v>
      </c>
      <c r="E209" s="9">
        <f>SUMIF('Tech Parameters'!$B$273:$B$298,$B187,'Tech Parameters'!I$273:I$298)*'Tech Parameters'!$H20*'Ref scen Calcs'!E22*8760-E187</f>
        <v>0</v>
      </c>
      <c r="F209" s="9">
        <f>SUMIF('Tech Parameters'!$B$273:$B$298,$B187,'Tech Parameters'!J$273:J$298)*'Tech Parameters'!$H20*'Ref scen Calcs'!F22*8760-F187</f>
        <v>0</v>
      </c>
      <c r="G209" s="9">
        <f>SUMIF('Tech Parameters'!$B$273:$B$298,$B187,'Tech Parameters'!K$273:K$298)*'Tech Parameters'!$H20*'Ref scen Calcs'!G22*8760-G187</f>
        <v>0</v>
      </c>
      <c r="H209" s="9">
        <f>SUMIF('Tech Parameters'!$B$273:$B$298,$B187,'Tech Parameters'!L$273:L$298)*'Tech Parameters'!$H20*'Ref scen Calcs'!H22*8760-H187</f>
        <v>0</v>
      </c>
      <c r="I209" s="9">
        <f ca="1">SUMIF('Tech Parameters'!$B$273:$B$298,$B187,'Tech Parameters'!M$273:M$298)*'Tech Parameters'!$H20*'Ref scen Calcs'!I22*8760-I187</f>
        <v>0</v>
      </c>
      <c r="J209" s="9">
        <f ca="1">SUMIF('Tech Parameters'!$B$273:$B$298,$B187,'Tech Parameters'!N$273:N$298)*'Tech Parameters'!$H20*'Ref scen Calcs'!J22*8760-J187</f>
        <v>0</v>
      </c>
      <c r="K209" s="9">
        <f ca="1">SUMIF('Tech Parameters'!$B$273:$B$298,$B187,'Tech Parameters'!O$273:O$298)*'Tech Parameters'!$H20*'Ref scen Calcs'!K22*8760-K187</f>
        <v>0</v>
      </c>
      <c r="L209" s="9">
        <f ca="1">SUMIF('Tech Parameters'!$B$273:$B$298,$B187,'Tech Parameters'!P$273:P$298)*'Tech Parameters'!$H20*'Ref scen Calcs'!L22*8760-L187</f>
        <v>0</v>
      </c>
      <c r="M209" s="9">
        <f ca="1">SUMIF('Tech Parameters'!$B$273:$B$298,$B187,'Tech Parameters'!Q$273:Q$298)*'Tech Parameters'!$H20*'Ref scen Calcs'!M22*8760-M187</f>
        <v>0</v>
      </c>
      <c r="N209" s="9">
        <f ca="1">SUMIF('Tech Parameters'!$B$273:$B$298,$B187,'Tech Parameters'!R$273:R$298)*'Tech Parameters'!$H20*'Ref scen Calcs'!N22*8760-N187</f>
        <v>0</v>
      </c>
      <c r="O209" s="9">
        <f ca="1">SUMIF('Tech Parameters'!$B$273:$B$298,$B187,'Tech Parameters'!S$273:S$298)*'Tech Parameters'!$H20*'Ref scen Calcs'!O22*8760-O187</f>
        <v>0</v>
      </c>
      <c r="P209" s="9">
        <f ca="1">SUMIF('Tech Parameters'!$B$273:$B$298,$B187,'Tech Parameters'!T$273:T$298)*'Tech Parameters'!$H20*'Ref scen Calcs'!P22*8760-P187</f>
        <v>0</v>
      </c>
      <c r="Q209" s="9">
        <f ca="1">SUMIF('Tech Parameters'!$B$273:$B$298,$B187,'Tech Parameters'!U$273:U$298)*'Tech Parameters'!$H20*'Ref scen Calcs'!Q22*8760-Q187</f>
        <v>0</v>
      </c>
      <c r="R209" s="9">
        <f ca="1">SUMIF('Tech Parameters'!$B$273:$B$298,$B187,'Tech Parameters'!V$273:V$298)*'Tech Parameters'!$H20*'Ref scen Calcs'!R22*8760-R187</f>
        <v>0</v>
      </c>
      <c r="S209" s="9">
        <f ca="1">SUMIF('Tech Parameters'!$B$273:$B$298,$B187,'Tech Parameters'!W$273:W$298)*'Tech Parameters'!$H20*'Ref scen Calcs'!S22*8760-S187</f>
        <v>0</v>
      </c>
      <c r="T209" s="9">
        <f ca="1">SUMIF('Tech Parameters'!$B$273:$B$298,$B187,'Tech Parameters'!X$273:X$298)*'Tech Parameters'!$H20*'Ref scen Calcs'!T22*8760-T187</f>
        <v>0</v>
      </c>
      <c r="U209" s="9">
        <f ca="1">SUMIF('Tech Parameters'!$B$273:$B$298,$B187,'Tech Parameters'!Y$273:Y$298)*'Tech Parameters'!$H20*'Ref scen Calcs'!U22*8760-U187</f>
        <v>0</v>
      </c>
      <c r="V209" s="9">
        <f ca="1">SUMIF('Tech Parameters'!$B$273:$B$298,$B187,'Tech Parameters'!Z$273:Z$298)*'Tech Parameters'!$H20*'Ref scen Calcs'!V22*8760-V187</f>
        <v>0</v>
      </c>
      <c r="W209" s="9">
        <f ca="1">SUMIF('Tech Parameters'!$B$273:$B$298,$B187,'Tech Parameters'!AA$273:AA$298)*'Tech Parameters'!$H20*'Ref scen Calcs'!W22*8760-W187</f>
        <v>0</v>
      </c>
      <c r="X209" s="9">
        <f ca="1">SUMIF('Tech Parameters'!$B$273:$B$298,$B187,'Tech Parameters'!AB$273:AB$298)*'Tech Parameters'!$H20*'Ref scen Calcs'!X22*8760-X187</f>
        <v>0</v>
      </c>
      <c r="Y209" s="9">
        <f ca="1">SUMIF('Tech Parameters'!$B$273:$B$298,$B187,'Tech Parameters'!AC$273:AC$298)*'Tech Parameters'!$H20*'Ref scen Calcs'!Y22*8760-Y187</f>
        <v>0</v>
      </c>
      <c r="Z209" s="9">
        <f ca="1">SUMIF('Tech Parameters'!$B$273:$B$298,$B187,'Tech Parameters'!AD$273:AD$298)*'Tech Parameters'!$H20*'Ref scen Calcs'!Z22*8760-Z187</f>
        <v>0</v>
      </c>
      <c r="AA209" s="9">
        <f ca="1">SUMIF('Tech Parameters'!$B$273:$B$298,$B187,'Tech Parameters'!AE$273:AE$298)*'Tech Parameters'!$H20*'Ref scen Calcs'!AA22*8760-AA187</f>
        <v>0</v>
      </c>
      <c r="AB209" s="9">
        <f ca="1">SUMIF('Tech Parameters'!$B$273:$B$298,$B187,'Tech Parameters'!AF$273:AF$298)*'Tech Parameters'!$H20*'Ref scen Calcs'!AB22*8760-AB187</f>
        <v>0</v>
      </c>
      <c r="AC209" s="9">
        <f ca="1">SUMIF('Tech Parameters'!$B$273:$B$298,$B187,'Tech Parameters'!AG$273:AG$298)*'Tech Parameters'!$H20*'Ref scen Calcs'!AC22*8760-AC187</f>
        <v>0</v>
      </c>
      <c r="AD209" s="9"/>
      <c r="AE209" s="9"/>
      <c r="AF209" s="9"/>
      <c r="AG209" s="9"/>
      <c r="AH209" s="9"/>
      <c r="AI209" s="9"/>
      <c r="AJ209" s="9"/>
      <c r="AK209" s="9"/>
      <c r="AL209" s="9"/>
      <c r="AM209" s="9"/>
      <c r="AN209" s="9"/>
      <c r="AO209" s="9"/>
      <c r="AP209" s="9"/>
      <c r="AQ209" s="9"/>
      <c r="AR209" s="9"/>
      <c r="AS209" s="9"/>
      <c r="AT209" s="9"/>
      <c r="AU209" s="9"/>
      <c r="AV209" s="9"/>
      <c r="AW209" s="9"/>
      <c r="BA209" s="4"/>
      <c r="BL209" s="4"/>
    </row>
    <row r="210" spans="2:64">
      <c r="B210" t="str">
        <f>'Tech Parameters'!C21</f>
        <v>Integrated Gasification Combined Cycle Coal</v>
      </c>
      <c r="C210" t="str">
        <f>'Tech Parameters'!B21</f>
        <v>IGCC</v>
      </c>
      <c r="D210" s="9">
        <f>SUMIF('Tech Parameters'!$B$273:$B$298,$B188,'Tech Parameters'!H$273:H$298)*'Tech Parameters'!$H21*'Ref scen Calcs'!D23*8760-D188</f>
        <v>0</v>
      </c>
      <c r="E210" s="9">
        <f>SUMIF('Tech Parameters'!$B$273:$B$298,$B188,'Tech Parameters'!I$273:I$298)*'Tech Parameters'!$H21*'Ref scen Calcs'!E23*8760-E188</f>
        <v>0</v>
      </c>
      <c r="F210" s="9">
        <f>SUMIF('Tech Parameters'!$B$273:$B$298,$B188,'Tech Parameters'!J$273:J$298)*'Tech Parameters'!$H21*'Ref scen Calcs'!F23*8760-F188</f>
        <v>0</v>
      </c>
      <c r="G210" s="9">
        <f>SUMIF('Tech Parameters'!$B$273:$B$298,$B188,'Tech Parameters'!K$273:K$298)*'Tech Parameters'!$H21*'Ref scen Calcs'!G23*8760-G188</f>
        <v>0</v>
      </c>
      <c r="H210" s="9">
        <f>SUMIF('Tech Parameters'!$B$273:$B$298,$B188,'Tech Parameters'!L$273:L$298)*'Tech Parameters'!$H21*'Ref scen Calcs'!H23*8760-H188</f>
        <v>0</v>
      </c>
      <c r="I210" s="9">
        <f ca="1">SUMIF('Tech Parameters'!$B$273:$B$298,$B188,'Tech Parameters'!M$273:M$298)*'Tech Parameters'!$H21*'Ref scen Calcs'!I23*8760-I188</f>
        <v>0</v>
      </c>
      <c r="J210" s="9">
        <f ca="1">SUMIF('Tech Parameters'!$B$273:$B$298,$B188,'Tech Parameters'!N$273:N$298)*'Tech Parameters'!$H21*'Ref scen Calcs'!J23*8760-J188</f>
        <v>0</v>
      </c>
      <c r="K210" s="9">
        <f ca="1">SUMIF('Tech Parameters'!$B$273:$B$298,$B188,'Tech Parameters'!O$273:O$298)*'Tech Parameters'!$H21*'Ref scen Calcs'!K23*8760-K188</f>
        <v>0</v>
      </c>
      <c r="L210" s="9">
        <f ca="1">SUMIF('Tech Parameters'!$B$273:$B$298,$B188,'Tech Parameters'!P$273:P$298)*'Tech Parameters'!$H21*'Ref scen Calcs'!L23*8760-L188</f>
        <v>0</v>
      </c>
      <c r="M210" s="9">
        <f ca="1">SUMIF('Tech Parameters'!$B$273:$B$298,$B188,'Tech Parameters'!Q$273:Q$298)*'Tech Parameters'!$H21*'Ref scen Calcs'!M23*8760-M188</f>
        <v>0</v>
      </c>
      <c r="N210" s="9">
        <f ca="1">SUMIF('Tech Parameters'!$B$273:$B$298,$B188,'Tech Parameters'!R$273:R$298)*'Tech Parameters'!$H21*'Ref scen Calcs'!N23*8760-N188</f>
        <v>0</v>
      </c>
      <c r="O210" s="9">
        <f ca="1">SUMIF('Tech Parameters'!$B$273:$B$298,$B188,'Tech Parameters'!S$273:S$298)*'Tech Parameters'!$H21*'Ref scen Calcs'!O23*8760-O188</f>
        <v>0</v>
      </c>
      <c r="P210" s="9">
        <f ca="1">SUMIF('Tech Parameters'!$B$273:$B$298,$B188,'Tech Parameters'!T$273:T$298)*'Tech Parameters'!$H21*'Ref scen Calcs'!P23*8760-P188</f>
        <v>0</v>
      </c>
      <c r="Q210" s="9">
        <f ca="1">SUMIF('Tech Parameters'!$B$273:$B$298,$B188,'Tech Parameters'!U$273:U$298)*'Tech Parameters'!$H21*'Ref scen Calcs'!Q23*8760-Q188</f>
        <v>0</v>
      </c>
      <c r="R210" s="9">
        <f ca="1">SUMIF('Tech Parameters'!$B$273:$B$298,$B188,'Tech Parameters'!V$273:V$298)*'Tech Parameters'!$H21*'Ref scen Calcs'!R23*8760-R188</f>
        <v>0</v>
      </c>
      <c r="S210" s="9">
        <f ca="1">SUMIF('Tech Parameters'!$B$273:$B$298,$B188,'Tech Parameters'!W$273:W$298)*'Tech Parameters'!$H21*'Ref scen Calcs'!S23*8760-S188</f>
        <v>0</v>
      </c>
      <c r="T210" s="9">
        <f ca="1">SUMIF('Tech Parameters'!$B$273:$B$298,$B188,'Tech Parameters'!X$273:X$298)*'Tech Parameters'!$H21*'Ref scen Calcs'!T23*8760-T188</f>
        <v>0</v>
      </c>
      <c r="U210" s="9">
        <f ca="1">SUMIF('Tech Parameters'!$B$273:$B$298,$B188,'Tech Parameters'!Y$273:Y$298)*'Tech Parameters'!$H21*'Ref scen Calcs'!U23*8760-U188</f>
        <v>0</v>
      </c>
      <c r="V210" s="9">
        <f ca="1">SUMIF('Tech Parameters'!$B$273:$B$298,$B188,'Tech Parameters'!Z$273:Z$298)*'Tech Parameters'!$H21*'Ref scen Calcs'!V23*8760-V188</f>
        <v>0</v>
      </c>
      <c r="W210" s="9">
        <f ca="1">SUMIF('Tech Parameters'!$B$273:$B$298,$B188,'Tech Parameters'!AA$273:AA$298)*'Tech Parameters'!$H21*'Ref scen Calcs'!W23*8760-W188</f>
        <v>0</v>
      </c>
      <c r="X210" s="9">
        <f ca="1">SUMIF('Tech Parameters'!$B$273:$B$298,$B188,'Tech Parameters'!AB$273:AB$298)*'Tech Parameters'!$H21*'Ref scen Calcs'!X23*8760-X188</f>
        <v>0</v>
      </c>
      <c r="Y210" s="9">
        <f ca="1">SUMIF('Tech Parameters'!$B$273:$B$298,$B188,'Tech Parameters'!AC$273:AC$298)*'Tech Parameters'!$H21*'Ref scen Calcs'!Y23*8760-Y188</f>
        <v>0</v>
      </c>
      <c r="Z210" s="9">
        <f ca="1">SUMIF('Tech Parameters'!$B$273:$B$298,$B188,'Tech Parameters'!AD$273:AD$298)*'Tech Parameters'!$H21*'Ref scen Calcs'!Z23*8760-Z188</f>
        <v>0</v>
      </c>
      <c r="AA210" s="9">
        <f ca="1">SUMIF('Tech Parameters'!$B$273:$B$298,$B188,'Tech Parameters'!AE$273:AE$298)*'Tech Parameters'!$H21*'Ref scen Calcs'!AA23*8760-AA188</f>
        <v>0</v>
      </c>
      <c r="AB210" s="9">
        <f ca="1">SUMIF('Tech Parameters'!$B$273:$B$298,$B188,'Tech Parameters'!AF$273:AF$298)*'Tech Parameters'!$H21*'Ref scen Calcs'!AB23*8760-AB188</f>
        <v>0</v>
      </c>
      <c r="AC210" s="9">
        <f ca="1">SUMIF('Tech Parameters'!$B$273:$B$298,$B188,'Tech Parameters'!AG$273:AG$298)*'Tech Parameters'!$H21*'Ref scen Calcs'!AC23*8760-AC188</f>
        <v>0</v>
      </c>
      <c r="AD210" s="9"/>
      <c r="AE210" s="9"/>
      <c r="AF210" s="9"/>
      <c r="AG210" s="9"/>
      <c r="AH210" s="9"/>
      <c r="AI210" s="9"/>
      <c r="AJ210" s="9"/>
      <c r="AK210" s="9"/>
      <c r="AL210" s="9"/>
      <c r="AM210" s="9"/>
      <c r="AN210" s="9"/>
      <c r="AO210" s="9"/>
      <c r="AP210" s="9"/>
      <c r="AQ210" s="9"/>
      <c r="AR210" s="9"/>
      <c r="AS210" s="9"/>
      <c r="AT210" s="9"/>
      <c r="AU210" s="9"/>
      <c r="AV210" s="9"/>
      <c r="AW210" s="9"/>
      <c r="BA210" s="4"/>
      <c r="BL210" s="4"/>
    </row>
    <row r="211" spans="2:64">
      <c r="B211" t="str">
        <f>'Tech Parameters'!C22</f>
        <v>not used</v>
      </c>
      <c r="C211" t="str">
        <f>'Tech Parameters'!B22</f>
        <v>-</v>
      </c>
      <c r="D211" s="9">
        <f>SUMIF('Tech Parameters'!$B$273:$B$298,$B189,'Tech Parameters'!H$273:H$298)*'Tech Parameters'!$H22*'Ref scen Calcs'!D24*8760-D189</f>
        <v>0</v>
      </c>
      <c r="E211" s="9">
        <f>SUMIF('Tech Parameters'!$B$273:$B$298,$B189,'Tech Parameters'!I$273:I$298)*'Tech Parameters'!$H22*'Ref scen Calcs'!E24*8760-E189</f>
        <v>0</v>
      </c>
      <c r="F211" s="9">
        <f>SUMIF('Tech Parameters'!$B$273:$B$298,$B189,'Tech Parameters'!J$273:J$298)*'Tech Parameters'!$H22*'Ref scen Calcs'!F24*8760-F189</f>
        <v>0</v>
      </c>
      <c r="G211" s="9">
        <f>SUMIF('Tech Parameters'!$B$273:$B$298,$B189,'Tech Parameters'!K$273:K$298)*'Tech Parameters'!$H22*'Ref scen Calcs'!G24*8760-G189</f>
        <v>0</v>
      </c>
      <c r="H211" s="9">
        <f>SUMIF('Tech Parameters'!$B$273:$B$298,$B189,'Tech Parameters'!L$273:L$298)*'Tech Parameters'!$H22*'Ref scen Calcs'!H24*8760-H189</f>
        <v>0</v>
      </c>
      <c r="I211" s="9">
        <f ca="1">SUMIF('Tech Parameters'!$B$273:$B$298,$B189,'Tech Parameters'!M$273:M$298)*'Tech Parameters'!$H22*'Ref scen Calcs'!I24*8760-I189</f>
        <v>0</v>
      </c>
      <c r="J211" s="9">
        <f ca="1">SUMIF('Tech Parameters'!$B$273:$B$298,$B189,'Tech Parameters'!N$273:N$298)*'Tech Parameters'!$H22*'Ref scen Calcs'!J24*8760-J189</f>
        <v>0</v>
      </c>
      <c r="K211" s="9">
        <f ca="1">SUMIF('Tech Parameters'!$B$273:$B$298,$B189,'Tech Parameters'!O$273:O$298)*'Tech Parameters'!$H22*'Ref scen Calcs'!K24*8760-K189</f>
        <v>0</v>
      </c>
      <c r="L211" s="9">
        <f ca="1">SUMIF('Tech Parameters'!$B$273:$B$298,$B189,'Tech Parameters'!P$273:P$298)*'Tech Parameters'!$H22*'Ref scen Calcs'!L24*8760-L189</f>
        <v>0</v>
      </c>
      <c r="M211" s="9">
        <f ca="1">SUMIF('Tech Parameters'!$B$273:$B$298,$B189,'Tech Parameters'!Q$273:Q$298)*'Tech Parameters'!$H22*'Ref scen Calcs'!M24*8760-M189</f>
        <v>0</v>
      </c>
      <c r="N211" s="9">
        <f ca="1">SUMIF('Tech Parameters'!$B$273:$B$298,$B189,'Tech Parameters'!R$273:R$298)*'Tech Parameters'!$H22*'Ref scen Calcs'!N24*8760-N189</f>
        <v>0</v>
      </c>
      <c r="O211" s="9">
        <f ca="1">SUMIF('Tech Parameters'!$B$273:$B$298,$B189,'Tech Parameters'!S$273:S$298)*'Tech Parameters'!$H22*'Ref scen Calcs'!O24*8760-O189</f>
        <v>0</v>
      </c>
      <c r="P211" s="9">
        <f ca="1">SUMIF('Tech Parameters'!$B$273:$B$298,$B189,'Tech Parameters'!T$273:T$298)*'Tech Parameters'!$H22*'Ref scen Calcs'!P24*8760-P189</f>
        <v>0</v>
      </c>
      <c r="Q211" s="9">
        <f ca="1">SUMIF('Tech Parameters'!$B$273:$B$298,$B189,'Tech Parameters'!U$273:U$298)*'Tech Parameters'!$H22*'Ref scen Calcs'!Q24*8760-Q189</f>
        <v>0</v>
      </c>
      <c r="R211" s="9">
        <f ca="1">SUMIF('Tech Parameters'!$B$273:$B$298,$B189,'Tech Parameters'!V$273:V$298)*'Tech Parameters'!$H22*'Ref scen Calcs'!R24*8760-R189</f>
        <v>0</v>
      </c>
      <c r="S211" s="9">
        <f ca="1">SUMIF('Tech Parameters'!$B$273:$B$298,$B189,'Tech Parameters'!W$273:W$298)*'Tech Parameters'!$H22*'Ref scen Calcs'!S24*8760-S189</f>
        <v>0</v>
      </c>
      <c r="T211" s="9">
        <f ca="1">SUMIF('Tech Parameters'!$B$273:$B$298,$B189,'Tech Parameters'!X$273:X$298)*'Tech Parameters'!$H22*'Ref scen Calcs'!T24*8760-T189</f>
        <v>0</v>
      </c>
      <c r="U211" s="9">
        <f ca="1">SUMIF('Tech Parameters'!$B$273:$B$298,$B189,'Tech Parameters'!Y$273:Y$298)*'Tech Parameters'!$H22*'Ref scen Calcs'!U24*8760-U189</f>
        <v>0</v>
      </c>
      <c r="V211" s="9">
        <f ca="1">SUMIF('Tech Parameters'!$B$273:$B$298,$B189,'Tech Parameters'!Z$273:Z$298)*'Tech Parameters'!$H22*'Ref scen Calcs'!V24*8760-V189</f>
        <v>0</v>
      </c>
      <c r="W211" s="9">
        <f ca="1">SUMIF('Tech Parameters'!$B$273:$B$298,$B189,'Tech Parameters'!AA$273:AA$298)*'Tech Parameters'!$H22*'Ref scen Calcs'!W24*8760-W189</f>
        <v>0</v>
      </c>
      <c r="X211" s="9">
        <f ca="1">SUMIF('Tech Parameters'!$B$273:$B$298,$B189,'Tech Parameters'!AB$273:AB$298)*'Tech Parameters'!$H22*'Ref scen Calcs'!X24*8760-X189</f>
        <v>0</v>
      </c>
      <c r="Y211" s="9">
        <f ca="1">SUMIF('Tech Parameters'!$B$273:$B$298,$B189,'Tech Parameters'!AC$273:AC$298)*'Tech Parameters'!$H22*'Ref scen Calcs'!Y24*8760-Y189</f>
        <v>0</v>
      </c>
      <c r="Z211" s="9">
        <f ca="1">SUMIF('Tech Parameters'!$B$273:$B$298,$B189,'Tech Parameters'!AD$273:AD$298)*'Tech Parameters'!$H22*'Ref scen Calcs'!Z24*8760-Z189</f>
        <v>0</v>
      </c>
      <c r="AA211" s="9">
        <f ca="1">SUMIF('Tech Parameters'!$B$273:$B$298,$B189,'Tech Parameters'!AE$273:AE$298)*'Tech Parameters'!$H22*'Ref scen Calcs'!AA24*8760-AA189</f>
        <v>0</v>
      </c>
      <c r="AB211" s="9">
        <f ca="1">SUMIF('Tech Parameters'!$B$273:$B$298,$B189,'Tech Parameters'!AF$273:AF$298)*'Tech Parameters'!$H22*'Ref scen Calcs'!AB24*8760-AB189</f>
        <v>0</v>
      </c>
      <c r="AC211" s="9">
        <f ca="1">SUMIF('Tech Parameters'!$B$273:$B$298,$B189,'Tech Parameters'!AG$273:AG$298)*'Tech Parameters'!$H22*'Ref scen Calcs'!AC24*8760-AC189</f>
        <v>0</v>
      </c>
      <c r="AD211" s="9"/>
      <c r="AE211" s="9"/>
      <c r="AF211" s="9"/>
      <c r="AG211" s="9"/>
      <c r="AH211" s="9"/>
      <c r="AI211" s="9"/>
      <c r="AJ211" s="9"/>
      <c r="AK211" s="9"/>
      <c r="AL211" s="9"/>
      <c r="AM211" s="9"/>
      <c r="AN211" s="9"/>
      <c r="AO211" s="9"/>
      <c r="AP211" s="9"/>
      <c r="AQ211" s="9"/>
      <c r="AR211" s="9"/>
      <c r="AS211" s="9"/>
      <c r="AT211" s="9"/>
      <c r="AU211" s="9"/>
      <c r="AV211" s="9"/>
      <c r="AW211" s="9"/>
      <c r="BA211" s="4"/>
      <c r="BL211" s="4"/>
    </row>
    <row r="212" spans="2:64">
      <c r="B212" t="str">
        <f>'Tech Parameters'!C23</f>
        <v>not used</v>
      </c>
      <c r="C212" t="str">
        <f>'Tech Parameters'!B23</f>
        <v>-</v>
      </c>
      <c r="D212" s="9">
        <f>SUMIF('Tech Parameters'!$B$273:$B$298,$B190,'Tech Parameters'!H$273:H$298)*'Tech Parameters'!$H23*'Ref scen Calcs'!D25*8760-D190</f>
        <v>0</v>
      </c>
      <c r="E212" s="9">
        <f>SUMIF('Tech Parameters'!$B$273:$B$298,$B190,'Tech Parameters'!I$273:I$298)*'Tech Parameters'!$H23*'Ref scen Calcs'!E25*8760-E190</f>
        <v>0</v>
      </c>
      <c r="F212" s="9">
        <f>SUMIF('Tech Parameters'!$B$273:$B$298,$B190,'Tech Parameters'!J$273:J$298)*'Tech Parameters'!$H23*'Ref scen Calcs'!F25*8760-F190</f>
        <v>0</v>
      </c>
      <c r="G212" s="9">
        <f>SUMIF('Tech Parameters'!$B$273:$B$298,$B190,'Tech Parameters'!K$273:K$298)*'Tech Parameters'!$H23*'Ref scen Calcs'!G25*8760-G190</f>
        <v>0</v>
      </c>
      <c r="H212" s="9">
        <f>SUMIF('Tech Parameters'!$B$273:$B$298,$B190,'Tech Parameters'!L$273:L$298)*'Tech Parameters'!$H23*'Ref scen Calcs'!H25*8760-H190</f>
        <v>0</v>
      </c>
      <c r="I212" s="9">
        <f ca="1">SUMIF('Tech Parameters'!$B$273:$B$298,$B190,'Tech Parameters'!M$273:M$298)*'Tech Parameters'!$H23*'Ref scen Calcs'!I25*8760-I190</f>
        <v>0</v>
      </c>
      <c r="J212" s="9">
        <f ca="1">SUMIF('Tech Parameters'!$B$273:$B$298,$B190,'Tech Parameters'!N$273:N$298)*'Tech Parameters'!$H23*'Ref scen Calcs'!J25*8760-J190</f>
        <v>0</v>
      </c>
      <c r="K212" s="9">
        <f ca="1">SUMIF('Tech Parameters'!$B$273:$B$298,$B190,'Tech Parameters'!O$273:O$298)*'Tech Parameters'!$H23*'Ref scen Calcs'!K25*8760-K190</f>
        <v>0</v>
      </c>
      <c r="L212" s="9">
        <f ca="1">SUMIF('Tech Parameters'!$B$273:$B$298,$B190,'Tech Parameters'!P$273:P$298)*'Tech Parameters'!$H23*'Ref scen Calcs'!L25*8760-L190</f>
        <v>0</v>
      </c>
      <c r="M212" s="9">
        <f ca="1">SUMIF('Tech Parameters'!$B$273:$B$298,$B190,'Tech Parameters'!Q$273:Q$298)*'Tech Parameters'!$H23*'Ref scen Calcs'!M25*8760-M190</f>
        <v>0</v>
      </c>
      <c r="N212" s="9">
        <f ca="1">SUMIF('Tech Parameters'!$B$273:$B$298,$B190,'Tech Parameters'!R$273:R$298)*'Tech Parameters'!$H23*'Ref scen Calcs'!N25*8760-N190</f>
        <v>0</v>
      </c>
      <c r="O212" s="9">
        <f ca="1">SUMIF('Tech Parameters'!$B$273:$B$298,$B190,'Tech Parameters'!S$273:S$298)*'Tech Parameters'!$H23*'Ref scen Calcs'!O25*8760-O190</f>
        <v>0</v>
      </c>
      <c r="P212" s="9">
        <f ca="1">SUMIF('Tech Parameters'!$B$273:$B$298,$B190,'Tech Parameters'!T$273:T$298)*'Tech Parameters'!$H23*'Ref scen Calcs'!P25*8760-P190</f>
        <v>0</v>
      </c>
      <c r="Q212" s="9">
        <f ca="1">SUMIF('Tech Parameters'!$B$273:$B$298,$B190,'Tech Parameters'!U$273:U$298)*'Tech Parameters'!$H23*'Ref scen Calcs'!Q25*8760-Q190</f>
        <v>0</v>
      </c>
      <c r="R212" s="9">
        <f ca="1">SUMIF('Tech Parameters'!$B$273:$B$298,$B190,'Tech Parameters'!V$273:V$298)*'Tech Parameters'!$H23*'Ref scen Calcs'!R25*8760-R190</f>
        <v>0</v>
      </c>
      <c r="S212" s="9">
        <f ca="1">SUMIF('Tech Parameters'!$B$273:$B$298,$B190,'Tech Parameters'!W$273:W$298)*'Tech Parameters'!$H23*'Ref scen Calcs'!S25*8760-S190</f>
        <v>0</v>
      </c>
      <c r="T212" s="9">
        <f ca="1">SUMIF('Tech Parameters'!$B$273:$B$298,$B190,'Tech Parameters'!X$273:X$298)*'Tech Parameters'!$H23*'Ref scen Calcs'!T25*8760-T190</f>
        <v>0</v>
      </c>
      <c r="U212" s="9">
        <f ca="1">SUMIF('Tech Parameters'!$B$273:$B$298,$B190,'Tech Parameters'!Y$273:Y$298)*'Tech Parameters'!$H23*'Ref scen Calcs'!U25*8760-U190</f>
        <v>0</v>
      </c>
      <c r="V212" s="9">
        <f ca="1">SUMIF('Tech Parameters'!$B$273:$B$298,$B190,'Tech Parameters'!Z$273:Z$298)*'Tech Parameters'!$H23*'Ref scen Calcs'!V25*8760-V190</f>
        <v>0</v>
      </c>
      <c r="W212" s="9">
        <f ca="1">SUMIF('Tech Parameters'!$B$273:$B$298,$B190,'Tech Parameters'!AA$273:AA$298)*'Tech Parameters'!$H23*'Ref scen Calcs'!W25*8760-W190</f>
        <v>0</v>
      </c>
      <c r="X212" s="9">
        <f ca="1">SUMIF('Tech Parameters'!$B$273:$B$298,$B190,'Tech Parameters'!AB$273:AB$298)*'Tech Parameters'!$H23*'Ref scen Calcs'!X25*8760-X190</f>
        <v>0</v>
      </c>
      <c r="Y212" s="9">
        <f ca="1">SUMIF('Tech Parameters'!$B$273:$B$298,$B190,'Tech Parameters'!AC$273:AC$298)*'Tech Parameters'!$H23*'Ref scen Calcs'!Y25*8760-Y190</f>
        <v>0</v>
      </c>
      <c r="Z212" s="9">
        <f ca="1">SUMIF('Tech Parameters'!$B$273:$B$298,$B190,'Tech Parameters'!AD$273:AD$298)*'Tech Parameters'!$H23*'Ref scen Calcs'!Z25*8760-Z190</f>
        <v>0</v>
      </c>
      <c r="AA212" s="9">
        <f ca="1">SUMIF('Tech Parameters'!$B$273:$B$298,$B190,'Tech Parameters'!AE$273:AE$298)*'Tech Parameters'!$H23*'Ref scen Calcs'!AA25*8760-AA190</f>
        <v>0</v>
      </c>
      <c r="AB212" s="9">
        <f ca="1">SUMIF('Tech Parameters'!$B$273:$B$298,$B190,'Tech Parameters'!AF$273:AF$298)*'Tech Parameters'!$H23*'Ref scen Calcs'!AB25*8760-AB190</f>
        <v>0</v>
      </c>
      <c r="AC212" s="9">
        <f ca="1">SUMIF('Tech Parameters'!$B$273:$B$298,$B190,'Tech Parameters'!AG$273:AG$298)*'Tech Parameters'!$H23*'Ref scen Calcs'!AC25*8760-AC190</f>
        <v>0</v>
      </c>
      <c r="AD212" s="9"/>
      <c r="AE212" s="9"/>
      <c r="AF212" s="9"/>
      <c r="AG212" s="9"/>
      <c r="AH212" s="9"/>
      <c r="AI212" s="9"/>
      <c r="AJ212" s="9"/>
      <c r="AK212" s="9"/>
      <c r="AL212" s="9"/>
      <c r="AM212" s="9"/>
      <c r="AN212" s="9"/>
      <c r="AO212" s="9"/>
      <c r="AP212" s="9"/>
      <c r="AQ212" s="9"/>
      <c r="AR212" s="9"/>
      <c r="AS212" s="9"/>
      <c r="AT212" s="9"/>
      <c r="AU212" s="9"/>
      <c r="AV212" s="9"/>
      <c r="AW212" s="9"/>
      <c r="BA212" s="4"/>
      <c r="BL212" s="4"/>
    </row>
    <row r="213" spans="2:64">
      <c r="B213" t="str">
        <f>'Tech Parameters'!C24</f>
        <v>not used</v>
      </c>
      <c r="C213" t="str">
        <f>'Tech Parameters'!B24</f>
        <v>-</v>
      </c>
      <c r="D213" s="9">
        <f>SUMIF('Tech Parameters'!$B$273:$B$298,$B191,'Tech Parameters'!H$273:H$298)*'Tech Parameters'!$H24*'Ref scen Calcs'!D26*8760-D191</f>
        <v>0</v>
      </c>
      <c r="E213" s="9">
        <f>SUMIF('Tech Parameters'!$B$273:$B$298,$B191,'Tech Parameters'!I$273:I$298)*'Tech Parameters'!$H24*'Ref scen Calcs'!E26*8760-E191</f>
        <v>0</v>
      </c>
      <c r="F213" s="9">
        <f>SUMIF('Tech Parameters'!$B$273:$B$298,$B191,'Tech Parameters'!J$273:J$298)*'Tech Parameters'!$H24*'Ref scen Calcs'!F26*8760-F191</f>
        <v>0</v>
      </c>
      <c r="G213" s="9">
        <f>SUMIF('Tech Parameters'!$B$273:$B$298,$B191,'Tech Parameters'!K$273:K$298)*'Tech Parameters'!$H24*'Ref scen Calcs'!G26*8760-G191</f>
        <v>0</v>
      </c>
      <c r="H213" s="9">
        <f>SUMIF('Tech Parameters'!$B$273:$B$298,$B191,'Tech Parameters'!L$273:L$298)*'Tech Parameters'!$H24*'Ref scen Calcs'!H26*8760-H191</f>
        <v>0</v>
      </c>
      <c r="I213" s="9">
        <f ca="1">SUMIF('Tech Parameters'!$B$273:$B$298,$B191,'Tech Parameters'!M$273:M$298)*'Tech Parameters'!$H24*'Ref scen Calcs'!I26*8760-I191</f>
        <v>0</v>
      </c>
      <c r="J213" s="9">
        <f ca="1">SUMIF('Tech Parameters'!$B$273:$B$298,$B191,'Tech Parameters'!N$273:N$298)*'Tech Parameters'!$H24*'Ref scen Calcs'!J26*8760-J191</f>
        <v>0</v>
      </c>
      <c r="K213" s="9">
        <f ca="1">SUMIF('Tech Parameters'!$B$273:$B$298,$B191,'Tech Parameters'!O$273:O$298)*'Tech Parameters'!$H24*'Ref scen Calcs'!K26*8760-K191</f>
        <v>0</v>
      </c>
      <c r="L213" s="9">
        <f ca="1">SUMIF('Tech Parameters'!$B$273:$B$298,$B191,'Tech Parameters'!P$273:P$298)*'Tech Parameters'!$H24*'Ref scen Calcs'!L26*8760-L191</f>
        <v>0</v>
      </c>
      <c r="M213" s="9">
        <f ca="1">SUMIF('Tech Parameters'!$B$273:$B$298,$B191,'Tech Parameters'!Q$273:Q$298)*'Tech Parameters'!$H24*'Ref scen Calcs'!M26*8760-M191</f>
        <v>0</v>
      </c>
      <c r="N213" s="9">
        <f ca="1">SUMIF('Tech Parameters'!$B$273:$B$298,$B191,'Tech Parameters'!R$273:R$298)*'Tech Parameters'!$H24*'Ref scen Calcs'!N26*8760-N191</f>
        <v>0</v>
      </c>
      <c r="O213" s="9">
        <f ca="1">SUMIF('Tech Parameters'!$B$273:$B$298,$B191,'Tech Parameters'!S$273:S$298)*'Tech Parameters'!$H24*'Ref scen Calcs'!O26*8760-O191</f>
        <v>0</v>
      </c>
      <c r="P213" s="9">
        <f ca="1">SUMIF('Tech Parameters'!$B$273:$B$298,$B191,'Tech Parameters'!T$273:T$298)*'Tech Parameters'!$H24*'Ref scen Calcs'!P26*8760-P191</f>
        <v>0</v>
      </c>
      <c r="Q213" s="9">
        <f ca="1">SUMIF('Tech Parameters'!$B$273:$B$298,$B191,'Tech Parameters'!U$273:U$298)*'Tech Parameters'!$H24*'Ref scen Calcs'!Q26*8760-Q191</f>
        <v>0</v>
      </c>
      <c r="R213" s="9">
        <f ca="1">SUMIF('Tech Parameters'!$B$273:$B$298,$B191,'Tech Parameters'!V$273:V$298)*'Tech Parameters'!$H24*'Ref scen Calcs'!R26*8760-R191</f>
        <v>0</v>
      </c>
      <c r="S213" s="9">
        <f ca="1">SUMIF('Tech Parameters'!$B$273:$B$298,$B191,'Tech Parameters'!W$273:W$298)*'Tech Parameters'!$H24*'Ref scen Calcs'!S26*8760-S191</f>
        <v>0</v>
      </c>
      <c r="T213" s="9">
        <f ca="1">SUMIF('Tech Parameters'!$B$273:$B$298,$B191,'Tech Parameters'!X$273:X$298)*'Tech Parameters'!$H24*'Ref scen Calcs'!T26*8760-T191</f>
        <v>0</v>
      </c>
      <c r="U213" s="9">
        <f ca="1">SUMIF('Tech Parameters'!$B$273:$B$298,$B191,'Tech Parameters'!Y$273:Y$298)*'Tech Parameters'!$H24*'Ref scen Calcs'!U26*8760-U191</f>
        <v>0</v>
      </c>
      <c r="V213" s="9">
        <f ca="1">SUMIF('Tech Parameters'!$B$273:$B$298,$B191,'Tech Parameters'!Z$273:Z$298)*'Tech Parameters'!$H24*'Ref scen Calcs'!V26*8760-V191</f>
        <v>0</v>
      </c>
      <c r="W213" s="9">
        <f ca="1">SUMIF('Tech Parameters'!$B$273:$B$298,$B191,'Tech Parameters'!AA$273:AA$298)*'Tech Parameters'!$H24*'Ref scen Calcs'!W26*8760-W191</f>
        <v>0</v>
      </c>
      <c r="X213" s="9">
        <f ca="1">SUMIF('Tech Parameters'!$B$273:$B$298,$B191,'Tech Parameters'!AB$273:AB$298)*'Tech Parameters'!$H24*'Ref scen Calcs'!X26*8760-X191</f>
        <v>0</v>
      </c>
      <c r="Y213" s="9">
        <f ca="1">SUMIF('Tech Parameters'!$B$273:$B$298,$B191,'Tech Parameters'!AC$273:AC$298)*'Tech Parameters'!$H24*'Ref scen Calcs'!Y26*8760-Y191</f>
        <v>0</v>
      </c>
      <c r="Z213" s="9">
        <f ca="1">SUMIF('Tech Parameters'!$B$273:$B$298,$B191,'Tech Parameters'!AD$273:AD$298)*'Tech Parameters'!$H24*'Ref scen Calcs'!Z26*8760-Z191</f>
        <v>0</v>
      </c>
      <c r="AA213" s="9">
        <f ca="1">SUMIF('Tech Parameters'!$B$273:$B$298,$B191,'Tech Parameters'!AE$273:AE$298)*'Tech Parameters'!$H24*'Ref scen Calcs'!AA26*8760-AA191</f>
        <v>0</v>
      </c>
      <c r="AB213" s="9">
        <f ca="1">SUMIF('Tech Parameters'!$B$273:$B$298,$B191,'Tech Parameters'!AF$273:AF$298)*'Tech Parameters'!$H24*'Ref scen Calcs'!AB26*8760-AB191</f>
        <v>0</v>
      </c>
      <c r="AC213" s="9">
        <f ca="1">SUMIF('Tech Parameters'!$B$273:$B$298,$B191,'Tech Parameters'!AG$273:AG$298)*'Tech Parameters'!$H24*'Ref scen Calcs'!AC26*8760-AC191</f>
        <v>0</v>
      </c>
      <c r="AD213" s="9"/>
      <c r="AE213" s="9"/>
      <c r="AF213" s="9"/>
      <c r="AG213" s="9"/>
      <c r="AH213" s="9"/>
      <c r="AI213" s="9"/>
      <c r="AJ213" s="9"/>
      <c r="AK213" s="9"/>
      <c r="AL213" s="9"/>
      <c r="AM213" s="9"/>
      <c r="AN213" s="9"/>
      <c r="AO213" s="9"/>
      <c r="AP213" s="9"/>
      <c r="AQ213" s="9"/>
      <c r="AR213" s="9"/>
      <c r="AS213" s="9"/>
      <c r="AT213" s="9"/>
      <c r="AU213" s="9"/>
      <c r="AV213" s="9"/>
      <c r="AW213" s="9"/>
      <c r="BA213" s="4"/>
      <c r="BL213" s="4"/>
    </row>
    <row r="214" spans="2:64">
      <c r="B214" t="str">
        <f>'Tech Parameters'!C25</f>
        <v>Pumped Storage</v>
      </c>
      <c r="C214" t="str">
        <f>'Tech Parameters'!B25</f>
        <v>Pumped storage</v>
      </c>
      <c r="D214" s="9">
        <f>SUMIF('Tech Parameters'!$B$273:$B$298,$B192,'Tech Parameters'!H$273:H$298)*'Tech Parameters'!$H25*'Ref scen Calcs'!D27*8760-D192</f>
        <v>0</v>
      </c>
      <c r="E214" s="9">
        <f>SUMIF('Tech Parameters'!$B$273:$B$298,$B192,'Tech Parameters'!I$273:I$298)*'Tech Parameters'!$H25*'Ref scen Calcs'!E27*8760-E192</f>
        <v>0</v>
      </c>
      <c r="F214" s="9">
        <f>SUMIF('Tech Parameters'!$B$273:$B$298,$B192,'Tech Parameters'!J$273:J$298)*'Tech Parameters'!$H25*'Ref scen Calcs'!F27*8760-F192</f>
        <v>0</v>
      </c>
      <c r="G214" s="9">
        <f>SUMIF('Tech Parameters'!$B$273:$B$298,$B192,'Tech Parameters'!K$273:K$298)*'Tech Parameters'!$H25*'Ref scen Calcs'!G27*8760-G192</f>
        <v>0</v>
      </c>
      <c r="H214" s="9">
        <f>SUMIF('Tech Parameters'!$B$273:$B$298,$B192,'Tech Parameters'!L$273:L$298)*'Tech Parameters'!$H25*'Ref scen Calcs'!H27*8760-H192</f>
        <v>0</v>
      </c>
      <c r="I214" s="9">
        <f ca="1">SUMIF('Tech Parameters'!$B$273:$B$298,$B192,'Tech Parameters'!M$273:M$298)*'Tech Parameters'!$H25*'Ref scen Calcs'!I27*8760-I192</f>
        <v>0</v>
      </c>
      <c r="J214" s="9">
        <f ca="1">SUMIF('Tech Parameters'!$B$273:$B$298,$B192,'Tech Parameters'!N$273:N$298)*'Tech Parameters'!$H25*'Ref scen Calcs'!J27*8760-J192</f>
        <v>0</v>
      </c>
      <c r="K214" s="9">
        <f ca="1">SUMIF('Tech Parameters'!$B$273:$B$298,$B192,'Tech Parameters'!O$273:O$298)*'Tech Parameters'!$H25*'Ref scen Calcs'!K27*8760-K192</f>
        <v>0</v>
      </c>
      <c r="L214" s="9">
        <f ca="1">SUMIF('Tech Parameters'!$B$273:$B$298,$B192,'Tech Parameters'!P$273:P$298)*'Tech Parameters'!$H25*'Ref scen Calcs'!L27*8760-L192</f>
        <v>0</v>
      </c>
      <c r="M214" s="9">
        <f ca="1">SUMIF('Tech Parameters'!$B$273:$B$298,$B192,'Tech Parameters'!Q$273:Q$298)*'Tech Parameters'!$H25*'Ref scen Calcs'!M27*8760-M192</f>
        <v>0</v>
      </c>
      <c r="N214" s="9">
        <f ca="1">SUMIF('Tech Parameters'!$B$273:$B$298,$B192,'Tech Parameters'!R$273:R$298)*'Tech Parameters'!$H25*'Ref scen Calcs'!N27*8760-N192</f>
        <v>0</v>
      </c>
      <c r="O214" s="9">
        <f ca="1">SUMIF('Tech Parameters'!$B$273:$B$298,$B192,'Tech Parameters'!S$273:S$298)*'Tech Parameters'!$H25*'Ref scen Calcs'!O27*8760-O192</f>
        <v>0</v>
      </c>
      <c r="P214" s="9">
        <f ca="1">SUMIF('Tech Parameters'!$B$273:$B$298,$B192,'Tech Parameters'!T$273:T$298)*'Tech Parameters'!$H25*'Ref scen Calcs'!P27*8760-P192</f>
        <v>0</v>
      </c>
      <c r="Q214" s="9">
        <f ca="1">SUMIF('Tech Parameters'!$B$273:$B$298,$B192,'Tech Parameters'!U$273:U$298)*'Tech Parameters'!$H25*'Ref scen Calcs'!Q27*8760-Q192</f>
        <v>0</v>
      </c>
      <c r="R214" s="9">
        <f ca="1">SUMIF('Tech Parameters'!$B$273:$B$298,$B192,'Tech Parameters'!V$273:V$298)*'Tech Parameters'!$H25*'Ref scen Calcs'!R27*8760-R192</f>
        <v>0</v>
      </c>
      <c r="S214" s="9">
        <f ca="1">SUMIF('Tech Parameters'!$B$273:$B$298,$B192,'Tech Parameters'!W$273:W$298)*'Tech Parameters'!$H25*'Ref scen Calcs'!S27*8760-S192</f>
        <v>0</v>
      </c>
      <c r="T214" s="9">
        <f ca="1">SUMIF('Tech Parameters'!$B$273:$B$298,$B192,'Tech Parameters'!X$273:X$298)*'Tech Parameters'!$H25*'Ref scen Calcs'!T27*8760-T192</f>
        <v>0</v>
      </c>
      <c r="U214" s="9">
        <f ca="1">SUMIF('Tech Parameters'!$B$273:$B$298,$B192,'Tech Parameters'!Y$273:Y$298)*'Tech Parameters'!$H25*'Ref scen Calcs'!U27*8760-U192</f>
        <v>0</v>
      </c>
      <c r="V214" s="9">
        <f ca="1">SUMIF('Tech Parameters'!$B$273:$B$298,$B192,'Tech Parameters'!Z$273:Z$298)*'Tech Parameters'!$H25*'Ref scen Calcs'!V27*8760-V192</f>
        <v>0</v>
      </c>
      <c r="W214" s="9">
        <f ca="1">SUMIF('Tech Parameters'!$B$273:$B$298,$B192,'Tech Parameters'!AA$273:AA$298)*'Tech Parameters'!$H25*'Ref scen Calcs'!W27*8760-W192</f>
        <v>0</v>
      </c>
      <c r="X214" s="9">
        <f ca="1">SUMIF('Tech Parameters'!$B$273:$B$298,$B192,'Tech Parameters'!AB$273:AB$298)*'Tech Parameters'!$H25*'Ref scen Calcs'!X27*8760-X192</f>
        <v>0</v>
      </c>
      <c r="Y214" s="9">
        <f ca="1">SUMIF('Tech Parameters'!$B$273:$B$298,$B192,'Tech Parameters'!AC$273:AC$298)*'Tech Parameters'!$H25*'Ref scen Calcs'!Y27*8760-Y192</f>
        <v>0</v>
      </c>
      <c r="Z214" s="9">
        <f ca="1">SUMIF('Tech Parameters'!$B$273:$B$298,$B192,'Tech Parameters'!AD$273:AD$298)*'Tech Parameters'!$H25*'Ref scen Calcs'!Z27*8760-Z192</f>
        <v>0</v>
      </c>
      <c r="AA214" s="9">
        <f ca="1">SUMIF('Tech Parameters'!$B$273:$B$298,$B192,'Tech Parameters'!AE$273:AE$298)*'Tech Parameters'!$H25*'Ref scen Calcs'!AA27*8760-AA192</f>
        <v>0</v>
      </c>
      <c r="AB214" s="9">
        <f ca="1">SUMIF('Tech Parameters'!$B$273:$B$298,$B192,'Tech Parameters'!AF$273:AF$298)*'Tech Parameters'!$H25*'Ref scen Calcs'!AB27*8760-AB192</f>
        <v>0</v>
      </c>
      <c r="AC214" s="9">
        <f ca="1">SUMIF('Tech Parameters'!$B$273:$B$298,$B192,'Tech Parameters'!AG$273:AG$298)*'Tech Parameters'!$H25*'Ref scen Calcs'!AC27*8760-AC192</f>
        <v>0</v>
      </c>
      <c r="AD214" s="9"/>
      <c r="AE214" s="9"/>
      <c r="AF214" s="9"/>
      <c r="AG214" s="9"/>
      <c r="AH214" s="9"/>
      <c r="AI214" s="9"/>
      <c r="AJ214" s="9"/>
      <c r="AK214" s="9"/>
      <c r="AL214" s="9"/>
      <c r="AM214" s="9"/>
      <c r="AN214" s="9"/>
      <c r="AO214" s="9"/>
      <c r="AP214" s="9"/>
      <c r="AQ214" s="9"/>
      <c r="AR214" s="9"/>
      <c r="AS214" s="9"/>
      <c r="AT214" s="9"/>
      <c r="AU214" s="9"/>
      <c r="AV214" s="9"/>
      <c r="AW214" s="9"/>
      <c r="BA214" s="4"/>
      <c r="BL214" s="4"/>
    </row>
    <row r="215" spans="2:64">
      <c r="D215" s="9"/>
      <c r="E215" s="9"/>
      <c r="F215" s="9"/>
      <c r="G215" s="9"/>
      <c r="H215" s="9"/>
      <c r="I215" s="9"/>
      <c r="J215" s="9"/>
      <c r="K215" s="9"/>
      <c r="L215" s="9"/>
      <c r="M215" s="9"/>
      <c r="N215" s="9"/>
      <c r="O215" s="9"/>
      <c r="P215" s="9"/>
      <c r="Q215" s="9"/>
      <c r="R215" s="9"/>
      <c r="S215" s="9"/>
      <c r="T215" s="9"/>
      <c r="U215" s="9"/>
      <c r="V215" s="9"/>
      <c r="W215" s="9"/>
      <c r="X215" s="9"/>
      <c r="Y215" s="9"/>
      <c r="Z215" s="9"/>
      <c r="AA215" s="9"/>
      <c r="AB215" s="9"/>
      <c r="AC215" s="9"/>
      <c r="AD215" s="9"/>
      <c r="AE215" s="9"/>
      <c r="AF215" s="9"/>
      <c r="AG215" s="9"/>
      <c r="AH215" s="9"/>
      <c r="AI215" s="9"/>
      <c r="AJ215" s="9"/>
      <c r="AK215" s="9"/>
      <c r="AL215" s="9"/>
      <c r="AM215" s="9"/>
      <c r="AN215" s="9"/>
      <c r="AO215" s="9"/>
      <c r="AP215" s="9"/>
      <c r="AQ215" s="9"/>
      <c r="AR215" s="9"/>
      <c r="AS215" s="9"/>
      <c r="AT215" s="9"/>
      <c r="AU215" s="9"/>
      <c r="AV215" s="9"/>
      <c r="AW215" s="9"/>
      <c r="BA215" s="4"/>
      <c r="BL215" s="4"/>
    </row>
    <row r="216" spans="2:64">
      <c r="C216" s="4" t="s">
        <v>702</v>
      </c>
      <c r="D216" s="9"/>
      <c r="E216" s="9"/>
      <c r="F216" s="9"/>
      <c r="G216" s="9"/>
      <c r="H216" s="9"/>
      <c r="I216" s="9"/>
      <c r="J216" s="9"/>
      <c r="K216" s="9"/>
      <c r="L216" s="9"/>
      <c r="M216" s="9"/>
      <c r="N216" s="9"/>
      <c r="O216" s="9"/>
      <c r="P216" s="9"/>
      <c r="Q216" s="9"/>
      <c r="R216" s="9"/>
      <c r="S216" s="9"/>
      <c r="T216" s="9"/>
      <c r="U216" s="9"/>
      <c r="V216" s="9"/>
      <c r="W216" s="9"/>
      <c r="X216" s="9"/>
      <c r="Y216" s="9"/>
      <c r="Z216" s="9"/>
      <c r="AA216" s="9"/>
      <c r="AB216" s="9"/>
      <c r="AC216" s="9"/>
      <c r="AD216" s="9"/>
      <c r="AE216" s="9"/>
      <c r="AF216" s="9"/>
      <c r="AG216" s="9"/>
      <c r="AH216" s="9"/>
      <c r="AI216" s="9"/>
      <c r="AJ216" s="9"/>
      <c r="AK216" s="9"/>
      <c r="AL216" s="9"/>
      <c r="AM216" s="9"/>
      <c r="AN216" s="9"/>
      <c r="AO216" s="9"/>
      <c r="AP216" s="9"/>
      <c r="AQ216" s="9"/>
      <c r="AR216" s="9"/>
      <c r="AS216" s="9"/>
      <c r="AT216" s="9"/>
      <c r="AU216" s="9"/>
      <c r="AV216" s="9"/>
      <c r="AW216" s="9"/>
      <c r="BA216" s="4"/>
      <c r="BL216" s="4"/>
    </row>
    <row r="217" spans="2:64">
      <c r="C217">
        <v>1</v>
      </c>
      <c r="D217" s="9">
        <f>SUMIF('Tech Parameters'!H$220:H$239,$C217,D$173:D$192)</f>
        <v>3096.0000000000005</v>
      </c>
      <c r="E217" s="9">
        <f>SUMIF('Tech Parameters'!I$220:I$239,$C217,E$173:E$192)</f>
        <v>3096.0000000000005</v>
      </c>
      <c r="F217" s="9">
        <f>SUMIF('Tech Parameters'!J$220:J$239,$C217,F$173:F$192)</f>
        <v>3096.0000000000005</v>
      </c>
      <c r="G217" s="9">
        <f>SUMIF('Tech Parameters'!K$220:K$239,$C217,G$173:G$192)</f>
        <v>3096.0000000000005</v>
      </c>
      <c r="H217" s="9">
        <f>SUMIF('Tech Parameters'!L$220:L$239,$C217,H$173:H$192)</f>
        <v>3096.0000000000005</v>
      </c>
      <c r="I217" s="9">
        <f ca="1">SUMIF('Tech Parameters'!M$220:M$239,$C217,I$173:I$192)</f>
        <v>3096.0000000000005</v>
      </c>
      <c r="J217" s="9">
        <f ca="1">SUMIF('Tech Parameters'!N$220:N$239,$C217,J$173:J$192)</f>
        <v>3096.0000000000005</v>
      </c>
      <c r="K217" s="9">
        <f ca="1">SUMIF('Tech Parameters'!O$220:O$239,$C217,K$173:K$192)</f>
        <v>3096.0000000000005</v>
      </c>
      <c r="L217" s="9">
        <f ca="1">SUMIF('Tech Parameters'!P$220:P$239,$C217,L$173:L$192)</f>
        <v>4401.0227848101276</v>
      </c>
      <c r="M217" s="9">
        <f ca="1">SUMIF('Tech Parameters'!Q$220:Q$239,$C217,M$173:M$192)</f>
        <v>5706.0455696202544</v>
      </c>
      <c r="N217" s="9">
        <f ca="1">SUMIF('Tech Parameters'!R$220:R$239,$C217,N$173:N$192)</f>
        <v>5706.0455696202544</v>
      </c>
      <c r="O217" s="9">
        <f ca="1">SUMIF('Tech Parameters'!S$220:S$239,$C217,O$173:O$192)</f>
        <v>5706.0455696202544</v>
      </c>
      <c r="P217" s="9">
        <f ca="1">SUMIF('Tech Parameters'!T$220:T$239,$C217,P$173:P$192)</f>
        <v>5706.0455696202544</v>
      </c>
      <c r="Q217" s="9">
        <f ca="1">SUMIF('Tech Parameters'!U$220:U$239,$C217,Q$173:Q$192)</f>
        <v>5706.0455696202544</v>
      </c>
      <c r="R217" s="9">
        <f ca="1">SUMIF('Tech Parameters'!V$220:V$239,$C217,R$173:R$192)</f>
        <v>5706.0455696202544</v>
      </c>
      <c r="S217" s="9">
        <f ca="1">SUMIF('Tech Parameters'!W$220:W$239,$C217,S$173:S$192)</f>
        <v>5706.0455696202544</v>
      </c>
      <c r="T217" s="9">
        <f ca="1">SUMIF('Tech Parameters'!X$220:X$239,$C217,T$173:T$192)</f>
        <v>5706.0455696202544</v>
      </c>
      <c r="U217" s="9">
        <f ca="1">SUMIF('Tech Parameters'!Y$220:Y$239,$C217,U$173:U$192)</f>
        <v>5706.0455696202544</v>
      </c>
      <c r="V217" s="9">
        <f ca="1">SUMIF('Tech Parameters'!Z$220:Z$239,$C217,V$173:V$192)</f>
        <v>5706.0455696202544</v>
      </c>
      <c r="W217" s="9">
        <f ca="1">SUMIF('Tech Parameters'!AA$220:AA$239,$C217,W$173:W$192)</f>
        <v>5706.0455696202544</v>
      </c>
      <c r="X217" s="9">
        <f ca="1">SUMIF('Tech Parameters'!AB$220:AB$239,$C217,X$173:X$192)</f>
        <v>5706.0455696202544</v>
      </c>
      <c r="Y217" s="9">
        <f ca="1">SUMIF('Tech Parameters'!AC$220:AC$239,$C217,Y$173:Y$192)</f>
        <v>5706.0455696202544</v>
      </c>
      <c r="Z217" s="9">
        <f ca="1">SUMIF('Tech Parameters'!AD$220:AD$239,$C217,Z$173:Z$192)</f>
        <v>5706.0455696202544</v>
      </c>
      <c r="AA217" s="9">
        <f ca="1">SUMIF('Tech Parameters'!AE$220:AE$239,$C217,AA$173:AA$192)</f>
        <v>5706.0455696202544</v>
      </c>
      <c r="AB217" s="9">
        <f ca="1">SUMIF('Tech Parameters'!AF$220:AF$239,$C217,AB$173:AB$192)</f>
        <v>5706.0455696202544</v>
      </c>
      <c r="AC217" s="9">
        <f ca="1">SUMIF('Tech Parameters'!AG$220:AG$239,$C217,AC$173:AC$192)</f>
        <v>5706.0455696202544</v>
      </c>
      <c r="AD217" s="9"/>
      <c r="AE217" s="9"/>
      <c r="AF217" s="9"/>
      <c r="AG217" s="9"/>
      <c r="AH217" s="9"/>
      <c r="AI217" s="9"/>
      <c r="AJ217" s="9"/>
      <c r="AK217" s="9"/>
      <c r="AL217" s="9"/>
      <c r="AM217" s="9"/>
      <c r="AN217" s="9"/>
      <c r="AO217" s="9"/>
      <c r="AP217" s="9"/>
      <c r="AQ217" s="9"/>
      <c r="AR217" s="9"/>
      <c r="AS217" s="9"/>
      <c r="AT217" s="9"/>
      <c r="AU217" s="9"/>
      <c r="AV217" s="9"/>
      <c r="AW217" s="9"/>
      <c r="BA217" s="4"/>
      <c r="BL217" s="4"/>
    </row>
    <row r="218" spans="2:64">
      <c r="C218">
        <v>2</v>
      </c>
      <c r="D218" s="9">
        <f>SUMIF('Tech Parameters'!H$220:H$239,$C218,D$173:D$192)</f>
        <v>0</v>
      </c>
      <c r="E218" s="9">
        <f>SUMIF('Tech Parameters'!I$220:I$239,$C218,E$173:E$192)</f>
        <v>0</v>
      </c>
      <c r="F218" s="9">
        <f>SUMIF('Tech Parameters'!J$220:J$239,$C218,F$173:F$192)</f>
        <v>0</v>
      </c>
      <c r="G218" s="9">
        <f>SUMIF('Tech Parameters'!K$220:K$239,$C218,G$173:G$192)</f>
        <v>0</v>
      </c>
      <c r="H218" s="9">
        <f>SUMIF('Tech Parameters'!L$220:L$239,$C218,H$173:H$192)</f>
        <v>0</v>
      </c>
      <c r="I218" s="9">
        <f ca="1">SUMIF('Tech Parameters'!M$220:M$239,$C218,I$173:I$192)</f>
        <v>0</v>
      </c>
      <c r="J218" s="9">
        <f ca="1">SUMIF('Tech Parameters'!N$220:N$239,$C218,J$173:J$192)</f>
        <v>0</v>
      </c>
      <c r="K218" s="9">
        <f ca="1">SUMIF('Tech Parameters'!O$220:O$239,$C218,K$173:K$192)</f>
        <v>0</v>
      </c>
      <c r="L218" s="9">
        <f ca="1">SUMIF('Tech Parameters'!P$220:P$239,$C218,L$173:L$192)</f>
        <v>0</v>
      </c>
      <c r="M218" s="9">
        <f ca="1">SUMIF('Tech Parameters'!Q$220:Q$239,$C218,M$173:M$192)</f>
        <v>0</v>
      </c>
      <c r="N218" s="9">
        <f ca="1">SUMIF('Tech Parameters'!R$220:R$239,$C218,N$173:N$192)</f>
        <v>0</v>
      </c>
      <c r="O218" s="9">
        <f ca="1">SUMIF('Tech Parameters'!S$220:S$239,$C218,O$173:O$192)</f>
        <v>0</v>
      </c>
      <c r="P218" s="9">
        <f ca="1">SUMIF('Tech Parameters'!T$220:T$239,$C218,P$173:P$192)</f>
        <v>0</v>
      </c>
      <c r="Q218" s="9">
        <f ca="1">SUMIF('Tech Parameters'!U$220:U$239,$C218,Q$173:Q$192)</f>
        <v>0</v>
      </c>
      <c r="R218" s="9">
        <f ca="1">SUMIF('Tech Parameters'!V$220:V$239,$C218,R$173:R$192)</f>
        <v>0</v>
      </c>
      <c r="S218" s="9">
        <f ca="1">SUMIF('Tech Parameters'!W$220:W$239,$C218,S$173:S$192)</f>
        <v>0</v>
      </c>
      <c r="T218" s="9">
        <f ca="1">SUMIF('Tech Parameters'!X$220:X$239,$C218,T$173:T$192)</f>
        <v>0</v>
      </c>
      <c r="U218" s="9">
        <f ca="1">SUMIF('Tech Parameters'!Y$220:Y$239,$C218,U$173:U$192)</f>
        <v>0</v>
      </c>
      <c r="V218" s="9">
        <f ca="1">SUMIF('Tech Parameters'!Z$220:Z$239,$C218,V$173:V$192)</f>
        <v>0</v>
      </c>
      <c r="W218" s="9">
        <f ca="1">SUMIF('Tech Parameters'!AA$220:AA$239,$C218,W$173:W$192)</f>
        <v>0</v>
      </c>
      <c r="X218" s="9">
        <f ca="1">SUMIF('Tech Parameters'!AB$220:AB$239,$C218,X$173:X$192)</f>
        <v>0</v>
      </c>
      <c r="Y218" s="9">
        <f ca="1">SUMIF('Tech Parameters'!AC$220:AC$239,$C218,Y$173:Y$192)</f>
        <v>0</v>
      </c>
      <c r="Z218" s="9">
        <f ca="1">SUMIF('Tech Parameters'!AD$220:AD$239,$C218,Z$173:Z$192)</f>
        <v>0</v>
      </c>
      <c r="AA218" s="9">
        <f ca="1">SUMIF('Tech Parameters'!AE$220:AE$239,$C218,AA$173:AA$192)</f>
        <v>0</v>
      </c>
      <c r="AB218" s="9">
        <f ca="1">SUMIF('Tech Parameters'!AF$220:AF$239,$C218,AB$173:AB$192)</f>
        <v>0</v>
      </c>
      <c r="AC218" s="9">
        <f ca="1">SUMIF('Tech Parameters'!AG$220:AG$239,$C218,AC$173:AC$192)</f>
        <v>0</v>
      </c>
      <c r="AD218" s="9"/>
      <c r="AE218" s="9"/>
      <c r="AF218" s="9"/>
      <c r="AG218" s="9"/>
      <c r="AH218" s="9"/>
      <c r="AI218" s="9"/>
      <c r="AJ218" s="9"/>
      <c r="AK218" s="9"/>
      <c r="AL218" s="9"/>
      <c r="AM218" s="9"/>
      <c r="AN218" s="9"/>
      <c r="AO218" s="9"/>
      <c r="AP218" s="9"/>
      <c r="AQ218" s="9"/>
      <c r="AR218" s="9"/>
      <c r="AS218" s="9"/>
      <c r="AT218" s="9"/>
      <c r="AU218" s="9"/>
      <c r="AV218" s="9"/>
      <c r="AW218" s="9"/>
      <c r="BA218" s="4"/>
      <c r="BL218" s="4"/>
    </row>
    <row r="219" spans="2:64">
      <c r="C219">
        <v>3</v>
      </c>
      <c r="D219" s="9">
        <f>SUMIF('Tech Parameters'!H$220:H$239,$C219,D$173:D$192)</f>
        <v>0</v>
      </c>
      <c r="E219" s="9">
        <f>SUMIF('Tech Parameters'!I$220:I$239,$C219,E$173:E$192)</f>
        <v>0</v>
      </c>
      <c r="F219" s="9">
        <f>SUMIF('Tech Parameters'!J$220:J$239,$C219,F$173:F$192)</f>
        <v>0</v>
      </c>
      <c r="G219" s="9">
        <f>SUMIF('Tech Parameters'!K$220:K$239,$C219,G$173:G$192)</f>
        <v>0</v>
      </c>
      <c r="H219" s="9">
        <f>SUMIF('Tech Parameters'!L$220:L$239,$C219,H$173:H$192)</f>
        <v>0</v>
      </c>
      <c r="I219" s="9">
        <f ca="1">SUMIF('Tech Parameters'!M$220:M$239,$C219,I$173:I$192)</f>
        <v>0</v>
      </c>
      <c r="J219" s="9">
        <f ca="1">SUMIF('Tech Parameters'!N$220:N$239,$C219,J$173:J$192)</f>
        <v>0</v>
      </c>
      <c r="K219" s="9">
        <f ca="1">SUMIF('Tech Parameters'!O$220:O$239,$C219,K$173:K$192)</f>
        <v>0</v>
      </c>
      <c r="L219" s="9">
        <f ca="1">SUMIF('Tech Parameters'!P$220:P$239,$C219,L$173:L$192)</f>
        <v>0</v>
      </c>
      <c r="M219" s="9">
        <f ca="1">SUMIF('Tech Parameters'!Q$220:Q$239,$C219,M$173:M$192)</f>
        <v>0</v>
      </c>
      <c r="N219" s="9">
        <f ca="1">SUMIF('Tech Parameters'!R$220:R$239,$C219,N$173:N$192)</f>
        <v>0</v>
      </c>
      <c r="O219" s="9">
        <f ca="1">SUMIF('Tech Parameters'!S$220:S$239,$C219,O$173:O$192)</f>
        <v>0</v>
      </c>
      <c r="P219" s="9">
        <f ca="1">SUMIF('Tech Parameters'!T$220:T$239,$C219,P$173:P$192)</f>
        <v>0</v>
      </c>
      <c r="Q219" s="9">
        <f ca="1">SUMIF('Tech Parameters'!U$220:U$239,$C219,Q$173:Q$192)</f>
        <v>0</v>
      </c>
      <c r="R219" s="9">
        <f ca="1">SUMIF('Tech Parameters'!V$220:V$239,$C219,R$173:R$192)</f>
        <v>0</v>
      </c>
      <c r="S219" s="9">
        <f ca="1">SUMIF('Tech Parameters'!W$220:W$239,$C219,S$173:S$192)</f>
        <v>0</v>
      </c>
      <c r="T219" s="9">
        <f ca="1">SUMIF('Tech Parameters'!X$220:X$239,$C219,T$173:T$192)</f>
        <v>0</v>
      </c>
      <c r="U219" s="9">
        <f ca="1">SUMIF('Tech Parameters'!Y$220:Y$239,$C219,U$173:U$192)</f>
        <v>0</v>
      </c>
      <c r="V219" s="9">
        <f ca="1">SUMIF('Tech Parameters'!Z$220:Z$239,$C219,V$173:V$192)</f>
        <v>0</v>
      </c>
      <c r="W219" s="9">
        <f ca="1">SUMIF('Tech Parameters'!AA$220:AA$239,$C219,W$173:W$192)</f>
        <v>0</v>
      </c>
      <c r="X219" s="9">
        <f ca="1">SUMIF('Tech Parameters'!AB$220:AB$239,$C219,X$173:X$192)</f>
        <v>0</v>
      </c>
      <c r="Y219" s="9">
        <f ca="1">SUMIF('Tech Parameters'!AC$220:AC$239,$C219,Y$173:Y$192)</f>
        <v>0</v>
      </c>
      <c r="Z219" s="9">
        <f ca="1">SUMIF('Tech Parameters'!AD$220:AD$239,$C219,Z$173:Z$192)</f>
        <v>0</v>
      </c>
      <c r="AA219" s="9">
        <f ca="1">SUMIF('Tech Parameters'!AE$220:AE$239,$C219,AA$173:AA$192)</f>
        <v>0</v>
      </c>
      <c r="AB219" s="9">
        <f ca="1">SUMIF('Tech Parameters'!AF$220:AF$239,$C219,AB$173:AB$192)</f>
        <v>0</v>
      </c>
      <c r="AC219" s="9">
        <f ca="1">SUMIF('Tech Parameters'!AG$220:AG$239,$C219,AC$173:AC$192)</f>
        <v>0</v>
      </c>
      <c r="AD219" s="9"/>
      <c r="AE219" s="9"/>
      <c r="AF219" s="9"/>
      <c r="AG219" s="9"/>
      <c r="AH219" s="9"/>
      <c r="AI219" s="9"/>
      <c r="AJ219" s="9"/>
      <c r="AK219" s="9"/>
      <c r="AL219" s="9"/>
      <c r="AM219" s="9"/>
      <c r="AN219" s="9"/>
      <c r="AO219" s="9"/>
      <c r="AP219" s="9"/>
      <c r="AQ219" s="9"/>
      <c r="AR219" s="9"/>
      <c r="AS219" s="9"/>
      <c r="AT219" s="9"/>
      <c r="AU219" s="9"/>
      <c r="AV219" s="9"/>
      <c r="AW219" s="9"/>
      <c r="BA219" s="4"/>
      <c r="BL219" s="4"/>
    </row>
    <row r="220" spans="2:64">
      <c r="C220">
        <v>4</v>
      </c>
      <c r="D220" s="9">
        <f>SUMIF('Tech Parameters'!H$220:H$239,$C220,D$173:D$192)</f>
        <v>0</v>
      </c>
      <c r="E220" s="9">
        <f>SUMIF('Tech Parameters'!I$220:I$239,$C220,E$173:E$192)</f>
        <v>0</v>
      </c>
      <c r="F220" s="9">
        <f>SUMIF('Tech Parameters'!J$220:J$239,$C220,F$173:F$192)</f>
        <v>0</v>
      </c>
      <c r="G220" s="9">
        <f>SUMIF('Tech Parameters'!K$220:K$239,$C220,G$173:G$192)</f>
        <v>0</v>
      </c>
      <c r="H220" s="9">
        <f>SUMIF('Tech Parameters'!L$220:L$239,$C220,H$173:H$192)</f>
        <v>0</v>
      </c>
      <c r="I220" s="9">
        <f ca="1">SUMIF('Tech Parameters'!M$220:M$239,$C220,I$173:I$192)</f>
        <v>0</v>
      </c>
      <c r="J220" s="9">
        <f ca="1">SUMIF('Tech Parameters'!N$220:N$239,$C220,J$173:J$192)</f>
        <v>0</v>
      </c>
      <c r="K220" s="9">
        <f ca="1">SUMIF('Tech Parameters'!O$220:O$239,$C220,K$173:K$192)</f>
        <v>0</v>
      </c>
      <c r="L220" s="9">
        <f ca="1">SUMIF('Tech Parameters'!P$220:P$239,$C220,L$173:L$192)</f>
        <v>0</v>
      </c>
      <c r="M220" s="9">
        <f ca="1">SUMIF('Tech Parameters'!Q$220:Q$239,$C220,M$173:M$192)</f>
        <v>0</v>
      </c>
      <c r="N220" s="9">
        <f ca="1">SUMIF('Tech Parameters'!R$220:R$239,$C220,N$173:N$192)</f>
        <v>0</v>
      </c>
      <c r="O220" s="9">
        <f ca="1">SUMIF('Tech Parameters'!S$220:S$239,$C220,O$173:O$192)</f>
        <v>0</v>
      </c>
      <c r="P220" s="9">
        <f ca="1">SUMIF('Tech Parameters'!T$220:T$239,$C220,P$173:P$192)</f>
        <v>0</v>
      </c>
      <c r="Q220" s="9">
        <f ca="1">SUMIF('Tech Parameters'!U$220:U$239,$C220,Q$173:Q$192)</f>
        <v>0</v>
      </c>
      <c r="R220" s="9">
        <f ca="1">SUMIF('Tech Parameters'!V$220:V$239,$C220,R$173:R$192)</f>
        <v>0</v>
      </c>
      <c r="S220" s="9">
        <f ca="1">SUMIF('Tech Parameters'!W$220:W$239,$C220,S$173:S$192)</f>
        <v>0</v>
      </c>
      <c r="T220" s="9">
        <f ca="1">SUMIF('Tech Parameters'!X$220:X$239,$C220,T$173:T$192)</f>
        <v>0</v>
      </c>
      <c r="U220" s="9">
        <f ca="1">SUMIF('Tech Parameters'!Y$220:Y$239,$C220,U$173:U$192)</f>
        <v>0</v>
      </c>
      <c r="V220" s="9">
        <f ca="1">SUMIF('Tech Parameters'!Z$220:Z$239,$C220,V$173:V$192)</f>
        <v>0</v>
      </c>
      <c r="W220" s="9">
        <f ca="1">SUMIF('Tech Parameters'!AA$220:AA$239,$C220,W$173:W$192)</f>
        <v>0</v>
      </c>
      <c r="X220" s="9">
        <f ca="1">SUMIF('Tech Parameters'!AB$220:AB$239,$C220,X$173:X$192)</f>
        <v>0</v>
      </c>
      <c r="Y220" s="9">
        <f ca="1">SUMIF('Tech Parameters'!AC$220:AC$239,$C220,Y$173:Y$192)</f>
        <v>0</v>
      </c>
      <c r="Z220" s="9">
        <f ca="1">SUMIF('Tech Parameters'!AD$220:AD$239,$C220,Z$173:Z$192)</f>
        <v>0</v>
      </c>
      <c r="AA220" s="9">
        <f ca="1">SUMIF('Tech Parameters'!AE$220:AE$239,$C220,AA$173:AA$192)</f>
        <v>0</v>
      </c>
      <c r="AB220" s="9">
        <f ca="1">SUMIF('Tech Parameters'!AF$220:AF$239,$C220,AB$173:AB$192)</f>
        <v>0</v>
      </c>
      <c r="AC220" s="9">
        <f ca="1">SUMIF('Tech Parameters'!AG$220:AG$239,$C220,AC$173:AC$192)</f>
        <v>0</v>
      </c>
      <c r="AD220" s="9"/>
      <c r="AE220" s="9"/>
      <c r="AF220" s="9"/>
      <c r="AG220" s="9"/>
      <c r="AH220" s="9"/>
      <c r="AI220" s="9"/>
      <c r="AJ220" s="9"/>
      <c r="AK220" s="9"/>
      <c r="AL220" s="9"/>
      <c r="AM220" s="9"/>
      <c r="AN220" s="9"/>
      <c r="AO220" s="9"/>
      <c r="AP220" s="9"/>
      <c r="AQ220" s="9"/>
      <c r="AR220" s="9"/>
      <c r="AS220" s="9"/>
      <c r="AT220" s="9"/>
      <c r="AU220" s="9"/>
      <c r="AV220" s="9"/>
      <c r="AW220" s="9"/>
      <c r="BA220" s="4"/>
      <c r="BL220" s="4"/>
    </row>
    <row r="221" spans="2:64">
      <c r="C221">
        <v>5</v>
      </c>
      <c r="D221" s="9">
        <f>SUMIF('Tech Parameters'!H$220:H$239,$C221,D$173:D$192)</f>
        <v>0</v>
      </c>
      <c r="E221" s="9">
        <f>SUMIF('Tech Parameters'!I$220:I$239,$C221,E$173:E$192)</f>
        <v>0</v>
      </c>
      <c r="F221" s="9">
        <f>SUMIF('Tech Parameters'!J$220:J$239,$C221,F$173:F$192)</f>
        <v>0</v>
      </c>
      <c r="G221" s="9">
        <f>SUMIF('Tech Parameters'!K$220:K$239,$C221,G$173:G$192)</f>
        <v>0</v>
      </c>
      <c r="H221" s="9">
        <f>SUMIF('Tech Parameters'!L$220:L$239,$C221,H$173:H$192)</f>
        <v>0</v>
      </c>
      <c r="I221" s="9">
        <f ca="1">SUMIF('Tech Parameters'!M$220:M$239,$C221,I$173:I$192)</f>
        <v>0</v>
      </c>
      <c r="J221" s="9">
        <f ca="1">SUMIF('Tech Parameters'!N$220:N$239,$C221,J$173:J$192)</f>
        <v>0</v>
      </c>
      <c r="K221" s="9">
        <f ca="1">SUMIF('Tech Parameters'!O$220:O$239,$C221,K$173:K$192)</f>
        <v>0</v>
      </c>
      <c r="L221" s="9">
        <f ca="1">SUMIF('Tech Parameters'!P$220:P$239,$C221,L$173:L$192)</f>
        <v>0</v>
      </c>
      <c r="M221" s="9">
        <f ca="1">SUMIF('Tech Parameters'!Q$220:Q$239,$C221,M$173:M$192)</f>
        <v>0</v>
      </c>
      <c r="N221" s="9">
        <f ca="1">SUMIF('Tech Parameters'!R$220:R$239,$C221,N$173:N$192)</f>
        <v>0</v>
      </c>
      <c r="O221" s="9">
        <f ca="1">SUMIF('Tech Parameters'!S$220:S$239,$C221,O$173:O$192)</f>
        <v>0</v>
      </c>
      <c r="P221" s="9">
        <f ca="1">SUMIF('Tech Parameters'!T$220:T$239,$C221,P$173:P$192)</f>
        <v>0</v>
      </c>
      <c r="Q221" s="9">
        <f ca="1">SUMIF('Tech Parameters'!U$220:U$239,$C221,Q$173:Q$192)</f>
        <v>0</v>
      </c>
      <c r="R221" s="9">
        <f ca="1">SUMIF('Tech Parameters'!V$220:V$239,$C221,R$173:R$192)</f>
        <v>0</v>
      </c>
      <c r="S221" s="9">
        <f ca="1">SUMIF('Tech Parameters'!W$220:W$239,$C221,S$173:S$192)</f>
        <v>0</v>
      </c>
      <c r="T221" s="9">
        <f ca="1">SUMIF('Tech Parameters'!X$220:X$239,$C221,T$173:T$192)</f>
        <v>0</v>
      </c>
      <c r="U221" s="9">
        <f ca="1">SUMIF('Tech Parameters'!Y$220:Y$239,$C221,U$173:U$192)</f>
        <v>0</v>
      </c>
      <c r="V221" s="9">
        <f ca="1">SUMIF('Tech Parameters'!Z$220:Z$239,$C221,V$173:V$192)</f>
        <v>0</v>
      </c>
      <c r="W221" s="9">
        <f ca="1">SUMIF('Tech Parameters'!AA$220:AA$239,$C221,W$173:W$192)</f>
        <v>0</v>
      </c>
      <c r="X221" s="9">
        <f ca="1">SUMIF('Tech Parameters'!AB$220:AB$239,$C221,X$173:X$192)</f>
        <v>0</v>
      </c>
      <c r="Y221" s="9">
        <f ca="1">SUMIF('Tech Parameters'!AC$220:AC$239,$C221,Y$173:Y$192)</f>
        <v>0</v>
      </c>
      <c r="Z221" s="9">
        <f ca="1">SUMIF('Tech Parameters'!AD$220:AD$239,$C221,Z$173:Z$192)</f>
        <v>0</v>
      </c>
      <c r="AA221" s="9">
        <f ca="1">SUMIF('Tech Parameters'!AE$220:AE$239,$C221,AA$173:AA$192)</f>
        <v>0</v>
      </c>
      <c r="AB221" s="9">
        <f ca="1">SUMIF('Tech Parameters'!AF$220:AF$239,$C221,AB$173:AB$192)</f>
        <v>0</v>
      </c>
      <c r="AC221" s="9">
        <f ca="1">SUMIF('Tech Parameters'!AG$220:AG$239,$C221,AC$173:AC$192)</f>
        <v>0</v>
      </c>
      <c r="AD221" s="9"/>
      <c r="AE221" s="9"/>
      <c r="AF221" s="9"/>
      <c r="AG221" s="9"/>
      <c r="AH221" s="9"/>
      <c r="AI221" s="9"/>
      <c r="AJ221" s="9"/>
      <c r="AK221" s="9"/>
      <c r="AL221" s="9"/>
      <c r="AM221" s="9"/>
      <c r="AN221" s="9"/>
      <c r="AO221" s="9"/>
      <c r="AP221" s="9"/>
      <c r="AQ221" s="9"/>
      <c r="AR221" s="9"/>
      <c r="AS221" s="9"/>
      <c r="AT221" s="9"/>
      <c r="AU221" s="9"/>
      <c r="AV221" s="9"/>
      <c r="AW221" s="9"/>
      <c r="BA221" s="4"/>
      <c r="BL221" s="4"/>
    </row>
    <row r="222" spans="2:64">
      <c r="C222">
        <v>6</v>
      </c>
      <c r="D222" s="9">
        <f>SUMIF('Tech Parameters'!H$220:H$239,$C222,D$173:D$192)</f>
        <v>651.77077055999985</v>
      </c>
      <c r="E222" s="9">
        <f>SUMIF('Tech Parameters'!I$220:I$239,$C222,E$173:E$192)</f>
        <v>651.77077055999985</v>
      </c>
      <c r="F222" s="9">
        <f>SUMIF('Tech Parameters'!J$220:J$239,$C222,F$173:F$192)</f>
        <v>651.77077055999985</v>
      </c>
      <c r="G222" s="9">
        <f>SUMIF('Tech Parameters'!K$220:K$239,$C222,G$173:G$192)</f>
        <v>651.77077055999985</v>
      </c>
      <c r="H222" s="9">
        <f>SUMIF('Tech Parameters'!L$220:L$239,$C222,H$173:H$192)</f>
        <v>651.77077055999985</v>
      </c>
      <c r="I222" s="9">
        <f ca="1">SUMIF('Tech Parameters'!M$220:M$239,$C222,I$173:I$192)</f>
        <v>651.77077055999985</v>
      </c>
      <c r="J222" s="9">
        <f ca="1">SUMIF('Tech Parameters'!N$220:N$239,$C222,J$173:J$192)</f>
        <v>945.06761731199981</v>
      </c>
      <c r="K222" s="9">
        <f ca="1">SUMIF('Tech Parameters'!O$220:O$239,$C222,K$173:K$192)</f>
        <v>945.06761731199981</v>
      </c>
      <c r="L222" s="9">
        <f ca="1">SUMIF('Tech Parameters'!P$220:P$239,$C222,L$173:L$192)</f>
        <v>945.06761731199981</v>
      </c>
      <c r="M222" s="9">
        <f ca="1">SUMIF('Tech Parameters'!Q$220:Q$239,$C222,M$173:M$192)</f>
        <v>945.06761731199981</v>
      </c>
      <c r="N222" s="9">
        <f ca="1">SUMIF('Tech Parameters'!R$220:R$239,$C222,N$173:N$192)</f>
        <v>945.06761731199981</v>
      </c>
      <c r="O222" s="9">
        <f ca="1">SUMIF('Tech Parameters'!S$220:S$239,$C222,O$173:O$192)</f>
        <v>945.06761731199981</v>
      </c>
      <c r="P222" s="9">
        <f ca="1">SUMIF('Tech Parameters'!T$220:T$239,$C222,P$173:P$192)</f>
        <v>945.06761731199981</v>
      </c>
      <c r="Q222" s="9">
        <f ca="1">SUMIF('Tech Parameters'!U$220:U$239,$C222,Q$173:Q$192)</f>
        <v>945.06761731199981</v>
      </c>
      <c r="R222" s="9">
        <f ca="1">SUMIF('Tech Parameters'!V$220:V$239,$C222,R$173:R$192)</f>
        <v>945.06761731199981</v>
      </c>
      <c r="S222" s="9">
        <f ca="1">SUMIF('Tech Parameters'!W$220:W$239,$C222,S$173:S$192)</f>
        <v>945.06761731199981</v>
      </c>
      <c r="T222" s="9">
        <f ca="1">SUMIF('Tech Parameters'!X$220:X$239,$C222,T$173:T$192)</f>
        <v>945.06761731199981</v>
      </c>
      <c r="U222" s="9">
        <f ca="1">SUMIF('Tech Parameters'!Y$220:Y$239,$C222,U$173:U$192)</f>
        <v>945.06761731199981</v>
      </c>
      <c r="V222" s="9">
        <f ca="1">SUMIF('Tech Parameters'!Z$220:Z$239,$C222,V$173:V$192)</f>
        <v>1140.59884848</v>
      </c>
      <c r="W222" s="9">
        <f ca="1">SUMIF('Tech Parameters'!AA$220:AA$239,$C222,W$173:W$192)</f>
        <v>1140.59884848</v>
      </c>
      <c r="X222" s="9">
        <f ca="1">SUMIF('Tech Parameters'!AB$220:AB$239,$C222,X$173:X$192)</f>
        <v>1140.59884848</v>
      </c>
      <c r="Y222" s="9">
        <f ca="1">SUMIF('Tech Parameters'!AC$220:AC$239,$C222,Y$173:Y$192)</f>
        <v>1336.1300796479998</v>
      </c>
      <c r="Z222" s="9">
        <f ca="1">SUMIF('Tech Parameters'!AD$220:AD$239,$C222,Z$173:Z$192)</f>
        <v>1336.1300796479998</v>
      </c>
      <c r="AA222" s="9">
        <f ca="1">SUMIF('Tech Parameters'!AE$220:AE$239,$C222,AA$173:AA$192)</f>
        <v>1336.1300796479998</v>
      </c>
      <c r="AB222" s="9">
        <f ca="1">SUMIF('Tech Parameters'!AF$220:AF$239,$C222,AB$173:AB$192)</f>
        <v>1531.6613108159995</v>
      </c>
      <c r="AC222" s="9">
        <f ca="1">SUMIF('Tech Parameters'!AG$220:AG$239,$C222,AC$173:AC$192)</f>
        <v>1485.2226434135996</v>
      </c>
      <c r="AD222" s="9"/>
      <c r="AE222" s="9"/>
      <c r="AF222" s="9"/>
      <c r="AG222" s="9"/>
      <c r="AH222" s="9"/>
      <c r="AI222" s="9"/>
      <c r="AJ222" s="9"/>
      <c r="AK222" s="9"/>
      <c r="AL222" s="9"/>
      <c r="AM222" s="9"/>
      <c r="AN222" s="9"/>
      <c r="AO222" s="9"/>
      <c r="AP222" s="9"/>
      <c r="AQ222" s="9"/>
      <c r="AR222" s="9"/>
      <c r="AS222" s="9"/>
      <c r="AT222" s="9"/>
      <c r="AU222" s="9"/>
      <c r="AV222" s="9"/>
      <c r="AW222" s="9"/>
      <c r="BA222" s="4"/>
      <c r="BL222" s="4"/>
    </row>
    <row r="223" spans="2:64">
      <c r="C223">
        <v>7</v>
      </c>
      <c r="D223" s="9">
        <f>SUMIF('Tech Parameters'!H$220:H$239,$C223,D$173:D$192)</f>
        <v>0</v>
      </c>
      <c r="E223" s="9">
        <f>SUMIF('Tech Parameters'!I$220:I$239,$C223,E$173:E$192)</f>
        <v>0</v>
      </c>
      <c r="F223" s="9">
        <f>SUMIF('Tech Parameters'!J$220:J$239,$C223,F$173:F$192)</f>
        <v>0</v>
      </c>
      <c r="G223" s="9">
        <f>SUMIF('Tech Parameters'!K$220:K$239,$C223,G$173:G$192)</f>
        <v>0</v>
      </c>
      <c r="H223" s="9">
        <f>SUMIF('Tech Parameters'!L$220:L$239,$C223,H$173:H$192)</f>
        <v>0</v>
      </c>
      <c r="I223" s="9">
        <f ca="1">SUMIF('Tech Parameters'!M$220:M$239,$C223,I$173:I$192)</f>
        <v>0</v>
      </c>
      <c r="J223" s="9">
        <f ca="1">SUMIF('Tech Parameters'!N$220:N$239,$C223,J$173:J$192)</f>
        <v>0</v>
      </c>
      <c r="K223" s="9">
        <f ca="1">SUMIF('Tech Parameters'!O$220:O$239,$C223,K$173:K$192)</f>
        <v>0</v>
      </c>
      <c r="L223" s="9">
        <f ca="1">SUMIF('Tech Parameters'!P$220:P$239,$C223,L$173:L$192)</f>
        <v>0</v>
      </c>
      <c r="M223" s="9">
        <f ca="1">SUMIF('Tech Parameters'!Q$220:Q$239,$C223,M$173:M$192)</f>
        <v>0</v>
      </c>
      <c r="N223" s="9">
        <f ca="1">SUMIF('Tech Parameters'!R$220:R$239,$C223,N$173:N$192)</f>
        <v>0</v>
      </c>
      <c r="O223" s="9">
        <f ca="1">SUMIF('Tech Parameters'!S$220:S$239,$C223,O$173:O$192)</f>
        <v>0</v>
      </c>
      <c r="P223" s="9">
        <f ca="1">SUMIF('Tech Parameters'!T$220:T$239,$C223,P$173:P$192)</f>
        <v>0</v>
      </c>
      <c r="Q223" s="9">
        <f ca="1">SUMIF('Tech Parameters'!U$220:U$239,$C223,Q$173:Q$192)</f>
        <v>0</v>
      </c>
      <c r="R223" s="9">
        <f ca="1">SUMIF('Tech Parameters'!V$220:V$239,$C223,R$173:R$192)</f>
        <v>0</v>
      </c>
      <c r="S223" s="9">
        <f ca="1">SUMIF('Tech Parameters'!W$220:W$239,$C223,S$173:S$192)</f>
        <v>0</v>
      </c>
      <c r="T223" s="9">
        <f ca="1">SUMIF('Tech Parameters'!X$220:X$239,$C223,T$173:T$192)</f>
        <v>0</v>
      </c>
      <c r="U223" s="9">
        <f ca="1">SUMIF('Tech Parameters'!Y$220:Y$239,$C223,U$173:U$192)</f>
        <v>0</v>
      </c>
      <c r="V223" s="9">
        <f ca="1">SUMIF('Tech Parameters'!Z$220:Z$239,$C223,V$173:V$192)</f>
        <v>0</v>
      </c>
      <c r="W223" s="9">
        <f ca="1">SUMIF('Tech Parameters'!AA$220:AA$239,$C223,W$173:W$192)</f>
        <v>0</v>
      </c>
      <c r="X223" s="9">
        <f ca="1">SUMIF('Tech Parameters'!AB$220:AB$239,$C223,X$173:X$192)</f>
        <v>0</v>
      </c>
      <c r="Y223" s="9">
        <f ca="1">SUMIF('Tech Parameters'!AC$220:AC$239,$C223,Y$173:Y$192)</f>
        <v>0</v>
      </c>
      <c r="Z223" s="9">
        <f ca="1">SUMIF('Tech Parameters'!AD$220:AD$239,$C223,Z$173:Z$192)</f>
        <v>0</v>
      </c>
      <c r="AA223" s="9">
        <f ca="1">SUMIF('Tech Parameters'!AE$220:AE$239,$C223,AA$173:AA$192)</f>
        <v>0</v>
      </c>
      <c r="AB223" s="9">
        <f ca="1">SUMIF('Tech Parameters'!AF$220:AF$239,$C223,AB$173:AB$192)</f>
        <v>0</v>
      </c>
      <c r="AC223" s="9">
        <f ca="1">SUMIF('Tech Parameters'!AG$220:AG$239,$C223,AC$173:AC$192)</f>
        <v>0</v>
      </c>
      <c r="AD223" s="9"/>
      <c r="AE223" s="9"/>
      <c r="AF223" s="9"/>
      <c r="AG223" s="9"/>
      <c r="AH223" s="9"/>
      <c r="AI223" s="9"/>
      <c r="AJ223" s="9"/>
      <c r="AK223" s="9"/>
      <c r="AL223" s="9"/>
      <c r="AM223" s="9"/>
      <c r="AN223" s="9"/>
      <c r="AO223" s="9"/>
      <c r="AP223" s="9"/>
      <c r="AQ223" s="9"/>
      <c r="AR223" s="9"/>
      <c r="AS223" s="9"/>
      <c r="AT223" s="9"/>
      <c r="AU223" s="9"/>
      <c r="AV223" s="9"/>
      <c r="AW223" s="9"/>
      <c r="BA223" s="4"/>
      <c r="BL223" s="4"/>
    </row>
    <row r="224" spans="2:64">
      <c r="C224">
        <v>8</v>
      </c>
      <c r="D224" s="9">
        <f>SUMIF('Tech Parameters'!H$220:H$239,$C224,D$173:D$192)</f>
        <v>13197.815999999999</v>
      </c>
      <c r="E224" s="9">
        <f>SUMIF('Tech Parameters'!I$220:I$239,$C224,E$173:E$192)</f>
        <v>13197.815999999999</v>
      </c>
      <c r="F224" s="9">
        <f>SUMIF('Tech Parameters'!J$220:J$239,$C224,F$173:F$192)</f>
        <v>13197.815999999999</v>
      </c>
      <c r="G224" s="9">
        <f>SUMIF('Tech Parameters'!K$220:K$239,$C224,G$173:G$192)</f>
        <v>13197.815999999999</v>
      </c>
      <c r="H224" s="9">
        <f>SUMIF('Tech Parameters'!L$220:L$239,$C224,H$173:H$192)</f>
        <v>13197.815999999999</v>
      </c>
      <c r="I224" s="9">
        <f ca="1">SUMIF('Tech Parameters'!M$220:M$239,$C224,I$173:I$192)</f>
        <v>13197.815999999999</v>
      </c>
      <c r="J224" s="9">
        <f ca="1">SUMIF('Tech Parameters'!N$220:N$239,$C224,J$173:J$192)</f>
        <v>13197.815999999999</v>
      </c>
      <c r="K224" s="9">
        <f ca="1">SUMIF('Tech Parameters'!O$220:O$239,$C224,K$173:K$192)</f>
        <v>13197.815999999999</v>
      </c>
      <c r="L224" s="9">
        <f ca="1">SUMIF('Tech Parameters'!P$220:P$239,$C224,L$173:L$192)</f>
        <v>13197.815999999999</v>
      </c>
      <c r="M224" s="9">
        <f ca="1">SUMIF('Tech Parameters'!Q$220:Q$239,$C224,M$173:M$192)</f>
        <v>13197.815999999999</v>
      </c>
      <c r="N224" s="9">
        <f ca="1">SUMIF('Tech Parameters'!R$220:R$239,$C224,N$173:N$192)</f>
        <v>13197.815999999999</v>
      </c>
      <c r="O224" s="9">
        <f ca="1">SUMIF('Tech Parameters'!S$220:S$239,$C224,O$173:O$192)</f>
        <v>13197.815999999999</v>
      </c>
      <c r="P224" s="9">
        <f ca="1">SUMIF('Tech Parameters'!T$220:T$239,$C224,P$173:P$192)</f>
        <v>13197.815999999999</v>
      </c>
      <c r="Q224" s="9">
        <f ca="1">SUMIF('Tech Parameters'!U$220:U$239,$C224,Q$173:Q$192)</f>
        <v>13197.815999999999</v>
      </c>
      <c r="R224" s="9">
        <f ca="1">SUMIF('Tech Parameters'!V$220:V$239,$C224,R$173:R$192)</f>
        <v>13197.815999999999</v>
      </c>
      <c r="S224" s="9">
        <f ca="1">SUMIF('Tech Parameters'!W$220:W$239,$C224,S$173:S$192)</f>
        <v>13197.815999999999</v>
      </c>
      <c r="T224" s="9">
        <f ca="1">SUMIF('Tech Parameters'!X$220:X$239,$C224,T$173:T$192)</f>
        <v>13197.815999999999</v>
      </c>
      <c r="U224" s="9">
        <f ca="1">SUMIF('Tech Parameters'!Y$220:Y$239,$C224,U$173:U$192)</f>
        <v>13197.815999999999</v>
      </c>
      <c r="V224" s="9">
        <f ca="1">SUMIF('Tech Parameters'!Z$220:Z$239,$C224,V$173:V$192)</f>
        <v>13197.815999999999</v>
      </c>
      <c r="W224" s="9">
        <f ca="1">SUMIF('Tech Parameters'!AA$220:AA$239,$C224,W$173:W$192)</f>
        <v>13197.815999999999</v>
      </c>
      <c r="X224" s="9">
        <f ca="1">SUMIF('Tech Parameters'!AB$220:AB$239,$C224,X$173:X$192)</f>
        <v>13197.815999999999</v>
      </c>
      <c r="Y224" s="9">
        <f ca="1">SUMIF('Tech Parameters'!AC$220:AC$239,$C224,Y$173:Y$192)</f>
        <v>13197.815999999999</v>
      </c>
      <c r="Z224" s="9">
        <f ca="1">SUMIF('Tech Parameters'!AD$220:AD$239,$C224,Z$173:Z$192)</f>
        <v>13197.815999999999</v>
      </c>
      <c r="AA224" s="9">
        <f ca="1">SUMIF('Tech Parameters'!AE$220:AE$239,$C224,AA$173:AA$192)</f>
        <v>13197.815999999999</v>
      </c>
      <c r="AB224" s="9">
        <f ca="1">SUMIF('Tech Parameters'!AF$220:AF$239,$C224,AB$173:AB$192)</f>
        <v>13197.815999999999</v>
      </c>
      <c r="AC224" s="9">
        <f ca="1">SUMIF('Tech Parameters'!AG$220:AG$239,$C224,AC$173:AC$192)</f>
        <v>13197.815999999999</v>
      </c>
      <c r="AD224" s="9"/>
      <c r="AE224" s="9"/>
      <c r="AF224" s="9"/>
      <c r="AG224" s="9"/>
      <c r="AH224" s="9"/>
      <c r="AI224" s="9"/>
      <c r="AJ224" s="9"/>
      <c r="AK224" s="9"/>
      <c r="AL224" s="9"/>
      <c r="AM224" s="9"/>
      <c r="AN224" s="9"/>
      <c r="AO224" s="9"/>
      <c r="AP224" s="9"/>
      <c r="AQ224" s="9"/>
      <c r="AR224" s="9"/>
      <c r="AS224" s="9"/>
      <c r="AT224" s="9"/>
      <c r="AU224" s="9"/>
      <c r="AV224" s="9"/>
      <c r="AW224" s="9"/>
      <c r="BA224" s="4"/>
      <c r="BL224" s="4"/>
    </row>
    <row r="225" spans="3:64">
      <c r="C225">
        <v>9</v>
      </c>
      <c r="D225" s="9">
        <f>SUMIF('Tech Parameters'!H$220:H$239,$C225,D$173:D$192)</f>
        <v>811.76619047619067</v>
      </c>
      <c r="E225" s="9">
        <f>SUMIF('Tech Parameters'!I$220:I$239,$C225,E$173:E$192)</f>
        <v>811.76619047619067</v>
      </c>
      <c r="F225" s="9">
        <f>SUMIF('Tech Parameters'!J$220:J$239,$C225,F$173:F$192)</f>
        <v>811.76619047619067</v>
      </c>
      <c r="G225" s="9">
        <f>SUMIF('Tech Parameters'!K$220:K$239,$C225,G$173:G$192)</f>
        <v>811.76619047619067</v>
      </c>
      <c r="H225" s="9">
        <f>SUMIF('Tech Parameters'!L$220:L$239,$C225,H$173:H$192)</f>
        <v>811.76619047619067</v>
      </c>
      <c r="I225" s="9">
        <f ca="1">SUMIF('Tech Parameters'!M$220:M$239,$C225,I$173:I$192)</f>
        <v>811.76619047619067</v>
      </c>
      <c r="J225" s="9">
        <f ca="1">SUMIF('Tech Parameters'!N$220:N$239,$C225,J$173:J$192)</f>
        <v>811.76619047619067</v>
      </c>
      <c r="K225" s="9">
        <f ca="1">SUMIF('Tech Parameters'!O$220:O$239,$C225,K$173:K$192)</f>
        <v>811.76619047619067</v>
      </c>
      <c r="L225" s="9">
        <f ca="1">SUMIF('Tech Parameters'!P$220:P$239,$C225,L$173:L$192)</f>
        <v>811.76619047619067</v>
      </c>
      <c r="M225" s="9">
        <f ca="1">SUMIF('Tech Parameters'!Q$220:Q$239,$C225,M$173:M$192)</f>
        <v>811.76619047619067</v>
      </c>
      <c r="N225" s="9">
        <f ca="1">SUMIF('Tech Parameters'!R$220:R$239,$C225,N$173:N$192)</f>
        <v>811.76619047619067</v>
      </c>
      <c r="O225" s="9">
        <f ca="1">SUMIF('Tech Parameters'!S$220:S$239,$C225,O$173:O$192)</f>
        <v>811.76619047619067</v>
      </c>
      <c r="P225" s="9">
        <f ca="1">SUMIF('Tech Parameters'!T$220:T$239,$C225,P$173:P$192)</f>
        <v>811.76619047619067</v>
      </c>
      <c r="Q225" s="9">
        <f ca="1">SUMIF('Tech Parameters'!U$220:U$239,$C225,Q$173:Q$192)</f>
        <v>811.76619047619067</v>
      </c>
      <c r="R225" s="9">
        <f ca="1">SUMIF('Tech Parameters'!V$220:V$239,$C225,R$173:R$192)</f>
        <v>811.76619047619067</v>
      </c>
      <c r="S225" s="9">
        <f ca="1">SUMIF('Tech Parameters'!W$220:W$239,$C225,S$173:S$192)</f>
        <v>811.76619047619067</v>
      </c>
      <c r="T225" s="9">
        <f ca="1">SUMIF('Tech Parameters'!X$220:X$239,$C225,T$173:T$192)</f>
        <v>811.76619047619067</v>
      </c>
      <c r="U225" s="9">
        <f ca="1">SUMIF('Tech Parameters'!Y$220:Y$239,$C225,U$173:U$192)</f>
        <v>811.76619047619067</v>
      </c>
      <c r="V225" s="9">
        <f ca="1">SUMIF('Tech Parameters'!Z$220:Z$239,$C225,V$173:V$192)</f>
        <v>811.76619047619067</v>
      </c>
      <c r="W225" s="9">
        <f ca="1">SUMIF('Tech Parameters'!AA$220:AA$239,$C225,W$173:W$192)</f>
        <v>811.76619047619067</v>
      </c>
      <c r="X225" s="9">
        <f ca="1">SUMIF('Tech Parameters'!AB$220:AB$239,$C225,X$173:X$192)</f>
        <v>811.76619047619067</v>
      </c>
      <c r="Y225" s="9">
        <f ca="1">SUMIF('Tech Parameters'!AC$220:AC$239,$C225,Y$173:Y$192)</f>
        <v>811.76619047619067</v>
      </c>
      <c r="Z225" s="9">
        <f ca="1">SUMIF('Tech Parameters'!AD$220:AD$239,$C225,Z$173:Z$192)</f>
        <v>811.76619047619067</v>
      </c>
      <c r="AA225" s="9">
        <f ca="1">SUMIF('Tech Parameters'!AE$220:AE$239,$C225,AA$173:AA$192)</f>
        <v>811.76619047619067</v>
      </c>
      <c r="AB225" s="9">
        <f ca="1">SUMIF('Tech Parameters'!AF$220:AF$239,$C225,AB$173:AB$192)</f>
        <v>811.76619047619067</v>
      </c>
      <c r="AC225" s="9">
        <f ca="1">SUMIF('Tech Parameters'!AG$220:AG$239,$C225,AC$173:AC$192)</f>
        <v>811.76619047619067</v>
      </c>
      <c r="AD225" s="9"/>
      <c r="AE225" s="9"/>
      <c r="AF225" s="9"/>
      <c r="AG225" s="9"/>
      <c r="AH225" s="9"/>
      <c r="AI225" s="9"/>
      <c r="AJ225" s="9"/>
      <c r="AK225" s="9"/>
      <c r="AL225" s="9"/>
      <c r="AM225" s="9"/>
      <c r="AN225" s="9"/>
      <c r="AO225" s="9"/>
      <c r="AP225" s="9"/>
      <c r="AQ225" s="9"/>
      <c r="AR225" s="9"/>
      <c r="AS225" s="9"/>
      <c r="AT225" s="9"/>
      <c r="AU225" s="9"/>
      <c r="AV225" s="9"/>
      <c r="AW225" s="9"/>
      <c r="BA225" s="4"/>
      <c r="BL225" s="4"/>
    </row>
    <row r="226" spans="3:64">
      <c r="C226">
        <v>10</v>
      </c>
      <c r="D226" s="9">
        <f>SUMIF('Tech Parameters'!H$220:H$239,$C226,D$173:D$192)</f>
        <v>0</v>
      </c>
      <c r="E226" s="9">
        <f>SUMIF('Tech Parameters'!I$220:I$239,$C226,E$173:E$192)</f>
        <v>0</v>
      </c>
      <c r="F226" s="9">
        <f>SUMIF('Tech Parameters'!J$220:J$239,$C226,F$173:F$192)</f>
        <v>0</v>
      </c>
      <c r="G226" s="9">
        <f>SUMIF('Tech Parameters'!K$220:K$239,$C226,G$173:G$192)</f>
        <v>0</v>
      </c>
      <c r="H226" s="9">
        <f>SUMIF('Tech Parameters'!L$220:L$239,$C226,H$173:H$192)</f>
        <v>0</v>
      </c>
      <c r="I226" s="9">
        <f ca="1">SUMIF('Tech Parameters'!M$220:M$239,$C226,I$173:I$192)</f>
        <v>262.8</v>
      </c>
      <c r="J226" s="9">
        <f ca="1">SUMIF('Tech Parameters'!N$220:N$239,$C226,J$173:J$192)</f>
        <v>262.8</v>
      </c>
      <c r="K226" s="9">
        <f ca="1">SUMIF('Tech Parameters'!O$220:O$239,$C226,K$173:K$192)</f>
        <v>262.8</v>
      </c>
      <c r="L226" s="9">
        <f ca="1">SUMIF('Tech Parameters'!P$220:P$239,$C226,L$173:L$192)</f>
        <v>262.8</v>
      </c>
      <c r="M226" s="9">
        <f ca="1">SUMIF('Tech Parameters'!Q$220:Q$239,$C226,M$173:M$192)</f>
        <v>262.8</v>
      </c>
      <c r="N226" s="9">
        <f ca="1">SUMIF('Tech Parameters'!R$220:R$239,$C226,N$173:N$192)</f>
        <v>262.8</v>
      </c>
      <c r="O226" s="9">
        <f ca="1">SUMIF('Tech Parameters'!S$220:S$239,$C226,O$173:O$192)</f>
        <v>262.8</v>
      </c>
      <c r="P226" s="9">
        <f ca="1">SUMIF('Tech Parameters'!T$220:T$239,$C226,P$173:P$192)</f>
        <v>262.8</v>
      </c>
      <c r="Q226" s="9">
        <f ca="1">SUMIF('Tech Parameters'!U$220:U$239,$C226,Q$173:Q$192)</f>
        <v>262.8</v>
      </c>
      <c r="R226" s="9">
        <f ca="1">SUMIF('Tech Parameters'!V$220:V$239,$C226,R$173:R$192)</f>
        <v>262.8</v>
      </c>
      <c r="S226" s="9">
        <f ca="1">SUMIF('Tech Parameters'!W$220:W$239,$C226,S$173:S$192)</f>
        <v>262.8</v>
      </c>
      <c r="T226" s="9">
        <f ca="1">SUMIF('Tech Parameters'!X$220:X$239,$C226,T$173:T$192)</f>
        <v>262.8</v>
      </c>
      <c r="U226" s="9">
        <f ca="1">SUMIF('Tech Parameters'!Y$220:Y$239,$C226,U$173:U$192)</f>
        <v>262.8</v>
      </c>
      <c r="V226" s="9">
        <f ca="1">SUMIF('Tech Parameters'!Z$220:Z$239,$C226,V$173:V$192)</f>
        <v>262.8</v>
      </c>
      <c r="W226" s="9">
        <f ca="1">SUMIF('Tech Parameters'!AA$220:AA$239,$C226,W$173:W$192)</f>
        <v>262.8</v>
      </c>
      <c r="X226" s="9">
        <f ca="1">SUMIF('Tech Parameters'!AB$220:AB$239,$C226,X$173:X$192)</f>
        <v>262.8</v>
      </c>
      <c r="Y226" s="9">
        <f ca="1">SUMIF('Tech Parameters'!AC$220:AC$239,$C226,Y$173:Y$192)</f>
        <v>262.8</v>
      </c>
      <c r="Z226" s="9">
        <f ca="1">SUMIF('Tech Parameters'!AD$220:AD$239,$C226,Z$173:Z$192)</f>
        <v>262.8</v>
      </c>
      <c r="AA226" s="9">
        <f ca="1">SUMIF('Tech Parameters'!AE$220:AE$239,$C226,AA$173:AA$192)</f>
        <v>262.8</v>
      </c>
      <c r="AB226" s="9">
        <f ca="1">SUMIF('Tech Parameters'!AF$220:AF$239,$C226,AB$173:AB$192)</f>
        <v>262.8</v>
      </c>
      <c r="AC226" s="9">
        <f ca="1">SUMIF('Tech Parameters'!AG$220:AG$239,$C226,AC$173:AC$192)</f>
        <v>0</v>
      </c>
      <c r="AD226" s="9"/>
      <c r="AE226" s="9"/>
      <c r="AF226" s="9"/>
      <c r="AG226" s="9"/>
      <c r="AH226" s="9"/>
      <c r="AI226" s="9"/>
      <c r="AJ226" s="9"/>
      <c r="AK226" s="9"/>
      <c r="AL226" s="9"/>
      <c r="AM226" s="9"/>
      <c r="AN226" s="9"/>
      <c r="AO226" s="9"/>
      <c r="AP226" s="9"/>
      <c r="AQ226" s="9"/>
      <c r="AR226" s="9"/>
      <c r="AS226" s="9"/>
      <c r="AT226" s="9"/>
      <c r="AU226" s="9"/>
      <c r="AV226" s="9"/>
      <c r="AW226" s="9"/>
      <c r="BA226" s="4"/>
      <c r="BL226" s="4"/>
    </row>
    <row r="227" spans="3:64">
      <c r="C227">
        <v>11</v>
      </c>
      <c r="D227" s="9">
        <f>SUMIF('Tech Parameters'!H$220:H$239,$C227,D$173:D$192)</f>
        <v>0</v>
      </c>
      <c r="E227" s="9">
        <f>SUMIF('Tech Parameters'!I$220:I$239,$C227,E$173:E$192)</f>
        <v>0</v>
      </c>
      <c r="F227" s="9">
        <f>SUMIF('Tech Parameters'!J$220:J$239,$C227,F$173:F$192)</f>
        <v>0</v>
      </c>
      <c r="G227" s="9">
        <f>SUMIF('Tech Parameters'!K$220:K$239,$C227,G$173:G$192)</f>
        <v>0</v>
      </c>
      <c r="H227" s="9">
        <f>SUMIF('Tech Parameters'!L$220:L$239,$C227,H$173:H$192)</f>
        <v>0</v>
      </c>
      <c r="I227" s="9">
        <f ca="1">SUMIF('Tech Parameters'!M$220:M$239,$C227,I$173:I$192)</f>
        <v>0</v>
      </c>
      <c r="J227" s="9">
        <f ca="1">SUMIF('Tech Parameters'!N$220:N$239,$C227,J$173:J$192)</f>
        <v>0</v>
      </c>
      <c r="K227" s="9">
        <f ca="1">SUMIF('Tech Parameters'!O$220:O$239,$C227,K$173:K$192)</f>
        <v>0</v>
      </c>
      <c r="L227" s="9">
        <f ca="1">SUMIF('Tech Parameters'!P$220:P$239,$C227,L$173:L$192)</f>
        <v>0</v>
      </c>
      <c r="M227" s="9">
        <f ca="1">SUMIF('Tech Parameters'!Q$220:Q$239,$C227,M$173:M$192)</f>
        <v>0</v>
      </c>
      <c r="N227" s="9">
        <f ca="1">SUMIF('Tech Parameters'!R$220:R$239,$C227,N$173:N$192)</f>
        <v>0</v>
      </c>
      <c r="O227" s="9">
        <f ca="1">SUMIF('Tech Parameters'!S$220:S$239,$C227,O$173:O$192)</f>
        <v>0</v>
      </c>
      <c r="P227" s="9">
        <f ca="1">SUMIF('Tech Parameters'!T$220:T$239,$C227,P$173:P$192)</f>
        <v>0</v>
      </c>
      <c r="Q227" s="9">
        <f ca="1">SUMIF('Tech Parameters'!U$220:U$239,$C227,Q$173:Q$192)</f>
        <v>0</v>
      </c>
      <c r="R227" s="9">
        <f ca="1">SUMIF('Tech Parameters'!V$220:V$239,$C227,R$173:R$192)</f>
        <v>0</v>
      </c>
      <c r="S227" s="9">
        <f ca="1">SUMIF('Tech Parameters'!W$220:W$239,$C227,S$173:S$192)</f>
        <v>0</v>
      </c>
      <c r="T227" s="9">
        <f ca="1">SUMIF('Tech Parameters'!X$220:X$239,$C227,T$173:T$192)</f>
        <v>0</v>
      </c>
      <c r="U227" s="9">
        <f ca="1">SUMIF('Tech Parameters'!Y$220:Y$239,$C227,U$173:U$192)</f>
        <v>0</v>
      </c>
      <c r="V227" s="9">
        <f ca="1">SUMIF('Tech Parameters'!Z$220:Z$239,$C227,V$173:V$192)</f>
        <v>0</v>
      </c>
      <c r="W227" s="9">
        <f ca="1">SUMIF('Tech Parameters'!AA$220:AA$239,$C227,W$173:W$192)</f>
        <v>0</v>
      </c>
      <c r="X227" s="9">
        <f ca="1">SUMIF('Tech Parameters'!AB$220:AB$239,$C227,X$173:X$192)</f>
        <v>0</v>
      </c>
      <c r="Y227" s="9">
        <f ca="1">SUMIF('Tech Parameters'!AC$220:AC$239,$C227,Y$173:Y$192)</f>
        <v>0</v>
      </c>
      <c r="Z227" s="9">
        <f ca="1">SUMIF('Tech Parameters'!AD$220:AD$239,$C227,Z$173:Z$192)</f>
        <v>0</v>
      </c>
      <c r="AA227" s="9">
        <f ca="1">SUMIF('Tech Parameters'!AE$220:AE$239,$C227,AA$173:AA$192)</f>
        <v>0</v>
      </c>
      <c r="AB227" s="9">
        <f ca="1">SUMIF('Tech Parameters'!AF$220:AF$239,$C227,AB$173:AB$192)</f>
        <v>0</v>
      </c>
      <c r="AC227" s="9">
        <f ca="1">SUMIF('Tech Parameters'!AG$220:AG$239,$C227,AC$173:AC$192)</f>
        <v>0</v>
      </c>
      <c r="AD227" s="9"/>
      <c r="AE227" s="9"/>
      <c r="AF227" s="9"/>
      <c r="AG227" s="9"/>
      <c r="AH227" s="9"/>
      <c r="AI227" s="9"/>
      <c r="AJ227" s="9"/>
      <c r="AK227" s="9"/>
      <c r="AL227" s="9"/>
      <c r="AM227" s="9"/>
      <c r="AN227" s="9"/>
      <c r="AO227" s="9"/>
      <c r="AP227" s="9"/>
      <c r="AQ227" s="9"/>
      <c r="AR227" s="9"/>
      <c r="AS227" s="9"/>
      <c r="AT227" s="9"/>
      <c r="AU227" s="9"/>
      <c r="AV227" s="9"/>
      <c r="AW227" s="9"/>
      <c r="BA227" s="4"/>
      <c r="BL227" s="4"/>
    </row>
    <row r="228" spans="3:64">
      <c r="C228">
        <v>12</v>
      </c>
      <c r="D228" s="9">
        <f>SUMIF('Tech Parameters'!H$220:H$239,$C228,D$173:D$192)</f>
        <v>0</v>
      </c>
      <c r="E228" s="9">
        <f>SUMIF('Tech Parameters'!I$220:I$239,$C228,E$173:E$192)</f>
        <v>0</v>
      </c>
      <c r="F228" s="9">
        <f>SUMIF('Tech Parameters'!J$220:J$239,$C228,F$173:F$192)</f>
        <v>0</v>
      </c>
      <c r="G228" s="9">
        <f>SUMIF('Tech Parameters'!K$220:K$239,$C228,G$173:G$192)</f>
        <v>0</v>
      </c>
      <c r="H228" s="9">
        <f>SUMIF('Tech Parameters'!L$220:L$239,$C228,H$173:H$192)</f>
        <v>0</v>
      </c>
      <c r="I228" s="9">
        <f ca="1">SUMIF('Tech Parameters'!M$220:M$239,$C228,I$173:I$192)</f>
        <v>0</v>
      </c>
      <c r="J228" s="9">
        <f ca="1">SUMIF('Tech Parameters'!N$220:N$239,$C228,J$173:J$192)</f>
        <v>0</v>
      </c>
      <c r="K228" s="9">
        <f ca="1">SUMIF('Tech Parameters'!O$220:O$239,$C228,K$173:K$192)</f>
        <v>0</v>
      </c>
      <c r="L228" s="9">
        <f ca="1">SUMIF('Tech Parameters'!P$220:P$239,$C228,L$173:L$192)</f>
        <v>0</v>
      </c>
      <c r="M228" s="9">
        <f ca="1">SUMIF('Tech Parameters'!Q$220:Q$239,$C228,M$173:M$192)</f>
        <v>0</v>
      </c>
      <c r="N228" s="9">
        <f ca="1">SUMIF('Tech Parameters'!R$220:R$239,$C228,N$173:N$192)</f>
        <v>0</v>
      </c>
      <c r="O228" s="9">
        <f ca="1">SUMIF('Tech Parameters'!S$220:S$239,$C228,O$173:O$192)</f>
        <v>0</v>
      </c>
      <c r="P228" s="9">
        <f ca="1">SUMIF('Tech Parameters'!T$220:T$239,$C228,P$173:P$192)</f>
        <v>0</v>
      </c>
      <c r="Q228" s="9">
        <f ca="1">SUMIF('Tech Parameters'!U$220:U$239,$C228,Q$173:Q$192)</f>
        <v>0</v>
      </c>
      <c r="R228" s="9">
        <f ca="1">SUMIF('Tech Parameters'!V$220:V$239,$C228,R$173:R$192)</f>
        <v>0</v>
      </c>
      <c r="S228" s="9">
        <f ca="1">SUMIF('Tech Parameters'!W$220:W$239,$C228,S$173:S$192)</f>
        <v>0</v>
      </c>
      <c r="T228" s="9">
        <f ca="1">SUMIF('Tech Parameters'!X$220:X$239,$C228,T$173:T$192)</f>
        <v>0</v>
      </c>
      <c r="U228" s="9">
        <f ca="1">SUMIF('Tech Parameters'!Y$220:Y$239,$C228,U$173:U$192)</f>
        <v>0</v>
      </c>
      <c r="V228" s="9">
        <f ca="1">SUMIF('Tech Parameters'!Z$220:Z$239,$C228,V$173:V$192)</f>
        <v>0</v>
      </c>
      <c r="W228" s="9">
        <f ca="1">SUMIF('Tech Parameters'!AA$220:AA$239,$C228,W$173:W$192)</f>
        <v>0</v>
      </c>
      <c r="X228" s="9">
        <f ca="1">SUMIF('Tech Parameters'!AB$220:AB$239,$C228,X$173:X$192)</f>
        <v>0</v>
      </c>
      <c r="Y228" s="9">
        <f ca="1">SUMIF('Tech Parameters'!AC$220:AC$239,$C228,Y$173:Y$192)</f>
        <v>0</v>
      </c>
      <c r="Z228" s="9">
        <f ca="1">SUMIF('Tech Parameters'!AD$220:AD$239,$C228,Z$173:Z$192)</f>
        <v>0</v>
      </c>
      <c r="AA228" s="9">
        <f ca="1">SUMIF('Tech Parameters'!AE$220:AE$239,$C228,AA$173:AA$192)</f>
        <v>0</v>
      </c>
      <c r="AB228" s="9">
        <f ca="1">SUMIF('Tech Parameters'!AF$220:AF$239,$C228,AB$173:AB$192)</f>
        <v>0</v>
      </c>
      <c r="AC228" s="9">
        <f ca="1">SUMIF('Tech Parameters'!AG$220:AG$239,$C228,AC$173:AC$192)</f>
        <v>0</v>
      </c>
      <c r="AD228" s="9"/>
      <c r="AE228" s="9"/>
      <c r="AF228" s="9"/>
      <c r="AG228" s="9"/>
      <c r="AH228" s="9"/>
      <c r="AI228" s="9"/>
      <c r="AJ228" s="9"/>
      <c r="AK228" s="9"/>
      <c r="AL228" s="9"/>
      <c r="AM228" s="9"/>
      <c r="AN228" s="9"/>
      <c r="AO228" s="9"/>
      <c r="AP228" s="9"/>
      <c r="AQ228" s="9"/>
      <c r="AR228" s="9"/>
      <c r="AS228" s="9"/>
      <c r="AT228" s="9"/>
      <c r="AU228" s="9"/>
      <c r="AV228" s="9"/>
      <c r="AW228" s="9"/>
      <c r="BA228" s="4"/>
      <c r="BL228" s="4"/>
    </row>
    <row r="229" spans="3:64">
      <c r="C229">
        <v>13</v>
      </c>
      <c r="D229" s="9">
        <f>SUMIF('Tech Parameters'!H$220:H$239,$C229,D$173:D$192)</f>
        <v>0</v>
      </c>
      <c r="E229" s="9">
        <f>SUMIF('Tech Parameters'!I$220:I$239,$C229,E$173:E$192)</f>
        <v>0</v>
      </c>
      <c r="F229" s="9">
        <f>SUMIF('Tech Parameters'!J$220:J$239,$C229,F$173:F$192)</f>
        <v>0</v>
      </c>
      <c r="G229" s="9">
        <f>SUMIF('Tech Parameters'!K$220:K$239,$C229,G$173:G$192)</f>
        <v>0</v>
      </c>
      <c r="H229" s="9">
        <f>SUMIF('Tech Parameters'!L$220:L$239,$C229,H$173:H$192)</f>
        <v>0</v>
      </c>
      <c r="I229" s="9">
        <f ca="1">SUMIF('Tech Parameters'!M$220:M$239,$C229,I$173:I$192)</f>
        <v>0</v>
      </c>
      <c r="J229" s="9">
        <f ca="1">SUMIF('Tech Parameters'!N$220:N$239,$C229,J$173:J$192)</f>
        <v>0</v>
      </c>
      <c r="K229" s="9">
        <f ca="1">SUMIF('Tech Parameters'!O$220:O$239,$C229,K$173:K$192)</f>
        <v>0</v>
      </c>
      <c r="L229" s="9">
        <f ca="1">SUMIF('Tech Parameters'!P$220:P$239,$C229,L$173:L$192)</f>
        <v>0</v>
      </c>
      <c r="M229" s="9">
        <f ca="1">SUMIF('Tech Parameters'!Q$220:Q$239,$C229,M$173:M$192)</f>
        <v>0</v>
      </c>
      <c r="N229" s="9">
        <f ca="1">SUMIF('Tech Parameters'!R$220:R$239,$C229,N$173:N$192)</f>
        <v>0</v>
      </c>
      <c r="O229" s="9">
        <f ca="1">SUMIF('Tech Parameters'!S$220:S$239,$C229,O$173:O$192)</f>
        <v>0</v>
      </c>
      <c r="P229" s="9">
        <f ca="1">SUMIF('Tech Parameters'!T$220:T$239,$C229,P$173:P$192)</f>
        <v>0</v>
      </c>
      <c r="Q229" s="9">
        <f ca="1">SUMIF('Tech Parameters'!U$220:U$239,$C229,Q$173:Q$192)</f>
        <v>0</v>
      </c>
      <c r="R229" s="9">
        <f ca="1">SUMIF('Tech Parameters'!V$220:V$239,$C229,R$173:R$192)</f>
        <v>0</v>
      </c>
      <c r="S229" s="9">
        <f ca="1">SUMIF('Tech Parameters'!W$220:W$239,$C229,S$173:S$192)</f>
        <v>0</v>
      </c>
      <c r="T229" s="9">
        <f ca="1">SUMIF('Tech Parameters'!X$220:X$239,$C229,T$173:T$192)</f>
        <v>0</v>
      </c>
      <c r="U229" s="9">
        <f ca="1">SUMIF('Tech Parameters'!Y$220:Y$239,$C229,U$173:U$192)</f>
        <v>0</v>
      </c>
      <c r="V229" s="9">
        <f ca="1">SUMIF('Tech Parameters'!Z$220:Z$239,$C229,V$173:V$192)</f>
        <v>0</v>
      </c>
      <c r="W229" s="9">
        <f ca="1">SUMIF('Tech Parameters'!AA$220:AA$239,$C229,W$173:W$192)</f>
        <v>0</v>
      </c>
      <c r="X229" s="9">
        <f ca="1">SUMIF('Tech Parameters'!AB$220:AB$239,$C229,X$173:X$192)</f>
        <v>0</v>
      </c>
      <c r="Y229" s="9">
        <f ca="1">SUMIF('Tech Parameters'!AC$220:AC$239,$C229,Y$173:Y$192)</f>
        <v>0</v>
      </c>
      <c r="Z229" s="9">
        <f ca="1">SUMIF('Tech Parameters'!AD$220:AD$239,$C229,Z$173:Z$192)</f>
        <v>0</v>
      </c>
      <c r="AA229" s="9">
        <f ca="1">SUMIF('Tech Parameters'!AE$220:AE$239,$C229,AA$173:AA$192)</f>
        <v>0</v>
      </c>
      <c r="AB229" s="9">
        <f ca="1">SUMIF('Tech Parameters'!AF$220:AF$239,$C229,AB$173:AB$192)</f>
        <v>0</v>
      </c>
      <c r="AC229" s="9">
        <f ca="1">SUMIF('Tech Parameters'!AG$220:AG$239,$C229,AC$173:AC$192)</f>
        <v>0</v>
      </c>
      <c r="AD229" s="9"/>
      <c r="AE229" s="9"/>
      <c r="AF229" s="9"/>
      <c r="AG229" s="9"/>
      <c r="AH229" s="9"/>
      <c r="AI229" s="9"/>
      <c r="AJ229" s="9"/>
      <c r="AK229" s="9"/>
      <c r="AL229" s="9"/>
      <c r="AM229" s="9"/>
      <c r="AN229" s="9"/>
      <c r="AO229" s="9"/>
      <c r="AP229" s="9"/>
      <c r="AQ229" s="9"/>
      <c r="AR229" s="9"/>
      <c r="AS229" s="9"/>
      <c r="AT229" s="9"/>
      <c r="AU229" s="9"/>
      <c r="AV229" s="9"/>
      <c r="AW229" s="9"/>
      <c r="BA229" s="4"/>
      <c r="BL229" s="4"/>
    </row>
    <row r="230" spans="3:64">
      <c r="C230">
        <v>14</v>
      </c>
      <c r="D230" s="9">
        <f>SUMIF('Tech Parameters'!H$220:H$239,$C230,D$173:D$192)</f>
        <v>0</v>
      </c>
      <c r="E230" s="9">
        <f>SUMIF('Tech Parameters'!I$220:I$239,$C230,E$173:E$192)</f>
        <v>0</v>
      </c>
      <c r="F230" s="9">
        <f>SUMIF('Tech Parameters'!J$220:J$239,$C230,F$173:F$192)</f>
        <v>0</v>
      </c>
      <c r="G230" s="9">
        <f>SUMIF('Tech Parameters'!K$220:K$239,$C230,G$173:G$192)</f>
        <v>0</v>
      </c>
      <c r="H230" s="9">
        <f>SUMIF('Tech Parameters'!L$220:L$239,$C230,H$173:H$192)</f>
        <v>0</v>
      </c>
      <c r="I230" s="9">
        <f ca="1">SUMIF('Tech Parameters'!M$220:M$239,$C230,I$173:I$192)</f>
        <v>0</v>
      </c>
      <c r="J230" s="9">
        <f ca="1">SUMIF('Tech Parameters'!N$220:N$239,$C230,J$173:J$192)</f>
        <v>0</v>
      </c>
      <c r="K230" s="9">
        <f ca="1">SUMIF('Tech Parameters'!O$220:O$239,$C230,K$173:K$192)</f>
        <v>0</v>
      </c>
      <c r="L230" s="9">
        <f ca="1">SUMIF('Tech Parameters'!P$220:P$239,$C230,L$173:L$192)</f>
        <v>0</v>
      </c>
      <c r="M230" s="9">
        <f ca="1">SUMIF('Tech Parameters'!Q$220:Q$239,$C230,M$173:M$192)</f>
        <v>0</v>
      </c>
      <c r="N230" s="9">
        <f ca="1">SUMIF('Tech Parameters'!R$220:R$239,$C230,N$173:N$192)</f>
        <v>0</v>
      </c>
      <c r="O230" s="9">
        <f ca="1">SUMIF('Tech Parameters'!S$220:S$239,$C230,O$173:O$192)</f>
        <v>0</v>
      </c>
      <c r="P230" s="9">
        <f ca="1">SUMIF('Tech Parameters'!T$220:T$239,$C230,P$173:P$192)</f>
        <v>0</v>
      </c>
      <c r="Q230" s="9">
        <f ca="1">SUMIF('Tech Parameters'!U$220:U$239,$C230,Q$173:Q$192)</f>
        <v>0</v>
      </c>
      <c r="R230" s="9">
        <f ca="1">SUMIF('Tech Parameters'!V$220:V$239,$C230,R$173:R$192)</f>
        <v>0</v>
      </c>
      <c r="S230" s="9">
        <f ca="1">SUMIF('Tech Parameters'!W$220:W$239,$C230,S$173:S$192)</f>
        <v>0</v>
      </c>
      <c r="T230" s="9">
        <f ca="1">SUMIF('Tech Parameters'!X$220:X$239,$C230,T$173:T$192)</f>
        <v>0</v>
      </c>
      <c r="U230" s="9">
        <f ca="1">SUMIF('Tech Parameters'!Y$220:Y$239,$C230,U$173:U$192)</f>
        <v>0</v>
      </c>
      <c r="V230" s="9">
        <f ca="1">SUMIF('Tech Parameters'!Z$220:Z$239,$C230,V$173:V$192)</f>
        <v>0</v>
      </c>
      <c r="W230" s="9">
        <f ca="1">SUMIF('Tech Parameters'!AA$220:AA$239,$C230,W$173:W$192)</f>
        <v>0</v>
      </c>
      <c r="X230" s="9">
        <f ca="1">SUMIF('Tech Parameters'!AB$220:AB$239,$C230,X$173:X$192)</f>
        <v>0</v>
      </c>
      <c r="Y230" s="9">
        <f ca="1">SUMIF('Tech Parameters'!AC$220:AC$239,$C230,Y$173:Y$192)</f>
        <v>0</v>
      </c>
      <c r="Z230" s="9">
        <f ca="1">SUMIF('Tech Parameters'!AD$220:AD$239,$C230,Z$173:Z$192)</f>
        <v>0</v>
      </c>
      <c r="AA230" s="9">
        <f ca="1">SUMIF('Tech Parameters'!AE$220:AE$239,$C230,AA$173:AA$192)</f>
        <v>0</v>
      </c>
      <c r="AB230" s="9">
        <f ca="1">SUMIF('Tech Parameters'!AF$220:AF$239,$C230,AB$173:AB$192)</f>
        <v>0</v>
      </c>
      <c r="AC230" s="9">
        <f ca="1">SUMIF('Tech Parameters'!AG$220:AG$239,$C230,AC$173:AC$192)</f>
        <v>0</v>
      </c>
      <c r="AD230" s="9"/>
      <c r="AE230" s="9"/>
      <c r="AF230" s="9"/>
      <c r="AG230" s="9"/>
      <c r="AH230" s="9"/>
      <c r="AI230" s="9"/>
      <c r="AJ230" s="9"/>
      <c r="AK230" s="9"/>
      <c r="AL230" s="9"/>
      <c r="AM230" s="9"/>
      <c r="AN230" s="9"/>
      <c r="AO230" s="9"/>
      <c r="AP230" s="9"/>
      <c r="AQ230" s="9"/>
      <c r="AR230" s="9"/>
      <c r="AS230" s="9"/>
      <c r="AT230" s="9"/>
      <c r="AU230" s="9"/>
      <c r="AV230" s="9"/>
      <c r="AW230" s="9"/>
      <c r="BA230" s="4"/>
      <c r="BL230" s="4"/>
    </row>
    <row r="231" spans="3:64">
      <c r="C231">
        <v>15</v>
      </c>
      <c r="D231" s="9">
        <f>SUMIF('Tech Parameters'!H$220:H$239,$C231,D$173:D$192)</f>
        <v>524.66925000000003</v>
      </c>
      <c r="E231" s="9">
        <f>SUMIF('Tech Parameters'!I$220:I$239,$C231,E$173:E$192)</f>
        <v>524.66925000000003</v>
      </c>
      <c r="F231" s="9">
        <f>SUMIF('Tech Parameters'!J$220:J$239,$C231,F$173:F$192)</f>
        <v>524.66925000000003</v>
      </c>
      <c r="G231" s="9">
        <f>SUMIF('Tech Parameters'!K$220:K$239,$C231,G$173:G$192)</f>
        <v>524.66925000000003</v>
      </c>
      <c r="H231" s="9">
        <f>SUMIF('Tech Parameters'!L$220:L$239,$C231,H$173:H$192)</f>
        <v>524.66925000000003</v>
      </c>
      <c r="I231" s="9">
        <f ca="1">SUMIF('Tech Parameters'!M$220:M$239,$C231,I$173:I$192)</f>
        <v>524.66925000000003</v>
      </c>
      <c r="J231" s="9">
        <f ca="1">SUMIF('Tech Parameters'!N$220:N$239,$C231,J$173:J$192)</f>
        <v>524.66925000000003</v>
      </c>
      <c r="K231" s="9">
        <f ca="1">SUMIF('Tech Parameters'!O$220:O$239,$C231,K$173:K$192)</f>
        <v>524.66925000000003</v>
      </c>
      <c r="L231" s="9">
        <f ca="1">SUMIF('Tech Parameters'!P$220:P$239,$C231,L$173:L$192)</f>
        <v>524.66925000000003</v>
      </c>
      <c r="M231" s="9">
        <f ca="1">SUMIF('Tech Parameters'!Q$220:Q$239,$C231,M$173:M$192)</f>
        <v>524.66925000000003</v>
      </c>
      <c r="N231" s="9">
        <f ca="1">SUMIF('Tech Parameters'!R$220:R$239,$C231,N$173:N$192)</f>
        <v>524.66925000000003</v>
      </c>
      <c r="O231" s="9">
        <f ca="1">SUMIF('Tech Parameters'!S$220:S$239,$C231,O$173:O$192)</f>
        <v>524.66925000000003</v>
      </c>
      <c r="P231" s="9">
        <f ca="1">SUMIF('Tech Parameters'!T$220:T$239,$C231,P$173:P$192)</f>
        <v>524.66925000000003</v>
      </c>
      <c r="Q231" s="9">
        <f ca="1">SUMIF('Tech Parameters'!U$220:U$239,$C231,Q$173:Q$192)</f>
        <v>524.66925000000003</v>
      </c>
      <c r="R231" s="9">
        <f ca="1">SUMIF('Tech Parameters'!V$220:V$239,$C231,R$173:R$192)</f>
        <v>524.66925000000003</v>
      </c>
      <c r="S231" s="9">
        <f ca="1">SUMIF('Tech Parameters'!W$220:W$239,$C231,S$173:S$192)</f>
        <v>524.66925000000003</v>
      </c>
      <c r="T231" s="9">
        <f ca="1">SUMIF('Tech Parameters'!X$220:X$239,$C231,T$173:T$192)</f>
        <v>524.66925000000003</v>
      </c>
      <c r="U231" s="9">
        <f ca="1">SUMIF('Tech Parameters'!Y$220:Y$239,$C231,U$173:U$192)</f>
        <v>524.66925000000003</v>
      </c>
      <c r="V231" s="9">
        <f ca="1">SUMIF('Tech Parameters'!Z$220:Z$239,$C231,V$173:V$192)</f>
        <v>524.66925000000003</v>
      </c>
      <c r="W231" s="9">
        <f ca="1">SUMIF('Tech Parameters'!AA$220:AA$239,$C231,W$173:W$192)</f>
        <v>524.66925000000003</v>
      </c>
      <c r="X231" s="9">
        <f ca="1">SUMIF('Tech Parameters'!AB$220:AB$239,$C231,X$173:X$192)</f>
        <v>524.66925000000003</v>
      </c>
      <c r="Y231" s="9">
        <f ca="1">SUMIF('Tech Parameters'!AC$220:AC$239,$C231,Y$173:Y$192)</f>
        <v>524.66925000000003</v>
      </c>
      <c r="Z231" s="9">
        <f ca="1">SUMIF('Tech Parameters'!AD$220:AD$239,$C231,Z$173:Z$192)</f>
        <v>524.66925000000003</v>
      </c>
      <c r="AA231" s="9">
        <f ca="1">SUMIF('Tech Parameters'!AE$220:AE$239,$C231,AA$173:AA$192)</f>
        <v>524.66925000000003</v>
      </c>
      <c r="AB231" s="9">
        <f ca="1">SUMIF('Tech Parameters'!AF$220:AF$239,$C231,AB$173:AB$192)</f>
        <v>524.66925000000003</v>
      </c>
      <c r="AC231" s="9">
        <f ca="1">SUMIF('Tech Parameters'!AG$220:AG$239,$C231,AC$173:AC$192)</f>
        <v>524.66925000000003</v>
      </c>
      <c r="AD231" s="9"/>
      <c r="AE231" s="9"/>
      <c r="AF231" s="9"/>
      <c r="AG231" s="9"/>
      <c r="AH231" s="9"/>
      <c r="AI231" s="9"/>
      <c r="AJ231" s="9"/>
      <c r="AK231" s="9"/>
      <c r="AL231" s="9"/>
      <c r="AM231" s="9"/>
      <c r="AN231" s="9"/>
      <c r="AO231" s="9"/>
      <c r="AP231" s="9"/>
      <c r="AQ231" s="9"/>
      <c r="AR231" s="9"/>
      <c r="AS231" s="9"/>
      <c r="AT231" s="9"/>
      <c r="AU231" s="9"/>
      <c r="AV231" s="9"/>
      <c r="AW231" s="9"/>
      <c r="BA231" s="4"/>
      <c r="BL231" s="4"/>
    </row>
    <row r="232" spans="3:64">
      <c r="C232">
        <v>16</v>
      </c>
      <c r="D232" s="9">
        <f>SUMIF('Tech Parameters'!H$220:H$239,$C232,D$173:D$192)</f>
        <v>1502.1209999999999</v>
      </c>
      <c r="E232" s="9">
        <f>SUMIF('Tech Parameters'!I$220:I$239,$C232,E$173:E$192)</f>
        <v>1502.1209999999999</v>
      </c>
      <c r="F232" s="9">
        <f>SUMIF('Tech Parameters'!J$220:J$239,$C232,F$173:F$192)</f>
        <v>1502.1209999999999</v>
      </c>
      <c r="G232" s="9">
        <f>SUMIF('Tech Parameters'!K$220:K$239,$C232,G$173:G$192)</f>
        <v>1502.1209999999999</v>
      </c>
      <c r="H232" s="9">
        <f>SUMIF('Tech Parameters'!L$220:L$239,$C232,H$173:H$192)</f>
        <v>1502.1209999999999</v>
      </c>
      <c r="I232" s="9">
        <f ca="1">SUMIF('Tech Parameters'!M$220:M$239,$C232,I$173:I$192)</f>
        <v>1502.1209999999999</v>
      </c>
      <c r="J232" s="9">
        <f ca="1">SUMIF('Tech Parameters'!N$220:N$239,$C232,J$173:J$192)</f>
        <v>1502.1209999999999</v>
      </c>
      <c r="K232" s="9">
        <f ca="1">SUMIF('Tech Parameters'!O$220:O$239,$C232,K$173:K$192)</f>
        <v>1502.1209999999999</v>
      </c>
      <c r="L232" s="9">
        <f ca="1">SUMIF('Tech Parameters'!P$220:P$239,$C232,L$173:L$192)</f>
        <v>1502.1209999999999</v>
      </c>
      <c r="M232" s="9">
        <f ca="1">SUMIF('Tech Parameters'!Q$220:Q$239,$C232,M$173:M$192)</f>
        <v>1502.1209999999999</v>
      </c>
      <c r="N232" s="9">
        <f ca="1">SUMIF('Tech Parameters'!R$220:R$239,$C232,N$173:N$192)</f>
        <v>1502.1209999999999</v>
      </c>
      <c r="O232" s="9">
        <f ca="1">SUMIF('Tech Parameters'!S$220:S$239,$C232,O$173:O$192)</f>
        <v>1502.1209999999999</v>
      </c>
      <c r="P232" s="9">
        <f ca="1">SUMIF('Tech Parameters'!T$220:T$239,$C232,P$173:P$192)</f>
        <v>1502.1209999999999</v>
      </c>
      <c r="Q232" s="9">
        <f ca="1">SUMIF('Tech Parameters'!U$220:U$239,$C232,Q$173:Q$192)</f>
        <v>1502.1209999999999</v>
      </c>
      <c r="R232" s="9">
        <f ca="1">SUMIF('Tech Parameters'!V$220:V$239,$C232,R$173:R$192)</f>
        <v>1502.1209999999999</v>
      </c>
      <c r="S232" s="9">
        <f ca="1">SUMIF('Tech Parameters'!W$220:W$239,$C232,S$173:S$192)</f>
        <v>1502.1209999999999</v>
      </c>
      <c r="T232" s="9">
        <f ca="1">SUMIF('Tech Parameters'!X$220:X$239,$C232,T$173:T$192)</f>
        <v>1502.1209999999999</v>
      </c>
      <c r="U232" s="9">
        <f ca="1">SUMIF('Tech Parameters'!Y$220:Y$239,$C232,U$173:U$192)</f>
        <v>1502.1209999999999</v>
      </c>
      <c r="V232" s="9">
        <f ca="1">SUMIF('Tech Parameters'!Z$220:Z$239,$C232,V$173:V$192)</f>
        <v>1502.1209999999999</v>
      </c>
      <c r="W232" s="9">
        <f ca="1">SUMIF('Tech Parameters'!AA$220:AA$239,$C232,W$173:W$192)</f>
        <v>1502.1209999999999</v>
      </c>
      <c r="X232" s="9">
        <f ca="1">SUMIF('Tech Parameters'!AB$220:AB$239,$C232,X$173:X$192)</f>
        <v>1502.1209999999999</v>
      </c>
      <c r="Y232" s="9">
        <f ca="1">SUMIF('Tech Parameters'!AC$220:AC$239,$C232,Y$173:Y$192)</f>
        <v>1502.1209999999999</v>
      </c>
      <c r="Z232" s="9">
        <f ca="1">SUMIF('Tech Parameters'!AD$220:AD$239,$C232,Z$173:Z$192)</f>
        <v>1502.1209999999999</v>
      </c>
      <c r="AA232" s="9">
        <f ca="1">SUMIF('Tech Parameters'!AE$220:AE$239,$C232,AA$173:AA$192)</f>
        <v>1502.1209999999999</v>
      </c>
      <c r="AB232" s="9">
        <f ca="1">SUMIF('Tech Parameters'!AF$220:AF$239,$C232,AB$173:AB$192)</f>
        <v>1502.1209999999999</v>
      </c>
      <c r="AC232" s="9">
        <f ca="1">SUMIF('Tech Parameters'!AG$220:AG$239,$C232,AC$173:AC$192)</f>
        <v>1502.1209999999999</v>
      </c>
      <c r="AD232" s="9"/>
      <c r="AE232" s="9"/>
      <c r="AF232" s="9"/>
      <c r="AG232" s="9"/>
      <c r="AH232" s="9"/>
      <c r="AI232" s="9"/>
      <c r="AJ232" s="9"/>
      <c r="AK232" s="9"/>
      <c r="AL232" s="9"/>
      <c r="AM232" s="9"/>
      <c r="AN232" s="9"/>
      <c r="AO232" s="9"/>
      <c r="AP232" s="9"/>
      <c r="AQ232" s="9"/>
      <c r="AR232" s="9"/>
      <c r="AS232" s="9"/>
      <c r="AT232" s="9"/>
      <c r="AU232" s="9"/>
      <c r="AV232" s="9"/>
      <c r="AW232" s="9"/>
      <c r="BA232" s="4"/>
      <c r="BL232" s="4"/>
    </row>
    <row r="233" spans="3:64">
      <c r="C233">
        <v>17</v>
      </c>
      <c r="D233" s="9">
        <f>SUMIF('Tech Parameters'!H$220:H$239,$C233,D$173:D$192)</f>
        <v>69713.714846090443</v>
      </c>
      <c r="E233" s="9">
        <f>SUMIF('Tech Parameters'!I$220:I$239,$C233,E$173:E$192)</f>
        <v>69713.714846090443</v>
      </c>
      <c r="F233" s="9">
        <f>SUMIF('Tech Parameters'!J$220:J$239,$C233,F$173:F$192)</f>
        <v>69713.714846090443</v>
      </c>
      <c r="G233" s="9">
        <f>SUMIF('Tech Parameters'!K$220:K$239,$C233,G$173:G$192)</f>
        <v>69713.714846090443</v>
      </c>
      <c r="H233" s="9">
        <f>SUMIF('Tech Parameters'!L$220:L$239,$C233,H$173:H$192)</f>
        <v>69713.714846090443</v>
      </c>
      <c r="I233" s="9">
        <f ca="1">SUMIF('Tech Parameters'!M$220:M$239,$C233,I$173:I$192)</f>
        <v>69713.714846090443</v>
      </c>
      <c r="J233" s="9">
        <f ca="1">SUMIF('Tech Parameters'!N$220:N$239,$C233,J$173:J$192)</f>
        <v>69713.714846090443</v>
      </c>
      <c r="K233" s="9">
        <f ca="1">SUMIF('Tech Parameters'!O$220:O$239,$C233,K$173:K$192)</f>
        <v>69713.714846090443</v>
      </c>
      <c r="L233" s="9">
        <f ca="1">SUMIF('Tech Parameters'!P$220:P$239,$C233,L$173:L$192)</f>
        <v>69713.714846090443</v>
      </c>
      <c r="M233" s="9">
        <f ca="1">SUMIF('Tech Parameters'!Q$220:Q$239,$C233,M$173:M$192)</f>
        <v>69713.714846090443</v>
      </c>
      <c r="N233" s="9">
        <f ca="1">SUMIF('Tech Parameters'!R$220:R$239,$C233,N$173:N$192)</f>
        <v>69713.714846090443</v>
      </c>
      <c r="O233" s="9">
        <f ca="1">SUMIF('Tech Parameters'!S$220:S$239,$C233,O$173:O$192)</f>
        <v>69713.714846090443</v>
      </c>
      <c r="P233" s="9">
        <f ca="1">SUMIF('Tech Parameters'!T$220:T$239,$C233,P$173:P$192)</f>
        <v>69713.714846090443</v>
      </c>
      <c r="Q233" s="9">
        <f ca="1">SUMIF('Tech Parameters'!U$220:U$239,$C233,Q$173:Q$192)</f>
        <v>69713.714846090443</v>
      </c>
      <c r="R233" s="9">
        <f ca="1">SUMIF('Tech Parameters'!V$220:V$239,$C233,R$173:R$192)</f>
        <v>69713.714846090443</v>
      </c>
      <c r="S233" s="9">
        <f ca="1">SUMIF('Tech Parameters'!W$220:W$239,$C233,S$173:S$192)</f>
        <v>69713.714846090443</v>
      </c>
      <c r="T233" s="9">
        <f ca="1">SUMIF('Tech Parameters'!X$220:X$239,$C233,T$173:T$192)</f>
        <v>69713.714846090443</v>
      </c>
      <c r="U233" s="9">
        <f ca="1">SUMIF('Tech Parameters'!Y$220:Y$239,$C233,U$173:U$192)</f>
        <v>69713.714846090443</v>
      </c>
      <c r="V233" s="9">
        <f ca="1">SUMIF('Tech Parameters'!Z$220:Z$239,$C233,V$173:V$192)</f>
        <v>69713.714846090443</v>
      </c>
      <c r="W233" s="9">
        <f ca="1">SUMIF('Tech Parameters'!AA$220:AA$239,$C233,W$173:W$192)</f>
        <v>67105.541995690277</v>
      </c>
      <c r="X233" s="9">
        <f ca="1">SUMIF('Tech Parameters'!AB$220:AB$239,$C233,X$173:X$192)</f>
        <v>64497.369145290126</v>
      </c>
      <c r="Y233" s="9">
        <f ca="1">SUMIF('Tech Parameters'!AC$220:AC$239,$C233,Y$173:Y$192)</f>
        <v>61237.153082289929</v>
      </c>
      <c r="Z233" s="9">
        <f ca="1">SUMIF('Tech Parameters'!AD$220:AD$239,$C233,Z$173:Z$192)</f>
        <v>57976.937019289733</v>
      </c>
      <c r="AA233" s="9">
        <f ca="1">SUMIF('Tech Parameters'!AE$220:AE$239,$C233,AA$173:AA$192)</f>
        <v>54030.359679868452</v>
      </c>
      <c r="AB233" s="9">
        <f ca="1">SUMIF('Tech Parameters'!AF$220:AF$239,$C233,AB$173:AB$192)</f>
        <v>46137.205001025875</v>
      </c>
      <c r="AC233" s="9">
        <f ca="1">SUMIF('Tech Parameters'!AG$220:AG$239,$C233,AC$173:AC$192)</f>
        <v>42190.627661604587</v>
      </c>
      <c r="AD233" s="9"/>
      <c r="AE233" s="9"/>
      <c r="AF233" s="9"/>
      <c r="AG233" s="9"/>
      <c r="AH233" s="9"/>
      <c r="AI233" s="9"/>
      <c r="AJ233" s="9"/>
      <c r="AK233" s="9"/>
      <c r="AL233" s="9"/>
      <c r="AM233" s="9"/>
      <c r="AN233" s="9"/>
      <c r="AO233" s="9"/>
      <c r="AP233" s="9"/>
      <c r="AQ233" s="9"/>
      <c r="AR233" s="9"/>
      <c r="AS233" s="9"/>
      <c r="AT233" s="9"/>
      <c r="AU233" s="9"/>
      <c r="AV233" s="9"/>
      <c r="AW233" s="9"/>
      <c r="BA233" s="4"/>
      <c r="BL233" s="4"/>
    </row>
    <row r="234" spans="3:64">
      <c r="C234">
        <v>18</v>
      </c>
      <c r="D234" s="9">
        <f>SUMIF('Tech Parameters'!H$220:H$239,$C234,D$173:D$192)</f>
        <v>0</v>
      </c>
      <c r="E234" s="9">
        <f>SUMIF('Tech Parameters'!I$220:I$239,$C234,E$173:E$192)</f>
        <v>0</v>
      </c>
      <c r="F234" s="9">
        <f>SUMIF('Tech Parameters'!J$220:J$239,$C234,F$173:F$192)</f>
        <v>0</v>
      </c>
      <c r="G234" s="9">
        <f>SUMIF('Tech Parameters'!K$220:K$239,$C234,G$173:G$192)</f>
        <v>0</v>
      </c>
      <c r="H234" s="9">
        <f>SUMIF('Tech Parameters'!L$220:L$239,$C234,H$173:H$192)</f>
        <v>0</v>
      </c>
      <c r="I234" s="9">
        <f ca="1">SUMIF('Tech Parameters'!M$220:M$239,$C234,I$173:I$192)</f>
        <v>0</v>
      </c>
      <c r="J234" s="9">
        <f ca="1">SUMIF('Tech Parameters'!N$220:N$239,$C234,J$173:J$192)</f>
        <v>0</v>
      </c>
      <c r="K234" s="9">
        <f ca="1">SUMIF('Tech Parameters'!O$220:O$239,$C234,K$173:K$192)</f>
        <v>0</v>
      </c>
      <c r="L234" s="9">
        <f ca="1">SUMIF('Tech Parameters'!P$220:P$239,$C234,L$173:L$192)</f>
        <v>0</v>
      </c>
      <c r="M234" s="9">
        <f ca="1">SUMIF('Tech Parameters'!Q$220:Q$239,$C234,M$173:M$192)</f>
        <v>0</v>
      </c>
      <c r="N234" s="9">
        <f ca="1">SUMIF('Tech Parameters'!R$220:R$239,$C234,N$173:N$192)</f>
        <v>0</v>
      </c>
      <c r="O234" s="9">
        <f ca="1">SUMIF('Tech Parameters'!S$220:S$239,$C234,O$173:O$192)</f>
        <v>0</v>
      </c>
      <c r="P234" s="9">
        <f ca="1">SUMIF('Tech Parameters'!T$220:T$239,$C234,P$173:P$192)</f>
        <v>0</v>
      </c>
      <c r="Q234" s="9">
        <f ca="1">SUMIF('Tech Parameters'!U$220:U$239,$C234,Q$173:Q$192)</f>
        <v>0</v>
      </c>
      <c r="R234" s="9">
        <f ca="1">SUMIF('Tech Parameters'!V$220:V$239,$C234,R$173:R$192)</f>
        <v>0</v>
      </c>
      <c r="S234" s="9">
        <f ca="1">SUMIF('Tech Parameters'!W$220:W$239,$C234,S$173:S$192)</f>
        <v>0</v>
      </c>
      <c r="T234" s="9">
        <f ca="1">SUMIF('Tech Parameters'!X$220:X$239,$C234,T$173:T$192)</f>
        <v>0</v>
      </c>
      <c r="U234" s="9">
        <f ca="1">SUMIF('Tech Parameters'!Y$220:Y$239,$C234,U$173:U$192)</f>
        <v>0</v>
      </c>
      <c r="V234" s="9">
        <f ca="1">SUMIF('Tech Parameters'!Z$220:Z$239,$C234,V$173:V$192)</f>
        <v>0</v>
      </c>
      <c r="W234" s="9">
        <f ca="1">SUMIF('Tech Parameters'!AA$220:AA$239,$C234,W$173:W$192)</f>
        <v>0</v>
      </c>
      <c r="X234" s="9">
        <f ca="1">SUMIF('Tech Parameters'!AB$220:AB$239,$C234,X$173:X$192)</f>
        <v>0</v>
      </c>
      <c r="Y234" s="9">
        <f ca="1">SUMIF('Tech Parameters'!AC$220:AC$239,$C234,Y$173:Y$192)</f>
        <v>0</v>
      </c>
      <c r="Z234" s="9">
        <f ca="1">SUMIF('Tech Parameters'!AD$220:AD$239,$C234,Z$173:Z$192)</f>
        <v>0</v>
      </c>
      <c r="AA234" s="9">
        <f ca="1">SUMIF('Tech Parameters'!AE$220:AE$239,$C234,AA$173:AA$192)</f>
        <v>0</v>
      </c>
      <c r="AB234" s="9">
        <f ca="1">SUMIF('Tech Parameters'!AF$220:AF$239,$C234,AB$173:AB$192)</f>
        <v>0</v>
      </c>
      <c r="AC234" s="9">
        <f ca="1">SUMIF('Tech Parameters'!AG$220:AG$239,$C234,AC$173:AC$192)</f>
        <v>0</v>
      </c>
      <c r="AD234" s="9"/>
      <c r="AE234" s="9"/>
      <c r="AF234" s="9"/>
      <c r="AG234" s="9"/>
      <c r="AH234" s="9"/>
      <c r="AI234" s="9"/>
      <c r="AJ234" s="9"/>
      <c r="AK234" s="9"/>
      <c r="AL234" s="9"/>
      <c r="AM234" s="9"/>
      <c r="AN234" s="9"/>
      <c r="AO234" s="9"/>
      <c r="AP234" s="9"/>
      <c r="AQ234" s="9"/>
      <c r="AR234" s="9"/>
      <c r="AS234" s="9"/>
      <c r="AT234" s="9"/>
      <c r="AU234" s="9"/>
      <c r="AV234" s="9"/>
      <c r="AW234" s="9"/>
      <c r="BA234" s="4"/>
      <c r="BL234" s="4"/>
    </row>
    <row r="235" spans="3:64">
      <c r="C235">
        <v>19</v>
      </c>
      <c r="D235" s="9">
        <f>SUMIF('Tech Parameters'!H$220:H$239,$C235,D$173:D$192)</f>
        <v>11481.108051601606</v>
      </c>
      <c r="E235" s="9">
        <f>SUMIF('Tech Parameters'!I$220:I$239,$C235,E$173:E$192)</f>
        <v>11481.108051601606</v>
      </c>
      <c r="F235" s="9">
        <f>SUMIF('Tech Parameters'!J$220:J$239,$C235,F$173:F$192)</f>
        <v>0</v>
      </c>
      <c r="G235" s="9">
        <f>SUMIF('Tech Parameters'!K$220:K$239,$C235,G$173:G$192)</f>
        <v>0</v>
      </c>
      <c r="H235" s="9">
        <f>SUMIF('Tech Parameters'!L$220:L$239,$C235,H$173:H$192)</f>
        <v>0</v>
      </c>
      <c r="I235" s="9">
        <f ca="1">SUMIF('Tech Parameters'!M$220:M$239,$C235,I$173:I$192)</f>
        <v>0</v>
      </c>
      <c r="J235" s="9">
        <f ca="1">SUMIF('Tech Parameters'!N$220:N$239,$C235,J$173:J$192)</f>
        <v>0</v>
      </c>
      <c r="K235" s="9">
        <f ca="1">SUMIF('Tech Parameters'!O$220:O$239,$C235,K$173:K$192)</f>
        <v>1693.7365830000003</v>
      </c>
      <c r="L235" s="9">
        <f ca="1">SUMIF('Tech Parameters'!P$220:P$239,$C235,L$173:L$192)</f>
        <v>5081.2097490000015</v>
      </c>
      <c r="M235" s="9">
        <f ca="1">SUMIF('Tech Parameters'!Q$220:Q$239,$C235,M$173:M$192)</f>
        <v>10162.419498000003</v>
      </c>
      <c r="N235" s="9">
        <f ca="1">SUMIF('Tech Parameters'!R$220:R$239,$C235,N$173:N$192)</f>
        <v>15243.629247000003</v>
      </c>
      <c r="O235" s="9">
        <f ca="1">SUMIF('Tech Parameters'!S$220:S$239,$C235,O$173:O$192)</f>
        <v>18631.102413000004</v>
      </c>
      <c r="P235" s="9">
        <f ca="1">SUMIF('Tech Parameters'!T$220:T$239,$C235,P$173:P$192)</f>
        <v>22018.575579000008</v>
      </c>
      <c r="Q235" s="9">
        <f ca="1">SUMIF('Tech Parameters'!U$220:U$239,$C235,Q$173:Q$192)</f>
        <v>27099.785328000009</v>
      </c>
      <c r="R235" s="9">
        <f ca="1">SUMIF('Tech Parameters'!V$220:V$239,$C235,R$173:R$192)</f>
        <v>32180.995077000007</v>
      </c>
      <c r="S235" s="9">
        <f ca="1">SUMIF('Tech Parameters'!W$220:W$239,$C235,S$173:S$192)</f>
        <v>37262.204826000008</v>
      </c>
      <c r="T235" s="9">
        <f ca="1">SUMIF('Tech Parameters'!X$220:X$239,$C235,T$173:T$192)</f>
        <v>44037.151158000015</v>
      </c>
      <c r="U235" s="9">
        <f ca="1">SUMIF('Tech Parameters'!Y$220:Y$239,$C235,U$173:U$192)</f>
        <v>50812.097490000015</v>
      </c>
      <c r="V235" s="9">
        <f ca="1">SUMIF('Tech Parameters'!Z$220:Z$239,$C235,V$173:V$192)</f>
        <v>55893.307239000023</v>
      </c>
      <c r="W235" s="9">
        <f ca="1">SUMIF('Tech Parameters'!AA$220:AA$239,$C235,W$173:W$192)</f>
        <v>62668.253571000023</v>
      </c>
      <c r="X235" s="9">
        <f ca="1">SUMIF('Tech Parameters'!AB$220:AB$239,$C235,X$173:X$192)</f>
        <v>69443.19990300003</v>
      </c>
      <c r="Y235" s="9">
        <f ca="1">SUMIF('Tech Parameters'!AC$220:AC$239,$C235,Y$173:Y$192)</f>
        <v>77911.882818000027</v>
      </c>
      <c r="Z235" s="9">
        <f ca="1">SUMIF('Tech Parameters'!AD$220:AD$239,$C235,Z$173:Z$192)</f>
        <v>86380.565733000025</v>
      </c>
      <c r="AA235" s="9">
        <f ca="1">SUMIF('Tech Parameters'!AE$220:AE$239,$C235,AA$173:AA$192)</f>
        <v>94849.248648000023</v>
      </c>
      <c r="AB235" s="9">
        <f ca="1">SUMIF('Tech Parameters'!AF$220:AF$239,$C235,AB$173:AB$192)</f>
        <v>105011.66814600003</v>
      </c>
      <c r="AC235" s="9">
        <f ca="1">SUMIF('Tech Parameters'!AG$220:AG$239,$C235,AC$173:AC$192)</f>
        <v>115174.08764400003</v>
      </c>
      <c r="AD235" s="9"/>
      <c r="AE235" s="9"/>
      <c r="AF235" s="9"/>
      <c r="AG235" s="9"/>
      <c r="AH235" s="9"/>
      <c r="AI235" s="9"/>
      <c r="AJ235" s="9"/>
      <c r="AK235" s="9"/>
      <c r="AL235" s="9"/>
      <c r="AM235" s="9"/>
      <c r="AN235" s="9"/>
      <c r="AO235" s="9"/>
      <c r="AP235" s="9"/>
      <c r="AQ235" s="9"/>
      <c r="AR235" s="9"/>
      <c r="AS235" s="9"/>
      <c r="AT235" s="9"/>
      <c r="AU235" s="9"/>
      <c r="AV235" s="9"/>
      <c r="AW235" s="9"/>
      <c r="BA235" s="4"/>
      <c r="BL235" s="4"/>
    </row>
    <row r="236" spans="3:64">
      <c r="C236">
        <v>20</v>
      </c>
      <c r="D236" s="9">
        <f>SUMIF('Tech Parameters'!H$220:H$239,$C236,D$173:D$192)</f>
        <v>0</v>
      </c>
      <c r="E236" s="9">
        <f>SUMIF('Tech Parameters'!I$220:I$239,$C236,E$173:E$192)</f>
        <v>0</v>
      </c>
      <c r="F236" s="9">
        <f>SUMIF('Tech Parameters'!J$220:J$239,$C236,F$173:F$192)</f>
        <v>11481.108051601606</v>
      </c>
      <c r="G236" s="9">
        <f>SUMIF('Tech Parameters'!K$220:K$239,$C236,G$173:G$192)</f>
        <v>11481.108051601606</v>
      </c>
      <c r="H236" s="9">
        <f>SUMIF('Tech Parameters'!L$220:L$239,$C236,H$173:H$192)</f>
        <v>11481.108051601606</v>
      </c>
      <c r="I236" s="9">
        <f ca="1">SUMIF('Tech Parameters'!M$220:M$239,$C236,I$173:I$192)</f>
        <v>12924.051645819456</v>
      </c>
      <c r="J236" s="9">
        <f ca="1">SUMIF('Tech Parameters'!N$220:N$239,$C236,J$173:J$192)</f>
        <v>13777.564401403659</v>
      </c>
      <c r="K236" s="9">
        <f ca="1">SUMIF('Tech Parameters'!O$220:O$239,$C236,K$173:K$192)</f>
        <v>13777.564401403659</v>
      </c>
      <c r="L236" s="9">
        <f ca="1">SUMIF('Tech Parameters'!P$220:P$239,$C236,L$173:L$192)</f>
        <v>13777.564401403659</v>
      </c>
      <c r="M236" s="9">
        <f ca="1">SUMIF('Tech Parameters'!Q$220:Q$239,$C236,M$173:M$192)</f>
        <v>13777.564401403659</v>
      </c>
      <c r="N236" s="9">
        <f ca="1">SUMIF('Tech Parameters'!R$220:R$239,$C236,N$173:N$192)</f>
        <v>13777.564401403659</v>
      </c>
      <c r="O236" s="9">
        <f ca="1">SUMIF('Tech Parameters'!S$220:S$239,$C236,O$173:O$192)</f>
        <v>13698.339826318494</v>
      </c>
      <c r="P236" s="9">
        <f ca="1">SUMIF('Tech Parameters'!T$220:T$239,$C236,P$173:P$192)</f>
        <v>13619.115251233326</v>
      </c>
      <c r="Q236" s="9">
        <f ca="1">SUMIF('Tech Parameters'!U$220:U$239,$C236,Q$173:Q$192)</f>
        <v>13513.482484453105</v>
      </c>
      <c r="R236" s="9">
        <f ca="1">SUMIF('Tech Parameters'!V$220:V$239,$C236,R$173:R$192)</f>
        <v>13407.84971767288</v>
      </c>
      <c r="S236" s="9">
        <f ca="1">SUMIF('Tech Parameters'!W$220:W$239,$C236,S$173:S$192)</f>
        <v>11400.827148848637</v>
      </c>
      <c r="T236" s="9">
        <f ca="1">SUMIF('Tech Parameters'!X$220:X$239,$C236,T$173:T$192)</f>
        <v>9393.8045800243945</v>
      </c>
      <c r="U236" s="9">
        <f ca="1">SUMIF('Tech Parameters'!Y$220:Y$239,$C236,U$173:U$192)</f>
        <v>9393.8045800243945</v>
      </c>
      <c r="V236" s="9">
        <f ca="1">SUMIF('Tech Parameters'!Z$220:Z$239,$C236,V$173:V$192)</f>
        <v>9393.8045800243945</v>
      </c>
      <c r="W236" s="9">
        <f ca="1">SUMIF('Tech Parameters'!AA$220:AA$239,$C236,W$173:W$192)</f>
        <v>9393.8045800243945</v>
      </c>
      <c r="X236" s="9">
        <f ca="1">SUMIF('Tech Parameters'!AB$220:AB$239,$C236,X$173:X$192)</f>
        <v>8469.0483917339716</v>
      </c>
      <c r="Y236" s="9">
        <f ca="1">SUMIF('Tech Parameters'!AC$220:AC$239,$C236,Y$173:Y$192)</f>
        <v>7544.2922034435505</v>
      </c>
      <c r="Z236" s="9">
        <f ca="1">SUMIF('Tech Parameters'!AD$220:AD$239,$C236,Z$173:Z$192)</f>
        <v>7544.2922034435505</v>
      </c>
      <c r="AA236" s="9">
        <f ca="1">SUMIF('Tech Parameters'!AE$220:AE$239,$C236,AA$173:AA$192)</f>
        <v>7544.2922034435505</v>
      </c>
      <c r="AB236" s="9">
        <f ca="1">SUMIF('Tech Parameters'!AF$220:AF$239,$C236,AB$173:AB$192)</f>
        <v>7544.2922034435505</v>
      </c>
      <c r="AC236" s="9">
        <f ca="1">SUMIF('Tech Parameters'!AG$220:AG$239,$C236,AC$173:AC$192)</f>
        <v>7544.2922034435505</v>
      </c>
      <c r="AD236" s="9"/>
      <c r="AE236" s="9"/>
      <c r="AF236" s="9"/>
      <c r="AG236" s="9"/>
      <c r="AH236" s="9"/>
      <c r="AI236" s="9"/>
      <c r="AJ236" s="9"/>
      <c r="AK236" s="9"/>
      <c r="AL236" s="9"/>
      <c r="AM236" s="9"/>
      <c r="AN236" s="9"/>
      <c r="AO236" s="9"/>
      <c r="AP236" s="9"/>
      <c r="AQ236" s="9"/>
      <c r="AR236" s="9"/>
      <c r="AS236" s="9"/>
      <c r="AT236" s="9"/>
      <c r="AU236" s="9"/>
      <c r="AV236" s="9"/>
      <c r="AW236" s="9"/>
      <c r="BA236" s="4"/>
      <c r="BL236" s="4"/>
    </row>
    <row r="237" spans="3:64">
      <c r="D237" s="9"/>
      <c r="E237" s="9"/>
      <c r="F237" s="9"/>
      <c r="G237" s="9"/>
      <c r="H237" s="9"/>
      <c r="I237" s="9"/>
      <c r="J237" s="9"/>
      <c r="K237" s="9"/>
      <c r="L237" s="9"/>
      <c r="M237" s="9"/>
      <c r="N237" s="9"/>
      <c r="O237" s="9"/>
      <c r="P237" s="9"/>
      <c r="Q237" s="9"/>
      <c r="R237" s="9"/>
      <c r="S237" s="9"/>
      <c r="T237" s="9"/>
      <c r="U237" s="9"/>
      <c r="V237" s="9"/>
      <c r="W237" s="9"/>
      <c r="X237" s="9"/>
      <c r="Y237" s="9"/>
      <c r="Z237" s="9"/>
      <c r="AA237" s="9"/>
      <c r="AB237" s="9"/>
      <c r="AC237" s="9"/>
      <c r="AD237" s="9"/>
      <c r="AE237" s="9"/>
      <c r="AF237" s="9"/>
      <c r="AG237" s="9"/>
      <c r="AH237" s="9"/>
      <c r="AI237" s="9"/>
      <c r="AJ237" s="9"/>
      <c r="AK237" s="9"/>
      <c r="AL237" s="9"/>
      <c r="AM237" s="9"/>
      <c r="AN237" s="9"/>
      <c r="AO237" s="9"/>
      <c r="AP237" s="9"/>
      <c r="AQ237" s="9"/>
      <c r="AR237" s="9"/>
      <c r="AS237" s="9"/>
      <c r="AT237" s="9"/>
      <c r="AU237" s="9"/>
      <c r="AV237" s="9"/>
      <c r="AW237" s="9"/>
      <c r="BA237" s="4"/>
      <c r="BL237" s="4"/>
    </row>
    <row r="238" spans="3:64">
      <c r="C238" s="4" t="s">
        <v>703</v>
      </c>
      <c r="D238" s="9"/>
      <c r="E238" s="9"/>
      <c r="F238" s="9"/>
      <c r="G238" s="9"/>
      <c r="H238" s="9"/>
      <c r="I238" s="9"/>
      <c r="J238" s="9"/>
      <c r="K238" s="9"/>
      <c r="L238" s="9"/>
      <c r="M238" s="9"/>
      <c r="N238" s="9"/>
      <c r="O238" s="9"/>
      <c r="P238" s="9"/>
      <c r="Q238" s="9"/>
      <c r="R238" s="9"/>
      <c r="S238" s="9"/>
      <c r="T238" s="9"/>
      <c r="U238" s="9"/>
      <c r="V238" s="9"/>
      <c r="W238" s="9"/>
      <c r="X238" s="9"/>
      <c r="Y238" s="9"/>
      <c r="Z238" s="9"/>
      <c r="AA238" s="9"/>
      <c r="AB238" s="9"/>
      <c r="AC238" s="9"/>
      <c r="AD238" s="9"/>
      <c r="AE238" s="9"/>
      <c r="AF238" s="9"/>
      <c r="AG238" s="9"/>
      <c r="AH238" s="9"/>
      <c r="AI238" s="9"/>
      <c r="AJ238" s="9"/>
      <c r="AK238" s="9"/>
      <c r="AL238" s="9"/>
      <c r="AM238" s="9"/>
      <c r="AN238" s="9"/>
      <c r="AO238" s="9"/>
      <c r="AP238" s="9"/>
      <c r="AQ238" s="9"/>
      <c r="AR238" s="9"/>
      <c r="AS238" s="9"/>
      <c r="AT238" s="9"/>
      <c r="AU238" s="9"/>
      <c r="AV238" s="9"/>
      <c r="AW238" s="9"/>
      <c r="BA238" s="4"/>
      <c r="BL238" s="4"/>
    </row>
    <row r="239" spans="3:64">
      <c r="C239">
        <v>1</v>
      </c>
      <c r="D239" s="9">
        <f>SUMIF('Tech Parameters'!H$170:H$189,$C239,D$195:D$214)</f>
        <v>0</v>
      </c>
      <c r="E239" s="9">
        <f>SUMIF('Tech Parameters'!I$170:I$189,$C239,E$195:E$214)</f>
        <v>0</v>
      </c>
      <c r="F239" s="9">
        <f>SUMIF('Tech Parameters'!J$170:J$189,$C239,F$195:F$214)</f>
        <v>0</v>
      </c>
      <c r="G239" s="9">
        <f>SUMIF('Tech Parameters'!K$170:K$189,$C239,G$195:G$214)</f>
        <v>0</v>
      </c>
      <c r="H239" s="9">
        <f>SUMIF('Tech Parameters'!L$170:L$189,$C239,H$195:H$214)</f>
        <v>0</v>
      </c>
      <c r="I239" s="9">
        <f ca="1">SUMIF('Tech Parameters'!M$170:M$189,$C239,I$195:I$214)</f>
        <v>0</v>
      </c>
      <c r="J239" s="9">
        <f ca="1">SUMIF('Tech Parameters'!N$170:N$189,$C239,J$195:J$214)</f>
        <v>0</v>
      </c>
      <c r="K239" s="9">
        <f ca="1">SUMIF('Tech Parameters'!O$170:O$189,$C239,K$195:K$214)</f>
        <v>0</v>
      </c>
      <c r="L239" s="9">
        <f ca="1">SUMIF('Tech Parameters'!P$170:P$189,$C239,L$195:L$214)</f>
        <v>0</v>
      </c>
      <c r="M239" s="9">
        <f ca="1">SUMIF('Tech Parameters'!Q$170:Q$189,$C239,M$195:M$214)</f>
        <v>0</v>
      </c>
      <c r="N239" s="9">
        <f ca="1">SUMIF('Tech Parameters'!R$170:R$189,$C239,N$195:N$214)</f>
        <v>0</v>
      </c>
      <c r="O239" s="9">
        <f ca="1">SUMIF('Tech Parameters'!S$170:S$189,$C239,O$195:O$214)</f>
        <v>0</v>
      </c>
      <c r="P239" s="9">
        <f ca="1">SUMIF('Tech Parameters'!T$170:T$189,$C239,P$195:P$214)</f>
        <v>0</v>
      </c>
      <c r="Q239" s="9">
        <f ca="1">SUMIF('Tech Parameters'!U$170:U$189,$C239,Q$195:Q$214)</f>
        <v>0</v>
      </c>
      <c r="R239" s="9">
        <f ca="1">SUMIF('Tech Parameters'!V$170:V$189,$C239,R$195:R$214)</f>
        <v>0</v>
      </c>
      <c r="S239" s="9">
        <f ca="1">SUMIF('Tech Parameters'!W$170:W$189,$C239,S$195:S$214)</f>
        <v>0</v>
      </c>
      <c r="T239" s="9">
        <f ca="1">SUMIF('Tech Parameters'!X$170:X$189,$C239,T$195:T$214)</f>
        <v>0</v>
      </c>
      <c r="U239" s="9">
        <f ca="1">SUMIF('Tech Parameters'!Y$170:Y$189,$C239,U$195:U$214)</f>
        <v>0</v>
      </c>
      <c r="V239" s="9">
        <f ca="1">SUMIF('Tech Parameters'!Z$170:Z$189,$C239,V$195:V$214)</f>
        <v>0</v>
      </c>
      <c r="W239" s="9">
        <f ca="1">SUMIF('Tech Parameters'!AA$170:AA$189,$C239,W$195:W$214)</f>
        <v>0</v>
      </c>
      <c r="X239" s="9">
        <f ca="1">SUMIF('Tech Parameters'!AB$170:AB$189,$C239,X$195:X$214)</f>
        <v>0</v>
      </c>
      <c r="Y239" s="9">
        <f ca="1">SUMIF('Tech Parameters'!AC$170:AC$189,$C239,Y$195:Y$214)</f>
        <v>0</v>
      </c>
      <c r="Z239" s="9">
        <f ca="1">SUMIF('Tech Parameters'!AD$170:AD$189,$C239,Z$195:Z$214)</f>
        <v>0</v>
      </c>
      <c r="AA239" s="9">
        <f ca="1">SUMIF('Tech Parameters'!AE$170:AE$189,$C239,AA$195:AA$214)</f>
        <v>0</v>
      </c>
      <c r="AB239" s="9">
        <f ca="1">SUMIF('Tech Parameters'!AF$170:AF$189,$C239,AB$195:AB$214)</f>
        <v>0</v>
      </c>
      <c r="AC239" s="9">
        <f ca="1">SUMIF('Tech Parameters'!AG$170:AG$189,$C239,AC$195:AC$214)</f>
        <v>0</v>
      </c>
      <c r="AD239" s="9"/>
      <c r="AE239" s="9"/>
      <c r="AF239" s="9"/>
      <c r="AG239" s="9"/>
      <c r="AH239" s="9"/>
      <c r="AI239" s="9"/>
      <c r="AJ239" s="9"/>
      <c r="AK239" s="9"/>
      <c r="AL239" s="9"/>
      <c r="AM239" s="9"/>
      <c r="AN239" s="9"/>
      <c r="AO239" s="9"/>
      <c r="AP239" s="9"/>
      <c r="AQ239" s="9"/>
      <c r="AR239" s="9"/>
      <c r="AS239" s="9"/>
      <c r="AT239" s="9"/>
      <c r="AU239" s="9"/>
      <c r="AV239" s="9"/>
      <c r="AW239" s="9"/>
      <c r="BA239" s="4"/>
      <c r="BL239" s="4"/>
    </row>
    <row r="240" spans="3:64">
      <c r="C240">
        <v>2</v>
      </c>
      <c r="D240" s="9">
        <f>SUMIF('Tech Parameters'!H$170:H$189,$C240,D$195:D$214)</f>
        <v>66.660329523809537</v>
      </c>
      <c r="E240" s="9">
        <f>SUMIF('Tech Parameters'!I$170:I$189,$C240,E$195:E$214)</f>
        <v>66.660329523809537</v>
      </c>
      <c r="F240" s="9">
        <f>SUMIF('Tech Parameters'!J$170:J$189,$C240,F$195:F$214)</f>
        <v>66.660329523809537</v>
      </c>
      <c r="G240" s="9">
        <f>SUMIF('Tech Parameters'!K$170:K$189,$C240,G$195:G$214)</f>
        <v>66.660329523809537</v>
      </c>
      <c r="H240" s="9">
        <f>SUMIF('Tech Parameters'!L$170:L$189,$C240,H$195:H$214)</f>
        <v>66.660329523809537</v>
      </c>
      <c r="I240" s="9">
        <f ca="1">SUMIF('Tech Parameters'!M$170:M$189,$C240,I$195:I$214)</f>
        <v>66.660329523809537</v>
      </c>
      <c r="J240" s="9">
        <f ca="1">SUMIF('Tech Parameters'!N$170:N$189,$C240,J$195:J$214)</f>
        <v>66.660329523809537</v>
      </c>
      <c r="K240" s="9">
        <f ca="1">SUMIF('Tech Parameters'!O$170:O$189,$C240,K$195:K$214)</f>
        <v>66.660329523809537</v>
      </c>
      <c r="L240" s="9">
        <f ca="1">SUMIF('Tech Parameters'!P$170:P$189,$C240,L$195:L$214)</f>
        <v>66.660329523809537</v>
      </c>
      <c r="M240" s="9">
        <f ca="1">SUMIF('Tech Parameters'!Q$170:Q$189,$C240,M$195:M$214)</f>
        <v>66.660329523809537</v>
      </c>
      <c r="N240" s="9">
        <f ca="1">SUMIF('Tech Parameters'!R$170:R$189,$C240,N$195:N$214)</f>
        <v>66.660329523809537</v>
      </c>
      <c r="O240" s="9">
        <f ca="1">SUMIF('Tech Parameters'!S$170:S$189,$C240,O$195:O$214)</f>
        <v>66.660329523809537</v>
      </c>
      <c r="P240" s="9">
        <f ca="1">SUMIF('Tech Parameters'!T$170:T$189,$C240,P$195:P$214)</f>
        <v>66.660329523809537</v>
      </c>
      <c r="Q240" s="9">
        <f ca="1">SUMIF('Tech Parameters'!U$170:U$189,$C240,Q$195:Q$214)</f>
        <v>66.660329523809537</v>
      </c>
      <c r="R240" s="9">
        <f ca="1">SUMIF('Tech Parameters'!V$170:V$189,$C240,R$195:R$214)</f>
        <v>66.660329523809537</v>
      </c>
      <c r="S240" s="9">
        <f ca="1">SUMIF('Tech Parameters'!W$170:W$189,$C240,S$195:S$214)</f>
        <v>66.660329523809537</v>
      </c>
      <c r="T240" s="9">
        <f ca="1">SUMIF('Tech Parameters'!X$170:X$189,$C240,T$195:T$214)</f>
        <v>66.660329523809537</v>
      </c>
      <c r="U240" s="9">
        <f ca="1">SUMIF('Tech Parameters'!Y$170:Y$189,$C240,U$195:U$214)</f>
        <v>66.660329523809537</v>
      </c>
      <c r="V240" s="9">
        <f ca="1">SUMIF('Tech Parameters'!Z$170:Z$189,$C240,V$195:V$214)</f>
        <v>66.660329523809537</v>
      </c>
      <c r="W240" s="9">
        <f ca="1">SUMIF('Tech Parameters'!AA$170:AA$189,$C240,W$195:W$214)</f>
        <v>66.660329523809537</v>
      </c>
      <c r="X240" s="9">
        <f ca="1">SUMIF('Tech Parameters'!AB$170:AB$189,$C240,X$195:X$214)</f>
        <v>66.660329523809537</v>
      </c>
      <c r="Y240" s="9">
        <f ca="1">SUMIF('Tech Parameters'!AC$170:AC$189,$C240,Y$195:Y$214)</f>
        <v>66.660329523809537</v>
      </c>
      <c r="Z240" s="9">
        <f ca="1">SUMIF('Tech Parameters'!AD$170:AD$189,$C240,Z$195:Z$214)</f>
        <v>66.660329523809537</v>
      </c>
      <c r="AA240" s="9">
        <f ca="1">SUMIF('Tech Parameters'!AE$170:AE$189,$C240,AA$195:AA$214)</f>
        <v>66.660329523809537</v>
      </c>
      <c r="AB240" s="9">
        <f ca="1">SUMIF('Tech Parameters'!AF$170:AF$189,$C240,AB$195:AB$214)</f>
        <v>66.660329523809537</v>
      </c>
      <c r="AC240" s="9">
        <f ca="1">SUMIF('Tech Parameters'!AG$170:AG$189,$C240,AC$195:AC$214)</f>
        <v>66.660329523809537</v>
      </c>
      <c r="AD240" s="9"/>
      <c r="AE240" s="9"/>
      <c r="AF240" s="9"/>
      <c r="AG240" s="9"/>
      <c r="AH240" s="9"/>
      <c r="AI240" s="9"/>
      <c r="AJ240" s="9"/>
      <c r="AK240" s="9"/>
      <c r="AL240" s="9"/>
      <c r="AM240" s="9"/>
      <c r="AN240" s="9"/>
      <c r="AO240" s="9"/>
      <c r="AP240" s="9"/>
      <c r="AQ240" s="9"/>
      <c r="AR240" s="9"/>
      <c r="AS240" s="9"/>
      <c r="AT240" s="9"/>
      <c r="AU240" s="9"/>
      <c r="AV240" s="9"/>
      <c r="AW240" s="9"/>
      <c r="BA240" s="4"/>
      <c r="BL240" s="4"/>
    </row>
    <row r="241" spans="3:64">
      <c r="C241">
        <v>3</v>
      </c>
      <c r="D241" s="9">
        <f>SUMIF('Tech Parameters'!H$170:H$189,$C241,D$195:D$214)</f>
        <v>0</v>
      </c>
      <c r="E241" s="9">
        <f>SUMIF('Tech Parameters'!I$170:I$189,$C241,E$195:E$214)</f>
        <v>0</v>
      </c>
      <c r="F241" s="9">
        <f>SUMIF('Tech Parameters'!J$170:J$189,$C241,F$195:F$214)</f>
        <v>0</v>
      </c>
      <c r="G241" s="9">
        <f>SUMIF('Tech Parameters'!K$170:K$189,$C241,G$195:G$214)</f>
        <v>0</v>
      </c>
      <c r="H241" s="9">
        <f>SUMIF('Tech Parameters'!L$170:L$189,$C241,H$195:H$214)</f>
        <v>0</v>
      </c>
      <c r="I241" s="9">
        <f ca="1">SUMIF('Tech Parameters'!M$170:M$189,$C241,I$195:I$214)</f>
        <v>0</v>
      </c>
      <c r="J241" s="9">
        <f ca="1">SUMIF('Tech Parameters'!N$170:N$189,$C241,J$195:J$214)</f>
        <v>0</v>
      </c>
      <c r="K241" s="9">
        <f ca="1">SUMIF('Tech Parameters'!O$170:O$189,$C241,K$195:K$214)</f>
        <v>0</v>
      </c>
      <c r="L241" s="9">
        <f ca="1">SUMIF('Tech Parameters'!P$170:P$189,$C241,L$195:L$214)</f>
        <v>0</v>
      </c>
      <c r="M241" s="9">
        <f ca="1">SUMIF('Tech Parameters'!Q$170:Q$189,$C241,M$195:M$214)</f>
        <v>0</v>
      </c>
      <c r="N241" s="9">
        <f ca="1">SUMIF('Tech Parameters'!R$170:R$189,$C241,N$195:N$214)</f>
        <v>0</v>
      </c>
      <c r="O241" s="9">
        <f ca="1">SUMIF('Tech Parameters'!S$170:S$189,$C241,O$195:O$214)</f>
        <v>0</v>
      </c>
      <c r="P241" s="9">
        <f ca="1">SUMIF('Tech Parameters'!T$170:T$189,$C241,P$195:P$214)</f>
        <v>0</v>
      </c>
      <c r="Q241" s="9">
        <f ca="1">SUMIF('Tech Parameters'!U$170:U$189,$C241,Q$195:Q$214)</f>
        <v>0</v>
      </c>
      <c r="R241" s="9">
        <f ca="1">SUMIF('Tech Parameters'!V$170:V$189,$C241,R$195:R$214)</f>
        <v>0</v>
      </c>
      <c r="S241" s="9">
        <f ca="1">SUMIF('Tech Parameters'!W$170:W$189,$C241,S$195:S$214)</f>
        <v>0</v>
      </c>
      <c r="T241" s="9">
        <f ca="1">SUMIF('Tech Parameters'!X$170:X$189,$C241,T$195:T$214)</f>
        <v>0</v>
      </c>
      <c r="U241" s="9">
        <f ca="1">SUMIF('Tech Parameters'!Y$170:Y$189,$C241,U$195:U$214)</f>
        <v>0</v>
      </c>
      <c r="V241" s="9">
        <f ca="1">SUMIF('Tech Parameters'!Z$170:Z$189,$C241,V$195:V$214)</f>
        <v>0</v>
      </c>
      <c r="W241" s="9">
        <f ca="1">SUMIF('Tech Parameters'!AA$170:AA$189,$C241,W$195:W$214)</f>
        <v>0</v>
      </c>
      <c r="X241" s="9">
        <f ca="1">SUMIF('Tech Parameters'!AB$170:AB$189,$C241,X$195:X$214)</f>
        <v>0</v>
      </c>
      <c r="Y241" s="9">
        <f ca="1">SUMIF('Tech Parameters'!AC$170:AC$189,$C241,Y$195:Y$214)</f>
        <v>0</v>
      </c>
      <c r="Z241" s="9">
        <f ca="1">SUMIF('Tech Parameters'!AD$170:AD$189,$C241,Z$195:Z$214)</f>
        <v>0</v>
      </c>
      <c r="AA241" s="9">
        <f ca="1">SUMIF('Tech Parameters'!AE$170:AE$189,$C241,AA$195:AA$214)</f>
        <v>0</v>
      </c>
      <c r="AB241" s="9">
        <f ca="1">SUMIF('Tech Parameters'!AF$170:AF$189,$C241,AB$195:AB$214)</f>
        <v>0</v>
      </c>
      <c r="AC241" s="9">
        <f ca="1">SUMIF('Tech Parameters'!AG$170:AG$189,$C241,AC$195:AC$214)</f>
        <v>0</v>
      </c>
      <c r="AD241" s="9"/>
      <c r="AE241" s="9"/>
      <c r="AF241" s="9"/>
      <c r="AG241" s="9"/>
      <c r="AH241" s="9"/>
      <c r="AI241" s="9"/>
      <c r="AJ241" s="9"/>
      <c r="AK241" s="9"/>
      <c r="AL241" s="9"/>
      <c r="AM241" s="9"/>
      <c r="AN241" s="9"/>
      <c r="AO241" s="9"/>
      <c r="AP241" s="9"/>
      <c r="AQ241" s="9"/>
      <c r="AR241" s="9"/>
      <c r="AS241" s="9"/>
      <c r="AT241" s="9"/>
      <c r="AU241" s="9"/>
      <c r="AV241" s="9"/>
      <c r="AW241" s="9"/>
      <c r="BA241" s="4"/>
      <c r="BL241" s="4"/>
    </row>
    <row r="242" spans="3:64">
      <c r="C242">
        <v>4</v>
      </c>
      <c r="D242" s="9">
        <f>SUMIF('Tech Parameters'!H$170:H$189,$C242,D$195:D$214)</f>
        <v>0</v>
      </c>
      <c r="E242" s="9">
        <f>SUMIF('Tech Parameters'!I$170:I$189,$C242,E$195:E$214)</f>
        <v>0</v>
      </c>
      <c r="F242" s="9">
        <f>SUMIF('Tech Parameters'!J$170:J$189,$C242,F$195:F$214)</f>
        <v>0</v>
      </c>
      <c r="G242" s="9">
        <f>SUMIF('Tech Parameters'!K$170:K$189,$C242,G$195:G$214)</f>
        <v>0</v>
      </c>
      <c r="H242" s="9">
        <f>SUMIF('Tech Parameters'!L$170:L$189,$C242,H$195:H$214)</f>
        <v>0</v>
      </c>
      <c r="I242" s="9">
        <f ca="1">SUMIF('Tech Parameters'!M$170:M$189,$C242,I$195:I$214)</f>
        <v>0</v>
      </c>
      <c r="J242" s="9">
        <f ca="1">SUMIF('Tech Parameters'!N$170:N$189,$C242,J$195:J$214)</f>
        <v>0</v>
      </c>
      <c r="K242" s="9">
        <f ca="1">SUMIF('Tech Parameters'!O$170:O$189,$C242,K$195:K$214)</f>
        <v>0</v>
      </c>
      <c r="L242" s="9">
        <f ca="1">SUMIF('Tech Parameters'!P$170:P$189,$C242,L$195:L$214)</f>
        <v>0</v>
      </c>
      <c r="M242" s="9">
        <f ca="1">SUMIF('Tech Parameters'!Q$170:Q$189,$C242,M$195:M$214)</f>
        <v>0</v>
      </c>
      <c r="N242" s="9">
        <f ca="1">SUMIF('Tech Parameters'!R$170:R$189,$C242,N$195:N$214)</f>
        <v>0</v>
      </c>
      <c r="O242" s="9">
        <f ca="1">SUMIF('Tech Parameters'!S$170:S$189,$C242,O$195:O$214)</f>
        <v>0</v>
      </c>
      <c r="P242" s="9">
        <f ca="1">SUMIF('Tech Parameters'!T$170:T$189,$C242,P$195:P$214)</f>
        <v>0</v>
      </c>
      <c r="Q242" s="9">
        <f ca="1">SUMIF('Tech Parameters'!U$170:U$189,$C242,Q$195:Q$214)</f>
        <v>0</v>
      </c>
      <c r="R242" s="9">
        <f ca="1">SUMIF('Tech Parameters'!V$170:V$189,$C242,R$195:R$214)</f>
        <v>0</v>
      </c>
      <c r="S242" s="9">
        <f ca="1">SUMIF('Tech Parameters'!W$170:W$189,$C242,S$195:S$214)</f>
        <v>0</v>
      </c>
      <c r="T242" s="9">
        <f ca="1">SUMIF('Tech Parameters'!X$170:X$189,$C242,T$195:T$214)</f>
        <v>0</v>
      </c>
      <c r="U242" s="9">
        <f ca="1">SUMIF('Tech Parameters'!Y$170:Y$189,$C242,U$195:U$214)</f>
        <v>0</v>
      </c>
      <c r="V242" s="9">
        <f ca="1">SUMIF('Tech Parameters'!Z$170:Z$189,$C242,V$195:V$214)</f>
        <v>0</v>
      </c>
      <c r="W242" s="9">
        <f ca="1">SUMIF('Tech Parameters'!AA$170:AA$189,$C242,W$195:W$214)</f>
        <v>0</v>
      </c>
      <c r="X242" s="9">
        <f ca="1">SUMIF('Tech Parameters'!AB$170:AB$189,$C242,X$195:X$214)</f>
        <v>0</v>
      </c>
      <c r="Y242" s="9">
        <f ca="1">SUMIF('Tech Parameters'!AC$170:AC$189,$C242,Y$195:Y$214)</f>
        <v>0</v>
      </c>
      <c r="Z242" s="9">
        <f ca="1">SUMIF('Tech Parameters'!AD$170:AD$189,$C242,Z$195:Z$214)</f>
        <v>0</v>
      </c>
      <c r="AA242" s="9">
        <f ca="1">SUMIF('Tech Parameters'!AE$170:AE$189,$C242,AA$195:AA$214)</f>
        <v>0</v>
      </c>
      <c r="AB242" s="9">
        <f ca="1">SUMIF('Tech Parameters'!AF$170:AF$189,$C242,AB$195:AB$214)</f>
        <v>0</v>
      </c>
      <c r="AC242" s="9">
        <f ca="1">SUMIF('Tech Parameters'!AG$170:AG$189,$C242,AC$195:AC$214)</f>
        <v>0</v>
      </c>
      <c r="AD242" s="9"/>
      <c r="AE242" s="9"/>
      <c r="AF242" s="9"/>
      <c r="AG242" s="9"/>
      <c r="AH242" s="9"/>
      <c r="AI242" s="9"/>
      <c r="AJ242" s="9"/>
      <c r="AK242" s="9"/>
      <c r="AL242" s="9"/>
      <c r="AM242" s="9"/>
      <c r="AN242" s="9"/>
      <c r="AO242" s="9"/>
      <c r="AP242" s="9"/>
      <c r="AQ242" s="9"/>
      <c r="AR242" s="9"/>
      <c r="AS242" s="9"/>
      <c r="AT242" s="9"/>
      <c r="AU242" s="9"/>
      <c r="AV242" s="9"/>
      <c r="AW242" s="9"/>
      <c r="BA242" s="4"/>
      <c r="BL242" s="4"/>
    </row>
    <row r="243" spans="3:64">
      <c r="C243">
        <v>5</v>
      </c>
      <c r="D243" s="9">
        <f>SUMIF('Tech Parameters'!H$170:H$189,$C243,D$195:D$214)</f>
        <v>0</v>
      </c>
      <c r="E243" s="9">
        <f>SUMIF('Tech Parameters'!I$170:I$189,$C243,E$195:E$214)</f>
        <v>0</v>
      </c>
      <c r="F243" s="9">
        <f>SUMIF('Tech Parameters'!J$170:J$189,$C243,F$195:F$214)</f>
        <v>0</v>
      </c>
      <c r="G243" s="9">
        <f>SUMIF('Tech Parameters'!K$170:K$189,$C243,G$195:G$214)</f>
        <v>0</v>
      </c>
      <c r="H243" s="9">
        <f>SUMIF('Tech Parameters'!L$170:L$189,$C243,H$195:H$214)</f>
        <v>0</v>
      </c>
      <c r="I243" s="9">
        <f ca="1">SUMIF('Tech Parameters'!M$170:M$189,$C243,I$195:I$214)</f>
        <v>0</v>
      </c>
      <c r="J243" s="9">
        <f ca="1">SUMIF('Tech Parameters'!N$170:N$189,$C243,J$195:J$214)</f>
        <v>0</v>
      </c>
      <c r="K243" s="9">
        <f ca="1">SUMIF('Tech Parameters'!O$170:O$189,$C243,K$195:K$214)</f>
        <v>0</v>
      </c>
      <c r="L243" s="9">
        <f ca="1">SUMIF('Tech Parameters'!P$170:P$189,$C243,L$195:L$214)</f>
        <v>0</v>
      </c>
      <c r="M243" s="9">
        <f ca="1">SUMIF('Tech Parameters'!Q$170:Q$189,$C243,M$195:M$214)</f>
        <v>0</v>
      </c>
      <c r="N243" s="9">
        <f ca="1">SUMIF('Tech Parameters'!R$170:R$189,$C243,N$195:N$214)</f>
        <v>0</v>
      </c>
      <c r="O243" s="9">
        <f ca="1">SUMIF('Tech Parameters'!S$170:S$189,$C243,O$195:O$214)</f>
        <v>0</v>
      </c>
      <c r="P243" s="9">
        <f ca="1">SUMIF('Tech Parameters'!T$170:T$189,$C243,P$195:P$214)</f>
        <v>0</v>
      </c>
      <c r="Q243" s="9">
        <f ca="1">SUMIF('Tech Parameters'!U$170:U$189,$C243,Q$195:Q$214)</f>
        <v>0</v>
      </c>
      <c r="R243" s="9">
        <f ca="1">SUMIF('Tech Parameters'!V$170:V$189,$C243,R$195:R$214)</f>
        <v>0</v>
      </c>
      <c r="S243" s="9">
        <f ca="1">SUMIF('Tech Parameters'!W$170:W$189,$C243,S$195:S$214)</f>
        <v>0</v>
      </c>
      <c r="T243" s="9">
        <f ca="1">SUMIF('Tech Parameters'!X$170:X$189,$C243,T$195:T$214)</f>
        <v>0</v>
      </c>
      <c r="U243" s="9">
        <f ca="1">SUMIF('Tech Parameters'!Y$170:Y$189,$C243,U$195:U$214)</f>
        <v>0</v>
      </c>
      <c r="V243" s="9">
        <f ca="1">SUMIF('Tech Parameters'!Z$170:Z$189,$C243,V$195:V$214)</f>
        <v>0</v>
      </c>
      <c r="W243" s="9">
        <f ca="1">SUMIF('Tech Parameters'!AA$170:AA$189,$C243,W$195:W$214)</f>
        <v>0</v>
      </c>
      <c r="X243" s="9">
        <f ca="1">SUMIF('Tech Parameters'!AB$170:AB$189,$C243,X$195:X$214)</f>
        <v>0</v>
      </c>
      <c r="Y243" s="9">
        <f ca="1">SUMIF('Tech Parameters'!AC$170:AC$189,$C243,Y$195:Y$214)</f>
        <v>0</v>
      </c>
      <c r="Z243" s="9">
        <f ca="1">SUMIF('Tech Parameters'!AD$170:AD$189,$C243,Z$195:Z$214)</f>
        <v>0</v>
      </c>
      <c r="AA243" s="9">
        <f ca="1">SUMIF('Tech Parameters'!AE$170:AE$189,$C243,AA$195:AA$214)</f>
        <v>0</v>
      </c>
      <c r="AB243" s="9">
        <f ca="1">SUMIF('Tech Parameters'!AF$170:AF$189,$C243,AB$195:AB$214)</f>
        <v>0</v>
      </c>
      <c r="AC243" s="9">
        <f ca="1">SUMIF('Tech Parameters'!AG$170:AG$189,$C243,AC$195:AC$214)</f>
        <v>0</v>
      </c>
      <c r="AD243" s="9"/>
      <c r="AE243" s="9"/>
      <c r="AF243" s="9"/>
      <c r="AG243" s="9"/>
      <c r="AH243" s="9"/>
      <c r="AI243" s="9"/>
      <c r="AJ243" s="9"/>
      <c r="AK243" s="9"/>
      <c r="AL243" s="9"/>
      <c r="AM243" s="9"/>
      <c r="AN243" s="9"/>
      <c r="AO243" s="9"/>
      <c r="AP243" s="9"/>
      <c r="AQ243" s="9"/>
      <c r="AR243" s="9"/>
      <c r="AS243" s="9"/>
      <c r="AT243" s="9"/>
      <c r="AU243" s="9"/>
      <c r="AV243" s="9"/>
      <c r="AW243" s="9"/>
      <c r="BA243" s="4"/>
      <c r="BL243" s="4"/>
    </row>
    <row r="244" spans="3:64">
      <c r="C244">
        <v>6</v>
      </c>
      <c r="D244" s="9">
        <f>SUMIF('Tech Parameters'!H$170:H$189,$C244,D$195:D$214)</f>
        <v>0</v>
      </c>
      <c r="E244" s="9">
        <f>SUMIF('Tech Parameters'!I$170:I$189,$C244,E$195:E$214)</f>
        <v>0</v>
      </c>
      <c r="F244" s="9">
        <f>SUMIF('Tech Parameters'!J$170:J$189,$C244,F$195:F$214)</f>
        <v>0</v>
      </c>
      <c r="G244" s="9">
        <f>SUMIF('Tech Parameters'!K$170:K$189,$C244,G$195:G$214)</f>
        <v>0</v>
      </c>
      <c r="H244" s="9">
        <f>SUMIF('Tech Parameters'!L$170:L$189,$C244,H$195:H$214)</f>
        <v>0</v>
      </c>
      <c r="I244" s="9">
        <f ca="1">SUMIF('Tech Parameters'!M$170:M$189,$C244,I$195:I$214)</f>
        <v>0</v>
      </c>
      <c r="J244" s="9">
        <f ca="1">SUMIF('Tech Parameters'!N$170:N$189,$C244,J$195:J$214)</f>
        <v>0</v>
      </c>
      <c r="K244" s="9">
        <f ca="1">SUMIF('Tech Parameters'!O$170:O$189,$C244,K$195:K$214)</f>
        <v>0</v>
      </c>
      <c r="L244" s="9">
        <f ca="1">SUMIF('Tech Parameters'!P$170:P$189,$C244,L$195:L$214)</f>
        <v>0</v>
      </c>
      <c r="M244" s="9">
        <f ca="1">SUMIF('Tech Parameters'!Q$170:Q$189,$C244,M$195:M$214)</f>
        <v>0</v>
      </c>
      <c r="N244" s="9">
        <f ca="1">SUMIF('Tech Parameters'!R$170:R$189,$C244,N$195:N$214)</f>
        <v>0</v>
      </c>
      <c r="O244" s="9">
        <f ca="1">SUMIF('Tech Parameters'!S$170:S$189,$C244,O$195:O$214)</f>
        <v>0</v>
      </c>
      <c r="P244" s="9">
        <f ca="1">SUMIF('Tech Parameters'!T$170:T$189,$C244,P$195:P$214)</f>
        <v>0</v>
      </c>
      <c r="Q244" s="9">
        <f ca="1">SUMIF('Tech Parameters'!U$170:U$189,$C244,Q$195:Q$214)</f>
        <v>0</v>
      </c>
      <c r="R244" s="9">
        <f ca="1">SUMIF('Tech Parameters'!V$170:V$189,$C244,R$195:R$214)</f>
        <v>0</v>
      </c>
      <c r="S244" s="9">
        <f ca="1">SUMIF('Tech Parameters'!W$170:W$189,$C244,S$195:S$214)</f>
        <v>0</v>
      </c>
      <c r="T244" s="9">
        <f ca="1">SUMIF('Tech Parameters'!X$170:X$189,$C244,T$195:T$214)</f>
        <v>0</v>
      </c>
      <c r="U244" s="9">
        <f ca="1">SUMIF('Tech Parameters'!Y$170:Y$189,$C244,U$195:U$214)</f>
        <v>0</v>
      </c>
      <c r="V244" s="9">
        <f ca="1">SUMIF('Tech Parameters'!Z$170:Z$189,$C244,V$195:V$214)</f>
        <v>0</v>
      </c>
      <c r="W244" s="9">
        <f ca="1">SUMIF('Tech Parameters'!AA$170:AA$189,$C244,W$195:W$214)</f>
        <v>0</v>
      </c>
      <c r="X244" s="9">
        <f ca="1">SUMIF('Tech Parameters'!AB$170:AB$189,$C244,X$195:X$214)</f>
        <v>0</v>
      </c>
      <c r="Y244" s="9">
        <f ca="1">SUMIF('Tech Parameters'!AC$170:AC$189,$C244,Y$195:Y$214)</f>
        <v>0</v>
      </c>
      <c r="Z244" s="9">
        <f ca="1">SUMIF('Tech Parameters'!AD$170:AD$189,$C244,Z$195:Z$214)</f>
        <v>0</v>
      </c>
      <c r="AA244" s="9">
        <f ca="1">SUMIF('Tech Parameters'!AE$170:AE$189,$C244,AA$195:AA$214)</f>
        <v>0</v>
      </c>
      <c r="AB244" s="9">
        <f ca="1">SUMIF('Tech Parameters'!AF$170:AF$189,$C244,AB$195:AB$214)</f>
        <v>0</v>
      </c>
      <c r="AC244" s="9">
        <f ca="1">SUMIF('Tech Parameters'!AG$170:AG$189,$C244,AC$195:AC$214)</f>
        <v>0</v>
      </c>
      <c r="AD244" s="9"/>
      <c r="AE244" s="9"/>
      <c r="AF244" s="9"/>
      <c r="AG244" s="9"/>
      <c r="AH244" s="9"/>
      <c r="AI244" s="9"/>
      <c r="AJ244" s="9"/>
      <c r="AK244" s="9"/>
      <c r="AL244" s="9"/>
      <c r="AM244" s="9"/>
      <c r="AN244" s="9"/>
      <c r="AO244" s="9"/>
      <c r="AP244" s="9"/>
      <c r="AQ244" s="9"/>
      <c r="AR244" s="9"/>
      <c r="AS244" s="9"/>
      <c r="AT244" s="9"/>
      <c r="AU244" s="9"/>
      <c r="AV244" s="9"/>
      <c r="AW244" s="9"/>
      <c r="BA244" s="4"/>
      <c r="BL244" s="4"/>
    </row>
    <row r="245" spans="3:64">
      <c r="C245">
        <v>7</v>
      </c>
      <c r="D245" s="9">
        <f>SUMIF('Tech Parameters'!H$170:H$189,$C245,D$195:D$214)</f>
        <v>0</v>
      </c>
      <c r="E245" s="9">
        <f>SUMIF('Tech Parameters'!I$170:I$189,$C245,E$195:E$214)</f>
        <v>0</v>
      </c>
      <c r="F245" s="9">
        <f>SUMIF('Tech Parameters'!J$170:J$189,$C245,F$195:F$214)</f>
        <v>0</v>
      </c>
      <c r="G245" s="9">
        <f>SUMIF('Tech Parameters'!K$170:K$189,$C245,G$195:G$214)</f>
        <v>0</v>
      </c>
      <c r="H245" s="9">
        <f>SUMIF('Tech Parameters'!L$170:L$189,$C245,H$195:H$214)</f>
        <v>0</v>
      </c>
      <c r="I245" s="9">
        <f ca="1">SUMIF('Tech Parameters'!M$170:M$189,$C245,I$195:I$214)</f>
        <v>0</v>
      </c>
      <c r="J245" s="9">
        <f ca="1">SUMIF('Tech Parameters'!N$170:N$189,$C245,J$195:J$214)</f>
        <v>0</v>
      </c>
      <c r="K245" s="9">
        <f ca="1">SUMIF('Tech Parameters'!O$170:O$189,$C245,K$195:K$214)</f>
        <v>0</v>
      </c>
      <c r="L245" s="9">
        <f ca="1">SUMIF('Tech Parameters'!P$170:P$189,$C245,L$195:L$214)</f>
        <v>0</v>
      </c>
      <c r="M245" s="9">
        <f ca="1">SUMIF('Tech Parameters'!Q$170:Q$189,$C245,M$195:M$214)</f>
        <v>0</v>
      </c>
      <c r="N245" s="9">
        <f ca="1">SUMIF('Tech Parameters'!R$170:R$189,$C245,N$195:N$214)</f>
        <v>0</v>
      </c>
      <c r="O245" s="9">
        <f ca="1">SUMIF('Tech Parameters'!S$170:S$189,$C245,O$195:O$214)</f>
        <v>0</v>
      </c>
      <c r="P245" s="9">
        <f ca="1">SUMIF('Tech Parameters'!T$170:T$189,$C245,P$195:P$214)</f>
        <v>0</v>
      </c>
      <c r="Q245" s="9">
        <f ca="1">SUMIF('Tech Parameters'!U$170:U$189,$C245,Q$195:Q$214)</f>
        <v>0</v>
      </c>
      <c r="R245" s="9">
        <f ca="1">SUMIF('Tech Parameters'!V$170:V$189,$C245,R$195:R$214)</f>
        <v>0</v>
      </c>
      <c r="S245" s="9">
        <f ca="1">SUMIF('Tech Parameters'!W$170:W$189,$C245,S$195:S$214)</f>
        <v>0</v>
      </c>
      <c r="T245" s="9">
        <f ca="1">SUMIF('Tech Parameters'!X$170:X$189,$C245,T$195:T$214)</f>
        <v>0</v>
      </c>
      <c r="U245" s="9">
        <f ca="1">SUMIF('Tech Parameters'!Y$170:Y$189,$C245,U$195:U$214)</f>
        <v>0</v>
      </c>
      <c r="V245" s="9">
        <f ca="1">SUMIF('Tech Parameters'!Z$170:Z$189,$C245,V$195:V$214)</f>
        <v>0</v>
      </c>
      <c r="W245" s="9">
        <f ca="1">SUMIF('Tech Parameters'!AA$170:AA$189,$C245,W$195:W$214)</f>
        <v>0</v>
      </c>
      <c r="X245" s="9">
        <f ca="1">SUMIF('Tech Parameters'!AB$170:AB$189,$C245,X$195:X$214)</f>
        <v>0</v>
      </c>
      <c r="Y245" s="9">
        <f ca="1">SUMIF('Tech Parameters'!AC$170:AC$189,$C245,Y$195:Y$214)</f>
        <v>0</v>
      </c>
      <c r="Z245" s="9">
        <f ca="1">SUMIF('Tech Parameters'!AD$170:AD$189,$C245,Z$195:Z$214)</f>
        <v>0</v>
      </c>
      <c r="AA245" s="9">
        <f ca="1">SUMIF('Tech Parameters'!AE$170:AE$189,$C245,AA$195:AA$214)</f>
        <v>0</v>
      </c>
      <c r="AB245" s="9">
        <f ca="1">SUMIF('Tech Parameters'!AF$170:AF$189,$C245,AB$195:AB$214)</f>
        <v>0</v>
      </c>
      <c r="AC245" s="9">
        <f ca="1">SUMIF('Tech Parameters'!AG$170:AG$189,$C245,AC$195:AC$214)</f>
        <v>0</v>
      </c>
      <c r="AD245" s="9"/>
      <c r="AE245" s="9"/>
      <c r="AF245" s="9"/>
      <c r="AG245" s="9"/>
      <c r="AH245" s="9"/>
      <c r="AI245" s="9"/>
      <c r="AJ245" s="9"/>
      <c r="AK245" s="9"/>
      <c r="AL245" s="9"/>
      <c r="AM245" s="9"/>
      <c r="AN245" s="9"/>
      <c r="AO245" s="9"/>
      <c r="AP245" s="9"/>
      <c r="AQ245" s="9"/>
      <c r="AR245" s="9"/>
      <c r="AS245" s="9"/>
      <c r="AT245" s="9"/>
      <c r="AU245" s="9"/>
      <c r="AV245" s="9"/>
      <c r="AW245" s="9"/>
      <c r="BA245" s="4"/>
      <c r="BL245" s="4"/>
    </row>
    <row r="246" spans="3:64">
      <c r="C246">
        <v>8</v>
      </c>
      <c r="D246" s="9">
        <f>SUMIF('Tech Parameters'!H$170:H$189,$C246,D$195:D$214)</f>
        <v>0</v>
      </c>
      <c r="E246" s="9">
        <f>SUMIF('Tech Parameters'!I$170:I$189,$C246,E$195:E$214)</f>
        <v>0</v>
      </c>
      <c r="F246" s="9">
        <f>SUMIF('Tech Parameters'!J$170:J$189,$C246,F$195:F$214)</f>
        <v>0</v>
      </c>
      <c r="G246" s="9">
        <f>SUMIF('Tech Parameters'!K$170:K$189,$C246,G$195:G$214)</f>
        <v>0</v>
      </c>
      <c r="H246" s="9">
        <f>SUMIF('Tech Parameters'!L$170:L$189,$C246,H$195:H$214)</f>
        <v>0</v>
      </c>
      <c r="I246" s="9">
        <f ca="1">SUMIF('Tech Parameters'!M$170:M$189,$C246,I$195:I$214)</f>
        <v>0</v>
      </c>
      <c r="J246" s="9">
        <f ca="1">SUMIF('Tech Parameters'!N$170:N$189,$C246,J$195:J$214)</f>
        <v>0</v>
      </c>
      <c r="K246" s="9">
        <f ca="1">SUMIF('Tech Parameters'!O$170:O$189,$C246,K$195:K$214)</f>
        <v>0</v>
      </c>
      <c r="L246" s="9">
        <f ca="1">SUMIF('Tech Parameters'!P$170:P$189,$C246,L$195:L$214)</f>
        <v>0</v>
      </c>
      <c r="M246" s="9">
        <f ca="1">SUMIF('Tech Parameters'!Q$170:Q$189,$C246,M$195:M$214)</f>
        <v>0</v>
      </c>
      <c r="N246" s="9">
        <f ca="1">SUMIF('Tech Parameters'!R$170:R$189,$C246,N$195:N$214)</f>
        <v>0</v>
      </c>
      <c r="O246" s="9">
        <f ca="1">SUMIF('Tech Parameters'!S$170:S$189,$C246,O$195:O$214)</f>
        <v>0</v>
      </c>
      <c r="P246" s="9">
        <f ca="1">SUMIF('Tech Parameters'!T$170:T$189,$C246,P$195:P$214)</f>
        <v>0</v>
      </c>
      <c r="Q246" s="9">
        <f ca="1">SUMIF('Tech Parameters'!U$170:U$189,$C246,Q$195:Q$214)</f>
        <v>0</v>
      </c>
      <c r="R246" s="9">
        <f ca="1">SUMIF('Tech Parameters'!V$170:V$189,$C246,R$195:R$214)</f>
        <v>0</v>
      </c>
      <c r="S246" s="9">
        <f ca="1">SUMIF('Tech Parameters'!W$170:W$189,$C246,S$195:S$214)</f>
        <v>0</v>
      </c>
      <c r="T246" s="9">
        <f ca="1">SUMIF('Tech Parameters'!X$170:X$189,$C246,T$195:T$214)</f>
        <v>0</v>
      </c>
      <c r="U246" s="9">
        <f ca="1">SUMIF('Tech Parameters'!Y$170:Y$189,$C246,U$195:U$214)</f>
        <v>0</v>
      </c>
      <c r="V246" s="9">
        <f ca="1">SUMIF('Tech Parameters'!Z$170:Z$189,$C246,V$195:V$214)</f>
        <v>0</v>
      </c>
      <c r="W246" s="9">
        <f ca="1">SUMIF('Tech Parameters'!AA$170:AA$189,$C246,W$195:W$214)</f>
        <v>0</v>
      </c>
      <c r="X246" s="9">
        <f ca="1">SUMIF('Tech Parameters'!AB$170:AB$189,$C246,X$195:X$214)</f>
        <v>0</v>
      </c>
      <c r="Y246" s="9">
        <f ca="1">SUMIF('Tech Parameters'!AC$170:AC$189,$C246,Y$195:Y$214)</f>
        <v>0</v>
      </c>
      <c r="Z246" s="9">
        <f ca="1">SUMIF('Tech Parameters'!AD$170:AD$189,$C246,Z$195:Z$214)</f>
        <v>0</v>
      </c>
      <c r="AA246" s="9">
        <f ca="1">SUMIF('Tech Parameters'!AE$170:AE$189,$C246,AA$195:AA$214)</f>
        <v>0</v>
      </c>
      <c r="AB246" s="9">
        <f ca="1">SUMIF('Tech Parameters'!AF$170:AF$189,$C246,AB$195:AB$214)</f>
        <v>0</v>
      </c>
      <c r="AC246" s="9">
        <f ca="1">SUMIF('Tech Parameters'!AG$170:AG$189,$C246,AC$195:AC$214)</f>
        <v>0</v>
      </c>
      <c r="AD246" s="9"/>
      <c r="AE246" s="9"/>
      <c r="AF246" s="9"/>
      <c r="AG246" s="9"/>
      <c r="AH246" s="9"/>
      <c r="AI246" s="9"/>
      <c r="AJ246" s="9"/>
      <c r="AK246" s="9"/>
      <c r="AL246" s="9"/>
      <c r="AM246" s="9"/>
      <c r="AN246" s="9"/>
      <c r="AO246" s="9"/>
      <c r="AP246" s="9"/>
      <c r="AQ246" s="9"/>
      <c r="AR246" s="9"/>
      <c r="AS246" s="9"/>
      <c r="AT246" s="9"/>
      <c r="AU246" s="9"/>
      <c r="AV246" s="9"/>
      <c r="AW246" s="9"/>
      <c r="BA246" s="4"/>
      <c r="BL246" s="4"/>
    </row>
    <row r="247" spans="3:64">
      <c r="C247">
        <v>9</v>
      </c>
      <c r="D247" s="9">
        <f>SUMIF('Tech Parameters'!H$170:H$189,$C247,D$195:D$214)</f>
        <v>0</v>
      </c>
      <c r="E247" s="9">
        <f>SUMIF('Tech Parameters'!I$170:I$189,$C247,E$195:E$214)</f>
        <v>0</v>
      </c>
      <c r="F247" s="9">
        <f>SUMIF('Tech Parameters'!J$170:J$189,$C247,F$195:F$214)</f>
        <v>0</v>
      </c>
      <c r="G247" s="9">
        <f>SUMIF('Tech Parameters'!K$170:K$189,$C247,G$195:G$214)</f>
        <v>0</v>
      </c>
      <c r="H247" s="9">
        <f>SUMIF('Tech Parameters'!L$170:L$189,$C247,H$195:H$214)</f>
        <v>0</v>
      </c>
      <c r="I247" s="9">
        <f ca="1">SUMIF('Tech Parameters'!M$170:M$189,$C247,I$195:I$214)</f>
        <v>0</v>
      </c>
      <c r="J247" s="9">
        <f ca="1">SUMIF('Tech Parameters'!N$170:N$189,$C247,J$195:J$214)</f>
        <v>0</v>
      </c>
      <c r="K247" s="9">
        <f ca="1">SUMIF('Tech Parameters'!O$170:O$189,$C247,K$195:K$214)</f>
        <v>0</v>
      </c>
      <c r="L247" s="9">
        <f ca="1">SUMIF('Tech Parameters'!P$170:P$189,$C247,L$195:L$214)</f>
        <v>0</v>
      </c>
      <c r="M247" s="9">
        <f ca="1">SUMIF('Tech Parameters'!Q$170:Q$189,$C247,M$195:M$214)</f>
        <v>0</v>
      </c>
      <c r="N247" s="9">
        <f ca="1">SUMIF('Tech Parameters'!R$170:R$189,$C247,N$195:N$214)</f>
        <v>0</v>
      </c>
      <c r="O247" s="9">
        <f ca="1">SUMIF('Tech Parameters'!S$170:S$189,$C247,O$195:O$214)</f>
        <v>0</v>
      </c>
      <c r="P247" s="9">
        <f ca="1">SUMIF('Tech Parameters'!T$170:T$189,$C247,P$195:P$214)</f>
        <v>0</v>
      </c>
      <c r="Q247" s="9">
        <f ca="1">SUMIF('Tech Parameters'!U$170:U$189,$C247,Q$195:Q$214)</f>
        <v>0</v>
      </c>
      <c r="R247" s="9">
        <f ca="1">SUMIF('Tech Parameters'!V$170:V$189,$C247,R$195:R$214)</f>
        <v>0</v>
      </c>
      <c r="S247" s="9">
        <f ca="1">SUMIF('Tech Parameters'!W$170:W$189,$C247,S$195:S$214)</f>
        <v>0</v>
      </c>
      <c r="T247" s="9">
        <f ca="1">SUMIF('Tech Parameters'!X$170:X$189,$C247,T$195:T$214)</f>
        <v>0</v>
      </c>
      <c r="U247" s="9">
        <f ca="1">SUMIF('Tech Parameters'!Y$170:Y$189,$C247,U$195:U$214)</f>
        <v>0</v>
      </c>
      <c r="V247" s="9">
        <f ca="1">SUMIF('Tech Parameters'!Z$170:Z$189,$C247,V$195:V$214)</f>
        <v>0</v>
      </c>
      <c r="W247" s="9">
        <f ca="1">SUMIF('Tech Parameters'!AA$170:AA$189,$C247,W$195:W$214)</f>
        <v>0</v>
      </c>
      <c r="X247" s="9">
        <f ca="1">SUMIF('Tech Parameters'!AB$170:AB$189,$C247,X$195:X$214)</f>
        <v>0</v>
      </c>
      <c r="Y247" s="9">
        <f ca="1">SUMIF('Tech Parameters'!AC$170:AC$189,$C247,Y$195:Y$214)</f>
        <v>0</v>
      </c>
      <c r="Z247" s="9">
        <f ca="1">SUMIF('Tech Parameters'!AD$170:AD$189,$C247,Z$195:Z$214)</f>
        <v>0</v>
      </c>
      <c r="AA247" s="9">
        <f ca="1">SUMIF('Tech Parameters'!AE$170:AE$189,$C247,AA$195:AA$214)</f>
        <v>0</v>
      </c>
      <c r="AB247" s="9">
        <f ca="1">SUMIF('Tech Parameters'!AF$170:AF$189,$C247,AB$195:AB$214)</f>
        <v>0</v>
      </c>
      <c r="AC247" s="9">
        <f ca="1">SUMIF('Tech Parameters'!AG$170:AG$189,$C247,AC$195:AC$214)</f>
        <v>0</v>
      </c>
      <c r="AD247" s="9"/>
      <c r="AE247" s="9"/>
      <c r="AF247" s="9"/>
      <c r="AG247" s="9"/>
      <c r="AH247" s="9"/>
      <c r="AI247" s="9"/>
      <c r="AJ247" s="9"/>
      <c r="AK247" s="9"/>
      <c r="AL247" s="9"/>
      <c r="AM247" s="9"/>
      <c r="AN247" s="9"/>
      <c r="AO247" s="9"/>
      <c r="AP247" s="9"/>
      <c r="AQ247" s="9"/>
      <c r="AR247" s="9"/>
      <c r="AS247" s="9"/>
      <c r="AT247" s="9"/>
      <c r="AU247" s="9"/>
      <c r="AV247" s="9"/>
      <c r="AW247" s="9"/>
      <c r="BA247" s="4"/>
      <c r="BL247" s="4"/>
    </row>
    <row r="248" spans="3:64">
      <c r="C248">
        <v>10</v>
      </c>
      <c r="D248" s="9">
        <f>SUMIF('Tech Parameters'!H$170:H$189,$C248,D$195:D$214)</f>
        <v>0</v>
      </c>
      <c r="E248" s="9">
        <f>SUMIF('Tech Parameters'!I$170:I$189,$C248,E$195:E$214)</f>
        <v>0</v>
      </c>
      <c r="F248" s="9">
        <f>SUMIF('Tech Parameters'!J$170:J$189,$C248,F$195:F$214)</f>
        <v>0</v>
      </c>
      <c r="G248" s="9">
        <f>SUMIF('Tech Parameters'!K$170:K$189,$C248,G$195:G$214)</f>
        <v>0</v>
      </c>
      <c r="H248" s="9">
        <f>SUMIF('Tech Parameters'!L$170:L$189,$C248,H$195:H$214)</f>
        <v>0</v>
      </c>
      <c r="I248" s="9">
        <f ca="1">SUMIF('Tech Parameters'!M$170:M$189,$C248,I$195:I$214)</f>
        <v>0</v>
      </c>
      <c r="J248" s="9">
        <f ca="1">SUMIF('Tech Parameters'!N$170:N$189,$C248,J$195:J$214)</f>
        <v>0</v>
      </c>
      <c r="K248" s="9">
        <f ca="1">SUMIF('Tech Parameters'!O$170:O$189,$C248,K$195:K$214)</f>
        <v>0</v>
      </c>
      <c r="L248" s="9">
        <f ca="1">SUMIF('Tech Parameters'!P$170:P$189,$C248,L$195:L$214)</f>
        <v>0</v>
      </c>
      <c r="M248" s="9">
        <f ca="1">SUMIF('Tech Parameters'!Q$170:Q$189,$C248,M$195:M$214)</f>
        <v>0</v>
      </c>
      <c r="N248" s="9">
        <f ca="1">SUMIF('Tech Parameters'!R$170:R$189,$C248,N$195:N$214)</f>
        <v>0</v>
      </c>
      <c r="O248" s="9">
        <f ca="1">SUMIF('Tech Parameters'!S$170:S$189,$C248,O$195:O$214)</f>
        <v>0</v>
      </c>
      <c r="P248" s="9">
        <f ca="1">SUMIF('Tech Parameters'!T$170:T$189,$C248,P$195:P$214)</f>
        <v>0</v>
      </c>
      <c r="Q248" s="9">
        <f ca="1">SUMIF('Tech Parameters'!U$170:U$189,$C248,Q$195:Q$214)</f>
        <v>0</v>
      </c>
      <c r="R248" s="9">
        <f ca="1">SUMIF('Tech Parameters'!V$170:V$189,$C248,R$195:R$214)</f>
        <v>0</v>
      </c>
      <c r="S248" s="9">
        <f ca="1">SUMIF('Tech Parameters'!W$170:W$189,$C248,S$195:S$214)</f>
        <v>0</v>
      </c>
      <c r="T248" s="9">
        <f ca="1">SUMIF('Tech Parameters'!X$170:X$189,$C248,T$195:T$214)</f>
        <v>0</v>
      </c>
      <c r="U248" s="9">
        <f ca="1">SUMIF('Tech Parameters'!Y$170:Y$189,$C248,U$195:U$214)</f>
        <v>0</v>
      </c>
      <c r="V248" s="9">
        <f ca="1">SUMIF('Tech Parameters'!Z$170:Z$189,$C248,V$195:V$214)</f>
        <v>0</v>
      </c>
      <c r="W248" s="9">
        <f ca="1">SUMIF('Tech Parameters'!AA$170:AA$189,$C248,W$195:W$214)</f>
        <v>0</v>
      </c>
      <c r="X248" s="9">
        <f ca="1">SUMIF('Tech Parameters'!AB$170:AB$189,$C248,X$195:X$214)</f>
        <v>0</v>
      </c>
      <c r="Y248" s="9">
        <f ca="1">SUMIF('Tech Parameters'!AC$170:AC$189,$C248,Y$195:Y$214)</f>
        <v>0</v>
      </c>
      <c r="Z248" s="9">
        <f ca="1">SUMIF('Tech Parameters'!AD$170:AD$189,$C248,Z$195:Z$214)</f>
        <v>0</v>
      </c>
      <c r="AA248" s="9">
        <f ca="1">SUMIF('Tech Parameters'!AE$170:AE$189,$C248,AA$195:AA$214)</f>
        <v>0</v>
      </c>
      <c r="AB248" s="9">
        <f ca="1">SUMIF('Tech Parameters'!AF$170:AF$189,$C248,AB$195:AB$214)</f>
        <v>0</v>
      </c>
      <c r="AC248" s="9">
        <f ca="1">SUMIF('Tech Parameters'!AG$170:AG$189,$C248,AC$195:AC$214)</f>
        <v>0</v>
      </c>
      <c r="AD248" s="9"/>
      <c r="AE248" s="9"/>
      <c r="AF248" s="9"/>
      <c r="AG248" s="9"/>
      <c r="AH248" s="9"/>
      <c r="AI248" s="9"/>
      <c r="AJ248" s="9"/>
      <c r="AK248" s="9"/>
      <c r="AL248" s="9"/>
      <c r="AM248" s="9"/>
      <c r="AN248" s="9"/>
      <c r="AO248" s="9"/>
      <c r="AP248" s="9"/>
      <c r="AQ248" s="9"/>
      <c r="AR248" s="9"/>
      <c r="AS248" s="9"/>
      <c r="AT248" s="9"/>
      <c r="AU248" s="9"/>
      <c r="AV248" s="9"/>
      <c r="AW248" s="9"/>
      <c r="BA248" s="4"/>
      <c r="BL248" s="4"/>
    </row>
    <row r="249" spans="3:64">
      <c r="C249">
        <v>11</v>
      </c>
      <c r="D249" s="9">
        <f>SUMIF('Tech Parameters'!H$170:H$189,$C249,D$195:D$214)</f>
        <v>0</v>
      </c>
      <c r="E249" s="9">
        <f>SUMIF('Tech Parameters'!I$170:I$189,$C249,E$195:E$214)</f>
        <v>0</v>
      </c>
      <c r="F249" s="9">
        <f>SUMIF('Tech Parameters'!J$170:J$189,$C249,F$195:F$214)</f>
        <v>0</v>
      </c>
      <c r="G249" s="9">
        <f>SUMIF('Tech Parameters'!K$170:K$189,$C249,G$195:G$214)</f>
        <v>0</v>
      </c>
      <c r="H249" s="9">
        <f>SUMIF('Tech Parameters'!L$170:L$189,$C249,H$195:H$214)</f>
        <v>0</v>
      </c>
      <c r="I249" s="9">
        <f ca="1">SUMIF('Tech Parameters'!M$170:M$189,$C249,I$195:I$214)</f>
        <v>0</v>
      </c>
      <c r="J249" s="9">
        <f ca="1">SUMIF('Tech Parameters'!N$170:N$189,$C249,J$195:J$214)</f>
        <v>0</v>
      </c>
      <c r="K249" s="9">
        <f ca="1">SUMIF('Tech Parameters'!O$170:O$189,$C249,K$195:K$214)</f>
        <v>0</v>
      </c>
      <c r="L249" s="9">
        <f ca="1">SUMIF('Tech Parameters'!P$170:P$189,$C249,L$195:L$214)</f>
        <v>0</v>
      </c>
      <c r="M249" s="9">
        <f ca="1">SUMIF('Tech Parameters'!Q$170:Q$189,$C249,M$195:M$214)</f>
        <v>0</v>
      </c>
      <c r="N249" s="9">
        <f ca="1">SUMIF('Tech Parameters'!R$170:R$189,$C249,N$195:N$214)</f>
        <v>0</v>
      </c>
      <c r="O249" s="9">
        <f ca="1">SUMIF('Tech Parameters'!S$170:S$189,$C249,O$195:O$214)</f>
        <v>0</v>
      </c>
      <c r="P249" s="9">
        <f ca="1">SUMIF('Tech Parameters'!T$170:T$189,$C249,P$195:P$214)</f>
        <v>0</v>
      </c>
      <c r="Q249" s="9">
        <f ca="1">SUMIF('Tech Parameters'!U$170:U$189,$C249,Q$195:Q$214)</f>
        <v>0</v>
      </c>
      <c r="R249" s="9">
        <f ca="1">SUMIF('Tech Parameters'!V$170:V$189,$C249,R$195:R$214)</f>
        <v>0</v>
      </c>
      <c r="S249" s="9">
        <f ca="1">SUMIF('Tech Parameters'!W$170:W$189,$C249,S$195:S$214)</f>
        <v>0</v>
      </c>
      <c r="T249" s="9">
        <f ca="1">SUMIF('Tech Parameters'!X$170:X$189,$C249,T$195:T$214)</f>
        <v>0</v>
      </c>
      <c r="U249" s="9">
        <f ca="1">SUMIF('Tech Parameters'!Y$170:Y$189,$C249,U$195:U$214)</f>
        <v>0</v>
      </c>
      <c r="V249" s="9">
        <f ca="1">SUMIF('Tech Parameters'!Z$170:Z$189,$C249,V$195:V$214)</f>
        <v>0</v>
      </c>
      <c r="W249" s="9">
        <f ca="1">SUMIF('Tech Parameters'!AA$170:AA$189,$C249,W$195:W$214)</f>
        <v>0</v>
      </c>
      <c r="X249" s="9">
        <f ca="1">SUMIF('Tech Parameters'!AB$170:AB$189,$C249,X$195:X$214)</f>
        <v>0</v>
      </c>
      <c r="Y249" s="9">
        <f ca="1">SUMIF('Tech Parameters'!AC$170:AC$189,$C249,Y$195:Y$214)</f>
        <v>0</v>
      </c>
      <c r="Z249" s="9">
        <f ca="1">SUMIF('Tech Parameters'!AD$170:AD$189,$C249,Z$195:Z$214)</f>
        <v>0</v>
      </c>
      <c r="AA249" s="9">
        <f ca="1">SUMIF('Tech Parameters'!AE$170:AE$189,$C249,AA$195:AA$214)</f>
        <v>0</v>
      </c>
      <c r="AB249" s="9">
        <f ca="1">SUMIF('Tech Parameters'!AF$170:AF$189,$C249,AB$195:AB$214)</f>
        <v>0</v>
      </c>
      <c r="AC249" s="9">
        <f ca="1">SUMIF('Tech Parameters'!AG$170:AG$189,$C249,AC$195:AC$214)</f>
        <v>0</v>
      </c>
      <c r="AD249" s="9"/>
      <c r="AE249" s="9"/>
      <c r="AF249" s="9"/>
      <c r="AG249" s="9"/>
      <c r="AH249" s="9"/>
      <c r="AI249" s="9"/>
      <c r="AJ249" s="9"/>
      <c r="AK249" s="9"/>
      <c r="AL249" s="9"/>
      <c r="AM249" s="9"/>
      <c r="AN249" s="9"/>
      <c r="AO249" s="9"/>
      <c r="AP249" s="9"/>
      <c r="AQ249" s="9"/>
      <c r="AR249" s="9"/>
      <c r="AS249" s="9"/>
      <c r="AT249" s="9"/>
      <c r="AU249" s="9"/>
      <c r="AV249" s="9"/>
      <c r="AW249" s="9"/>
      <c r="BA249" s="4"/>
      <c r="BL249" s="4"/>
    </row>
    <row r="250" spans="3:64">
      <c r="C250">
        <v>12</v>
      </c>
      <c r="D250" s="9">
        <f>SUMIF('Tech Parameters'!H$170:H$189,$C250,D$195:D$214)</f>
        <v>0</v>
      </c>
      <c r="E250" s="9">
        <f>SUMIF('Tech Parameters'!I$170:I$189,$C250,E$195:E$214)</f>
        <v>0</v>
      </c>
      <c r="F250" s="9">
        <f>SUMIF('Tech Parameters'!J$170:J$189,$C250,F$195:F$214)</f>
        <v>0</v>
      </c>
      <c r="G250" s="9">
        <f>SUMIF('Tech Parameters'!K$170:K$189,$C250,G$195:G$214)</f>
        <v>0</v>
      </c>
      <c r="H250" s="9">
        <f>SUMIF('Tech Parameters'!L$170:L$189,$C250,H$195:H$214)</f>
        <v>0</v>
      </c>
      <c r="I250" s="9">
        <f ca="1">SUMIF('Tech Parameters'!M$170:M$189,$C250,I$195:I$214)</f>
        <v>0</v>
      </c>
      <c r="J250" s="9">
        <f ca="1">SUMIF('Tech Parameters'!N$170:N$189,$C250,J$195:J$214)</f>
        <v>0</v>
      </c>
      <c r="K250" s="9">
        <f ca="1">SUMIF('Tech Parameters'!O$170:O$189,$C250,K$195:K$214)</f>
        <v>0</v>
      </c>
      <c r="L250" s="9">
        <f ca="1">SUMIF('Tech Parameters'!P$170:P$189,$C250,L$195:L$214)</f>
        <v>0</v>
      </c>
      <c r="M250" s="9">
        <f ca="1">SUMIF('Tech Parameters'!Q$170:Q$189,$C250,M$195:M$214)</f>
        <v>0</v>
      </c>
      <c r="N250" s="9">
        <f ca="1">SUMIF('Tech Parameters'!R$170:R$189,$C250,N$195:N$214)</f>
        <v>0</v>
      </c>
      <c r="O250" s="9">
        <f ca="1">SUMIF('Tech Parameters'!S$170:S$189,$C250,O$195:O$214)</f>
        <v>0</v>
      </c>
      <c r="P250" s="9">
        <f ca="1">SUMIF('Tech Parameters'!T$170:T$189,$C250,P$195:P$214)</f>
        <v>0</v>
      </c>
      <c r="Q250" s="9">
        <f ca="1">SUMIF('Tech Parameters'!U$170:U$189,$C250,Q$195:Q$214)</f>
        <v>0</v>
      </c>
      <c r="R250" s="9">
        <f ca="1">SUMIF('Tech Parameters'!V$170:V$189,$C250,R$195:R$214)</f>
        <v>0</v>
      </c>
      <c r="S250" s="9">
        <f ca="1">SUMIF('Tech Parameters'!W$170:W$189,$C250,S$195:S$214)</f>
        <v>0</v>
      </c>
      <c r="T250" s="9">
        <f ca="1">SUMIF('Tech Parameters'!X$170:X$189,$C250,T$195:T$214)</f>
        <v>0</v>
      </c>
      <c r="U250" s="9">
        <f ca="1">SUMIF('Tech Parameters'!Y$170:Y$189,$C250,U$195:U$214)</f>
        <v>0</v>
      </c>
      <c r="V250" s="9">
        <f ca="1">SUMIF('Tech Parameters'!Z$170:Z$189,$C250,V$195:V$214)</f>
        <v>0</v>
      </c>
      <c r="W250" s="9">
        <f ca="1">SUMIF('Tech Parameters'!AA$170:AA$189,$C250,W$195:W$214)</f>
        <v>0</v>
      </c>
      <c r="X250" s="9">
        <f ca="1">SUMIF('Tech Parameters'!AB$170:AB$189,$C250,X$195:X$214)</f>
        <v>0</v>
      </c>
      <c r="Y250" s="9">
        <f ca="1">SUMIF('Tech Parameters'!AC$170:AC$189,$C250,Y$195:Y$214)</f>
        <v>0</v>
      </c>
      <c r="Z250" s="9">
        <f ca="1">SUMIF('Tech Parameters'!AD$170:AD$189,$C250,Z$195:Z$214)</f>
        <v>0</v>
      </c>
      <c r="AA250" s="9">
        <f ca="1">SUMIF('Tech Parameters'!AE$170:AE$189,$C250,AA$195:AA$214)</f>
        <v>0</v>
      </c>
      <c r="AB250" s="9">
        <f ca="1">SUMIF('Tech Parameters'!AF$170:AF$189,$C250,AB$195:AB$214)</f>
        <v>0</v>
      </c>
      <c r="AC250" s="9">
        <f ca="1">SUMIF('Tech Parameters'!AG$170:AG$189,$C250,AC$195:AC$214)</f>
        <v>0</v>
      </c>
      <c r="AD250" s="9"/>
      <c r="AE250" s="9"/>
      <c r="AF250" s="9"/>
      <c r="AG250" s="9"/>
      <c r="AH250" s="9"/>
      <c r="AI250" s="9"/>
      <c r="AJ250" s="9"/>
      <c r="AK250" s="9"/>
      <c r="AL250" s="9"/>
      <c r="AM250" s="9"/>
      <c r="AN250" s="9"/>
      <c r="AO250" s="9"/>
      <c r="AP250" s="9"/>
      <c r="AQ250" s="9"/>
      <c r="AR250" s="9"/>
      <c r="AS250" s="9"/>
      <c r="AT250" s="9"/>
      <c r="AU250" s="9"/>
      <c r="AV250" s="9"/>
      <c r="AW250" s="9"/>
      <c r="BA250" s="4"/>
      <c r="BL250" s="4"/>
    </row>
    <row r="251" spans="3:64">
      <c r="C251">
        <v>13</v>
      </c>
      <c r="D251" s="9">
        <f>SUMIF('Tech Parameters'!H$170:H$189,$C251,D$195:D$214)</f>
        <v>0</v>
      </c>
      <c r="E251" s="9">
        <f>SUMIF('Tech Parameters'!I$170:I$189,$C251,E$195:E$214)</f>
        <v>0</v>
      </c>
      <c r="F251" s="9">
        <f>SUMIF('Tech Parameters'!J$170:J$189,$C251,F$195:F$214)</f>
        <v>0</v>
      </c>
      <c r="G251" s="9">
        <f>SUMIF('Tech Parameters'!K$170:K$189,$C251,G$195:G$214)</f>
        <v>0</v>
      </c>
      <c r="H251" s="9">
        <f>SUMIF('Tech Parameters'!L$170:L$189,$C251,H$195:H$214)</f>
        <v>0</v>
      </c>
      <c r="I251" s="9">
        <f ca="1">SUMIF('Tech Parameters'!M$170:M$189,$C251,I$195:I$214)</f>
        <v>0</v>
      </c>
      <c r="J251" s="9">
        <f ca="1">SUMIF('Tech Parameters'!N$170:N$189,$C251,J$195:J$214)</f>
        <v>0</v>
      </c>
      <c r="K251" s="9">
        <f ca="1">SUMIF('Tech Parameters'!O$170:O$189,$C251,K$195:K$214)</f>
        <v>0</v>
      </c>
      <c r="L251" s="9">
        <f ca="1">SUMIF('Tech Parameters'!P$170:P$189,$C251,L$195:L$214)</f>
        <v>0</v>
      </c>
      <c r="M251" s="9">
        <f ca="1">SUMIF('Tech Parameters'!Q$170:Q$189,$C251,M$195:M$214)</f>
        <v>0</v>
      </c>
      <c r="N251" s="9">
        <f ca="1">SUMIF('Tech Parameters'!R$170:R$189,$C251,N$195:N$214)</f>
        <v>0</v>
      </c>
      <c r="O251" s="9">
        <f ca="1">SUMIF('Tech Parameters'!S$170:S$189,$C251,O$195:O$214)</f>
        <v>0</v>
      </c>
      <c r="P251" s="9">
        <f ca="1">SUMIF('Tech Parameters'!T$170:T$189,$C251,P$195:P$214)</f>
        <v>0</v>
      </c>
      <c r="Q251" s="9">
        <f ca="1">SUMIF('Tech Parameters'!U$170:U$189,$C251,Q$195:Q$214)</f>
        <v>0</v>
      </c>
      <c r="R251" s="9">
        <f ca="1">SUMIF('Tech Parameters'!V$170:V$189,$C251,R$195:R$214)</f>
        <v>0</v>
      </c>
      <c r="S251" s="9">
        <f ca="1">SUMIF('Tech Parameters'!W$170:W$189,$C251,S$195:S$214)</f>
        <v>0</v>
      </c>
      <c r="T251" s="9">
        <f ca="1">SUMIF('Tech Parameters'!X$170:X$189,$C251,T$195:T$214)</f>
        <v>0</v>
      </c>
      <c r="U251" s="9">
        <f ca="1">SUMIF('Tech Parameters'!Y$170:Y$189,$C251,U$195:U$214)</f>
        <v>0</v>
      </c>
      <c r="V251" s="9">
        <f ca="1">SUMIF('Tech Parameters'!Z$170:Z$189,$C251,V$195:V$214)</f>
        <v>0</v>
      </c>
      <c r="W251" s="9">
        <f ca="1">SUMIF('Tech Parameters'!AA$170:AA$189,$C251,W$195:W$214)</f>
        <v>0</v>
      </c>
      <c r="X251" s="9">
        <f ca="1">SUMIF('Tech Parameters'!AB$170:AB$189,$C251,X$195:X$214)</f>
        <v>0</v>
      </c>
      <c r="Y251" s="9">
        <f ca="1">SUMIF('Tech Parameters'!AC$170:AC$189,$C251,Y$195:Y$214)</f>
        <v>0</v>
      </c>
      <c r="Z251" s="9">
        <f ca="1">SUMIF('Tech Parameters'!AD$170:AD$189,$C251,Z$195:Z$214)</f>
        <v>0</v>
      </c>
      <c r="AA251" s="9">
        <f ca="1">SUMIF('Tech Parameters'!AE$170:AE$189,$C251,AA$195:AA$214)</f>
        <v>0</v>
      </c>
      <c r="AB251" s="9">
        <f ca="1">SUMIF('Tech Parameters'!AF$170:AF$189,$C251,AB$195:AB$214)</f>
        <v>0</v>
      </c>
      <c r="AC251" s="9">
        <f ca="1">SUMIF('Tech Parameters'!AG$170:AG$189,$C251,AC$195:AC$214)</f>
        <v>0</v>
      </c>
      <c r="AD251" s="9"/>
      <c r="AE251" s="9"/>
      <c r="AF251" s="9"/>
      <c r="AG251" s="9"/>
      <c r="AH251" s="9"/>
      <c r="AI251" s="9"/>
      <c r="AJ251" s="9"/>
      <c r="AK251" s="9"/>
      <c r="AL251" s="9"/>
      <c r="AM251" s="9"/>
      <c r="AN251" s="9"/>
      <c r="AO251" s="9"/>
      <c r="AP251" s="9"/>
      <c r="AQ251" s="9"/>
      <c r="AR251" s="9"/>
      <c r="AS251" s="9"/>
      <c r="AT251" s="9"/>
      <c r="AU251" s="9"/>
      <c r="AV251" s="9"/>
      <c r="AW251" s="9"/>
      <c r="BA251" s="4"/>
      <c r="BL251" s="4"/>
    </row>
    <row r="252" spans="3:64">
      <c r="C252">
        <v>14</v>
      </c>
      <c r="D252" s="9">
        <f>SUMIF('Tech Parameters'!H$170:H$189,$C252,D$195:D$214)</f>
        <v>162665.33464087764</v>
      </c>
      <c r="E252" s="9">
        <f>SUMIF('Tech Parameters'!I$170:I$189,$C252,E$195:E$214)</f>
        <v>0</v>
      </c>
      <c r="F252" s="9">
        <f>SUMIF('Tech Parameters'!J$170:J$189,$C252,F$195:F$214)</f>
        <v>0</v>
      </c>
      <c r="G252" s="9">
        <f>SUMIF('Tech Parameters'!K$170:K$189,$C252,G$195:G$214)</f>
        <v>0</v>
      </c>
      <c r="H252" s="9">
        <f>SUMIF('Tech Parameters'!L$170:L$189,$C252,H$195:H$214)</f>
        <v>0</v>
      </c>
      <c r="I252" s="9">
        <f ca="1">SUMIF('Tech Parameters'!M$170:M$189,$C252,I$195:I$214)</f>
        <v>0</v>
      </c>
      <c r="J252" s="9">
        <f ca="1">SUMIF('Tech Parameters'!N$170:N$189,$C252,J$195:J$214)</f>
        <v>0</v>
      </c>
      <c r="K252" s="9">
        <f ca="1">SUMIF('Tech Parameters'!O$170:O$189,$C252,K$195:K$214)</f>
        <v>0</v>
      </c>
      <c r="L252" s="9">
        <f ca="1">SUMIF('Tech Parameters'!P$170:P$189,$C252,L$195:L$214)</f>
        <v>0</v>
      </c>
      <c r="M252" s="9">
        <f ca="1">SUMIF('Tech Parameters'!Q$170:Q$189,$C252,M$195:M$214)</f>
        <v>0</v>
      </c>
      <c r="N252" s="9">
        <f ca="1">SUMIF('Tech Parameters'!R$170:R$189,$C252,N$195:N$214)</f>
        <v>0</v>
      </c>
      <c r="O252" s="9">
        <f ca="1">SUMIF('Tech Parameters'!S$170:S$189,$C252,O$195:O$214)</f>
        <v>0</v>
      </c>
      <c r="P252" s="9">
        <f ca="1">SUMIF('Tech Parameters'!T$170:T$189,$C252,P$195:P$214)</f>
        <v>0</v>
      </c>
      <c r="Q252" s="9">
        <f ca="1">SUMIF('Tech Parameters'!U$170:U$189,$C252,Q$195:Q$214)</f>
        <v>0</v>
      </c>
      <c r="R252" s="9">
        <f ca="1">SUMIF('Tech Parameters'!V$170:V$189,$C252,R$195:R$214)</f>
        <v>0</v>
      </c>
      <c r="S252" s="9">
        <f ca="1">SUMIF('Tech Parameters'!W$170:W$189,$C252,S$195:S$214)</f>
        <v>0</v>
      </c>
      <c r="T252" s="9">
        <f ca="1">SUMIF('Tech Parameters'!X$170:X$189,$C252,T$195:T$214)</f>
        <v>0</v>
      </c>
      <c r="U252" s="9">
        <f ca="1">SUMIF('Tech Parameters'!Y$170:Y$189,$C252,U$195:U$214)</f>
        <v>0</v>
      </c>
      <c r="V252" s="9">
        <f ca="1">SUMIF('Tech Parameters'!Z$170:Z$189,$C252,V$195:V$214)</f>
        <v>0</v>
      </c>
      <c r="W252" s="9">
        <f ca="1">SUMIF('Tech Parameters'!AA$170:AA$189,$C252,W$195:W$214)</f>
        <v>0</v>
      </c>
      <c r="X252" s="9">
        <f ca="1">SUMIF('Tech Parameters'!AB$170:AB$189,$C252,X$195:X$214)</f>
        <v>0</v>
      </c>
      <c r="Y252" s="9">
        <f ca="1">SUMIF('Tech Parameters'!AC$170:AC$189,$C252,Y$195:Y$214)</f>
        <v>0</v>
      </c>
      <c r="Z252" s="9">
        <f ca="1">SUMIF('Tech Parameters'!AD$170:AD$189,$C252,Z$195:Z$214)</f>
        <v>0</v>
      </c>
      <c r="AA252" s="9">
        <f ca="1">SUMIF('Tech Parameters'!AE$170:AE$189,$C252,AA$195:AA$214)</f>
        <v>0</v>
      </c>
      <c r="AB252" s="9">
        <f ca="1">SUMIF('Tech Parameters'!AF$170:AF$189,$C252,AB$195:AB$214)</f>
        <v>0</v>
      </c>
      <c r="AC252" s="9">
        <f ca="1">SUMIF('Tech Parameters'!AG$170:AG$189,$C252,AC$195:AC$214)</f>
        <v>0</v>
      </c>
      <c r="AD252" s="9"/>
      <c r="AE252" s="9"/>
      <c r="AF252" s="9"/>
      <c r="AG252" s="9"/>
      <c r="AH252" s="9"/>
      <c r="AI252" s="9"/>
      <c r="AJ252" s="9"/>
      <c r="AK252" s="9"/>
      <c r="AL252" s="9"/>
      <c r="AM252" s="9"/>
      <c r="AN252" s="9"/>
      <c r="AO252" s="9"/>
      <c r="AP252" s="9"/>
      <c r="AQ252" s="9"/>
      <c r="AR252" s="9"/>
      <c r="AS252" s="9"/>
      <c r="AT252" s="9"/>
      <c r="AU252" s="9"/>
      <c r="AV252" s="9"/>
      <c r="AW252" s="9"/>
      <c r="BA252" s="4"/>
      <c r="BL252" s="4"/>
    </row>
    <row r="253" spans="3:64">
      <c r="C253">
        <v>15</v>
      </c>
      <c r="D253" s="9">
        <f>SUMIF('Tech Parameters'!H$170:H$189,$C253,D$195:D$214)</f>
        <v>0</v>
      </c>
      <c r="E253" s="9">
        <f>SUMIF('Tech Parameters'!I$170:I$189,$C253,E$195:E$214)</f>
        <v>162665.33464087764</v>
      </c>
      <c r="F253" s="9">
        <f>SUMIF('Tech Parameters'!J$170:J$189,$C253,F$195:F$214)</f>
        <v>162665.33464087764</v>
      </c>
      <c r="G253" s="9">
        <f>SUMIF('Tech Parameters'!K$170:K$189,$C253,G$195:G$214)</f>
        <v>162665.33464087764</v>
      </c>
      <c r="H253" s="9">
        <f>SUMIF('Tech Parameters'!L$170:L$189,$C253,H$195:H$214)</f>
        <v>162665.33464087764</v>
      </c>
      <c r="I253" s="9">
        <f ca="1">SUMIF('Tech Parameters'!M$170:M$189,$C253,I$195:I$214)</f>
        <v>162665.33464087764</v>
      </c>
      <c r="J253" s="9">
        <f ca="1">SUMIF('Tech Parameters'!N$170:N$189,$C253,J$195:J$214)</f>
        <v>162665.33464087764</v>
      </c>
      <c r="K253" s="9">
        <f ca="1">SUMIF('Tech Parameters'!O$170:O$189,$C253,K$195:K$214)</f>
        <v>162665.33464087764</v>
      </c>
      <c r="L253" s="9">
        <f ca="1">SUMIF('Tech Parameters'!P$170:P$189,$C253,L$195:L$214)</f>
        <v>162665.33464087764</v>
      </c>
      <c r="M253" s="9">
        <f ca="1">SUMIF('Tech Parameters'!Q$170:Q$189,$C253,M$195:M$214)</f>
        <v>162665.33464087764</v>
      </c>
      <c r="N253" s="9">
        <f ca="1">SUMIF('Tech Parameters'!R$170:R$189,$C253,N$195:N$214)</f>
        <v>162665.33464087764</v>
      </c>
      <c r="O253" s="9">
        <f ca="1">SUMIF('Tech Parameters'!S$170:S$189,$C253,O$195:O$214)</f>
        <v>162665.33464087764</v>
      </c>
      <c r="P253" s="9">
        <f ca="1">SUMIF('Tech Parameters'!T$170:T$189,$C253,P$195:P$214)</f>
        <v>162665.33464087764</v>
      </c>
      <c r="Q253" s="9">
        <f ca="1">SUMIF('Tech Parameters'!U$170:U$189,$C253,Q$195:Q$214)</f>
        <v>162665.33464087764</v>
      </c>
      <c r="R253" s="9">
        <f ca="1">SUMIF('Tech Parameters'!V$170:V$189,$C253,R$195:R$214)</f>
        <v>162665.33464087764</v>
      </c>
      <c r="S253" s="9">
        <f ca="1">SUMIF('Tech Parameters'!W$170:W$189,$C253,S$195:S$214)</f>
        <v>162665.33464087764</v>
      </c>
      <c r="T253" s="9">
        <f ca="1">SUMIF('Tech Parameters'!X$170:X$189,$C253,T$195:T$214)</f>
        <v>162665.33464087764</v>
      </c>
      <c r="U253" s="9">
        <f ca="1">SUMIF('Tech Parameters'!Y$170:Y$189,$C253,U$195:U$214)</f>
        <v>162665.33464087764</v>
      </c>
      <c r="V253" s="9">
        <f ca="1">SUMIF('Tech Parameters'!Z$170:Z$189,$C253,V$195:V$214)</f>
        <v>162665.33464087764</v>
      </c>
      <c r="W253" s="9">
        <f ca="1">SUMIF('Tech Parameters'!AA$170:AA$189,$C253,W$195:W$214)</f>
        <v>156579.59798994398</v>
      </c>
      <c r="X253" s="9">
        <f ca="1">SUMIF('Tech Parameters'!AB$170:AB$189,$C253,X$195:X$214)</f>
        <v>150493.8613390103</v>
      </c>
      <c r="Y253" s="9">
        <f ca="1">SUMIF('Tech Parameters'!AC$170:AC$189,$C253,Y$195:Y$214)</f>
        <v>142886.69052534318</v>
      </c>
      <c r="Z253" s="9">
        <f ca="1">SUMIF('Tech Parameters'!AD$170:AD$189,$C253,Z$195:Z$214)</f>
        <v>135279.51971167602</v>
      </c>
      <c r="AA253" s="9">
        <f ca="1">SUMIF('Tech Parameters'!AE$170:AE$189,$C253,AA$195:AA$214)</f>
        <v>126070.83925302638</v>
      </c>
      <c r="AB253" s="9">
        <f ca="1">SUMIF('Tech Parameters'!AF$170:AF$189,$C253,AB$195:AB$214)</f>
        <v>107653.47833572706</v>
      </c>
      <c r="AC253" s="9">
        <f ca="1">SUMIF('Tech Parameters'!AG$170:AG$189,$C253,AC$195:AC$214)</f>
        <v>98444.797877077363</v>
      </c>
      <c r="AD253" s="9"/>
      <c r="AE253" s="9"/>
      <c r="AF253" s="9"/>
      <c r="AG253" s="9"/>
      <c r="AH253" s="9"/>
      <c r="AI253" s="9"/>
      <c r="AJ253" s="9"/>
      <c r="AK253" s="9"/>
      <c r="AL253" s="9"/>
      <c r="AM253" s="9"/>
      <c r="AN253" s="9"/>
      <c r="AO253" s="9"/>
      <c r="AP253" s="9"/>
      <c r="AQ253" s="9"/>
      <c r="AR253" s="9"/>
      <c r="AS253" s="9"/>
      <c r="AT253" s="9"/>
      <c r="AU253" s="9"/>
      <c r="AV253" s="9"/>
      <c r="AW253" s="9"/>
      <c r="BA253" s="4"/>
      <c r="BL253" s="4"/>
    </row>
    <row r="254" spans="3:64">
      <c r="C254">
        <v>16</v>
      </c>
      <c r="D254" s="9">
        <f>SUMIF('Tech Parameters'!H$170:H$189,$C254,D$195:D$214)</f>
        <v>0</v>
      </c>
      <c r="E254" s="9">
        <f>SUMIF('Tech Parameters'!I$170:I$189,$C254,E$195:E$214)</f>
        <v>0</v>
      </c>
      <c r="F254" s="9">
        <f>SUMIF('Tech Parameters'!J$170:J$189,$C254,F$195:F$214)</f>
        <v>0</v>
      </c>
      <c r="G254" s="9">
        <f>SUMIF('Tech Parameters'!K$170:K$189,$C254,G$195:G$214)</f>
        <v>0</v>
      </c>
      <c r="H254" s="9">
        <f>SUMIF('Tech Parameters'!L$170:L$189,$C254,H$195:H$214)</f>
        <v>0</v>
      </c>
      <c r="I254" s="9">
        <f ca="1">SUMIF('Tech Parameters'!M$170:M$189,$C254,I$195:I$214)</f>
        <v>0</v>
      </c>
      <c r="J254" s="9">
        <f ca="1">SUMIF('Tech Parameters'!N$170:N$189,$C254,J$195:J$214)</f>
        <v>0</v>
      </c>
      <c r="K254" s="9">
        <f ca="1">SUMIF('Tech Parameters'!O$170:O$189,$C254,K$195:K$214)</f>
        <v>0</v>
      </c>
      <c r="L254" s="9">
        <f ca="1">SUMIF('Tech Parameters'!P$170:P$189,$C254,L$195:L$214)</f>
        <v>0</v>
      </c>
      <c r="M254" s="9">
        <f ca="1">SUMIF('Tech Parameters'!Q$170:Q$189,$C254,M$195:M$214)</f>
        <v>0</v>
      </c>
      <c r="N254" s="9">
        <f ca="1">SUMIF('Tech Parameters'!R$170:R$189,$C254,N$195:N$214)</f>
        <v>0</v>
      </c>
      <c r="O254" s="9">
        <f ca="1">SUMIF('Tech Parameters'!S$170:S$189,$C254,O$195:O$214)</f>
        <v>0</v>
      </c>
      <c r="P254" s="9">
        <f ca="1">SUMIF('Tech Parameters'!T$170:T$189,$C254,P$195:P$214)</f>
        <v>0</v>
      </c>
      <c r="Q254" s="9">
        <f ca="1">SUMIF('Tech Parameters'!U$170:U$189,$C254,Q$195:Q$214)</f>
        <v>0</v>
      </c>
      <c r="R254" s="9">
        <f ca="1">SUMIF('Tech Parameters'!V$170:V$189,$C254,R$195:R$214)</f>
        <v>0</v>
      </c>
      <c r="S254" s="9">
        <f ca="1">SUMIF('Tech Parameters'!W$170:W$189,$C254,S$195:S$214)</f>
        <v>0</v>
      </c>
      <c r="T254" s="9">
        <f ca="1">SUMIF('Tech Parameters'!X$170:X$189,$C254,T$195:T$214)</f>
        <v>0</v>
      </c>
      <c r="U254" s="9">
        <f ca="1">SUMIF('Tech Parameters'!Y$170:Y$189,$C254,U$195:U$214)</f>
        <v>0</v>
      </c>
      <c r="V254" s="9">
        <f ca="1">SUMIF('Tech Parameters'!Z$170:Z$189,$C254,V$195:V$214)</f>
        <v>0</v>
      </c>
      <c r="W254" s="9">
        <f ca="1">SUMIF('Tech Parameters'!AA$170:AA$189,$C254,W$195:W$214)</f>
        <v>0</v>
      </c>
      <c r="X254" s="9">
        <f ca="1">SUMIF('Tech Parameters'!AB$170:AB$189,$C254,X$195:X$214)</f>
        <v>0</v>
      </c>
      <c r="Y254" s="9">
        <f ca="1">SUMIF('Tech Parameters'!AC$170:AC$189,$C254,Y$195:Y$214)</f>
        <v>0</v>
      </c>
      <c r="Z254" s="9">
        <f ca="1">SUMIF('Tech Parameters'!AD$170:AD$189,$C254,Z$195:Z$214)</f>
        <v>0</v>
      </c>
      <c r="AA254" s="9">
        <f ca="1">SUMIF('Tech Parameters'!AE$170:AE$189,$C254,AA$195:AA$214)</f>
        <v>0</v>
      </c>
      <c r="AB254" s="9">
        <f ca="1">SUMIF('Tech Parameters'!AF$170:AF$189,$C254,AB$195:AB$214)</f>
        <v>0</v>
      </c>
      <c r="AC254" s="9">
        <f ca="1">SUMIF('Tech Parameters'!AG$170:AG$189,$C254,AC$195:AC$214)</f>
        <v>0</v>
      </c>
      <c r="AD254" s="9"/>
      <c r="AE254" s="9"/>
      <c r="AF254" s="9"/>
      <c r="AG254" s="9"/>
      <c r="AH254" s="9"/>
      <c r="AI254" s="9"/>
      <c r="AJ254" s="9"/>
      <c r="AK254" s="9"/>
      <c r="AL254" s="9"/>
      <c r="AM254" s="9"/>
      <c r="AN254" s="9"/>
      <c r="AO254" s="9"/>
      <c r="AP254" s="9"/>
      <c r="AQ254" s="9"/>
      <c r="AR254" s="9"/>
      <c r="AS254" s="9"/>
      <c r="AT254" s="9"/>
      <c r="AU254" s="9"/>
      <c r="AV254" s="9"/>
      <c r="AW254" s="9"/>
      <c r="BA254" s="4"/>
      <c r="BL254" s="4"/>
    </row>
    <row r="255" spans="3:64">
      <c r="C255">
        <v>17</v>
      </c>
      <c r="D255" s="9">
        <f>SUMIF('Tech Parameters'!H$170:H$189,$C255,D$195:D$214)</f>
        <v>26789.252120403748</v>
      </c>
      <c r="E255" s="9">
        <f>SUMIF('Tech Parameters'!I$170:I$189,$C255,E$195:E$214)</f>
        <v>26789.252120403748</v>
      </c>
      <c r="F255" s="9">
        <f>SUMIF('Tech Parameters'!J$170:J$189,$C255,F$195:F$214)</f>
        <v>0</v>
      </c>
      <c r="G255" s="9">
        <f>SUMIF('Tech Parameters'!K$170:K$189,$C255,G$195:G$214)</f>
        <v>0</v>
      </c>
      <c r="H255" s="9">
        <f>SUMIF('Tech Parameters'!L$170:L$189,$C255,H$195:H$214)</f>
        <v>0</v>
      </c>
      <c r="I255" s="9">
        <f ca="1">SUMIF('Tech Parameters'!M$170:M$189,$C255,I$195:I$214)</f>
        <v>0</v>
      </c>
      <c r="J255" s="9">
        <f ca="1">SUMIF('Tech Parameters'!N$170:N$189,$C255,J$195:J$214)</f>
        <v>0</v>
      </c>
      <c r="K255" s="9">
        <f ca="1">SUMIF('Tech Parameters'!O$170:O$189,$C255,K$195:K$214)</f>
        <v>4268.2161891600008</v>
      </c>
      <c r="L255" s="9">
        <f ca="1">SUMIF('Tech Parameters'!P$170:P$189,$C255,L$195:L$214)</f>
        <v>12804.648567479999</v>
      </c>
      <c r="M255" s="9">
        <f ca="1">SUMIF('Tech Parameters'!Q$170:Q$189,$C255,M$195:M$214)</f>
        <v>25609.297134959997</v>
      </c>
      <c r="N255" s="9">
        <f ca="1">SUMIF('Tech Parameters'!R$170:R$189,$C255,N$195:N$214)</f>
        <v>38413.945702440004</v>
      </c>
      <c r="O255" s="9">
        <f ca="1">SUMIF('Tech Parameters'!S$170:S$189,$C255,O$195:O$214)</f>
        <v>46950.378080760012</v>
      </c>
      <c r="P255" s="9">
        <f ca="1">SUMIF('Tech Parameters'!T$170:T$189,$C255,P$195:P$214)</f>
        <v>55486.810459080007</v>
      </c>
      <c r="Q255" s="9">
        <f ca="1">SUMIF('Tech Parameters'!U$170:U$189,$C255,Q$195:Q$214)</f>
        <v>68291.459026560013</v>
      </c>
      <c r="R255" s="9">
        <f ca="1">SUMIF('Tech Parameters'!V$170:V$189,$C255,R$195:R$214)</f>
        <v>81096.107594040019</v>
      </c>
      <c r="S255" s="9">
        <f ca="1">SUMIF('Tech Parameters'!W$170:W$189,$C255,S$195:S$214)</f>
        <v>93900.756161520025</v>
      </c>
      <c r="T255" s="9">
        <f ca="1">SUMIF('Tech Parameters'!X$170:X$189,$C255,T$195:T$214)</f>
        <v>110973.62091816001</v>
      </c>
      <c r="U255" s="9">
        <f ca="1">SUMIF('Tech Parameters'!Y$170:Y$189,$C255,U$195:U$214)</f>
        <v>128046.48567480003</v>
      </c>
      <c r="V255" s="9">
        <f ca="1">SUMIF('Tech Parameters'!Z$170:Z$189,$C255,V$195:V$214)</f>
        <v>140851.13424228007</v>
      </c>
      <c r="W255" s="9">
        <f ca="1">SUMIF('Tech Parameters'!AA$170:AA$189,$C255,W$195:W$214)</f>
        <v>157923.99899892003</v>
      </c>
      <c r="X255" s="9">
        <f ca="1">SUMIF('Tech Parameters'!AB$170:AB$189,$C255,X$195:X$214)</f>
        <v>174996.86375556004</v>
      </c>
      <c r="Y255" s="9">
        <f ca="1">SUMIF('Tech Parameters'!AC$170:AC$189,$C255,Y$195:Y$214)</f>
        <v>196337.94470136001</v>
      </c>
      <c r="Z255" s="9">
        <f ca="1">SUMIF('Tech Parameters'!AD$170:AD$189,$C255,Z$195:Z$214)</f>
        <v>217679.02564716004</v>
      </c>
      <c r="AA255" s="9">
        <f ca="1">SUMIF('Tech Parameters'!AE$170:AE$189,$C255,AA$195:AA$214)</f>
        <v>239020.10659296007</v>
      </c>
      <c r="AB255" s="9">
        <f ca="1">SUMIF('Tech Parameters'!AF$170:AF$189,$C255,AB$195:AB$214)</f>
        <v>264629.40372792009</v>
      </c>
      <c r="AC255" s="9">
        <f ca="1">SUMIF('Tech Parameters'!AG$170:AG$189,$C255,AC$195:AC$214)</f>
        <v>290238.7008628801</v>
      </c>
      <c r="AD255" s="9"/>
      <c r="AE255" s="9"/>
      <c r="AF255" s="9"/>
      <c r="AG255" s="9"/>
      <c r="AH255" s="9"/>
      <c r="AI255" s="9"/>
      <c r="AJ255" s="9"/>
      <c r="AK255" s="9"/>
      <c r="AL255" s="9"/>
      <c r="AM255" s="9"/>
      <c r="AN255" s="9"/>
      <c r="AO255" s="9"/>
      <c r="AP255" s="9"/>
      <c r="AQ255" s="9"/>
      <c r="AR255" s="9"/>
      <c r="AS255" s="9"/>
      <c r="AT255" s="9"/>
      <c r="AU255" s="9"/>
      <c r="AV255" s="9"/>
      <c r="AW255" s="9"/>
      <c r="BA255" s="4"/>
      <c r="BL255" s="4"/>
    </row>
    <row r="256" spans="3:64">
      <c r="C256">
        <v>18</v>
      </c>
      <c r="D256" s="9">
        <f>SUMIF('Tech Parameters'!H$170:H$189,$C256,D$195:D$214)</f>
        <v>0</v>
      </c>
      <c r="E256" s="9">
        <f>SUMIF('Tech Parameters'!I$170:I$189,$C256,E$195:E$214)</f>
        <v>0</v>
      </c>
      <c r="F256" s="9">
        <f>SUMIF('Tech Parameters'!J$170:J$189,$C256,F$195:F$214)</f>
        <v>26789.252120403748</v>
      </c>
      <c r="G256" s="9">
        <f>SUMIF('Tech Parameters'!K$170:K$189,$C256,G$195:G$214)</f>
        <v>26789.252120403748</v>
      </c>
      <c r="H256" s="9">
        <f>SUMIF('Tech Parameters'!L$170:L$189,$C256,H$195:H$214)</f>
        <v>26789.252120403748</v>
      </c>
      <c r="I256" s="9">
        <f ca="1">SUMIF('Tech Parameters'!M$170:M$189,$C256,I$195:I$214)</f>
        <v>30156.12050691207</v>
      </c>
      <c r="J256" s="9">
        <f ca="1">SUMIF('Tech Parameters'!N$170:N$189,$C256,J$195:J$214)</f>
        <v>32147.650269941878</v>
      </c>
      <c r="K256" s="9">
        <f ca="1">SUMIF('Tech Parameters'!O$170:O$189,$C256,K$195:K$214)</f>
        <v>32147.650269941878</v>
      </c>
      <c r="L256" s="9">
        <f ca="1">SUMIF('Tech Parameters'!P$170:P$189,$C256,L$195:L$214)</f>
        <v>32147.650269941878</v>
      </c>
      <c r="M256" s="9">
        <f ca="1">SUMIF('Tech Parameters'!Q$170:Q$189,$C256,M$195:M$214)</f>
        <v>32147.650269941878</v>
      </c>
      <c r="N256" s="9">
        <f ca="1">SUMIF('Tech Parameters'!R$170:R$189,$C256,N$195:N$214)</f>
        <v>32147.650269941878</v>
      </c>
      <c r="O256" s="9">
        <f ca="1">SUMIF('Tech Parameters'!S$170:S$189,$C256,O$195:O$214)</f>
        <v>31962.792928076487</v>
      </c>
      <c r="P256" s="9">
        <f ca="1">SUMIF('Tech Parameters'!T$170:T$189,$C256,P$195:P$214)</f>
        <v>31777.935586211097</v>
      </c>
      <c r="Q256" s="9">
        <f ca="1">SUMIF('Tech Parameters'!U$170:U$189,$C256,Q$195:Q$214)</f>
        <v>31531.459130390576</v>
      </c>
      <c r="R256" s="9">
        <f ca="1">SUMIF('Tech Parameters'!V$170:V$189,$C256,R$195:R$214)</f>
        <v>31284.982674570063</v>
      </c>
      <c r="S256" s="9">
        <f ca="1">SUMIF('Tech Parameters'!W$170:W$189,$C256,S$195:S$214)</f>
        <v>26601.930013980156</v>
      </c>
      <c r="T256" s="9">
        <f ca="1">SUMIF('Tech Parameters'!X$170:X$189,$C256,T$195:T$214)</f>
        <v>21918.877353390257</v>
      </c>
      <c r="U256" s="9">
        <f ca="1">SUMIF('Tech Parameters'!Y$170:Y$189,$C256,U$195:U$214)</f>
        <v>21918.877353390257</v>
      </c>
      <c r="V256" s="9">
        <f ca="1">SUMIF('Tech Parameters'!Z$170:Z$189,$C256,V$195:V$214)</f>
        <v>21918.877353390257</v>
      </c>
      <c r="W256" s="9">
        <f ca="1">SUMIF('Tech Parameters'!AA$170:AA$189,$C256,W$195:W$214)</f>
        <v>21918.877353390257</v>
      </c>
      <c r="X256" s="9">
        <f ca="1">SUMIF('Tech Parameters'!AB$170:AB$189,$C256,X$195:X$214)</f>
        <v>19761.112914045938</v>
      </c>
      <c r="Y256" s="9">
        <f ca="1">SUMIF('Tech Parameters'!AC$170:AC$189,$C256,Y$195:Y$214)</f>
        <v>17603.348474701619</v>
      </c>
      <c r="Z256" s="9">
        <f ca="1">SUMIF('Tech Parameters'!AD$170:AD$189,$C256,Z$195:Z$214)</f>
        <v>17603.348474701619</v>
      </c>
      <c r="AA256" s="9">
        <f ca="1">SUMIF('Tech Parameters'!AE$170:AE$189,$C256,AA$195:AA$214)</f>
        <v>17603.348474701619</v>
      </c>
      <c r="AB256" s="9">
        <f ca="1">SUMIF('Tech Parameters'!AF$170:AF$189,$C256,AB$195:AB$214)</f>
        <v>17603.348474701619</v>
      </c>
      <c r="AC256" s="9">
        <f ca="1">SUMIF('Tech Parameters'!AG$170:AG$189,$C256,AC$195:AC$214)</f>
        <v>17603.348474701619</v>
      </c>
      <c r="AD256" s="9"/>
      <c r="AE256" s="9"/>
      <c r="AF256" s="9"/>
      <c r="AG256" s="9"/>
      <c r="AH256" s="9"/>
      <c r="AI256" s="9"/>
      <c r="AJ256" s="9"/>
      <c r="AK256" s="9"/>
      <c r="AL256" s="9"/>
      <c r="AM256" s="9"/>
      <c r="AN256" s="9"/>
      <c r="AO256" s="9"/>
      <c r="AP256" s="9"/>
      <c r="AQ256" s="9"/>
      <c r="AR256" s="9"/>
      <c r="AS256" s="9"/>
      <c r="AT256" s="9"/>
      <c r="AU256" s="9"/>
      <c r="AV256" s="9"/>
      <c r="AW256" s="9"/>
      <c r="BA256" s="4"/>
      <c r="BL256" s="4"/>
    </row>
    <row r="257" spans="3:64">
      <c r="C257">
        <v>19</v>
      </c>
      <c r="D257" s="9">
        <f>SUMIF('Tech Parameters'!H$170:H$189,$C257,D$195:D$214)</f>
        <v>0</v>
      </c>
      <c r="E257" s="9">
        <f>SUMIF('Tech Parameters'!I$170:I$189,$C257,E$195:E$214)</f>
        <v>0</v>
      </c>
      <c r="F257" s="9">
        <f>SUMIF('Tech Parameters'!J$170:J$189,$C257,F$195:F$214)</f>
        <v>0</v>
      </c>
      <c r="G257" s="9">
        <f>SUMIF('Tech Parameters'!K$170:K$189,$C257,G$195:G$214)</f>
        <v>0</v>
      </c>
      <c r="H257" s="9">
        <f>SUMIF('Tech Parameters'!L$170:L$189,$C257,H$195:H$214)</f>
        <v>0</v>
      </c>
      <c r="I257" s="9">
        <f ca="1">SUMIF('Tech Parameters'!M$170:M$189,$C257,I$195:I$214)</f>
        <v>0</v>
      </c>
      <c r="J257" s="9">
        <f ca="1">SUMIF('Tech Parameters'!N$170:N$189,$C257,J$195:J$214)</f>
        <v>0</v>
      </c>
      <c r="K257" s="9">
        <f ca="1">SUMIF('Tech Parameters'!O$170:O$189,$C257,K$195:K$214)</f>
        <v>0</v>
      </c>
      <c r="L257" s="9">
        <f ca="1">SUMIF('Tech Parameters'!P$170:P$189,$C257,L$195:L$214)</f>
        <v>0</v>
      </c>
      <c r="M257" s="9">
        <f ca="1">SUMIF('Tech Parameters'!Q$170:Q$189,$C257,M$195:M$214)</f>
        <v>0</v>
      </c>
      <c r="N257" s="9">
        <f ca="1">SUMIF('Tech Parameters'!R$170:R$189,$C257,N$195:N$214)</f>
        <v>0</v>
      </c>
      <c r="O257" s="9">
        <f ca="1">SUMIF('Tech Parameters'!S$170:S$189,$C257,O$195:O$214)</f>
        <v>0</v>
      </c>
      <c r="P257" s="9">
        <f ca="1">SUMIF('Tech Parameters'!T$170:T$189,$C257,P$195:P$214)</f>
        <v>0</v>
      </c>
      <c r="Q257" s="9">
        <f ca="1">SUMIF('Tech Parameters'!U$170:U$189,$C257,Q$195:Q$214)</f>
        <v>0</v>
      </c>
      <c r="R257" s="9">
        <f ca="1">SUMIF('Tech Parameters'!V$170:V$189,$C257,R$195:R$214)</f>
        <v>0</v>
      </c>
      <c r="S257" s="9">
        <f ca="1">SUMIF('Tech Parameters'!W$170:W$189,$C257,S$195:S$214)</f>
        <v>0</v>
      </c>
      <c r="T257" s="9">
        <f ca="1">SUMIF('Tech Parameters'!X$170:X$189,$C257,T$195:T$214)</f>
        <v>0</v>
      </c>
      <c r="U257" s="9">
        <f ca="1">SUMIF('Tech Parameters'!Y$170:Y$189,$C257,U$195:U$214)</f>
        <v>0</v>
      </c>
      <c r="V257" s="9">
        <f ca="1">SUMIF('Tech Parameters'!Z$170:Z$189,$C257,V$195:V$214)</f>
        <v>0</v>
      </c>
      <c r="W257" s="9">
        <f ca="1">SUMIF('Tech Parameters'!AA$170:AA$189,$C257,W$195:W$214)</f>
        <v>0</v>
      </c>
      <c r="X257" s="9">
        <f ca="1">SUMIF('Tech Parameters'!AB$170:AB$189,$C257,X$195:X$214)</f>
        <v>0</v>
      </c>
      <c r="Y257" s="9">
        <f ca="1">SUMIF('Tech Parameters'!AC$170:AC$189,$C257,Y$195:Y$214)</f>
        <v>0</v>
      </c>
      <c r="Z257" s="9">
        <f ca="1">SUMIF('Tech Parameters'!AD$170:AD$189,$C257,Z$195:Z$214)</f>
        <v>0</v>
      </c>
      <c r="AA257" s="9">
        <f ca="1">SUMIF('Tech Parameters'!AE$170:AE$189,$C257,AA$195:AA$214)</f>
        <v>0</v>
      </c>
      <c r="AB257" s="9">
        <f ca="1">SUMIF('Tech Parameters'!AF$170:AF$189,$C257,AB$195:AB$214)</f>
        <v>0</v>
      </c>
      <c r="AC257" s="9">
        <f ca="1">SUMIF('Tech Parameters'!AG$170:AG$189,$C257,AC$195:AC$214)</f>
        <v>0</v>
      </c>
      <c r="AD257" s="9"/>
      <c r="AE257" s="9"/>
      <c r="AF257" s="9"/>
      <c r="AG257" s="9"/>
      <c r="AH257" s="9"/>
      <c r="AI257" s="9"/>
      <c r="AJ257" s="9"/>
      <c r="AK257" s="9"/>
      <c r="AL257" s="9"/>
      <c r="AM257" s="9"/>
      <c r="AN257" s="9"/>
      <c r="AO257" s="9"/>
      <c r="AP257" s="9"/>
      <c r="AQ257" s="9"/>
      <c r="AR257" s="9"/>
      <c r="AS257" s="9"/>
      <c r="AT257" s="9"/>
      <c r="AU257" s="9"/>
      <c r="AV257" s="9"/>
      <c r="AW257" s="9"/>
      <c r="BA257" s="4"/>
      <c r="BL257" s="4"/>
    </row>
    <row r="258" spans="3:64">
      <c r="C258">
        <v>20</v>
      </c>
      <c r="D258" s="9">
        <f>SUMIF('Tech Parameters'!H$170:H$189,$C258,D$195:D$214)</f>
        <v>912.47907878399997</v>
      </c>
      <c r="E258" s="9">
        <f>SUMIF('Tech Parameters'!I$170:I$189,$C258,E$195:E$214)</f>
        <v>912.47907878399997</v>
      </c>
      <c r="F258" s="9">
        <f>SUMIF('Tech Parameters'!J$170:J$189,$C258,F$195:F$214)</f>
        <v>912.47907878399997</v>
      </c>
      <c r="G258" s="9">
        <f>SUMIF('Tech Parameters'!K$170:K$189,$C258,G$195:G$214)</f>
        <v>912.47907878399997</v>
      </c>
      <c r="H258" s="9">
        <f>SUMIF('Tech Parameters'!L$170:L$189,$C258,H$195:H$214)</f>
        <v>912.47907878399997</v>
      </c>
      <c r="I258" s="9">
        <f ca="1">SUMIF('Tech Parameters'!M$170:M$189,$C258,I$195:I$214)</f>
        <v>912.47907878399997</v>
      </c>
      <c r="J258" s="9">
        <f ca="1">SUMIF('Tech Parameters'!N$170:N$189,$C258,J$195:J$214)</f>
        <v>1323.0946642368001</v>
      </c>
      <c r="K258" s="9">
        <f ca="1">SUMIF('Tech Parameters'!O$170:O$189,$C258,K$195:K$214)</f>
        <v>1323.0946642368001</v>
      </c>
      <c r="L258" s="9">
        <f ca="1">SUMIF('Tech Parameters'!P$170:P$189,$C258,L$195:L$214)</f>
        <v>1323.0946642368001</v>
      </c>
      <c r="M258" s="9">
        <f ca="1">SUMIF('Tech Parameters'!Q$170:Q$189,$C258,M$195:M$214)</f>
        <v>1323.0946642368001</v>
      </c>
      <c r="N258" s="9">
        <f ca="1">SUMIF('Tech Parameters'!R$170:R$189,$C258,N$195:N$214)</f>
        <v>1323.0946642368001</v>
      </c>
      <c r="O258" s="9">
        <f ca="1">SUMIF('Tech Parameters'!S$170:S$189,$C258,O$195:O$214)</f>
        <v>1323.0946642368001</v>
      </c>
      <c r="P258" s="9">
        <f ca="1">SUMIF('Tech Parameters'!T$170:T$189,$C258,P$195:P$214)</f>
        <v>1323.0946642368001</v>
      </c>
      <c r="Q258" s="9">
        <f ca="1">SUMIF('Tech Parameters'!U$170:U$189,$C258,Q$195:Q$214)</f>
        <v>1323.0946642368001</v>
      </c>
      <c r="R258" s="9">
        <f ca="1">SUMIF('Tech Parameters'!V$170:V$189,$C258,R$195:R$214)</f>
        <v>1323.0946642368001</v>
      </c>
      <c r="S258" s="9">
        <f ca="1">SUMIF('Tech Parameters'!W$170:W$189,$C258,S$195:S$214)</f>
        <v>1323.0946642368001</v>
      </c>
      <c r="T258" s="9">
        <f ca="1">SUMIF('Tech Parameters'!X$170:X$189,$C258,T$195:T$214)</f>
        <v>1323.0946642368001</v>
      </c>
      <c r="U258" s="9">
        <f ca="1">SUMIF('Tech Parameters'!Y$170:Y$189,$C258,U$195:U$214)</f>
        <v>1323.0946642368001</v>
      </c>
      <c r="V258" s="9">
        <f ca="1">SUMIF('Tech Parameters'!Z$170:Z$189,$C258,V$195:V$214)</f>
        <v>1596.8383878719997</v>
      </c>
      <c r="W258" s="9">
        <f ca="1">SUMIF('Tech Parameters'!AA$170:AA$189,$C258,W$195:W$214)</f>
        <v>1596.8383878719997</v>
      </c>
      <c r="X258" s="9">
        <f ca="1">SUMIF('Tech Parameters'!AB$170:AB$189,$C258,X$195:X$214)</f>
        <v>1596.8383878719997</v>
      </c>
      <c r="Y258" s="9">
        <f ca="1">SUMIF('Tech Parameters'!AC$170:AC$189,$C258,Y$195:Y$214)</f>
        <v>1870.5821115072001</v>
      </c>
      <c r="Z258" s="9">
        <f ca="1">SUMIF('Tech Parameters'!AD$170:AD$189,$C258,Z$195:Z$214)</f>
        <v>1870.5821115072001</v>
      </c>
      <c r="AA258" s="9">
        <f ca="1">SUMIF('Tech Parameters'!AE$170:AE$189,$C258,AA$195:AA$214)</f>
        <v>1870.5821115072001</v>
      </c>
      <c r="AB258" s="9">
        <f ca="1">SUMIF('Tech Parameters'!AF$170:AF$189,$C258,AB$195:AB$214)</f>
        <v>2144.3258351424001</v>
      </c>
      <c r="AC258" s="9">
        <f ca="1">SUMIF('Tech Parameters'!AG$170:AG$189,$C258,AC$195:AC$214)</f>
        <v>2079.3117007790402</v>
      </c>
      <c r="AD258" s="9"/>
      <c r="AE258" s="9"/>
      <c r="AF258" s="9"/>
      <c r="AG258" s="9"/>
      <c r="AH258" s="9"/>
      <c r="AI258" s="9"/>
      <c r="AJ258" s="9"/>
      <c r="AK258" s="9"/>
      <c r="AL258" s="9"/>
      <c r="AM258" s="9"/>
      <c r="AN258" s="9"/>
      <c r="AO258" s="9"/>
      <c r="AP258" s="9"/>
      <c r="AQ258" s="9"/>
      <c r="AR258" s="9"/>
      <c r="AS258" s="9"/>
      <c r="AT258" s="9"/>
      <c r="AU258" s="9"/>
      <c r="AV258" s="9"/>
      <c r="AW258" s="9"/>
      <c r="BA258" s="4"/>
      <c r="BL258" s="4"/>
    </row>
    <row r="259" spans="3:64">
      <c r="C259" s="4"/>
      <c r="D259" s="9"/>
      <c r="E259" s="9"/>
      <c r="F259" s="9"/>
      <c r="G259" s="9"/>
      <c r="H259" s="9"/>
      <c r="I259" s="9"/>
      <c r="J259" s="9"/>
      <c r="K259" s="9"/>
      <c r="L259" s="9"/>
      <c r="M259" s="9"/>
      <c r="N259" s="9"/>
      <c r="O259" s="9"/>
      <c r="P259" s="9"/>
      <c r="Q259" s="9"/>
      <c r="R259" s="9"/>
      <c r="S259" s="9"/>
      <c r="T259" s="9"/>
      <c r="U259" s="9"/>
      <c r="V259" s="9"/>
      <c r="W259" s="9"/>
      <c r="X259" s="9"/>
      <c r="Y259" s="9"/>
      <c r="Z259" s="9"/>
      <c r="AA259" s="9"/>
      <c r="AB259" s="9"/>
      <c r="AC259" s="9"/>
      <c r="AD259" s="9"/>
      <c r="AE259" s="9"/>
      <c r="AF259" s="9"/>
      <c r="AG259" s="9"/>
      <c r="AH259" s="9"/>
      <c r="AI259" s="9"/>
      <c r="AJ259" s="9"/>
      <c r="AK259" s="9"/>
      <c r="AL259" s="9"/>
      <c r="AM259" s="9"/>
      <c r="AN259" s="9"/>
      <c r="AO259" s="9"/>
      <c r="AP259" s="9"/>
      <c r="AQ259" s="9"/>
      <c r="AR259" s="9"/>
      <c r="AS259" s="9"/>
      <c r="AT259" s="9"/>
      <c r="AU259" s="9"/>
      <c r="AV259" s="9"/>
      <c r="AW259" s="9"/>
    </row>
    <row r="260" spans="3:64">
      <c r="D260" s="9"/>
      <c r="E260" s="9"/>
      <c r="F260" s="9"/>
      <c r="G260" s="9"/>
      <c r="H260" s="9"/>
      <c r="I260" s="9"/>
      <c r="J260" s="9"/>
      <c r="K260" s="9"/>
      <c r="L260" s="9"/>
      <c r="M260" s="9"/>
      <c r="N260" s="9"/>
      <c r="O260" s="9"/>
      <c r="P260" s="9"/>
      <c r="Q260" s="9"/>
      <c r="R260" s="9"/>
      <c r="S260" s="9"/>
      <c r="T260" s="9"/>
      <c r="U260" s="9"/>
      <c r="V260" s="9"/>
      <c r="W260" s="9"/>
      <c r="X260" s="9"/>
      <c r="Y260" s="9"/>
      <c r="Z260" s="9"/>
      <c r="AA260" s="9"/>
      <c r="AB260" s="9"/>
      <c r="AC260" s="9"/>
      <c r="AD260" s="9"/>
      <c r="AE260" s="9"/>
      <c r="AF260" s="9"/>
      <c r="AG260" s="9"/>
      <c r="AH260" s="9"/>
      <c r="AI260" s="9"/>
      <c r="AJ260" s="9"/>
      <c r="AK260" s="9"/>
      <c r="AL260" s="9"/>
      <c r="AM260" s="9"/>
      <c r="AN260" s="9"/>
      <c r="AO260" s="9"/>
      <c r="AP260" s="9"/>
      <c r="AQ260" s="9"/>
      <c r="AR260" s="9"/>
      <c r="AS260" s="9"/>
      <c r="AT260" s="9"/>
      <c r="AU260" s="9"/>
      <c r="AV260" s="9"/>
      <c r="AW260" s="9"/>
    </row>
    <row r="261" spans="3:64">
      <c r="D261" s="9"/>
      <c r="E261" s="9"/>
      <c r="F261" s="9"/>
      <c r="G261" s="9"/>
      <c r="H261" s="9"/>
      <c r="I261" s="9"/>
      <c r="J261" s="9"/>
      <c r="K261" s="9"/>
      <c r="L261" s="9"/>
      <c r="M261" s="9"/>
      <c r="N261" s="9"/>
      <c r="O261" s="9"/>
      <c r="P261" s="9"/>
      <c r="Q261" s="9"/>
      <c r="R261" s="9"/>
      <c r="S261" s="9"/>
      <c r="T261" s="9"/>
      <c r="U261" s="9"/>
      <c r="V261" s="9"/>
      <c r="W261" s="9"/>
      <c r="X261" s="9"/>
      <c r="Y261" s="9"/>
      <c r="Z261" s="9"/>
      <c r="AA261" s="9"/>
      <c r="AB261" s="9"/>
      <c r="AC261" s="9"/>
      <c r="AD261" s="9"/>
      <c r="AE261" s="9"/>
      <c r="AF261" s="9"/>
      <c r="AG261" s="9"/>
      <c r="AH261" s="9"/>
      <c r="AI261" s="9"/>
      <c r="AJ261" s="9"/>
      <c r="AK261" s="9"/>
      <c r="AL261" s="9"/>
      <c r="AM261" s="9"/>
      <c r="AN261" s="9"/>
      <c r="AO261" s="9"/>
      <c r="AP261" s="9"/>
      <c r="AQ261" s="9"/>
      <c r="AR261" s="9"/>
      <c r="AS261" s="9"/>
      <c r="AT261" s="9"/>
      <c r="AU261" s="9"/>
      <c r="AV261" s="9"/>
      <c r="AW261" s="9"/>
    </row>
    <row r="262" spans="3:64">
      <c r="D262" s="9"/>
      <c r="E262" s="9"/>
      <c r="F262" s="9"/>
      <c r="G262" s="9"/>
      <c r="H262" s="9"/>
      <c r="I262" s="9"/>
      <c r="J262" s="9"/>
      <c r="K262" s="9"/>
      <c r="L262" s="9"/>
      <c r="M262" s="9"/>
      <c r="N262" s="9"/>
      <c r="O262" s="9"/>
      <c r="P262" s="9"/>
      <c r="Q262" s="9"/>
      <c r="R262" s="9"/>
      <c r="S262" s="9"/>
      <c r="T262" s="9"/>
      <c r="U262" s="9"/>
      <c r="V262" s="9"/>
      <c r="W262" s="9"/>
      <c r="X262" s="9"/>
      <c r="Y262" s="9"/>
      <c r="Z262" s="9"/>
      <c r="AA262" s="9"/>
      <c r="AB262" s="9"/>
      <c r="AC262" s="9"/>
      <c r="AD262" s="9"/>
      <c r="AE262" s="9"/>
      <c r="AF262" s="9"/>
      <c r="AG262" s="9"/>
      <c r="AH262" s="9"/>
      <c r="AI262" s="9"/>
      <c r="AJ262" s="9"/>
      <c r="AK262" s="9"/>
      <c r="AL262" s="9"/>
      <c r="AM262" s="9"/>
      <c r="AN262" s="9"/>
      <c r="AO262" s="9"/>
      <c r="AP262" s="9"/>
      <c r="AQ262" s="9"/>
      <c r="AR262" s="9"/>
      <c r="AS262" s="9"/>
      <c r="AT262" s="9"/>
      <c r="AU262" s="9"/>
      <c r="AV262" s="9"/>
      <c r="AW262" s="9"/>
    </row>
    <row r="263" spans="3:64">
      <c r="D263" s="9"/>
      <c r="E263" s="9"/>
      <c r="F263" s="9"/>
      <c r="G263" s="9"/>
      <c r="H263" s="9"/>
      <c r="I263" s="9"/>
      <c r="J263" s="9"/>
      <c r="K263" s="9"/>
      <c r="L263" s="9"/>
      <c r="M263" s="9"/>
      <c r="N263" s="9"/>
      <c r="O263" s="9"/>
      <c r="P263" s="9"/>
      <c r="Q263" s="9"/>
      <c r="R263" s="9"/>
      <c r="S263" s="9"/>
      <c r="T263" s="9"/>
      <c r="U263" s="9"/>
      <c r="V263" s="9"/>
      <c r="W263" s="9"/>
      <c r="X263" s="9"/>
      <c r="Y263" s="9"/>
      <c r="Z263" s="9"/>
      <c r="AA263" s="9"/>
      <c r="AB263" s="9"/>
      <c r="AC263" s="9"/>
      <c r="AD263" s="9"/>
      <c r="AE263" s="9"/>
      <c r="AF263" s="9"/>
      <c r="AG263" s="9"/>
      <c r="AH263" s="9"/>
      <c r="AI263" s="9"/>
      <c r="AJ263" s="9"/>
      <c r="AK263" s="9"/>
      <c r="AL263" s="9"/>
      <c r="AM263" s="9"/>
      <c r="AN263" s="9"/>
      <c r="AO263" s="9"/>
      <c r="AP263" s="9"/>
      <c r="AQ263" s="9"/>
      <c r="AR263" s="9"/>
      <c r="AS263" s="9"/>
      <c r="AT263" s="9"/>
      <c r="AU263" s="9"/>
      <c r="AV263" s="9"/>
      <c r="AW263" s="9"/>
    </row>
    <row r="264" spans="3:64">
      <c r="D264" s="9"/>
      <c r="E264" s="9"/>
      <c r="F264" s="9"/>
      <c r="G264" s="9"/>
      <c r="H264" s="9"/>
      <c r="I264" s="9"/>
      <c r="J264" s="9"/>
      <c r="K264" s="9"/>
      <c r="L264" s="9"/>
      <c r="M264" s="9"/>
      <c r="N264" s="9"/>
      <c r="O264" s="9"/>
      <c r="P264" s="9"/>
      <c r="Q264" s="9"/>
      <c r="R264" s="9"/>
      <c r="S264" s="9"/>
      <c r="T264" s="9"/>
      <c r="U264" s="9"/>
      <c r="V264" s="9"/>
      <c r="W264" s="9"/>
      <c r="X264" s="9"/>
      <c r="Y264" s="9"/>
      <c r="Z264" s="9"/>
      <c r="AA264" s="9"/>
      <c r="AB264" s="9"/>
      <c r="AC264" s="9"/>
      <c r="AD264" s="9"/>
      <c r="AE264" s="9"/>
      <c r="AF264" s="9"/>
      <c r="AG264" s="9"/>
      <c r="AH264" s="9"/>
      <c r="AI264" s="9"/>
      <c r="AJ264" s="9"/>
      <c r="AK264" s="9"/>
      <c r="AL264" s="9"/>
      <c r="AM264" s="9"/>
      <c r="AN264" s="9"/>
      <c r="AO264" s="9"/>
      <c r="AP264" s="9"/>
      <c r="AQ264" s="9"/>
      <c r="AR264" s="9"/>
      <c r="AS264" s="9"/>
      <c r="AT264" s="9"/>
      <c r="AU264" s="9"/>
      <c r="AV264" s="9"/>
      <c r="AW264" s="9"/>
    </row>
    <row r="265" spans="3:64">
      <c r="C265" s="4" t="s">
        <v>61</v>
      </c>
      <c r="D265" s="9"/>
      <c r="E265" s="9"/>
      <c r="F265" s="9"/>
      <c r="G265" s="9"/>
      <c r="H265" s="9"/>
      <c r="I265" s="9"/>
      <c r="J265" s="9"/>
      <c r="K265" s="9"/>
      <c r="L265" s="9"/>
      <c r="M265" s="9"/>
      <c r="N265" s="9"/>
      <c r="O265" s="9"/>
      <c r="P265" s="9"/>
      <c r="Q265" s="9"/>
      <c r="R265" s="9"/>
      <c r="S265" s="9"/>
      <c r="T265" s="9"/>
      <c r="U265" s="9"/>
      <c r="V265" s="9"/>
      <c r="W265" s="9"/>
      <c r="X265" s="9"/>
      <c r="Y265" s="9"/>
      <c r="Z265" s="9"/>
      <c r="AA265" s="9"/>
      <c r="AB265" s="9"/>
      <c r="AC265" s="9"/>
      <c r="AD265" s="9"/>
      <c r="AE265" s="9"/>
      <c r="AF265" s="9"/>
      <c r="AG265" s="9"/>
      <c r="AH265" s="9"/>
      <c r="AI265" s="9"/>
      <c r="AJ265" s="9"/>
      <c r="AK265" s="9"/>
      <c r="AL265" s="9"/>
      <c r="AM265" s="9"/>
      <c r="AN265" s="9"/>
      <c r="AO265" s="9"/>
      <c r="AP265" s="9"/>
      <c r="AQ265" s="9"/>
      <c r="AR265" s="9"/>
      <c r="AS265" s="9"/>
      <c r="AT265" s="9"/>
      <c r="AU265" s="9"/>
      <c r="AV265" s="9"/>
      <c r="AW265" s="9"/>
    </row>
    <row r="266" spans="3:64">
      <c r="C266" s="11" t="s">
        <v>240</v>
      </c>
      <c r="D266" s="9">
        <f>'Elec Demand'!F23</f>
        <v>229450.23732527756</v>
      </c>
      <c r="E266" s="9">
        <f>'Elec Demand'!G23</f>
        <v>229450.23732527756</v>
      </c>
      <c r="F266" s="9">
        <f>'Elec Demand'!H23</f>
        <v>236231.81625033589</v>
      </c>
      <c r="G266" s="9">
        <f>'Elec Demand'!I23</f>
        <v>238594.13441283922</v>
      </c>
      <c r="H266" s="9">
        <f>'Elec Demand'!J23</f>
        <v>238594.13441283922</v>
      </c>
      <c r="I266" s="9">
        <f>'Elec Demand'!K23</f>
        <v>245375.74905814775</v>
      </c>
      <c r="J266" s="9">
        <f>'Elec Demand'!L23</f>
        <v>250370.40714413894</v>
      </c>
      <c r="K266" s="9">
        <f>'Elec Demand'!M23</f>
        <v>256341.34343116108</v>
      </c>
      <c r="L266" s="9">
        <f>'Elec Demand'!N23</f>
        <v>263219.01481448294</v>
      </c>
      <c r="M266" s="9">
        <f>'Elec Demand'!O23</f>
        <v>271642.68291066994</v>
      </c>
      <c r="N266" s="9">
        <f>'Elec Demand'!P23</f>
        <v>279964.71108455787</v>
      </c>
      <c r="O266" s="9">
        <f>'Elec Demand'!Q23</f>
        <v>288749.46837838634</v>
      </c>
      <c r="P266" s="9">
        <f>'Elec Demand'!R23</f>
        <v>297389.78999315831</v>
      </c>
      <c r="Q266" s="9">
        <f>'Elec Demand'!S23</f>
        <v>306503.53966706025</v>
      </c>
      <c r="R266" s="9">
        <f>'Elec Demand'!T23</f>
        <v>316045.24690853735</v>
      </c>
      <c r="S266" s="9">
        <f>'Elec Demand'!U23</f>
        <v>325636.02759571554</v>
      </c>
      <c r="T266" s="9">
        <f>'Elec Demand'!V23</f>
        <v>335729.65842479456</v>
      </c>
      <c r="U266" s="9">
        <f>'Elec Demand'!W23</f>
        <v>345973.07440252486</v>
      </c>
      <c r="V266" s="9">
        <f>'Elec Demand'!X23</f>
        <v>356925.2951015514</v>
      </c>
      <c r="W266" s="9">
        <f>'Elec Demand'!Y23</f>
        <v>368257.32814180088</v>
      </c>
      <c r="X266" s="9">
        <f>'Elec Demand'!Z23</f>
        <v>380089.53658915387</v>
      </c>
      <c r="Y266" s="9">
        <f>'Elec Demand'!AA23</f>
        <v>392868.60115476674</v>
      </c>
      <c r="Z266" s="9">
        <f>'Elec Demand'!AB23</f>
        <v>406190.63688424067</v>
      </c>
      <c r="AA266" s="9">
        <f>'Elec Demand'!AC23</f>
        <v>419929.93124210037</v>
      </c>
      <c r="AB266" s="9">
        <f>'Elec Demand'!AD23</f>
        <v>433960.77169287053</v>
      </c>
      <c r="AC266" s="9">
        <f>'Elec Demand'!AE23</f>
        <v>444177.44032262731</v>
      </c>
      <c r="AD266" s="9"/>
      <c r="AE266" s="9"/>
      <c r="AF266" s="9"/>
      <c r="AG266" s="9"/>
      <c r="AH266" s="9"/>
      <c r="AI266" s="9"/>
      <c r="AJ266" s="9"/>
      <c r="AK266" s="9"/>
      <c r="AL266" s="9"/>
      <c r="AM266" s="9"/>
      <c r="AN266" s="9"/>
      <c r="AO266" s="9"/>
      <c r="AP266" s="9"/>
      <c r="AQ266" s="9"/>
      <c r="AR266" s="9"/>
      <c r="AS266" s="9"/>
      <c r="AT266" s="9"/>
      <c r="AU266" s="9"/>
      <c r="AV266" s="9"/>
      <c r="AW266" s="9"/>
    </row>
    <row r="267" spans="3:64">
      <c r="C267" s="11" t="s">
        <v>241</v>
      </c>
      <c r="D267" s="9">
        <f>D27*8760/'Tech Parameters'!$G$25*'Tech Parameters'!$H$25</f>
        <v>4241.2120880024113</v>
      </c>
      <c r="E267" s="9">
        <f>E27*8760/'Tech Parameters'!$G$25*'Tech Parameters'!$H$25</f>
        <v>4241.2120880024113</v>
      </c>
      <c r="F267" s="9">
        <f>F27*8760/'Tech Parameters'!$G$25*'Tech Parameters'!$H$25</f>
        <v>4241.2120880024113</v>
      </c>
      <c r="G267" s="9">
        <f>G27*8760/'Tech Parameters'!$G$25*'Tech Parameters'!$H$25</f>
        <v>4241.2120880024113</v>
      </c>
      <c r="H267" s="9">
        <f>H27*8760/'Tech Parameters'!$G$25*'Tech Parameters'!$H$25</f>
        <v>4241.2120880024113</v>
      </c>
      <c r="I267" s="9">
        <f ca="1">I27*8760/'Tech Parameters'!$G$25*'Tech Parameters'!$H$25</f>
        <v>4241.2120880024113</v>
      </c>
      <c r="J267" s="9">
        <f ca="1">J27*8760/'Tech Parameters'!$G$25*'Tech Parameters'!$H$25</f>
        <v>4241.2120880024113</v>
      </c>
      <c r="K267" s="9">
        <f ca="1">K27*8760/'Tech Parameters'!$G$25*'Tech Parameters'!$H$25</f>
        <v>4241.2120880024113</v>
      </c>
      <c r="L267" s="9">
        <f ca="1">L27*8760/'Tech Parameters'!$G$25*'Tech Parameters'!$H$25</f>
        <v>6028.9635124388706</v>
      </c>
      <c r="M267" s="9">
        <f ca="1">M27*8760/'Tech Parameters'!$G$25*'Tech Parameters'!$H$25</f>
        <v>7816.7149368753298</v>
      </c>
      <c r="N267" s="9">
        <f ca="1">N27*8760/'Tech Parameters'!$G$25*'Tech Parameters'!$H$25</f>
        <v>7816.7149368753298</v>
      </c>
      <c r="O267" s="9">
        <f ca="1">O27*8760/'Tech Parameters'!$G$25*'Tech Parameters'!$H$25</f>
        <v>7816.7149368753298</v>
      </c>
      <c r="P267" s="9">
        <f ca="1">P27*8760/'Tech Parameters'!$G$25*'Tech Parameters'!$H$25</f>
        <v>7816.7149368753298</v>
      </c>
      <c r="Q267" s="9">
        <f ca="1">Q27*8760/'Tech Parameters'!$G$25*'Tech Parameters'!$H$25</f>
        <v>7816.7149368753298</v>
      </c>
      <c r="R267" s="9">
        <f ca="1">R27*8760/'Tech Parameters'!$G$25*'Tech Parameters'!$H$25</f>
        <v>7816.7149368753298</v>
      </c>
      <c r="S267" s="9">
        <f ca="1">S27*8760/'Tech Parameters'!$G$25*'Tech Parameters'!$H$25</f>
        <v>7816.7149368753298</v>
      </c>
      <c r="T267" s="9">
        <f ca="1">T27*8760/'Tech Parameters'!$G$25*'Tech Parameters'!$H$25</f>
        <v>7816.7149368753298</v>
      </c>
      <c r="U267" s="9">
        <f ca="1">U27*8760/'Tech Parameters'!$G$25*'Tech Parameters'!$H$25</f>
        <v>7816.7149368753298</v>
      </c>
      <c r="V267" s="9">
        <f ca="1">V27*8760/'Tech Parameters'!$G$25*'Tech Parameters'!$H$25</f>
        <v>7816.7149368753298</v>
      </c>
      <c r="W267" s="9">
        <f ca="1">W27*8760/'Tech Parameters'!$G$25*'Tech Parameters'!$H$25</f>
        <v>7816.7149368753298</v>
      </c>
      <c r="X267" s="9">
        <f ca="1">X27*8760/'Tech Parameters'!$G$25*'Tech Parameters'!$H$25</f>
        <v>7816.7149368753298</v>
      </c>
      <c r="Y267" s="9">
        <f ca="1">Y27*8760/'Tech Parameters'!$G$25*'Tech Parameters'!$H$25</f>
        <v>7816.7149368753298</v>
      </c>
      <c r="Z267" s="9">
        <f ca="1">Z27*8760/'Tech Parameters'!$G$25*'Tech Parameters'!$H$25</f>
        <v>7816.7149368753298</v>
      </c>
      <c r="AA267" s="9">
        <f ca="1">AA27*8760/'Tech Parameters'!$G$25*'Tech Parameters'!$H$25</f>
        <v>7816.7149368753298</v>
      </c>
      <c r="AB267" s="9">
        <f ca="1">AB27*8760/'Tech Parameters'!$G$25*'Tech Parameters'!$H$25</f>
        <v>7816.7149368753298</v>
      </c>
      <c r="AC267" s="9">
        <f ca="1">AC27*8760/'Tech Parameters'!$G$25*'Tech Parameters'!$H$25</f>
        <v>7816.7149368753298</v>
      </c>
      <c r="AD267" s="9"/>
      <c r="AE267" s="9"/>
      <c r="AF267" s="9"/>
      <c r="AG267" s="9"/>
      <c r="AH267" s="9"/>
      <c r="AI267" s="9"/>
      <c r="AJ267" s="9"/>
      <c r="AK267" s="9"/>
      <c r="AL267" s="9"/>
      <c r="AM267" s="9"/>
      <c r="AN267" s="9"/>
      <c r="AO267" s="9"/>
      <c r="AP267" s="9"/>
      <c r="AQ267" s="9"/>
      <c r="AR267" s="9"/>
      <c r="AS267" s="9"/>
      <c r="AT267" s="9"/>
      <c r="AU267" s="9"/>
      <c r="AV267" s="9"/>
      <c r="AW267" s="9"/>
    </row>
    <row r="268" spans="3:64">
      <c r="C268" s="11" t="s">
        <v>242</v>
      </c>
      <c r="D268" s="9">
        <f>'Elec Demand'!F29</f>
        <v>14126</v>
      </c>
      <c r="E268" s="9">
        <f>'Elec Demand'!G29</f>
        <v>14126</v>
      </c>
      <c r="F268" s="9">
        <f>'Elec Demand'!H29</f>
        <v>14126</v>
      </c>
      <c r="G268" s="9">
        <f>'Elec Demand'!I29</f>
        <v>14126</v>
      </c>
      <c r="H268" s="9">
        <f>'Elec Demand'!J29</f>
        <v>14126</v>
      </c>
      <c r="I268" s="9">
        <f>'Elec Demand'!K29</f>
        <v>14126</v>
      </c>
      <c r="J268" s="9">
        <f>'Elec Demand'!L29</f>
        <v>14126</v>
      </c>
      <c r="K268" s="9">
        <f>'Elec Demand'!M29</f>
        <v>14126</v>
      </c>
      <c r="L268" s="9">
        <f>'Elec Demand'!N29</f>
        <v>14126</v>
      </c>
      <c r="M268" s="9">
        <f>'Elec Demand'!O29</f>
        <v>14126</v>
      </c>
      <c r="N268" s="9">
        <f>'Elec Demand'!P29</f>
        <v>14126</v>
      </c>
      <c r="O268" s="9">
        <f>'Elec Demand'!Q29</f>
        <v>14126</v>
      </c>
      <c r="P268" s="9">
        <f>'Elec Demand'!R29</f>
        <v>14126</v>
      </c>
      <c r="Q268" s="9">
        <f>'Elec Demand'!S29</f>
        <v>14126</v>
      </c>
      <c r="R268" s="9">
        <f>'Elec Demand'!T29</f>
        <v>14126</v>
      </c>
      <c r="S268" s="9">
        <f>'Elec Demand'!U29</f>
        <v>14126</v>
      </c>
      <c r="T268" s="9">
        <f>'Elec Demand'!V29</f>
        <v>14126</v>
      </c>
      <c r="U268" s="9">
        <f>'Elec Demand'!W29</f>
        <v>14126</v>
      </c>
      <c r="V268" s="9">
        <f>'Elec Demand'!X29</f>
        <v>14126</v>
      </c>
      <c r="W268" s="9">
        <f>'Elec Demand'!Y29</f>
        <v>14126</v>
      </c>
      <c r="X268" s="9">
        <f>'Elec Demand'!Z29</f>
        <v>14126</v>
      </c>
      <c r="Y268" s="9">
        <f>'Elec Demand'!AA29</f>
        <v>14126</v>
      </c>
      <c r="Z268" s="9">
        <f>'Elec Demand'!AB29</f>
        <v>14126</v>
      </c>
      <c r="AA268" s="9">
        <f>'Elec Demand'!AC29</f>
        <v>14126</v>
      </c>
      <c r="AB268" s="9">
        <f>'Elec Demand'!AD29</f>
        <v>14126</v>
      </c>
      <c r="AC268" s="9">
        <f>'Elec Demand'!AE29</f>
        <v>14126</v>
      </c>
      <c r="AD268" s="9"/>
      <c r="AE268" s="9"/>
      <c r="AF268" s="9"/>
      <c r="AG268" s="9"/>
      <c r="AH268" s="9"/>
      <c r="AI268" s="9"/>
      <c r="AJ268" s="9"/>
      <c r="AK268" s="9"/>
      <c r="AL268" s="9"/>
      <c r="AM268" s="9"/>
      <c r="AN268" s="9"/>
      <c r="AO268" s="9"/>
      <c r="AP268" s="9"/>
      <c r="AQ268" s="9"/>
      <c r="AR268" s="9"/>
      <c r="AS268" s="9"/>
      <c r="AT268" s="9"/>
      <c r="AU268" s="9"/>
      <c r="AV268" s="9"/>
      <c r="AW268" s="9"/>
    </row>
    <row r="269" spans="3:64">
      <c r="C269" s="11" t="s">
        <v>243</v>
      </c>
      <c r="D269" s="9">
        <f>'Elec Demand'!F26</f>
        <v>10624</v>
      </c>
      <c r="E269" s="9">
        <f>'Elec Demand'!G26</f>
        <v>10624</v>
      </c>
      <c r="F269" s="9">
        <f>'Elec Demand'!H26</f>
        <v>10624</v>
      </c>
      <c r="G269" s="9">
        <f>'Elec Demand'!I26</f>
        <v>10624</v>
      </c>
      <c r="H269" s="9">
        <f>'Elec Demand'!J26</f>
        <v>10624</v>
      </c>
      <c r="I269" s="9">
        <f>'Elec Demand'!K26</f>
        <v>10624</v>
      </c>
      <c r="J269" s="9">
        <f>'Elec Demand'!L26</f>
        <v>10624</v>
      </c>
      <c r="K269" s="9">
        <f>'Elec Demand'!M26</f>
        <v>10624</v>
      </c>
      <c r="L269" s="9">
        <f>'Elec Demand'!N26</f>
        <v>10624</v>
      </c>
      <c r="M269" s="9">
        <f>'Elec Demand'!O26</f>
        <v>10624</v>
      </c>
      <c r="N269" s="9">
        <f>'Elec Demand'!P26</f>
        <v>10624</v>
      </c>
      <c r="O269" s="9">
        <f>'Elec Demand'!Q26</f>
        <v>10624</v>
      </c>
      <c r="P269" s="9">
        <f>'Elec Demand'!R26</f>
        <v>10624</v>
      </c>
      <c r="Q269" s="9">
        <f>'Elec Demand'!S26</f>
        <v>10624</v>
      </c>
      <c r="R269" s="9">
        <f>'Elec Demand'!T26</f>
        <v>10624</v>
      </c>
      <c r="S269" s="9">
        <f>'Elec Demand'!U26</f>
        <v>10624</v>
      </c>
      <c r="T269" s="9">
        <f>'Elec Demand'!V26</f>
        <v>10624</v>
      </c>
      <c r="U269" s="9">
        <f>'Elec Demand'!W26</f>
        <v>10624</v>
      </c>
      <c r="V269" s="9">
        <f>'Elec Demand'!X26</f>
        <v>10624</v>
      </c>
      <c r="W269" s="9">
        <f>'Elec Demand'!Y26</f>
        <v>10624</v>
      </c>
      <c r="X269" s="9">
        <f>'Elec Demand'!Z26</f>
        <v>10624</v>
      </c>
      <c r="Y269" s="9">
        <f>'Elec Demand'!AA26</f>
        <v>10624</v>
      </c>
      <c r="Z269" s="9">
        <f>'Elec Demand'!AB26</f>
        <v>10624</v>
      </c>
      <c r="AA269" s="9">
        <f>'Elec Demand'!AC26</f>
        <v>10624</v>
      </c>
      <c r="AB269" s="9">
        <f>'Elec Demand'!AD26</f>
        <v>10624</v>
      </c>
      <c r="AC269" s="9">
        <f>'Elec Demand'!AE26</f>
        <v>10624</v>
      </c>
      <c r="AD269" s="9"/>
      <c r="AE269" s="9"/>
      <c r="AF269" s="9"/>
      <c r="AG269" s="9"/>
      <c r="AH269" s="9"/>
      <c r="AI269" s="9"/>
      <c r="AJ269" s="9"/>
      <c r="AK269" s="9"/>
      <c r="AL269" s="9"/>
      <c r="AM269" s="9"/>
      <c r="AN269" s="9"/>
      <c r="AO269" s="9"/>
      <c r="AP269" s="9"/>
      <c r="AQ269" s="9"/>
      <c r="AR269" s="9"/>
      <c r="AS269" s="9"/>
      <c r="AT269" s="9"/>
      <c r="AU269" s="9"/>
      <c r="AV269" s="9"/>
      <c r="AW269" s="9"/>
    </row>
    <row r="270" spans="3:64">
      <c r="D270" s="9"/>
      <c r="E270" s="9"/>
      <c r="F270" s="9"/>
      <c r="G270" s="9"/>
      <c r="H270" s="9"/>
      <c r="I270" s="9"/>
      <c r="J270" s="9"/>
      <c r="K270" s="9"/>
      <c r="L270" s="9"/>
      <c r="M270" s="9"/>
      <c r="N270" s="9"/>
      <c r="O270" s="9"/>
      <c r="P270" s="9"/>
      <c r="Q270" s="9"/>
      <c r="R270" s="9"/>
      <c r="S270" s="9"/>
      <c r="T270" s="9"/>
      <c r="U270" s="9"/>
      <c r="V270" s="9"/>
      <c r="W270" s="9"/>
      <c r="X270" s="9"/>
      <c r="Y270" s="9"/>
      <c r="Z270" s="9"/>
      <c r="AA270" s="9"/>
      <c r="AB270" s="9"/>
      <c r="AC270" s="9"/>
      <c r="AD270" s="9"/>
      <c r="AE270" s="9"/>
      <c r="AF270" s="9"/>
      <c r="AG270" s="9"/>
      <c r="AH270" s="9"/>
      <c r="AI270" s="9"/>
      <c r="AJ270" s="9"/>
      <c r="AK270" s="9"/>
      <c r="AL270" s="9"/>
      <c r="AM270" s="9"/>
      <c r="AN270" s="9"/>
      <c r="AO270" s="9"/>
      <c r="AP270" s="9"/>
      <c r="AQ270" s="9"/>
      <c r="AR270" s="9"/>
      <c r="AS270" s="9"/>
      <c r="AT270" s="9"/>
      <c r="AU270" s="9"/>
      <c r="AV270" s="9"/>
      <c r="AW270" s="9"/>
    </row>
    <row r="271" spans="3:64">
      <c r="C271" s="4" t="s">
        <v>244</v>
      </c>
      <c r="D271" s="9">
        <f t="shared" ref="D271:J271" si="80">D266+D267+D268-D269</f>
        <v>237193.44941327997</v>
      </c>
      <c r="E271" s="9">
        <f t="shared" si="80"/>
        <v>237193.44941327997</v>
      </c>
      <c r="F271" s="9">
        <f t="shared" si="80"/>
        <v>243975.02833833831</v>
      </c>
      <c r="G271" s="9">
        <f t="shared" si="80"/>
        <v>246337.34650084164</v>
      </c>
      <c r="H271" s="9">
        <f t="shared" si="80"/>
        <v>246337.34650084164</v>
      </c>
      <c r="I271" s="9">
        <f t="shared" ca="1" si="80"/>
        <v>253118.96114615013</v>
      </c>
      <c r="J271" s="9">
        <f t="shared" ca="1" si="80"/>
        <v>258113.61923214135</v>
      </c>
      <c r="K271" s="9">
        <f t="shared" ref="K271:AC271" ca="1" si="81">K266+K267+K268-K269</f>
        <v>264084.55551916349</v>
      </c>
      <c r="L271" s="9">
        <f t="shared" ca="1" si="81"/>
        <v>272749.97832692182</v>
      </c>
      <c r="M271" s="9">
        <f t="shared" ca="1" si="81"/>
        <v>282961.39784754527</v>
      </c>
      <c r="N271" s="9">
        <f t="shared" ca="1" si="81"/>
        <v>291283.4260214332</v>
      </c>
      <c r="O271" s="9">
        <f t="shared" ca="1" si="81"/>
        <v>300068.18331526167</v>
      </c>
      <c r="P271" s="9">
        <f t="shared" ca="1" si="81"/>
        <v>308708.50493003364</v>
      </c>
      <c r="Q271" s="9">
        <f t="shared" ca="1" si="81"/>
        <v>317822.25460393558</v>
      </c>
      <c r="R271" s="9">
        <f t="shared" ca="1" si="81"/>
        <v>327363.96184541268</v>
      </c>
      <c r="S271" s="9">
        <f t="shared" ca="1" si="81"/>
        <v>336954.74253259087</v>
      </c>
      <c r="T271" s="9">
        <f t="shared" ca="1" si="81"/>
        <v>347048.37336166989</v>
      </c>
      <c r="U271" s="9">
        <f t="shared" ca="1" si="81"/>
        <v>357291.78933940019</v>
      </c>
      <c r="V271" s="9">
        <f t="shared" ca="1" si="81"/>
        <v>368244.01003842673</v>
      </c>
      <c r="W271" s="9">
        <f t="shared" ca="1" si="81"/>
        <v>379576.04307867622</v>
      </c>
      <c r="X271" s="9">
        <f t="shared" ca="1" si="81"/>
        <v>391408.2515260292</v>
      </c>
      <c r="Y271" s="9">
        <f t="shared" ca="1" si="81"/>
        <v>404187.31609164207</v>
      </c>
      <c r="Z271" s="9">
        <f t="shared" ca="1" si="81"/>
        <v>417509.351821116</v>
      </c>
      <c r="AA271" s="9">
        <f t="shared" ca="1" si="81"/>
        <v>431248.6461789757</v>
      </c>
      <c r="AB271" s="9">
        <f t="shared" ca="1" si="81"/>
        <v>445279.48662974586</v>
      </c>
      <c r="AC271" s="9">
        <f t="shared" ca="1" si="81"/>
        <v>455496.15525950264</v>
      </c>
      <c r="AD271" s="9"/>
      <c r="AE271" s="9"/>
      <c r="AF271" s="9"/>
      <c r="AG271" s="9"/>
      <c r="AH271" s="9"/>
      <c r="AI271" s="9"/>
      <c r="AJ271" s="9"/>
      <c r="AK271" s="9"/>
      <c r="AL271" s="9"/>
      <c r="AM271" s="9"/>
      <c r="AN271" s="9"/>
      <c r="AO271" s="9"/>
      <c r="AP271" s="9"/>
      <c r="AQ271" s="9"/>
      <c r="AR271" s="9"/>
      <c r="AS271" s="9"/>
      <c r="AT271" s="9"/>
      <c r="AU271" s="9"/>
      <c r="AV271" s="9"/>
      <c r="AW271" s="9"/>
    </row>
    <row r="272" spans="3:64">
      <c r="D272" s="9"/>
      <c r="E272" s="9"/>
      <c r="F272" s="9"/>
      <c r="G272" s="9"/>
      <c r="H272" s="9"/>
      <c r="I272" s="9"/>
      <c r="J272" s="9"/>
      <c r="K272" s="9"/>
      <c r="L272" s="9"/>
      <c r="M272" s="9"/>
      <c r="N272" s="9"/>
      <c r="O272" s="9"/>
      <c r="P272" s="9"/>
      <c r="Q272" s="9"/>
      <c r="R272" s="9"/>
      <c r="S272" s="9"/>
      <c r="T272" s="9"/>
      <c r="U272" s="9"/>
      <c r="V272" s="9"/>
      <c r="W272" s="9"/>
      <c r="X272" s="9"/>
      <c r="Y272" s="9"/>
      <c r="Z272" s="9"/>
      <c r="AA272" s="9"/>
      <c r="AB272" s="9"/>
      <c r="AC272" s="9"/>
      <c r="AD272" s="9"/>
      <c r="AE272" s="9"/>
      <c r="AF272" s="9"/>
      <c r="AG272" s="9"/>
      <c r="AH272" s="9"/>
      <c r="AI272" s="9"/>
      <c r="AJ272" s="9"/>
      <c r="AK272" s="9"/>
      <c r="AL272" s="9"/>
      <c r="AM272" s="9"/>
      <c r="AN272" s="9"/>
      <c r="AO272" s="9"/>
      <c r="AP272" s="9"/>
      <c r="AQ272" s="9"/>
      <c r="AR272" s="9"/>
      <c r="AS272" s="9"/>
      <c r="AT272" s="9"/>
      <c r="AU272" s="9"/>
      <c r="AV272" s="9"/>
      <c r="AW272" s="9"/>
    </row>
    <row r="273" spans="3:49">
      <c r="D273" s="9"/>
      <c r="E273" s="9"/>
      <c r="F273" s="9"/>
      <c r="G273" s="9"/>
      <c r="H273" s="9"/>
      <c r="I273" s="9"/>
      <c r="J273" s="9"/>
      <c r="K273" s="9"/>
      <c r="L273" s="9"/>
      <c r="M273" s="9"/>
      <c r="N273" s="9"/>
      <c r="O273" s="9"/>
      <c r="P273" s="9"/>
      <c r="Q273" s="9"/>
      <c r="R273" s="9"/>
      <c r="S273" s="9"/>
      <c r="T273" s="9"/>
      <c r="U273" s="9"/>
      <c r="V273" s="9"/>
      <c r="W273" s="9"/>
      <c r="X273" s="9"/>
      <c r="Y273" s="9"/>
      <c r="Z273" s="9"/>
      <c r="AA273" s="9"/>
      <c r="AB273" s="9"/>
      <c r="AC273" s="9"/>
      <c r="AD273" s="9"/>
      <c r="AE273" s="9"/>
      <c r="AF273" s="9"/>
      <c r="AG273" s="9"/>
      <c r="AH273" s="9"/>
      <c r="AI273" s="9"/>
      <c r="AJ273" s="9"/>
      <c r="AK273" s="9"/>
      <c r="AL273" s="9"/>
      <c r="AM273" s="9"/>
      <c r="AN273" s="9"/>
      <c r="AO273" s="9"/>
      <c r="AP273" s="9"/>
      <c r="AQ273" s="9"/>
      <c r="AR273" s="9"/>
      <c r="AS273" s="9"/>
      <c r="AT273" s="9"/>
      <c r="AU273" s="9"/>
      <c r="AV273" s="9"/>
      <c r="AW273" s="9"/>
    </row>
    <row r="274" spans="3:49">
      <c r="C274" s="4" t="s">
        <v>228</v>
      </c>
      <c r="D274" s="9"/>
      <c r="E274" s="9"/>
      <c r="F274" s="9"/>
      <c r="G274" s="9"/>
      <c r="H274" s="9"/>
      <c r="I274" s="9"/>
      <c r="J274" s="9"/>
      <c r="K274" s="9"/>
      <c r="L274" s="9"/>
      <c r="M274" s="9"/>
      <c r="N274" s="9"/>
      <c r="O274" s="9"/>
      <c r="P274" s="9"/>
      <c r="Q274" s="9"/>
      <c r="R274" s="9"/>
      <c r="S274" s="9"/>
      <c r="T274" s="9"/>
      <c r="U274" s="9"/>
      <c r="V274" s="9"/>
      <c r="W274" s="9"/>
      <c r="X274" s="9"/>
      <c r="Y274" s="9"/>
      <c r="Z274" s="9"/>
      <c r="AA274" s="9"/>
      <c r="AB274" s="9"/>
      <c r="AC274" s="9"/>
      <c r="AD274" s="9"/>
      <c r="AE274" s="9"/>
      <c r="AF274" s="9"/>
      <c r="AG274" s="9"/>
      <c r="AH274" s="9"/>
      <c r="AI274" s="9"/>
      <c r="AJ274" s="9"/>
      <c r="AK274" s="9"/>
      <c r="AL274" s="9"/>
      <c r="AM274" s="9"/>
      <c r="AN274" s="9"/>
      <c r="AO274" s="9"/>
      <c r="AP274" s="9"/>
      <c r="AQ274" s="9"/>
      <c r="AR274" s="9"/>
      <c r="AS274" s="9"/>
      <c r="AT274" s="9"/>
      <c r="AU274" s="9"/>
      <c r="AV274" s="9"/>
      <c r="AW274" s="9"/>
    </row>
    <row r="275" spans="3:49">
      <c r="C275" s="11" t="s">
        <v>230</v>
      </c>
      <c r="D275" s="9"/>
      <c r="E275" s="9"/>
      <c r="F275" s="9"/>
      <c r="G275" s="9"/>
      <c r="H275" s="9"/>
      <c r="I275" s="9"/>
      <c r="J275" s="9"/>
      <c r="K275" s="9"/>
      <c r="L275" s="9"/>
      <c r="M275" s="9"/>
      <c r="N275" s="9"/>
      <c r="O275" s="9"/>
      <c r="P275" s="9"/>
      <c r="Q275" s="9"/>
      <c r="R275" s="9"/>
      <c r="S275" s="9"/>
      <c r="T275" s="9"/>
      <c r="U275" s="9"/>
      <c r="V275" s="9"/>
      <c r="W275" s="9"/>
      <c r="X275" s="9"/>
      <c r="Y275" s="9"/>
      <c r="Z275" s="9"/>
      <c r="AA275" s="9"/>
      <c r="AB275" s="9"/>
      <c r="AC275" s="9"/>
      <c r="AD275" s="9"/>
      <c r="AE275" s="9"/>
      <c r="AF275" s="9"/>
      <c r="AG275" s="9"/>
      <c r="AH275" s="9"/>
      <c r="AI275" s="9"/>
      <c r="AJ275" s="9"/>
      <c r="AK275" s="9"/>
      <c r="AL275" s="9"/>
      <c r="AM275" s="9"/>
      <c r="AN275" s="9"/>
      <c r="AO275" s="9"/>
      <c r="AP275" s="9"/>
      <c r="AQ275" s="9"/>
      <c r="AR275" s="9"/>
      <c r="AS275" s="9"/>
      <c r="AT275" s="9"/>
      <c r="AU275" s="9"/>
      <c r="AV275" s="9"/>
      <c r="AW275" s="9"/>
    </row>
    <row r="276" spans="3:49">
      <c r="C276">
        <v>1</v>
      </c>
      <c r="D276" s="9">
        <f t="shared" ref="D276:J276" si="82">D217</f>
        <v>3096.0000000000005</v>
      </c>
      <c r="E276" s="9">
        <f t="shared" si="82"/>
        <v>3096.0000000000005</v>
      </c>
      <c r="F276" s="9">
        <f t="shared" si="82"/>
        <v>3096.0000000000005</v>
      </c>
      <c r="G276" s="9">
        <f t="shared" si="82"/>
        <v>3096.0000000000005</v>
      </c>
      <c r="H276" s="9">
        <f t="shared" si="82"/>
        <v>3096.0000000000005</v>
      </c>
      <c r="I276" s="9">
        <f t="shared" ca="1" si="82"/>
        <v>3096.0000000000005</v>
      </c>
      <c r="J276" s="9">
        <f t="shared" ca="1" si="82"/>
        <v>3096.0000000000005</v>
      </c>
      <c r="K276" s="9">
        <f t="shared" ref="K276:AC276" ca="1" si="83">K217</f>
        <v>3096.0000000000005</v>
      </c>
      <c r="L276" s="9">
        <f t="shared" ca="1" si="83"/>
        <v>4401.0227848101276</v>
      </c>
      <c r="M276" s="9">
        <f t="shared" ca="1" si="83"/>
        <v>5706.0455696202544</v>
      </c>
      <c r="N276" s="9">
        <f t="shared" ca="1" si="83"/>
        <v>5706.0455696202544</v>
      </c>
      <c r="O276" s="9">
        <f t="shared" ca="1" si="83"/>
        <v>5706.0455696202544</v>
      </c>
      <c r="P276" s="9">
        <f t="shared" ca="1" si="83"/>
        <v>5706.0455696202544</v>
      </c>
      <c r="Q276" s="9">
        <f t="shared" ca="1" si="83"/>
        <v>5706.0455696202544</v>
      </c>
      <c r="R276" s="9">
        <f t="shared" ca="1" si="83"/>
        <v>5706.0455696202544</v>
      </c>
      <c r="S276" s="9">
        <f t="shared" ca="1" si="83"/>
        <v>5706.0455696202544</v>
      </c>
      <c r="T276" s="9">
        <f t="shared" ca="1" si="83"/>
        <v>5706.0455696202544</v>
      </c>
      <c r="U276" s="9">
        <f t="shared" ca="1" si="83"/>
        <v>5706.0455696202544</v>
      </c>
      <c r="V276" s="9">
        <f t="shared" ca="1" si="83"/>
        <v>5706.0455696202544</v>
      </c>
      <c r="W276" s="9">
        <f t="shared" ca="1" si="83"/>
        <v>5706.0455696202544</v>
      </c>
      <c r="X276" s="9">
        <f t="shared" ca="1" si="83"/>
        <v>5706.0455696202544</v>
      </c>
      <c r="Y276" s="9">
        <f t="shared" ca="1" si="83"/>
        <v>5706.0455696202544</v>
      </c>
      <c r="Z276" s="9">
        <f t="shared" ca="1" si="83"/>
        <v>5706.0455696202544</v>
      </c>
      <c r="AA276" s="9">
        <f t="shared" ca="1" si="83"/>
        <v>5706.0455696202544</v>
      </c>
      <c r="AB276" s="9">
        <f t="shared" ca="1" si="83"/>
        <v>5706.0455696202544</v>
      </c>
      <c r="AC276" s="9">
        <f t="shared" ca="1" si="83"/>
        <v>5706.0455696202544</v>
      </c>
      <c r="AD276" s="9"/>
      <c r="AE276" s="9"/>
      <c r="AF276" s="9"/>
      <c r="AG276" s="9"/>
      <c r="AH276" s="9"/>
      <c r="AI276" s="9"/>
      <c r="AJ276" s="9"/>
      <c r="AK276" s="9"/>
      <c r="AL276" s="9"/>
      <c r="AM276" s="9"/>
      <c r="AN276" s="9"/>
      <c r="AO276" s="9"/>
      <c r="AP276" s="9"/>
      <c r="AQ276" s="9"/>
      <c r="AR276" s="9"/>
      <c r="AS276" s="9"/>
      <c r="AT276" s="9"/>
      <c r="AU276" s="9"/>
      <c r="AV276" s="9"/>
      <c r="AW276" s="9"/>
    </row>
    <row r="277" spans="3:49">
      <c r="C277">
        <v>2</v>
      </c>
      <c r="D277" s="9">
        <f t="shared" ref="D277:H286" si="84">IF(D298+D218&lt;D$271,D218,D$271-D298)</f>
        <v>0</v>
      </c>
      <c r="E277" s="9">
        <f t="shared" si="84"/>
        <v>0</v>
      </c>
      <c r="F277" s="9">
        <f t="shared" si="84"/>
        <v>0</v>
      </c>
      <c r="G277" s="9">
        <f t="shared" si="84"/>
        <v>0</v>
      </c>
      <c r="H277" s="9">
        <f t="shared" si="84"/>
        <v>0</v>
      </c>
      <c r="I277" s="9">
        <f t="shared" ref="I277:AC277" ca="1" si="85">IF(I298+I218&lt;I$271,I218,I$271-I298)</f>
        <v>0</v>
      </c>
      <c r="J277" s="9">
        <f t="shared" ca="1" si="85"/>
        <v>0</v>
      </c>
      <c r="K277" s="9">
        <f t="shared" ca="1" si="85"/>
        <v>0</v>
      </c>
      <c r="L277" s="9">
        <f t="shared" ca="1" si="85"/>
        <v>0</v>
      </c>
      <c r="M277" s="9">
        <f t="shared" ca="1" si="85"/>
        <v>0</v>
      </c>
      <c r="N277" s="9">
        <f t="shared" ca="1" si="85"/>
        <v>0</v>
      </c>
      <c r="O277" s="9">
        <f t="shared" ca="1" si="85"/>
        <v>0</v>
      </c>
      <c r="P277" s="9">
        <f t="shared" ca="1" si="85"/>
        <v>0</v>
      </c>
      <c r="Q277" s="9">
        <f t="shared" ca="1" si="85"/>
        <v>0</v>
      </c>
      <c r="R277" s="9">
        <f t="shared" ca="1" si="85"/>
        <v>0</v>
      </c>
      <c r="S277" s="9">
        <f t="shared" ca="1" si="85"/>
        <v>0</v>
      </c>
      <c r="T277" s="9">
        <f t="shared" ca="1" si="85"/>
        <v>0</v>
      </c>
      <c r="U277" s="9">
        <f t="shared" ca="1" si="85"/>
        <v>0</v>
      </c>
      <c r="V277" s="9">
        <f t="shared" ca="1" si="85"/>
        <v>0</v>
      </c>
      <c r="W277" s="9">
        <f t="shared" ca="1" si="85"/>
        <v>0</v>
      </c>
      <c r="X277" s="9">
        <f t="shared" ca="1" si="85"/>
        <v>0</v>
      </c>
      <c r="Y277" s="9">
        <f t="shared" ca="1" si="85"/>
        <v>0</v>
      </c>
      <c r="Z277" s="9">
        <f t="shared" ca="1" si="85"/>
        <v>0</v>
      </c>
      <c r="AA277" s="9">
        <f t="shared" ca="1" si="85"/>
        <v>0</v>
      </c>
      <c r="AB277" s="9">
        <f t="shared" ca="1" si="85"/>
        <v>0</v>
      </c>
      <c r="AC277" s="9">
        <f t="shared" ca="1" si="85"/>
        <v>0</v>
      </c>
      <c r="AD277" s="9"/>
      <c r="AE277" s="9"/>
      <c r="AF277" s="9"/>
      <c r="AG277" s="9"/>
      <c r="AH277" s="9"/>
      <c r="AI277" s="9"/>
      <c r="AJ277" s="9"/>
      <c r="AK277" s="9"/>
      <c r="AL277" s="9"/>
      <c r="AM277" s="9"/>
      <c r="AN277" s="9"/>
      <c r="AO277" s="9"/>
      <c r="AP277" s="9"/>
      <c r="AQ277" s="9"/>
      <c r="AR277" s="9"/>
      <c r="AS277" s="9"/>
      <c r="AT277" s="9"/>
      <c r="AU277" s="9"/>
      <c r="AV277" s="9"/>
      <c r="AW277" s="9"/>
    </row>
    <row r="278" spans="3:49">
      <c r="C278">
        <v>3</v>
      </c>
      <c r="D278" s="9">
        <f t="shared" si="84"/>
        <v>0</v>
      </c>
      <c r="E278" s="9">
        <f t="shared" si="84"/>
        <v>0</v>
      </c>
      <c r="F278" s="9">
        <f t="shared" si="84"/>
        <v>0</v>
      </c>
      <c r="G278" s="9">
        <f t="shared" si="84"/>
        <v>0</v>
      </c>
      <c r="H278" s="9">
        <f t="shared" si="84"/>
        <v>0</v>
      </c>
      <c r="I278" s="9">
        <f t="shared" ref="I278:AC278" ca="1" si="86">IF(I299+I219&lt;I$271,I219,I$271-I299)</f>
        <v>0</v>
      </c>
      <c r="J278" s="9">
        <f t="shared" ca="1" si="86"/>
        <v>0</v>
      </c>
      <c r="K278" s="9">
        <f t="shared" ca="1" si="86"/>
        <v>0</v>
      </c>
      <c r="L278" s="9">
        <f t="shared" ca="1" si="86"/>
        <v>0</v>
      </c>
      <c r="M278" s="9">
        <f t="shared" ca="1" si="86"/>
        <v>0</v>
      </c>
      <c r="N278" s="9">
        <f t="shared" ca="1" si="86"/>
        <v>0</v>
      </c>
      <c r="O278" s="9">
        <f t="shared" ca="1" si="86"/>
        <v>0</v>
      </c>
      <c r="P278" s="9">
        <f t="shared" ca="1" si="86"/>
        <v>0</v>
      </c>
      <c r="Q278" s="9">
        <f t="shared" ca="1" si="86"/>
        <v>0</v>
      </c>
      <c r="R278" s="9">
        <f t="shared" ca="1" si="86"/>
        <v>0</v>
      </c>
      <c r="S278" s="9">
        <f t="shared" ca="1" si="86"/>
        <v>0</v>
      </c>
      <c r="T278" s="9">
        <f t="shared" ca="1" si="86"/>
        <v>0</v>
      </c>
      <c r="U278" s="9">
        <f t="shared" ca="1" si="86"/>
        <v>0</v>
      </c>
      <c r="V278" s="9">
        <f t="shared" ca="1" si="86"/>
        <v>0</v>
      </c>
      <c r="W278" s="9">
        <f t="shared" ca="1" si="86"/>
        <v>0</v>
      </c>
      <c r="X278" s="9">
        <f t="shared" ca="1" si="86"/>
        <v>0</v>
      </c>
      <c r="Y278" s="9">
        <f t="shared" ca="1" si="86"/>
        <v>0</v>
      </c>
      <c r="Z278" s="9">
        <f t="shared" ca="1" si="86"/>
        <v>0</v>
      </c>
      <c r="AA278" s="9">
        <f t="shared" ca="1" si="86"/>
        <v>0</v>
      </c>
      <c r="AB278" s="9">
        <f t="shared" ca="1" si="86"/>
        <v>0</v>
      </c>
      <c r="AC278" s="9">
        <f t="shared" ca="1" si="86"/>
        <v>0</v>
      </c>
      <c r="AD278" s="9"/>
      <c r="AE278" s="9"/>
      <c r="AF278" s="9"/>
      <c r="AG278" s="9"/>
      <c r="AH278" s="9"/>
      <c r="AI278" s="9"/>
      <c r="AJ278" s="9"/>
      <c r="AK278" s="9"/>
      <c r="AL278" s="9"/>
      <c r="AM278" s="9"/>
      <c r="AN278" s="9"/>
      <c r="AO278" s="9"/>
      <c r="AP278" s="9"/>
      <c r="AQ278" s="9"/>
      <c r="AR278" s="9"/>
      <c r="AS278" s="9"/>
      <c r="AT278" s="9"/>
      <c r="AU278" s="9"/>
      <c r="AV278" s="9"/>
      <c r="AW278" s="9"/>
    </row>
    <row r="279" spans="3:49">
      <c r="C279">
        <v>4</v>
      </c>
      <c r="D279" s="9">
        <f t="shared" si="84"/>
        <v>0</v>
      </c>
      <c r="E279" s="9">
        <f t="shared" si="84"/>
        <v>0</v>
      </c>
      <c r="F279" s="9">
        <f t="shared" si="84"/>
        <v>0</v>
      </c>
      <c r="G279" s="9">
        <f t="shared" si="84"/>
        <v>0</v>
      </c>
      <c r="H279" s="9">
        <f t="shared" si="84"/>
        <v>0</v>
      </c>
      <c r="I279" s="9">
        <f t="shared" ref="I279:AC279" ca="1" si="87">IF(I300+I220&lt;I$271,I220,I$271-I300)</f>
        <v>0</v>
      </c>
      <c r="J279" s="9">
        <f t="shared" ca="1" si="87"/>
        <v>0</v>
      </c>
      <c r="K279" s="9">
        <f t="shared" ca="1" si="87"/>
        <v>0</v>
      </c>
      <c r="L279" s="9">
        <f t="shared" ca="1" si="87"/>
        <v>0</v>
      </c>
      <c r="M279" s="9">
        <f t="shared" ca="1" si="87"/>
        <v>0</v>
      </c>
      <c r="N279" s="9">
        <f t="shared" ca="1" si="87"/>
        <v>0</v>
      </c>
      <c r="O279" s="9">
        <f t="shared" ca="1" si="87"/>
        <v>0</v>
      </c>
      <c r="P279" s="9">
        <f t="shared" ca="1" si="87"/>
        <v>0</v>
      </c>
      <c r="Q279" s="9">
        <f t="shared" ca="1" si="87"/>
        <v>0</v>
      </c>
      <c r="R279" s="9">
        <f t="shared" ca="1" si="87"/>
        <v>0</v>
      </c>
      <c r="S279" s="9">
        <f t="shared" ca="1" si="87"/>
        <v>0</v>
      </c>
      <c r="T279" s="9">
        <f t="shared" ca="1" si="87"/>
        <v>0</v>
      </c>
      <c r="U279" s="9">
        <f t="shared" ca="1" si="87"/>
        <v>0</v>
      </c>
      <c r="V279" s="9">
        <f t="shared" ca="1" si="87"/>
        <v>0</v>
      </c>
      <c r="W279" s="9">
        <f t="shared" ca="1" si="87"/>
        <v>0</v>
      </c>
      <c r="X279" s="9">
        <f t="shared" ca="1" si="87"/>
        <v>0</v>
      </c>
      <c r="Y279" s="9">
        <f t="shared" ca="1" si="87"/>
        <v>0</v>
      </c>
      <c r="Z279" s="9">
        <f t="shared" ca="1" si="87"/>
        <v>0</v>
      </c>
      <c r="AA279" s="9">
        <f t="shared" ca="1" si="87"/>
        <v>0</v>
      </c>
      <c r="AB279" s="9">
        <f t="shared" ca="1" si="87"/>
        <v>0</v>
      </c>
      <c r="AC279" s="9">
        <f t="shared" ca="1" si="87"/>
        <v>0</v>
      </c>
      <c r="AD279" s="9"/>
      <c r="AE279" s="9"/>
      <c r="AF279" s="9"/>
      <c r="AG279" s="9"/>
      <c r="AH279" s="9"/>
      <c r="AI279" s="9"/>
      <c r="AJ279" s="9"/>
      <c r="AK279" s="9"/>
      <c r="AL279" s="9"/>
      <c r="AM279" s="9"/>
      <c r="AN279" s="9"/>
      <c r="AO279" s="9"/>
      <c r="AP279" s="9"/>
      <c r="AQ279" s="9"/>
      <c r="AR279" s="9"/>
      <c r="AS279" s="9"/>
      <c r="AT279" s="9"/>
      <c r="AU279" s="9"/>
      <c r="AV279" s="9"/>
      <c r="AW279" s="9"/>
    </row>
    <row r="280" spans="3:49">
      <c r="C280">
        <v>5</v>
      </c>
      <c r="D280" s="9">
        <f t="shared" si="84"/>
        <v>0</v>
      </c>
      <c r="E280" s="9">
        <f t="shared" si="84"/>
        <v>0</v>
      </c>
      <c r="F280" s="9">
        <f t="shared" si="84"/>
        <v>0</v>
      </c>
      <c r="G280" s="9">
        <f t="shared" si="84"/>
        <v>0</v>
      </c>
      <c r="H280" s="9">
        <f t="shared" si="84"/>
        <v>0</v>
      </c>
      <c r="I280" s="9">
        <f t="shared" ref="I280:AC280" ca="1" si="88">IF(I301+I221&lt;I$271,I221,I$271-I301)</f>
        <v>0</v>
      </c>
      <c r="J280" s="9">
        <f t="shared" ca="1" si="88"/>
        <v>0</v>
      </c>
      <c r="K280" s="9">
        <f t="shared" ca="1" si="88"/>
        <v>0</v>
      </c>
      <c r="L280" s="9">
        <f t="shared" ca="1" si="88"/>
        <v>0</v>
      </c>
      <c r="M280" s="9">
        <f t="shared" ca="1" si="88"/>
        <v>0</v>
      </c>
      <c r="N280" s="9">
        <f t="shared" ca="1" si="88"/>
        <v>0</v>
      </c>
      <c r="O280" s="9">
        <f t="shared" ca="1" si="88"/>
        <v>0</v>
      </c>
      <c r="P280" s="9">
        <f t="shared" ca="1" si="88"/>
        <v>0</v>
      </c>
      <c r="Q280" s="9">
        <f t="shared" ca="1" si="88"/>
        <v>0</v>
      </c>
      <c r="R280" s="9">
        <f t="shared" ca="1" si="88"/>
        <v>0</v>
      </c>
      <c r="S280" s="9">
        <f t="shared" ca="1" si="88"/>
        <v>0</v>
      </c>
      <c r="T280" s="9">
        <f t="shared" ca="1" si="88"/>
        <v>0</v>
      </c>
      <c r="U280" s="9">
        <f t="shared" ca="1" si="88"/>
        <v>0</v>
      </c>
      <c r="V280" s="9">
        <f t="shared" ca="1" si="88"/>
        <v>0</v>
      </c>
      <c r="W280" s="9">
        <f t="shared" ca="1" si="88"/>
        <v>0</v>
      </c>
      <c r="X280" s="9">
        <f t="shared" ca="1" si="88"/>
        <v>0</v>
      </c>
      <c r="Y280" s="9">
        <f t="shared" ca="1" si="88"/>
        <v>0</v>
      </c>
      <c r="Z280" s="9">
        <f t="shared" ca="1" si="88"/>
        <v>0</v>
      </c>
      <c r="AA280" s="9">
        <f t="shared" ca="1" si="88"/>
        <v>0</v>
      </c>
      <c r="AB280" s="9">
        <f t="shared" ca="1" si="88"/>
        <v>0</v>
      </c>
      <c r="AC280" s="9">
        <f t="shared" ca="1" si="88"/>
        <v>0</v>
      </c>
      <c r="AD280" s="9"/>
      <c r="AE280" s="9"/>
      <c r="AF280" s="9"/>
      <c r="AG280" s="9"/>
      <c r="AH280" s="9"/>
      <c r="AI280" s="9"/>
      <c r="AJ280" s="9"/>
      <c r="AK280" s="9"/>
      <c r="AL280" s="9"/>
      <c r="AM280" s="9"/>
      <c r="AN280" s="9"/>
      <c r="AO280" s="9"/>
      <c r="AP280" s="9"/>
      <c r="AQ280" s="9"/>
      <c r="AR280" s="9"/>
      <c r="AS280" s="9"/>
      <c r="AT280" s="9"/>
      <c r="AU280" s="9"/>
      <c r="AV280" s="9"/>
      <c r="AW280" s="9"/>
    </row>
    <row r="281" spans="3:49">
      <c r="C281">
        <v>6</v>
      </c>
      <c r="D281" s="9">
        <f t="shared" si="84"/>
        <v>651.77077055999985</v>
      </c>
      <c r="E281" s="9">
        <f t="shared" si="84"/>
        <v>651.77077055999985</v>
      </c>
      <c r="F281" s="9">
        <f t="shared" si="84"/>
        <v>651.77077055999985</v>
      </c>
      <c r="G281" s="9">
        <f t="shared" si="84"/>
        <v>651.77077055999985</v>
      </c>
      <c r="H281" s="9">
        <f t="shared" si="84"/>
        <v>651.77077055999985</v>
      </c>
      <c r="I281" s="9">
        <f t="shared" ref="I281:AC281" ca="1" si="89">IF(I302+I222&lt;I$271,I222,I$271-I302)</f>
        <v>651.77077055999985</v>
      </c>
      <c r="J281" s="9">
        <f t="shared" ca="1" si="89"/>
        <v>945.06761731199981</v>
      </c>
      <c r="K281" s="9">
        <f t="shared" ca="1" si="89"/>
        <v>945.06761731199981</v>
      </c>
      <c r="L281" s="9">
        <f t="shared" ca="1" si="89"/>
        <v>945.06761731199981</v>
      </c>
      <c r="M281" s="9">
        <f t="shared" ca="1" si="89"/>
        <v>945.06761731199981</v>
      </c>
      <c r="N281" s="9">
        <f t="shared" ca="1" si="89"/>
        <v>945.06761731199981</v>
      </c>
      <c r="O281" s="9">
        <f t="shared" ca="1" si="89"/>
        <v>945.06761731199981</v>
      </c>
      <c r="P281" s="9">
        <f t="shared" ca="1" si="89"/>
        <v>945.06761731199981</v>
      </c>
      <c r="Q281" s="9">
        <f t="shared" ca="1" si="89"/>
        <v>945.06761731199981</v>
      </c>
      <c r="R281" s="9">
        <f t="shared" ca="1" si="89"/>
        <v>945.06761731199981</v>
      </c>
      <c r="S281" s="9">
        <f t="shared" ca="1" si="89"/>
        <v>945.06761731199981</v>
      </c>
      <c r="T281" s="9">
        <f t="shared" ca="1" si="89"/>
        <v>945.06761731199981</v>
      </c>
      <c r="U281" s="9">
        <f t="shared" ca="1" si="89"/>
        <v>945.06761731199981</v>
      </c>
      <c r="V281" s="9">
        <f t="shared" ca="1" si="89"/>
        <v>1140.59884848</v>
      </c>
      <c r="W281" s="9">
        <f t="shared" ca="1" si="89"/>
        <v>1140.59884848</v>
      </c>
      <c r="X281" s="9">
        <f t="shared" ca="1" si="89"/>
        <v>1140.59884848</v>
      </c>
      <c r="Y281" s="9">
        <f t="shared" ca="1" si="89"/>
        <v>1336.1300796479998</v>
      </c>
      <c r="Z281" s="9">
        <f t="shared" ca="1" si="89"/>
        <v>1336.1300796479998</v>
      </c>
      <c r="AA281" s="9">
        <f t="shared" ca="1" si="89"/>
        <v>1336.1300796479998</v>
      </c>
      <c r="AB281" s="9">
        <f t="shared" ca="1" si="89"/>
        <v>1531.6613108159995</v>
      </c>
      <c r="AC281" s="9">
        <f t="shared" ca="1" si="89"/>
        <v>1485.2226434135996</v>
      </c>
      <c r="AD281" s="9"/>
      <c r="AE281" s="9"/>
      <c r="AF281" s="9"/>
      <c r="AG281" s="9"/>
      <c r="AH281" s="9"/>
      <c r="AI281" s="9"/>
      <c r="AJ281" s="9"/>
      <c r="AK281" s="9"/>
      <c r="AL281" s="9"/>
      <c r="AM281" s="9"/>
      <c r="AN281" s="9"/>
      <c r="AO281" s="9"/>
      <c r="AP281" s="9"/>
      <c r="AQ281" s="9"/>
      <c r="AR281" s="9"/>
      <c r="AS281" s="9"/>
      <c r="AT281" s="9"/>
      <c r="AU281" s="9"/>
      <c r="AV281" s="9"/>
      <c r="AW281" s="9"/>
    </row>
    <row r="282" spans="3:49">
      <c r="C282">
        <v>7</v>
      </c>
      <c r="D282" s="9">
        <f t="shared" si="84"/>
        <v>0</v>
      </c>
      <c r="E282" s="9">
        <f t="shared" si="84"/>
        <v>0</v>
      </c>
      <c r="F282" s="9">
        <f t="shared" si="84"/>
        <v>0</v>
      </c>
      <c r="G282" s="9">
        <f t="shared" si="84"/>
        <v>0</v>
      </c>
      <c r="H282" s="9">
        <f t="shared" si="84"/>
        <v>0</v>
      </c>
      <c r="I282" s="9">
        <f t="shared" ref="I282:AC282" ca="1" si="90">IF(I303+I223&lt;I$271,I223,I$271-I303)</f>
        <v>0</v>
      </c>
      <c r="J282" s="9">
        <f t="shared" ca="1" si="90"/>
        <v>0</v>
      </c>
      <c r="K282" s="9">
        <f t="shared" ca="1" si="90"/>
        <v>0</v>
      </c>
      <c r="L282" s="9">
        <f t="shared" ca="1" si="90"/>
        <v>0</v>
      </c>
      <c r="M282" s="9">
        <f t="shared" ca="1" si="90"/>
        <v>0</v>
      </c>
      <c r="N282" s="9">
        <f t="shared" ca="1" si="90"/>
        <v>0</v>
      </c>
      <c r="O282" s="9">
        <f t="shared" ca="1" si="90"/>
        <v>0</v>
      </c>
      <c r="P282" s="9">
        <f t="shared" ca="1" si="90"/>
        <v>0</v>
      </c>
      <c r="Q282" s="9">
        <f t="shared" ca="1" si="90"/>
        <v>0</v>
      </c>
      <c r="R282" s="9">
        <f t="shared" ca="1" si="90"/>
        <v>0</v>
      </c>
      <c r="S282" s="9">
        <f t="shared" ca="1" si="90"/>
        <v>0</v>
      </c>
      <c r="T282" s="9">
        <f t="shared" ca="1" si="90"/>
        <v>0</v>
      </c>
      <c r="U282" s="9">
        <f t="shared" ca="1" si="90"/>
        <v>0</v>
      </c>
      <c r="V282" s="9">
        <f t="shared" ca="1" si="90"/>
        <v>0</v>
      </c>
      <c r="W282" s="9">
        <f t="shared" ca="1" si="90"/>
        <v>0</v>
      </c>
      <c r="X282" s="9">
        <f t="shared" ca="1" si="90"/>
        <v>0</v>
      </c>
      <c r="Y282" s="9">
        <f t="shared" ca="1" si="90"/>
        <v>0</v>
      </c>
      <c r="Z282" s="9">
        <f t="shared" ca="1" si="90"/>
        <v>0</v>
      </c>
      <c r="AA282" s="9">
        <f t="shared" ca="1" si="90"/>
        <v>0</v>
      </c>
      <c r="AB282" s="9">
        <f t="shared" ca="1" si="90"/>
        <v>0</v>
      </c>
      <c r="AC282" s="9">
        <f t="shared" ca="1" si="90"/>
        <v>0</v>
      </c>
      <c r="AD282" s="9"/>
      <c r="AE282" s="9"/>
      <c r="AF282" s="9"/>
      <c r="AG282" s="9"/>
      <c r="AH282" s="9"/>
      <c r="AI282" s="9"/>
      <c r="AJ282" s="9"/>
      <c r="AK282" s="9"/>
      <c r="AL282" s="9"/>
      <c r="AM282" s="9"/>
      <c r="AN282" s="9"/>
      <c r="AO282" s="9"/>
      <c r="AP282" s="9"/>
      <c r="AQ282" s="9"/>
      <c r="AR282" s="9"/>
      <c r="AS282" s="9"/>
      <c r="AT282" s="9"/>
      <c r="AU282" s="9"/>
      <c r="AV282" s="9"/>
      <c r="AW282" s="9"/>
    </row>
    <row r="283" spans="3:49">
      <c r="C283">
        <v>8</v>
      </c>
      <c r="D283" s="9">
        <f t="shared" si="84"/>
        <v>13197.815999999999</v>
      </c>
      <c r="E283" s="9">
        <f t="shared" si="84"/>
        <v>13197.815999999999</v>
      </c>
      <c r="F283" s="9">
        <f t="shared" si="84"/>
        <v>13197.815999999999</v>
      </c>
      <c r="G283" s="9">
        <f t="shared" si="84"/>
        <v>13197.815999999999</v>
      </c>
      <c r="H283" s="9">
        <f t="shared" si="84"/>
        <v>13197.815999999999</v>
      </c>
      <c r="I283" s="9">
        <f t="shared" ref="I283:AC283" ca="1" si="91">IF(I304+I224&lt;I$271,I224,I$271-I304)</f>
        <v>13197.815999999999</v>
      </c>
      <c r="J283" s="9">
        <f t="shared" ca="1" si="91"/>
        <v>13197.815999999999</v>
      </c>
      <c r="K283" s="9">
        <f t="shared" ca="1" si="91"/>
        <v>13197.815999999999</v>
      </c>
      <c r="L283" s="9">
        <f t="shared" ca="1" si="91"/>
        <v>13197.815999999999</v>
      </c>
      <c r="M283" s="9">
        <f t="shared" ca="1" si="91"/>
        <v>13197.815999999999</v>
      </c>
      <c r="N283" s="9">
        <f t="shared" ca="1" si="91"/>
        <v>13197.815999999999</v>
      </c>
      <c r="O283" s="9">
        <f t="shared" ca="1" si="91"/>
        <v>13197.815999999999</v>
      </c>
      <c r="P283" s="9">
        <f t="shared" ca="1" si="91"/>
        <v>13197.815999999999</v>
      </c>
      <c r="Q283" s="9">
        <f t="shared" ca="1" si="91"/>
        <v>13197.815999999999</v>
      </c>
      <c r="R283" s="9">
        <f t="shared" ca="1" si="91"/>
        <v>13197.815999999999</v>
      </c>
      <c r="S283" s="9">
        <f t="shared" ca="1" si="91"/>
        <v>13197.815999999999</v>
      </c>
      <c r="T283" s="9">
        <f t="shared" ca="1" si="91"/>
        <v>13197.815999999999</v>
      </c>
      <c r="U283" s="9">
        <f t="shared" ca="1" si="91"/>
        <v>13197.815999999999</v>
      </c>
      <c r="V283" s="9">
        <f t="shared" ca="1" si="91"/>
        <v>13197.815999999999</v>
      </c>
      <c r="W283" s="9">
        <f t="shared" ca="1" si="91"/>
        <v>13197.815999999999</v>
      </c>
      <c r="X283" s="9">
        <f t="shared" ca="1" si="91"/>
        <v>13197.815999999999</v>
      </c>
      <c r="Y283" s="9">
        <f t="shared" ca="1" si="91"/>
        <v>13197.815999999999</v>
      </c>
      <c r="Z283" s="9">
        <f t="shared" ca="1" si="91"/>
        <v>13197.815999999999</v>
      </c>
      <c r="AA283" s="9">
        <f t="shared" ca="1" si="91"/>
        <v>13197.815999999999</v>
      </c>
      <c r="AB283" s="9">
        <f t="shared" ca="1" si="91"/>
        <v>13197.815999999999</v>
      </c>
      <c r="AC283" s="9">
        <f t="shared" ca="1" si="91"/>
        <v>13197.815999999999</v>
      </c>
      <c r="AD283" s="9"/>
      <c r="AE283" s="9"/>
      <c r="AF283" s="9"/>
      <c r="AG283" s="9"/>
      <c r="AH283" s="9"/>
      <c r="AI283" s="9"/>
      <c r="AJ283" s="9"/>
      <c r="AK283" s="9"/>
      <c r="AL283" s="9"/>
      <c r="AM283" s="9"/>
      <c r="AN283" s="9"/>
      <c r="AO283" s="9"/>
      <c r="AP283" s="9"/>
      <c r="AQ283" s="9"/>
      <c r="AR283" s="9"/>
      <c r="AS283" s="9"/>
      <c r="AT283" s="9"/>
      <c r="AU283" s="9"/>
      <c r="AV283" s="9"/>
      <c r="AW283" s="9"/>
    </row>
    <row r="284" spans="3:49">
      <c r="C284">
        <v>9</v>
      </c>
      <c r="D284" s="9">
        <f t="shared" si="84"/>
        <v>811.76619047619067</v>
      </c>
      <c r="E284" s="9">
        <f t="shared" si="84"/>
        <v>811.76619047619067</v>
      </c>
      <c r="F284" s="9">
        <f t="shared" si="84"/>
        <v>811.76619047619067</v>
      </c>
      <c r="G284" s="9">
        <f t="shared" si="84"/>
        <v>811.76619047619067</v>
      </c>
      <c r="H284" s="9">
        <f t="shared" si="84"/>
        <v>811.76619047619067</v>
      </c>
      <c r="I284" s="9">
        <f t="shared" ref="I284:AC284" ca="1" si="92">IF(I305+I225&lt;I$271,I225,I$271-I305)</f>
        <v>811.76619047619067</v>
      </c>
      <c r="J284" s="9">
        <f t="shared" ca="1" si="92"/>
        <v>811.76619047619067</v>
      </c>
      <c r="K284" s="9">
        <f t="shared" ca="1" si="92"/>
        <v>811.76619047619067</v>
      </c>
      <c r="L284" s="9">
        <f t="shared" ca="1" si="92"/>
        <v>811.76619047619067</v>
      </c>
      <c r="M284" s="9">
        <f t="shared" ca="1" si="92"/>
        <v>811.76619047619067</v>
      </c>
      <c r="N284" s="9">
        <f t="shared" ca="1" si="92"/>
        <v>811.76619047619067</v>
      </c>
      <c r="O284" s="9">
        <f t="shared" ca="1" si="92"/>
        <v>811.76619047619067</v>
      </c>
      <c r="P284" s="9">
        <f t="shared" ca="1" si="92"/>
        <v>811.76619047619067</v>
      </c>
      <c r="Q284" s="9">
        <f t="shared" ca="1" si="92"/>
        <v>811.76619047619067</v>
      </c>
      <c r="R284" s="9">
        <f t="shared" ca="1" si="92"/>
        <v>811.76619047619067</v>
      </c>
      <c r="S284" s="9">
        <f t="shared" ca="1" si="92"/>
        <v>811.76619047619067</v>
      </c>
      <c r="T284" s="9">
        <f t="shared" ca="1" si="92"/>
        <v>811.76619047619067</v>
      </c>
      <c r="U284" s="9">
        <f t="shared" ca="1" si="92"/>
        <v>811.76619047619067</v>
      </c>
      <c r="V284" s="9">
        <f t="shared" ca="1" si="92"/>
        <v>811.76619047619067</v>
      </c>
      <c r="W284" s="9">
        <f t="shared" ca="1" si="92"/>
        <v>811.76619047619067</v>
      </c>
      <c r="X284" s="9">
        <f t="shared" ca="1" si="92"/>
        <v>811.76619047619067</v>
      </c>
      <c r="Y284" s="9">
        <f t="shared" ca="1" si="92"/>
        <v>811.76619047619067</v>
      </c>
      <c r="Z284" s="9">
        <f t="shared" ca="1" si="92"/>
        <v>811.76619047619067</v>
      </c>
      <c r="AA284" s="9">
        <f t="shared" ca="1" si="92"/>
        <v>811.76619047619067</v>
      </c>
      <c r="AB284" s="9">
        <f t="shared" ca="1" si="92"/>
        <v>811.76619047619067</v>
      </c>
      <c r="AC284" s="9">
        <f t="shared" ca="1" si="92"/>
        <v>811.76619047619067</v>
      </c>
      <c r="AD284" s="9"/>
      <c r="AE284" s="9"/>
      <c r="AF284" s="9"/>
      <c r="AG284" s="9"/>
      <c r="AH284" s="9"/>
      <c r="AI284" s="9"/>
      <c r="AJ284" s="9"/>
      <c r="AK284" s="9"/>
      <c r="AL284" s="9"/>
      <c r="AM284" s="9"/>
      <c r="AN284" s="9"/>
      <c r="AO284" s="9"/>
      <c r="AP284" s="9"/>
      <c r="AQ284" s="9"/>
      <c r="AR284" s="9"/>
      <c r="AS284" s="9"/>
      <c r="AT284" s="9"/>
      <c r="AU284" s="9"/>
      <c r="AV284" s="9"/>
      <c r="AW284" s="9"/>
    </row>
    <row r="285" spans="3:49">
      <c r="C285">
        <v>10</v>
      </c>
      <c r="D285" s="9">
        <f t="shared" si="84"/>
        <v>0</v>
      </c>
      <c r="E285" s="9">
        <f t="shared" si="84"/>
        <v>0</v>
      </c>
      <c r="F285" s="9">
        <f t="shared" si="84"/>
        <v>0</v>
      </c>
      <c r="G285" s="9">
        <f t="shared" si="84"/>
        <v>0</v>
      </c>
      <c r="H285" s="9">
        <f t="shared" si="84"/>
        <v>0</v>
      </c>
      <c r="I285" s="9">
        <f t="shared" ref="I285:AC285" ca="1" si="93">IF(I306+I226&lt;I$271,I226,I$271-I306)</f>
        <v>262.8</v>
      </c>
      <c r="J285" s="9">
        <f t="shared" ca="1" si="93"/>
        <v>262.8</v>
      </c>
      <c r="K285" s="9">
        <f t="shared" ca="1" si="93"/>
        <v>262.8</v>
      </c>
      <c r="L285" s="9">
        <f t="shared" ca="1" si="93"/>
        <v>262.8</v>
      </c>
      <c r="M285" s="9">
        <f t="shared" ca="1" si="93"/>
        <v>262.8</v>
      </c>
      <c r="N285" s="9">
        <f t="shared" ca="1" si="93"/>
        <v>262.8</v>
      </c>
      <c r="O285" s="9">
        <f t="shared" ca="1" si="93"/>
        <v>262.8</v>
      </c>
      <c r="P285" s="9">
        <f t="shared" ca="1" si="93"/>
        <v>262.8</v>
      </c>
      <c r="Q285" s="9">
        <f t="shared" ca="1" si="93"/>
        <v>262.8</v>
      </c>
      <c r="R285" s="9">
        <f t="shared" ca="1" si="93"/>
        <v>262.8</v>
      </c>
      <c r="S285" s="9">
        <f t="shared" ca="1" si="93"/>
        <v>262.8</v>
      </c>
      <c r="T285" s="9">
        <f t="shared" ca="1" si="93"/>
        <v>262.8</v>
      </c>
      <c r="U285" s="9">
        <f t="shared" ca="1" si="93"/>
        <v>262.8</v>
      </c>
      <c r="V285" s="9">
        <f t="shared" ca="1" si="93"/>
        <v>262.8</v>
      </c>
      <c r="W285" s="9">
        <f t="shared" ca="1" si="93"/>
        <v>262.8</v>
      </c>
      <c r="X285" s="9">
        <f t="shared" ca="1" si="93"/>
        <v>262.8</v>
      </c>
      <c r="Y285" s="9">
        <f t="shared" ca="1" si="93"/>
        <v>262.8</v>
      </c>
      <c r="Z285" s="9">
        <f t="shared" ca="1" si="93"/>
        <v>262.8</v>
      </c>
      <c r="AA285" s="9">
        <f t="shared" ca="1" si="93"/>
        <v>262.8</v>
      </c>
      <c r="AB285" s="9">
        <f t="shared" ca="1" si="93"/>
        <v>262.8</v>
      </c>
      <c r="AC285" s="9">
        <f t="shared" ca="1" si="93"/>
        <v>0</v>
      </c>
      <c r="AD285" s="9"/>
      <c r="AE285" s="9"/>
      <c r="AF285" s="9"/>
      <c r="AG285" s="9"/>
      <c r="AH285" s="9"/>
      <c r="AI285" s="9"/>
      <c r="AJ285" s="9"/>
      <c r="AK285" s="9"/>
      <c r="AL285" s="9"/>
      <c r="AM285" s="9"/>
      <c r="AN285" s="9"/>
      <c r="AO285" s="9"/>
      <c r="AP285" s="9"/>
      <c r="AQ285" s="9"/>
      <c r="AR285" s="9"/>
      <c r="AS285" s="9"/>
      <c r="AT285" s="9"/>
      <c r="AU285" s="9"/>
      <c r="AV285" s="9"/>
      <c r="AW285" s="9"/>
    </row>
    <row r="286" spans="3:49">
      <c r="C286">
        <v>11</v>
      </c>
      <c r="D286" s="9">
        <f t="shared" si="84"/>
        <v>0</v>
      </c>
      <c r="E286" s="9">
        <f t="shared" si="84"/>
        <v>0</v>
      </c>
      <c r="F286" s="9">
        <f t="shared" si="84"/>
        <v>0</v>
      </c>
      <c r="G286" s="9">
        <f t="shared" si="84"/>
        <v>0</v>
      </c>
      <c r="H286" s="9">
        <f t="shared" si="84"/>
        <v>0</v>
      </c>
      <c r="I286" s="9">
        <f t="shared" ref="I286:AC286" ca="1" si="94">IF(I307+I227&lt;I$271,I227,I$271-I307)</f>
        <v>0</v>
      </c>
      <c r="J286" s="9">
        <f t="shared" ca="1" si="94"/>
        <v>0</v>
      </c>
      <c r="K286" s="9">
        <f t="shared" ca="1" si="94"/>
        <v>0</v>
      </c>
      <c r="L286" s="9">
        <f t="shared" ca="1" si="94"/>
        <v>0</v>
      </c>
      <c r="M286" s="9">
        <f t="shared" ca="1" si="94"/>
        <v>0</v>
      </c>
      <c r="N286" s="9">
        <f t="shared" ca="1" si="94"/>
        <v>0</v>
      </c>
      <c r="O286" s="9">
        <f t="shared" ca="1" si="94"/>
        <v>0</v>
      </c>
      <c r="P286" s="9">
        <f t="shared" ca="1" si="94"/>
        <v>0</v>
      </c>
      <c r="Q286" s="9">
        <f t="shared" ca="1" si="94"/>
        <v>0</v>
      </c>
      <c r="R286" s="9">
        <f t="shared" ca="1" si="94"/>
        <v>0</v>
      </c>
      <c r="S286" s="9">
        <f t="shared" ca="1" si="94"/>
        <v>0</v>
      </c>
      <c r="T286" s="9">
        <f t="shared" ca="1" si="94"/>
        <v>0</v>
      </c>
      <c r="U286" s="9">
        <f t="shared" ca="1" si="94"/>
        <v>0</v>
      </c>
      <c r="V286" s="9">
        <f t="shared" ca="1" si="94"/>
        <v>0</v>
      </c>
      <c r="W286" s="9">
        <f t="shared" ca="1" si="94"/>
        <v>0</v>
      </c>
      <c r="X286" s="9">
        <f t="shared" ca="1" si="94"/>
        <v>0</v>
      </c>
      <c r="Y286" s="9">
        <f t="shared" ca="1" si="94"/>
        <v>0</v>
      </c>
      <c r="Z286" s="9">
        <f t="shared" ca="1" si="94"/>
        <v>0</v>
      </c>
      <c r="AA286" s="9">
        <f t="shared" ca="1" si="94"/>
        <v>0</v>
      </c>
      <c r="AB286" s="9">
        <f t="shared" ca="1" si="94"/>
        <v>0</v>
      </c>
      <c r="AC286" s="9">
        <f t="shared" ca="1" si="94"/>
        <v>0</v>
      </c>
      <c r="AD286" s="9"/>
      <c r="AE286" s="9"/>
      <c r="AF286" s="9"/>
      <c r="AG286" s="9"/>
      <c r="AH286" s="9"/>
      <c r="AI286" s="9"/>
      <c r="AJ286" s="9"/>
      <c r="AK286" s="9"/>
      <c r="AL286" s="9"/>
      <c r="AM286" s="9"/>
      <c r="AN286" s="9"/>
      <c r="AO286" s="9"/>
      <c r="AP286" s="9"/>
      <c r="AQ286" s="9"/>
      <c r="AR286" s="9"/>
      <c r="AS286" s="9"/>
      <c r="AT286" s="9"/>
      <c r="AU286" s="9"/>
      <c r="AV286" s="9"/>
      <c r="AW286" s="9"/>
    </row>
    <row r="287" spans="3:49">
      <c r="C287">
        <v>12</v>
      </c>
      <c r="D287" s="9">
        <f t="shared" ref="D287:H295" si="95">IF(D308+D228&lt;D$271,D228,D$271-D308)</f>
        <v>0</v>
      </c>
      <c r="E287" s="9">
        <f t="shared" si="95"/>
        <v>0</v>
      </c>
      <c r="F287" s="9">
        <f t="shared" si="95"/>
        <v>0</v>
      </c>
      <c r="G287" s="9">
        <f t="shared" si="95"/>
        <v>0</v>
      </c>
      <c r="H287" s="9">
        <f t="shared" si="95"/>
        <v>0</v>
      </c>
      <c r="I287" s="9">
        <f t="shared" ref="I287:AC287" ca="1" si="96">IF(I308+I228&lt;I$271,I228,I$271-I308)</f>
        <v>0</v>
      </c>
      <c r="J287" s="9">
        <f t="shared" ca="1" si="96"/>
        <v>0</v>
      </c>
      <c r="K287" s="9">
        <f t="shared" ca="1" si="96"/>
        <v>0</v>
      </c>
      <c r="L287" s="9">
        <f t="shared" ca="1" si="96"/>
        <v>0</v>
      </c>
      <c r="M287" s="9">
        <f t="shared" ca="1" si="96"/>
        <v>0</v>
      </c>
      <c r="N287" s="9">
        <f t="shared" ca="1" si="96"/>
        <v>0</v>
      </c>
      <c r="O287" s="9">
        <f t="shared" ca="1" si="96"/>
        <v>0</v>
      </c>
      <c r="P287" s="9">
        <f t="shared" ca="1" si="96"/>
        <v>0</v>
      </c>
      <c r="Q287" s="9">
        <f t="shared" ca="1" si="96"/>
        <v>0</v>
      </c>
      <c r="R287" s="9">
        <f t="shared" ca="1" si="96"/>
        <v>0</v>
      </c>
      <c r="S287" s="9">
        <f t="shared" ca="1" si="96"/>
        <v>0</v>
      </c>
      <c r="T287" s="9">
        <f t="shared" ca="1" si="96"/>
        <v>0</v>
      </c>
      <c r="U287" s="9">
        <f t="shared" ca="1" si="96"/>
        <v>0</v>
      </c>
      <c r="V287" s="9">
        <f t="shared" ca="1" si="96"/>
        <v>0</v>
      </c>
      <c r="W287" s="9">
        <f t="shared" ca="1" si="96"/>
        <v>0</v>
      </c>
      <c r="X287" s="9">
        <f t="shared" ca="1" si="96"/>
        <v>0</v>
      </c>
      <c r="Y287" s="9">
        <f t="shared" ca="1" si="96"/>
        <v>0</v>
      </c>
      <c r="Z287" s="9">
        <f t="shared" ca="1" si="96"/>
        <v>0</v>
      </c>
      <c r="AA287" s="9">
        <f t="shared" ca="1" si="96"/>
        <v>0</v>
      </c>
      <c r="AB287" s="9">
        <f t="shared" ca="1" si="96"/>
        <v>0</v>
      </c>
      <c r="AC287" s="9">
        <f t="shared" ca="1" si="96"/>
        <v>0</v>
      </c>
      <c r="AD287" s="9"/>
      <c r="AE287" s="9"/>
      <c r="AF287" s="9"/>
      <c r="AG287" s="9"/>
      <c r="AH287" s="9"/>
      <c r="AI287" s="9"/>
      <c r="AJ287" s="9"/>
      <c r="AK287" s="9"/>
      <c r="AL287" s="9"/>
      <c r="AM287" s="9"/>
      <c r="AN287" s="9"/>
      <c r="AO287" s="9"/>
      <c r="AP287" s="9"/>
      <c r="AQ287" s="9"/>
      <c r="AR287" s="9"/>
      <c r="AS287" s="9"/>
      <c r="AT287" s="9"/>
      <c r="AU287" s="9"/>
      <c r="AV287" s="9"/>
      <c r="AW287" s="9"/>
    </row>
    <row r="288" spans="3:49">
      <c r="C288">
        <v>13</v>
      </c>
      <c r="D288" s="9">
        <f t="shared" si="95"/>
        <v>0</v>
      </c>
      <c r="E288" s="9">
        <f t="shared" si="95"/>
        <v>0</v>
      </c>
      <c r="F288" s="9">
        <f t="shared" si="95"/>
        <v>0</v>
      </c>
      <c r="G288" s="9">
        <f t="shared" si="95"/>
        <v>0</v>
      </c>
      <c r="H288" s="9">
        <f t="shared" si="95"/>
        <v>0</v>
      </c>
      <c r="I288" s="9">
        <f t="shared" ref="I288:AC288" ca="1" si="97">IF(I309+I229&lt;I$271,I229,I$271-I309)</f>
        <v>0</v>
      </c>
      <c r="J288" s="9">
        <f t="shared" ca="1" si="97"/>
        <v>0</v>
      </c>
      <c r="K288" s="9">
        <f t="shared" ca="1" si="97"/>
        <v>0</v>
      </c>
      <c r="L288" s="9">
        <f t="shared" ca="1" si="97"/>
        <v>0</v>
      </c>
      <c r="M288" s="9">
        <f t="shared" ca="1" si="97"/>
        <v>0</v>
      </c>
      <c r="N288" s="9">
        <f t="shared" ca="1" si="97"/>
        <v>0</v>
      </c>
      <c r="O288" s="9">
        <f t="shared" ca="1" si="97"/>
        <v>0</v>
      </c>
      <c r="P288" s="9">
        <f t="shared" ca="1" si="97"/>
        <v>0</v>
      </c>
      <c r="Q288" s="9">
        <f t="shared" ca="1" si="97"/>
        <v>0</v>
      </c>
      <c r="R288" s="9">
        <f t="shared" ca="1" si="97"/>
        <v>0</v>
      </c>
      <c r="S288" s="9">
        <f t="shared" ca="1" si="97"/>
        <v>0</v>
      </c>
      <c r="T288" s="9">
        <f t="shared" ca="1" si="97"/>
        <v>0</v>
      </c>
      <c r="U288" s="9">
        <f t="shared" ca="1" si="97"/>
        <v>0</v>
      </c>
      <c r="V288" s="9">
        <f t="shared" ca="1" si="97"/>
        <v>0</v>
      </c>
      <c r="W288" s="9">
        <f t="shared" ca="1" si="97"/>
        <v>0</v>
      </c>
      <c r="X288" s="9">
        <f t="shared" ca="1" si="97"/>
        <v>0</v>
      </c>
      <c r="Y288" s="9">
        <f t="shared" ca="1" si="97"/>
        <v>0</v>
      </c>
      <c r="Z288" s="9">
        <f t="shared" ca="1" si="97"/>
        <v>0</v>
      </c>
      <c r="AA288" s="9">
        <f t="shared" ca="1" si="97"/>
        <v>0</v>
      </c>
      <c r="AB288" s="9">
        <f t="shared" ca="1" si="97"/>
        <v>0</v>
      </c>
      <c r="AC288" s="9">
        <f t="shared" ca="1" si="97"/>
        <v>0</v>
      </c>
      <c r="AD288" s="9"/>
      <c r="AE288" s="9"/>
      <c r="AF288" s="9"/>
      <c r="AG288" s="9"/>
      <c r="AH288" s="9"/>
      <c r="AI288" s="9"/>
      <c r="AJ288" s="9"/>
      <c r="AK288" s="9"/>
      <c r="AL288" s="9"/>
      <c r="AM288" s="9"/>
      <c r="AN288" s="9"/>
      <c r="AO288" s="9"/>
      <c r="AP288" s="9"/>
      <c r="AQ288" s="9"/>
      <c r="AR288" s="9"/>
      <c r="AS288" s="9"/>
      <c r="AT288" s="9"/>
      <c r="AU288" s="9"/>
      <c r="AV288" s="9"/>
      <c r="AW288" s="9"/>
    </row>
    <row r="289" spans="3:49">
      <c r="C289">
        <v>14</v>
      </c>
      <c r="D289" s="9">
        <f t="shared" si="95"/>
        <v>0</v>
      </c>
      <c r="E289" s="9">
        <f t="shared" si="95"/>
        <v>0</v>
      </c>
      <c r="F289" s="9">
        <f t="shared" si="95"/>
        <v>0</v>
      </c>
      <c r="G289" s="9">
        <f t="shared" si="95"/>
        <v>0</v>
      </c>
      <c r="H289" s="9">
        <f t="shared" si="95"/>
        <v>0</v>
      </c>
      <c r="I289" s="9">
        <f t="shared" ref="I289:AC289" ca="1" si="98">IF(I310+I230&lt;I$271,I230,I$271-I310)</f>
        <v>0</v>
      </c>
      <c r="J289" s="9">
        <f t="shared" ca="1" si="98"/>
        <v>0</v>
      </c>
      <c r="K289" s="9">
        <f t="shared" ca="1" si="98"/>
        <v>0</v>
      </c>
      <c r="L289" s="9">
        <f t="shared" ca="1" si="98"/>
        <v>0</v>
      </c>
      <c r="M289" s="9">
        <f t="shared" ca="1" si="98"/>
        <v>0</v>
      </c>
      <c r="N289" s="9">
        <f t="shared" ca="1" si="98"/>
        <v>0</v>
      </c>
      <c r="O289" s="9">
        <f t="shared" ca="1" si="98"/>
        <v>0</v>
      </c>
      <c r="P289" s="9">
        <f t="shared" ca="1" si="98"/>
        <v>0</v>
      </c>
      <c r="Q289" s="9">
        <f t="shared" ca="1" si="98"/>
        <v>0</v>
      </c>
      <c r="R289" s="9">
        <f t="shared" ca="1" si="98"/>
        <v>0</v>
      </c>
      <c r="S289" s="9">
        <f t="shared" ca="1" si="98"/>
        <v>0</v>
      </c>
      <c r="T289" s="9">
        <f t="shared" ca="1" si="98"/>
        <v>0</v>
      </c>
      <c r="U289" s="9">
        <f t="shared" ca="1" si="98"/>
        <v>0</v>
      </c>
      <c r="V289" s="9">
        <f t="shared" ca="1" si="98"/>
        <v>0</v>
      </c>
      <c r="W289" s="9">
        <f t="shared" ca="1" si="98"/>
        <v>0</v>
      </c>
      <c r="X289" s="9">
        <f t="shared" ca="1" si="98"/>
        <v>0</v>
      </c>
      <c r="Y289" s="9">
        <f t="shared" ca="1" si="98"/>
        <v>0</v>
      </c>
      <c r="Z289" s="9">
        <f t="shared" ca="1" si="98"/>
        <v>0</v>
      </c>
      <c r="AA289" s="9">
        <f t="shared" ca="1" si="98"/>
        <v>0</v>
      </c>
      <c r="AB289" s="9">
        <f t="shared" ca="1" si="98"/>
        <v>0</v>
      </c>
      <c r="AC289" s="9">
        <f t="shared" ca="1" si="98"/>
        <v>0</v>
      </c>
      <c r="AD289" s="9"/>
      <c r="AE289" s="9"/>
      <c r="AF289" s="9"/>
      <c r="AG289" s="9"/>
      <c r="AH289" s="9"/>
      <c r="AI289" s="9"/>
      <c r="AJ289" s="9"/>
      <c r="AK289" s="9"/>
      <c r="AL289" s="9"/>
      <c r="AM289" s="9"/>
      <c r="AN289" s="9"/>
      <c r="AO289" s="9"/>
      <c r="AP289" s="9"/>
      <c r="AQ289" s="9"/>
      <c r="AR289" s="9"/>
      <c r="AS289" s="9"/>
      <c r="AT289" s="9"/>
      <c r="AU289" s="9"/>
      <c r="AV289" s="9"/>
      <c r="AW289" s="9"/>
    </row>
    <row r="290" spans="3:49">
      <c r="C290">
        <v>15</v>
      </c>
      <c r="D290" s="9">
        <f t="shared" si="95"/>
        <v>524.66925000000003</v>
      </c>
      <c r="E290" s="9">
        <f t="shared" si="95"/>
        <v>524.66925000000003</v>
      </c>
      <c r="F290" s="9">
        <f t="shared" si="95"/>
        <v>524.66925000000003</v>
      </c>
      <c r="G290" s="9">
        <f t="shared" si="95"/>
        <v>524.66925000000003</v>
      </c>
      <c r="H290" s="9">
        <f t="shared" si="95"/>
        <v>524.66925000000003</v>
      </c>
      <c r="I290" s="9">
        <f t="shared" ref="I290:AC290" ca="1" si="99">IF(I311+I231&lt;I$271,I231,I$271-I311)</f>
        <v>524.66925000000003</v>
      </c>
      <c r="J290" s="9">
        <f t="shared" ca="1" si="99"/>
        <v>524.66925000000003</v>
      </c>
      <c r="K290" s="9">
        <f t="shared" ca="1" si="99"/>
        <v>524.66925000000003</v>
      </c>
      <c r="L290" s="9">
        <f t="shared" ca="1" si="99"/>
        <v>524.66925000000003</v>
      </c>
      <c r="M290" s="9">
        <f t="shared" ca="1" si="99"/>
        <v>524.66925000000003</v>
      </c>
      <c r="N290" s="9">
        <f t="shared" ca="1" si="99"/>
        <v>524.66925000000003</v>
      </c>
      <c r="O290" s="9">
        <f t="shared" ca="1" si="99"/>
        <v>524.66925000000003</v>
      </c>
      <c r="P290" s="9">
        <f t="shared" ca="1" si="99"/>
        <v>524.66925000000003</v>
      </c>
      <c r="Q290" s="9">
        <f t="shared" ca="1" si="99"/>
        <v>524.66925000000003</v>
      </c>
      <c r="R290" s="9">
        <f t="shared" ca="1" si="99"/>
        <v>524.66925000000003</v>
      </c>
      <c r="S290" s="9">
        <f t="shared" ca="1" si="99"/>
        <v>524.66925000000003</v>
      </c>
      <c r="T290" s="9">
        <f t="shared" ca="1" si="99"/>
        <v>524.66925000000003</v>
      </c>
      <c r="U290" s="9">
        <f t="shared" ca="1" si="99"/>
        <v>524.66925000000003</v>
      </c>
      <c r="V290" s="9">
        <f t="shared" ca="1" si="99"/>
        <v>524.66925000000003</v>
      </c>
      <c r="W290" s="9">
        <f t="shared" ca="1" si="99"/>
        <v>524.66925000000003</v>
      </c>
      <c r="X290" s="9">
        <f t="shared" ca="1" si="99"/>
        <v>524.66925000000003</v>
      </c>
      <c r="Y290" s="9">
        <f t="shared" ca="1" si="99"/>
        <v>524.66925000000003</v>
      </c>
      <c r="Z290" s="9">
        <f t="shared" ca="1" si="99"/>
        <v>524.66925000000003</v>
      </c>
      <c r="AA290" s="9">
        <f t="shared" ca="1" si="99"/>
        <v>524.66925000000003</v>
      </c>
      <c r="AB290" s="9">
        <f t="shared" ca="1" si="99"/>
        <v>524.66925000000003</v>
      </c>
      <c r="AC290" s="9">
        <f t="shared" ca="1" si="99"/>
        <v>524.66925000000003</v>
      </c>
      <c r="AD290" s="9"/>
      <c r="AE290" s="9"/>
      <c r="AF290" s="9"/>
      <c r="AG290" s="9"/>
      <c r="AH290" s="9"/>
      <c r="AI290" s="9"/>
      <c r="AJ290" s="9"/>
      <c r="AK290" s="9"/>
      <c r="AL290" s="9"/>
      <c r="AM290" s="9"/>
      <c r="AN290" s="9"/>
      <c r="AO290" s="9"/>
      <c r="AP290" s="9"/>
      <c r="AQ290" s="9"/>
      <c r="AR290" s="9"/>
      <c r="AS290" s="9"/>
      <c r="AT290" s="9"/>
      <c r="AU290" s="9"/>
      <c r="AV290" s="9"/>
      <c r="AW290" s="9"/>
    </row>
    <row r="291" spans="3:49">
      <c r="C291">
        <v>16</v>
      </c>
      <c r="D291" s="9">
        <f t="shared" si="95"/>
        <v>1502.1209999999999</v>
      </c>
      <c r="E291" s="9">
        <f t="shared" si="95"/>
        <v>1502.1209999999999</v>
      </c>
      <c r="F291" s="9">
        <f t="shared" si="95"/>
        <v>1502.1209999999999</v>
      </c>
      <c r="G291" s="9">
        <f t="shared" si="95"/>
        <v>1502.1209999999999</v>
      </c>
      <c r="H291" s="9">
        <f t="shared" si="95"/>
        <v>1502.1209999999999</v>
      </c>
      <c r="I291" s="9">
        <f t="shared" ref="I291:AC291" ca="1" si="100">IF(I312+I232&lt;I$271,I232,I$271-I312)</f>
        <v>1502.1209999999999</v>
      </c>
      <c r="J291" s="9">
        <f t="shared" ca="1" si="100"/>
        <v>1502.1209999999999</v>
      </c>
      <c r="K291" s="9">
        <f t="shared" ca="1" si="100"/>
        <v>1502.1209999999999</v>
      </c>
      <c r="L291" s="9">
        <f t="shared" ca="1" si="100"/>
        <v>1502.1209999999999</v>
      </c>
      <c r="M291" s="9">
        <f t="shared" ca="1" si="100"/>
        <v>1502.1209999999999</v>
      </c>
      <c r="N291" s="9">
        <f t="shared" ca="1" si="100"/>
        <v>1502.1209999999999</v>
      </c>
      <c r="O291" s="9">
        <f t="shared" ca="1" si="100"/>
        <v>1502.1209999999999</v>
      </c>
      <c r="P291" s="9">
        <f t="shared" ca="1" si="100"/>
        <v>1502.1209999999999</v>
      </c>
      <c r="Q291" s="9">
        <f t="shared" ca="1" si="100"/>
        <v>1502.1209999999999</v>
      </c>
      <c r="R291" s="9">
        <f t="shared" ca="1" si="100"/>
        <v>1502.1209999999999</v>
      </c>
      <c r="S291" s="9">
        <f t="shared" ca="1" si="100"/>
        <v>1502.1209999999999</v>
      </c>
      <c r="T291" s="9">
        <f t="shared" ca="1" si="100"/>
        <v>1502.1209999999999</v>
      </c>
      <c r="U291" s="9">
        <f t="shared" ca="1" si="100"/>
        <v>1502.1209999999999</v>
      </c>
      <c r="V291" s="9">
        <f t="shared" ca="1" si="100"/>
        <v>1502.1209999999999</v>
      </c>
      <c r="W291" s="9">
        <f t="shared" ca="1" si="100"/>
        <v>1502.1209999999999</v>
      </c>
      <c r="X291" s="9">
        <f t="shared" ca="1" si="100"/>
        <v>1502.1209999999999</v>
      </c>
      <c r="Y291" s="9">
        <f t="shared" ca="1" si="100"/>
        <v>1502.1209999999999</v>
      </c>
      <c r="Z291" s="9">
        <f t="shared" ca="1" si="100"/>
        <v>1502.1209999999999</v>
      </c>
      <c r="AA291" s="9">
        <f t="shared" ca="1" si="100"/>
        <v>1502.1209999999999</v>
      </c>
      <c r="AB291" s="9">
        <f t="shared" ca="1" si="100"/>
        <v>1502.1209999999999</v>
      </c>
      <c r="AC291" s="9">
        <f t="shared" ca="1" si="100"/>
        <v>1502.1209999999999</v>
      </c>
      <c r="AD291" s="9"/>
      <c r="AE291" s="9"/>
      <c r="AF291" s="9"/>
      <c r="AG291" s="9"/>
      <c r="AH291" s="9"/>
      <c r="AI291" s="9"/>
      <c r="AJ291" s="9"/>
      <c r="AK291" s="9"/>
      <c r="AL291" s="9"/>
      <c r="AM291" s="9"/>
      <c r="AN291" s="9"/>
      <c r="AO291" s="9"/>
      <c r="AP291" s="9"/>
      <c r="AQ291" s="9"/>
      <c r="AR291" s="9"/>
      <c r="AS291" s="9"/>
      <c r="AT291" s="9"/>
      <c r="AU291" s="9"/>
      <c r="AV291" s="9"/>
      <c r="AW291" s="9"/>
    </row>
    <row r="292" spans="3:49">
      <c r="C292">
        <v>17</v>
      </c>
      <c r="D292" s="9">
        <f t="shared" si="95"/>
        <v>69713.714846090443</v>
      </c>
      <c r="E292" s="9">
        <f t="shared" si="95"/>
        <v>69713.714846090443</v>
      </c>
      <c r="F292" s="9">
        <f t="shared" si="95"/>
        <v>69713.714846090443</v>
      </c>
      <c r="G292" s="9">
        <f t="shared" si="95"/>
        <v>69713.714846090443</v>
      </c>
      <c r="H292" s="9">
        <f t="shared" si="95"/>
        <v>69713.714846090443</v>
      </c>
      <c r="I292" s="9">
        <f t="shared" ref="I292:AC292" ca="1" si="101">IF(I313+I233&lt;I$271,I233,I$271-I313)</f>
        <v>69713.714846090443</v>
      </c>
      <c r="J292" s="9">
        <f t="shared" ca="1" si="101"/>
        <v>69713.714846090443</v>
      </c>
      <c r="K292" s="9">
        <f t="shared" ca="1" si="101"/>
        <v>69713.714846090443</v>
      </c>
      <c r="L292" s="9">
        <f t="shared" ca="1" si="101"/>
        <v>69713.714846090443</v>
      </c>
      <c r="M292" s="9">
        <f t="shared" ca="1" si="101"/>
        <v>69713.714846090443</v>
      </c>
      <c r="N292" s="9">
        <f t="shared" ca="1" si="101"/>
        <v>69713.714846090443</v>
      </c>
      <c r="O292" s="9">
        <f t="shared" ca="1" si="101"/>
        <v>69713.714846090443</v>
      </c>
      <c r="P292" s="9">
        <f t="shared" ca="1" si="101"/>
        <v>69713.714846090443</v>
      </c>
      <c r="Q292" s="9">
        <f t="shared" ca="1" si="101"/>
        <v>69713.714846090443</v>
      </c>
      <c r="R292" s="9">
        <f t="shared" ca="1" si="101"/>
        <v>69713.714846090443</v>
      </c>
      <c r="S292" s="9">
        <f t="shared" ca="1" si="101"/>
        <v>69713.714846090443</v>
      </c>
      <c r="T292" s="9">
        <f t="shared" ca="1" si="101"/>
        <v>69713.714846090443</v>
      </c>
      <c r="U292" s="9">
        <f t="shared" ca="1" si="101"/>
        <v>69713.714846090443</v>
      </c>
      <c r="V292" s="9">
        <f t="shared" ca="1" si="101"/>
        <v>69713.714846090443</v>
      </c>
      <c r="W292" s="9">
        <f t="shared" ca="1" si="101"/>
        <v>67105.541995690277</v>
      </c>
      <c r="X292" s="9">
        <f t="shared" ca="1" si="101"/>
        <v>64497.369145290126</v>
      </c>
      <c r="Y292" s="9">
        <f t="shared" ca="1" si="101"/>
        <v>61237.153082289929</v>
      </c>
      <c r="Z292" s="9">
        <f t="shared" ca="1" si="101"/>
        <v>57976.937019289733</v>
      </c>
      <c r="AA292" s="9">
        <f t="shared" ca="1" si="101"/>
        <v>54030.359679868452</v>
      </c>
      <c r="AB292" s="9">
        <f t="shared" ca="1" si="101"/>
        <v>46137.205001025875</v>
      </c>
      <c r="AC292" s="9">
        <f t="shared" ca="1" si="101"/>
        <v>42190.627661604587</v>
      </c>
      <c r="AD292" s="9"/>
      <c r="AE292" s="9"/>
      <c r="AF292" s="9"/>
      <c r="AG292" s="9"/>
      <c r="AH292" s="9"/>
      <c r="AI292" s="9"/>
      <c r="AJ292" s="9"/>
      <c r="AK292" s="9"/>
      <c r="AL292" s="9"/>
      <c r="AM292" s="9"/>
      <c r="AN292" s="9"/>
      <c r="AO292" s="9"/>
      <c r="AP292" s="9"/>
      <c r="AQ292" s="9"/>
      <c r="AR292" s="9"/>
      <c r="AS292" s="9"/>
      <c r="AT292" s="9"/>
      <c r="AU292" s="9"/>
      <c r="AV292" s="9"/>
      <c r="AW292" s="9"/>
    </row>
    <row r="293" spans="3:49">
      <c r="C293">
        <v>18</v>
      </c>
      <c r="D293" s="9">
        <f t="shared" si="95"/>
        <v>0</v>
      </c>
      <c r="E293" s="9">
        <f t="shared" si="95"/>
        <v>0</v>
      </c>
      <c r="F293" s="9">
        <f t="shared" si="95"/>
        <v>0</v>
      </c>
      <c r="G293" s="9">
        <f t="shared" si="95"/>
        <v>0</v>
      </c>
      <c r="H293" s="9">
        <f t="shared" si="95"/>
        <v>0</v>
      </c>
      <c r="I293" s="9">
        <f t="shared" ref="I293:AC293" ca="1" si="102">IF(I314+I234&lt;I$271,I234,I$271-I314)</f>
        <v>0</v>
      </c>
      <c r="J293" s="9">
        <f t="shared" ca="1" si="102"/>
        <v>0</v>
      </c>
      <c r="K293" s="9">
        <f t="shared" ca="1" si="102"/>
        <v>0</v>
      </c>
      <c r="L293" s="9">
        <f t="shared" ca="1" si="102"/>
        <v>0</v>
      </c>
      <c r="M293" s="9">
        <f t="shared" ca="1" si="102"/>
        <v>0</v>
      </c>
      <c r="N293" s="9">
        <f t="shared" ca="1" si="102"/>
        <v>0</v>
      </c>
      <c r="O293" s="9">
        <f t="shared" ca="1" si="102"/>
        <v>0</v>
      </c>
      <c r="P293" s="9">
        <f t="shared" ca="1" si="102"/>
        <v>0</v>
      </c>
      <c r="Q293" s="9">
        <f t="shared" ca="1" si="102"/>
        <v>0</v>
      </c>
      <c r="R293" s="9">
        <f t="shared" ca="1" si="102"/>
        <v>0</v>
      </c>
      <c r="S293" s="9">
        <f t="shared" ca="1" si="102"/>
        <v>0</v>
      </c>
      <c r="T293" s="9">
        <f t="shared" ca="1" si="102"/>
        <v>0</v>
      </c>
      <c r="U293" s="9">
        <f t="shared" ca="1" si="102"/>
        <v>0</v>
      </c>
      <c r="V293" s="9">
        <f t="shared" ca="1" si="102"/>
        <v>0</v>
      </c>
      <c r="W293" s="9">
        <f t="shared" ca="1" si="102"/>
        <v>0</v>
      </c>
      <c r="X293" s="9">
        <f t="shared" ca="1" si="102"/>
        <v>0</v>
      </c>
      <c r="Y293" s="9">
        <f t="shared" ca="1" si="102"/>
        <v>0</v>
      </c>
      <c r="Z293" s="9">
        <f t="shared" ca="1" si="102"/>
        <v>0</v>
      </c>
      <c r="AA293" s="9">
        <f t="shared" ca="1" si="102"/>
        <v>0</v>
      </c>
      <c r="AB293" s="9">
        <f t="shared" ca="1" si="102"/>
        <v>0</v>
      </c>
      <c r="AC293" s="9">
        <f t="shared" ca="1" si="102"/>
        <v>0</v>
      </c>
      <c r="AD293" s="9"/>
      <c r="AE293" s="9"/>
      <c r="AF293" s="9"/>
      <c r="AG293" s="9"/>
      <c r="AH293" s="9"/>
      <c r="AI293" s="9"/>
      <c r="AJ293" s="9"/>
      <c r="AK293" s="9"/>
      <c r="AL293" s="9"/>
      <c r="AM293" s="9"/>
      <c r="AN293" s="9"/>
      <c r="AO293" s="9"/>
      <c r="AP293" s="9"/>
      <c r="AQ293" s="9"/>
      <c r="AR293" s="9"/>
      <c r="AS293" s="9"/>
      <c r="AT293" s="9"/>
      <c r="AU293" s="9"/>
      <c r="AV293" s="9"/>
      <c r="AW293" s="9"/>
    </row>
    <row r="294" spans="3:49">
      <c r="C294">
        <v>19</v>
      </c>
      <c r="D294" s="9">
        <f t="shared" si="95"/>
        <v>11481.108051601606</v>
      </c>
      <c r="E294" s="9">
        <f t="shared" si="95"/>
        <v>11481.108051601606</v>
      </c>
      <c r="F294" s="9">
        <f t="shared" si="95"/>
        <v>0</v>
      </c>
      <c r="G294" s="9">
        <f t="shared" si="95"/>
        <v>0</v>
      </c>
      <c r="H294" s="9">
        <f t="shared" si="95"/>
        <v>0</v>
      </c>
      <c r="I294" s="9">
        <f t="shared" ref="I294:AC294" ca="1" si="103">IF(I315+I235&lt;I$271,I235,I$271-I315)</f>
        <v>0</v>
      </c>
      <c r="J294" s="9">
        <f t="shared" ca="1" si="103"/>
        <v>0</v>
      </c>
      <c r="K294" s="9">
        <f t="shared" ca="1" si="103"/>
        <v>1693.7365830000003</v>
      </c>
      <c r="L294" s="9">
        <f t="shared" ca="1" si="103"/>
        <v>5081.2097490000015</v>
      </c>
      <c r="M294" s="9">
        <f t="shared" ca="1" si="103"/>
        <v>10162.419498000003</v>
      </c>
      <c r="N294" s="9">
        <f t="shared" ca="1" si="103"/>
        <v>15243.629247000003</v>
      </c>
      <c r="O294" s="9">
        <f t="shared" ca="1" si="103"/>
        <v>18631.102413000004</v>
      </c>
      <c r="P294" s="9">
        <f t="shared" ca="1" si="103"/>
        <v>22018.575579000008</v>
      </c>
      <c r="Q294" s="9">
        <f t="shared" ca="1" si="103"/>
        <v>27099.785328000009</v>
      </c>
      <c r="R294" s="9">
        <f t="shared" ca="1" si="103"/>
        <v>32180.995077000007</v>
      </c>
      <c r="S294" s="9">
        <f t="shared" ca="1" si="103"/>
        <v>37262.204826000008</v>
      </c>
      <c r="T294" s="9">
        <f t="shared" ca="1" si="103"/>
        <v>44037.151158000015</v>
      </c>
      <c r="U294" s="9">
        <f t="shared" ca="1" si="103"/>
        <v>50812.097490000015</v>
      </c>
      <c r="V294" s="9">
        <f t="shared" ca="1" si="103"/>
        <v>55893.307239000023</v>
      </c>
      <c r="W294" s="9">
        <f t="shared" ca="1" si="103"/>
        <v>62668.253571000023</v>
      </c>
      <c r="X294" s="9">
        <f t="shared" ca="1" si="103"/>
        <v>69443.19990300003</v>
      </c>
      <c r="Y294" s="9">
        <f t="shared" ca="1" si="103"/>
        <v>77911.882818000027</v>
      </c>
      <c r="Z294" s="9">
        <f t="shared" ca="1" si="103"/>
        <v>86380.565733000025</v>
      </c>
      <c r="AA294" s="9">
        <f t="shared" ca="1" si="103"/>
        <v>94849.248648000023</v>
      </c>
      <c r="AB294" s="9">
        <f t="shared" ca="1" si="103"/>
        <v>105011.66814600003</v>
      </c>
      <c r="AC294" s="9">
        <f t="shared" ca="1" si="103"/>
        <v>115174.08764400003</v>
      </c>
      <c r="AD294" s="9"/>
      <c r="AE294" s="9"/>
      <c r="AF294" s="9"/>
      <c r="AG294" s="9"/>
      <c r="AH294" s="9"/>
      <c r="AI294" s="9"/>
      <c r="AJ294" s="9"/>
      <c r="AK294" s="9"/>
      <c r="AL294" s="9"/>
      <c r="AM294" s="9"/>
      <c r="AN294" s="9"/>
      <c r="AO294" s="9"/>
      <c r="AP294" s="9"/>
      <c r="AQ294" s="9"/>
      <c r="AR294" s="9"/>
      <c r="AS294" s="9"/>
      <c r="AT294" s="9"/>
      <c r="AU294" s="9"/>
      <c r="AV294" s="9"/>
      <c r="AW294" s="9"/>
    </row>
    <row r="295" spans="3:49">
      <c r="C295">
        <v>20</v>
      </c>
      <c r="D295" s="9">
        <f t="shared" si="95"/>
        <v>0</v>
      </c>
      <c r="E295" s="9">
        <f t="shared" si="95"/>
        <v>0</v>
      </c>
      <c r="F295" s="9">
        <f t="shared" si="95"/>
        <v>11481.108051601606</v>
      </c>
      <c r="G295" s="9">
        <f t="shared" si="95"/>
        <v>11481.108051601606</v>
      </c>
      <c r="H295" s="9">
        <f t="shared" si="95"/>
        <v>11481.108051601606</v>
      </c>
      <c r="I295" s="9">
        <f t="shared" ref="I295:AC295" ca="1" si="104">IF(I316+I236&lt;I$271,I236,I$271-I316)</f>
        <v>12924.051645819456</v>
      </c>
      <c r="J295" s="9">
        <f t="shared" ca="1" si="104"/>
        <v>13777.564401403659</v>
      </c>
      <c r="K295" s="9">
        <f t="shared" ca="1" si="104"/>
        <v>13777.564401403659</v>
      </c>
      <c r="L295" s="9">
        <f t="shared" ca="1" si="104"/>
        <v>13777.564401403659</v>
      </c>
      <c r="M295" s="9">
        <f t="shared" ca="1" si="104"/>
        <v>13777.564401403659</v>
      </c>
      <c r="N295" s="9">
        <f t="shared" ca="1" si="104"/>
        <v>13777.564401403659</v>
      </c>
      <c r="O295" s="9">
        <f t="shared" ca="1" si="104"/>
        <v>13698.339826318494</v>
      </c>
      <c r="P295" s="9">
        <f t="shared" ca="1" si="104"/>
        <v>13619.115251233326</v>
      </c>
      <c r="Q295" s="9">
        <f t="shared" ca="1" si="104"/>
        <v>13513.482484453105</v>
      </c>
      <c r="R295" s="9">
        <f t="shared" ca="1" si="104"/>
        <v>13407.84971767288</v>
      </c>
      <c r="S295" s="9">
        <f t="shared" ca="1" si="104"/>
        <v>11400.827148848637</v>
      </c>
      <c r="T295" s="9">
        <f t="shared" ca="1" si="104"/>
        <v>9393.8045800243945</v>
      </c>
      <c r="U295" s="9">
        <f t="shared" ca="1" si="104"/>
        <v>9393.8045800243945</v>
      </c>
      <c r="V295" s="9">
        <f t="shared" ca="1" si="104"/>
        <v>9393.8045800243945</v>
      </c>
      <c r="W295" s="9">
        <f t="shared" ca="1" si="104"/>
        <v>9393.8045800243945</v>
      </c>
      <c r="X295" s="9">
        <f t="shared" ca="1" si="104"/>
        <v>8469.0483917339716</v>
      </c>
      <c r="Y295" s="9">
        <f t="shared" ca="1" si="104"/>
        <v>7544.2922034435505</v>
      </c>
      <c r="Z295" s="9">
        <f t="shared" ca="1" si="104"/>
        <v>7544.2922034435505</v>
      </c>
      <c r="AA295" s="9">
        <f t="shared" ca="1" si="104"/>
        <v>7544.2922034435505</v>
      </c>
      <c r="AB295" s="9">
        <f t="shared" ca="1" si="104"/>
        <v>7544.2922034435505</v>
      </c>
      <c r="AC295" s="9">
        <f t="shared" ca="1" si="104"/>
        <v>7544.2922034435505</v>
      </c>
      <c r="AD295" s="9"/>
      <c r="AE295" s="9"/>
      <c r="AF295" s="9"/>
      <c r="AG295" s="9"/>
      <c r="AH295" s="9"/>
      <c r="AI295" s="9"/>
      <c r="AJ295" s="9"/>
      <c r="AK295" s="9"/>
      <c r="AL295" s="9"/>
      <c r="AM295" s="9"/>
      <c r="AN295" s="9"/>
      <c r="AO295" s="9"/>
      <c r="AP295" s="9"/>
      <c r="AQ295" s="9"/>
      <c r="AR295" s="9"/>
      <c r="AS295" s="9"/>
      <c r="AT295" s="9"/>
      <c r="AU295" s="9"/>
      <c r="AV295" s="9"/>
      <c r="AW295" s="9"/>
    </row>
    <row r="296" spans="3:49">
      <c r="D296" s="9"/>
      <c r="E296" s="9"/>
      <c r="F296" s="9"/>
      <c r="G296" s="9"/>
      <c r="H296" s="9"/>
      <c r="I296" s="9"/>
      <c r="J296" s="9"/>
      <c r="K296" s="9"/>
      <c r="L296" s="9"/>
      <c r="M296" s="9"/>
      <c r="N296" s="9"/>
      <c r="O296" s="9"/>
      <c r="P296" s="9"/>
      <c r="Q296" s="9"/>
      <c r="R296" s="9"/>
      <c r="S296" s="9"/>
      <c r="T296" s="9"/>
      <c r="U296" s="9"/>
      <c r="V296" s="9"/>
      <c r="W296" s="9"/>
      <c r="X296" s="9"/>
      <c r="Y296" s="9"/>
      <c r="Z296" s="9"/>
      <c r="AA296" s="9"/>
      <c r="AB296" s="9"/>
      <c r="AC296" s="9"/>
      <c r="AD296" s="9"/>
      <c r="AE296" s="9"/>
      <c r="AF296" s="9"/>
      <c r="AG296" s="9"/>
      <c r="AH296" s="9"/>
      <c r="AI296" s="9"/>
      <c r="AJ296" s="9"/>
      <c r="AK296" s="9"/>
      <c r="AL296" s="9"/>
      <c r="AM296" s="9"/>
      <c r="AN296" s="9"/>
      <c r="AO296" s="9"/>
      <c r="AP296" s="9"/>
      <c r="AQ296" s="9"/>
      <c r="AR296" s="9"/>
      <c r="AS296" s="9"/>
      <c r="AT296" s="9"/>
      <c r="AU296" s="9"/>
      <c r="AV296" s="9"/>
      <c r="AW296" s="9"/>
    </row>
    <row r="297" spans="3:49">
      <c r="C297" s="11" t="s">
        <v>231</v>
      </c>
      <c r="D297" s="9"/>
      <c r="E297" s="9"/>
      <c r="F297" s="9"/>
      <c r="G297" s="9"/>
      <c r="H297" s="9"/>
      <c r="I297" s="9"/>
      <c r="J297" s="9"/>
      <c r="K297" s="9"/>
      <c r="L297" s="9"/>
      <c r="M297" s="9"/>
      <c r="N297" s="9"/>
      <c r="O297" s="9"/>
      <c r="P297" s="9"/>
      <c r="Q297" s="9"/>
      <c r="R297" s="9"/>
      <c r="S297" s="9"/>
      <c r="T297" s="9"/>
      <c r="U297" s="9"/>
      <c r="V297" s="9"/>
      <c r="W297" s="9"/>
      <c r="X297" s="9"/>
      <c r="Y297" s="9"/>
      <c r="Z297" s="9"/>
      <c r="AA297" s="9"/>
      <c r="AB297" s="9"/>
      <c r="AC297" s="9"/>
      <c r="AD297" s="9"/>
      <c r="AE297" s="9"/>
      <c r="AF297" s="9"/>
      <c r="AG297" s="9"/>
      <c r="AH297" s="9"/>
      <c r="AI297" s="9"/>
      <c r="AJ297" s="9"/>
      <c r="AK297" s="9"/>
      <c r="AL297" s="9"/>
      <c r="AM297" s="9"/>
      <c r="AN297" s="9"/>
      <c r="AO297" s="9"/>
      <c r="AP297" s="9"/>
      <c r="AQ297" s="9"/>
      <c r="AR297" s="9"/>
      <c r="AS297" s="9"/>
      <c r="AT297" s="9"/>
      <c r="AU297" s="9"/>
      <c r="AV297" s="9"/>
      <c r="AW297" s="9"/>
    </row>
    <row r="298" spans="3:49">
      <c r="C298">
        <v>1</v>
      </c>
      <c r="D298" s="9">
        <f t="shared" ref="D298:J298" si="105">D276</f>
        <v>3096.0000000000005</v>
      </c>
      <c r="E298" s="9">
        <f t="shared" si="105"/>
        <v>3096.0000000000005</v>
      </c>
      <c r="F298" s="9">
        <f t="shared" si="105"/>
        <v>3096.0000000000005</v>
      </c>
      <c r="G298" s="9">
        <f t="shared" si="105"/>
        <v>3096.0000000000005</v>
      </c>
      <c r="H298" s="9">
        <f t="shared" si="105"/>
        <v>3096.0000000000005</v>
      </c>
      <c r="I298" s="9">
        <f t="shared" ca="1" si="105"/>
        <v>3096.0000000000005</v>
      </c>
      <c r="J298" s="9">
        <f t="shared" ca="1" si="105"/>
        <v>3096.0000000000005</v>
      </c>
      <c r="K298" s="9">
        <f t="shared" ref="K298:AC298" ca="1" si="106">K276</f>
        <v>3096.0000000000005</v>
      </c>
      <c r="L298" s="9">
        <f t="shared" ca="1" si="106"/>
        <v>4401.0227848101276</v>
      </c>
      <c r="M298" s="9">
        <f t="shared" ca="1" si="106"/>
        <v>5706.0455696202544</v>
      </c>
      <c r="N298" s="9">
        <f t="shared" ca="1" si="106"/>
        <v>5706.0455696202544</v>
      </c>
      <c r="O298" s="9">
        <f t="shared" ca="1" si="106"/>
        <v>5706.0455696202544</v>
      </c>
      <c r="P298" s="9">
        <f t="shared" ca="1" si="106"/>
        <v>5706.0455696202544</v>
      </c>
      <c r="Q298" s="9">
        <f t="shared" ca="1" si="106"/>
        <v>5706.0455696202544</v>
      </c>
      <c r="R298" s="9">
        <f t="shared" ca="1" si="106"/>
        <v>5706.0455696202544</v>
      </c>
      <c r="S298" s="9">
        <f t="shared" ca="1" si="106"/>
        <v>5706.0455696202544</v>
      </c>
      <c r="T298" s="9">
        <f t="shared" ca="1" si="106"/>
        <v>5706.0455696202544</v>
      </c>
      <c r="U298" s="9">
        <f t="shared" ca="1" si="106"/>
        <v>5706.0455696202544</v>
      </c>
      <c r="V298" s="9">
        <f t="shared" ca="1" si="106"/>
        <v>5706.0455696202544</v>
      </c>
      <c r="W298" s="9">
        <f t="shared" ca="1" si="106"/>
        <v>5706.0455696202544</v>
      </c>
      <c r="X298" s="9">
        <f t="shared" ca="1" si="106"/>
        <v>5706.0455696202544</v>
      </c>
      <c r="Y298" s="9">
        <f t="shared" ca="1" si="106"/>
        <v>5706.0455696202544</v>
      </c>
      <c r="Z298" s="9">
        <f t="shared" ca="1" si="106"/>
        <v>5706.0455696202544</v>
      </c>
      <c r="AA298" s="9">
        <f t="shared" ca="1" si="106"/>
        <v>5706.0455696202544</v>
      </c>
      <c r="AB298" s="9">
        <f t="shared" ca="1" si="106"/>
        <v>5706.0455696202544</v>
      </c>
      <c r="AC298" s="9">
        <f t="shared" ca="1" si="106"/>
        <v>5706.0455696202544</v>
      </c>
      <c r="AD298" s="9"/>
      <c r="AE298" s="9"/>
      <c r="AF298" s="9"/>
      <c r="AG298" s="9"/>
      <c r="AH298" s="9"/>
      <c r="AI298" s="9"/>
      <c r="AJ298" s="9"/>
      <c r="AK298" s="9"/>
      <c r="AL298" s="9"/>
      <c r="AM298" s="9"/>
      <c r="AN298" s="9"/>
      <c r="AO298" s="9"/>
      <c r="AP298" s="9"/>
      <c r="AQ298" s="9"/>
      <c r="AR298" s="9"/>
      <c r="AS298" s="9"/>
      <c r="AT298" s="9"/>
      <c r="AU298" s="9"/>
      <c r="AV298" s="9"/>
      <c r="AW298" s="9"/>
    </row>
    <row r="299" spans="3:49">
      <c r="C299">
        <v>2</v>
      </c>
      <c r="D299" s="9">
        <f t="shared" ref="D299:D317" si="107">D277+D298</f>
        <v>3096.0000000000005</v>
      </c>
      <c r="E299" s="9">
        <f t="shared" ref="E299:E317" si="108">E277+E298</f>
        <v>3096.0000000000005</v>
      </c>
      <c r="F299" s="9">
        <f t="shared" ref="F299:F317" si="109">F277+F298</f>
        <v>3096.0000000000005</v>
      </c>
      <c r="G299" s="9">
        <f t="shared" ref="G299:H314" si="110">G277+G298</f>
        <v>3096.0000000000005</v>
      </c>
      <c r="H299" s="9">
        <f t="shared" si="110"/>
        <v>3096.0000000000005</v>
      </c>
      <c r="I299" s="9">
        <f ca="1">I277+I298</f>
        <v>3096.0000000000005</v>
      </c>
      <c r="J299" s="9">
        <f ca="1">J277+J298</f>
        <v>3096.0000000000005</v>
      </c>
      <c r="K299" s="9">
        <f t="shared" ref="K299:AC312" ca="1" si="111">K277+K298</f>
        <v>3096.0000000000005</v>
      </c>
      <c r="L299" s="9">
        <f t="shared" ca="1" si="111"/>
        <v>4401.0227848101276</v>
      </c>
      <c r="M299" s="9">
        <f t="shared" ca="1" si="111"/>
        <v>5706.0455696202544</v>
      </c>
      <c r="N299" s="9">
        <f t="shared" ca="1" si="111"/>
        <v>5706.0455696202544</v>
      </c>
      <c r="O299" s="9">
        <f t="shared" ca="1" si="111"/>
        <v>5706.0455696202544</v>
      </c>
      <c r="P299" s="9">
        <f t="shared" ca="1" si="111"/>
        <v>5706.0455696202544</v>
      </c>
      <c r="Q299" s="9">
        <f t="shared" ca="1" si="111"/>
        <v>5706.0455696202544</v>
      </c>
      <c r="R299" s="9">
        <f t="shared" ca="1" si="111"/>
        <v>5706.0455696202544</v>
      </c>
      <c r="S299" s="9">
        <f t="shared" ca="1" si="111"/>
        <v>5706.0455696202544</v>
      </c>
      <c r="T299" s="9">
        <f t="shared" ca="1" si="111"/>
        <v>5706.0455696202544</v>
      </c>
      <c r="U299" s="9">
        <f t="shared" ca="1" si="111"/>
        <v>5706.0455696202544</v>
      </c>
      <c r="V299" s="9">
        <f t="shared" ca="1" si="111"/>
        <v>5706.0455696202544</v>
      </c>
      <c r="W299" s="9">
        <f t="shared" ca="1" si="111"/>
        <v>5706.0455696202544</v>
      </c>
      <c r="X299" s="9">
        <f t="shared" ca="1" si="111"/>
        <v>5706.0455696202544</v>
      </c>
      <c r="Y299" s="9">
        <f t="shared" ca="1" si="111"/>
        <v>5706.0455696202544</v>
      </c>
      <c r="Z299" s="9">
        <f t="shared" ca="1" si="111"/>
        <v>5706.0455696202544</v>
      </c>
      <c r="AA299" s="9">
        <f t="shared" ca="1" si="111"/>
        <v>5706.0455696202544</v>
      </c>
      <c r="AB299" s="9">
        <f t="shared" ca="1" si="111"/>
        <v>5706.0455696202544</v>
      </c>
      <c r="AC299" s="9">
        <f t="shared" ca="1" si="111"/>
        <v>5706.0455696202544</v>
      </c>
      <c r="AD299" s="9"/>
      <c r="AE299" s="9"/>
      <c r="AF299" s="9"/>
      <c r="AG299" s="9"/>
      <c r="AH299" s="9"/>
      <c r="AI299" s="9"/>
      <c r="AJ299" s="9"/>
      <c r="AK299" s="9"/>
      <c r="AL299" s="9"/>
      <c r="AM299" s="9"/>
      <c r="AN299" s="9"/>
      <c r="AO299" s="9"/>
      <c r="AP299" s="9"/>
      <c r="AQ299" s="9"/>
      <c r="AR299" s="9"/>
      <c r="AS299" s="9"/>
      <c r="AT299" s="9"/>
      <c r="AU299" s="9"/>
      <c r="AV299" s="9"/>
      <c r="AW299" s="9"/>
    </row>
    <row r="300" spans="3:49">
      <c r="C300">
        <v>3</v>
      </c>
      <c r="D300" s="9">
        <f t="shared" si="107"/>
        <v>3096.0000000000005</v>
      </c>
      <c r="E300" s="9">
        <f t="shared" si="108"/>
        <v>3096.0000000000005</v>
      </c>
      <c r="F300" s="9">
        <f t="shared" si="109"/>
        <v>3096.0000000000005</v>
      </c>
      <c r="G300" s="9">
        <f t="shared" si="110"/>
        <v>3096.0000000000005</v>
      </c>
      <c r="H300" s="9">
        <f t="shared" si="110"/>
        <v>3096.0000000000005</v>
      </c>
      <c r="I300" s="9">
        <f t="shared" ref="I300:J317" ca="1" si="112">I278+I299</f>
        <v>3096.0000000000005</v>
      </c>
      <c r="J300" s="9">
        <f t="shared" ca="1" si="112"/>
        <v>3096.0000000000005</v>
      </c>
      <c r="K300" s="9">
        <f t="shared" ca="1" si="111"/>
        <v>3096.0000000000005</v>
      </c>
      <c r="L300" s="9">
        <f t="shared" ca="1" si="111"/>
        <v>4401.0227848101276</v>
      </c>
      <c r="M300" s="9">
        <f t="shared" ca="1" si="111"/>
        <v>5706.0455696202544</v>
      </c>
      <c r="N300" s="9">
        <f t="shared" ca="1" si="111"/>
        <v>5706.0455696202544</v>
      </c>
      <c r="O300" s="9">
        <f t="shared" ca="1" si="111"/>
        <v>5706.0455696202544</v>
      </c>
      <c r="P300" s="9">
        <f t="shared" ca="1" si="111"/>
        <v>5706.0455696202544</v>
      </c>
      <c r="Q300" s="9">
        <f t="shared" ca="1" si="111"/>
        <v>5706.0455696202544</v>
      </c>
      <c r="R300" s="9">
        <f t="shared" ca="1" si="111"/>
        <v>5706.0455696202544</v>
      </c>
      <c r="S300" s="9">
        <f t="shared" ca="1" si="111"/>
        <v>5706.0455696202544</v>
      </c>
      <c r="T300" s="9">
        <f t="shared" ca="1" si="111"/>
        <v>5706.0455696202544</v>
      </c>
      <c r="U300" s="9">
        <f t="shared" ca="1" si="111"/>
        <v>5706.0455696202544</v>
      </c>
      <c r="V300" s="9">
        <f t="shared" ca="1" si="111"/>
        <v>5706.0455696202544</v>
      </c>
      <c r="W300" s="9">
        <f t="shared" ca="1" si="111"/>
        <v>5706.0455696202544</v>
      </c>
      <c r="X300" s="9">
        <f t="shared" ca="1" si="111"/>
        <v>5706.0455696202544</v>
      </c>
      <c r="Y300" s="9">
        <f t="shared" ca="1" si="111"/>
        <v>5706.0455696202544</v>
      </c>
      <c r="Z300" s="9">
        <f t="shared" ca="1" si="111"/>
        <v>5706.0455696202544</v>
      </c>
      <c r="AA300" s="9">
        <f t="shared" ca="1" si="111"/>
        <v>5706.0455696202544</v>
      </c>
      <c r="AB300" s="9">
        <f t="shared" ca="1" si="111"/>
        <v>5706.0455696202544</v>
      </c>
      <c r="AC300" s="9">
        <f t="shared" ca="1" si="111"/>
        <v>5706.0455696202544</v>
      </c>
      <c r="AD300" s="9"/>
      <c r="AE300" s="9"/>
      <c r="AF300" s="9"/>
      <c r="AG300" s="9"/>
      <c r="AH300" s="9"/>
      <c r="AI300" s="9"/>
      <c r="AJ300" s="9"/>
      <c r="AK300" s="9"/>
      <c r="AL300" s="9"/>
      <c r="AM300" s="9"/>
      <c r="AN300" s="9"/>
      <c r="AO300" s="9"/>
      <c r="AP300" s="9"/>
      <c r="AQ300" s="9"/>
      <c r="AR300" s="9"/>
      <c r="AS300" s="9"/>
      <c r="AT300" s="9"/>
      <c r="AU300" s="9"/>
      <c r="AV300" s="9"/>
      <c r="AW300" s="9"/>
    </row>
    <row r="301" spans="3:49">
      <c r="C301">
        <v>4</v>
      </c>
      <c r="D301" s="9">
        <f t="shared" si="107"/>
        <v>3096.0000000000005</v>
      </c>
      <c r="E301" s="9">
        <f t="shared" si="108"/>
        <v>3096.0000000000005</v>
      </c>
      <c r="F301" s="9">
        <f t="shared" si="109"/>
        <v>3096.0000000000005</v>
      </c>
      <c r="G301" s="9">
        <f t="shared" si="110"/>
        <v>3096.0000000000005</v>
      </c>
      <c r="H301" s="9">
        <f t="shared" si="110"/>
        <v>3096.0000000000005</v>
      </c>
      <c r="I301" s="9">
        <f t="shared" ca="1" si="112"/>
        <v>3096.0000000000005</v>
      </c>
      <c r="J301" s="9">
        <f t="shared" ca="1" si="112"/>
        <v>3096.0000000000005</v>
      </c>
      <c r="K301" s="9">
        <f t="shared" ca="1" si="111"/>
        <v>3096.0000000000005</v>
      </c>
      <c r="L301" s="9">
        <f t="shared" ca="1" si="111"/>
        <v>4401.0227848101276</v>
      </c>
      <c r="M301" s="9">
        <f t="shared" ca="1" si="111"/>
        <v>5706.0455696202544</v>
      </c>
      <c r="N301" s="9">
        <f t="shared" ca="1" si="111"/>
        <v>5706.0455696202544</v>
      </c>
      <c r="O301" s="9">
        <f t="shared" ca="1" si="111"/>
        <v>5706.0455696202544</v>
      </c>
      <c r="P301" s="9">
        <f t="shared" ca="1" si="111"/>
        <v>5706.0455696202544</v>
      </c>
      <c r="Q301" s="9">
        <f t="shared" ca="1" si="111"/>
        <v>5706.0455696202544</v>
      </c>
      <c r="R301" s="9">
        <f t="shared" ca="1" si="111"/>
        <v>5706.0455696202544</v>
      </c>
      <c r="S301" s="9">
        <f t="shared" ca="1" si="111"/>
        <v>5706.0455696202544</v>
      </c>
      <c r="T301" s="9">
        <f t="shared" ca="1" si="111"/>
        <v>5706.0455696202544</v>
      </c>
      <c r="U301" s="9">
        <f t="shared" ca="1" si="111"/>
        <v>5706.0455696202544</v>
      </c>
      <c r="V301" s="9">
        <f t="shared" ca="1" si="111"/>
        <v>5706.0455696202544</v>
      </c>
      <c r="W301" s="9">
        <f t="shared" ca="1" si="111"/>
        <v>5706.0455696202544</v>
      </c>
      <c r="X301" s="9">
        <f t="shared" ca="1" si="111"/>
        <v>5706.0455696202544</v>
      </c>
      <c r="Y301" s="9">
        <f t="shared" ca="1" si="111"/>
        <v>5706.0455696202544</v>
      </c>
      <c r="Z301" s="9">
        <f t="shared" ca="1" si="111"/>
        <v>5706.0455696202544</v>
      </c>
      <c r="AA301" s="9">
        <f t="shared" ca="1" si="111"/>
        <v>5706.0455696202544</v>
      </c>
      <c r="AB301" s="9">
        <f t="shared" ca="1" si="111"/>
        <v>5706.0455696202544</v>
      </c>
      <c r="AC301" s="9">
        <f t="shared" ca="1" si="111"/>
        <v>5706.0455696202544</v>
      </c>
      <c r="AD301" s="9"/>
      <c r="AE301" s="9"/>
      <c r="AF301" s="9"/>
      <c r="AG301" s="9"/>
      <c r="AH301" s="9"/>
      <c r="AI301" s="9"/>
      <c r="AJ301" s="9"/>
      <c r="AK301" s="9"/>
      <c r="AL301" s="9"/>
      <c r="AM301" s="9"/>
      <c r="AN301" s="9"/>
      <c r="AO301" s="9"/>
      <c r="AP301" s="9"/>
      <c r="AQ301" s="9"/>
      <c r="AR301" s="9"/>
      <c r="AS301" s="9"/>
      <c r="AT301" s="9"/>
      <c r="AU301" s="9"/>
      <c r="AV301" s="9"/>
      <c r="AW301" s="9"/>
    </row>
    <row r="302" spans="3:49">
      <c r="C302">
        <v>5</v>
      </c>
      <c r="D302" s="9">
        <f t="shared" si="107"/>
        <v>3096.0000000000005</v>
      </c>
      <c r="E302" s="9">
        <f t="shared" si="108"/>
        <v>3096.0000000000005</v>
      </c>
      <c r="F302" s="9">
        <f t="shared" si="109"/>
        <v>3096.0000000000005</v>
      </c>
      <c r="G302" s="9">
        <f t="shared" si="110"/>
        <v>3096.0000000000005</v>
      </c>
      <c r="H302" s="9">
        <f t="shared" si="110"/>
        <v>3096.0000000000005</v>
      </c>
      <c r="I302" s="9">
        <f t="shared" ca="1" si="112"/>
        <v>3096.0000000000005</v>
      </c>
      <c r="J302" s="9">
        <f t="shared" ca="1" si="112"/>
        <v>3096.0000000000005</v>
      </c>
      <c r="K302" s="9">
        <f t="shared" ca="1" si="111"/>
        <v>3096.0000000000005</v>
      </c>
      <c r="L302" s="9">
        <f t="shared" ca="1" si="111"/>
        <v>4401.0227848101276</v>
      </c>
      <c r="M302" s="9">
        <f t="shared" ca="1" si="111"/>
        <v>5706.0455696202544</v>
      </c>
      <c r="N302" s="9">
        <f t="shared" ca="1" si="111"/>
        <v>5706.0455696202544</v>
      </c>
      <c r="O302" s="9">
        <f t="shared" ca="1" si="111"/>
        <v>5706.0455696202544</v>
      </c>
      <c r="P302" s="9">
        <f t="shared" ca="1" si="111"/>
        <v>5706.0455696202544</v>
      </c>
      <c r="Q302" s="9">
        <f t="shared" ca="1" si="111"/>
        <v>5706.0455696202544</v>
      </c>
      <c r="R302" s="9">
        <f t="shared" ca="1" si="111"/>
        <v>5706.0455696202544</v>
      </c>
      <c r="S302" s="9">
        <f t="shared" ca="1" si="111"/>
        <v>5706.0455696202544</v>
      </c>
      <c r="T302" s="9">
        <f t="shared" ca="1" si="111"/>
        <v>5706.0455696202544</v>
      </c>
      <c r="U302" s="9">
        <f t="shared" ca="1" si="111"/>
        <v>5706.0455696202544</v>
      </c>
      <c r="V302" s="9">
        <f t="shared" ca="1" si="111"/>
        <v>5706.0455696202544</v>
      </c>
      <c r="W302" s="9">
        <f t="shared" ca="1" si="111"/>
        <v>5706.0455696202544</v>
      </c>
      <c r="X302" s="9">
        <f t="shared" ca="1" si="111"/>
        <v>5706.0455696202544</v>
      </c>
      <c r="Y302" s="9">
        <f t="shared" ca="1" si="111"/>
        <v>5706.0455696202544</v>
      </c>
      <c r="Z302" s="9">
        <f t="shared" ca="1" si="111"/>
        <v>5706.0455696202544</v>
      </c>
      <c r="AA302" s="9">
        <f t="shared" ca="1" si="111"/>
        <v>5706.0455696202544</v>
      </c>
      <c r="AB302" s="9">
        <f t="shared" ca="1" si="111"/>
        <v>5706.0455696202544</v>
      </c>
      <c r="AC302" s="9">
        <f t="shared" ca="1" si="111"/>
        <v>5706.0455696202544</v>
      </c>
      <c r="AD302" s="9"/>
      <c r="AE302" s="9"/>
      <c r="AF302" s="9"/>
      <c r="AG302" s="9"/>
      <c r="AH302" s="9"/>
      <c r="AI302" s="9"/>
      <c r="AJ302" s="9"/>
      <c r="AK302" s="9"/>
      <c r="AL302" s="9"/>
      <c r="AM302" s="9"/>
      <c r="AN302" s="9"/>
      <c r="AO302" s="9"/>
      <c r="AP302" s="9"/>
      <c r="AQ302" s="9"/>
      <c r="AR302" s="9"/>
      <c r="AS302" s="9"/>
      <c r="AT302" s="9"/>
      <c r="AU302" s="9"/>
      <c r="AV302" s="9"/>
      <c r="AW302" s="9"/>
    </row>
    <row r="303" spans="3:49">
      <c r="C303">
        <v>6</v>
      </c>
      <c r="D303" s="9">
        <f t="shared" si="107"/>
        <v>3747.7707705600005</v>
      </c>
      <c r="E303" s="9">
        <f t="shared" si="108"/>
        <v>3747.7707705600005</v>
      </c>
      <c r="F303" s="9">
        <f t="shared" si="109"/>
        <v>3747.7707705600005</v>
      </c>
      <c r="G303" s="9">
        <f t="shared" si="110"/>
        <v>3747.7707705600005</v>
      </c>
      <c r="H303" s="9">
        <f t="shared" si="110"/>
        <v>3747.7707705600005</v>
      </c>
      <c r="I303" s="9">
        <f t="shared" ca="1" si="112"/>
        <v>3747.7707705600005</v>
      </c>
      <c r="J303" s="9">
        <f t="shared" ca="1" si="112"/>
        <v>4041.067617312</v>
      </c>
      <c r="K303" s="9">
        <f t="shared" ca="1" si="111"/>
        <v>4041.067617312</v>
      </c>
      <c r="L303" s="9">
        <f t="shared" ca="1" si="111"/>
        <v>5346.0904021221277</v>
      </c>
      <c r="M303" s="9">
        <f t="shared" ca="1" si="111"/>
        <v>6651.1131869322544</v>
      </c>
      <c r="N303" s="9">
        <f t="shared" ca="1" si="111"/>
        <v>6651.1131869322544</v>
      </c>
      <c r="O303" s="9">
        <f t="shared" ca="1" si="111"/>
        <v>6651.1131869322544</v>
      </c>
      <c r="P303" s="9">
        <f t="shared" ca="1" si="111"/>
        <v>6651.1131869322544</v>
      </c>
      <c r="Q303" s="9">
        <f t="shared" ca="1" si="111"/>
        <v>6651.1131869322544</v>
      </c>
      <c r="R303" s="9">
        <f t="shared" ca="1" si="111"/>
        <v>6651.1131869322544</v>
      </c>
      <c r="S303" s="9">
        <f t="shared" ca="1" si="111"/>
        <v>6651.1131869322544</v>
      </c>
      <c r="T303" s="9">
        <f t="shared" ca="1" si="111"/>
        <v>6651.1131869322544</v>
      </c>
      <c r="U303" s="9">
        <f t="shared" ca="1" si="111"/>
        <v>6651.1131869322544</v>
      </c>
      <c r="V303" s="9">
        <f t="shared" ca="1" si="111"/>
        <v>6846.6444181002544</v>
      </c>
      <c r="W303" s="9">
        <f t="shared" ca="1" si="111"/>
        <v>6846.6444181002544</v>
      </c>
      <c r="X303" s="9">
        <f t="shared" ca="1" si="111"/>
        <v>6846.6444181002544</v>
      </c>
      <c r="Y303" s="9">
        <f t="shared" ca="1" si="111"/>
        <v>7042.1756492682543</v>
      </c>
      <c r="Z303" s="9">
        <f t="shared" ca="1" si="111"/>
        <v>7042.1756492682543</v>
      </c>
      <c r="AA303" s="9">
        <f t="shared" ca="1" si="111"/>
        <v>7042.1756492682543</v>
      </c>
      <c r="AB303" s="9">
        <f t="shared" ca="1" si="111"/>
        <v>7237.7068804362534</v>
      </c>
      <c r="AC303" s="9">
        <f t="shared" ca="1" si="111"/>
        <v>7191.2682130338544</v>
      </c>
      <c r="AD303" s="9"/>
      <c r="AE303" s="9"/>
      <c r="AF303" s="9"/>
      <c r="AG303" s="9"/>
      <c r="AH303" s="9"/>
      <c r="AI303" s="9"/>
      <c r="AJ303" s="9"/>
      <c r="AK303" s="9"/>
      <c r="AL303" s="9"/>
      <c r="AM303" s="9"/>
      <c r="AN303" s="9"/>
      <c r="AO303" s="9"/>
      <c r="AP303" s="9"/>
      <c r="AQ303" s="9"/>
      <c r="AR303" s="9"/>
      <c r="AS303" s="9"/>
      <c r="AT303" s="9"/>
      <c r="AU303" s="9"/>
      <c r="AV303" s="9"/>
      <c r="AW303" s="9"/>
    </row>
    <row r="304" spans="3:49">
      <c r="C304">
        <v>7</v>
      </c>
      <c r="D304" s="9">
        <f t="shared" si="107"/>
        <v>3747.7707705600005</v>
      </c>
      <c r="E304" s="9">
        <f t="shared" si="108"/>
        <v>3747.7707705600005</v>
      </c>
      <c r="F304" s="9">
        <f t="shared" si="109"/>
        <v>3747.7707705600005</v>
      </c>
      <c r="G304" s="9">
        <f t="shared" si="110"/>
        <v>3747.7707705600005</v>
      </c>
      <c r="H304" s="9">
        <f t="shared" si="110"/>
        <v>3747.7707705600005</v>
      </c>
      <c r="I304" s="9">
        <f t="shared" ca="1" si="112"/>
        <v>3747.7707705600005</v>
      </c>
      <c r="J304" s="9">
        <f t="shared" ca="1" si="112"/>
        <v>4041.067617312</v>
      </c>
      <c r="K304" s="9">
        <f t="shared" ca="1" si="111"/>
        <v>4041.067617312</v>
      </c>
      <c r="L304" s="9">
        <f t="shared" ca="1" si="111"/>
        <v>5346.0904021221277</v>
      </c>
      <c r="M304" s="9">
        <f t="shared" ca="1" si="111"/>
        <v>6651.1131869322544</v>
      </c>
      <c r="N304" s="9">
        <f t="shared" ca="1" si="111"/>
        <v>6651.1131869322544</v>
      </c>
      <c r="O304" s="9">
        <f t="shared" ca="1" si="111"/>
        <v>6651.1131869322544</v>
      </c>
      <c r="P304" s="9">
        <f t="shared" ca="1" si="111"/>
        <v>6651.1131869322544</v>
      </c>
      <c r="Q304" s="9">
        <f t="shared" ca="1" si="111"/>
        <v>6651.1131869322544</v>
      </c>
      <c r="R304" s="9">
        <f t="shared" ca="1" si="111"/>
        <v>6651.1131869322544</v>
      </c>
      <c r="S304" s="9">
        <f t="shared" ca="1" si="111"/>
        <v>6651.1131869322544</v>
      </c>
      <c r="T304" s="9">
        <f t="shared" ca="1" si="111"/>
        <v>6651.1131869322544</v>
      </c>
      <c r="U304" s="9">
        <f t="shared" ca="1" si="111"/>
        <v>6651.1131869322544</v>
      </c>
      <c r="V304" s="9">
        <f t="shared" ca="1" si="111"/>
        <v>6846.6444181002544</v>
      </c>
      <c r="W304" s="9">
        <f t="shared" ca="1" si="111"/>
        <v>6846.6444181002544</v>
      </c>
      <c r="X304" s="9">
        <f t="shared" ca="1" si="111"/>
        <v>6846.6444181002544</v>
      </c>
      <c r="Y304" s="9">
        <f t="shared" ca="1" si="111"/>
        <v>7042.1756492682543</v>
      </c>
      <c r="Z304" s="9">
        <f t="shared" ca="1" si="111"/>
        <v>7042.1756492682543</v>
      </c>
      <c r="AA304" s="9">
        <f t="shared" ca="1" si="111"/>
        <v>7042.1756492682543</v>
      </c>
      <c r="AB304" s="9">
        <f t="shared" ca="1" si="111"/>
        <v>7237.7068804362534</v>
      </c>
      <c r="AC304" s="9">
        <f t="shared" ca="1" si="111"/>
        <v>7191.2682130338544</v>
      </c>
      <c r="AD304" s="9"/>
      <c r="AE304" s="9"/>
      <c r="AF304" s="9"/>
      <c r="AG304" s="9"/>
      <c r="AH304" s="9"/>
      <c r="AI304" s="9"/>
      <c r="AJ304" s="9"/>
      <c r="AK304" s="9"/>
      <c r="AL304" s="9"/>
      <c r="AM304" s="9"/>
      <c r="AN304" s="9"/>
      <c r="AO304" s="9"/>
      <c r="AP304" s="9"/>
      <c r="AQ304" s="9"/>
      <c r="AR304" s="9"/>
      <c r="AS304" s="9"/>
      <c r="AT304" s="9"/>
      <c r="AU304" s="9"/>
      <c r="AV304" s="9"/>
      <c r="AW304" s="9"/>
    </row>
    <row r="305" spans="3:49">
      <c r="C305">
        <v>8</v>
      </c>
      <c r="D305" s="9">
        <f t="shared" si="107"/>
        <v>16945.586770559999</v>
      </c>
      <c r="E305" s="9">
        <f t="shared" si="108"/>
        <v>16945.586770559999</v>
      </c>
      <c r="F305" s="9">
        <f t="shared" si="109"/>
        <v>16945.586770559999</v>
      </c>
      <c r="G305" s="9">
        <f t="shared" si="110"/>
        <v>16945.586770559999</v>
      </c>
      <c r="H305" s="9">
        <f t="shared" si="110"/>
        <v>16945.586770559999</v>
      </c>
      <c r="I305" s="9">
        <f t="shared" ca="1" si="112"/>
        <v>16945.586770559999</v>
      </c>
      <c r="J305" s="9">
        <f t="shared" ca="1" si="112"/>
        <v>17238.883617312</v>
      </c>
      <c r="K305" s="9">
        <f t="shared" ca="1" si="111"/>
        <v>17238.883617312</v>
      </c>
      <c r="L305" s="9">
        <f t="shared" ca="1" si="111"/>
        <v>18543.906402122127</v>
      </c>
      <c r="M305" s="9">
        <f t="shared" ca="1" si="111"/>
        <v>19848.929186932255</v>
      </c>
      <c r="N305" s="9">
        <f t="shared" ca="1" si="111"/>
        <v>19848.929186932255</v>
      </c>
      <c r="O305" s="9">
        <f t="shared" ca="1" si="111"/>
        <v>19848.929186932255</v>
      </c>
      <c r="P305" s="9">
        <f t="shared" ca="1" si="111"/>
        <v>19848.929186932255</v>
      </c>
      <c r="Q305" s="9">
        <f t="shared" ca="1" si="111"/>
        <v>19848.929186932255</v>
      </c>
      <c r="R305" s="9">
        <f t="shared" ca="1" si="111"/>
        <v>19848.929186932255</v>
      </c>
      <c r="S305" s="9">
        <f t="shared" ca="1" si="111"/>
        <v>19848.929186932255</v>
      </c>
      <c r="T305" s="9">
        <f t="shared" ca="1" si="111"/>
        <v>19848.929186932255</v>
      </c>
      <c r="U305" s="9">
        <f t="shared" ca="1" si="111"/>
        <v>19848.929186932255</v>
      </c>
      <c r="V305" s="9">
        <f t="shared" ca="1" si="111"/>
        <v>20044.460418100254</v>
      </c>
      <c r="W305" s="9">
        <f t="shared" ca="1" si="111"/>
        <v>20044.460418100254</v>
      </c>
      <c r="X305" s="9">
        <f t="shared" ca="1" si="111"/>
        <v>20044.460418100254</v>
      </c>
      <c r="Y305" s="9">
        <f t="shared" ca="1" si="111"/>
        <v>20239.991649268253</v>
      </c>
      <c r="Z305" s="9">
        <f t="shared" ca="1" si="111"/>
        <v>20239.991649268253</v>
      </c>
      <c r="AA305" s="9">
        <f t="shared" ca="1" si="111"/>
        <v>20239.991649268253</v>
      </c>
      <c r="AB305" s="9">
        <f t="shared" ca="1" si="111"/>
        <v>20435.522880436252</v>
      </c>
      <c r="AC305" s="9">
        <f t="shared" ca="1" si="111"/>
        <v>20389.084213033853</v>
      </c>
      <c r="AD305" s="9"/>
      <c r="AE305" s="9"/>
      <c r="AF305" s="9"/>
      <c r="AG305" s="9"/>
      <c r="AH305" s="9"/>
      <c r="AI305" s="9"/>
      <c r="AJ305" s="9"/>
      <c r="AK305" s="9"/>
      <c r="AL305" s="9"/>
      <c r="AM305" s="9"/>
      <c r="AN305" s="9"/>
      <c r="AO305" s="9"/>
      <c r="AP305" s="9"/>
      <c r="AQ305" s="9"/>
      <c r="AR305" s="9"/>
      <c r="AS305" s="9"/>
      <c r="AT305" s="9"/>
      <c r="AU305" s="9"/>
      <c r="AV305" s="9"/>
      <c r="AW305" s="9"/>
    </row>
    <row r="306" spans="3:49">
      <c r="C306">
        <v>9</v>
      </c>
      <c r="D306" s="9">
        <f t="shared" si="107"/>
        <v>17757.352961036191</v>
      </c>
      <c r="E306" s="9">
        <f t="shared" si="108"/>
        <v>17757.352961036191</v>
      </c>
      <c r="F306" s="9">
        <f t="shared" si="109"/>
        <v>17757.352961036191</v>
      </c>
      <c r="G306" s="9">
        <f t="shared" si="110"/>
        <v>17757.352961036191</v>
      </c>
      <c r="H306" s="9">
        <f t="shared" si="110"/>
        <v>17757.352961036191</v>
      </c>
      <c r="I306" s="9">
        <f t="shared" ca="1" si="112"/>
        <v>17757.352961036191</v>
      </c>
      <c r="J306" s="9">
        <f t="shared" ca="1" si="112"/>
        <v>18050.649807788192</v>
      </c>
      <c r="K306" s="9">
        <f t="shared" ca="1" si="111"/>
        <v>18050.649807788192</v>
      </c>
      <c r="L306" s="9">
        <f t="shared" ca="1" si="111"/>
        <v>19355.672592598319</v>
      </c>
      <c r="M306" s="9">
        <f t="shared" ca="1" si="111"/>
        <v>20660.695377408447</v>
      </c>
      <c r="N306" s="9">
        <f t="shared" ca="1" si="111"/>
        <v>20660.695377408447</v>
      </c>
      <c r="O306" s="9">
        <f t="shared" ca="1" si="111"/>
        <v>20660.695377408447</v>
      </c>
      <c r="P306" s="9">
        <f t="shared" ca="1" si="111"/>
        <v>20660.695377408447</v>
      </c>
      <c r="Q306" s="9">
        <f t="shared" ca="1" si="111"/>
        <v>20660.695377408447</v>
      </c>
      <c r="R306" s="9">
        <f t="shared" ca="1" si="111"/>
        <v>20660.695377408447</v>
      </c>
      <c r="S306" s="9">
        <f t="shared" ca="1" si="111"/>
        <v>20660.695377408447</v>
      </c>
      <c r="T306" s="9">
        <f t="shared" ca="1" si="111"/>
        <v>20660.695377408447</v>
      </c>
      <c r="U306" s="9">
        <f t="shared" ca="1" si="111"/>
        <v>20660.695377408447</v>
      </c>
      <c r="V306" s="9">
        <f t="shared" ca="1" si="111"/>
        <v>20856.226608576446</v>
      </c>
      <c r="W306" s="9">
        <f t="shared" ca="1" si="111"/>
        <v>20856.226608576446</v>
      </c>
      <c r="X306" s="9">
        <f t="shared" ca="1" si="111"/>
        <v>20856.226608576446</v>
      </c>
      <c r="Y306" s="9">
        <f t="shared" ca="1" si="111"/>
        <v>21051.757839744445</v>
      </c>
      <c r="Z306" s="9">
        <f t="shared" ca="1" si="111"/>
        <v>21051.757839744445</v>
      </c>
      <c r="AA306" s="9">
        <f t="shared" ca="1" si="111"/>
        <v>21051.757839744445</v>
      </c>
      <c r="AB306" s="9">
        <f t="shared" ca="1" si="111"/>
        <v>21247.289070912444</v>
      </c>
      <c r="AC306" s="9">
        <f t="shared" ca="1" si="111"/>
        <v>21200.850403510045</v>
      </c>
      <c r="AD306" s="9"/>
      <c r="AE306" s="9"/>
      <c r="AF306" s="9"/>
      <c r="AG306" s="9"/>
      <c r="AH306" s="9"/>
      <c r="AI306" s="9"/>
      <c r="AJ306" s="9"/>
      <c r="AK306" s="9"/>
      <c r="AL306" s="9"/>
      <c r="AM306" s="9"/>
      <c r="AN306" s="9"/>
      <c r="AO306" s="9"/>
      <c r="AP306" s="9"/>
      <c r="AQ306" s="9"/>
      <c r="AR306" s="9"/>
      <c r="AS306" s="9"/>
      <c r="AT306" s="9"/>
      <c r="AU306" s="9"/>
      <c r="AV306" s="9"/>
      <c r="AW306" s="9"/>
    </row>
    <row r="307" spans="3:49">
      <c r="C307">
        <v>10</v>
      </c>
      <c r="D307" s="9">
        <f t="shared" si="107"/>
        <v>17757.352961036191</v>
      </c>
      <c r="E307" s="9">
        <f t="shared" si="108"/>
        <v>17757.352961036191</v>
      </c>
      <c r="F307" s="9">
        <f t="shared" si="109"/>
        <v>17757.352961036191</v>
      </c>
      <c r="G307" s="9">
        <f t="shared" si="110"/>
        <v>17757.352961036191</v>
      </c>
      <c r="H307" s="9">
        <f t="shared" si="110"/>
        <v>17757.352961036191</v>
      </c>
      <c r="I307" s="9">
        <f t="shared" ca="1" si="112"/>
        <v>18020.15296103619</v>
      </c>
      <c r="J307" s="9">
        <f t="shared" ca="1" si="112"/>
        <v>18313.449807788191</v>
      </c>
      <c r="K307" s="9">
        <f t="shared" ca="1" si="111"/>
        <v>18313.449807788191</v>
      </c>
      <c r="L307" s="9">
        <f t="shared" ca="1" si="111"/>
        <v>19618.472592598318</v>
      </c>
      <c r="M307" s="9">
        <f t="shared" ca="1" si="111"/>
        <v>20923.495377408446</v>
      </c>
      <c r="N307" s="9">
        <f t="shared" ca="1" si="111"/>
        <v>20923.495377408446</v>
      </c>
      <c r="O307" s="9">
        <f t="shared" ca="1" si="111"/>
        <v>20923.495377408446</v>
      </c>
      <c r="P307" s="9">
        <f t="shared" ca="1" si="111"/>
        <v>20923.495377408446</v>
      </c>
      <c r="Q307" s="9">
        <f t="shared" ca="1" si="111"/>
        <v>20923.495377408446</v>
      </c>
      <c r="R307" s="9">
        <f t="shared" ca="1" si="111"/>
        <v>20923.495377408446</v>
      </c>
      <c r="S307" s="9">
        <f t="shared" ca="1" si="111"/>
        <v>20923.495377408446</v>
      </c>
      <c r="T307" s="9">
        <f t="shared" ca="1" si="111"/>
        <v>20923.495377408446</v>
      </c>
      <c r="U307" s="9">
        <f t="shared" ca="1" si="111"/>
        <v>20923.495377408446</v>
      </c>
      <c r="V307" s="9">
        <f t="shared" ca="1" si="111"/>
        <v>21119.026608576445</v>
      </c>
      <c r="W307" s="9">
        <f t="shared" ca="1" si="111"/>
        <v>21119.026608576445</v>
      </c>
      <c r="X307" s="9">
        <f t="shared" ca="1" si="111"/>
        <v>21119.026608576445</v>
      </c>
      <c r="Y307" s="9">
        <f t="shared" ca="1" si="111"/>
        <v>21314.557839744444</v>
      </c>
      <c r="Z307" s="9">
        <f t="shared" ca="1" si="111"/>
        <v>21314.557839744444</v>
      </c>
      <c r="AA307" s="9">
        <f t="shared" ca="1" si="111"/>
        <v>21314.557839744444</v>
      </c>
      <c r="AB307" s="9">
        <f t="shared" ca="1" si="111"/>
        <v>21510.089070912443</v>
      </c>
      <c r="AC307" s="9">
        <f t="shared" ca="1" si="111"/>
        <v>21200.850403510045</v>
      </c>
      <c r="AD307" s="9"/>
      <c r="AE307" s="9"/>
      <c r="AF307" s="9"/>
      <c r="AG307" s="9"/>
      <c r="AH307" s="9"/>
      <c r="AI307" s="9"/>
      <c r="AJ307" s="9"/>
      <c r="AK307" s="9"/>
      <c r="AL307" s="9"/>
      <c r="AM307" s="9"/>
      <c r="AN307" s="9"/>
      <c r="AO307" s="9"/>
      <c r="AP307" s="9"/>
      <c r="AQ307" s="9"/>
      <c r="AR307" s="9"/>
      <c r="AS307" s="9"/>
      <c r="AT307" s="9"/>
      <c r="AU307" s="9"/>
      <c r="AV307" s="9"/>
      <c r="AW307" s="9"/>
    </row>
    <row r="308" spans="3:49">
      <c r="C308">
        <v>11</v>
      </c>
      <c r="D308" s="9">
        <f t="shared" si="107"/>
        <v>17757.352961036191</v>
      </c>
      <c r="E308" s="9">
        <f t="shared" si="108"/>
        <v>17757.352961036191</v>
      </c>
      <c r="F308" s="9">
        <f t="shared" si="109"/>
        <v>17757.352961036191</v>
      </c>
      <c r="G308" s="9">
        <f t="shared" si="110"/>
        <v>17757.352961036191</v>
      </c>
      <c r="H308" s="9">
        <f t="shared" si="110"/>
        <v>17757.352961036191</v>
      </c>
      <c r="I308" s="9">
        <f t="shared" ca="1" si="112"/>
        <v>18020.15296103619</v>
      </c>
      <c r="J308" s="9">
        <f t="shared" ca="1" si="112"/>
        <v>18313.449807788191</v>
      </c>
      <c r="K308" s="9">
        <f t="shared" ca="1" si="111"/>
        <v>18313.449807788191</v>
      </c>
      <c r="L308" s="9">
        <f t="shared" ca="1" si="111"/>
        <v>19618.472592598318</v>
      </c>
      <c r="M308" s="9">
        <f t="shared" ca="1" si="111"/>
        <v>20923.495377408446</v>
      </c>
      <c r="N308" s="9">
        <f t="shared" ca="1" si="111"/>
        <v>20923.495377408446</v>
      </c>
      <c r="O308" s="9">
        <f t="shared" ca="1" si="111"/>
        <v>20923.495377408446</v>
      </c>
      <c r="P308" s="9">
        <f t="shared" ca="1" si="111"/>
        <v>20923.495377408446</v>
      </c>
      <c r="Q308" s="9">
        <f t="shared" ca="1" si="111"/>
        <v>20923.495377408446</v>
      </c>
      <c r="R308" s="9">
        <f t="shared" ca="1" si="111"/>
        <v>20923.495377408446</v>
      </c>
      <c r="S308" s="9">
        <f t="shared" ca="1" si="111"/>
        <v>20923.495377408446</v>
      </c>
      <c r="T308" s="9">
        <f t="shared" ca="1" si="111"/>
        <v>20923.495377408446</v>
      </c>
      <c r="U308" s="9">
        <f t="shared" ca="1" si="111"/>
        <v>20923.495377408446</v>
      </c>
      <c r="V308" s="9">
        <f t="shared" ca="1" si="111"/>
        <v>21119.026608576445</v>
      </c>
      <c r="W308" s="9">
        <f t="shared" ca="1" si="111"/>
        <v>21119.026608576445</v>
      </c>
      <c r="X308" s="9">
        <f t="shared" ca="1" si="111"/>
        <v>21119.026608576445</v>
      </c>
      <c r="Y308" s="9">
        <f t="shared" ca="1" si="111"/>
        <v>21314.557839744444</v>
      </c>
      <c r="Z308" s="9">
        <f t="shared" ca="1" si="111"/>
        <v>21314.557839744444</v>
      </c>
      <c r="AA308" s="9">
        <f t="shared" ca="1" si="111"/>
        <v>21314.557839744444</v>
      </c>
      <c r="AB308" s="9">
        <f t="shared" ca="1" si="111"/>
        <v>21510.089070912443</v>
      </c>
      <c r="AC308" s="9">
        <f t="shared" ca="1" si="111"/>
        <v>21200.850403510045</v>
      </c>
      <c r="AD308" s="9"/>
      <c r="AE308" s="9"/>
      <c r="AF308" s="9"/>
      <c r="AG308" s="9"/>
      <c r="AH308" s="9"/>
      <c r="AI308" s="9"/>
      <c r="AJ308" s="9"/>
      <c r="AK308" s="9"/>
      <c r="AL308" s="9"/>
      <c r="AM308" s="9"/>
      <c r="AN308" s="9"/>
      <c r="AO308" s="9"/>
      <c r="AP308" s="9"/>
      <c r="AQ308" s="9"/>
      <c r="AR308" s="9"/>
      <c r="AS308" s="9"/>
      <c r="AT308" s="9"/>
      <c r="AU308" s="9"/>
      <c r="AV308" s="9"/>
      <c r="AW308" s="9"/>
    </row>
    <row r="309" spans="3:49">
      <c r="C309">
        <v>12</v>
      </c>
      <c r="D309" s="9">
        <f t="shared" si="107"/>
        <v>17757.352961036191</v>
      </c>
      <c r="E309" s="9">
        <f t="shared" si="108"/>
        <v>17757.352961036191</v>
      </c>
      <c r="F309" s="9">
        <f t="shared" si="109"/>
        <v>17757.352961036191</v>
      </c>
      <c r="G309" s="9">
        <f t="shared" si="110"/>
        <v>17757.352961036191</v>
      </c>
      <c r="H309" s="9">
        <f t="shared" si="110"/>
        <v>17757.352961036191</v>
      </c>
      <c r="I309" s="9">
        <f t="shared" ca="1" si="112"/>
        <v>18020.15296103619</v>
      </c>
      <c r="J309" s="9">
        <f t="shared" ca="1" si="112"/>
        <v>18313.449807788191</v>
      </c>
      <c r="K309" s="9">
        <f t="shared" ca="1" si="111"/>
        <v>18313.449807788191</v>
      </c>
      <c r="L309" s="9">
        <f t="shared" ca="1" si="111"/>
        <v>19618.472592598318</v>
      </c>
      <c r="M309" s="9">
        <f t="shared" ca="1" si="111"/>
        <v>20923.495377408446</v>
      </c>
      <c r="N309" s="9">
        <f t="shared" ca="1" si="111"/>
        <v>20923.495377408446</v>
      </c>
      <c r="O309" s="9">
        <f t="shared" ca="1" si="111"/>
        <v>20923.495377408446</v>
      </c>
      <c r="P309" s="9">
        <f t="shared" ca="1" si="111"/>
        <v>20923.495377408446</v>
      </c>
      <c r="Q309" s="9">
        <f t="shared" ca="1" si="111"/>
        <v>20923.495377408446</v>
      </c>
      <c r="R309" s="9">
        <f t="shared" ca="1" si="111"/>
        <v>20923.495377408446</v>
      </c>
      <c r="S309" s="9">
        <f t="shared" ca="1" si="111"/>
        <v>20923.495377408446</v>
      </c>
      <c r="T309" s="9">
        <f t="shared" ca="1" si="111"/>
        <v>20923.495377408446</v>
      </c>
      <c r="U309" s="9">
        <f t="shared" ca="1" si="111"/>
        <v>20923.495377408446</v>
      </c>
      <c r="V309" s="9">
        <f t="shared" ca="1" si="111"/>
        <v>21119.026608576445</v>
      </c>
      <c r="W309" s="9">
        <f t="shared" ca="1" si="111"/>
        <v>21119.026608576445</v>
      </c>
      <c r="X309" s="9">
        <f t="shared" ca="1" si="111"/>
        <v>21119.026608576445</v>
      </c>
      <c r="Y309" s="9">
        <f t="shared" ca="1" si="111"/>
        <v>21314.557839744444</v>
      </c>
      <c r="Z309" s="9">
        <f t="shared" ca="1" si="111"/>
        <v>21314.557839744444</v>
      </c>
      <c r="AA309" s="9">
        <f t="shared" ca="1" si="111"/>
        <v>21314.557839744444</v>
      </c>
      <c r="AB309" s="9">
        <f t="shared" ca="1" si="111"/>
        <v>21510.089070912443</v>
      </c>
      <c r="AC309" s="9">
        <f t="shared" ca="1" si="111"/>
        <v>21200.850403510045</v>
      </c>
      <c r="AD309" s="9"/>
      <c r="AE309" s="9"/>
      <c r="AF309" s="9"/>
      <c r="AG309" s="9"/>
      <c r="AH309" s="9"/>
      <c r="AI309" s="9"/>
      <c r="AJ309" s="9"/>
      <c r="AK309" s="9"/>
      <c r="AL309" s="9"/>
      <c r="AM309" s="9"/>
      <c r="AN309" s="9"/>
      <c r="AO309" s="9"/>
      <c r="AP309" s="9"/>
      <c r="AQ309" s="9"/>
      <c r="AR309" s="9"/>
      <c r="AS309" s="9"/>
      <c r="AT309" s="9"/>
      <c r="AU309" s="9"/>
      <c r="AV309" s="9"/>
      <c r="AW309" s="9"/>
    </row>
    <row r="310" spans="3:49">
      <c r="C310">
        <v>13</v>
      </c>
      <c r="D310" s="9">
        <f t="shared" si="107"/>
        <v>17757.352961036191</v>
      </c>
      <c r="E310" s="9">
        <f t="shared" si="108"/>
        <v>17757.352961036191</v>
      </c>
      <c r="F310" s="9">
        <f t="shared" si="109"/>
        <v>17757.352961036191</v>
      </c>
      <c r="G310" s="9">
        <f t="shared" si="110"/>
        <v>17757.352961036191</v>
      </c>
      <c r="H310" s="9">
        <f t="shared" si="110"/>
        <v>17757.352961036191</v>
      </c>
      <c r="I310" s="9">
        <f t="shared" ca="1" si="112"/>
        <v>18020.15296103619</v>
      </c>
      <c r="J310" s="9">
        <f t="shared" ca="1" si="112"/>
        <v>18313.449807788191</v>
      </c>
      <c r="K310" s="9">
        <f t="shared" ca="1" si="111"/>
        <v>18313.449807788191</v>
      </c>
      <c r="L310" s="9">
        <f t="shared" ca="1" si="111"/>
        <v>19618.472592598318</v>
      </c>
      <c r="M310" s="9">
        <f t="shared" ca="1" si="111"/>
        <v>20923.495377408446</v>
      </c>
      <c r="N310" s="9">
        <f t="shared" ca="1" si="111"/>
        <v>20923.495377408446</v>
      </c>
      <c r="O310" s="9">
        <f t="shared" ca="1" si="111"/>
        <v>20923.495377408446</v>
      </c>
      <c r="P310" s="9">
        <f t="shared" ca="1" si="111"/>
        <v>20923.495377408446</v>
      </c>
      <c r="Q310" s="9">
        <f t="shared" ca="1" si="111"/>
        <v>20923.495377408446</v>
      </c>
      <c r="R310" s="9">
        <f t="shared" ca="1" si="111"/>
        <v>20923.495377408446</v>
      </c>
      <c r="S310" s="9">
        <f t="shared" ca="1" si="111"/>
        <v>20923.495377408446</v>
      </c>
      <c r="T310" s="9">
        <f t="shared" ca="1" si="111"/>
        <v>20923.495377408446</v>
      </c>
      <c r="U310" s="9">
        <f t="shared" ca="1" si="111"/>
        <v>20923.495377408446</v>
      </c>
      <c r="V310" s="9">
        <f t="shared" ca="1" si="111"/>
        <v>21119.026608576445</v>
      </c>
      <c r="W310" s="9">
        <f t="shared" ca="1" si="111"/>
        <v>21119.026608576445</v>
      </c>
      <c r="X310" s="9">
        <f t="shared" ca="1" si="111"/>
        <v>21119.026608576445</v>
      </c>
      <c r="Y310" s="9">
        <f t="shared" ca="1" si="111"/>
        <v>21314.557839744444</v>
      </c>
      <c r="Z310" s="9">
        <f t="shared" ca="1" si="111"/>
        <v>21314.557839744444</v>
      </c>
      <c r="AA310" s="9">
        <f t="shared" ca="1" si="111"/>
        <v>21314.557839744444</v>
      </c>
      <c r="AB310" s="9">
        <f t="shared" ca="1" si="111"/>
        <v>21510.089070912443</v>
      </c>
      <c r="AC310" s="9">
        <f t="shared" ca="1" si="111"/>
        <v>21200.850403510045</v>
      </c>
      <c r="AD310" s="9"/>
      <c r="AE310" s="9"/>
      <c r="AF310" s="9"/>
      <c r="AG310" s="9"/>
      <c r="AH310" s="9"/>
      <c r="AI310" s="9"/>
      <c r="AJ310" s="9"/>
      <c r="AK310" s="9"/>
      <c r="AL310" s="9"/>
      <c r="AM310" s="9"/>
      <c r="AN310" s="9"/>
      <c r="AO310" s="9"/>
      <c r="AP310" s="9"/>
      <c r="AQ310" s="9"/>
      <c r="AR310" s="9"/>
      <c r="AS310" s="9"/>
      <c r="AT310" s="9"/>
      <c r="AU310" s="9"/>
      <c r="AV310" s="9"/>
      <c r="AW310" s="9"/>
    </row>
    <row r="311" spans="3:49">
      <c r="C311">
        <v>14</v>
      </c>
      <c r="D311" s="9">
        <f t="shared" si="107"/>
        <v>17757.352961036191</v>
      </c>
      <c r="E311" s="9">
        <f t="shared" si="108"/>
        <v>17757.352961036191</v>
      </c>
      <c r="F311" s="9">
        <f t="shared" si="109"/>
        <v>17757.352961036191</v>
      </c>
      <c r="G311" s="9">
        <f t="shared" si="110"/>
        <v>17757.352961036191</v>
      </c>
      <c r="H311" s="9">
        <f t="shared" si="110"/>
        <v>17757.352961036191</v>
      </c>
      <c r="I311" s="9">
        <f t="shared" ca="1" si="112"/>
        <v>18020.15296103619</v>
      </c>
      <c r="J311" s="9">
        <f t="shared" ca="1" si="112"/>
        <v>18313.449807788191</v>
      </c>
      <c r="K311" s="9">
        <f t="shared" ca="1" si="111"/>
        <v>18313.449807788191</v>
      </c>
      <c r="L311" s="9">
        <f t="shared" ca="1" si="111"/>
        <v>19618.472592598318</v>
      </c>
      <c r="M311" s="9">
        <f t="shared" ca="1" si="111"/>
        <v>20923.495377408446</v>
      </c>
      <c r="N311" s="9">
        <f t="shared" ca="1" si="111"/>
        <v>20923.495377408446</v>
      </c>
      <c r="O311" s="9">
        <f t="shared" ca="1" si="111"/>
        <v>20923.495377408446</v>
      </c>
      <c r="P311" s="9">
        <f t="shared" ca="1" si="111"/>
        <v>20923.495377408446</v>
      </c>
      <c r="Q311" s="9">
        <f t="shared" ca="1" si="111"/>
        <v>20923.495377408446</v>
      </c>
      <c r="R311" s="9">
        <f t="shared" ca="1" si="111"/>
        <v>20923.495377408446</v>
      </c>
      <c r="S311" s="9">
        <f t="shared" ca="1" si="111"/>
        <v>20923.495377408446</v>
      </c>
      <c r="T311" s="9">
        <f t="shared" ca="1" si="111"/>
        <v>20923.495377408446</v>
      </c>
      <c r="U311" s="9">
        <f t="shared" ca="1" si="111"/>
        <v>20923.495377408446</v>
      </c>
      <c r="V311" s="9">
        <f t="shared" ca="1" si="111"/>
        <v>21119.026608576445</v>
      </c>
      <c r="W311" s="9">
        <f t="shared" ca="1" si="111"/>
        <v>21119.026608576445</v>
      </c>
      <c r="X311" s="9">
        <f t="shared" ca="1" si="111"/>
        <v>21119.026608576445</v>
      </c>
      <c r="Y311" s="9">
        <f t="shared" ca="1" si="111"/>
        <v>21314.557839744444</v>
      </c>
      <c r="Z311" s="9">
        <f t="shared" ca="1" si="111"/>
        <v>21314.557839744444</v>
      </c>
      <c r="AA311" s="9">
        <f t="shared" ca="1" si="111"/>
        <v>21314.557839744444</v>
      </c>
      <c r="AB311" s="9">
        <f t="shared" ca="1" si="111"/>
        <v>21510.089070912443</v>
      </c>
      <c r="AC311" s="9">
        <f t="shared" ca="1" si="111"/>
        <v>21200.850403510045</v>
      </c>
      <c r="AD311" s="9"/>
      <c r="AE311" s="9"/>
      <c r="AF311" s="9"/>
      <c r="AG311" s="9"/>
      <c r="AH311" s="9"/>
      <c r="AI311" s="9"/>
      <c r="AJ311" s="9"/>
      <c r="AK311" s="9"/>
      <c r="AL311" s="9"/>
      <c r="AM311" s="9"/>
      <c r="AN311" s="9"/>
      <c r="AO311" s="9"/>
      <c r="AP311" s="9"/>
      <c r="AQ311" s="9"/>
      <c r="AR311" s="9"/>
      <c r="AS311" s="9"/>
      <c r="AT311" s="9"/>
      <c r="AU311" s="9"/>
      <c r="AV311" s="9"/>
      <c r="AW311" s="9"/>
    </row>
    <row r="312" spans="3:49">
      <c r="C312">
        <v>15</v>
      </c>
      <c r="D312" s="9">
        <f t="shared" si="107"/>
        <v>18282.02221103619</v>
      </c>
      <c r="E312" s="9">
        <f t="shared" si="108"/>
        <v>18282.02221103619</v>
      </c>
      <c r="F312" s="9">
        <f t="shared" si="109"/>
        <v>18282.02221103619</v>
      </c>
      <c r="G312" s="9">
        <f t="shared" si="110"/>
        <v>18282.02221103619</v>
      </c>
      <c r="H312" s="9">
        <f t="shared" si="110"/>
        <v>18282.02221103619</v>
      </c>
      <c r="I312" s="9">
        <f t="shared" ca="1" si="112"/>
        <v>18544.822211036189</v>
      </c>
      <c r="J312" s="9">
        <f t="shared" ca="1" si="112"/>
        <v>18838.11905778819</v>
      </c>
      <c r="K312" s="9">
        <f t="shared" ca="1" si="111"/>
        <v>18838.11905778819</v>
      </c>
      <c r="L312" s="9">
        <f t="shared" ca="1" si="111"/>
        <v>20143.141842598317</v>
      </c>
      <c r="M312" s="9">
        <f t="shared" ca="1" si="111"/>
        <v>21448.164627408445</v>
      </c>
      <c r="N312" s="9">
        <f t="shared" ca="1" si="111"/>
        <v>21448.164627408445</v>
      </c>
      <c r="O312" s="9">
        <f t="shared" ca="1" si="111"/>
        <v>21448.164627408445</v>
      </c>
      <c r="P312" s="9">
        <f t="shared" ca="1" si="111"/>
        <v>21448.164627408445</v>
      </c>
      <c r="Q312" s="9">
        <f t="shared" ca="1" si="111"/>
        <v>21448.164627408445</v>
      </c>
      <c r="R312" s="9">
        <f t="shared" ca="1" si="111"/>
        <v>21448.164627408445</v>
      </c>
      <c r="S312" s="9">
        <f t="shared" ref="S312:S317" ca="1" si="113">S290+S311</f>
        <v>21448.164627408445</v>
      </c>
      <c r="T312" s="9">
        <f t="shared" ref="T312:T317" ca="1" si="114">T290+T311</f>
        <v>21448.164627408445</v>
      </c>
      <c r="U312" s="9">
        <f t="shared" ref="U312:U317" ca="1" si="115">U290+U311</f>
        <v>21448.164627408445</v>
      </c>
      <c r="V312" s="9">
        <f t="shared" ref="V312:V317" ca="1" si="116">V290+V311</f>
        <v>21643.695858576444</v>
      </c>
      <c r="W312" s="9">
        <f t="shared" ref="W312:W317" ca="1" si="117">W290+W311</f>
        <v>21643.695858576444</v>
      </c>
      <c r="X312" s="9">
        <f t="shared" ref="X312:X317" ca="1" si="118">X290+X311</f>
        <v>21643.695858576444</v>
      </c>
      <c r="Y312" s="9">
        <f t="shared" ref="Y312:Y317" ca="1" si="119">Y290+Y311</f>
        <v>21839.227089744443</v>
      </c>
      <c r="Z312" s="9">
        <f t="shared" ref="Z312:Z317" ca="1" si="120">Z290+Z311</f>
        <v>21839.227089744443</v>
      </c>
      <c r="AA312" s="9">
        <f t="shared" ref="AA312:AA317" ca="1" si="121">AA290+AA311</f>
        <v>21839.227089744443</v>
      </c>
      <c r="AB312" s="9">
        <f t="shared" ref="AB312:AB317" ca="1" si="122">AB290+AB311</f>
        <v>22034.758320912442</v>
      </c>
      <c r="AC312" s="9">
        <f t="shared" ref="AC312:AC317" ca="1" si="123">AC290+AC311</f>
        <v>21725.519653510044</v>
      </c>
      <c r="AD312" s="9"/>
      <c r="AE312" s="9"/>
      <c r="AF312" s="9"/>
      <c r="AG312" s="9"/>
      <c r="AH312" s="9"/>
      <c r="AI312" s="9"/>
      <c r="AJ312" s="9"/>
      <c r="AK312" s="9"/>
      <c r="AL312" s="9"/>
      <c r="AM312" s="9"/>
      <c r="AN312" s="9"/>
      <c r="AO312" s="9"/>
      <c r="AP312" s="9"/>
      <c r="AQ312" s="9"/>
      <c r="AR312" s="9"/>
      <c r="AS312" s="9"/>
      <c r="AT312" s="9"/>
      <c r="AU312" s="9"/>
      <c r="AV312" s="9"/>
      <c r="AW312" s="9"/>
    </row>
    <row r="313" spans="3:49">
      <c r="C313">
        <v>16</v>
      </c>
      <c r="D313" s="9">
        <f t="shared" si="107"/>
        <v>19784.143211036189</v>
      </c>
      <c r="E313" s="9">
        <f t="shared" si="108"/>
        <v>19784.143211036189</v>
      </c>
      <c r="F313" s="9">
        <f t="shared" si="109"/>
        <v>19784.143211036189</v>
      </c>
      <c r="G313" s="9">
        <f t="shared" si="110"/>
        <v>19784.143211036189</v>
      </c>
      <c r="H313" s="9">
        <f t="shared" si="110"/>
        <v>19784.143211036189</v>
      </c>
      <c r="I313" s="9">
        <f t="shared" ca="1" si="112"/>
        <v>20046.943211036189</v>
      </c>
      <c r="J313" s="9">
        <f t="shared" ca="1" si="112"/>
        <v>20340.240057788189</v>
      </c>
      <c r="K313" s="9">
        <f t="shared" ref="K313:R317" ca="1" si="124">K291+K312</f>
        <v>20340.240057788189</v>
      </c>
      <c r="L313" s="9">
        <f t="shared" ca="1" si="124"/>
        <v>21645.262842598317</v>
      </c>
      <c r="M313" s="9">
        <f t="shared" ca="1" si="124"/>
        <v>22950.285627408444</v>
      </c>
      <c r="N313" s="9">
        <f t="shared" ca="1" si="124"/>
        <v>22950.285627408444</v>
      </c>
      <c r="O313" s="9">
        <f t="shared" ca="1" si="124"/>
        <v>22950.285627408444</v>
      </c>
      <c r="P313" s="9">
        <f t="shared" ca="1" si="124"/>
        <v>22950.285627408444</v>
      </c>
      <c r="Q313" s="9">
        <f t="shared" ca="1" si="124"/>
        <v>22950.285627408444</v>
      </c>
      <c r="R313" s="9">
        <f t="shared" ca="1" si="124"/>
        <v>22950.285627408444</v>
      </c>
      <c r="S313" s="9">
        <f t="shared" ca="1" si="113"/>
        <v>22950.285627408444</v>
      </c>
      <c r="T313" s="9">
        <f t="shared" ca="1" si="114"/>
        <v>22950.285627408444</v>
      </c>
      <c r="U313" s="9">
        <f t="shared" ca="1" si="115"/>
        <v>22950.285627408444</v>
      </c>
      <c r="V313" s="9">
        <f t="shared" ca="1" si="116"/>
        <v>23145.816858576443</v>
      </c>
      <c r="W313" s="9">
        <f t="shared" ca="1" si="117"/>
        <v>23145.816858576443</v>
      </c>
      <c r="X313" s="9">
        <f t="shared" ca="1" si="118"/>
        <v>23145.816858576443</v>
      </c>
      <c r="Y313" s="9">
        <f t="shared" ca="1" si="119"/>
        <v>23341.348089744442</v>
      </c>
      <c r="Z313" s="9">
        <f t="shared" ca="1" si="120"/>
        <v>23341.348089744442</v>
      </c>
      <c r="AA313" s="9">
        <f t="shared" ca="1" si="121"/>
        <v>23341.348089744442</v>
      </c>
      <c r="AB313" s="9">
        <f t="shared" ca="1" si="122"/>
        <v>23536.879320912441</v>
      </c>
      <c r="AC313" s="9">
        <f t="shared" ca="1" si="123"/>
        <v>23227.640653510043</v>
      </c>
      <c r="AD313" s="9"/>
      <c r="AE313" s="9"/>
      <c r="AF313" s="9"/>
      <c r="AG313" s="9"/>
      <c r="AH313" s="9"/>
      <c r="AI313" s="9"/>
      <c r="AJ313" s="9"/>
      <c r="AK313" s="9"/>
      <c r="AL313" s="9"/>
      <c r="AM313" s="9"/>
      <c r="AN313" s="9"/>
      <c r="AO313" s="9"/>
      <c r="AP313" s="9"/>
      <c r="AQ313" s="9"/>
      <c r="AR313" s="9"/>
      <c r="AS313" s="9"/>
      <c r="AT313" s="9"/>
      <c r="AU313" s="9"/>
      <c r="AV313" s="9"/>
      <c r="AW313" s="9"/>
    </row>
    <row r="314" spans="3:49">
      <c r="C314">
        <v>17</v>
      </c>
      <c r="D314" s="9">
        <f t="shared" si="107"/>
        <v>89497.858057126636</v>
      </c>
      <c r="E314" s="9">
        <f t="shared" si="108"/>
        <v>89497.858057126636</v>
      </c>
      <c r="F314" s="9">
        <f t="shared" si="109"/>
        <v>89497.858057126636</v>
      </c>
      <c r="G314" s="9">
        <f t="shared" si="110"/>
        <v>89497.858057126636</v>
      </c>
      <c r="H314" s="9">
        <f t="shared" si="110"/>
        <v>89497.858057126636</v>
      </c>
      <c r="I314" s="9">
        <f t="shared" ca="1" si="112"/>
        <v>89760.658057126624</v>
      </c>
      <c r="J314" s="9">
        <f t="shared" ca="1" si="112"/>
        <v>90053.954903878635</v>
      </c>
      <c r="K314" s="9">
        <f t="shared" ca="1" si="124"/>
        <v>90053.954903878635</v>
      </c>
      <c r="L314" s="9">
        <f t="shared" ca="1" si="124"/>
        <v>91358.977688688756</v>
      </c>
      <c r="M314" s="9">
        <f t="shared" ca="1" si="124"/>
        <v>92664.000473498891</v>
      </c>
      <c r="N314" s="9">
        <f t="shared" ca="1" si="124"/>
        <v>92664.000473498891</v>
      </c>
      <c r="O314" s="9">
        <f t="shared" ca="1" si="124"/>
        <v>92664.000473498891</v>
      </c>
      <c r="P314" s="9">
        <f t="shared" ca="1" si="124"/>
        <v>92664.000473498891</v>
      </c>
      <c r="Q314" s="9">
        <f t="shared" ca="1" si="124"/>
        <v>92664.000473498891</v>
      </c>
      <c r="R314" s="9">
        <f t="shared" ca="1" si="124"/>
        <v>92664.000473498891</v>
      </c>
      <c r="S314" s="9">
        <f t="shared" ca="1" si="113"/>
        <v>92664.000473498891</v>
      </c>
      <c r="T314" s="9">
        <f t="shared" ca="1" si="114"/>
        <v>92664.000473498891</v>
      </c>
      <c r="U314" s="9">
        <f t="shared" ca="1" si="115"/>
        <v>92664.000473498891</v>
      </c>
      <c r="V314" s="9">
        <f t="shared" ca="1" si="116"/>
        <v>92859.531704666879</v>
      </c>
      <c r="W314" s="9">
        <f t="shared" ca="1" si="117"/>
        <v>90251.358854266728</v>
      </c>
      <c r="X314" s="9">
        <f t="shared" ca="1" si="118"/>
        <v>87643.186003866576</v>
      </c>
      <c r="Y314" s="9">
        <f t="shared" ca="1" si="119"/>
        <v>84578.501172034375</v>
      </c>
      <c r="Z314" s="9">
        <f t="shared" ca="1" si="120"/>
        <v>81318.285109034172</v>
      </c>
      <c r="AA314" s="9">
        <f t="shared" ca="1" si="121"/>
        <v>77371.707769612898</v>
      </c>
      <c r="AB314" s="9">
        <f t="shared" ca="1" si="122"/>
        <v>69674.08432193831</v>
      </c>
      <c r="AC314" s="9">
        <f t="shared" ca="1" si="123"/>
        <v>65418.268315114634</v>
      </c>
      <c r="AD314" s="9"/>
      <c r="AE314" s="9"/>
      <c r="AF314" s="9"/>
      <c r="AG314" s="9"/>
      <c r="AH314" s="9"/>
      <c r="AI314" s="9"/>
      <c r="AJ314" s="9"/>
      <c r="AK314" s="9"/>
      <c r="AL314" s="9"/>
      <c r="AM314" s="9"/>
      <c r="AN314" s="9"/>
      <c r="AO314" s="9"/>
      <c r="AP314" s="9"/>
      <c r="AQ314" s="9"/>
      <c r="AR314" s="9"/>
      <c r="AS314" s="9"/>
      <c r="AT314" s="9"/>
      <c r="AU314" s="9"/>
      <c r="AV314" s="9"/>
      <c r="AW314" s="9"/>
    </row>
    <row r="315" spans="3:49">
      <c r="C315">
        <v>18</v>
      </c>
      <c r="D315" s="9">
        <f t="shared" si="107"/>
        <v>89497.858057126636</v>
      </c>
      <c r="E315" s="9">
        <f t="shared" si="108"/>
        <v>89497.858057126636</v>
      </c>
      <c r="F315" s="9">
        <f t="shared" si="109"/>
        <v>89497.858057126636</v>
      </c>
      <c r="G315" s="9">
        <f t="shared" ref="G315:H317" si="125">G293+G314</f>
        <v>89497.858057126636</v>
      </c>
      <c r="H315" s="9">
        <f t="shared" si="125"/>
        <v>89497.858057126636</v>
      </c>
      <c r="I315" s="9">
        <f t="shared" ca="1" si="112"/>
        <v>89760.658057126624</v>
      </c>
      <c r="J315" s="9">
        <f t="shared" ca="1" si="112"/>
        <v>90053.954903878635</v>
      </c>
      <c r="K315" s="9">
        <f t="shared" ca="1" si="124"/>
        <v>90053.954903878635</v>
      </c>
      <c r="L315" s="9">
        <f t="shared" ca="1" si="124"/>
        <v>91358.977688688756</v>
      </c>
      <c r="M315" s="9">
        <f t="shared" ca="1" si="124"/>
        <v>92664.000473498891</v>
      </c>
      <c r="N315" s="9">
        <f t="shared" ca="1" si="124"/>
        <v>92664.000473498891</v>
      </c>
      <c r="O315" s="9">
        <f t="shared" ca="1" si="124"/>
        <v>92664.000473498891</v>
      </c>
      <c r="P315" s="9">
        <f t="shared" ca="1" si="124"/>
        <v>92664.000473498891</v>
      </c>
      <c r="Q315" s="9">
        <f t="shared" ca="1" si="124"/>
        <v>92664.000473498891</v>
      </c>
      <c r="R315" s="9">
        <f t="shared" ca="1" si="124"/>
        <v>92664.000473498891</v>
      </c>
      <c r="S315" s="9">
        <f t="shared" ca="1" si="113"/>
        <v>92664.000473498891</v>
      </c>
      <c r="T315" s="9">
        <f t="shared" ca="1" si="114"/>
        <v>92664.000473498891</v>
      </c>
      <c r="U315" s="9">
        <f t="shared" ca="1" si="115"/>
        <v>92664.000473498891</v>
      </c>
      <c r="V315" s="9">
        <f t="shared" ca="1" si="116"/>
        <v>92859.531704666879</v>
      </c>
      <c r="W315" s="9">
        <f t="shared" ca="1" si="117"/>
        <v>90251.358854266728</v>
      </c>
      <c r="X315" s="9">
        <f t="shared" ca="1" si="118"/>
        <v>87643.186003866576</v>
      </c>
      <c r="Y315" s="9">
        <f t="shared" ca="1" si="119"/>
        <v>84578.501172034375</v>
      </c>
      <c r="Z315" s="9">
        <f t="shared" ca="1" si="120"/>
        <v>81318.285109034172</v>
      </c>
      <c r="AA315" s="9">
        <f t="shared" ca="1" si="121"/>
        <v>77371.707769612898</v>
      </c>
      <c r="AB315" s="9">
        <f t="shared" ca="1" si="122"/>
        <v>69674.08432193831</v>
      </c>
      <c r="AC315" s="9">
        <f t="shared" ca="1" si="123"/>
        <v>65418.268315114634</v>
      </c>
      <c r="AD315" s="9"/>
      <c r="AE315" s="9"/>
      <c r="AF315" s="9"/>
      <c r="AG315" s="9"/>
      <c r="AH315" s="9"/>
      <c r="AI315" s="9"/>
      <c r="AJ315" s="9"/>
      <c r="AK315" s="9"/>
      <c r="AL315" s="9"/>
      <c r="AM315" s="9"/>
      <c r="AN315" s="9"/>
      <c r="AO315" s="9"/>
      <c r="AP315" s="9"/>
      <c r="AQ315" s="9"/>
      <c r="AR315" s="9"/>
      <c r="AS315" s="9"/>
      <c r="AT315" s="9"/>
      <c r="AU315" s="9"/>
      <c r="AV315" s="9"/>
      <c r="AW315" s="9"/>
    </row>
    <row r="316" spans="3:49">
      <c r="C316">
        <v>19</v>
      </c>
      <c r="D316" s="9">
        <f t="shared" si="107"/>
        <v>100978.96610872824</v>
      </c>
      <c r="E316" s="9">
        <f t="shared" si="108"/>
        <v>100978.96610872824</v>
      </c>
      <c r="F316" s="9">
        <f t="shared" si="109"/>
        <v>89497.858057126636</v>
      </c>
      <c r="G316" s="9">
        <f t="shared" si="125"/>
        <v>89497.858057126636</v>
      </c>
      <c r="H316" s="9">
        <f t="shared" si="125"/>
        <v>89497.858057126636</v>
      </c>
      <c r="I316" s="9">
        <f t="shared" ca="1" si="112"/>
        <v>89760.658057126624</v>
      </c>
      <c r="J316" s="9">
        <f t="shared" ca="1" si="112"/>
        <v>90053.954903878635</v>
      </c>
      <c r="K316" s="9">
        <f t="shared" ca="1" si="124"/>
        <v>91747.691486878641</v>
      </c>
      <c r="L316" s="9">
        <f t="shared" ca="1" si="124"/>
        <v>96440.187437688757</v>
      </c>
      <c r="M316" s="9">
        <f t="shared" ca="1" si="124"/>
        <v>102826.41997149889</v>
      </c>
      <c r="N316" s="9">
        <f t="shared" ca="1" si="124"/>
        <v>107907.6297204989</v>
      </c>
      <c r="O316" s="9">
        <f t="shared" ca="1" si="124"/>
        <v>111295.10288649889</v>
      </c>
      <c r="P316" s="9">
        <f t="shared" ca="1" si="124"/>
        <v>114682.5760524989</v>
      </c>
      <c r="Q316" s="9">
        <f t="shared" ca="1" si="124"/>
        <v>119763.7858014989</v>
      </c>
      <c r="R316" s="9">
        <f t="shared" ca="1" si="124"/>
        <v>124844.99555049889</v>
      </c>
      <c r="S316" s="9">
        <f t="shared" ca="1" si="113"/>
        <v>129926.20529949889</v>
      </c>
      <c r="T316" s="9">
        <f t="shared" ca="1" si="114"/>
        <v>136701.15163149891</v>
      </c>
      <c r="U316" s="9">
        <f t="shared" ca="1" si="115"/>
        <v>143476.09796349891</v>
      </c>
      <c r="V316" s="9">
        <f t="shared" ca="1" si="116"/>
        <v>148752.83894366689</v>
      </c>
      <c r="W316" s="9">
        <f t="shared" ca="1" si="117"/>
        <v>152919.61242526677</v>
      </c>
      <c r="X316" s="9">
        <f t="shared" ca="1" si="118"/>
        <v>157086.38590686661</v>
      </c>
      <c r="Y316" s="9">
        <f t="shared" ca="1" si="119"/>
        <v>162490.3839900344</v>
      </c>
      <c r="Z316" s="9">
        <f t="shared" ca="1" si="120"/>
        <v>167698.85084203421</v>
      </c>
      <c r="AA316" s="9">
        <f t="shared" ca="1" si="121"/>
        <v>172220.95641761291</v>
      </c>
      <c r="AB316" s="9">
        <f t="shared" ca="1" si="122"/>
        <v>174685.75246793835</v>
      </c>
      <c r="AC316" s="9">
        <f t="shared" ca="1" si="123"/>
        <v>180592.35595911468</v>
      </c>
      <c r="AD316" s="9"/>
      <c r="AE316" s="9"/>
      <c r="AF316" s="9"/>
      <c r="AG316" s="9"/>
      <c r="AH316" s="9"/>
      <c r="AI316" s="9"/>
      <c r="AJ316" s="9"/>
      <c r="AK316" s="9"/>
      <c r="AL316" s="9"/>
      <c r="AM316" s="9"/>
      <c r="AN316" s="9"/>
      <c r="AO316" s="9"/>
      <c r="AP316" s="9"/>
      <c r="AQ316" s="9"/>
      <c r="AR316" s="9"/>
      <c r="AS316" s="9"/>
      <c r="AT316" s="9"/>
      <c r="AU316" s="9"/>
      <c r="AV316" s="9"/>
      <c r="AW316" s="9"/>
    </row>
    <row r="317" spans="3:49">
      <c r="C317">
        <v>20</v>
      </c>
      <c r="D317" s="9">
        <f t="shared" si="107"/>
        <v>100978.96610872824</v>
      </c>
      <c r="E317" s="9">
        <f t="shared" si="108"/>
        <v>100978.96610872824</v>
      </c>
      <c r="F317" s="9">
        <f t="shared" si="109"/>
        <v>100978.96610872824</v>
      </c>
      <c r="G317" s="9">
        <f t="shared" si="125"/>
        <v>100978.96610872824</v>
      </c>
      <c r="H317" s="9">
        <f t="shared" si="125"/>
        <v>100978.96610872824</v>
      </c>
      <c r="I317" s="9">
        <f t="shared" ca="1" si="112"/>
        <v>102684.70970294609</v>
      </c>
      <c r="J317" s="9">
        <f t="shared" ca="1" si="112"/>
        <v>103831.5193052823</v>
      </c>
      <c r="K317" s="9">
        <f t="shared" ca="1" si="124"/>
        <v>105525.25588828229</v>
      </c>
      <c r="L317" s="9">
        <f t="shared" ca="1" si="124"/>
        <v>110217.75183909241</v>
      </c>
      <c r="M317" s="9">
        <f t="shared" ca="1" si="124"/>
        <v>116603.98437290255</v>
      </c>
      <c r="N317" s="9">
        <f t="shared" ca="1" si="124"/>
        <v>121685.19412190255</v>
      </c>
      <c r="O317" s="9">
        <f t="shared" ca="1" si="124"/>
        <v>124993.44271281738</v>
      </c>
      <c r="P317" s="9">
        <f t="shared" ca="1" si="124"/>
        <v>128301.69130373222</v>
      </c>
      <c r="Q317" s="9">
        <f t="shared" ca="1" si="124"/>
        <v>133277.26828595201</v>
      </c>
      <c r="R317" s="9">
        <f t="shared" ca="1" si="124"/>
        <v>138252.84526817178</v>
      </c>
      <c r="S317" s="9">
        <f t="shared" ca="1" si="113"/>
        <v>141327.03244834754</v>
      </c>
      <c r="T317" s="9">
        <f t="shared" ca="1" si="114"/>
        <v>146094.9562115233</v>
      </c>
      <c r="U317" s="9">
        <f t="shared" ca="1" si="115"/>
        <v>152869.90254352329</v>
      </c>
      <c r="V317" s="9">
        <f t="shared" ca="1" si="116"/>
        <v>158146.64352369128</v>
      </c>
      <c r="W317" s="9">
        <f t="shared" ca="1" si="117"/>
        <v>162313.41700529115</v>
      </c>
      <c r="X317" s="9">
        <f t="shared" ca="1" si="118"/>
        <v>165555.43429860056</v>
      </c>
      <c r="Y317" s="9">
        <f t="shared" ca="1" si="119"/>
        <v>170034.67619347796</v>
      </c>
      <c r="Z317" s="9">
        <f t="shared" ca="1" si="120"/>
        <v>175243.14304547777</v>
      </c>
      <c r="AA317" s="9">
        <f t="shared" ca="1" si="121"/>
        <v>179765.24862105647</v>
      </c>
      <c r="AB317" s="9">
        <f t="shared" ca="1" si="122"/>
        <v>182230.04467138191</v>
      </c>
      <c r="AC317" s="9">
        <f t="shared" ca="1" si="123"/>
        <v>188136.64816255824</v>
      </c>
      <c r="AD317" s="9"/>
      <c r="AE317" s="9"/>
      <c r="AF317" s="9"/>
      <c r="AG317" s="9"/>
      <c r="AH317" s="9"/>
      <c r="AI317" s="9"/>
      <c r="AJ317" s="9"/>
      <c r="AK317" s="9"/>
      <c r="AL317" s="9"/>
      <c r="AM317" s="9"/>
      <c r="AN317" s="9"/>
      <c r="AO317" s="9"/>
      <c r="AP317" s="9"/>
      <c r="AQ317" s="9"/>
      <c r="AR317" s="9"/>
      <c r="AS317" s="9"/>
      <c r="AT317" s="9"/>
      <c r="AU317" s="9"/>
      <c r="AV317" s="9"/>
      <c r="AW317" s="9"/>
    </row>
    <row r="318" spans="3:49">
      <c r="D318" s="9"/>
      <c r="E318" s="9"/>
      <c r="F318" s="9"/>
      <c r="G318" s="9"/>
      <c r="H318" s="9"/>
      <c r="I318" s="9"/>
      <c r="J318" s="9"/>
      <c r="K318" s="9"/>
      <c r="L318" s="9"/>
      <c r="M318" s="9"/>
      <c r="N318" s="9"/>
      <c r="O318" s="9"/>
      <c r="P318" s="9"/>
      <c r="Q318" s="9"/>
      <c r="R318" s="9"/>
      <c r="S318" s="9"/>
      <c r="T318" s="9"/>
      <c r="U318" s="9"/>
      <c r="V318" s="9"/>
      <c r="W318" s="9"/>
      <c r="X318" s="9"/>
      <c r="Y318" s="9"/>
      <c r="Z318" s="9"/>
      <c r="AA318" s="9"/>
      <c r="AB318" s="9"/>
      <c r="AC318" s="9"/>
      <c r="AD318" s="9"/>
      <c r="AE318" s="9"/>
      <c r="AF318" s="9"/>
      <c r="AG318" s="9"/>
      <c r="AH318" s="9"/>
      <c r="AI318" s="9"/>
      <c r="AJ318" s="9"/>
      <c r="AK318" s="9"/>
      <c r="AL318" s="9"/>
      <c r="AM318" s="9"/>
      <c r="AN318" s="9"/>
      <c r="AO318" s="9"/>
      <c r="AP318" s="9"/>
      <c r="AQ318" s="9"/>
      <c r="AR318" s="9"/>
      <c r="AS318" s="9"/>
      <c r="AT318" s="9"/>
      <c r="AU318" s="9"/>
      <c r="AV318" s="9"/>
      <c r="AW318" s="9"/>
    </row>
    <row r="319" spans="3:49">
      <c r="C319" s="4" t="s">
        <v>232</v>
      </c>
      <c r="D319" s="9"/>
      <c r="E319" s="9"/>
      <c r="F319" s="9"/>
      <c r="G319" s="9"/>
      <c r="H319" s="9"/>
      <c r="I319" s="9"/>
      <c r="J319" s="9"/>
      <c r="K319" s="9"/>
      <c r="L319" s="9"/>
      <c r="M319" s="9"/>
      <c r="N319" s="9"/>
      <c r="O319" s="9"/>
      <c r="P319" s="9"/>
      <c r="Q319" s="9"/>
      <c r="R319" s="9"/>
      <c r="S319" s="9"/>
      <c r="T319" s="9"/>
      <c r="U319" s="9"/>
      <c r="V319" s="9"/>
      <c r="W319" s="9"/>
      <c r="X319" s="9"/>
      <c r="Y319" s="9"/>
      <c r="Z319" s="9"/>
      <c r="AA319" s="9"/>
      <c r="AB319" s="9"/>
      <c r="AC319" s="9"/>
      <c r="AD319" s="9"/>
      <c r="AE319" s="9"/>
      <c r="AF319" s="9"/>
      <c r="AG319" s="9"/>
      <c r="AH319" s="9"/>
      <c r="AI319" s="9"/>
      <c r="AJ319" s="9"/>
      <c r="AK319" s="9"/>
      <c r="AL319" s="9"/>
      <c r="AM319" s="9"/>
      <c r="AN319" s="9"/>
      <c r="AO319" s="9"/>
      <c r="AP319" s="9"/>
      <c r="AQ319" s="9"/>
      <c r="AR319" s="9"/>
      <c r="AS319" s="9"/>
      <c r="AT319" s="9"/>
      <c r="AU319" s="9"/>
      <c r="AV319" s="9"/>
      <c r="AW319" s="9"/>
    </row>
    <row r="320" spans="3:49">
      <c r="C320" s="11" t="s">
        <v>230</v>
      </c>
      <c r="D320" s="9"/>
      <c r="E320" s="9"/>
      <c r="F320" s="9"/>
      <c r="G320" s="9"/>
      <c r="H320" s="9"/>
      <c r="I320" s="9"/>
      <c r="J320" s="9"/>
      <c r="K320" s="9"/>
      <c r="L320" s="9"/>
      <c r="M320" s="9"/>
      <c r="N320" s="9"/>
      <c r="O320" s="9"/>
      <c r="P320" s="9"/>
      <c r="Q320" s="9"/>
      <c r="R320" s="9"/>
      <c r="S320" s="9"/>
      <c r="T320" s="9"/>
      <c r="U320" s="9"/>
      <c r="V320" s="9"/>
      <c r="W320" s="9"/>
      <c r="X320" s="9"/>
      <c r="Y320" s="9"/>
      <c r="Z320" s="9"/>
      <c r="AA320" s="9"/>
      <c r="AB320" s="9"/>
      <c r="AC320" s="9"/>
      <c r="AD320" s="9"/>
      <c r="AE320" s="9"/>
      <c r="AF320" s="9"/>
      <c r="AG320" s="9"/>
      <c r="AH320" s="9"/>
      <c r="AI320" s="9"/>
      <c r="AJ320" s="9"/>
      <c r="AK320" s="9"/>
      <c r="AL320" s="9"/>
      <c r="AM320" s="9"/>
      <c r="AN320" s="9"/>
      <c r="AO320" s="9"/>
      <c r="AP320" s="9"/>
      <c r="AQ320" s="9"/>
      <c r="AR320" s="9"/>
      <c r="AS320" s="9"/>
      <c r="AT320" s="9"/>
      <c r="AU320" s="9"/>
      <c r="AV320" s="9"/>
      <c r="AW320" s="9"/>
    </row>
    <row r="321" spans="3:49">
      <c r="C321">
        <v>1</v>
      </c>
      <c r="D321" s="9">
        <f>IF(D317+D239&lt;D$271,D239,D$271-D317)</f>
        <v>0</v>
      </c>
      <c r="E321" s="9">
        <f>IF(E317+E239&lt;E$271,E239,E$271-E317)</f>
        <v>0</v>
      </c>
      <c r="F321" s="9">
        <f>IF(F317+F239&lt;F$271,F239,F$271-F317)</f>
        <v>0</v>
      </c>
      <c r="G321" s="9">
        <f>IF(G317+G239&lt;G$271,G239,G$271-G317)</f>
        <v>0</v>
      </c>
      <c r="H321" s="9">
        <f>IF(H317+H239&lt;H$271,H239,H$271-H317)</f>
        <v>0</v>
      </c>
      <c r="I321" s="9">
        <f t="shared" ref="I321:AC321" ca="1" si="126">IF(I317+I239&lt;I$271,I239,I$271-I317)</f>
        <v>0</v>
      </c>
      <c r="J321" s="9">
        <f t="shared" ca="1" si="126"/>
        <v>0</v>
      </c>
      <c r="K321" s="9">
        <f t="shared" ca="1" si="126"/>
        <v>0</v>
      </c>
      <c r="L321" s="9">
        <f t="shared" ca="1" si="126"/>
        <v>0</v>
      </c>
      <c r="M321" s="9">
        <f t="shared" ca="1" si="126"/>
        <v>0</v>
      </c>
      <c r="N321" s="9">
        <f t="shared" ca="1" si="126"/>
        <v>0</v>
      </c>
      <c r="O321" s="9">
        <f t="shared" ca="1" si="126"/>
        <v>0</v>
      </c>
      <c r="P321" s="9">
        <f t="shared" ca="1" si="126"/>
        <v>0</v>
      </c>
      <c r="Q321" s="9">
        <f t="shared" ca="1" si="126"/>
        <v>0</v>
      </c>
      <c r="R321" s="9">
        <f t="shared" ca="1" si="126"/>
        <v>0</v>
      </c>
      <c r="S321" s="9">
        <f t="shared" ca="1" si="126"/>
        <v>0</v>
      </c>
      <c r="T321" s="9">
        <f t="shared" ca="1" si="126"/>
        <v>0</v>
      </c>
      <c r="U321" s="9">
        <f t="shared" ca="1" si="126"/>
        <v>0</v>
      </c>
      <c r="V321" s="9">
        <f t="shared" ca="1" si="126"/>
        <v>0</v>
      </c>
      <c r="W321" s="9">
        <f t="shared" ca="1" si="126"/>
        <v>0</v>
      </c>
      <c r="X321" s="9">
        <f t="shared" ca="1" si="126"/>
        <v>0</v>
      </c>
      <c r="Y321" s="9">
        <f t="shared" ca="1" si="126"/>
        <v>0</v>
      </c>
      <c r="Z321" s="9">
        <f t="shared" ca="1" si="126"/>
        <v>0</v>
      </c>
      <c r="AA321" s="9">
        <f t="shared" ca="1" si="126"/>
        <v>0</v>
      </c>
      <c r="AB321" s="9">
        <f t="shared" ca="1" si="126"/>
        <v>0</v>
      </c>
      <c r="AC321" s="9">
        <f t="shared" ca="1" si="126"/>
        <v>0</v>
      </c>
      <c r="AD321" s="9"/>
      <c r="AE321" s="9"/>
      <c r="AF321" s="9"/>
      <c r="AG321" s="9"/>
      <c r="AH321" s="9"/>
      <c r="AI321" s="9"/>
      <c r="AJ321" s="9"/>
      <c r="AK321" s="9"/>
      <c r="AL321" s="9"/>
      <c r="AM321" s="9"/>
      <c r="AN321" s="9"/>
      <c r="AO321" s="9"/>
      <c r="AP321" s="9"/>
      <c r="AQ321" s="9"/>
      <c r="AR321" s="9"/>
      <c r="AS321" s="9"/>
      <c r="AT321" s="9"/>
      <c r="AU321" s="9"/>
      <c r="AV321" s="9"/>
      <c r="AW321" s="9"/>
    </row>
    <row r="322" spans="3:49">
      <c r="C322">
        <v>2</v>
      </c>
      <c r="D322" s="9">
        <f t="shared" ref="D322:H331" si="127">IF(D343+D240&lt;D$271,D240,D$271-D343)</f>
        <v>66.660329523809537</v>
      </c>
      <c r="E322" s="9">
        <f t="shared" si="127"/>
        <v>66.660329523809537</v>
      </c>
      <c r="F322" s="9">
        <f t="shared" si="127"/>
        <v>66.660329523809537</v>
      </c>
      <c r="G322" s="9">
        <f t="shared" si="127"/>
        <v>66.660329523809537</v>
      </c>
      <c r="H322" s="9">
        <f t="shared" si="127"/>
        <v>66.660329523809537</v>
      </c>
      <c r="I322" s="9">
        <f t="shared" ref="I322:AC322" ca="1" si="128">IF(I343+I240&lt;I$271,I240,I$271-I343)</f>
        <v>66.660329523809537</v>
      </c>
      <c r="J322" s="9">
        <f t="shared" ca="1" si="128"/>
        <v>66.660329523809537</v>
      </c>
      <c r="K322" s="9">
        <f t="shared" ca="1" si="128"/>
        <v>66.660329523809537</v>
      </c>
      <c r="L322" s="9">
        <f t="shared" ca="1" si="128"/>
        <v>66.660329523809537</v>
      </c>
      <c r="M322" s="9">
        <f t="shared" ca="1" si="128"/>
        <v>66.660329523809537</v>
      </c>
      <c r="N322" s="9">
        <f t="shared" ca="1" si="128"/>
        <v>66.660329523809537</v>
      </c>
      <c r="O322" s="9">
        <f t="shared" ca="1" si="128"/>
        <v>66.660329523809537</v>
      </c>
      <c r="P322" s="9">
        <f t="shared" ca="1" si="128"/>
        <v>66.660329523809537</v>
      </c>
      <c r="Q322" s="9">
        <f t="shared" ca="1" si="128"/>
        <v>66.660329523809537</v>
      </c>
      <c r="R322" s="9">
        <f t="shared" ca="1" si="128"/>
        <v>66.660329523809537</v>
      </c>
      <c r="S322" s="9">
        <f t="shared" ca="1" si="128"/>
        <v>66.660329523809537</v>
      </c>
      <c r="T322" s="9">
        <f t="shared" ca="1" si="128"/>
        <v>66.660329523809537</v>
      </c>
      <c r="U322" s="9">
        <f t="shared" ca="1" si="128"/>
        <v>66.660329523809537</v>
      </c>
      <c r="V322" s="9">
        <f t="shared" ca="1" si="128"/>
        <v>66.660329523809537</v>
      </c>
      <c r="W322" s="9">
        <f t="shared" ca="1" si="128"/>
        <v>66.660329523809537</v>
      </c>
      <c r="X322" s="9">
        <f t="shared" ca="1" si="128"/>
        <v>66.660329523809537</v>
      </c>
      <c r="Y322" s="9">
        <f t="shared" ca="1" si="128"/>
        <v>66.660329523809537</v>
      </c>
      <c r="Z322" s="9">
        <f t="shared" ca="1" si="128"/>
        <v>66.660329523809537</v>
      </c>
      <c r="AA322" s="9">
        <f t="shared" ca="1" si="128"/>
        <v>66.660329523809537</v>
      </c>
      <c r="AB322" s="9">
        <f t="shared" ca="1" si="128"/>
        <v>66.660329523809537</v>
      </c>
      <c r="AC322" s="9">
        <f t="shared" ca="1" si="128"/>
        <v>66.660329523809537</v>
      </c>
      <c r="AD322" s="9"/>
      <c r="AE322" s="9"/>
      <c r="AF322" s="9"/>
      <c r="AG322" s="9"/>
      <c r="AH322" s="9"/>
      <c r="AI322" s="9"/>
      <c r="AJ322" s="9"/>
      <c r="AK322" s="9"/>
      <c r="AL322" s="9"/>
      <c r="AM322" s="9"/>
      <c r="AN322" s="9"/>
      <c r="AO322" s="9"/>
      <c r="AP322" s="9"/>
      <c r="AQ322" s="9"/>
      <c r="AR322" s="9"/>
      <c r="AS322" s="9"/>
      <c r="AT322" s="9"/>
      <c r="AU322" s="9"/>
      <c r="AV322" s="9"/>
      <c r="AW322" s="9"/>
    </row>
    <row r="323" spans="3:49">
      <c r="C323">
        <v>3</v>
      </c>
      <c r="D323" s="9">
        <f t="shared" si="127"/>
        <v>0</v>
      </c>
      <c r="E323" s="9">
        <f t="shared" si="127"/>
        <v>0</v>
      </c>
      <c r="F323" s="9">
        <f t="shared" si="127"/>
        <v>0</v>
      </c>
      <c r="G323" s="9">
        <f t="shared" si="127"/>
        <v>0</v>
      </c>
      <c r="H323" s="9">
        <f t="shared" si="127"/>
        <v>0</v>
      </c>
      <c r="I323" s="9">
        <f t="shared" ref="I323:AC323" ca="1" si="129">IF(I344+I241&lt;I$271,I241,I$271-I344)</f>
        <v>0</v>
      </c>
      <c r="J323" s="9">
        <f t="shared" ca="1" si="129"/>
        <v>0</v>
      </c>
      <c r="K323" s="9">
        <f t="shared" ca="1" si="129"/>
        <v>0</v>
      </c>
      <c r="L323" s="9">
        <f t="shared" ca="1" si="129"/>
        <v>0</v>
      </c>
      <c r="M323" s="9">
        <f t="shared" ca="1" si="129"/>
        <v>0</v>
      </c>
      <c r="N323" s="9">
        <f t="shared" ca="1" si="129"/>
        <v>0</v>
      </c>
      <c r="O323" s="9">
        <f t="shared" ca="1" si="129"/>
        <v>0</v>
      </c>
      <c r="P323" s="9">
        <f t="shared" ca="1" si="129"/>
        <v>0</v>
      </c>
      <c r="Q323" s="9">
        <f t="shared" ca="1" si="129"/>
        <v>0</v>
      </c>
      <c r="R323" s="9">
        <f t="shared" ca="1" si="129"/>
        <v>0</v>
      </c>
      <c r="S323" s="9">
        <f t="shared" ca="1" si="129"/>
        <v>0</v>
      </c>
      <c r="T323" s="9">
        <f t="shared" ca="1" si="129"/>
        <v>0</v>
      </c>
      <c r="U323" s="9">
        <f t="shared" ca="1" si="129"/>
        <v>0</v>
      </c>
      <c r="V323" s="9">
        <f t="shared" ca="1" si="129"/>
        <v>0</v>
      </c>
      <c r="W323" s="9">
        <f t="shared" ca="1" si="129"/>
        <v>0</v>
      </c>
      <c r="X323" s="9">
        <f t="shared" ca="1" si="129"/>
        <v>0</v>
      </c>
      <c r="Y323" s="9">
        <f t="shared" ca="1" si="129"/>
        <v>0</v>
      </c>
      <c r="Z323" s="9">
        <f t="shared" ca="1" si="129"/>
        <v>0</v>
      </c>
      <c r="AA323" s="9">
        <f t="shared" ca="1" si="129"/>
        <v>0</v>
      </c>
      <c r="AB323" s="9">
        <f t="shared" ca="1" si="129"/>
        <v>0</v>
      </c>
      <c r="AC323" s="9">
        <f t="shared" ca="1" si="129"/>
        <v>0</v>
      </c>
      <c r="AD323" s="9"/>
      <c r="AE323" s="9"/>
      <c r="AF323" s="9"/>
      <c r="AG323" s="9"/>
      <c r="AH323" s="9"/>
      <c r="AI323" s="9"/>
      <c r="AJ323" s="9"/>
      <c r="AK323" s="9"/>
      <c r="AL323" s="9"/>
      <c r="AM323" s="9"/>
      <c r="AN323" s="9"/>
      <c r="AO323" s="9"/>
      <c r="AP323" s="9"/>
      <c r="AQ323" s="9"/>
      <c r="AR323" s="9"/>
      <c r="AS323" s="9"/>
      <c r="AT323" s="9"/>
      <c r="AU323" s="9"/>
      <c r="AV323" s="9"/>
      <c r="AW323" s="9"/>
    </row>
    <row r="324" spans="3:49">
      <c r="C324">
        <v>4</v>
      </c>
      <c r="D324" s="9">
        <f t="shared" si="127"/>
        <v>0</v>
      </c>
      <c r="E324" s="9">
        <f t="shared" si="127"/>
        <v>0</v>
      </c>
      <c r="F324" s="9">
        <f t="shared" si="127"/>
        <v>0</v>
      </c>
      <c r="G324" s="9">
        <f t="shared" si="127"/>
        <v>0</v>
      </c>
      <c r="H324" s="9">
        <f t="shared" si="127"/>
        <v>0</v>
      </c>
      <c r="I324" s="9">
        <f t="shared" ref="I324:AC324" ca="1" si="130">IF(I345+I242&lt;I$271,I242,I$271-I345)</f>
        <v>0</v>
      </c>
      <c r="J324" s="9">
        <f t="shared" ca="1" si="130"/>
        <v>0</v>
      </c>
      <c r="K324" s="9">
        <f t="shared" ca="1" si="130"/>
        <v>0</v>
      </c>
      <c r="L324" s="9">
        <f t="shared" ca="1" si="130"/>
        <v>0</v>
      </c>
      <c r="M324" s="9">
        <f t="shared" ca="1" si="130"/>
        <v>0</v>
      </c>
      <c r="N324" s="9">
        <f t="shared" ca="1" si="130"/>
        <v>0</v>
      </c>
      <c r="O324" s="9">
        <f t="shared" ca="1" si="130"/>
        <v>0</v>
      </c>
      <c r="P324" s="9">
        <f t="shared" ca="1" si="130"/>
        <v>0</v>
      </c>
      <c r="Q324" s="9">
        <f t="shared" ca="1" si="130"/>
        <v>0</v>
      </c>
      <c r="R324" s="9">
        <f t="shared" ca="1" si="130"/>
        <v>0</v>
      </c>
      <c r="S324" s="9">
        <f t="shared" ca="1" si="130"/>
        <v>0</v>
      </c>
      <c r="T324" s="9">
        <f t="shared" ca="1" si="130"/>
        <v>0</v>
      </c>
      <c r="U324" s="9">
        <f t="shared" ca="1" si="130"/>
        <v>0</v>
      </c>
      <c r="V324" s="9">
        <f t="shared" ca="1" si="130"/>
        <v>0</v>
      </c>
      <c r="W324" s="9">
        <f t="shared" ca="1" si="130"/>
        <v>0</v>
      </c>
      <c r="X324" s="9">
        <f t="shared" ca="1" si="130"/>
        <v>0</v>
      </c>
      <c r="Y324" s="9">
        <f t="shared" ca="1" si="130"/>
        <v>0</v>
      </c>
      <c r="Z324" s="9">
        <f t="shared" ca="1" si="130"/>
        <v>0</v>
      </c>
      <c r="AA324" s="9">
        <f t="shared" ca="1" si="130"/>
        <v>0</v>
      </c>
      <c r="AB324" s="9">
        <f t="shared" ca="1" si="130"/>
        <v>0</v>
      </c>
      <c r="AC324" s="9">
        <f t="shared" ca="1" si="130"/>
        <v>0</v>
      </c>
      <c r="AD324" s="9"/>
      <c r="AE324" s="9"/>
      <c r="AF324" s="9"/>
      <c r="AG324" s="9"/>
      <c r="AH324" s="9"/>
      <c r="AI324" s="9"/>
      <c r="AJ324" s="9"/>
      <c r="AK324" s="9"/>
      <c r="AL324" s="9"/>
      <c r="AM324" s="9"/>
      <c r="AN324" s="9"/>
      <c r="AO324" s="9"/>
      <c r="AP324" s="9"/>
      <c r="AQ324" s="9"/>
      <c r="AR324" s="9"/>
      <c r="AS324" s="9"/>
      <c r="AT324" s="9"/>
      <c r="AU324" s="9"/>
      <c r="AV324" s="9"/>
      <c r="AW324" s="9"/>
    </row>
    <row r="325" spans="3:49">
      <c r="C325">
        <v>5</v>
      </c>
      <c r="D325" s="9">
        <f t="shared" si="127"/>
        <v>0</v>
      </c>
      <c r="E325" s="9">
        <f t="shared" si="127"/>
        <v>0</v>
      </c>
      <c r="F325" s="9">
        <f t="shared" si="127"/>
        <v>0</v>
      </c>
      <c r="G325" s="9">
        <f t="shared" si="127"/>
        <v>0</v>
      </c>
      <c r="H325" s="9">
        <f t="shared" si="127"/>
        <v>0</v>
      </c>
      <c r="I325" s="9">
        <f t="shared" ref="I325:AC325" ca="1" si="131">IF(I346+I243&lt;I$271,I243,I$271-I346)</f>
        <v>0</v>
      </c>
      <c r="J325" s="9">
        <f t="shared" ca="1" si="131"/>
        <v>0</v>
      </c>
      <c r="K325" s="9">
        <f t="shared" ca="1" si="131"/>
        <v>0</v>
      </c>
      <c r="L325" s="9">
        <f t="shared" ca="1" si="131"/>
        <v>0</v>
      </c>
      <c r="M325" s="9">
        <f t="shared" ca="1" si="131"/>
        <v>0</v>
      </c>
      <c r="N325" s="9">
        <f t="shared" ca="1" si="131"/>
        <v>0</v>
      </c>
      <c r="O325" s="9">
        <f t="shared" ca="1" si="131"/>
        <v>0</v>
      </c>
      <c r="P325" s="9">
        <f t="shared" ca="1" si="131"/>
        <v>0</v>
      </c>
      <c r="Q325" s="9">
        <f t="shared" ca="1" si="131"/>
        <v>0</v>
      </c>
      <c r="R325" s="9">
        <f t="shared" ca="1" si="131"/>
        <v>0</v>
      </c>
      <c r="S325" s="9">
        <f t="shared" ca="1" si="131"/>
        <v>0</v>
      </c>
      <c r="T325" s="9">
        <f t="shared" ca="1" si="131"/>
        <v>0</v>
      </c>
      <c r="U325" s="9">
        <f t="shared" ca="1" si="131"/>
        <v>0</v>
      </c>
      <c r="V325" s="9">
        <f t="shared" ca="1" si="131"/>
        <v>0</v>
      </c>
      <c r="W325" s="9">
        <f t="shared" ca="1" si="131"/>
        <v>0</v>
      </c>
      <c r="X325" s="9">
        <f t="shared" ca="1" si="131"/>
        <v>0</v>
      </c>
      <c r="Y325" s="9">
        <f t="shared" ca="1" si="131"/>
        <v>0</v>
      </c>
      <c r="Z325" s="9">
        <f t="shared" ca="1" si="131"/>
        <v>0</v>
      </c>
      <c r="AA325" s="9">
        <f t="shared" ca="1" si="131"/>
        <v>0</v>
      </c>
      <c r="AB325" s="9">
        <f t="shared" ca="1" si="131"/>
        <v>0</v>
      </c>
      <c r="AC325" s="9">
        <f t="shared" ca="1" si="131"/>
        <v>0</v>
      </c>
      <c r="AD325" s="9"/>
      <c r="AE325" s="9"/>
      <c r="AF325" s="9"/>
      <c r="AG325" s="9"/>
      <c r="AH325" s="9"/>
      <c r="AI325" s="9"/>
      <c r="AJ325" s="9"/>
      <c r="AK325" s="9"/>
      <c r="AL325" s="9"/>
      <c r="AM325" s="9"/>
      <c r="AN325" s="9"/>
      <c r="AO325" s="9"/>
      <c r="AP325" s="9"/>
      <c r="AQ325" s="9"/>
      <c r="AR325" s="9"/>
      <c r="AS325" s="9"/>
      <c r="AT325" s="9"/>
      <c r="AU325" s="9"/>
      <c r="AV325" s="9"/>
      <c r="AW325" s="9"/>
    </row>
    <row r="326" spans="3:49">
      <c r="C326">
        <v>6</v>
      </c>
      <c r="D326" s="9">
        <f t="shared" si="127"/>
        <v>0</v>
      </c>
      <c r="E326" s="9">
        <f t="shared" si="127"/>
        <v>0</v>
      </c>
      <c r="F326" s="9">
        <f t="shared" si="127"/>
        <v>0</v>
      </c>
      <c r="G326" s="9">
        <f t="shared" si="127"/>
        <v>0</v>
      </c>
      <c r="H326" s="9">
        <f t="shared" si="127"/>
        <v>0</v>
      </c>
      <c r="I326" s="9">
        <f t="shared" ref="I326:AC326" ca="1" si="132">IF(I347+I244&lt;I$271,I244,I$271-I347)</f>
        <v>0</v>
      </c>
      <c r="J326" s="9">
        <f t="shared" ca="1" si="132"/>
        <v>0</v>
      </c>
      <c r="K326" s="9">
        <f t="shared" ca="1" si="132"/>
        <v>0</v>
      </c>
      <c r="L326" s="9">
        <f t="shared" ca="1" si="132"/>
        <v>0</v>
      </c>
      <c r="M326" s="9">
        <f t="shared" ca="1" si="132"/>
        <v>0</v>
      </c>
      <c r="N326" s="9">
        <f t="shared" ca="1" si="132"/>
        <v>0</v>
      </c>
      <c r="O326" s="9">
        <f t="shared" ca="1" si="132"/>
        <v>0</v>
      </c>
      <c r="P326" s="9">
        <f t="shared" ca="1" si="132"/>
        <v>0</v>
      </c>
      <c r="Q326" s="9">
        <f t="shared" ca="1" si="132"/>
        <v>0</v>
      </c>
      <c r="R326" s="9">
        <f t="shared" ca="1" si="132"/>
        <v>0</v>
      </c>
      <c r="S326" s="9">
        <f t="shared" ca="1" si="132"/>
        <v>0</v>
      </c>
      <c r="T326" s="9">
        <f t="shared" ca="1" si="132"/>
        <v>0</v>
      </c>
      <c r="U326" s="9">
        <f t="shared" ca="1" si="132"/>
        <v>0</v>
      </c>
      <c r="V326" s="9">
        <f t="shared" ca="1" si="132"/>
        <v>0</v>
      </c>
      <c r="W326" s="9">
        <f t="shared" ca="1" si="132"/>
        <v>0</v>
      </c>
      <c r="X326" s="9">
        <f t="shared" ca="1" si="132"/>
        <v>0</v>
      </c>
      <c r="Y326" s="9">
        <f t="shared" ca="1" si="132"/>
        <v>0</v>
      </c>
      <c r="Z326" s="9">
        <f t="shared" ca="1" si="132"/>
        <v>0</v>
      </c>
      <c r="AA326" s="9">
        <f t="shared" ca="1" si="132"/>
        <v>0</v>
      </c>
      <c r="AB326" s="9">
        <f t="shared" ca="1" si="132"/>
        <v>0</v>
      </c>
      <c r="AC326" s="9">
        <f t="shared" ca="1" si="132"/>
        <v>0</v>
      </c>
      <c r="AD326" s="9"/>
      <c r="AE326" s="9"/>
      <c r="AF326" s="9"/>
      <c r="AG326" s="9"/>
      <c r="AH326" s="9"/>
      <c r="AI326" s="9"/>
      <c r="AJ326" s="9"/>
      <c r="AK326" s="9"/>
      <c r="AL326" s="9"/>
      <c r="AM326" s="9"/>
      <c r="AN326" s="9"/>
      <c r="AO326" s="9"/>
      <c r="AP326" s="9"/>
      <c r="AQ326" s="9"/>
      <c r="AR326" s="9"/>
      <c r="AS326" s="9"/>
      <c r="AT326" s="9"/>
      <c r="AU326" s="9"/>
      <c r="AV326" s="9"/>
      <c r="AW326" s="9"/>
    </row>
    <row r="327" spans="3:49">
      <c r="C327">
        <v>7</v>
      </c>
      <c r="D327" s="9">
        <f t="shared" si="127"/>
        <v>0</v>
      </c>
      <c r="E327" s="9">
        <f t="shared" si="127"/>
        <v>0</v>
      </c>
      <c r="F327" s="9">
        <f t="shared" si="127"/>
        <v>0</v>
      </c>
      <c r="G327" s="9">
        <f t="shared" si="127"/>
        <v>0</v>
      </c>
      <c r="H327" s="9">
        <f t="shared" si="127"/>
        <v>0</v>
      </c>
      <c r="I327" s="9">
        <f t="shared" ref="I327:AC327" ca="1" si="133">IF(I348+I245&lt;I$271,I245,I$271-I348)</f>
        <v>0</v>
      </c>
      <c r="J327" s="9">
        <f t="shared" ca="1" si="133"/>
        <v>0</v>
      </c>
      <c r="K327" s="9">
        <f t="shared" ca="1" si="133"/>
        <v>0</v>
      </c>
      <c r="L327" s="9">
        <f t="shared" ca="1" si="133"/>
        <v>0</v>
      </c>
      <c r="M327" s="9">
        <f t="shared" ca="1" si="133"/>
        <v>0</v>
      </c>
      <c r="N327" s="9">
        <f t="shared" ca="1" si="133"/>
        <v>0</v>
      </c>
      <c r="O327" s="9">
        <f t="shared" ca="1" si="133"/>
        <v>0</v>
      </c>
      <c r="P327" s="9">
        <f t="shared" ca="1" si="133"/>
        <v>0</v>
      </c>
      <c r="Q327" s="9">
        <f t="shared" ca="1" si="133"/>
        <v>0</v>
      </c>
      <c r="R327" s="9">
        <f t="shared" ca="1" si="133"/>
        <v>0</v>
      </c>
      <c r="S327" s="9">
        <f t="shared" ca="1" si="133"/>
        <v>0</v>
      </c>
      <c r="T327" s="9">
        <f t="shared" ca="1" si="133"/>
        <v>0</v>
      </c>
      <c r="U327" s="9">
        <f t="shared" ca="1" si="133"/>
        <v>0</v>
      </c>
      <c r="V327" s="9">
        <f t="shared" ca="1" si="133"/>
        <v>0</v>
      </c>
      <c r="W327" s="9">
        <f t="shared" ca="1" si="133"/>
        <v>0</v>
      </c>
      <c r="X327" s="9">
        <f t="shared" ca="1" si="133"/>
        <v>0</v>
      </c>
      <c r="Y327" s="9">
        <f t="shared" ca="1" si="133"/>
        <v>0</v>
      </c>
      <c r="Z327" s="9">
        <f t="shared" ca="1" si="133"/>
        <v>0</v>
      </c>
      <c r="AA327" s="9">
        <f t="shared" ca="1" si="133"/>
        <v>0</v>
      </c>
      <c r="AB327" s="9">
        <f t="shared" ca="1" si="133"/>
        <v>0</v>
      </c>
      <c r="AC327" s="9">
        <f t="shared" ca="1" si="133"/>
        <v>0</v>
      </c>
      <c r="AD327" s="9"/>
      <c r="AE327" s="9"/>
      <c r="AF327" s="9"/>
      <c r="AG327" s="9"/>
      <c r="AH327" s="9"/>
      <c r="AI327" s="9"/>
      <c r="AJ327" s="9"/>
      <c r="AK327" s="9"/>
      <c r="AL327" s="9"/>
      <c r="AM327" s="9"/>
      <c r="AN327" s="9"/>
      <c r="AO327" s="9"/>
      <c r="AP327" s="9"/>
      <c r="AQ327" s="9"/>
      <c r="AR327" s="9"/>
      <c r="AS327" s="9"/>
      <c r="AT327" s="9"/>
      <c r="AU327" s="9"/>
      <c r="AV327" s="9"/>
      <c r="AW327" s="9"/>
    </row>
    <row r="328" spans="3:49">
      <c r="C328">
        <v>8</v>
      </c>
      <c r="D328" s="9">
        <f t="shared" si="127"/>
        <v>0</v>
      </c>
      <c r="E328" s="9">
        <f t="shared" si="127"/>
        <v>0</v>
      </c>
      <c r="F328" s="9">
        <f t="shared" si="127"/>
        <v>0</v>
      </c>
      <c r="G328" s="9">
        <f t="shared" si="127"/>
        <v>0</v>
      </c>
      <c r="H328" s="9">
        <f t="shared" si="127"/>
        <v>0</v>
      </c>
      <c r="I328" s="9">
        <f t="shared" ref="I328:AC328" ca="1" si="134">IF(I349+I246&lt;I$271,I246,I$271-I349)</f>
        <v>0</v>
      </c>
      <c r="J328" s="9">
        <f t="shared" ca="1" si="134"/>
        <v>0</v>
      </c>
      <c r="K328" s="9">
        <f t="shared" ca="1" si="134"/>
        <v>0</v>
      </c>
      <c r="L328" s="9">
        <f t="shared" ca="1" si="134"/>
        <v>0</v>
      </c>
      <c r="M328" s="9">
        <f t="shared" ca="1" si="134"/>
        <v>0</v>
      </c>
      <c r="N328" s="9">
        <f t="shared" ca="1" si="134"/>
        <v>0</v>
      </c>
      <c r="O328" s="9">
        <f t="shared" ca="1" si="134"/>
        <v>0</v>
      </c>
      <c r="P328" s="9">
        <f t="shared" ca="1" si="134"/>
        <v>0</v>
      </c>
      <c r="Q328" s="9">
        <f t="shared" ca="1" si="134"/>
        <v>0</v>
      </c>
      <c r="R328" s="9">
        <f t="shared" ca="1" si="134"/>
        <v>0</v>
      </c>
      <c r="S328" s="9">
        <f t="shared" ca="1" si="134"/>
        <v>0</v>
      </c>
      <c r="T328" s="9">
        <f t="shared" ca="1" si="134"/>
        <v>0</v>
      </c>
      <c r="U328" s="9">
        <f t="shared" ca="1" si="134"/>
        <v>0</v>
      </c>
      <c r="V328" s="9">
        <f t="shared" ca="1" si="134"/>
        <v>0</v>
      </c>
      <c r="W328" s="9">
        <f t="shared" ca="1" si="134"/>
        <v>0</v>
      </c>
      <c r="X328" s="9">
        <f t="shared" ca="1" si="134"/>
        <v>0</v>
      </c>
      <c r="Y328" s="9">
        <f t="shared" ca="1" si="134"/>
        <v>0</v>
      </c>
      <c r="Z328" s="9">
        <f t="shared" ca="1" si="134"/>
        <v>0</v>
      </c>
      <c r="AA328" s="9">
        <f t="shared" ca="1" si="134"/>
        <v>0</v>
      </c>
      <c r="AB328" s="9">
        <f t="shared" ca="1" si="134"/>
        <v>0</v>
      </c>
      <c r="AC328" s="9">
        <f t="shared" ca="1" si="134"/>
        <v>0</v>
      </c>
      <c r="AD328" s="9"/>
      <c r="AE328" s="9"/>
      <c r="AF328" s="9"/>
      <c r="AG328" s="9"/>
      <c r="AH328" s="9"/>
      <c r="AI328" s="9"/>
      <c r="AJ328" s="9"/>
      <c r="AK328" s="9"/>
      <c r="AL328" s="9"/>
      <c r="AM328" s="9"/>
      <c r="AN328" s="9"/>
      <c r="AO328" s="9"/>
      <c r="AP328" s="9"/>
      <c r="AQ328" s="9"/>
      <c r="AR328" s="9"/>
      <c r="AS328" s="9"/>
      <c r="AT328" s="9"/>
      <c r="AU328" s="9"/>
      <c r="AV328" s="9"/>
      <c r="AW328" s="9"/>
    </row>
    <row r="329" spans="3:49">
      <c r="C329">
        <v>9</v>
      </c>
      <c r="D329" s="9">
        <f t="shared" si="127"/>
        <v>0</v>
      </c>
      <c r="E329" s="9">
        <f t="shared" si="127"/>
        <v>0</v>
      </c>
      <c r="F329" s="9">
        <f t="shared" si="127"/>
        <v>0</v>
      </c>
      <c r="G329" s="9">
        <f t="shared" si="127"/>
        <v>0</v>
      </c>
      <c r="H329" s="9">
        <f t="shared" si="127"/>
        <v>0</v>
      </c>
      <c r="I329" s="9">
        <f t="shared" ref="I329:AC329" ca="1" si="135">IF(I350+I247&lt;I$271,I247,I$271-I350)</f>
        <v>0</v>
      </c>
      <c r="J329" s="9">
        <f t="shared" ca="1" si="135"/>
        <v>0</v>
      </c>
      <c r="K329" s="9">
        <f t="shared" ca="1" si="135"/>
        <v>0</v>
      </c>
      <c r="L329" s="9">
        <f t="shared" ca="1" si="135"/>
        <v>0</v>
      </c>
      <c r="M329" s="9">
        <f t="shared" ca="1" si="135"/>
        <v>0</v>
      </c>
      <c r="N329" s="9">
        <f t="shared" ca="1" si="135"/>
        <v>0</v>
      </c>
      <c r="O329" s="9">
        <f t="shared" ca="1" si="135"/>
        <v>0</v>
      </c>
      <c r="P329" s="9">
        <f t="shared" ca="1" si="135"/>
        <v>0</v>
      </c>
      <c r="Q329" s="9">
        <f t="shared" ca="1" si="135"/>
        <v>0</v>
      </c>
      <c r="R329" s="9">
        <f t="shared" ca="1" si="135"/>
        <v>0</v>
      </c>
      <c r="S329" s="9">
        <f t="shared" ca="1" si="135"/>
        <v>0</v>
      </c>
      <c r="T329" s="9">
        <f t="shared" ca="1" si="135"/>
        <v>0</v>
      </c>
      <c r="U329" s="9">
        <f t="shared" ca="1" si="135"/>
        <v>0</v>
      </c>
      <c r="V329" s="9">
        <f t="shared" ca="1" si="135"/>
        <v>0</v>
      </c>
      <c r="W329" s="9">
        <f t="shared" ca="1" si="135"/>
        <v>0</v>
      </c>
      <c r="X329" s="9">
        <f t="shared" ca="1" si="135"/>
        <v>0</v>
      </c>
      <c r="Y329" s="9">
        <f t="shared" ca="1" si="135"/>
        <v>0</v>
      </c>
      <c r="Z329" s="9">
        <f t="shared" ca="1" si="135"/>
        <v>0</v>
      </c>
      <c r="AA329" s="9">
        <f t="shared" ca="1" si="135"/>
        <v>0</v>
      </c>
      <c r="AB329" s="9">
        <f t="shared" ca="1" si="135"/>
        <v>0</v>
      </c>
      <c r="AC329" s="9">
        <f t="shared" ca="1" si="135"/>
        <v>0</v>
      </c>
      <c r="AD329" s="9"/>
      <c r="AE329" s="9"/>
      <c r="AF329" s="9"/>
      <c r="AG329" s="9"/>
      <c r="AH329" s="9"/>
      <c r="AI329" s="9"/>
      <c r="AJ329" s="9"/>
      <c r="AK329" s="9"/>
      <c r="AL329" s="9"/>
      <c r="AM329" s="9"/>
      <c r="AN329" s="9"/>
      <c r="AO329" s="9"/>
      <c r="AP329" s="9"/>
      <c r="AQ329" s="9"/>
      <c r="AR329" s="9"/>
      <c r="AS329" s="9"/>
      <c r="AT329" s="9"/>
      <c r="AU329" s="9"/>
      <c r="AV329" s="9"/>
      <c r="AW329" s="9"/>
    </row>
    <row r="330" spans="3:49">
      <c r="C330">
        <v>10</v>
      </c>
      <c r="D330" s="9">
        <f t="shared" si="127"/>
        <v>0</v>
      </c>
      <c r="E330" s="9">
        <f t="shared" si="127"/>
        <v>0</v>
      </c>
      <c r="F330" s="9">
        <f t="shared" si="127"/>
        <v>0</v>
      </c>
      <c r="G330" s="9">
        <f t="shared" si="127"/>
        <v>0</v>
      </c>
      <c r="H330" s="9">
        <f t="shared" si="127"/>
        <v>0</v>
      </c>
      <c r="I330" s="9">
        <f t="shared" ref="I330:AC330" ca="1" si="136">IF(I351+I248&lt;I$271,I248,I$271-I351)</f>
        <v>0</v>
      </c>
      <c r="J330" s="9">
        <f t="shared" ca="1" si="136"/>
        <v>0</v>
      </c>
      <c r="K330" s="9">
        <f t="shared" ca="1" si="136"/>
        <v>0</v>
      </c>
      <c r="L330" s="9">
        <f t="shared" ca="1" si="136"/>
        <v>0</v>
      </c>
      <c r="M330" s="9">
        <f t="shared" ca="1" si="136"/>
        <v>0</v>
      </c>
      <c r="N330" s="9">
        <f t="shared" ca="1" si="136"/>
        <v>0</v>
      </c>
      <c r="O330" s="9">
        <f t="shared" ca="1" si="136"/>
        <v>0</v>
      </c>
      <c r="P330" s="9">
        <f t="shared" ca="1" si="136"/>
        <v>0</v>
      </c>
      <c r="Q330" s="9">
        <f t="shared" ca="1" si="136"/>
        <v>0</v>
      </c>
      <c r="R330" s="9">
        <f t="shared" ca="1" si="136"/>
        <v>0</v>
      </c>
      <c r="S330" s="9">
        <f t="shared" ca="1" si="136"/>
        <v>0</v>
      </c>
      <c r="T330" s="9">
        <f t="shared" ca="1" si="136"/>
        <v>0</v>
      </c>
      <c r="U330" s="9">
        <f t="shared" ca="1" si="136"/>
        <v>0</v>
      </c>
      <c r="V330" s="9">
        <f t="shared" ca="1" si="136"/>
        <v>0</v>
      </c>
      <c r="W330" s="9">
        <f t="shared" ca="1" si="136"/>
        <v>0</v>
      </c>
      <c r="X330" s="9">
        <f t="shared" ca="1" si="136"/>
        <v>0</v>
      </c>
      <c r="Y330" s="9">
        <f t="shared" ca="1" si="136"/>
        <v>0</v>
      </c>
      <c r="Z330" s="9">
        <f t="shared" ca="1" si="136"/>
        <v>0</v>
      </c>
      <c r="AA330" s="9">
        <f t="shared" ca="1" si="136"/>
        <v>0</v>
      </c>
      <c r="AB330" s="9">
        <f t="shared" ca="1" si="136"/>
        <v>0</v>
      </c>
      <c r="AC330" s="9">
        <f t="shared" ca="1" si="136"/>
        <v>0</v>
      </c>
      <c r="AD330" s="9"/>
      <c r="AE330" s="9"/>
      <c r="AF330" s="9"/>
      <c r="AG330" s="9"/>
      <c r="AH330" s="9"/>
      <c r="AI330" s="9"/>
      <c r="AJ330" s="9"/>
      <c r="AK330" s="9"/>
      <c r="AL330" s="9"/>
      <c r="AM330" s="9"/>
      <c r="AN330" s="9"/>
      <c r="AO330" s="9"/>
      <c r="AP330" s="9"/>
      <c r="AQ330" s="9"/>
      <c r="AR330" s="9"/>
      <c r="AS330" s="9"/>
      <c r="AT330" s="9"/>
      <c r="AU330" s="9"/>
      <c r="AV330" s="9"/>
      <c r="AW330" s="9"/>
    </row>
    <row r="331" spans="3:49">
      <c r="C331">
        <v>11</v>
      </c>
      <c r="D331" s="9">
        <f t="shared" si="127"/>
        <v>0</v>
      </c>
      <c r="E331" s="9">
        <f t="shared" si="127"/>
        <v>0</v>
      </c>
      <c r="F331" s="9">
        <f t="shared" si="127"/>
        <v>0</v>
      </c>
      <c r="G331" s="9">
        <f t="shared" si="127"/>
        <v>0</v>
      </c>
      <c r="H331" s="9">
        <f t="shared" si="127"/>
        <v>0</v>
      </c>
      <c r="I331" s="9">
        <f t="shared" ref="I331:AC331" ca="1" si="137">IF(I352+I249&lt;I$271,I249,I$271-I352)</f>
        <v>0</v>
      </c>
      <c r="J331" s="9">
        <f t="shared" ca="1" si="137"/>
        <v>0</v>
      </c>
      <c r="K331" s="9">
        <f t="shared" ca="1" si="137"/>
        <v>0</v>
      </c>
      <c r="L331" s="9">
        <f t="shared" ca="1" si="137"/>
        <v>0</v>
      </c>
      <c r="M331" s="9">
        <f t="shared" ca="1" si="137"/>
        <v>0</v>
      </c>
      <c r="N331" s="9">
        <f t="shared" ca="1" si="137"/>
        <v>0</v>
      </c>
      <c r="O331" s="9">
        <f t="shared" ca="1" si="137"/>
        <v>0</v>
      </c>
      <c r="P331" s="9">
        <f t="shared" ca="1" si="137"/>
        <v>0</v>
      </c>
      <c r="Q331" s="9">
        <f t="shared" ca="1" si="137"/>
        <v>0</v>
      </c>
      <c r="R331" s="9">
        <f t="shared" ca="1" si="137"/>
        <v>0</v>
      </c>
      <c r="S331" s="9">
        <f t="shared" ca="1" si="137"/>
        <v>0</v>
      </c>
      <c r="T331" s="9">
        <f t="shared" ca="1" si="137"/>
        <v>0</v>
      </c>
      <c r="U331" s="9">
        <f t="shared" ca="1" si="137"/>
        <v>0</v>
      </c>
      <c r="V331" s="9">
        <f t="shared" ca="1" si="137"/>
        <v>0</v>
      </c>
      <c r="W331" s="9">
        <f t="shared" ca="1" si="137"/>
        <v>0</v>
      </c>
      <c r="X331" s="9">
        <f t="shared" ca="1" si="137"/>
        <v>0</v>
      </c>
      <c r="Y331" s="9">
        <f t="shared" ca="1" si="137"/>
        <v>0</v>
      </c>
      <c r="Z331" s="9">
        <f t="shared" ca="1" si="137"/>
        <v>0</v>
      </c>
      <c r="AA331" s="9">
        <f t="shared" ca="1" si="137"/>
        <v>0</v>
      </c>
      <c r="AB331" s="9">
        <f t="shared" ca="1" si="137"/>
        <v>0</v>
      </c>
      <c r="AC331" s="9">
        <f t="shared" ca="1" si="137"/>
        <v>0</v>
      </c>
      <c r="AD331" s="9"/>
      <c r="AE331" s="9"/>
      <c r="AF331" s="9"/>
      <c r="AG331" s="9"/>
      <c r="AH331" s="9"/>
      <c r="AI331" s="9"/>
      <c r="AJ331" s="9"/>
      <c r="AK331" s="9"/>
      <c r="AL331" s="9"/>
      <c r="AM331" s="9"/>
      <c r="AN331" s="9"/>
      <c r="AO331" s="9"/>
      <c r="AP331" s="9"/>
      <c r="AQ331" s="9"/>
      <c r="AR331" s="9"/>
      <c r="AS331" s="9"/>
      <c r="AT331" s="9"/>
      <c r="AU331" s="9"/>
      <c r="AV331" s="9"/>
      <c r="AW331" s="9"/>
    </row>
    <row r="332" spans="3:49">
      <c r="C332">
        <v>12</v>
      </c>
      <c r="D332" s="9">
        <f t="shared" ref="D332:H340" si="138">IF(D353+D250&lt;D$271,D250,D$271-D353)</f>
        <v>0</v>
      </c>
      <c r="E332" s="9">
        <f t="shared" si="138"/>
        <v>0</v>
      </c>
      <c r="F332" s="9">
        <f t="shared" si="138"/>
        <v>0</v>
      </c>
      <c r="G332" s="9">
        <f t="shared" si="138"/>
        <v>0</v>
      </c>
      <c r="H332" s="9">
        <f t="shared" si="138"/>
        <v>0</v>
      </c>
      <c r="I332" s="9">
        <f t="shared" ref="I332:AC332" ca="1" si="139">IF(I353+I250&lt;I$271,I250,I$271-I353)</f>
        <v>0</v>
      </c>
      <c r="J332" s="9">
        <f t="shared" ca="1" si="139"/>
        <v>0</v>
      </c>
      <c r="K332" s="9">
        <f t="shared" ca="1" si="139"/>
        <v>0</v>
      </c>
      <c r="L332" s="9">
        <f t="shared" ca="1" si="139"/>
        <v>0</v>
      </c>
      <c r="M332" s="9">
        <f t="shared" ca="1" si="139"/>
        <v>0</v>
      </c>
      <c r="N332" s="9">
        <f t="shared" ca="1" si="139"/>
        <v>0</v>
      </c>
      <c r="O332" s="9">
        <f t="shared" ca="1" si="139"/>
        <v>0</v>
      </c>
      <c r="P332" s="9">
        <f t="shared" ca="1" si="139"/>
        <v>0</v>
      </c>
      <c r="Q332" s="9">
        <f t="shared" ca="1" si="139"/>
        <v>0</v>
      </c>
      <c r="R332" s="9">
        <f t="shared" ca="1" si="139"/>
        <v>0</v>
      </c>
      <c r="S332" s="9">
        <f t="shared" ca="1" si="139"/>
        <v>0</v>
      </c>
      <c r="T332" s="9">
        <f t="shared" ca="1" si="139"/>
        <v>0</v>
      </c>
      <c r="U332" s="9">
        <f t="shared" ca="1" si="139"/>
        <v>0</v>
      </c>
      <c r="V332" s="9">
        <f t="shared" ca="1" si="139"/>
        <v>0</v>
      </c>
      <c r="W332" s="9">
        <f t="shared" ca="1" si="139"/>
        <v>0</v>
      </c>
      <c r="X332" s="9">
        <f t="shared" ca="1" si="139"/>
        <v>0</v>
      </c>
      <c r="Y332" s="9">
        <f t="shared" ca="1" si="139"/>
        <v>0</v>
      </c>
      <c r="Z332" s="9">
        <f t="shared" ca="1" si="139"/>
        <v>0</v>
      </c>
      <c r="AA332" s="9">
        <f t="shared" ca="1" si="139"/>
        <v>0</v>
      </c>
      <c r="AB332" s="9">
        <f t="shared" ca="1" si="139"/>
        <v>0</v>
      </c>
      <c r="AC332" s="9">
        <f t="shared" ca="1" si="139"/>
        <v>0</v>
      </c>
      <c r="AD332" s="9"/>
      <c r="AE332" s="9"/>
      <c r="AF332" s="9"/>
      <c r="AG332" s="9"/>
      <c r="AH332" s="9"/>
      <c r="AI332" s="9"/>
      <c r="AJ332" s="9"/>
      <c r="AK332" s="9"/>
      <c r="AL332" s="9"/>
      <c r="AM332" s="9"/>
      <c r="AN332" s="9"/>
      <c r="AO332" s="9"/>
      <c r="AP332" s="9"/>
      <c r="AQ332" s="9"/>
      <c r="AR332" s="9"/>
      <c r="AS332" s="9"/>
      <c r="AT332" s="9"/>
      <c r="AU332" s="9"/>
      <c r="AV332" s="9"/>
      <c r="AW332" s="9"/>
    </row>
    <row r="333" spans="3:49">
      <c r="C333">
        <v>13</v>
      </c>
      <c r="D333" s="9">
        <f t="shared" si="138"/>
        <v>0</v>
      </c>
      <c r="E333" s="9">
        <f t="shared" si="138"/>
        <v>0</v>
      </c>
      <c r="F333" s="9">
        <f t="shared" si="138"/>
        <v>0</v>
      </c>
      <c r="G333" s="9">
        <f t="shared" si="138"/>
        <v>0</v>
      </c>
      <c r="H333" s="9">
        <f t="shared" si="138"/>
        <v>0</v>
      </c>
      <c r="I333" s="9">
        <f t="shared" ref="I333:AC333" ca="1" si="140">IF(I354+I251&lt;I$271,I251,I$271-I354)</f>
        <v>0</v>
      </c>
      <c r="J333" s="9">
        <f t="shared" ca="1" si="140"/>
        <v>0</v>
      </c>
      <c r="K333" s="9">
        <f t="shared" ca="1" si="140"/>
        <v>0</v>
      </c>
      <c r="L333" s="9">
        <f t="shared" ca="1" si="140"/>
        <v>0</v>
      </c>
      <c r="M333" s="9">
        <f t="shared" ca="1" si="140"/>
        <v>0</v>
      </c>
      <c r="N333" s="9">
        <f t="shared" ca="1" si="140"/>
        <v>0</v>
      </c>
      <c r="O333" s="9">
        <f t="shared" ca="1" si="140"/>
        <v>0</v>
      </c>
      <c r="P333" s="9">
        <f t="shared" ca="1" si="140"/>
        <v>0</v>
      </c>
      <c r="Q333" s="9">
        <f t="shared" ca="1" si="140"/>
        <v>0</v>
      </c>
      <c r="R333" s="9">
        <f t="shared" ca="1" si="140"/>
        <v>0</v>
      </c>
      <c r="S333" s="9">
        <f t="shared" ca="1" si="140"/>
        <v>0</v>
      </c>
      <c r="T333" s="9">
        <f t="shared" ca="1" si="140"/>
        <v>0</v>
      </c>
      <c r="U333" s="9">
        <f t="shared" ca="1" si="140"/>
        <v>0</v>
      </c>
      <c r="V333" s="9">
        <f t="shared" ca="1" si="140"/>
        <v>0</v>
      </c>
      <c r="W333" s="9">
        <f t="shared" ca="1" si="140"/>
        <v>0</v>
      </c>
      <c r="X333" s="9">
        <f t="shared" ca="1" si="140"/>
        <v>0</v>
      </c>
      <c r="Y333" s="9">
        <f t="shared" ca="1" si="140"/>
        <v>0</v>
      </c>
      <c r="Z333" s="9">
        <f t="shared" ca="1" si="140"/>
        <v>0</v>
      </c>
      <c r="AA333" s="9">
        <f t="shared" ca="1" si="140"/>
        <v>0</v>
      </c>
      <c r="AB333" s="9">
        <f t="shared" ca="1" si="140"/>
        <v>0</v>
      </c>
      <c r="AC333" s="9">
        <f t="shared" ca="1" si="140"/>
        <v>0</v>
      </c>
      <c r="AD333" s="9"/>
      <c r="AE333" s="9"/>
      <c r="AF333" s="9"/>
      <c r="AG333" s="9"/>
      <c r="AH333" s="9"/>
      <c r="AI333" s="9"/>
      <c r="AJ333" s="9"/>
      <c r="AK333" s="9"/>
      <c r="AL333" s="9"/>
      <c r="AM333" s="9"/>
      <c r="AN333" s="9"/>
      <c r="AO333" s="9"/>
      <c r="AP333" s="9"/>
      <c r="AQ333" s="9"/>
      <c r="AR333" s="9"/>
      <c r="AS333" s="9"/>
      <c r="AT333" s="9"/>
      <c r="AU333" s="9"/>
      <c r="AV333" s="9"/>
      <c r="AW333" s="9"/>
    </row>
    <row r="334" spans="3:49">
      <c r="C334">
        <v>14</v>
      </c>
      <c r="D334" s="9">
        <f>IF(D355+D252&lt;D$271,D252,D$271-D355)</f>
        <v>136147.8229750279</v>
      </c>
      <c r="E334" s="9">
        <f t="shared" si="138"/>
        <v>0</v>
      </c>
      <c r="F334" s="9">
        <f t="shared" si="138"/>
        <v>0</v>
      </c>
      <c r="G334" s="9">
        <f t="shared" si="138"/>
        <v>0</v>
      </c>
      <c r="H334" s="9">
        <f t="shared" si="138"/>
        <v>0</v>
      </c>
      <c r="I334" s="9">
        <f t="shared" ref="I334:AC334" ca="1" si="141">IF(I355+I252&lt;I$271,I252,I$271-I355)</f>
        <v>0</v>
      </c>
      <c r="J334" s="9">
        <f t="shared" ca="1" si="141"/>
        <v>0</v>
      </c>
      <c r="K334" s="9">
        <f t="shared" ca="1" si="141"/>
        <v>0</v>
      </c>
      <c r="L334" s="9">
        <f t="shared" ca="1" si="141"/>
        <v>0</v>
      </c>
      <c r="M334" s="9">
        <f t="shared" ca="1" si="141"/>
        <v>0</v>
      </c>
      <c r="N334" s="9">
        <f t="shared" ca="1" si="141"/>
        <v>0</v>
      </c>
      <c r="O334" s="9">
        <f t="shared" ca="1" si="141"/>
        <v>0</v>
      </c>
      <c r="P334" s="9">
        <f t="shared" ca="1" si="141"/>
        <v>0</v>
      </c>
      <c r="Q334" s="9">
        <f t="shared" ca="1" si="141"/>
        <v>0</v>
      </c>
      <c r="R334" s="9">
        <f t="shared" ca="1" si="141"/>
        <v>0</v>
      </c>
      <c r="S334" s="9">
        <f t="shared" ca="1" si="141"/>
        <v>0</v>
      </c>
      <c r="T334" s="9">
        <f t="shared" ca="1" si="141"/>
        <v>0</v>
      </c>
      <c r="U334" s="9">
        <f t="shared" ca="1" si="141"/>
        <v>0</v>
      </c>
      <c r="V334" s="9">
        <f t="shared" ca="1" si="141"/>
        <v>0</v>
      </c>
      <c r="W334" s="9">
        <f t="shared" ca="1" si="141"/>
        <v>0</v>
      </c>
      <c r="X334" s="9">
        <f t="shared" ca="1" si="141"/>
        <v>0</v>
      </c>
      <c r="Y334" s="9">
        <f t="shared" ca="1" si="141"/>
        <v>0</v>
      </c>
      <c r="Z334" s="9">
        <f t="shared" ca="1" si="141"/>
        <v>0</v>
      </c>
      <c r="AA334" s="9">
        <f t="shared" ca="1" si="141"/>
        <v>0</v>
      </c>
      <c r="AB334" s="9">
        <f t="shared" ca="1" si="141"/>
        <v>0</v>
      </c>
      <c r="AC334" s="9">
        <f t="shared" ca="1" si="141"/>
        <v>0</v>
      </c>
      <c r="AD334" s="9"/>
      <c r="AE334" s="9"/>
      <c r="AF334" s="9"/>
      <c r="AG334" s="9"/>
      <c r="AH334" s="9"/>
      <c r="AI334" s="9"/>
      <c r="AJ334" s="9"/>
      <c r="AK334" s="9"/>
      <c r="AL334" s="9"/>
      <c r="AM334" s="9"/>
      <c r="AN334" s="9"/>
      <c r="AO334" s="9"/>
      <c r="AP334" s="9"/>
      <c r="AQ334" s="9"/>
      <c r="AR334" s="9"/>
      <c r="AS334" s="9"/>
      <c r="AT334" s="9"/>
      <c r="AU334" s="9"/>
      <c r="AV334" s="9"/>
      <c r="AW334" s="9"/>
    </row>
    <row r="335" spans="3:49">
      <c r="C335">
        <v>15</v>
      </c>
      <c r="D335" s="9">
        <f t="shared" si="138"/>
        <v>2.9103830456733704E-11</v>
      </c>
      <c r="E335" s="9">
        <f t="shared" si="138"/>
        <v>136147.8229750279</v>
      </c>
      <c r="F335" s="9">
        <f t="shared" si="138"/>
        <v>142929.40190008626</v>
      </c>
      <c r="G335" s="9">
        <f t="shared" si="138"/>
        <v>145291.72006258956</v>
      </c>
      <c r="H335" s="9">
        <f t="shared" si="138"/>
        <v>145291.72006258956</v>
      </c>
      <c r="I335" s="9">
        <f t="shared" ref="I335:AC335" ca="1" si="142">IF(I356+I253&lt;I$271,I253,I$271-I356)</f>
        <v>150367.59111368022</v>
      </c>
      <c r="J335" s="9">
        <f t="shared" ca="1" si="142"/>
        <v>154215.43959733524</v>
      </c>
      <c r="K335" s="9">
        <f t="shared" ca="1" si="142"/>
        <v>158492.63930135738</v>
      </c>
      <c r="L335" s="9">
        <f t="shared" ca="1" si="142"/>
        <v>162465.56615830559</v>
      </c>
      <c r="M335" s="9">
        <f t="shared" ca="1" si="142"/>
        <v>162665.33464087764</v>
      </c>
      <c r="N335" s="9">
        <f t="shared" ca="1" si="142"/>
        <v>162665.33464087764</v>
      </c>
      <c r="O335" s="9">
        <f t="shared" ca="1" si="142"/>
        <v>162665.33464087764</v>
      </c>
      <c r="P335" s="9">
        <f t="shared" ca="1" si="142"/>
        <v>162665.33464087764</v>
      </c>
      <c r="Q335" s="9">
        <f t="shared" ca="1" si="142"/>
        <v>162665.33464087764</v>
      </c>
      <c r="R335" s="9">
        <f t="shared" ca="1" si="142"/>
        <v>162665.33464087764</v>
      </c>
      <c r="S335" s="9">
        <f t="shared" ca="1" si="142"/>
        <v>162665.33464087764</v>
      </c>
      <c r="T335" s="9">
        <f t="shared" ca="1" si="142"/>
        <v>162665.33464087764</v>
      </c>
      <c r="U335" s="9">
        <f t="shared" ca="1" si="142"/>
        <v>162665.33464087764</v>
      </c>
      <c r="V335" s="9">
        <f t="shared" ca="1" si="142"/>
        <v>162665.33464087764</v>
      </c>
      <c r="W335" s="9">
        <f t="shared" ca="1" si="142"/>
        <v>156579.59798994398</v>
      </c>
      <c r="X335" s="9">
        <f t="shared" ca="1" si="142"/>
        <v>150493.8613390103</v>
      </c>
      <c r="Y335" s="9">
        <f t="shared" ca="1" si="142"/>
        <v>142886.69052534318</v>
      </c>
      <c r="Z335" s="9">
        <f t="shared" ca="1" si="142"/>
        <v>135279.51971167602</v>
      </c>
      <c r="AA335" s="9">
        <f t="shared" ca="1" si="142"/>
        <v>126070.83925302638</v>
      </c>
      <c r="AB335" s="9">
        <f t="shared" ca="1" si="142"/>
        <v>107653.47833572706</v>
      </c>
      <c r="AC335" s="9">
        <f t="shared" ca="1" si="142"/>
        <v>98444.797877077363</v>
      </c>
      <c r="AD335" s="9"/>
      <c r="AE335" s="9"/>
      <c r="AF335" s="9"/>
      <c r="AG335" s="9"/>
      <c r="AH335" s="9"/>
      <c r="AI335" s="9"/>
      <c r="AJ335" s="9"/>
      <c r="AK335" s="9"/>
      <c r="AL335" s="9"/>
      <c r="AM335" s="9"/>
      <c r="AN335" s="9"/>
      <c r="AO335" s="9"/>
      <c r="AP335" s="9"/>
      <c r="AQ335" s="9"/>
      <c r="AR335" s="9"/>
      <c r="AS335" s="9"/>
      <c r="AT335" s="9"/>
      <c r="AU335" s="9"/>
      <c r="AV335" s="9"/>
      <c r="AW335" s="9"/>
    </row>
    <row r="336" spans="3:49">
      <c r="C336">
        <v>16</v>
      </c>
      <c r="D336" s="9">
        <f t="shared" si="138"/>
        <v>0</v>
      </c>
      <c r="E336" s="9">
        <f t="shared" si="138"/>
        <v>2.9103830456733704E-11</v>
      </c>
      <c r="F336" s="9">
        <f t="shared" si="138"/>
        <v>0</v>
      </c>
      <c r="G336" s="9">
        <f t="shared" si="138"/>
        <v>2.9103830456733704E-11</v>
      </c>
      <c r="H336" s="9">
        <f t="shared" si="138"/>
        <v>2.9103830456733704E-11</v>
      </c>
      <c r="I336" s="9">
        <f t="shared" ref="I336:AC336" ca="1" si="143">IF(I357+I254&lt;I$271,I254,I$271-I357)</f>
        <v>0</v>
      </c>
      <c r="J336" s="9">
        <f t="shared" ca="1" si="143"/>
        <v>0</v>
      </c>
      <c r="K336" s="9">
        <f t="shared" ca="1" si="143"/>
        <v>0</v>
      </c>
      <c r="L336" s="9">
        <f t="shared" ca="1" si="143"/>
        <v>0</v>
      </c>
      <c r="M336" s="9">
        <f t="shared" ca="1" si="143"/>
        <v>0</v>
      </c>
      <c r="N336" s="9">
        <f t="shared" ca="1" si="143"/>
        <v>0</v>
      </c>
      <c r="O336" s="9">
        <f t="shared" ca="1" si="143"/>
        <v>0</v>
      </c>
      <c r="P336" s="9">
        <f t="shared" ca="1" si="143"/>
        <v>0</v>
      </c>
      <c r="Q336" s="9">
        <f t="shared" ca="1" si="143"/>
        <v>0</v>
      </c>
      <c r="R336" s="9">
        <f t="shared" ca="1" si="143"/>
        <v>0</v>
      </c>
      <c r="S336" s="9">
        <f t="shared" ca="1" si="143"/>
        <v>0</v>
      </c>
      <c r="T336" s="9">
        <f t="shared" ca="1" si="143"/>
        <v>0</v>
      </c>
      <c r="U336" s="9">
        <f t="shared" ca="1" si="143"/>
        <v>0</v>
      </c>
      <c r="V336" s="9">
        <f t="shared" ca="1" si="143"/>
        <v>0</v>
      </c>
      <c r="W336" s="9">
        <f t="shared" ca="1" si="143"/>
        <v>0</v>
      </c>
      <c r="X336" s="9">
        <f t="shared" ca="1" si="143"/>
        <v>0</v>
      </c>
      <c r="Y336" s="9">
        <f t="shared" ca="1" si="143"/>
        <v>0</v>
      </c>
      <c r="Z336" s="9">
        <f t="shared" ca="1" si="143"/>
        <v>0</v>
      </c>
      <c r="AA336" s="9">
        <f t="shared" ca="1" si="143"/>
        <v>0</v>
      </c>
      <c r="AB336" s="9">
        <f t="shared" ca="1" si="143"/>
        <v>0</v>
      </c>
      <c r="AC336" s="9">
        <f t="shared" ca="1" si="143"/>
        <v>0</v>
      </c>
      <c r="AD336" s="9"/>
      <c r="AE336" s="9"/>
      <c r="AF336" s="9"/>
      <c r="AG336" s="9"/>
      <c r="AH336" s="9"/>
      <c r="AI336" s="9"/>
      <c r="AJ336" s="9"/>
      <c r="AK336" s="9"/>
      <c r="AL336" s="9"/>
      <c r="AM336" s="9"/>
      <c r="AN336" s="9"/>
      <c r="AO336" s="9"/>
      <c r="AP336" s="9"/>
      <c r="AQ336" s="9"/>
      <c r="AR336" s="9"/>
      <c r="AS336" s="9"/>
      <c r="AT336" s="9"/>
      <c r="AU336" s="9"/>
      <c r="AV336" s="9"/>
      <c r="AW336" s="9"/>
    </row>
    <row r="337" spans="3:49">
      <c r="C337">
        <v>17</v>
      </c>
      <c r="D337" s="9">
        <f t="shared" si="138"/>
        <v>0</v>
      </c>
      <c r="E337" s="9">
        <f t="shared" si="138"/>
        <v>0</v>
      </c>
      <c r="F337" s="9">
        <f t="shared" si="138"/>
        <v>0</v>
      </c>
      <c r="G337" s="9">
        <f t="shared" si="138"/>
        <v>0</v>
      </c>
      <c r="H337" s="9">
        <f t="shared" si="138"/>
        <v>0</v>
      </c>
      <c r="I337" s="9">
        <f t="shared" ref="I337:AC337" ca="1" si="144">IF(I358+I255&lt;I$271,I255,I$271-I358)</f>
        <v>0</v>
      </c>
      <c r="J337" s="9">
        <f t="shared" ca="1" si="144"/>
        <v>0</v>
      </c>
      <c r="K337" s="9">
        <f t="shared" ca="1" si="144"/>
        <v>0</v>
      </c>
      <c r="L337" s="9">
        <f t="shared" ca="1" si="144"/>
        <v>0</v>
      </c>
      <c r="M337" s="9">
        <f t="shared" ca="1" si="144"/>
        <v>3625.4185042412719</v>
      </c>
      <c r="N337" s="9">
        <f t="shared" ca="1" si="144"/>
        <v>6866.2369291292271</v>
      </c>
      <c r="O337" s="9">
        <f t="shared" ca="1" si="144"/>
        <v>12342.745632042817</v>
      </c>
      <c r="P337" s="9">
        <f t="shared" ca="1" si="144"/>
        <v>17674.818655899959</v>
      </c>
      <c r="Q337" s="9">
        <f t="shared" ca="1" si="144"/>
        <v>21812.991347582138</v>
      </c>
      <c r="R337" s="9">
        <f t="shared" ca="1" si="144"/>
        <v>26379.121606839413</v>
      </c>
      <c r="S337" s="9">
        <f t="shared" ca="1" si="144"/>
        <v>32895.71511384187</v>
      </c>
      <c r="T337" s="9">
        <f t="shared" ca="1" si="144"/>
        <v>38221.422179745103</v>
      </c>
      <c r="U337" s="9">
        <f t="shared" ca="1" si="144"/>
        <v>41689.891825475439</v>
      </c>
      <c r="V337" s="9">
        <f t="shared" ca="1" si="144"/>
        <v>47365.37154433399</v>
      </c>
      <c r="W337" s="9">
        <f t="shared" ca="1" si="144"/>
        <v>60616.367753917235</v>
      </c>
      <c r="X337" s="9">
        <f t="shared" ca="1" si="144"/>
        <v>75292.295558894519</v>
      </c>
      <c r="Y337" s="9">
        <f t="shared" ca="1" si="144"/>
        <v>91199.289043297118</v>
      </c>
      <c r="Z337" s="9">
        <f t="shared" ca="1" si="144"/>
        <v>106920.02873443841</v>
      </c>
      <c r="AA337" s="9">
        <f t="shared" ca="1" si="144"/>
        <v>125345.89797536901</v>
      </c>
      <c r="AB337" s="9">
        <f t="shared" ca="1" si="144"/>
        <v>155329.30329311307</v>
      </c>
      <c r="AC337" s="9">
        <f t="shared" ca="1" si="144"/>
        <v>168848.04889034323</v>
      </c>
      <c r="AD337" s="9"/>
      <c r="AE337" s="9"/>
      <c r="AF337" s="9"/>
      <c r="AG337" s="9"/>
      <c r="AH337" s="9"/>
      <c r="AI337" s="9"/>
      <c r="AJ337" s="9"/>
      <c r="AK337" s="9"/>
      <c r="AL337" s="9"/>
      <c r="AM337" s="9"/>
      <c r="AN337" s="9"/>
      <c r="AO337" s="9"/>
      <c r="AP337" s="9"/>
      <c r="AQ337" s="9"/>
      <c r="AR337" s="9"/>
      <c r="AS337" s="9"/>
      <c r="AT337" s="9"/>
      <c r="AU337" s="9"/>
      <c r="AV337" s="9"/>
      <c r="AW337" s="9"/>
    </row>
    <row r="338" spans="3:49">
      <c r="C338">
        <v>18</v>
      </c>
      <c r="D338" s="9">
        <f t="shared" si="138"/>
        <v>0</v>
      </c>
      <c r="E338" s="9">
        <f t="shared" si="138"/>
        <v>0</v>
      </c>
      <c r="F338" s="9">
        <f t="shared" si="138"/>
        <v>0</v>
      </c>
      <c r="G338" s="9">
        <f t="shared" si="138"/>
        <v>0</v>
      </c>
      <c r="H338" s="9">
        <f t="shared" si="138"/>
        <v>0</v>
      </c>
      <c r="I338" s="9">
        <f t="shared" ref="I338:AC338" ca="1" si="145">IF(I359+I256&lt;I$271,I256,I$271-I359)</f>
        <v>0</v>
      </c>
      <c r="J338" s="9">
        <f t="shared" ca="1" si="145"/>
        <v>0</v>
      </c>
      <c r="K338" s="9">
        <f t="shared" ca="1" si="145"/>
        <v>0</v>
      </c>
      <c r="L338" s="9">
        <f t="shared" ca="1" si="145"/>
        <v>0</v>
      </c>
      <c r="M338" s="9">
        <f t="shared" ca="1" si="145"/>
        <v>0</v>
      </c>
      <c r="N338" s="9">
        <f t="shared" ca="1" si="145"/>
        <v>0</v>
      </c>
      <c r="O338" s="9">
        <f t="shared" ca="1" si="145"/>
        <v>0</v>
      </c>
      <c r="P338" s="9">
        <f t="shared" ca="1" si="145"/>
        <v>0</v>
      </c>
      <c r="Q338" s="9">
        <f t="shared" ca="1" si="145"/>
        <v>0</v>
      </c>
      <c r="R338" s="9">
        <f t="shared" ca="1" si="145"/>
        <v>0</v>
      </c>
      <c r="S338" s="9">
        <f t="shared" ca="1" si="145"/>
        <v>0</v>
      </c>
      <c r="T338" s="9">
        <f t="shared" ca="1" si="145"/>
        <v>0</v>
      </c>
      <c r="U338" s="9">
        <f t="shared" ca="1" si="145"/>
        <v>0</v>
      </c>
      <c r="V338" s="9">
        <f t="shared" ca="1" si="145"/>
        <v>0</v>
      </c>
      <c r="W338" s="9">
        <f t="shared" ca="1" si="145"/>
        <v>0</v>
      </c>
      <c r="X338" s="9">
        <f t="shared" ca="1" si="145"/>
        <v>0</v>
      </c>
      <c r="Y338" s="9">
        <f t="shared" ca="1" si="145"/>
        <v>0</v>
      </c>
      <c r="Z338" s="9">
        <f t="shared" ca="1" si="145"/>
        <v>0</v>
      </c>
      <c r="AA338" s="9">
        <f t="shared" ca="1" si="145"/>
        <v>0</v>
      </c>
      <c r="AB338" s="9">
        <f t="shared" ca="1" si="145"/>
        <v>0</v>
      </c>
      <c r="AC338" s="9">
        <f t="shared" ca="1" si="145"/>
        <v>0</v>
      </c>
      <c r="AD338" s="9"/>
      <c r="AE338" s="9"/>
      <c r="AF338" s="9"/>
      <c r="AG338" s="9"/>
      <c r="AH338" s="9"/>
      <c r="AI338" s="9"/>
      <c r="AJ338" s="9"/>
      <c r="AK338" s="9"/>
      <c r="AL338" s="9"/>
      <c r="AM338" s="9"/>
      <c r="AN338" s="9"/>
      <c r="AO338" s="9"/>
      <c r="AP338" s="9"/>
      <c r="AQ338" s="9"/>
      <c r="AR338" s="9"/>
      <c r="AS338" s="9"/>
      <c r="AT338" s="9"/>
      <c r="AU338" s="9"/>
      <c r="AV338" s="9"/>
      <c r="AW338" s="9"/>
    </row>
    <row r="339" spans="3:49">
      <c r="C339">
        <v>19</v>
      </c>
      <c r="D339" s="9">
        <f t="shared" si="138"/>
        <v>0</v>
      </c>
      <c r="E339" s="9">
        <f t="shared" si="138"/>
        <v>0</v>
      </c>
      <c r="F339" s="9">
        <f t="shared" si="138"/>
        <v>0</v>
      </c>
      <c r="G339" s="9">
        <f t="shared" si="138"/>
        <v>0</v>
      </c>
      <c r="H339" s="9">
        <f t="shared" si="138"/>
        <v>0</v>
      </c>
      <c r="I339" s="9">
        <f t="shared" ref="I339:AC339" ca="1" si="146">IF(I360+I257&lt;I$271,I257,I$271-I360)</f>
        <v>0</v>
      </c>
      <c r="J339" s="9">
        <f t="shared" ca="1" si="146"/>
        <v>0</v>
      </c>
      <c r="K339" s="9">
        <f t="shared" ca="1" si="146"/>
        <v>0</v>
      </c>
      <c r="L339" s="9">
        <f t="shared" ca="1" si="146"/>
        <v>0</v>
      </c>
      <c r="M339" s="9">
        <f t="shared" ca="1" si="146"/>
        <v>0</v>
      </c>
      <c r="N339" s="9">
        <f t="shared" ca="1" si="146"/>
        <v>0</v>
      </c>
      <c r="O339" s="9">
        <f t="shared" ca="1" si="146"/>
        <v>0</v>
      </c>
      <c r="P339" s="9">
        <f t="shared" ca="1" si="146"/>
        <v>0</v>
      </c>
      <c r="Q339" s="9">
        <f t="shared" ca="1" si="146"/>
        <v>0</v>
      </c>
      <c r="R339" s="9">
        <f t="shared" ca="1" si="146"/>
        <v>0</v>
      </c>
      <c r="S339" s="9">
        <f t="shared" ca="1" si="146"/>
        <v>0</v>
      </c>
      <c r="T339" s="9">
        <f t="shared" ca="1" si="146"/>
        <v>0</v>
      </c>
      <c r="U339" s="9">
        <f t="shared" ca="1" si="146"/>
        <v>0</v>
      </c>
      <c r="V339" s="9">
        <f t="shared" ca="1" si="146"/>
        <v>0</v>
      </c>
      <c r="W339" s="9">
        <f t="shared" ca="1" si="146"/>
        <v>0</v>
      </c>
      <c r="X339" s="9">
        <f t="shared" ca="1" si="146"/>
        <v>0</v>
      </c>
      <c r="Y339" s="9">
        <f t="shared" ca="1" si="146"/>
        <v>0</v>
      </c>
      <c r="Z339" s="9">
        <f t="shared" ca="1" si="146"/>
        <v>0</v>
      </c>
      <c r="AA339" s="9">
        <f t="shared" ca="1" si="146"/>
        <v>0</v>
      </c>
      <c r="AB339" s="9">
        <f t="shared" ca="1" si="146"/>
        <v>0</v>
      </c>
      <c r="AC339" s="9">
        <f t="shared" ca="1" si="146"/>
        <v>0</v>
      </c>
      <c r="AD339" s="9"/>
      <c r="AE339" s="9"/>
      <c r="AF339" s="9"/>
      <c r="AG339" s="9"/>
      <c r="AH339" s="9"/>
      <c r="AI339" s="9"/>
      <c r="AJ339" s="9"/>
      <c r="AK339" s="9"/>
      <c r="AL339" s="9"/>
      <c r="AM339" s="9"/>
      <c r="AN339" s="9"/>
      <c r="AO339" s="9"/>
      <c r="AP339" s="9"/>
      <c r="AQ339" s="9"/>
      <c r="AR339" s="9"/>
      <c r="AS339" s="9"/>
      <c r="AT339" s="9"/>
      <c r="AU339" s="9"/>
      <c r="AV339" s="9"/>
      <c r="AW339" s="9"/>
    </row>
    <row r="340" spans="3:49">
      <c r="C340">
        <v>20</v>
      </c>
      <c r="D340" s="9">
        <f t="shared" si="138"/>
        <v>0</v>
      </c>
      <c r="E340" s="9">
        <f t="shared" si="138"/>
        <v>0</v>
      </c>
      <c r="F340" s="9">
        <f t="shared" si="138"/>
        <v>0</v>
      </c>
      <c r="G340" s="9">
        <f t="shared" si="138"/>
        <v>0</v>
      </c>
      <c r="H340" s="9">
        <f t="shared" si="138"/>
        <v>0</v>
      </c>
      <c r="I340" s="9">
        <f t="shared" ref="I340:AC340" ca="1" si="147">IF(I361+I258&lt;I$271,I258,I$271-I361)</f>
        <v>0</v>
      </c>
      <c r="J340" s="9">
        <f t="shared" ca="1" si="147"/>
        <v>0</v>
      </c>
      <c r="K340" s="9">
        <f t="shared" ca="1" si="147"/>
        <v>0</v>
      </c>
      <c r="L340" s="9">
        <f t="shared" ca="1" si="147"/>
        <v>0</v>
      </c>
      <c r="M340" s="9">
        <f t="shared" ca="1" si="147"/>
        <v>0</v>
      </c>
      <c r="N340" s="9">
        <f t="shared" ca="1" si="147"/>
        <v>0</v>
      </c>
      <c r="O340" s="9">
        <f t="shared" ca="1" si="147"/>
        <v>0</v>
      </c>
      <c r="P340" s="9">
        <f t="shared" ca="1" si="147"/>
        <v>0</v>
      </c>
      <c r="Q340" s="9">
        <f t="shared" ca="1" si="147"/>
        <v>0</v>
      </c>
      <c r="R340" s="9">
        <f t="shared" ca="1" si="147"/>
        <v>0</v>
      </c>
      <c r="S340" s="9">
        <f t="shared" ca="1" si="147"/>
        <v>0</v>
      </c>
      <c r="T340" s="9">
        <f t="shared" ca="1" si="147"/>
        <v>0</v>
      </c>
      <c r="U340" s="9">
        <f t="shared" ca="1" si="147"/>
        <v>0</v>
      </c>
      <c r="V340" s="9">
        <f t="shared" ca="1" si="147"/>
        <v>0</v>
      </c>
      <c r="W340" s="9">
        <f t="shared" ca="1" si="147"/>
        <v>0</v>
      </c>
      <c r="X340" s="9">
        <f t="shared" ca="1" si="147"/>
        <v>0</v>
      </c>
      <c r="Y340" s="9">
        <f t="shared" ca="1" si="147"/>
        <v>0</v>
      </c>
      <c r="Z340" s="9">
        <f t="shared" ca="1" si="147"/>
        <v>0</v>
      </c>
      <c r="AA340" s="9">
        <f t="shared" ca="1" si="147"/>
        <v>0</v>
      </c>
      <c r="AB340" s="9">
        <f t="shared" ca="1" si="147"/>
        <v>0</v>
      </c>
      <c r="AC340" s="9">
        <f t="shared" ca="1" si="147"/>
        <v>0</v>
      </c>
      <c r="AD340" s="9"/>
      <c r="AE340" s="9"/>
      <c r="AF340" s="9"/>
      <c r="AG340" s="9"/>
      <c r="AH340" s="9"/>
      <c r="AI340" s="9"/>
      <c r="AJ340" s="9"/>
      <c r="AK340" s="9"/>
      <c r="AL340" s="9"/>
      <c r="AM340" s="9"/>
      <c r="AN340" s="9"/>
      <c r="AO340" s="9"/>
      <c r="AP340" s="9"/>
      <c r="AQ340" s="9"/>
      <c r="AR340" s="9"/>
      <c r="AS340" s="9"/>
      <c r="AT340" s="9"/>
      <c r="AU340" s="9"/>
      <c r="AV340" s="9"/>
      <c r="AW340" s="9"/>
    </row>
    <row r="341" spans="3:49">
      <c r="D341" s="9"/>
      <c r="E341" s="9"/>
      <c r="F341" s="9"/>
      <c r="G341" s="9"/>
      <c r="H341" s="9"/>
      <c r="I341" s="9"/>
      <c r="J341" s="9"/>
      <c r="K341" s="9"/>
      <c r="L341" s="9"/>
      <c r="M341" s="9"/>
      <c r="N341" s="9"/>
      <c r="O341" s="9"/>
      <c r="P341" s="9"/>
      <c r="Q341" s="9"/>
      <c r="R341" s="9"/>
      <c r="S341" s="9"/>
      <c r="T341" s="9"/>
      <c r="U341" s="9"/>
      <c r="V341" s="9"/>
      <c r="W341" s="9"/>
      <c r="X341" s="9"/>
      <c r="Y341" s="9"/>
      <c r="Z341" s="9"/>
      <c r="AA341" s="9"/>
      <c r="AB341" s="9"/>
      <c r="AC341" s="9"/>
      <c r="AD341" s="9"/>
      <c r="AE341" s="9"/>
      <c r="AF341" s="9"/>
      <c r="AG341" s="9"/>
      <c r="AH341" s="9"/>
      <c r="AI341" s="9"/>
      <c r="AJ341" s="9"/>
      <c r="AK341" s="9"/>
      <c r="AL341" s="9"/>
      <c r="AM341" s="9"/>
      <c r="AN341" s="9"/>
      <c r="AO341" s="9"/>
      <c r="AP341" s="9"/>
      <c r="AQ341" s="9"/>
      <c r="AR341" s="9"/>
      <c r="AS341" s="9"/>
      <c r="AT341" s="9"/>
      <c r="AU341" s="9"/>
      <c r="AV341" s="9"/>
      <c r="AW341" s="9"/>
    </row>
    <row r="342" spans="3:49">
      <c r="C342" s="11" t="s">
        <v>231</v>
      </c>
      <c r="D342" s="9"/>
      <c r="E342" s="9"/>
      <c r="F342" s="9"/>
      <c r="G342" s="9"/>
      <c r="H342" s="9"/>
      <c r="I342" s="9"/>
      <c r="J342" s="9"/>
      <c r="K342" s="9"/>
      <c r="L342" s="9"/>
      <c r="M342" s="9"/>
      <c r="N342" s="9"/>
      <c r="O342" s="9"/>
      <c r="P342" s="9"/>
      <c r="Q342" s="9"/>
      <c r="R342" s="9"/>
      <c r="S342" s="9"/>
      <c r="T342" s="9"/>
      <c r="U342" s="9"/>
      <c r="V342" s="9"/>
      <c r="W342" s="9"/>
      <c r="X342" s="9"/>
      <c r="Y342" s="9"/>
      <c r="Z342" s="9"/>
      <c r="AA342" s="9"/>
      <c r="AB342" s="9"/>
      <c r="AC342" s="9"/>
      <c r="AD342" s="9"/>
      <c r="AE342" s="9"/>
      <c r="AF342" s="9"/>
      <c r="AG342" s="9"/>
      <c r="AH342" s="9"/>
      <c r="AI342" s="9"/>
      <c r="AJ342" s="9"/>
      <c r="AK342" s="9"/>
      <c r="AL342" s="9"/>
      <c r="AM342" s="9"/>
      <c r="AN342" s="9"/>
      <c r="AO342" s="9"/>
      <c r="AP342" s="9"/>
      <c r="AQ342" s="9"/>
      <c r="AR342" s="9"/>
      <c r="AS342" s="9"/>
      <c r="AT342" s="9"/>
      <c r="AU342" s="9"/>
      <c r="AV342" s="9"/>
      <c r="AW342" s="9"/>
    </row>
    <row r="343" spans="3:49">
      <c r="C343">
        <v>1</v>
      </c>
      <c r="D343" s="9">
        <f t="shared" ref="D343:J343" si="148">D317+D321</f>
        <v>100978.96610872824</v>
      </c>
      <c r="E343" s="9">
        <f t="shared" si="148"/>
        <v>100978.96610872824</v>
      </c>
      <c r="F343" s="9">
        <f t="shared" si="148"/>
        <v>100978.96610872824</v>
      </c>
      <c r="G343" s="9">
        <f t="shared" si="148"/>
        <v>100978.96610872824</v>
      </c>
      <c r="H343" s="9">
        <f t="shared" si="148"/>
        <v>100978.96610872824</v>
      </c>
      <c r="I343" s="9">
        <f t="shared" ca="1" si="148"/>
        <v>102684.70970294609</v>
      </c>
      <c r="J343" s="9">
        <f t="shared" ca="1" si="148"/>
        <v>103831.5193052823</v>
      </c>
      <c r="K343" s="9">
        <f t="shared" ref="K343:AC343" ca="1" si="149">K317+K321</f>
        <v>105525.25588828229</v>
      </c>
      <c r="L343" s="9">
        <f t="shared" ca="1" si="149"/>
        <v>110217.75183909241</v>
      </c>
      <c r="M343" s="9">
        <f t="shared" ca="1" si="149"/>
        <v>116603.98437290255</v>
      </c>
      <c r="N343" s="9">
        <f t="shared" ca="1" si="149"/>
        <v>121685.19412190255</v>
      </c>
      <c r="O343" s="9">
        <f t="shared" ca="1" si="149"/>
        <v>124993.44271281738</v>
      </c>
      <c r="P343" s="9">
        <f t="shared" ca="1" si="149"/>
        <v>128301.69130373222</v>
      </c>
      <c r="Q343" s="9">
        <f t="shared" ca="1" si="149"/>
        <v>133277.26828595201</v>
      </c>
      <c r="R343" s="9">
        <f t="shared" ca="1" si="149"/>
        <v>138252.84526817178</v>
      </c>
      <c r="S343" s="9">
        <f t="shared" ca="1" si="149"/>
        <v>141327.03244834754</v>
      </c>
      <c r="T343" s="9">
        <f t="shared" ca="1" si="149"/>
        <v>146094.9562115233</v>
      </c>
      <c r="U343" s="9">
        <f t="shared" ca="1" si="149"/>
        <v>152869.90254352329</v>
      </c>
      <c r="V343" s="9">
        <f t="shared" ca="1" si="149"/>
        <v>158146.64352369128</v>
      </c>
      <c r="W343" s="9">
        <f t="shared" ca="1" si="149"/>
        <v>162313.41700529115</v>
      </c>
      <c r="X343" s="9">
        <f t="shared" ca="1" si="149"/>
        <v>165555.43429860056</v>
      </c>
      <c r="Y343" s="9">
        <f t="shared" ca="1" si="149"/>
        <v>170034.67619347796</v>
      </c>
      <c r="Z343" s="9">
        <f t="shared" ca="1" si="149"/>
        <v>175243.14304547777</v>
      </c>
      <c r="AA343" s="9">
        <f t="shared" ca="1" si="149"/>
        <v>179765.24862105647</v>
      </c>
      <c r="AB343" s="9">
        <f t="shared" ca="1" si="149"/>
        <v>182230.04467138191</v>
      </c>
      <c r="AC343" s="9">
        <f t="shared" ca="1" si="149"/>
        <v>188136.64816255824</v>
      </c>
      <c r="AD343" s="9"/>
      <c r="AE343" s="9"/>
      <c r="AF343" s="9"/>
      <c r="AG343" s="9"/>
      <c r="AH343" s="9"/>
      <c r="AI343" s="9"/>
      <c r="AJ343" s="9"/>
      <c r="AK343" s="9"/>
      <c r="AL343" s="9"/>
      <c r="AM343" s="9"/>
      <c r="AN343" s="9"/>
      <c r="AO343" s="9"/>
      <c r="AP343" s="9"/>
      <c r="AQ343" s="9"/>
      <c r="AR343" s="9"/>
      <c r="AS343" s="9"/>
      <c r="AT343" s="9"/>
      <c r="AU343" s="9"/>
      <c r="AV343" s="9"/>
      <c r="AW343" s="9"/>
    </row>
    <row r="344" spans="3:49">
      <c r="C344">
        <v>2</v>
      </c>
      <c r="D344" s="9">
        <f t="shared" ref="D344:D362" si="150">D343+D322</f>
        <v>101045.62643825206</v>
      </c>
      <c r="E344" s="9">
        <f t="shared" ref="E344:E362" si="151">E343+E322</f>
        <v>101045.62643825206</v>
      </c>
      <c r="F344" s="9">
        <f t="shared" ref="F344:F362" si="152">F343+F322</f>
        <v>101045.62643825206</v>
      </c>
      <c r="G344" s="9">
        <f t="shared" ref="G344:H359" si="153">G343+G322</f>
        <v>101045.62643825206</v>
      </c>
      <c r="H344" s="9">
        <f t="shared" si="153"/>
        <v>101045.62643825206</v>
      </c>
      <c r="I344" s="9">
        <f ca="1">I343+I322</f>
        <v>102751.3700324699</v>
      </c>
      <c r="J344" s="9">
        <f ca="1">J343+J322</f>
        <v>103898.17963480612</v>
      </c>
      <c r="K344" s="9">
        <f t="shared" ref="K344:AC357" ca="1" si="154">K343+K322</f>
        <v>105591.91621780611</v>
      </c>
      <c r="L344" s="9">
        <f t="shared" ca="1" si="154"/>
        <v>110284.41216861623</v>
      </c>
      <c r="M344" s="9">
        <f t="shared" ca="1" si="154"/>
        <v>116670.64470242636</v>
      </c>
      <c r="N344" s="9">
        <f t="shared" ca="1" si="154"/>
        <v>121751.85445142636</v>
      </c>
      <c r="O344" s="9">
        <f t="shared" ca="1" si="154"/>
        <v>125060.1030423412</v>
      </c>
      <c r="P344" s="9">
        <f t="shared" ca="1" si="154"/>
        <v>128368.35163325604</v>
      </c>
      <c r="Q344" s="9">
        <f t="shared" ca="1" si="154"/>
        <v>133343.92861547583</v>
      </c>
      <c r="R344" s="9">
        <f t="shared" ca="1" si="154"/>
        <v>138319.50559769559</v>
      </c>
      <c r="S344" s="9">
        <f t="shared" ca="1" si="154"/>
        <v>141393.69277787136</v>
      </c>
      <c r="T344" s="9">
        <f t="shared" ca="1" si="154"/>
        <v>146161.61654104711</v>
      </c>
      <c r="U344" s="9">
        <f t="shared" ca="1" si="154"/>
        <v>152936.56287304711</v>
      </c>
      <c r="V344" s="9">
        <f t="shared" ca="1" si="154"/>
        <v>158213.3038532151</v>
      </c>
      <c r="W344" s="9">
        <f t="shared" ca="1" si="154"/>
        <v>162380.07733481497</v>
      </c>
      <c r="X344" s="9">
        <f t="shared" ca="1" si="154"/>
        <v>165622.09462812438</v>
      </c>
      <c r="Y344" s="9">
        <f t="shared" ca="1" si="154"/>
        <v>170101.33652300178</v>
      </c>
      <c r="Z344" s="9">
        <f t="shared" ca="1" si="154"/>
        <v>175309.80337500159</v>
      </c>
      <c r="AA344" s="9">
        <f t="shared" ca="1" si="154"/>
        <v>179831.90895058028</v>
      </c>
      <c r="AB344" s="9">
        <f t="shared" ca="1" si="154"/>
        <v>182296.70500090573</v>
      </c>
      <c r="AC344" s="9">
        <f t="shared" ca="1" si="154"/>
        <v>188203.30849208205</v>
      </c>
      <c r="AD344" s="9"/>
      <c r="AE344" s="9"/>
      <c r="AF344" s="9"/>
      <c r="AG344" s="9"/>
      <c r="AH344" s="9"/>
      <c r="AI344" s="9"/>
      <c r="AJ344" s="9"/>
      <c r="AK344" s="9"/>
      <c r="AL344" s="9"/>
      <c r="AM344" s="9"/>
      <c r="AN344" s="9"/>
      <c r="AO344" s="9"/>
      <c r="AP344" s="9"/>
      <c r="AQ344" s="9"/>
      <c r="AR344" s="9"/>
      <c r="AS344" s="9"/>
      <c r="AT344" s="9"/>
      <c r="AU344" s="9"/>
      <c r="AV344" s="9"/>
      <c r="AW344" s="9"/>
    </row>
    <row r="345" spans="3:49">
      <c r="C345">
        <v>3</v>
      </c>
      <c r="D345" s="9">
        <f t="shared" si="150"/>
        <v>101045.62643825206</v>
      </c>
      <c r="E345" s="9">
        <f t="shared" si="151"/>
        <v>101045.62643825206</v>
      </c>
      <c r="F345" s="9">
        <f t="shared" si="152"/>
        <v>101045.62643825206</v>
      </c>
      <c r="G345" s="9">
        <f t="shared" si="153"/>
        <v>101045.62643825206</v>
      </c>
      <c r="H345" s="9">
        <f t="shared" si="153"/>
        <v>101045.62643825206</v>
      </c>
      <c r="I345" s="9">
        <f t="shared" ref="I345:J362" ca="1" si="155">I344+I323</f>
        <v>102751.3700324699</v>
      </c>
      <c r="J345" s="9">
        <f t="shared" ca="1" si="155"/>
        <v>103898.17963480612</v>
      </c>
      <c r="K345" s="9">
        <f t="shared" ca="1" si="154"/>
        <v>105591.91621780611</v>
      </c>
      <c r="L345" s="9">
        <f t="shared" ca="1" si="154"/>
        <v>110284.41216861623</v>
      </c>
      <c r="M345" s="9">
        <f t="shared" ca="1" si="154"/>
        <v>116670.64470242636</v>
      </c>
      <c r="N345" s="9">
        <f t="shared" ca="1" si="154"/>
        <v>121751.85445142636</v>
      </c>
      <c r="O345" s="9">
        <f t="shared" ca="1" si="154"/>
        <v>125060.1030423412</v>
      </c>
      <c r="P345" s="9">
        <f t="shared" ca="1" si="154"/>
        <v>128368.35163325604</v>
      </c>
      <c r="Q345" s="9">
        <f t="shared" ca="1" si="154"/>
        <v>133343.92861547583</v>
      </c>
      <c r="R345" s="9">
        <f t="shared" ca="1" si="154"/>
        <v>138319.50559769559</v>
      </c>
      <c r="S345" s="9">
        <f t="shared" ca="1" si="154"/>
        <v>141393.69277787136</v>
      </c>
      <c r="T345" s="9">
        <f t="shared" ca="1" si="154"/>
        <v>146161.61654104711</v>
      </c>
      <c r="U345" s="9">
        <f t="shared" ca="1" si="154"/>
        <v>152936.56287304711</v>
      </c>
      <c r="V345" s="9">
        <f t="shared" ca="1" si="154"/>
        <v>158213.3038532151</v>
      </c>
      <c r="W345" s="9">
        <f t="shared" ca="1" si="154"/>
        <v>162380.07733481497</v>
      </c>
      <c r="X345" s="9">
        <f t="shared" ca="1" si="154"/>
        <v>165622.09462812438</v>
      </c>
      <c r="Y345" s="9">
        <f t="shared" ca="1" si="154"/>
        <v>170101.33652300178</v>
      </c>
      <c r="Z345" s="9">
        <f t="shared" ca="1" si="154"/>
        <v>175309.80337500159</v>
      </c>
      <c r="AA345" s="9">
        <f t="shared" ca="1" si="154"/>
        <v>179831.90895058028</v>
      </c>
      <c r="AB345" s="9">
        <f t="shared" ca="1" si="154"/>
        <v>182296.70500090573</v>
      </c>
      <c r="AC345" s="9">
        <f t="shared" ca="1" si="154"/>
        <v>188203.30849208205</v>
      </c>
      <c r="AD345" s="9"/>
      <c r="AE345" s="9"/>
      <c r="AF345" s="9"/>
      <c r="AG345" s="9"/>
      <c r="AH345" s="9"/>
      <c r="AI345" s="9"/>
      <c r="AJ345" s="9"/>
      <c r="AK345" s="9"/>
      <c r="AL345" s="9"/>
      <c r="AM345" s="9"/>
      <c r="AN345" s="9"/>
      <c r="AO345" s="9"/>
      <c r="AP345" s="9"/>
      <c r="AQ345" s="9"/>
      <c r="AR345" s="9"/>
      <c r="AS345" s="9"/>
      <c r="AT345" s="9"/>
      <c r="AU345" s="9"/>
      <c r="AV345" s="9"/>
      <c r="AW345" s="9"/>
    </row>
    <row r="346" spans="3:49">
      <c r="C346">
        <v>4</v>
      </c>
      <c r="D346" s="9">
        <f t="shared" si="150"/>
        <v>101045.62643825206</v>
      </c>
      <c r="E346" s="9">
        <f t="shared" si="151"/>
        <v>101045.62643825206</v>
      </c>
      <c r="F346" s="9">
        <f t="shared" si="152"/>
        <v>101045.62643825206</v>
      </c>
      <c r="G346" s="9">
        <f t="shared" si="153"/>
        <v>101045.62643825206</v>
      </c>
      <c r="H346" s="9">
        <f t="shared" si="153"/>
        <v>101045.62643825206</v>
      </c>
      <c r="I346" s="9">
        <f t="shared" ca="1" si="155"/>
        <v>102751.3700324699</v>
      </c>
      <c r="J346" s="9">
        <f t="shared" ca="1" si="155"/>
        <v>103898.17963480612</v>
      </c>
      <c r="K346" s="9">
        <f t="shared" ca="1" si="154"/>
        <v>105591.91621780611</v>
      </c>
      <c r="L346" s="9">
        <f t="shared" ca="1" si="154"/>
        <v>110284.41216861623</v>
      </c>
      <c r="M346" s="9">
        <f t="shared" ca="1" si="154"/>
        <v>116670.64470242636</v>
      </c>
      <c r="N346" s="9">
        <f t="shared" ca="1" si="154"/>
        <v>121751.85445142636</v>
      </c>
      <c r="O346" s="9">
        <f t="shared" ca="1" si="154"/>
        <v>125060.1030423412</v>
      </c>
      <c r="P346" s="9">
        <f t="shared" ca="1" si="154"/>
        <v>128368.35163325604</v>
      </c>
      <c r="Q346" s="9">
        <f t="shared" ca="1" si="154"/>
        <v>133343.92861547583</v>
      </c>
      <c r="R346" s="9">
        <f t="shared" ca="1" si="154"/>
        <v>138319.50559769559</v>
      </c>
      <c r="S346" s="9">
        <f t="shared" ca="1" si="154"/>
        <v>141393.69277787136</v>
      </c>
      <c r="T346" s="9">
        <f t="shared" ca="1" si="154"/>
        <v>146161.61654104711</v>
      </c>
      <c r="U346" s="9">
        <f t="shared" ca="1" si="154"/>
        <v>152936.56287304711</v>
      </c>
      <c r="V346" s="9">
        <f t="shared" ca="1" si="154"/>
        <v>158213.3038532151</v>
      </c>
      <c r="W346" s="9">
        <f t="shared" ca="1" si="154"/>
        <v>162380.07733481497</v>
      </c>
      <c r="X346" s="9">
        <f t="shared" ca="1" si="154"/>
        <v>165622.09462812438</v>
      </c>
      <c r="Y346" s="9">
        <f t="shared" ca="1" si="154"/>
        <v>170101.33652300178</v>
      </c>
      <c r="Z346" s="9">
        <f t="shared" ca="1" si="154"/>
        <v>175309.80337500159</v>
      </c>
      <c r="AA346" s="9">
        <f t="shared" ca="1" si="154"/>
        <v>179831.90895058028</v>
      </c>
      <c r="AB346" s="9">
        <f t="shared" ca="1" si="154"/>
        <v>182296.70500090573</v>
      </c>
      <c r="AC346" s="9">
        <f t="shared" ca="1" si="154"/>
        <v>188203.30849208205</v>
      </c>
      <c r="AD346" s="9"/>
      <c r="AE346" s="9"/>
      <c r="AF346" s="9"/>
      <c r="AG346" s="9"/>
      <c r="AH346" s="9"/>
      <c r="AI346" s="9"/>
      <c r="AJ346" s="9"/>
      <c r="AK346" s="9"/>
      <c r="AL346" s="9"/>
      <c r="AM346" s="9"/>
      <c r="AN346" s="9"/>
      <c r="AO346" s="9"/>
      <c r="AP346" s="9"/>
      <c r="AQ346" s="9"/>
      <c r="AR346" s="9"/>
      <c r="AS346" s="9"/>
      <c r="AT346" s="9"/>
      <c r="AU346" s="9"/>
      <c r="AV346" s="9"/>
      <c r="AW346" s="9"/>
    </row>
    <row r="347" spans="3:49">
      <c r="C347">
        <v>5</v>
      </c>
      <c r="D347" s="9">
        <f t="shared" si="150"/>
        <v>101045.62643825206</v>
      </c>
      <c r="E347" s="9">
        <f t="shared" si="151"/>
        <v>101045.62643825206</v>
      </c>
      <c r="F347" s="9">
        <f t="shared" si="152"/>
        <v>101045.62643825206</v>
      </c>
      <c r="G347" s="9">
        <f t="shared" si="153"/>
        <v>101045.62643825206</v>
      </c>
      <c r="H347" s="9">
        <f t="shared" si="153"/>
        <v>101045.62643825206</v>
      </c>
      <c r="I347" s="9">
        <f t="shared" ca="1" si="155"/>
        <v>102751.3700324699</v>
      </c>
      <c r="J347" s="9">
        <f t="shared" ca="1" si="155"/>
        <v>103898.17963480612</v>
      </c>
      <c r="K347" s="9">
        <f t="shared" ca="1" si="154"/>
        <v>105591.91621780611</v>
      </c>
      <c r="L347" s="9">
        <f t="shared" ca="1" si="154"/>
        <v>110284.41216861623</v>
      </c>
      <c r="M347" s="9">
        <f t="shared" ca="1" si="154"/>
        <v>116670.64470242636</v>
      </c>
      <c r="N347" s="9">
        <f t="shared" ca="1" si="154"/>
        <v>121751.85445142636</v>
      </c>
      <c r="O347" s="9">
        <f t="shared" ca="1" si="154"/>
        <v>125060.1030423412</v>
      </c>
      <c r="P347" s="9">
        <f t="shared" ca="1" si="154"/>
        <v>128368.35163325604</v>
      </c>
      <c r="Q347" s="9">
        <f t="shared" ca="1" si="154"/>
        <v>133343.92861547583</v>
      </c>
      <c r="R347" s="9">
        <f t="shared" ca="1" si="154"/>
        <v>138319.50559769559</v>
      </c>
      <c r="S347" s="9">
        <f t="shared" ca="1" si="154"/>
        <v>141393.69277787136</v>
      </c>
      <c r="T347" s="9">
        <f t="shared" ca="1" si="154"/>
        <v>146161.61654104711</v>
      </c>
      <c r="U347" s="9">
        <f t="shared" ca="1" si="154"/>
        <v>152936.56287304711</v>
      </c>
      <c r="V347" s="9">
        <f t="shared" ca="1" si="154"/>
        <v>158213.3038532151</v>
      </c>
      <c r="W347" s="9">
        <f t="shared" ca="1" si="154"/>
        <v>162380.07733481497</v>
      </c>
      <c r="X347" s="9">
        <f t="shared" ca="1" si="154"/>
        <v>165622.09462812438</v>
      </c>
      <c r="Y347" s="9">
        <f t="shared" ca="1" si="154"/>
        <v>170101.33652300178</v>
      </c>
      <c r="Z347" s="9">
        <f t="shared" ca="1" si="154"/>
        <v>175309.80337500159</v>
      </c>
      <c r="AA347" s="9">
        <f t="shared" ca="1" si="154"/>
        <v>179831.90895058028</v>
      </c>
      <c r="AB347" s="9">
        <f t="shared" ca="1" si="154"/>
        <v>182296.70500090573</v>
      </c>
      <c r="AC347" s="9">
        <f t="shared" ca="1" si="154"/>
        <v>188203.30849208205</v>
      </c>
      <c r="AD347" s="9"/>
      <c r="AE347" s="9"/>
      <c r="AF347" s="9"/>
      <c r="AG347" s="9"/>
      <c r="AH347" s="9"/>
      <c r="AI347" s="9"/>
      <c r="AJ347" s="9"/>
      <c r="AK347" s="9"/>
      <c r="AL347" s="9"/>
      <c r="AM347" s="9"/>
      <c r="AN347" s="9"/>
      <c r="AO347" s="9"/>
      <c r="AP347" s="9"/>
      <c r="AQ347" s="9"/>
      <c r="AR347" s="9"/>
      <c r="AS347" s="9"/>
      <c r="AT347" s="9"/>
      <c r="AU347" s="9"/>
      <c r="AV347" s="9"/>
      <c r="AW347" s="9"/>
    </row>
    <row r="348" spans="3:49">
      <c r="C348">
        <v>6</v>
      </c>
      <c r="D348" s="9">
        <f t="shared" si="150"/>
        <v>101045.62643825206</v>
      </c>
      <c r="E348" s="9">
        <f t="shared" si="151"/>
        <v>101045.62643825206</v>
      </c>
      <c r="F348" s="9">
        <f t="shared" si="152"/>
        <v>101045.62643825206</v>
      </c>
      <c r="G348" s="9">
        <f t="shared" si="153"/>
        <v>101045.62643825206</v>
      </c>
      <c r="H348" s="9">
        <f t="shared" si="153"/>
        <v>101045.62643825206</v>
      </c>
      <c r="I348" s="9">
        <f t="shared" ca="1" si="155"/>
        <v>102751.3700324699</v>
      </c>
      <c r="J348" s="9">
        <f t="shared" ca="1" si="155"/>
        <v>103898.17963480612</v>
      </c>
      <c r="K348" s="9">
        <f t="shared" ca="1" si="154"/>
        <v>105591.91621780611</v>
      </c>
      <c r="L348" s="9">
        <f t="shared" ca="1" si="154"/>
        <v>110284.41216861623</v>
      </c>
      <c r="M348" s="9">
        <f t="shared" ca="1" si="154"/>
        <v>116670.64470242636</v>
      </c>
      <c r="N348" s="9">
        <f t="shared" ca="1" si="154"/>
        <v>121751.85445142636</v>
      </c>
      <c r="O348" s="9">
        <f t="shared" ca="1" si="154"/>
        <v>125060.1030423412</v>
      </c>
      <c r="P348" s="9">
        <f t="shared" ca="1" si="154"/>
        <v>128368.35163325604</v>
      </c>
      <c r="Q348" s="9">
        <f t="shared" ca="1" si="154"/>
        <v>133343.92861547583</v>
      </c>
      <c r="R348" s="9">
        <f t="shared" ca="1" si="154"/>
        <v>138319.50559769559</v>
      </c>
      <c r="S348" s="9">
        <f t="shared" ca="1" si="154"/>
        <v>141393.69277787136</v>
      </c>
      <c r="T348" s="9">
        <f t="shared" ca="1" si="154"/>
        <v>146161.61654104711</v>
      </c>
      <c r="U348" s="9">
        <f t="shared" ca="1" si="154"/>
        <v>152936.56287304711</v>
      </c>
      <c r="V348" s="9">
        <f t="shared" ca="1" si="154"/>
        <v>158213.3038532151</v>
      </c>
      <c r="W348" s="9">
        <f t="shared" ca="1" si="154"/>
        <v>162380.07733481497</v>
      </c>
      <c r="X348" s="9">
        <f t="shared" ca="1" si="154"/>
        <v>165622.09462812438</v>
      </c>
      <c r="Y348" s="9">
        <f t="shared" ca="1" si="154"/>
        <v>170101.33652300178</v>
      </c>
      <c r="Z348" s="9">
        <f t="shared" ca="1" si="154"/>
        <v>175309.80337500159</v>
      </c>
      <c r="AA348" s="9">
        <f t="shared" ca="1" si="154"/>
        <v>179831.90895058028</v>
      </c>
      <c r="AB348" s="9">
        <f t="shared" ca="1" si="154"/>
        <v>182296.70500090573</v>
      </c>
      <c r="AC348" s="9">
        <f t="shared" ca="1" si="154"/>
        <v>188203.30849208205</v>
      </c>
      <c r="AD348" s="9"/>
      <c r="AE348" s="9"/>
      <c r="AF348" s="9"/>
      <c r="AG348" s="9"/>
      <c r="AH348" s="9"/>
      <c r="AI348" s="9"/>
      <c r="AJ348" s="9"/>
      <c r="AK348" s="9"/>
      <c r="AL348" s="9"/>
      <c r="AM348" s="9"/>
      <c r="AN348" s="9"/>
      <c r="AO348" s="9"/>
      <c r="AP348" s="9"/>
      <c r="AQ348" s="9"/>
      <c r="AR348" s="9"/>
      <c r="AS348" s="9"/>
      <c r="AT348" s="9"/>
      <c r="AU348" s="9"/>
      <c r="AV348" s="9"/>
      <c r="AW348" s="9"/>
    </row>
    <row r="349" spans="3:49">
      <c r="C349">
        <v>7</v>
      </c>
      <c r="D349" s="9">
        <f t="shared" si="150"/>
        <v>101045.62643825206</v>
      </c>
      <c r="E349" s="9">
        <f t="shared" si="151"/>
        <v>101045.62643825206</v>
      </c>
      <c r="F349" s="9">
        <f t="shared" si="152"/>
        <v>101045.62643825206</v>
      </c>
      <c r="G349" s="9">
        <f t="shared" si="153"/>
        <v>101045.62643825206</v>
      </c>
      <c r="H349" s="9">
        <f t="shared" si="153"/>
        <v>101045.62643825206</v>
      </c>
      <c r="I349" s="9">
        <f t="shared" ca="1" si="155"/>
        <v>102751.3700324699</v>
      </c>
      <c r="J349" s="9">
        <f t="shared" ca="1" si="155"/>
        <v>103898.17963480612</v>
      </c>
      <c r="K349" s="9">
        <f t="shared" ca="1" si="154"/>
        <v>105591.91621780611</v>
      </c>
      <c r="L349" s="9">
        <f t="shared" ca="1" si="154"/>
        <v>110284.41216861623</v>
      </c>
      <c r="M349" s="9">
        <f t="shared" ca="1" si="154"/>
        <v>116670.64470242636</v>
      </c>
      <c r="N349" s="9">
        <f t="shared" ca="1" si="154"/>
        <v>121751.85445142636</v>
      </c>
      <c r="O349" s="9">
        <f t="shared" ca="1" si="154"/>
        <v>125060.1030423412</v>
      </c>
      <c r="P349" s="9">
        <f t="shared" ca="1" si="154"/>
        <v>128368.35163325604</v>
      </c>
      <c r="Q349" s="9">
        <f t="shared" ca="1" si="154"/>
        <v>133343.92861547583</v>
      </c>
      <c r="R349" s="9">
        <f t="shared" ca="1" si="154"/>
        <v>138319.50559769559</v>
      </c>
      <c r="S349" s="9">
        <f t="shared" ca="1" si="154"/>
        <v>141393.69277787136</v>
      </c>
      <c r="T349" s="9">
        <f t="shared" ca="1" si="154"/>
        <v>146161.61654104711</v>
      </c>
      <c r="U349" s="9">
        <f t="shared" ca="1" si="154"/>
        <v>152936.56287304711</v>
      </c>
      <c r="V349" s="9">
        <f t="shared" ca="1" si="154"/>
        <v>158213.3038532151</v>
      </c>
      <c r="W349" s="9">
        <f t="shared" ca="1" si="154"/>
        <v>162380.07733481497</v>
      </c>
      <c r="X349" s="9">
        <f t="shared" ca="1" si="154"/>
        <v>165622.09462812438</v>
      </c>
      <c r="Y349" s="9">
        <f t="shared" ca="1" si="154"/>
        <v>170101.33652300178</v>
      </c>
      <c r="Z349" s="9">
        <f t="shared" ca="1" si="154"/>
        <v>175309.80337500159</v>
      </c>
      <c r="AA349" s="9">
        <f t="shared" ca="1" si="154"/>
        <v>179831.90895058028</v>
      </c>
      <c r="AB349" s="9">
        <f t="shared" ca="1" si="154"/>
        <v>182296.70500090573</v>
      </c>
      <c r="AC349" s="9">
        <f t="shared" ca="1" si="154"/>
        <v>188203.30849208205</v>
      </c>
      <c r="AD349" s="9"/>
      <c r="AE349" s="9"/>
      <c r="AF349" s="9"/>
      <c r="AG349" s="9"/>
      <c r="AH349" s="9"/>
      <c r="AI349" s="9"/>
      <c r="AJ349" s="9"/>
      <c r="AK349" s="9"/>
      <c r="AL349" s="9"/>
      <c r="AM349" s="9"/>
      <c r="AN349" s="9"/>
      <c r="AO349" s="9"/>
      <c r="AP349" s="9"/>
      <c r="AQ349" s="9"/>
      <c r="AR349" s="9"/>
      <c r="AS349" s="9"/>
      <c r="AT349" s="9"/>
      <c r="AU349" s="9"/>
      <c r="AV349" s="9"/>
      <c r="AW349" s="9"/>
    </row>
    <row r="350" spans="3:49">
      <c r="C350">
        <v>8</v>
      </c>
      <c r="D350" s="9">
        <f t="shared" si="150"/>
        <v>101045.62643825206</v>
      </c>
      <c r="E350" s="9">
        <f t="shared" si="151"/>
        <v>101045.62643825206</v>
      </c>
      <c r="F350" s="9">
        <f t="shared" si="152"/>
        <v>101045.62643825206</v>
      </c>
      <c r="G350" s="9">
        <f t="shared" si="153"/>
        <v>101045.62643825206</v>
      </c>
      <c r="H350" s="9">
        <f t="shared" si="153"/>
        <v>101045.62643825206</v>
      </c>
      <c r="I350" s="9">
        <f t="shared" ca="1" si="155"/>
        <v>102751.3700324699</v>
      </c>
      <c r="J350" s="9">
        <f t="shared" ca="1" si="155"/>
        <v>103898.17963480612</v>
      </c>
      <c r="K350" s="9">
        <f t="shared" ca="1" si="154"/>
        <v>105591.91621780611</v>
      </c>
      <c r="L350" s="9">
        <f t="shared" ca="1" si="154"/>
        <v>110284.41216861623</v>
      </c>
      <c r="M350" s="9">
        <f t="shared" ca="1" si="154"/>
        <v>116670.64470242636</v>
      </c>
      <c r="N350" s="9">
        <f t="shared" ca="1" si="154"/>
        <v>121751.85445142636</v>
      </c>
      <c r="O350" s="9">
        <f t="shared" ca="1" si="154"/>
        <v>125060.1030423412</v>
      </c>
      <c r="P350" s="9">
        <f t="shared" ca="1" si="154"/>
        <v>128368.35163325604</v>
      </c>
      <c r="Q350" s="9">
        <f t="shared" ca="1" si="154"/>
        <v>133343.92861547583</v>
      </c>
      <c r="R350" s="9">
        <f t="shared" ca="1" si="154"/>
        <v>138319.50559769559</v>
      </c>
      <c r="S350" s="9">
        <f t="shared" ca="1" si="154"/>
        <v>141393.69277787136</v>
      </c>
      <c r="T350" s="9">
        <f t="shared" ca="1" si="154"/>
        <v>146161.61654104711</v>
      </c>
      <c r="U350" s="9">
        <f t="shared" ca="1" si="154"/>
        <v>152936.56287304711</v>
      </c>
      <c r="V350" s="9">
        <f t="shared" ca="1" si="154"/>
        <v>158213.3038532151</v>
      </c>
      <c r="W350" s="9">
        <f t="shared" ca="1" si="154"/>
        <v>162380.07733481497</v>
      </c>
      <c r="X350" s="9">
        <f t="shared" ca="1" si="154"/>
        <v>165622.09462812438</v>
      </c>
      <c r="Y350" s="9">
        <f t="shared" ca="1" si="154"/>
        <v>170101.33652300178</v>
      </c>
      <c r="Z350" s="9">
        <f t="shared" ca="1" si="154"/>
        <v>175309.80337500159</v>
      </c>
      <c r="AA350" s="9">
        <f t="shared" ca="1" si="154"/>
        <v>179831.90895058028</v>
      </c>
      <c r="AB350" s="9">
        <f t="shared" ca="1" si="154"/>
        <v>182296.70500090573</v>
      </c>
      <c r="AC350" s="9">
        <f t="shared" ca="1" si="154"/>
        <v>188203.30849208205</v>
      </c>
      <c r="AD350" s="9"/>
      <c r="AE350" s="9"/>
      <c r="AF350" s="9"/>
      <c r="AG350" s="9"/>
      <c r="AH350" s="9"/>
      <c r="AI350" s="9"/>
      <c r="AJ350" s="9"/>
      <c r="AK350" s="9"/>
      <c r="AL350" s="9"/>
      <c r="AM350" s="9"/>
      <c r="AN350" s="9"/>
      <c r="AO350" s="9"/>
      <c r="AP350" s="9"/>
      <c r="AQ350" s="9"/>
      <c r="AR350" s="9"/>
      <c r="AS350" s="9"/>
      <c r="AT350" s="9"/>
      <c r="AU350" s="9"/>
      <c r="AV350" s="9"/>
      <c r="AW350" s="9"/>
    </row>
    <row r="351" spans="3:49">
      <c r="C351">
        <v>9</v>
      </c>
      <c r="D351" s="9">
        <f t="shared" si="150"/>
        <v>101045.62643825206</v>
      </c>
      <c r="E351" s="9">
        <f t="shared" si="151"/>
        <v>101045.62643825206</v>
      </c>
      <c r="F351" s="9">
        <f t="shared" si="152"/>
        <v>101045.62643825206</v>
      </c>
      <c r="G351" s="9">
        <f t="shared" si="153"/>
        <v>101045.62643825206</v>
      </c>
      <c r="H351" s="9">
        <f t="shared" si="153"/>
        <v>101045.62643825206</v>
      </c>
      <c r="I351" s="9">
        <f t="shared" ca="1" si="155"/>
        <v>102751.3700324699</v>
      </c>
      <c r="J351" s="9">
        <f t="shared" ca="1" si="155"/>
        <v>103898.17963480612</v>
      </c>
      <c r="K351" s="9">
        <f t="shared" ca="1" si="154"/>
        <v>105591.91621780611</v>
      </c>
      <c r="L351" s="9">
        <f t="shared" ca="1" si="154"/>
        <v>110284.41216861623</v>
      </c>
      <c r="M351" s="9">
        <f t="shared" ca="1" si="154"/>
        <v>116670.64470242636</v>
      </c>
      <c r="N351" s="9">
        <f t="shared" ca="1" si="154"/>
        <v>121751.85445142636</v>
      </c>
      <c r="O351" s="9">
        <f t="shared" ca="1" si="154"/>
        <v>125060.1030423412</v>
      </c>
      <c r="P351" s="9">
        <f t="shared" ca="1" si="154"/>
        <v>128368.35163325604</v>
      </c>
      <c r="Q351" s="9">
        <f t="shared" ca="1" si="154"/>
        <v>133343.92861547583</v>
      </c>
      <c r="R351" s="9">
        <f t="shared" ca="1" si="154"/>
        <v>138319.50559769559</v>
      </c>
      <c r="S351" s="9">
        <f t="shared" ca="1" si="154"/>
        <v>141393.69277787136</v>
      </c>
      <c r="T351" s="9">
        <f t="shared" ca="1" si="154"/>
        <v>146161.61654104711</v>
      </c>
      <c r="U351" s="9">
        <f t="shared" ca="1" si="154"/>
        <v>152936.56287304711</v>
      </c>
      <c r="V351" s="9">
        <f t="shared" ca="1" si="154"/>
        <v>158213.3038532151</v>
      </c>
      <c r="W351" s="9">
        <f t="shared" ca="1" si="154"/>
        <v>162380.07733481497</v>
      </c>
      <c r="X351" s="9">
        <f t="shared" ca="1" si="154"/>
        <v>165622.09462812438</v>
      </c>
      <c r="Y351" s="9">
        <f t="shared" ca="1" si="154"/>
        <v>170101.33652300178</v>
      </c>
      <c r="Z351" s="9">
        <f t="shared" ca="1" si="154"/>
        <v>175309.80337500159</v>
      </c>
      <c r="AA351" s="9">
        <f t="shared" ca="1" si="154"/>
        <v>179831.90895058028</v>
      </c>
      <c r="AB351" s="9">
        <f t="shared" ca="1" si="154"/>
        <v>182296.70500090573</v>
      </c>
      <c r="AC351" s="9">
        <f t="shared" ca="1" si="154"/>
        <v>188203.30849208205</v>
      </c>
      <c r="AD351" s="9"/>
      <c r="AE351" s="9"/>
      <c r="AF351" s="9"/>
      <c r="AG351" s="9"/>
      <c r="AH351" s="9"/>
      <c r="AI351" s="9"/>
      <c r="AJ351" s="9"/>
      <c r="AK351" s="9"/>
      <c r="AL351" s="9"/>
      <c r="AM351" s="9"/>
      <c r="AN351" s="9"/>
      <c r="AO351" s="9"/>
      <c r="AP351" s="9"/>
      <c r="AQ351" s="9"/>
      <c r="AR351" s="9"/>
      <c r="AS351" s="9"/>
      <c r="AT351" s="9"/>
      <c r="AU351" s="9"/>
      <c r="AV351" s="9"/>
      <c r="AW351" s="9"/>
    </row>
    <row r="352" spans="3:49">
      <c r="C352">
        <v>10</v>
      </c>
      <c r="D352" s="9">
        <f t="shared" si="150"/>
        <v>101045.62643825206</v>
      </c>
      <c r="E352" s="9">
        <f t="shared" si="151"/>
        <v>101045.62643825206</v>
      </c>
      <c r="F352" s="9">
        <f t="shared" si="152"/>
        <v>101045.62643825206</v>
      </c>
      <c r="G352" s="9">
        <f t="shared" si="153"/>
        <v>101045.62643825206</v>
      </c>
      <c r="H352" s="9">
        <f t="shared" si="153"/>
        <v>101045.62643825206</v>
      </c>
      <c r="I352" s="9">
        <f t="shared" ca="1" si="155"/>
        <v>102751.3700324699</v>
      </c>
      <c r="J352" s="9">
        <f t="shared" ca="1" si="155"/>
        <v>103898.17963480612</v>
      </c>
      <c r="K352" s="9">
        <f t="shared" ca="1" si="154"/>
        <v>105591.91621780611</v>
      </c>
      <c r="L352" s="9">
        <f t="shared" ca="1" si="154"/>
        <v>110284.41216861623</v>
      </c>
      <c r="M352" s="9">
        <f t="shared" ca="1" si="154"/>
        <v>116670.64470242636</v>
      </c>
      <c r="N352" s="9">
        <f t="shared" ca="1" si="154"/>
        <v>121751.85445142636</v>
      </c>
      <c r="O352" s="9">
        <f t="shared" ca="1" si="154"/>
        <v>125060.1030423412</v>
      </c>
      <c r="P352" s="9">
        <f t="shared" ca="1" si="154"/>
        <v>128368.35163325604</v>
      </c>
      <c r="Q352" s="9">
        <f t="shared" ca="1" si="154"/>
        <v>133343.92861547583</v>
      </c>
      <c r="R352" s="9">
        <f t="shared" ca="1" si="154"/>
        <v>138319.50559769559</v>
      </c>
      <c r="S352" s="9">
        <f t="shared" ca="1" si="154"/>
        <v>141393.69277787136</v>
      </c>
      <c r="T352" s="9">
        <f t="shared" ca="1" si="154"/>
        <v>146161.61654104711</v>
      </c>
      <c r="U352" s="9">
        <f t="shared" ca="1" si="154"/>
        <v>152936.56287304711</v>
      </c>
      <c r="V352" s="9">
        <f t="shared" ca="1" si="154"/>
        <v>158213.3038532151</v>
      </c>
      <c r="W352" s="9">
        <f t="shared" ca="1" si="154"/>
        <v>162380.07733481497</v>
      </c>
      <c r="X352" s="9">
        <f t="shared" ca="1" si="154"/>
        <v>165622.09462812438</v>
      </c>
      <c r="Y352" s="9">
        <f t="shared" ca="1" si="154"/>
        <v>170101.33652300178</v>
      </c>
      <c r="Z352" s="9">
        <f t="shared" ca="1" si="154"/>
        <v>175309.80337500159</v>
      </c>
      <c r="AA352" s="9">
        <f t="shared" ca="1" si="154"/>
        <v>179831.90895058028</v>
      </c>
      <c r="AB352" s="9">
        <f t="shared" ca="1" si="154"/>
        <v>182296.70500090573</v>
      </c>
      <c r="AC352" s="9">
        <f t="shared" ca="1" si="154"/>
        <v>188203.30849208205</v>
      </c>
      <c r="AD352" s="9"/>
      <c r="AE352" s="9"/>
      <c r="AF352" s="9"/>
      <c r="AG352" s="9"/>
      <c r="AH352" s="9"/>
      <c r="AI352" s="9"/>
      <c r="AJ352" s="9"/>
      <c r="AK352" s="9"/>
      <c r="AL352" s="9"/>
      <c r="AM352" s="9"/>
      <c r="AN352" s="9"/>
      <c r="AO352" s="9"/>
      <c r="AP352" s="9"/>
      <c r="AQ352" s="9"/>
      <c r="AR352" s="9"/>
      <c r="AS352" s="9"/>
      <c r="AT352" s="9"/>
      <c r="AU352" s="9"/>
      <c r="AV352" s="9"/>
      <c r="AW352" s="9"/>
    </row>
    <row r="353" spans="3:49">
      <c r="C353">
        <v>11</v>
      </c>
      <c r="D353" s="9">
        <f t="shared" si="150"/>
        <v>101045.62643825206</v>
      </c>
      <c r="E353" s="9">
        <f t="shared" si="151"/>
        <v>101045.62643825206</v>
      </c>
      <c r="F353" s="9">
        <f t="shared" si="152"/>
        <v>101045.62643825206</v>
      </c>
      <c r="G353" s="9">
        <f t="shared" si="153"/>
        <v>101045.62643825206</v>
      </c>
      <c r="H353" s="9">
        <f t="shared" si="153"/>
        <v>101045.62643825206</v>
      </c>
      <c r="I353" s="9">
        <f t="shared" ca="1" si="155"/>
        <v>102751.3700324699</v>
      </c>
      <c r="J353" s="9">
        <f t="shared" ca="1" si="155"/>
        <v>103898.17963480612</v>
      </c>
      <c r="K353" s="9">
        <f t="shared" ca="1" si="154"/>
        <v>105591.91621780611</v>
      </c>
      <c r="L353" s="9">
        <f t="shared" ca="1" si="154"/>
        <v>110284.41216861623</v>
      </c>
      <c r="M353" s="9">
        <f t="shared" ca="1" si="154"/>
        <v>116670.64470242636</v>
      </c>
      <c r="N353" s="9">
        <f t="shared" ca="1" si="154"/>
        <v>121751.85445142636</v>
      </c>
      <c r="O353" s="9">
        <f t="shared" ca="1" si="154"/>
        <v>125060.1030423412</v>
      </c>
      <c r="P353" s="9">
        <f t="shared" ca="1" si="154"/>
        <v>128368.35163325604</v>
      </c>
      <c r="Q353" s="9">
        <f t="shared" ca="1" si="154"/>
        <v>133343.92861547583</v>
      </c>
      <c r="R353" s="9">
        <f t="shared" ca="1" si="154"/>
        <v>138319.50559769559</v>
      </c>
      <c r="S353" s="9">
        <f t="shared" ca="1" si="154"/>
        <v>141393.69277787136</v>
      </c>
      <c r="T353" s="9">
        <f t="shared" ca="1" si="154"/>
        <v>146161.61654104711</v>
      </c>
      <c r="U353" s="9">
        <f t="shared" ca="1" si="154"/>
        <v>152936.56287304711</v>
      </c>
      <c r="V353" s="9">
        <f t="shared" ca="1" si="154"/>
        <v>158213.3038532151</v>
      </c>
      <c r="W353" s="9">
        <f t="shared" ca="1" si="154"/>
        <v>162380.07733481497</v>
      </c>
      <c r="X353" s="9">
        <f t="shared" ca="1" si="154"/>
        <v>165622.09462812438</v>
      </c>
      <c r="Y353" s="9">
        <f t="shared" ca="1" si="154"/>
        <v>170101.33652300178</v>
      </c>
      <c r="Z353" s="9">
        <f t="shared" ca="1" si="154"/>
        <v>175309.80337500159</v>
      </c>
      <c r="AA353" s="9">
        <f t="shared" ca="1" si="154"/>
        <v>179831.90895058028</v>
      </c>
      <c r="AB353" s="9">
        <f t="shared" ca="1" si="154"/>
        <v>182296.70500090573</v>
      </c>
      <c r="AC353" s="9">
        <f t="shared" ca="1" si="154"/>
        <v>188203.30849208205</v>
      </c>
      <c r="AD353" s="9"/>
      <c r="AE353" s="9"/>
      <c r="AF353" s="9"/>
      <c r="AG353" s="9"/>
      <c r="AH353" s="9"/>
      <c r="AI353" s="9"/>
      <c r="AJ353" s="9"/>
      <c r="AK353" s="9"/>
      <c r="AL353" s="9"/>
      <c r="AM353" s="9"/>
      <c r="AN353" s="9"/>
      <c r="AO353" s="9"/>
      <c r="AP353" s="9"/>
      <c r="AQ353" s="9"/>
      <c r="AR353" s="9"/>
      <c r="AS353" s="9"/>
      <c r="AT353" s="9"/>
      <c r="AU353" s="9"/>
      <c r="AV353" s="9"/>
      <c r="AW353" s="9"/>
    </row>
    <row r="354" spans="3:49">
      <c r="C354">
        <v>12</v>
      </c>
      <c r="D354" s="9">
        <f t="shared" si="150"/>
        <v>101045.62643825206</v>
      </c>
      <c r="E354" s="9">
        <f t="shared" si="151"/>
        <v>101045.62643825206</v>
      </c>
      <c r="F354" s="9">
        <f t="shared" si="152"/>
        <v>101045.62643825206</v>
      </c>
      <c r="G354" s="9">
        <f t="shared" si="153"/>
        <v>101045.62643825206</v>
      </c>
      <c r="H354" s="9">
        <f t="shared" si="153"/>
        <v>101045.62643825206</v>
      </c>
      <c r="I354" s="9">
        <f t="shared" ca="1" si="155"/>
        <v>102751.3700324699</v>
      </c>
      <c r="J354" s="9">
        <f t="shared" ca="1" si="155"/>
        <v>103898.17963480612</v>
      </c>
      <c r="K354" s="9">
        <f t="shared" ca="1" si="154"/>
        <v>105591.91621780611</v>
      </c>
      <c r="L354" s="9">
        <f t="shared" ca="1" si="154"/>
        <v>110284.41216861623</v>
      </c>
      <c r="M354" s="9">
        <f t="shared" ca="1" si="154"/>
        <v>116670.64470242636</v>
      </c>
      <c r="N354" s="9">
        <f t="shared" ca="1" si="154"/>
        <v>121751.85445142636</v>
      </c>
      <c r="O354" s="9">
        <f t="shared" ca="1" si="154"/>
        <v>125060.1030423412</v>
      </c>
      <c r="P354" s="9">
        <f t="shared" ca="1" si="154"/>
        <v>128368.35163325604</v>
      </c>
      <c r="Q354" s="9">
        <f t="shared" ca="1" si="154"/>
        <v>133343.92861547583</v>
      </c>
      <c r="R354" s="9">
        <f t="shared" ca="1" si="154"/>
        <v>138319.50559769559</v>
      </c>
      <c r="S354" s="9">
        <f t="shared" ca="1" si="154"/>
        <v>141393.69277787136</v>
      </c>
      <c r="T354" s="9">
        <f t="shared" ca="1" si="154"/>
        <v>146161.61654104711</v>
      </c>
      <c r="U354" s="9">
        <f t="shared" ca="1" si="154"/>
        <v>152936.56287304711</v>
      </c>
      <c r="V354" s="9">
        <f t="shared" ca="1" si="154"/>
        <v>158213.3038532151</v>
      </c>
      <c r="W354" s="9">
        <f t="shared" ca="1" si="154"/>
        <v>162380.07733481497</v>
      </c>
      <c r="X354" s="9">
        <f t="shared" ca="1" si="154"/>
        <v>165622.09462812438</v>
      </c>
      <c r="Y354" s="9">
        <f t="shared" ca="1" si="154"/>
        <v>170101.33652300178</v>
      </c>
      <c r="Z354" s="9">
        <f t="shared" ca="1" si="154"/>
        <v>175309.80337500159</v>
      </c>
      <c r="AA354" s="9">
        <f t="shared" ca="1" si="154"/>
        <v>179831.90895058028</v>
      </c>
      <c r="AB354" s="9">
        <f t="shared" ca="1" si="154"/>
        <v>182296.70500090573</v>
      </c>
      <c r="AC354" s="9">
        <f t="shared" ca="1" si="154"/>
        <v>188203.30849208205</v>
      </c>
      <c r="AD354" s="9"/>
      <c r="AE354" s="9"/>
      <c r="AF354" s="9"/>
      <c r="AG354" s="9"/>
      <c r="AH354" s="9"/>
      <c r="AI354" s="9"/>
      <c r="AJ354" s="9"/>
      <c r="AK354" s="9"/>
      <c r="AL354" s="9"/>
      <c r="AM354" s="9"/>
      <c r="AN354" s="9"/>
      <c r="AO354" s="9"/>
      <c r="AP354" s="9"/>
      <c r="AQ354" s="9"/>
      <c r="AR354" s="9"/>
      <c r="AS354" s="9"/>
      <c r="AT354" s="9"/>
      <c r="AU354" s="9"/>
      <c r="AV354" s="9"/>
      <c r="AW354" s="9"/>
    </row>
    <row r="355" spans="3:49">
      <c r="C355">
        <v>13</v>
      </c>
      <c r="D355" s="9">
        <f t="shared" si="150"/>
        <v>101045.62643825206</v>
      </c>
      <c r="E355" s="9">
        <f t="shared" si="151"/>
        <v>101045.62643825206</v>
      </c>
      <c r="F355" s="9">
        <f t="shared" si="152"/>
        <v>101045.62643825206</v>
      </c>
      <c r="G355" s="9">
        <f t="shared" si="153"/>
        <v>101045.62643825206</v>
      </c>
      <c r="H355" s="9">
        <f t="shared" si="153"/>
        <v>101045.62643825206</v>
      </c>
      <c r="I355" s="9">
        <f t="shared" ca="1" si="155"/>
        <v>102751.3700324699</v>
      </c>
      <c r="J355" s="9">
        <f t="shared" ca="1" si="155"/>
        <v>103898.17963480612</v>
      </c>
      <c r="K355" s="9">
        <f t="shared" ca="1" si="154"/>
        <v>105591.91621780611</v>
      </c>
      <c r="L355" s="9">
        <f t="shared" ca="1" si="154"/>
        <v>110284.41216861623</v>
      </c>
      <c r="M355" s="9">
        <f t="shared" ca="1" si="154"/>
        <v>116670.64470242636</v>
      </c>
      <c r="N355" s="9">
        <f t="shared" ca="1" si="154"/>
        <v>121751.85445142636</v>
      </c>
      <c r="O355" s="9">
        <f t="shared" ca="1" si="154"/>
        <v>125060.1030423412</v>
      </c>
      <c r="P355" s="9">
        <f t="shared" ca="1" si="154"/>
        <v>128368.35163325604</v>
      </c>
      <c r="Q355" s="9">
        <f t="shared" ca="1" si="154"/>
        <v>133343.92861547583</v>
      </c>
      <c r="R355" s="9">
        <f t="shared" ca="1" si="154"/>
        <v>138319.50559769559</v>
      </c>
      <c r="S355" s="9">
        <f t="shared" ca="1" si="154"/>
        <v>141393.69277787136</v>
      </c>
      <c r="T355" s="9">
        <f t="shared" ca="1" si="154"/>
        <v>146161.61654104711</v>
      </c>
      <c r="U355" s="9">
        <f t="shared" ca="1" si="154"/>
        <v>152936.56287304711</v>
      </c>
      <c r="V355" s="9">
        <f t="shared" ca="1" si="154"/>
        <v>158213.3038532151</v>
      </c>
      <c r="W355" s="9">
        <f t="shared" ca="1" si="154"/>
        <v>162380.07733481497</v>
      </c>
      <c r="X355" s="9">
        <f t="shared" ca="1" si="154"/>
        <v>165622.09462812438</v>
      </c>
      <c r="Y355" s="9">
        <f t="shared" ca="1" si="154"/>
        <v>170101.33652300178</v>
      </c>
      <c r="Z355" s="9">
        <f t="shared" ca="1" si="154"/>
        <v>175309.80337500159</v>
      </c>
      <c r="AA355" s="9">
        <f t="shared" ca="1" si="154"/>
        <v>179831.90895058028</v>
      </c>
      <c r="AB355" s="9">
        <f t="shared" ca="1" si="154"/>
        <v>182296.70500090573</v>
      </c>
      <c r="AC355" s="9">
        <f t="shared" ca="1" si="154"/>
        <v>188203.30849208205</v>
      </c>
      <c r="AD355" s="9"/>
      <c r="AE355" s="9"/>
      <c r="AF355" s="9"/>
      <c r="AG355" s="9"/>
      <c r="AH355" s="9"/>
      <c r="AI355" s="9"/>
      <c r="AJ355" s="9"/>
      <c r="AK355" s="9"/>
      <c r="AL355" s="9"/>
      <c r="AM355" s="9"/>
      <c r="AN355" s="9"/>
      <c r="AO355" s="9"/>
      <c r="AP355" s="9"/>
      <c r="AQ355" s="9"/>
      <c r="AR355" s="9"/>
      <c r="AS355" s="9"/>
      <c r="AT355" s="9"/>
      <c r="AU355" s="9"/>
      <c r="AV355" s="9"/>
      <c r="AW355" s="9"/>
    </row>
    <row r="356" spans="3:49">
      <c r="C356">
        <v>14</v>
      </c>
      <c r="D356" s="9">
        <f t="shared" si="150"/>
        <v>237193.44941327994</v>
      </c>
      <c r="E356" s="9">
        <f t="shared" si="151"/>
        <v>101045.62643825206</v>
      </c>
      <c r="F356" s="9">
        <f t="shared" si="152"/>
        <v>101045.62643825206</v>
      </c>
      <c r="G356" s="9">
        <f t="shared" si="153"/>
        <v>101045.62643825206</v>
      </c>
      <c r="H356" s="9">
        <f t="shared" si="153"/>
        <v>101045.62643825206</v>
      </c>
      <c r="I356" s="9">
        <f t="shared" ca="1" si="155"/>
        <v>102751.3700324699</v>
      </c>
      <c r="J356" s="9">
        <f t="shared" ca="1" si="155"/>
        <v>103898.17963480612</v>
      </c>
      <c r="K356" s="9">
        <f t="shared" ca="1" si="154"/>
        <v>105591.91621780611</v>
      </c>
      <c r="L356" s="9">
        <f t="shared" ca="1" si="154"/>
        <v>110284.41216861623</v>
      </c>
      <c r="M356" s="9">
        <f t="shared" ca="1" si="154"/>
        <v>116670.64470242636</v>
      </c>
      <c r="N356" s="9">
        <f t="shared" ca="1" si="154"/>
        <v>121751.85445142636</v>
      </c>
      <c r="O356" s="9">
        <f t="shared" ca="1" si="154"/>
        <v>125060.1030423412</v>
      </c>
      <c r="P356" s="9">
        <f t="shared" ca="1" si="154"/>
        <v>128368.35163325604</v>
      </c>
      <c r="Q356" s="9">
        <f t="shared" ca="1" si="154"/>
        <v>133343.92861547583</v>
      </c>
      <c r="R356" s="9">
        <f t="shared" ca="1" si="154"/>
        <v>138319.50559769559</v>
      </c>
      <c r="S356" s="9">
        <f t="shared" ca="1" si="154"/>
        <v>141393.69277787136</v>
      </c>
      <c r="T356" s="9">
        <f t="shared" ca="1" si="154"/>
        <v>146161.61654104711</v>
      </c>
      <c r="U356" s="9">
        <f t="shared" ca="1" si="154"/>
        <v>152936.56287304711</v>
      </c>
      <c r="V356" s="9">
        <f t="shared" ca="1" si="154"/>
        <v>158213.3038532151</v>
      </c>
      <c r="W356" s="9">
        <f t="shared" ca="1" si="154"/>
        <v>162380.07733481497</v>
      </c>
      <c r="X356" s="9">
        <f t="shared" ca="1" si="154"/>
        <v>165622.09462812438</v>
      </c>
      <c r="Y356" s="9">
        <f t="shared" ca="1" si="154"/>
        <v>170101.33652300178</v>
      </c>
      <c r="Z356" s="9">
        <f t="shared" ca="1" si="154"/>
        <v>175309.80337500159</v>
      </c>
      <c r="AA356" s="9">
        <f t="shared" ca="1" si="154"/>
        <v>179831.90895058028</v>
      </c>
      <c r="AB356" s="9">
        <f t="shared" ca="1" si="154"/>
        <v>182296.70500090573</v>
      </c>
      <c r="AC356" s="9">
        <f t="shared" ca="1" si="154"/>
        <v>188203.30849208205</v>
      </c>
      <c r="AD356" s="9"/>
      <c r="AE356" s="9"/>
      <c r="AF356" s="9"/>
      <c r="AG356" s="9"/>
      <c r="AH356" s="9"/>
      <c r="AI356" s="9"/>
      <c r="AJ356" s="9"/>
      <c r="AK356" s="9"/>
      <c r="AL356" s="9"/>
      <c r="AM356" s="9"/>
      <c r="AN356" s="9"/>
      <c r="AO356" s="9"/>
      <c r="AP356" s="9"/>
      <c r="AQ356" s="9"/>
      <c r="AR356" s="9"/>
      <c r="AS356" s="9"/>
      <c r="AT356" s="9"/>
      <c r="AU356" s="9"/>
      <c r="AV356" s="9"/>
      <c r="AW356" s="9"/>
    </row>
    <row r="357" spans="3:49">
      <c r="C357">
        <v>15</v>
      </c>
      <c r="D357" s="9">
        <f t="shared" si="150"/>
        <v>237193.44941327997</v>
      </c>
      <c r="E357" s="9">
        <f t="shared" si="151"/>
        <v>237193.44941327994</v>
      </c>
      <c r="F357" s="9">
        <f t="shared" si="152"/>
        <v>243975.02833833831</v>
      </c>
      <c r="G357" s="9">
        <f t="shared" si="153"/>
        <v>246337.34650084161</v>
      </c>
      <c r="H357" s="9">
        <f t="shared" si="153"/>
        <v>246337.34650084161</v>
      </c>
      <c r="I357" s="9">
        <f t="shared" ca="1" si="155"/>
        <v>253118.96114615013</v>
      </c>
      <c r="J357" s="9">
        <f t="shared" ca="1" si="155"/>
        <v>258113.61923214135</v>
      </c>
      <c r="K357" s="9">
        <f t="shared" ca="1" si="154"/>
        <v>264084.55551916349</v>
      </c>
      <c r="L357" s="9">
        <f t="shared" ca="1" si="154"/>
        <v>272749.97832692182</v>
      </c>
      <c r="M357" s="9">
        <f t="shared" ca="1" si="154"/>
        <v>279335.979343304</v>
      </c>
      <c r="N357" s="9">
        <f t="shared" ca="1" si="154"/>
        <v>284417.18909230398</v>
      </c>
      <c r="O357" s="9">
        <f t="shared" ca="1" si="154"/>
        <v>287725.43768321886</v>
      </c>
      <c r="P357" s="9">
        <f t="shared" ca="1" si="154"/>
        <v>291033.68627413368</v>
      </c>
      <c r="Q357" s="9">
        <f t="shared" ca="1" si="154"/>
        <v>296009.26325635344</v>
      </c>
      <c r="R357" s="9">
        <f t="shared" ca="1" si="154"/>
        <v>300984.84023857326</v>
      </c>
      <c r="S357" s="9">
        <f t="shared" ref="S357:S362" ca="1" si="156">S356+S335</f>
        <v>304059.027418749</v>
      </c>
      <c r="T357" s="9">
        <f t="shared" ref="T357:T362" ca="1" si="157">T356+T335</f>
        <v>308826.95118192479</v>
      </c>
      <c r="U357" s="9">
        <f t="shared" ref="U357:U362" ca="1" si="158">U356+U335</f>
        <v>315601.89751392475</v>
      </c>
      <c r="V357" s="9">
        <f t="shared" ref="V357:V362" ca="1" si="159">V356+V335</f>
        <v>320878.63849409274</v>
      </c>
      <c r="W357" s="9">
        <f t="shared" ref="W357:W362" ca="1" si="160">W356+W335</f>
        <v>318959.67532475898</v>
      </c>
      <c r="X357" s="9">
        <f t="shared" ref="X357:X362" ca="1" si="161">X356+X335</f>
        <v>316115.95596713468</v>
      </c>
      <c r="Y357" s="9">
        <f t="shared" ref="Y357:Y362" ca="1" si="162">Y356+Y335</f>
        <v>312988.02704834496</v>
      </c>
      <c r="Z357" s="9">
        <f t="shared" ref="Z357:Z362" ca="1" si="163">Z356+Z335</f>
        <v>310589.32308667758</v>
      </c>
      <c r="AA357" s="9">
        <f t="shared" ref="AA357:AA362" ca="1" si="164">AA356+AA335</f>
        <v>305902.74820360669</v>
      </c>
      <c r="AB357" s="9">
        <f t="shared" ref="AB357:AB362" ca="1" si="165">AB356+AB335</f>
        <v>289950.18333663279</v>
      </c>
      <c r="AC357" s="9">
        <f t="shared" ref="AC357:AC362" ca="1" si="166">AC356+AC335</f>
        <v>286648.10636915942</v>
      </c>
      <c r="AD357" s="9"/>
      <c r="AE357" s="9"/>
      <c r="AF357" s="9"/>
      <c r="AG357" s="9"/>
      <c r="AH357" s="9"/>
      <c r="AI357" s="9"/>
      <c r="AJ357" s="9"/>
      <c r="AK357" s="9"/>
      <c r="AL357" s="9"/>
      <c r="AM357" s="9"/>
      <c r="AN357" s="9"/>
      <c r="AO357" s="9"/>
      <c r="AP357" s="9"/>
      <c r="AQ357" s="9"/>
      <c r="AR357" s="9"/>
      <c r="AS357" s="9"/>
      <c r="AT357" s="9"/>
      <c r="AU357" s="9"/>
      <c r="AV357" s="9"/>
      <c r="AW357" s="9"/>
    </row>
    <row r="358" spans="3:49">
      <c r="C358">
        <v>16</v>
      </c>
      <c r="D358" s="9">
        <f t="shared" si="150"/>
        <v>237193.44941327997</v>
      </c>
      <c r="E358" s="9">
        <f t="shared" si="151"/>
        <v>237193.44941327997</v>
      </c>
      <c r="F358" s="9">
        <f t="shared" si="152"/>
        <v>243975.02833833831</v>
      </c>
      <c r="G358" s="9">
        <f t="shared" si="153"/>
        <v>246337.34650084164</v>
      </c>
      <c r="H358" s="9">
        <f t="shared" si="153"/>
        <v>246337.34650084164</v>
      </c>
      <c r="I358" s="9">
        <f t="shared" ca="1" si="155"/>
        <v>253118.96114615013</v>
      </c>
      <c r="J358" s="9">
        <f t="shared" ca="1" si="155"/>
        <v>258113.61923214135</v>
      </c>
      <c r="K358" s="9">
        <f t="shared" ref="K358:R362" ca="1" si="167">K357+K336</f>
        <v>264084.55551916349</v>
      </c>
      <c r="L358" s="9">
        <f t="shared" ca="1" si="167"/>
        <v>272749.97832692182</v>
      </c>
      <c r="M358" s="9">
        <f t="shared" ca="1" si="167"/>
        <v>279335.979343304</v>
      </c>
      <c r="N358" s="9">
        <f t="shared" ca="1" si="167"/>
        <v>284417.18909230398</v>
      </c>
      <c r="O358" s="9">
        <f t="shared" ca="1" si="167"/>
        <v>287725.43768321886</v>
      </c>
      <c r="P358" s="9">
        <f t="shared" ca="1" si="167"/>
        <v>291033.68627413368</v>
      </c>
      <c r="Q358" s="9">
        <f t="shared" ca="1" si="167"/>
        <v>296009.26325635344</v>
      </c>
      <c r="R358" s="9">
        <f t="shared" ca="1" si="167"/>
        <v>300984.84023857326</v>
      </c>
      <c r="S358" s="9">
        <f t="shared" ca="1" si="156"/>
        <v>304059.027418749</v>
      </c>
      <c r="T358" s="9">
        <f t="shared" ca="1" si="157"/>
        <v>308826.95118192479</v>
      </c>
      <c r="U358" s="9">
        <f t="shared" ca="1" si="158"/>
        <v>315601.89751392475</v>
      </c>
      <c r="V358" s="9">
        <f t="shared" ca="1" si="159"/>
        <v>320878.63849409274</v>
      </c>
      <c r="W358" s="9">
        <f t="shared" ca="1" si="160"/>
        <v>318959.67532475898</v>
      </c>
      <c r="X358" s="9">
        <f t="shared" ca="1" si="161"/>
        <v>316115.95596713468</v>
      </c>
      <c r="Y358" s="9">
        <f t="shared" ca="1" si="162"/>
        <v>312988.02704834496</v>
      </c>
      <c r="Z358" s="9">
        <f t="shared" ca="1" si="163"/>
        <v>310589.32308667758</v>
      </c>
      <c r="AA358" s="9">
        <f t="shared" ca="1" si="164"/>
        <v>305902.74820360669</v>
      </c>
      <c r="AB358" s="9">
        <f t="shared" ca="1" si="165"/>
        <v>289950.18333663279</v>
      </c>
      <c r="AC358" s="9">
        <f t="shared" ca="1" si="166"/>
        <v>286648.10636915942</v>
      </c>
      <c r="AD358" s="9"/>
      <c r="AE358" s="9"/>
      <c r="AF358" s="9"/>
      <c r="AG358" s="9"/>
      <c r="AH358" s="9"/>
      <c r="AI358" s="9"/>
      <c r="AJ358" s="9"/>
      <c r="AK358" s="9"/>
      <c r="AL358" s="9"/>
      <c r="AM358" s="9"/>
      <c r="AN358" s="9"/>
      <c r="AO358" s="9"/>
      <c r="AP358" s="9"/>
      <c r="AQ358" s="9"/>
      <c r="AR358" s="9"/>
      <c r="AS358" s="9"/>
      <c r="AT358" s="9"/>
      <c r="AU358" s="9"/>
      <c r="AV358" s="9"/>
      <c r="AW358" s="9"/>
    </row>
    <row r="359" spans="3:49">
      <c r="C359">
        <v>17</v>
      </c>
      <c r="D359" s="9">
        <f t="shared" si="150"/>
        <v>237193.44941327997</v>
      </c>
      <c r="E359" s="9">
        <f t="shared" si="151"/>
        <v>237193.44941327997</v>
      </c>
      <c r="F359" s="9">
        <f t="shared" si="152"/>
        <v>243975.02833833831</v>
      </c>
      <c r="G359" s="9">
        <f t="shared" si="153"/>
        <v>246337.34650084164</v>
      </c>
      <c r="H359" s="9">
        <f t="shared" si="153"/>
        <v>246337.34650084164</v>
      </c>
      <c r="I359" s="9">
        <f t="shared" ca="1" si="155"/>
        <v>253118.96114615013</v>
      </c>
      <c r="J359" s="9">
        <f t="shared" ca="1" si="155"/>
        <v>258113.61923214135</v>
      </c>
      <c r="K359" s="9">
        <f t="shared" ca="1" si="167"/>
        <v>264084.55551916349</v>
      </c>
      <c r="L359" s="9">
        <f t="shared" ca="1" si="167"/>
        <v>272749.97832692182</v>
      </c>
      <c r="M359" s="9">
        <f t="shared" ca="1" si="167"/>
        <v>282961.39784754527</v>
      </c>
      <c r="N359" s="9">
        <f t="shared" ca="1" si="167"/>
        <v>291283.4260214332</v>
      </c>
      <c r="O359" s="9">
        <f t="shared" ca="1" si="167"/>
        <v>300068.18331526167</v>
      </c>
      <c r="P359" s="9">
        <f t="shared" ca="1" si="167"/>
        <v>308708.50493003364</v>
      </c>
      <c r="Q359" s="9">
        <f t="shared" ca="1" si="167"/>
        <v>317822.25460393558</v>
      </c>
      <c r="R359" s="9">
        <f t="shared" ca="1" si="167"/>
        <v>327363.96184541268</v>
      </c>
      <c r="S359" s="9">
        <f t="shared" ca="1" si="156"/>
        <v>336954.74253259087</v>
      </c>
      <c r="T359" s="9">
        <f t="shared" ca="1" si="157"/>
        <v>347048.37336166989</v>
      </c>
      <c r="U359" s="9">
        <f t="shared" ca="1" si="158"/>
        <v>357291.78933940019</v>
      </c>
      <c r="V359" s="9">
        <f t="shared" ca="1" si="159"/>
        <v>368244.01003842673</v>
      </c>
      <c r="W359" s="9">
        <f t="shared" ca="1" si="160"/>
        <v>379576.04307867622</v>
      </c>
      <c r="X359" s="9">
        <f t="shared" ca="1" si="161"/>
        <v>391408.2515260292</v>
      </c>
      <c r="Y359" s="9">
        <f t="shared" ca="1" si="162"/>
        <v>404187.31609164207</v>
      </c>
      <c r="Z359" s="9">
        <f t="shared" ca="1" si="163"/>
        <v>417509.351821116</v>
      </c>
      <c r="AA359" s="9">
        <f t="shared" ca="1" si="164"/>
        <v>431248.6461789757</v>
      </c>
      <c r="AB359" s="9">
        <f t="shared" ca="1" si="165"/>
        <v>445279.48662974586</v>
      </c>
      <c r="AC359" s="9">
        <f t="shared" ca="1" si="166"/>
        <v>455496.15525950264</v>
      </c>
      <c r="AD359" s="9"/>
      <c r="AE359" s="9"/>
      <c r="AF359" s="9"/>
      <c r="AG359" s="9"/>
      <c r="AH359" s="9"/>
      <c r="AI359" s="9"/>
      <c r="AJ359" s="9"/>
      <c r="AK359" s="9"/>
      <c r="AL359" s="9"/>
      <c r="AM359" s="9"/>
      <c r="AN359" s="9"/>
      <c r="AO359" s="9"/>
      <c r="AP359" s="9"/>
      <c r="AQ359" s="9"/>
      <c r="AR359" s="9"/>
      <c r="AS359" s="9"/>
      <c r="AT359" s="9"/>
      <c r="AU359" s="9"/>
      <c r="AV359" s="9"/>
      <c r="AW359" s="9"/>
    </row>
    <row r="360" spans="3:49">
      <c r="C360">
        <v>18</v>
      </c>
      <c r="D360" s="9">
        <f t="shared" si="150"/>
        <v>237193.44941327997</v>
      </c>
      <c r="E360" s="9">
        <f t="shared" si="151"/>
        <v>237193.44941327997</v>
      </c>
      <c r="F360" s="9">
        <f t="shared" si="152"/>
        <v>243975.02833833831</v>
      </c>
      <c r="G360" s="9">
        <f t="shared" ref="G360:H362" si="168">G359+G338</f>
        <v>246337.34650084164</v>
      </c>
      <c r="H360" s="9">
        <f t="shared" si="168"/>
        <v>246337.34650084164</v>
      </c>
      <c r="I360" s="9">
        <f t="shared" ca="1" si="155"/>
        <v>253118.96114615013</v>
      </c>
      <c r="J360" s="9">
        <f t="shared" ca="1" si="155"/>
        <v>258113.61923214135</v>
      </c>
      <c r="K360" s="9">
        <f t="shared" ca="1" si="167"/>
        <v>264084.55551916349</v>
      </c>
      <c r="L360" s="9">
        <f t="shared" ca="1" si="167"/>
        <v>272749.97832692182</v>
      </c>
      <c r="M360" s="9">
        <f t="shared" ca="1" si="167"/>
        <v>282961.39784754527</v>
      </c>
      <c r="N360" s="9">
        <f t="shared" ca="1" si="167"/>
        <v>291283.4260214332</v>
      </c>
      <c r="O360" s="9">
        <f t="shared" ca="1" si="167"/>
        <v>300068.18331526167</v>
      </c>
      <c r="P360" s="9">
        <f t="shared" ca="1" si="167"/>
        <v>308708.50493003364</v>
      </c>
      <c r="Q360" s="9">
        <f t="shared" ca="1" si="167"/>
        <v>317822.25460393558</v>
      </c>
      <c r="R360" s="9">
        <f t="shared" ca="1" si="167"/>
        <v>327363.96184541268</v>
      </c>
      <c r="S360" s="9">
        <f t="shared" ca="1" si="156"/>
        <v>336954.74253259087</v>
      </c>
      <c r="T360" s="9">
        <f t="shared" ca="1" si="157"/>
        <v>347048.37336166989</v>
      </c>
      <c r="U360" s="9">
        <f t="shared" ca="1" si="158"/>
        <v>357291.78933940019</v>
      </c>
      <c r="V360" s="9">
        <f t="shared" ca="1" si="159"/>
        <v>368244.01003842673</v>
      </c>
      <c r="W360" s="9">
        <f t="shared" ca="1" si="160"/>
        <v>379576.04307867622</v>
      </c>
      <c r="X360" s="9">
        <f t="shared" ca="1" si="161"/>
        <v>391408.2515260292</v>
      </c>
      <c r="Y360" s="9">
        <f t="shared" ca="1" si="162"/>
        <v>404187.31609164207</v>
      </c>
      <c r="Z360" s="9">
        <f t="shared" ca="1" si="163"/>
        <v>417509.351821116</v>
      </c>
      <c r="AA360" s="9">
        <f t="shared" ca="1" si="164"/>
        <v>431248.6461789757</v>
      </c>
      <c r="AB360" s="9">
        <f t="shared" ca="1" si="165"/>
        <v>445279.48662974586</v>
      </c>
      <c r="AC360" s="9">
        <f t="shared" ca="1" si="166"/>
        <v>455496.15525950264</v>
      </c>
      <c r="AD360" s="9"/>
      <c r="AE360" s="9"/>
      <c r="AF360" s="9"/>
      <c r="AG360" s="9"/>
      <c r="AH360" s="9"/>
      <c r="AI360" s="9"/>
      <c r="AJ360" s="9"/>
      <c r="AK360" s="9"/>
      <c r="AL360" s="9"/>
      <c r="AM360" s="9"/>
      <c r="AN360" s="9"/>
      <c r="AO360" s="9"/>
      <c r="AP360" s="9"/>
      <c r="AQ360" s="9"/>
      <c r="AR360" s="9"/>
      <c r="AS360" s="9"/>
      <c r="AT360" s="9"/>
      <c r="AU360" s="9"/>
      <c r="AV360" s="9"/>
      <c r="AW360" s="9"/>
    </row>
    <row r="361" spans="3:49">
      <c r="C361">
        <v>19</v>
      </c>
      <c r="D361" s="9">
        <f t="shared" si="150"/>
        <v>237193.44941327997</v>
      </c>
      <c r="E361" s="9">
        <f t="shared" si="151"/>
        <v>237193.44941327997</v>
      </c>
      <c r="F361" s="9">
        <f t="shared" si="152"/>
        <v>243975.02833833831</v>
      </c>
      <c r="G361" s="9">
        <f t="shared" si="168"/>
        <v>246337.34650084164</v>
      </c>
      <c r="H361" s="9">
        <f t="shared" si="168"/>
        <v>246337.34650084164</v>
      </c>
      <c r="I361" s="9">
        <f t="shared" ca="1" si="155"/>
        <v>253118.96114615013</v>
      </c>
      <c r="J361" s="9">
        <f t="shared" ca="1" si="155"/>
        <v>258113.61923214135</v>
      </c>
      <c r="K361" s="9">
        <f t="shared" ca="1" si="167"/>
        <v>264084.55551916349</v>
      </c>
      <c r="L361" s="9">
        <f t="shared" ca="1" si="167"/>
        <v>272749.97832692182</v>
      </c>
      <c r="M361" s="9">
        <f t="shared" ca="1" si="167"/>
        <v>282961.39784754527</v>
      </c>
      <c r="N361" s="9">
        <f t="shared" ca="1" si="167"/>
        <v>291283.4260214332</v>
      </c>
      <c r="O361" s="9">
        <f t="shared" ca="1" si="167"/>
        <v>300068.18331526167</v>
      </c>
      <c r="P361" s="9">
        <f t="shared" ca="1" si="167"/>
        <v>308708.50493003364</v>
      </c>
      <c r="Q361" s="9">
        <f t="shared" ca="1" si="167"/>
        <v>317822.25460393558</v>
      </c>
      <c r="R361" s="9">
        <f t="shared" ca="1" si="167"/>
        <v>327363.96184541268</v>
      </c>
      <c r="S361" s="9">
        <f t="shared" ca="1" si="156"/>
        <v>336954.74253259087</v>
      </c>
      <c r="T361" s="9">
        <f t="shared" ca="1" si="157"/>
        <v>347048.37336166989</v>
      </c>
      <c r="U361" s="9">
        <f t="shared" ca="1" si="158"/>
        <v>357291.78933940019</v>
      </c>
      <c r="V361" s="9">
        <f t="shared" ca="1" si="159"/>
        <v>368244.01003842673</v>
      </c>
      <c r="W361" s="9">
        <f t="shared" ca="1" si="160"/>
        <v>379576.04307867622</v>
      </c>
      <c r="X361" s="9">
        <f t="shared" ca="1" si="161"/>
        <v>391408.2515260292</v>
      </c>
      <c r="Y361" s="9">
        <f t="shared" ca="1" si="162"/>
        <v>404187.31609164207</v>
      </c>
      <c r="Z361" s="9">
        <f t="shared" ca="1" si="163"/>
        <v>417509.351821116</v>
      </c>
      <c r="AA361" s="9">
        <f t="shared" ca="1" si="164"/>
        <v>431248.6461789757</v>
      </c>
      <c r="AB361" s="9">
        <f t="shared" ca="1" si="165"/>
        <v>445279.48662974586</v>
      </c>
      <c r="AC361" s="9">
        <f t="shared" ca="1" si="166"/>
        <v>455496.15525950264</v>
      </c>
      <c r="AD361" s="9"/>
      <c r="AE361" s="9"/>
      <c r="AF361" s="9"/>
      <c r="AG361" s="9"/>
      <c r="AH361" s="9"/>
      <c r="AI361" s="9"/>
      <c r="AJ361" s="9"/>
      <c r="AK361" s="9"/>
      <c r="AL361" s="9"/>
      <c r="AM361" s="9"/>
      <c r="AN361" s="9"/>
      <c r="AO361" s="9"/>
      <c r="AP361" s="9"/>
      <c r="AQ361" s="9"/>
      <c r="AR361" s="9"/>
      <c r="AS361" s="9"/>
      <c r="AT361" s="9"/>
      <c r="AU361" s="9"/>
      <c r="AV361" s="9"/>
      <c r="AW361" s="9"/>
    </row>
    <row r="362" spans="3:49">
      <c r="C362">
        <v>20</v>
      </c>
      <c r="D362" s="9">
        <f t="shared" si="150"/>
        <v>237193.44941327997</v>
      </c>
      <c r="E362" s="9">
        <f t="shared" si="151"/>
        <v>237193.44941327997</v>
      </c>
      <c r="F362" s="9">
        <f t="shared" si="152"/>
        <v>243975.02833833831</v>
      </c>
      <c r="G362" s="9">
        <f t="shared" si="168"/>
        <v>246337.34650084164</v>
      </c>
      <c r="H362" s="9">
        <f t="shared" si="168"/>
        <v>246337.34650084164</v>
      </c>
      <c r="I362" s="9">
        <f t="shared" ca="1" si="155"/>
        <v>253118.96114615013</v>
      </c>
      <c r="J362" s="9">
        <f t="shared" ca="1" si="155"/>
        <v>258113.61923214135</v>
      </c>
      <c r="K362" s="9">
        <f t="shared" ca="1" si="167"/>
        <v>264084.55551916349</v>
      </c>
      <c r="L362" s="9">
        <f t="shared" ca="1" si="167"/>
        <v>272749.97832692182</v>
      </c>
      <c r="M362" s="9">
        <f t="shared" ca="1" si="167"/>
        <v>282961.39784754527</v>
      </c>
      <c r="N362" s="9">
        <f t="shared" ca="1" si="167"/>
        <v>291283.4260214332</v>
      </c>
      <c r="O362" s="9">
        <f t="shared" ca="1" si="167"/>
        <v>300068.18331526167</v>
      </c>
      <c r="P362" s="9">
        <f t="shared" ca="1" si="167"/>
        <v>308708.50493003364</v>
      </c>
      <c r="Q362" s="9">
        <f t="shared" ca="1" si="167"/>
        <v>317822.25460393558</v>
      </c>
      <c r="R362" s="9">
        <f t="shared" ca="1" si="167"/>
        <v>327363.96184541268</v>
      </c>
      <c r="S362" s="9">
        <f t="shared" ca="1" si="156"/>
        <v>336954.74253259087</v>
      </c>
      <c r="T362" s="9">
        <f t="shared" ca="1" si="157"/>
        <v>347048.37336166989</v>
      </c>
      <c r="U362" s="9">
        <f t="shared" ca="1" si="158"/>
        <v>357291.78933940019</v>
      </c>
      <c r="V362" s="9">
        <f t="shared" ca="1" si="159"/>
        <v>368244.01003842673</v>
      </c>
      <c r="W362" s="9">
        <f t="shared" ca="1" si="160"/>
        <v>379576.04307867622</v>
      </c>
      <c r="X362" s="9">
        <f t="shared" ca="1" si="161"/>
        <v>391408.2515260292</v>
      </c>
      <c r="Y362" s="9">
        <f t="shared" ca="1" si="162"/>
        <v>404187.31609164207</v>
      </c>
      <c r="Z362" s="9">
        <f t="shared" ca="1" si="163"/>
        <v>417509.351821116</v>
      </c>
      <c r="AA362" s="9">
        <f t="shared" ca="1" si="164"/>
        <v>431248.6461789757</v>
      </c>
      <c r="AB362" s="9">
        <f t="shared" ca="1" si="165"/>
        <v>445279.48662974586</v>
      </c>
      <c r="AC362" s="9">
        <f t="shared" ca="1" si="166"/>
        <v>455496.15525950264</v>
      </c>
      <c r="AD362" s="9"/>
      <c r="AE362" s="9"/>
      <c r="AF362" s="9"/>
      <c r="AG362" s="9"/>
      <c r="AH362" s="9"/>
      <c r="AI362" s="9"/>
      <c r="AJ362" s="9"/>
      <c r="AK362" s="9"/>
      <c r="AL362" s="9"/>
      <c r="AM362" s="9"/>
      <c r="AN362" s="9"/>
      <c r="AO362" s="9"/>
      <c r="AP362" s="9"/>
      <c r="AQ362" s="9"/>
      <c r="AR362" s="9"/>
      <c r="AS362" s="9"/>
      <c r="AT362" s="9"/>
      <c r="AU362" s="9"/>
      <c r="AV362" s="9"/>
      <c r="AW362" s="9"/>
    </row>
    <row r="363" spans="3:49">
      <c r="D363" s="9"/>
      <c r="E363" s="9"/>
      <c r="F363" s="9"/>
      <c r="G363" s="9"/>
      <c r="H363" s="9"/>
      <c r="I363" s="9"/>
      <c r="J363" s="9"/>
      <c r="K363" s="9"/>
      <c r="L363" s="9"/>
      <c r="M363" s="9"/>
      <c r="N363" s="9"/>
      <c r="O363" s="9"/>
      <c r="P363" s="9"/>
      <c r="Q363" s="9"/>
      <c r="R363" s="9"/>
      <c r="S363" s="9"/>
      <c r="T363" s="9"/>
      <c r="U363" s="9"/>
      <c r="V363" s="9"/>
      <c r="W363" s="9"/>
      <c r="X363" s="9"/>
      <c r="Y363" s="9"/>
      <c r="Z363" s="9"/>
      <c r="AA363" s="9"/>
      <c r="AB363" s="9"/>
      <c r="AC363" s="9"/>
      <c r="AD363" s="9"/>
      <c r="AE363" s="9"/>
      <c r="AF363" s="9"/>
      <c r="AG363" s="9"/>
      <c r="AH363" s="9"/>
      <c r="AI363" s="9"/>
      <c r="AJ363" s="9"/>
      <c r="AK363" s="9"/>
      <c r="AL363" s="9"/>
      <c r="AM363" s="9"/>
      <c r="AN363" s="9"/>
      <c r="AO363" s="9"/>
      <c r="AP363" s="9"/>
      <c r="AQ363" s="9"/>
      <c r="AR363" s="9"/>
      <c r="AS363" s="9"/>
      <c r="AT363" s="9"/>
      <c r="AU363" s="9"/>
      <c r="AV363" s="9"/>
      <c r="AW363" s="9"/>
    </row>
    <row r="364" spans="3:49">
      <c r="C364" s="11" t="s">
        <v>303</v>
      </c>
      <c r="D364" s="9">
        <f>D271-D362</f>
        <v>0</v>
      </c>
      <c r="E364" s="9">
        <f t="shared" ref="E364:AC364" si="169">E271-E362</f>
        <v>0</v>
      </c>
      <c r="F364" s="9">
        <f t="shared" si="169"/>
        <v>0</v>
      </c>
      <c r="G364" s="9">
        <f t="shared" si="169"/>
        <v>0</v>
      </c>
      <c r="H364" s="9">
        <f t="shared" si="169"/>
        <v>0</v>
      </c>
      <c r="I364" s="9">
        <f t="shared" ca="1" si="169"/>
        <v>0</v>
      </c>
      <c r="J364" s="9">
        <f t="shared" ca="1" si="169"/>
        <v>0</v>
      </c>
      <c r="K364" s="9">
        <f t="shared" ca="1" si="169"/>
        <v>0</v>
      </c>
      <c r="L364" s="9">
        <f t="shared" ca="1" si="169"/>
        <v>0</v>
      </c>
      <c r="M364" s="9">
        <f t="shared" ca="1" si="169"/>
        <v>0</v>
      </c>
      <c r="N364" s="9">
        <f t="shared" ca="1" si="169"/>
        <v>0</v>
      </c>
      <c r="O364" s="9">
        <f t="shared" ca="1" si="169"/>
        <v>0</v>
      </c>
      <c r="P364" s="9">
        <f t="shared" ca="1" si="169"/>
        <v>0</v>
      </c>
      <c r="Q364" s="9">
        <f t="shared" ca="1" si="169"/>
        <v>0</v>
      </c>
      <c r="R364" s="9">
        <f t="shared" ca="1" si="169"/>
        <v>0</v>
      </c>
      <c r="S364" s="9">
        <f t="shared" ca="1" si="169"/>
        <v>0</v>
      </c>
      <c r="T364" s="9">
        <f t="shared" ca="1" si="169"/>
        <v>0</v>
      </c>
      <c r="U364" s="9">
        <f t="shared" ca="1" si="169"/>
        <v>0</v>
      </c>
      <c r="V364" s="9">
        <f t="shared" ca="1" si="169"/>
        <v>0</v>
      </c>
      <c r="W364" s="9">
        <f t="shared" ca="1" si="169"/>
        <v>0</v>
      </c>
      <c r="X364" s="9">
        <f t="shared" ca="1" si="169"/>
        <v>0</v>
      </c>
      <c r="Y364" s="9">
        <f t="shared" ca="1" si="169"/>
        <v>0</v>
      </c>
      <c r="Z364" s="9">
        <f t="shared" ca="1" si="169"/>
        <v>0</v>
      </c>
      <c r="AA364" s="9">
        <f t="shared" ca="1" si="169"/>
        <v>0</v>
      </c>
      <c r="AB364" s="9">
        <f t="shared" ca="1" si="169"/>
        <v>0</v>
      </c>
      <c r="AC364" s="9">
        <f t="shared" ca="1" si="169"/>
        <v>0</v>
      </c>
      <c r="AD364" s="9"/>
      <c r="AE364" s="9"/>
      <c r="AF364" s="9"/>
      <c r="AG364" s="9"/>
      <c r="AH364" s="9"/>
      <c r="AI364" s="9"/>
      <c r="AJ364" s="9"/>
      <c r="AK364" s="9"/>
      <c r="AL364" s="9"/>
      <c r="AM364" s="9"/>
      <c r="AN364" s="9"/>
      <c r="AO364" s="9"/>
      <c r="AP364" s="9"/>
      <c r="AQ364" s="9"/>
      <c r="AR364" s="9"/>
      <c r="AS364" s="9"/>
      <c r="AT364" s="9"/>
      <c r="AU364" s="9"/>
      <c r="AV364" s="9"/>
      <c r="AW364" s="9"/>
    </row>
    <row r="365" spans="3:49">
      <c r="D365" s="9"/>
      <c r="E365" s="9"/>
      <c r="F365" s="9"/>
      <c r="G365" s="9"/>
      <c r="H365" s="9"/>
      <c r="I365" s="9"/>
      <c r="J365" s="9"/>
      <c r="K365" s="9"/>
      <c r="L365" s="9"/>
      <c r="M365" s="9"/>
      <c r="N365" s="9"/>
      <c r="O365" s="9"/>
      <c r="P365" s="9"/>
      <c r="Q365" s="9"/>
      <c r="R365" s="9"/>
      <c r="S365" s="9"/>
      <c r="T365" s="9"/>
      <c r="U365" s="9"/>
      <c r="V365" s="9"/>
      <c r="W365" s="9"/>
      <c r="X365" s="9"/>
      <c r="Y365" s="9"/>
      <c r="Z365" s="9"/>
      <c r="AA365" s="9"/>
      <c r="AB365" s="9"/>
      <c r="AC365" s="9"/>
      <c r="AD365" s="9"/>
      <c r="AE365" s="9"/>
      <c r="AF365" s="9"/>
      <c r="AG365" s="9"/>
      <c r="AH365" s="9"/>
      <c r="AI365" s="9"/>
      <c r="AJ365" s="9"/>
      <c r="AK365" s="9"/>
      <c r="AL365" s="9"/>
      <c r="AM365" s="9"/>
      <c r="AN365" s="9"/>
      <c r="AO365" s="9"/>
      <c r="AP365" s="9"/>
      <c r="AQ365" s="9"/>
      <c r="AR365" s="9"/>
      <c r="AS365" s="9"/>
      <c r="AT365" s="9"/>
      <c r="AU365" s="9"/>
      <c r="AV365" s="9"/>
      <c r="AW365" s="9"/>
    </row>
    <row r="366" spans="3:49">
      <c r="C366" s="4" t="s">
        <v>245</v>
      </c>
      <c r="D366" s="9"/>
      <c r="E366" s="9"/>
      <c r="F366" s="9"/>
      <c r="G366" s="9"/>
      <c r="H366" s="9"/>
      <c r="I366" s="9"/>
      <c r="J366" s="9"/>
      <c r="K366" s="9"/>
      <c r="L366" s="9"/>
      <c r="M366" s="9"/>
      <c r="N366" s="9"/>
      <c r="O366" s="9"/>
      <c r="P366" s="9"/>
      <c r="Q366" s="9"/>
      <c r="R366" s="9"/>
      <c r="S366" s="9"/>
      <c r="T366" s="9"/>
      <c r="U366" s="9"/>
      <c r="V366" s="9"/>
      <c r="W366" s="9"/>
      <c r="X366" s="9"/>
      <c r="Y366" s="9"/>
      <c r="Z366" s="9"/>
      <c r="AA366" s="9"/>
      <c r="AB366" s="9"/>
      <c r="AC366" s="9"/>
      <c r="AD366" s="155" t="s">
        <v>318</v>
      </c>
      <c r="AE366" s="9"/>
      <c r="AF366" s="9"/>
      <c r="AG366" s="9"/>
      <c r="AH366" s="9"/>
      <c r="AI366" s="9"/>
      <c r="AJ366" s="9"/>
      <c r="AK366" s="9"/>
      <c r="AL366" s="9"/>
      <c r="AM366" s="9"/>
      <c r="AN366" s="9"/>
      <c r="AO366" s="9"/>
      <c r="AP366" s="9"/>
      <c r="AQ366" s="9"/>
      <c r="AR366" s="9"/>
      <c r="AS366" s="9"/>
      <c r="AT366" s="9"/>
      <c r="AU366" s="9"/>
      <c r="AV366" s="9"/>
      <c r="AW366" s="9"/>
    </row>
    <row r="367" spans="3:49">
      <c r="C367" t="str">
        <f>C8</f>
        <v>Existing coal Large</v>
      </c>
      <c r="D367" s="9">
        <f>SUMIF($C$276:$C$295,'Tech Parameters'!H220,D$276:D$295)+SUMIF($C$321:$C$340,'Tech Parameters'!H170,D$321:D$340)</f>
        <v>205861.53782111834</v>
      </c>
      <c r="E367" s="9">
        <f>SUMIF($C$276:$C$295,'Tech Parameters'!I220,E$276:E$295)+SUMIF($C$321:$C$340,'Tech Parameters'!I170,E$321:E$340)</f>
        <v>205861.53782111834</v>
      </c>
      <c r="F367" s="9">
        <f>SUMIF($C$276:$C$295,'Tech Parameters'!J220,F$276:F$295)+SUMIF($C$321:$C$340,'Tech Parameters'!J170,F$321:F$340)</f>
        <v>212643.1167461767</v>
      </c>
      <c r="G367" s="9">
        <f>SUMIF($C$276:$C$295,'Tech Parameters'!K220,G$276:G$295)+SUMIF($C$321:$C$340,'Tech Parameters'!K170,G$321:G$340)</f>
        <v>215005.43490868001</v>
      </c>
      <c r="H367" s="9">
        <f>SUMIF($C$276:$C$295,'Tech Parameters'!L220,H$276:H$295)+SUMIF($C$321:$C$340,'Tech Parameters'!L170,H$321:H$340)</f>
        <v>215005.43490868001</v>
      </c>
      <c r="I367" s="9">
        <f ca="1">SUMIF($C$276:$C$295,'Tech Parameters'!M220,I$276:I$295)+SUMIF($C$321:$C$340,'Tech Parameters'!M170,I$321:I$340)</f>
        <v>220081.30595977066</v>
      </c>
      <c r="J367" s="9">
        <f ca="1">SUMIF($C$276:$C$295,'Tech Parameters'!N220,J$276:J$295)+SUMIF($C$321:$C$340,'Tech Parameters'!N170,J$321:J$340)</f>
        <v>223929.15444342568</v>
      </c>
      <c r="K367" s="9">
        <f ca="1">SUMIF($C$276:$C$295,'Tech Parameters'!O220,K$276:K$295)+SUMIF($C$321:$C$340,'Tech Parameters'!O170,K$321:K$340)</f>
        <v>228206.35414744783</v>
      </c>
      <c r="L367" s="9">
        <f ca="1">SUMIF($C$276:$C$295,'Tech Parameters'!P220,L$276:L$295)+SUMIF($C$321:$C$340,'Tech Parameters'!P170,L$321:L$340)</f>
        <v>232179.28100439603</v>
      </c>
      <c r="M367" s="9">
        <f ca="1">SUMIF($C$276:$C$295,'Tech Parameters'!Q220,M$276:M$295)+SUMIF($C$321:$C$340,'Tech Parameters'!Q170,M$321:M$340)</f>
        <v>232379.04948696808</v>
      </c>
      <c r="N367" s="9">
        <f ca="1">SUMIF($C$276:$C$295,'Tech Parameters'!R220,N$276:N$295)+SUMIF($C$321:$C$340,'Tech Parameters'!R170,N$321:N$340)</f>
        <v>232379.04948696808</v>
      </c>
      <c r="O367" s="9">
        <f ca="1">SUMIF($C$276:$C$295,'Tech Parameters'!S220,O$276:O$295)+SUMIF($C$321:$C$340,'Tech Parameters'!S170,O$321:O$340)</f>
        <v>232379.04948696808</v>
      </c>
      <c r="P367" s="9">
        <f ca="1">SUMIF($C$276:$C$295,'Tech Parameters'!T220,P$276:P$295)+SUMIF($C$321:$C$340,'Tech Parameters'!T170,P$321:P$340)</f>
        <v>232379.04948696808</v>
      </c>
      <c r="Q367" s="9">
        <f ca="1">SUMIF($C$276:$C$295,'Tech Parameters'!U220,Q$276:Q$295)+SUMIF($C$321:$C$340,'Tech Parameters'!U170,Q$321:Q$340)</f>
        <v>232379.04948696808</v>
      </c>
      <c r="R367" s="9">
        <f ca="1">SUMIF($C$276:$C$295,'Tech Parameters'!V220,R$276:R$295)+SUMIF($C$321:$C$340,'Tech Parameters'!V170,R$321:R$340)</f>
        <v>232379.04948696808</v>
      </c>
      <c r="S367" s="9">
        <f ca="1">SUMIF($C$276:$C$295,'Tech Parameters'!W220,S$276:S$295)+SUMIF($C$321:$C$340,'Tech Parameters'!W170,S$321:S$340)</f>
        <v>232379.04948696808</v>
      </c>
      <c r="T367" s="9">
        <f ca="1">SUMIF($C$276:$C$295,'Tech Parameters'!X220,T$276:T$295)+SUMIF($C$321:$C$340,'Tech Parameters'!X170,T$321:T$340)</f>
        <v>232379.04948696808</v>
      </c>
      <c r="U367" s="9">
        <f ca="1">SUMIF($C$276:$C$295,'Tech Parameters'!Y220,U$276:U$295)+SUMIF($C$321:$C$340,'Tech Parameters'!Y170,U$321:U$340)</f>
        <v>232379.04948696808</v>
      </c>
      <c r="V367" s="9">
        <f ca="1">SUMIF($C$276:$C$295,'Tech Parameters'!Z220,V$276:V$295)+SUMIF($C$321:$C$340,'Tech Parameters'!Z170,V$321:V$340)</f>
        <v>232379.04948696808</v>
      </c>
      <c r="W367" s="9">
        <f ca="1">SUMIF($C$276:$C$295,'Tech Parameters'!AA220,W$276:W$295)+SUMIF($C$321:$C$340,'Tech Parameters'!AA170,W$321:W$340)</f>
        <v>223685.13998563425</v>
      </c>
      <c r="X367" s="9">
        <f ca="1">SUMIF($C$276:$C$295,'Tech Parameters'!AB220,X$276:X$295)+SUMIF($C$321:$C$340,'Tech Parameters'!AB170,X$321:X$340)</f>
        <v>214991.23048430041</v>
      </c>
      <c r="Y367" s="9">
        <f ca="1">SUMIF($C$276:$C$295,'Tech Parameters'!AC220,Y$276:Y$295)+SUMIF($C$321:$C$340,'Tech Parameters'!AC170,Y$321:Y$340)</f>
        <v>204123.84360763311</v>
      </c>
      <c r="Z367" s="9">
        <f ca="1">SUMIF($C$276:$C$295,'Tech Parameters'!AD220,Z$276:Z$295)+SUMIF($C$321:$C$340,'Tech Parameters'!AD170,Z$321:Z$340)</f>
        <v>193256.45673096576</v>
      </c>
      <c r="AA367" s="9">
        <f ca="1">SUMIF($C$276:$C$295,'Tech Parameters'!AE220,AA$276:AA$295)+SUMIF($C$321:$C$340,'Tech Parameters'!AE170,AA$321:AA$340)</f>
        <v>180101.19893289483</v>
      </c>
      <c r="AB367" s="9">
        <f ca="1">SUMIF($C$276:$C$295,'Tech Parameters'!AF220,AB$276:AB$295)+SUMIF($C$321:$C$340,'Tech Parameters'!AF170,AB$321:AB$340)</f>
        <v>153790.68333675293</v>
      </c>
      <c r="AC367" s="9">
        <f ca="1">SUMIF($C$276:$C$295,'Tech Parameters'!AG220,AC$276:AC$295)+SUMIF($C$321:$C$340,'Tech Parameters'!AG170,AC$321:AC$340)</f>
        <v>140635.42553868194</v>
      </c>
      <c r="AD367" s="156">
        <f t="shared" ref="AD367:AW367" ca="1" si="170">$AC$367*AD8/$AC$8</f>
        <v>140635.42553868194</v>
      </c>
      <c r="AE367" s="156">
        <f t="shared" ca="1" si="170"/>
        <v>140635.42553868194</v>
      </c>
      <c r="AF367" s="156">
        <f t="shared" ca="1" si="170"/>
        <v>140635.42553868194</v>
      </c>
      <c r="AG367" s="156">
        <f t="shared" ca="1" si="170"/>
        <v>113684.30608454702</v>
      </c>
      <c r="AH367" s="156">
        <f t="shared" ca="1" si="170"/>
        <v>86733.186630412107</v>
      </c>
      <c r="AI367" s="156">
        <f t="shared" ca="1" si="170"/>
        <v>72662.780463779694</v>
      </c>
      <c r="AJ367" s="156">
        <f t="shared" ca="1" si="170"/>
        <v>43950.000400163968</v>
      </c>
      <c r="AK367" s="156">
        <f t="shared" ca="1" si="170"/>
        <v>29307.626503180647</v>
      </c>
      <c r="AL367" s="156">
        <f t="shared" ca="1" si="170"/>
        <v>29307.626503180647</v>
      </c>
      <c r="AM367" s="156">
        <f t="shared" ca="1" si="170"/>
        <v>29307.626503180647</v>
      </c>
      <c r="AN367" s="156">
        <f t="shared" ca="1" si="170"/>
        <v>29307.626503180647</v>
      </c>
      <c r="AO367" s="156">
        <f t="shared" ca="1" si="170"/>
        <v>29307.626503180647</v>
      </c>
      <c r="AP367" s="156">
        <f t="shared" ca="1" si="170"/>
        <v>29307.626503180647</v>
      </c>
      <c r="AQ367" s="156">
        <f t="shared" ca="1" si="170"/>
        <v>29307.626503180647</v>
      </c>
      <c r="AR367" s="156">
        <f t="shared" ca="1" si="170"/>
        <v>14653.813251590311</v>
      </c>
      <c r="AS367" s="156">
        <f t="shared" ca="1" si="170"/>
        <v>-2.709383439266877E-11</v>
      </c>
      <c r="AT367" s="156">
        <f t="shared" ca="1" si="170"/>
        <v>-2.709383439266877E-11</v>
      </c>
      <c r="AU367" s="156">
        <f t="shared" ca="1" si="170"/>
        <v>-2.709383439266877E-11</v>
      </c>
      <c r="AV367" s="156">
        <f t="shared" ca="1" si="170"/>
        <v>-2.709383439266877E-11</v>
      </c>
      <c r="AW367" s="156">
        <f t="shared" ca="1" si="170"/>
        <v>-2.709383439266877E-11</v>
      </c>
    </row>
    <row r="368" spans="3:49">
      <c r="C368" t="str">
        <f t="shared" ref="C368:C386" si="171">C9</f>
        <v>Existing coal Small</v>
      </c>
      <c r="D368" s="9">
        <f>SUMIF($C$276:$C$295,'Tech Parameters'!H221,D$276:D$295)+SUMIF($C$321:$C$340,'Tech Parameters'!H171,D$321:D$340)</f>
        <v>11481.108051601606</v>
      </c>
      <c r="E368" s="9">
        <f>SUMIF($C$276:$C$295,'Tech Parameters'!I221,E$276:E$295)+SUMIF($C$321:$C$340,'Tech Parameters'!I171,E$321:E$340)</f>
        <v>11481.108051601606</v>
      </c>
      <c r="F368" s="9">
        <f>SUMIF($C$276:$C$295,'Tech Parameters'!J221,F$276:F$295)+SUMIF($C$321:$C$340,'Tech Parameters'!J171,F$321:F$340)</f>
        <v>11481.108051601606</v>
      </c>
      <c r="G368" s="9">
        <f>SUMIF($C$276:$C$295,'Tech Parameters'!K221,G$276:G$295)+SUMIF($C$321:$C$340,'Tech Parameters'!K171,G$321:G$340)</f>
        <v>11481.108051601606</v>
      </c>
      <c r="H368" s="9">
        <f>SUMIF($C$276:$C$295,'Tech Parameters'!L221,H$276:H$295)+SUMIF($C$321:$C$340,'Tech Parameters'!L171,H$321:H$340)</f>
        <v>11481.108051601606</v>
      </c>
      <c r="I368" s="9">
        <f ca="1">SUMIF($C$276:$C$295,'Tech Parameters'!M221,I$276:I$295)+SUMIF($C$321:$C$340,'Tech Parameters'!M171,I$321:I$340)</f>
        <v>12924.051645819456</v>
      </c>
      <c r="J368" s="9">
        <f ca="1">SUMIF($C$276:$C$295,'Tech Parameters'!N221,J$276:J$295)+SUMIF($C$321:$C$340,'Tech Parameters'!N171,J$321:J$340)</f>
        <v>13777.564401403659</v>
      </c>
      <c r="K368" s="9">
        <f ca="1">SUMIF($C$276:$C$295,'Tech Parameters'!O221,K$276:K$295)+SUMIF($C$321:$C$340,'Tech Parameters'!O171,K$321:K$340)</f>
        <v>13777.564401403659</v>
      </c>
      <c r="L368" s="9">
        <f ca="1">SUMIF($C$276:$C$295,'Tech Parameters'!P221,L$276:L$295)+SUMIF($C$321:$C$340,'Tech Parameters'!P171,L$321:L$340)</f>
        <v>13777.564401403659</v>
      </c>
      <c r="M368" s="9">
        <f ca="1">SUMIF($C$276:$C$295,'Tech Parameters'!Q221,M$276:M$295)+SUMIF($C$321:$C$340,'Tech Parameters'!Q171,M$321:M$340)</f>
        <v>13777.564401403659</v>
      </c>
      <c r="N368" s="9">
        <f ca="1">SUMIF($C$276:$C$295,'Tech Parameters'!R221,N$276:N$295)+SUMIF($C$321:$C$340,'Tech Parameters'!R171,N$321:N$340)</f>
        <v>13777.564401403659</v>
      </c>
      <c r="O368" s="9">
        <f ca="1">SUMIF($C$276:$C$295,'Tech Parameters'!S221,O$276:O$295)+SUMIF($C$321:$C$340,'Tech Parameters'!S171,O$321:O$340)</f>
        <v>13698.339826318494</v>
      </c>
      <c r="P368" s="9">
        <f ca="1">SUMIF($C$276:$C$295,'Tech Parameters'!T221,P$276:P$295)+SUMIF($C$321:$C$340,'Tech Parameters'!T171,P$321:P$340)</f>
        <v>13619.115251233326</v>
      </c>
      <c r="Q368" s="9">
        <f ca="1">SUMIF($C$276:$C$295,'Tech Parameters'!U221,Q$276:Q$295)+SUMIF($C$321:$C$340,'Tech Parameters'!U171,Q$321:Q$340)</f>
        <v>13513.482484453105</v>
      </c>
      <c r="R368" s="9">
        <f ca="1">SUMIF($C$276:$C$295,'Tech Parameters'!V221,R$276:R$295)+SUMIF($C$321:$C$340,'Tech Parameters'!V171,R$321:R$340)</f>
        <v>13407.84971767288</v>
      </c>
      <c r="S368" s="9">
        <f ca="1">SUMIF($C$276:$C$295,'Tech Parameters'!W221,S$276:S$295)+SUMIF($C$321:$C$340,'Tech Parameters'!W171,S$321:S$340)</f>
        <v>11400.827148848637</v>
      </c>
      <c r="T368" s="9">
        <f ca="1">SUMIF($C$276:$C$295,'Tech Parameters'!X221,T$276:T$295)+SUMIF($C$321:$C$340,'Tech Parameters'!X171,T$321:T$340)</f>
        <v>9393.8045800243945</v>
      </c>
      <c r="U368" s="9">
        <f ca="1">SUMIF($C$276:$C$295,'Tech Parameters'!Y221,U$276:U$295)+SUMIF($C$321:$C$340,'Tech Parameters'!Y171,U$321:U$340)</f>
        <v>9393.8045800243945</v>
      </c>
      <c r="V368" s="9">
        <f ca="1">SUMIF($C$276:$C$295,'Tech Parameters'!Z221,V$276:V$295)+SUMIF($C$321:$C$340,'Tech Parameters'!Z171,V$321:V$340)</f>
        <v>9393.8045800243945</v>
      </c>
      <c r="W368" s="9">
        <f ca="1">SUMIF($C$276:$C$295,'Tech Parameters'!AA221,W$276:W$295)+SUMIF($C$321:$C$340,'Tech Parameters'!AA171,W$321:W$340)</f>
        <v>9393.8045800243945</v>
      </c>
      <c r="X368" s="9">
        <f ca="1">SUMIF($C$276:$C$295,'Tech Parameters'!AB221,X$276:X$295)+SUMIF($C$321:$C$340,'Tech Parameters'!AB171,X$321:X$340)</f>
        <v>8469.0483917339716</v>
      </c>
      <c r="Y368" s="9">
        <f ca="1">SUMIF($C$276:$C$295,'Tech Parameters'!AC221,Y$276:Y$295)+SUMIF($C$321:$C$340,'Tech Parameters'!AC171,Y$321:Y$340)</f>
        <v>7544.2922034435505</v>
      </c>
      <c r="Z368" s="9">
        <f ca="1">SUMIF($C$276:$C$295,'Tech Parameters'!AD221,Z$276:Z$295)+SUMIF($C$321:$C$340,'Tech Parameters'!AD171,Z$321:Z$340)</f>
        <v>7544.2922034435505</v>
      </c>
      <c r="AA368" s="9">
        <f ca="1">SUMIF($C$276:$C$295,'Tech Parameters'!AE221,AA$276:AA$295)+SUMIF($C$321:$C$340,'Tech Parameters'!AE171,AA$321:AA$340)</f>
        <v>7544.2922034435505</v>
      </c>
      <c r="AB368" s="9">
        <f ca="1">SUMIF($C$276:$C$295,'Tech Parameters'!AF221,AB$276:AB$295)+SUMIF($C$321:$C$340,'Tech Parameters'!AF171,AB$321:AB$340)</f>
        <v>7544.2922034435505</v>
      </c>
      <c r="AC368" s="9">
        <f ca="1">SUMIF($C$276:$C$295,'Tech Parameters'!AG221,AC$276:AC$295)+SUMIF($C$321:$C$340,'Tech Parameters'!AG171,AC$321:AC$340)</f>
        <v>7544.2922034435505</v>
      </c>
      <c r="AD368" s="156">
        <f t="shared" ref="AD368:AW368" ca="1" si="172">$AC$368*AD9/$AC$9</f>
        <v>7544.2922034435505</v>
      </c>
      <c r="AE368" s="156">
        <f t="shared" ca="1" si="172"/>
        <v>7328.8013592118959</v>
      </c>
      <c r="AF368" s="156">
        <f t="shared" ca="1" si="172"/>
        <v>7113.3105149802404</v>
      </c>
      <c r="AG368" s="156">
        <f t="shared" ca="1" si="172"/>
        <v>7113.3105149802404</v>
      </c>
      <c r="AH368" s="156">
        <f t="shared" ca="1" si="172"/>
        <v>7113.3105149802404</v>
      </c>
      <c r="AI368" s="156">
        <f t="shared" ca="1" si="172"/>
        <v>7113.3105149802404</v>
      </c>
      <c r="AJ368" s="156">
        <f t="shared" ca="1" si="172"/>
        <v>7113.3105149802404</v>
      </c>
      <c r="AK368" s="156">
        <f t="shared" ca="1" si="172"/>
        <v>6310.5014874505432</v>
      </c>
      <c r="AL368" s="156">
        <f t="shared" ca="1" si="172"/>
        <v>5507.6924599208451</v>
      </c>
      <c r="AM368" s="156">
        <f t="shared" ca="1" si="172"/>
        <v>5507.6924599208451</v>
      </c>
      <c r="AN368" s="156">
        <f t="shared" ca="1" si="172"/>
        <v>5507.6924599208451</v>
      </c>
      <c r="AO368" s="156">
        <f t="shared" ca="1" si="172"/>
        <v>5507.6924599208451</v>
      </c>
      <c r="AP368" s="156">
        <f t="shared" ca="1" si="172"/>
        <v>5507.6924599208451</v>
      </c>
      <c r="AQ368" s="156">
        <f t="shared" ca="1" si="172"/>
        <v>5507.6924599208451</v>
      </c>
      <c r="AR368" s="156">
        <f t="shared" ca="1" si="172"/>
        <v>5507.6924599208451</v>
      </c>
      <c r="AS368" s="156">
        <f t="shared" ca="1" si="172"/>
        <v>5507.6924599208451</v>
      </c>
      <c r="AT368" s="156">
        <f t="shared" ca="1" si="172"/>
        <v>5507.6924599208451</v>
      </c>
      <c r="AU368" s="156">
        <f t="shared" ca="1" si="172"/>
        <v>5507.6924599208451</v>
      </c>
      <c r="AV368" s="156">
        <f t="shared" ca="1" si="172"/>
        <v>5507.6924599208451</v>
      </c>
      <c r="AW368" s="156">
        <f t="shared" ca="1" si="172"/>
        <v>5507.6924599208451</v>
      </c>
    </row>
    <row r="369" spans="3:49">
      <c r="C369" t="str">
        <f t="shared" si="171"/>
        <v>OCGT liquid fuels</v>
      </c>
      <c r="D369" s="157">
        <f>SUMIF($C$276:$C$295,'Tech Parameters'!H222,D$276:D$295)+SUMIF($C$321:$C$340,'Tech Parameters'!H172,D$321:D$340)</f>
        <v>651.77077055999985</v>
      </c>
      <c r="E369" s="157">
        <f>SUMIF($C$276:$C$295,'Tech Parameters'!I222,E$276:E$295)+SUMIF($C$321:$C$340,'Tech Parameters'!I172,E$321:E$340)</f>
        <v>651.77077055999985</v>
      </c>
      <c r="F369" s="157">
        <f>SUMIF($C$276:$C$295,'Tech Parameters'!J222,F$276:F$295)+SUMIF($C$321:$C$340,'Tech Parameters'!J172,F$321:F$340)</f>
        <v>651.77077055999985</v>
      </c>
      <c r="G369" s="157">
        <f>SUMIF($C$276:$C$295,'Tech Parameters'!K222,G$276:G$295)+SUMIF($C$321:$C$340,'Tech Parameters'!K172,G$321:G$340)</f>
        <v>651.77077055999985</v>
      </c>
      <c r="H369" s="157">
        <f>SUMIF($C$276:$C$295,'Tech Parameters'!L222,H$276:H$295)+SUMIF($C$321:$C$340,'Tech Parameters'!L172,H$321:H$340)</f>
        <v>651.77077055999985</v>
      </c>
      <c r="I369" s="157">
        <f ca="1">SUMIF($C$276:$C$295,'Tech Parameters'!M222,I$276:I$295)+SUMIF($C$321:$C$340,'Tech Parameters'!M172,I$321:I$340)</f>
        <v>651.77077055999985</v>
      </c>
      <c r="J369" s="9">
        <f ca="1">SUMIF($C$276:$C$295,'Tech Parameters'!N222,J$276:J$295)+SUMIF($C$321:$C$340,'Tech Parameters'!N172,J$321:J$340)</f>
        <v>945.06761731199981</v>
      </c>
      <c r="K369" s="9">
        <f ca="1">SUMIF($C$276:$C$295,'Tech Parameters'!O222,K$276:K$295)+SUMIF($C$321:$C$340,'Tech Parameters'!O172,K$321:K$340)</f>
        <v>945.06761731199981</v>
      </c>
      <c r="L369" s="9">
        <f ca="1">SUMIF($C$276:$C$295,'Tech Parameters'!P222,L$276:L$295)+SUMIF($C$321:$C$340,'Tech Parameters'!P172,L$321:L$340)</f>
        <v>945.06761731199981</v>
      </c>
      <c r="M369" s="9">
        <f ca="1">SUMIF($C$276:$C$295,'Tech Parameters'!Q222,M$276:M$295)+SUMIF($C$321:$C$340,'Tech Parameters'!Q172,M$321:M$340)</f>
        <v>945.06761731199981</v>
      </c>
      <c r="N369" s="9">
        <f ca="1">SUMIF($C$276:$C$295,'Tech Parameters'!R222,N$276:N$295)+SUMIF($C$321:$C$340,'Tech Parameters'!R172,N$321:N$340)</f>
        <v>945.06761731199981</v>
      </c>
      <c r="O369" s="9">
        <f ca="1">SUMIF($C$276:$C$295,'Tech Parameters'!S222,O$276:O$295)+SUMIF($C$321:$C$340,'Tech Parameters'!S172,O$321:O$340)</f>
        <v>945.06761731199981</v>
      </c>
      <c r="P369" s="9">
        <f ca="1">SUMIF($C$276:$C$295,'Tech Parameters'!T222,P$276:P$295)+SUMIF($C$321:$C$340,'Tech Parameters'!T172,P$321:P$340)</f>
        <v>945.06761731199981</v>
      </c>
      <c r="Q369" s="9">
        <f ca="1">SUMIF($C$276:$C$295,'Tech Parameters'!U222,Q$276:Q$295)+SUMIF($C$321:$C$340,'Tech Parameters'!U172,Q$321:Q$340)</f>
        <v>945.06761731199981</v>
      </c>
      <c r="R369" s="9">
        <f ca="1">SUMIF($C$276:$C$295,'Tech Parameters'!V222,R$276:R$295)+SUMIF($C$321:$C$340,'Tech Parameters'!V172,R$321:R$340)</f>
        <v>945.06761731199981</v>
      </c>
      <c r="S369" s="9">
        <f ca="1">SUMIF($C$276:$C$295,'Tech Parameters'!W222,S$276:S$295)+SUMIF($C$321:$C$340,'Tech Parameters'!W172,S$321:S$340)</f>
        <v>945.06761731199981</v>
      </c>
      <c r="T369" s="9">
        <f ca="1">SUMIF($C$276:$C$295,'Tech Parameters'!X222,T$276:T$295)+SUMIF($C$321:$C$340,'Tech Parameters'!X172,T$321:T$340)</f>
        <v>945.06761731199981</v>
      </c>
      <c r="U369" s="9">
        <f ca="1">SUMIF($C$276:$C$295,'Tech Parameters'!Y222,U$276:U$295)+SUMIF($C$321:$C$340,'Tech Parameters'!Y172,U$321:U$340)</f>
        <v>945.06761731199981</v>
      </c>
      <c r="V369" s="9">
        <f ca="1">SUMIF($C$276:$C$295,'Tech Parameters'!Z222,V$276:V$295)+SUMIF($C$321:$C$340,'Tech Parameters'!Z172,V$321:V$340)</f>
        <v>1140.59884848</v>
      </c>
      <c r="W369" s="9">
        <f ca="1">SUMIF($C$276:$C$295,'Tech Parameters'!AA222,W$276:W$295)+SUMIF($C$321:$C$340,'Tech Parameters'!AA172,W$321:W$340)</f>
        <v>1140.59884848</v>
      </c>
      <c r="X369" s="9">
        <f ca="1">SUMIF($C$276:$C$295,'Tech Parameters'!AB222,X$276:X$295)+SUMIF($C$321:$C$340,'Tech Parameters'!AB172,X$321:X$340)</f>
        <v>1140.59884848</v>
      </c>
      <c r="Y369" s="9">
        <f ca="1">SUMIF($C$276:$C$295,'Tech Parameters'!AC222,Y$276:Y$295)+SUMIF($C$321:$C$340,'Tech Parameters'!AC172,Y$321:Y$340)</f>
        <v>1336.1300796479998</v>
      </c>
      <c r="Z369" s="9">
        <f ca="1">SUMIF($C$276:$C$295,'Tech Parameters'!AD222,Z$276:Z$295)+SUMIF($C$321:$C$340,'Tech Parameters'!AD172,Z$321:Z$340)</f>
        <v>1336.1300796479998</v>
      </c>
      <c r="AA369" s="9">
        <f ca="1">SUMIF($C$276:$C$295,'Tech Parameters'!AE222,AA$276:AA$295)+SUMIF($C$321:$C$340,'Tech Parameters'!AE172,AA$321:AA$340)</f>
        <v>1336.1300796479998</v>
      </c>
      <c r="AB369" s="9">
        <f ca="1">SUMIF($C$276:$C$295,'Tech Parameters'!AF222,AB$276:AB$295)+SUMIF($C$321:$C$340,'Tech Parameters'!AF172,AB$321:AB$340)</f>
        <v>1531.6613108159995</v>
      </c>
      <c r="AC369" s="9">
        <f ca="1">SUMIF($C$276:$C$295,'Tech Parameters'!AG222,AC$276:AC$295)+SUMIF($C$321:$C$340,'Tech Parameters'!AG172,AC$321:AC$340)</f>
        <v>1485.2226434135996</v>
      </c>
      <c r="AD369" s="156">
        <f t="shared" ref="AD369:AS369" ca="1" si="173">AC369</f>
        <v>1485.2226434135996</v>
      </c>
      <c r="AE369" s="156">
        <f t="shared" ca="1" si="173"/>
        <v>1485.2226434135996</v>
      </c>
      <c r="AF369" s="156">
        <f t="shared" ca="1" si="173"/>
        <v>1485.2226434135996</v>
      </c>
      <c r="AG369" s="156">
        <f t="shared" ca="1" si="173"/>
        <v>1485.2226434135996</v>
      </c>
      <c r="AH369" s="156">
        <f t="shared" ca="1" si="173"/>
        <v>1485.2226434135996</v>
      </c>
      <c r="AI369" s="156">
        <f t="shared" ca="1" si="173"/>
        <v>1485.2226434135996</v>
      </c>
      <c r="AJ369" s="156">
        <f t="shared" ca="1" si="173"/>
        <v>1485.2226434135996</v>
      </c>
      <c r="AK369" s="156">
        <f t="shared" ca="1" si="173"/>
        <v>1485.2226434135996</v>
      </c>
      <c r="AL369" s="156">
        <f t="shared" ca="1" si="173"/>
        <v>1485.2226434135996</v>
      </c>
      <c r="AM369" s="156">
        <f t="shared" ca="1" si="173"/>
        <v>1485.2226434135996</v>
      </c>
      <c r="AN369" s="156">
        <f t="shared" ca="1" si="173"/>
        <v>1485.2226434135996</v>
      </c>
      <c r="AO369" s="156">
        <f t="shared" ca="1" si="173"/>
        <v>1485.2226434135996</v>
      </c>
      <c r="AP369" s="156">
        <f t="shared" ca="1" si="173"/>
        <v>1485.2226434135996</v>
      </c>
      <c r="AQ369" s="156">
        <f t="shared" ca="1" si="173"/>
        <v>1485.2226434135996</v>
      </c>
      <c r="AR369" s="156">
        <f t="shared" ca="1" si="173"/>
        <v>1485.2226434135996</v>
      </c>
      <c r="AS369" s="156">
        <f t="shared" ca="1" si="173"/>
        <v>1485.2226434135996</v>
      </c>
      <c r="AT369" s="156">
        <f t="shared" ref="AE369:AW384" ca="1" si="174">AS369</f>
        <v>1485.2226434135996</v>
      </c>
      <c r="AU369" s="156">
        <f t="shared" ca="1" si="174"/>
        <v>1485.2226434135996</v>
      </c>
      <c r="AV369" s="156">
        <f t="shared" ca="1" si="174"/>
        <v>1485.2226434135996</v>
      </c>
      <c r="AW369" s="156">
        <f t="shared" ca="1" si="174"/>
        <v>1485.2226434135996</v>
      </c>
    </row>
    <row r="370" spans="3:49">
      <c r="C370" t="str">
        <f t="shared" si="171"/>
        <v>PWR nuclear</v>
      </c>
      <c r="D370" s="157">
        <f>SUMIF($C$276:$C$295,'Tech Parameters'!H223,D$276:D$295)+SUMIF($C$321:$C$340,'Tech Parameters'!H173,D$321:D$340)</f>
        <v>13197.815999999999</v>
      </c>
      <c r="E370" s="157">
        <f>SUMIF($C$276:$C$295,'Tech Parameters'!I223,E$276:E$295)+SUMIF($C$321:$C$340,'Tech Parameters'!I173,E$321:E$340)</f>
        <v>13197.815999999999</v>
      </c>
      <c r="F370" s="157">
        <f>SUMIF($C$276:$C$295,'Tech Parameters'!J223,F$276:F$295)+SUMIF($C$321:$C$340,'Tech Parameters'!J173,F$321:F$340)</f>
        <v>13197.815999999999</v>
      </c>
      <c r="G370" s="157">
        <f>SUMIF($C$276:$C$295,'Tech Parameters'!K223,G$276:G$295)+SUMIF($C$321:$C$340,'Tech Parameters'!K173,G$321:G$340)</f>
        <v>13197.815999999999</v>
      </c>
      <c r="H370" s="157">
        <f>SUMIF($C$276:$C$295,'Tech Parameters'!L223,H$276:H$295)+SUMIF($C$321:$C$340,'Tech Parameters'!L173,H$321:H$340)</f>
        <v>13197.815999999999</v>
      </c>
      <c r="I370" s="157">
        <f ca="1">SUMIF($C$276:$C$295,'Tech Parameters'!M223,I$276:I$295)+SUMIF($C$321:$C$340,'Tech Parameters'!M173,I$321:I$340)</f>
        <v>13197.815999999999</v>
      </c>
      <c r="J370" s="9">
        <f ca="1">SUMIF($C$276:$C$295,'Tech Parameters'!N223,J$276:J$295)+SUMIF($C$321:$C$340,'Tech Parameters'!N173,J$321:J$340)</f>
        <v>13197.815999999999</v>
      </c>
      <c r="K370" s="9">
        <f ca="1">SUMIF($C$276:$C$295,'Tech Parameters'!O223,K$276:K$295)+SUMIF($C$321:$C$340,'Tech Parameters'!O173,K$321:K$340)</f>
        <v>13197.815999999999</v>
      </c>
      <c r="L370" s="9">
        <f ca="1">SUMIF($C$276:$C$295,'Tech Parameters'!P223,L$276:L$295)+SUMIF($C$321:$C$340,'Tech Parameters'!P173,L$321:L$340)</f>
        <v>13197.815999999999</v>
      </c>
      <c r="M370" s="9">
        <f ca="1">SUMIF($C$276:$C$295,'Tech Parameters'!Q223,M$276:M$295)+SUMIF($C$321:$C$340,'Tech Parameters'!Q173,M$321:M$340)</f>
        <v>13197.815999999999</v>
      </c>
      <c r="N370" s="9">
        <f ca="1">SUMIF($C$276:$C$295,'Tech Parameters'!R223,N$276:N$295)+SUMIF($C$321:$C$340,'Tech Parameters'!R173,N$321:N$340)</f>
        <v>13197.815999999999</v>
      </c>
      <c r="O370" s="9">
        <f ca="1">SUMIF($C$276:$C$295,'Tech Parameters'!S223,O$276:O$295)+SUMIF($C$321:$C$340,'Tech Parameters'!S173,O$321:O$340)</f>
        <v>13197.815999999999</v>
      </c>
      <c r="P370" s="9">
        <f ca="1">SUMIF($C$276:$C$295,'Tech Parameters'!T223,P$276:P$295)+SUMIF($C$321:$C$340,'Tech Parameters'!T173,P$321:P$340)</f>
        <v>13197.815999999999</v>
      </c>
      <c r="Q370" s="9">
        <f ca="1">SUMIF($C$276:$C$295,'Tech Parameters'!U223,Q$276:Q$295)+SUMIF($C$321:$C$340,'Tech Parameters'!U173,Q$321:Q$340)</f>
        <v>13197.815999999999</v>
      </c>
      <c r="R370" s="9">
        <f ca="1">SUMIF($C$276:$C$295,'Tech Parameters'!V223,R$276:R$295)+SUMIF($C$321:$C$340,'Tech Parameters'!V173,R$321:R$340)</f>
        <v>13197.815999999999</v>
      </c>
      <c r="S370" s="9">
        <f ca="1">SUMIF($C$276:$C$295,'Tech Parameters'!W223,S$276:S$295)+SUMIF($C$321:$C$340,'Tech Parameters'!W173,S$321:S$340)</f>
        <v>13197.815999999999</v>
      </c>
      <c r="T370" s="9">
        <f ca="1">SUMIF($C$276:$C$295,'Tech Parameters'!X223,T$276:T$295)+SUMIF($C$321:$C$340,'Tech Parameters'!X173,T$321:T$340)</f>
        <v>13197.815999999999</v>
      </c>
      <c r="U370" s="9">
        <f ca="1">SUMIF($C$276:$C$295,'Tech Parameters'!Y223,U$276:U$295)+SUMIF($C$321:$C$340,'Tech Parameters'!Y173,U$321:U$340)</f>
        <v>13197.815999999999</v>
      </c>
      <c r="V370" s="9">
        <f ca="1">SUMIF($C$276:$C$295,'Tech Parameters'!Z223,V$276:V$295)+SUMIF($C$321:$C$340,'Tech Parameters'!Z173,V$321:V$340)</f>
        <v>13197.815999999999</v>
      </c>
      <c r="W370" s="9">
        <f ca="1">SUMIF($C$276:$C$295,'Tech Parameters'!AA223,W$276:W$295)+SUMIF($C$321:$C$340,'Tech Parameters'!AA173,W$321:W$340)</f>
        <v>13197.815999999999</v>
      </c>
      <c r="X370" s="9">
        <f ca="1">SUMIF($C$276:$C$295,'Tech Parameters'!AB223,X$276:X$295)+SUMIF($C$321:$C$340,'Tech Parameters'!AB173,X$321:X$340)</f>
        <v>13197.815999999999</v>
      </c>
      <c r="Y370" s="9">
        <f ca="1">SUMIF($C$276:$C$295,'Tech Parameters'!AC223,Y$276:Y$295)+SUMIF($C$321:$C$340,'Tech Parameters'!AC173,Y$321:Y$340)</f>
        <v>13197.815999999999</v>
      </c>
      <c r="Z370" s="9">
        <f ca="1">SUMIF($C$276:$C$295,'Tech Parameters'!AD223,Z$276:Z$295)+SUMIF($C$321:$C$340,'Tech Parameters'!AD173,Z$321:Z$340)</f>
        <v>13197.815999999999</v>
      </c>
      <c r="AA370" s="9">
        <f ca="1">SUMIF($C$276:$C$295,'Tech Parameters'!AE223,AA$276:AA$295)+SUMIF($C$321:$C$340,'Tech Parameters'!AE173,AA$321:AA$340)</f>
        <v>13197.815999999999</v>
      </c>
      <c r="AB370" s="9">
        <f ca="1">SUMIF($C$276:$C$295,'Tech Parameters'!AF223,AB$276:AB$295)+SUMIF($C$321:$C$340,'Tech Parameters'!AF173,AB$321:AB$340)</f>
        <v>13197.815999999999</v>
      </c>
      <c r="AC370" s="9">
        <f ca="1">SUMIF($C$276:$C$295,'Tech Parameters'!AG223,AC$276:AC$295)+SUMIF($C$321:$C$340,'Tech Parameters'!AG173,AC$321:AC$340)</f>
        <v>13197.815999999999</v>
      </c>
      <c r="AD370" s="156">
        <f ca="1">AC370</f>
        <v>13197.815999999999</v>
      </c>
      <c r="AE370" s="156">
        <f t="shared" ca="1" si="174"/>
        <v>13197.815999999999</v>
      </c>
      <c r="AF370" s="156">
        <f t="shared" ca="1" si="174"/>
        <v>13197.815999999999</v>
      </c>
      <c r="AG370" s="156">
        <f t="shared" ca="1" si="174"/>
        <v>13197.815999999999</v>
      </c>
      <c r="AH370" s="156">
        <f t="shared" ca="1" si="174"/>
        <v>13197.815999999999</v>
      </c>
      <c r="AI370" s="156">
        <f t="shared" ca="1" si="174"/>
        <v>13197.815999999999</v>
      </c>
      <c r="AJ370" s="156">
        <f t="shared" ca="1" si="174"/>
        <v>13197.815999999999</v>
      </c>
      <c r="AK370" s="156">
        <f t="shared" ca="1" si="174"/>
        <v>13197.815999999999</v>
      </c>
      <c r="AL370" s="156">
        <f t="shared" ca="1" si="174"/>
        <v>13197.815999999999</v>
      </c>
      <c r="AM370" s="156">
        <f t="shared" ca="1" si="174"/>
        <v>13197.815999999999</v>
      </c>
      <c r="AN370" s="156">
        <f t="shared" ca="1" si="174"/>
        <v>13197.815999999999</v>
      </c>
      <c r="AO370" s="156">
        <f t="shared" ca="1" si="174"/>
        <v>13197.815999999999</v>
      </c>
      <c r="AP370" s="156">
        <f t="shared" ca="1" si="174"/>
        <v>13197.815999999999</v>
      </c>
      <c r="AQ370" s="156">
        <f t="shared" ca="1" si="174"/>
        <v>13197.815999999999</v>
      </c>
      <c r="AR370" s="156">
        <f t="shared" ca="1" si="174"/>
        <v>13197.815999999999</v>
      </c>
      <c r="AS370" s="156">
        <f t="shared" ca="1" si="174"/>
        <v>13197.815999999999</v>
      </c>
      <c r="AT370" s="156">
        <f t="shared" ca="1" si="174"/>
        <v>13197.815999999999</v>
      </c>
      <c r="AU370" s="156">
        <f t="shared" ca="1" si="174"/>
        <v>13197.815999999999</v>
      </c>
      <c r="AV370" s="156">
        <f t="shared" ca="1" si="174"/>
        <v>13197.815999999999</v>
      </c>
      <c r="AW370" s="156">
        <f t="shared" ca="1" si="174"/>
        <v>13197.815999999999</v>
      </c>
    </row>
    <row r="371" spans="3:49">
      <c r="C371" t="str">
        <f t="shared" si="171"/>
        <v>Hydro</v>
      </c>
      <c r="D371" s="157">
        <f>SUMIF($C$276:$C$295,'Tech Parameters'!H224,D$276:D$295)+SUMIF($C$321:$C$340,'Tech Parameters'!H174,D$321:D$340)</f>
        <v>878.42652000000021</v>
      </c>
      <c r="E371" s="157">
        <f>SUMIF($C$276:$C$295,'Tech Parameters'!I224,E$276:E$295)+SUMIF($C$321:$C$340,'Tech Parameters'!I174,E$321:E$340)</f>
        <v>878.42652000000021</v>
      </c>
      <c r="F371" s="157">
        <f>SUMIF($C$276:$C$295,'Tech Parameters'!J224,F$276:F$295)+SUMIF($C$321:$C$340,'Tech Parameters'!J174,F$321:F$340)</f>
        <v>878.42652000000021</v>
      </c>
      <c r="G371" s="157">
        <f>SUMIF($C$276:$C$295,'Tech Parameters'!K224,G$276:G$295)+SUMIF($C$321:$C$340,'Tech Parameters'!K174,G$321:G$340)</f>
        <v>878.42652000000021</v>
      </c>
      <c r="H371" s="157">
        <f>SUMIF($C$276:$C$295,'Tech Parameters'!L224,H$276:H$295)+SUMIF($C$321:$C$340,'Tech Parameters'!L174,H$321:H$340)</f>
        <v>878.42652000000021</v>
      </c>
      <c r="I371" s="157">
        <f ca="1">SUMIF($C$276:$C$295,'Tech Parameters'!M224,I$276:I$295)+SUMIF($C$321:$C$340,'Tech Parameters'!M174,I$321:I$340)</f>
        <v>878.42652000000021</v>
      </c>
      <c r="J371" s="9">
        <f ca="1">SUMIF($C$276:$C$295,'Tech Parameters'!N224,J$276:J$295)+SUMIF($C$321:$C$340,'Tech Parameters'!N174,J$321:J$340)</f>
        <v>878.42652000000021</v>
      </c>
      <c r="K371" s="9">
        <f ca="1">SUMIF($C$276:$C$295,'Tech Parameters'!O224,K$276:K$295)+SUMIF($C$321:$C$340,'Tech Parameters'!O174,K$321:K$340)</f>
        <v>878.42652000000021</v>
      </c>
      <c r="L371" s="9">
        <f ca="1">SUMIF($C$276:$C$295,'Tech Parameters'!P224,L$276:L$295)+SUMIF($C$321:$C$340,'Tech Parameters'!P174,L$321:L$340)</f>
        <v>878.42652000000021</v>
      </c>
      <c r="M371" s="9">
        <f ca="1">SUMIF($C$276:$C$295,'Tech Parameters'!Q224,M$276:M$295)+SUMIF($C$321:$C$340,'Tech Parameters'!Q174,M$321:M$340)</f>
        <v>878.42652000000021</v>
      </c>
      <c r="N371" s="9">
        <f ca="1">SUMIF($C$276:$C$295,'Tech Parameters'!R224,N$276:N$295)+SUMIF($C$321:$C$340,'Tech Parameters'!R174,N$321:N$340)</f>
        <v>878.42652000000021</v>
      </c>
      <c r="O371" s="9">
        <f ca="1">SUMIF($C$276:$C$295,'Tech Parameters'!S224,O$276:O$295)+SUMIF($C$321:$C$340,'Tech Parameters'!S174,O$321:O$340)</f>
        <v>878.42652000000021</v>
      </c>
      <c r="P371" s="9">
        <f ca="1">SUMIF($C$276:$C$295,'Tech Parameters'!T224,P$276:P$295)+SUMIF($C$321:$C$340,'Tech Parameters'!T174,P$321:P$340)</f>
        <v>878.42652000000021</v>
      </c>
      <c r="Q371" s="9">
        <f ca="1">SUMIF($C$276:$C$295,'Tech Parameters'!U224,Q$276:Q$295)+SUMIF($C$321:$C$340,'Tech Parameters'!U174,Q$321:Q$340)</f>
        <v>878.42652000000021</v>
      </c>
      <c r="R371" s="9">
        <f ca="1">SUMIF($C$276:$C$295,'Tech Parameters'!V224,R$276:R$295)+SUMIF($C$321:$C$340,'Tech Parameters'!V174,R$321:R$340)</f>
        <v>878.42652000000021</v>
      </c>
      <c r="S371" s="9">
        <f ca="1">SUMIF($C$276:$C$295,'Tech Parameters'!W224,S$276:S$295)+SUMIF($C$321:$C$340,'Tech Parameters'!W174,S$321:S$340)</f>
        <v>878.42652000000021</v>
      </c>
      <c r="T371" s="9">
        <f ca="1">SUMIF($C$276:$C$295,'Tech Parameters'!X224,T$276:T$295)+SUMIF($C$321:$C$340,'Tech Parameters'!X174,T$321:T$340)</f>
        <v>878.42652000000021</v>
      </c>
      <c r="U371" s="9">
        <f ca="1">SUMIF($C$276:$C$295,'Tech Parameters'!Y224,U$276:U$295)+SUMIF($C$321:$C$340,'Tech Parameters'!Y174,U$321:U$340)</f>
        <v>878.42652000000021</v>
      </c>
      <c r="V371" s="9">
        <f ca="1">SUMIF($C$276:$C$295,'Tech Parameters'!Z224,V$276:V$295)+SUMIF($C$321:$C$340,'Tech Parameters'!Z174,V$321:V$340)</f>
        <v>878.42652000000021</v>
      </c>
      <c r="W371" s="9">
        <f ca="1">SUMIF($C$276:$C$295,'Tech Parameters'!AA224,W$276:W$295)+SUMIF($C$321:$C$340,'Tech Parameters'!AA174,W$321:W$340)</f>
        <v>878.42652000000021</v>
      </c>
      <c r="X371" s="9">
        <f ca="1">SUMIF($C$276:$C$295,'Tech Parameters'!AB224,X$276:X$295)+SUMIF($C$321:$C$340,'Tech Parameters'!AB174,X$321:X$340)</f>
        <v>878.42652000000021</v>
      </c>
      <c r="Y371" s="9">
        <f ca="1">SUMIF($C$276:$C$295,'Tech Parameters'!AC224,Y$276:Y$295)+SUMIF($C$321:$C$340,'Tech Parameters'!AC174,Y$321:Y$340)</f>
        <v>878.42652000000021</v>
      </c>
      <c r="Z371" s="9">
        <f ca="1">SUMIF($C$276:$C$295,'Tech Parameters'!AD224,Z$276:Z$295)+SUMIF($C$321:$C$340,'Tech Parameters'!AD174,Z$321:Z$340)</f>
        <v>878.42652000000021</v>
      </c>
      <c r="AA371" s="9">
        <f ca="1">SUMIF($C$276:$C$295,'Tech Parameters'!AE224,AA$276:AA$295)+SUMIF($C$321:$C$340,'Tech Parameters'!AE174,AA$321:AA$340)</f>
        <v>878.42652000000021</v>
      </c>
      <c r="AB371" s="9">
        <f ca="1">SUMIF($C$276:$C$295,'Tech Parameters'!AF224,AB$276:AB$295)+SUMIF($C$321:$C$340,'Tech Parameters'!AF174,AB$321:AB$340)</f>
        <v>878.42652000000021</v>
      </c>
      <c r="AC371" s="9">
        <f ca="1">SUMIF($C$276:$C$295,'Tech Parameters'!AG224,AC$276:AC$295)+SUMIF($C$321:$C$340,'Tech Parameters'!AG174,AC$321:AC$340)</f>
        <v>878.42652000000021</v>
      </c>
      <c r="AD371" s="156">
        <f ca="1">AC371</f>
        <v>878.42652000000021</v>
      </c>
      <c r="AE371" s="156">
        <f t="shared" ca="1" si="174"/>
        <v>878.42652000000021</v>
      </c>
      <c r="AF371" s="156">
        <f t="shared" ca="1" si="174"/>
        <v>878.42652000000021</v>
      </c>
      <c r="AG371" s="156">
        <f t="shared" ca="1" si="174"/>
        <v>878.42652000000021</v>
      </c>
      <c r="AH371" s="156">
        <f t="shared" ca="1" si="174"/>
        <v>878.42652000000021</v>
      </c>
      <c r="AI371" s="156">
        <f t="shared" ca="1" si="174"/>
        <v>878.42652000000021</v>
      </c>
      <c r="AJ371" s="156">
        <f t="shared" ca="1" si="174"/>
        <v>878.42652000000021</v>
      </c>
      <c r="AK371" s="156">
        <f t="shared" ca="1" si="174"/>
        <v>878.42652000000021</v>
      </c>
      <c r="AL371" s="156">
        <f t="shared" ca="1" si="174"/>
        <v>878.42652000000021</v>
      </c>
      <c r="AM371" s="156">
        <f t="shared" ca="1" si="174"/>
        <v>878.42652000000021</v>
      </c>
      <c r="AN371" s="156">
        <f t="shared" ca="1" si="174"/>
        <v>878.42652000000021</v>
      </c>
      <c r="AO371" s="156">
        <f t="shared" ca="1" si="174"/>
        <v>878.42652000000021</v>
      </c>
      <c r="AP371" s="156">
        <f t="shared" ca="1" si="174"/>
        <v>878.42652000000021</v>
      </c>
      <c r="AQ371" s="156">
        <f t="shared" ca="1" si="174"/>
        <v>878.42652000000021</v>
      </c>
      <c r="AR371" s="156">
        <f t="shared" ca="1" si="174"/>
        <v>878.42652000000021</v>
      </c>
      <c r="AS371" s="156">
        <f t="shared" ca="1" si="174"/>
        <v>878.42652000000021</v>
      </c>
      <c r="AT371" s="156">
        <f t="shared" ca="1" si="174"/>
        <v>878.42652000000021</v>
      </c>
      <c r="AU371" s="156">
        <f t="shared" ca="1" si="174"/>
        <v>878.42652000000021</v>
      </c>
      <c r="AV371" s="156">
        <f t="shared" ca="1" si="174"/>
        <v>878.42652000000021</v>
      </c>
      <c r="AW371" s="156">
        <f t="shared" ca="1" si="174"/>
        <v>878.42652000000021</v>
      </c>
    </row>
    <row r="372" spans="3:49">
      <c r="C372" t="str">
        <f t="shared" si="171"/>
        <v>Landfill gas</v>
      </c>
      <c r="D372" s="157">
        <f>SUMIF($C$276:$C$295,'Tech Parameters'!H225,D$276:D$295)+SUMIF($C$321:$C$340,'Tech Parameters'!H175,D$321:D$340)</f>
        <v>524.66925000000003</v>
      </c>
      <c r="E372" s="157">
        <f>SUMIF($C$276:$C$295,'Tech Parameters'!I225,E$276:E$295)+SUMIF($C$321:$C$340,'Tech Parameters'!I175,E$321:E$340)</f>
        <v>524.66925000000003</v>
      </c>
      <c r="F372" s="157">
        <f>SUMIF($C$276:$C$295,'Tech Parameters'!J225,F$276:F$295)+SUMIF($C$321:$C$340,'Tech Parameters'!J175,F$321:F$340)</f>
        <v>524.66925000000003</v>
      </c>
      <c r="G372" s="157">
        <f>SUMIF($C$276:$C$295,'Tech Parameters'!K225,G$276:G$295)+SUMIF($C$321:$C$340,'Tech Parameters'!K175,G$321:G$340)</f>
        <v>524.66925000000003</v>
      </c>
      <c r="H372" s="157">
        <f>SUMIF($C$276:$C$295,'Tech Parameters'!L225,H$276:H$295)+SUMIF($C$321:$C$340,'Tech Parameters'!L175,H$321:H$340)</f>
        <v>524.66925000000003</v>
      </c>
      <c r="I372" s="157">
        <f ca="1">SUMIF($C$276:$C$295,'Tech Parameters'!M225,I$276:I$295)+SUMIF($C$321:$C$340,'Tech Parameters'!M175,I$321:I$340)</f>
        <v>524.66925000000003</v>
      </c>
      <c r="J372" s="9">
        <f ca="1">SUMIF($C$276:$C$295,'Tech Parameters'!N225,J$276:J$295)+SUMIF($C$321:$C$340,'Tech Parameters'!N175,J$321:J$340)</f>
        <v>524.66925000000003</v>
      </c>
      <c r="K372" s="9">
        <f ca="1">SUMIF($C$276:$C$295,'Tech Parameters'!O225,K$276:K$295)+SUMIF($C$321:$C$340,'Tech Parameters'!O175,K$321:K$340)</f>
        <v>524.66925000000003</v>
      </c>
      <c r="L372" s="9">
        <f ca="1">SUMIF($C$276:$C$295,'Tech Parameters'!P225,L$276:L$295)+SUMIF($C$321:$C$340,'Tech Parameters'!P175,L$321:L$340)</f>
        <v>524.66925000000003</v>
      </c>
      <c r="M372" s="9">
        <f ca="1">SUMIF($C$276:$C$295,'Tech Parameters'!Q225,M$276:M$295)+SUMIF($C$321:$C$340,'Tech Parameters'!Q175,M$321:M$340)</f>
        <v>524.66925000000003</v>
      </c>
      <c r="N372" s="9">
        <f ca="1">SUMIF($C$276:$C$295,'Tech Parameters'!R225,N$276:N$295)+SUMIF($C$321:$C$340,'Tech Parameters'!R175,N$321:N$340)</f>
        <v>524.66925000000003</v>
      </c>
      <c r="O372" s="9">
        <f ca="1">SUMIF($C$276:$C$295,'Tech Parameters'!S225,O$276:O$295)+SUMIF($C$321:$C$340,'Tech Parameters'!S175,O$321:O$340)</f>
        <v>524.66925000000003</v>
      </c>
      <c r="P372" s="9">
        <f ca="1">SUMIF($C$276:$C$295,'Tech Parameters'!T225,P$276:P$295)+SUMIF($C$321:$C$340,'Tech Parameters'!T175,P$321:P$340)</f>
        <v>524.66925000000003</v>
      </c>
      <c r="Q372" s="9">
        <f ca="1">SUMIF($C$276:$C$295,'Tech Parameters'!U225,Q$276:Q$295)+SUMIF($C$321:$C$340,'Tech Parameters'!U175,Q$321:Q$340)</f>
        <v>524.66925000000003</v>
      </c>
      <c r="R372" s="9">
        <f ca="1">SUMIF($C$276:$C$295,'Tech Parameters'!V225,R$276:R$295)+SUMIF($C$321:$C$340,'Tech Parameters'!V175,R$321:R$340)</f>
        <v>524.66925000000003</v>
      </c>
      <c r="S372" s="9">
        <f ca="1">SUMIF($C$276:$C$295,'Tech Parameters'!W225,S$276:S$295)+SUMIF($C$321:$C$340,'Tech Parameters'!W175,S$321:S$340)</f>
        <v>524.66925000000003</v>
      </c>
      <c r="T372" s="9">
        <f ca="1">SUMIF($C$276:$C$295,'Tech Parameters'!X225,T$276:T$295)+SUMIF($C$321:$C$340,'Tech Parameters'!X175,T$321:T$340)</f>
        <v>524.66925000000003</v>
      </c>
      <c r="U372" s="9">
        <f ca="1">SUMIF($C$276:$C$295,'Tech Parameters'!Y225,U$276:U$295)+SUMIF($C$321:$C$340,'Tech Parameters'!Y175,U$321:U$340)</f>
        <v>524.66925000000003</v>
      </c>
      <c r="V372" s="9">
        <f ca="1">SUMIF($C$276:$C$295,'Tech Parameters'!Z225,V$276:V$295)+SUMIF($C$321:$C$340,'Tech Parameters'!Z175,V$321:V$340)</f>
        <v>524.66925000000003</v>
      </c>
      <c r="W372" s="9">
        <f ca="1">SUMIF($C$276:$C$295,'Tech Parameters'!AA225,W$276:W$295)+SUMIF($C$321:$C$340,'Tech Parameters'!AA175,W$321:W$340)</f>
        <v>524.66925000000003</v>
      </c>
      <c r="X372" s="9">
        <f ca="1">SUMIF($C$276:$C$295,'Tech Parameters'!AB225,X$276:X$295)+SUMIF($C$321:$C$340,'Tech Parameters'!AB175,X$321:X$340)</f>
        <v>524.66925000000003</v>
      </c>
      <c r="Y372" s="9">
        <f ca="1">SUMIF($C$276:$C$295,'Tech Parameters'!AC225,Y$276:Y$295)+SUMIF($C$321:$C$340,'Tech Parameters'!AC175,Y$321:Y$340)</f>
        <v>524.66925000000003</v>
      </c>
      <c r="Z372" s="9">
        <f ca="1">SUMIF($C$276:$C$295,'Tech Parameters'!AD225,Z$276:Z$295)+SUMIF($C$321:$C$340,'Tech Parameters'!AD175,Z$321:Z$340)</f>
        <v>524.66925000000003</v>
      </c>
      <c r="AA372" s="9">
        <f ca="1">SUMIF($C$276:$C$295,'Tech Parameters'!AE225,AA$276:AA$295)+SUMIF($C$321:$C$340,'Tech Parameters'!AE175,AA$321:AA$340)</f>
        <v>524.66925000000003</v>
      </c>
      <c r="AB372" s="9">
        <f ca="1">SUMIF($C$276:$C$295,'Tech Parameters'!AF225,AB$276:AB$295)+SUMIF($C$321:$C$340,'Tech Parameters'!AF175,AB$321:AB$340)</f>
        <v>524.66925000000003</v>
      </c>
      <c r="AC372" s="9">
        <f ca="1">SUMIF($C$276:$C$295,'Tech Parameters'!AG225,AC$276:AC$295)+SUMIF($C$321:$C$340,'Tech Parameters'!AG175,AC$321:AC$340)</f>
        <v>524.66925000000003</v>
      </c>
      <c r="AD372" s="156">
        <f ca="1">AC372</f>
        <v>524.66925000000003</v>
      </c>
      <c r="AE372" s="156">
        <f t="shared" ca="1" si="174"/>
        <v>524.66925000000003</v>
      </c>
      <c r="AF372" s="156">
        <f t="shared" ca="1" si="174"/>
        <v>524.66925000000003</v>
      </c>
      <c r="AG372" s="156">
        <f t="shared" ca="1" si="174"/>
        <v>524.66925000000003</v>
      </c>
      <c r="AH372" s="156">
        <f t="shared" ca="1" si="174"/>
        <v>524.66925000000003</v>
      </c>
      <c r="AI372" s="156">
        <f t="shared" ca="1" si="174"/>
        <v>524.66925000000003</v>
      </c>
      <c r="AJ372" s="156">
        <f t="shared" ca="1" si="174"/>
        <v>524.66925000000003</v>
      </c>
      <c r="AK372" s="156">
        <f t="shared" ca="1" si="174"/>
        <v>524.66925000000003</v>
      </c>
      <c r="AL372" s="156">
        <f t="shared" ca="1" si="174"/>
        <v>524.66925000000003</v>
      </c>
      <c r="AM372" s="156">
        <f t="shared" ca="1" si="174"/>
        <v>524.66925000000003</v>
      </c>
      <c r="AN372" s="156">
        <f t="shared" ca="1" si="174"/>
        <v>524.66925000000003</v>
      </c>
      <c r="AO372" s="156">
        <f t="shared" ca="1" si="174"/>
        <v>524.66925000000003</v>
      </c>
      <c r="AP372" s="156">
        <f t="shared" ca="1" si="174"/>
        <v>524.66925000000003</v>
      </c>
      <c r="AQ372" s="156">
        <f t="shared" ca="1" si="174"/>
        <v>524.66925000000003</v>
      </c>
      <c r="AR372" s="156">
        <f t="shared" ca="1" si="174"/>
        <v>524.66925000000003</v>
      </c>
      <c r="AS372" s="156">
        <f t="shared" ca="1" si="174"/>
        <v>524.66925000000003</v>
      </c>
      <c r="AT372" s="156">
        <f t="shared" ca="1" si="174"/>
        <v>524.66925000000003</v>
      </c>
      <c r="AU372" s="156">
        <f t="shared" ca="1" si="174"/>
        <v>524.66925000000003</v>
      </c>
      <c r="AV372" s="156">
        <f t="shared" ca="1" si="174"/>
        <v>524.66925000000003</v>
      </c>
      <c r="AW372" s="156">
        <f t="shared" ca="1" si="174"/>
        <v>524.66925000000003</v>
      </c>
    </row>
    <row r="373" spans="3:49">
      <c r="C373" t="str">
        <f t="shared" si="171"/>
        <v>Biomass</v>
      </c>
      <c r="D373" s="157">
        <f>SUMIF($C$276:$C$295,'Tech Parameters'!H226,D$276:D$295)+SUMIF($C$321:$C$340,'Tech Parameters'!H176,D$321:D$340)</f>
        <v>1502.121000000029</v>
      </c>
      <c r="E373" s="157">
        <f>SUMIF($C$276:$C$295,'Tech Parameters'!I226,E$276:E$295)+SUMIF($C$321:$C$340,'Tech Parameters'!I176,E$321:E$340)</f>
        <v>1502.1209999999999</v>
      </c>
      <c r="F373" s="157">
        <f>SUMIF($C$276:$C$295,'Tech Parameters'!J226,F$276:F$295)+SUMIF($C$321:$C$340,'Tech Parameters'!J176,F$321:F$340)</f>
        <v>1502.1209999999999</v>
      </c>
      <c r="G373" s="157">
        <f>SUMIF($C$276:$C$295,'Tech Parameters'!K226,G$276:G$295)+SUMIF($C$321:$C$340,'Tech Parameters'!K176,G$321:G$340)</f>
        <v>1502.1209999999999</v>
      </c>
      <c r="H373" s="157">
        <f>SUMIF($C$276:$C$295,'Tech Parameters'!L226,H$276:H$295)+SUMIF($C$321:$C$340,'Tech Parameters'!L176,H$321:H$340)</f>
        <v>1502.1209999999999</v>
      </c>
      <c r="I373" s="157">
        <f ca="1">SUMIF($C$276:$C$295,'Tech Parameters'!M226,I$276:I$295)+SUMIF($C$321:$C$340,'Tech Parameters'!M176,I$321:I$340)</f>
        <v>1502.1209999999999</v>
      </c>
      <c r="J373" s="9">
        <f ca="1">SUMIF($C$276:$C$295,'Tech Parameters'!N226,J$276:J$295)+SUMIF($C$321:$C$340,'Tech Parameters'!N176,J$321:J$340)</f>
        <v>1502.1209999999999</v>
      </c>
      <c r="K373" s="9">
        <f ca="1">SUMIF($C$276:$C$295,'Tech Parameters'!O226,K$276:K$295)+SUMIF($C$321:$C$340,'Tech Parameters'!O176,K$321:K$340)</f>
        <v>1502.1209999999999</v>
      </c>
      <c r="L373" s="9">
        <f ca="1">SUMIF($C$276:$C$295,'Tech Parameters'!P226,L$276:L$295)+SUMIF($C$321:$C$340,'Tech Parameters'!P176,L$321:L$340)</f>
        <v>1502.1209999999999</v>
      </c>
      <c r="M373" s="9">
        <f ca="1">SUMIF($C$276:$C$295,'Tech Parameters'!Q226,M$276:M$295)+SUMIF($C$321:$C$340,'Tech Parameters'!Q176,M$321:M$340)</f>
        <v>1502.1209999999999</v>
      </c>
      <c r="N373" s="9">
        <f ca="1">SUMIF($C$276:$C$295,'Tech Parameters'!R226,N$276:N$295)+SUMIF($C$321:$C$340,'Tech Parameters'!R176,N$321:N$340)</f>
        <v>1502.1209999999999</v>
      </c>
      <c r="O373" s="9">
        <f ca="1">SUMIF($C$276:$C$295,'Tech Parameters'!S226,O$276:O$295)+SUMIF($C$321:$C$340,'Tech Parameters'!S176,O$321:O$340)</f>
        <v>1502.1209999999999</v>
      </c>
      <c r="P373" s="9">
        <f ca="1">SUMIF($C$276:$C$295,'Tech Parameters'!T226,P$276:P$295)+SUMIF($C$321:$C$340,'Tech Parameters'!T176,P$321:P$340)</f>
        <v>1502.1209999999999</v>
      </c>
      <c r="Q373" s="9">
        <f ca="1">SUMIF($C$276:$C$295,'Tech Parameters'!U226,Q$276:Q$295)+SUMIF($C$321:$C$340,'Tech Parameters'!U176,Q$321:Q$340)</f>
        <v>1502.1209999999999</v>
      </c>
      <c r="R373" s="9">
        <f ca="1">SUMIF($C$276:$C$295,'Tech Parameters'!V226,R$276:R$295)+SUMIF($C$321:$C$340,'Tech Parameters'!V176,R$321:R$340)</f>
        <v>1502.1209999999999</v>
      </c>
      <c r="S373" s="9">
        <f ca="1">SUMIF($C$276:$C$295,'Tech Parameters'!W226,S$276:S$295)+SUMIF($C$321:$C$340,'Tech Parameters'!W176,S$321:S$340)</f>
        <v>1502.1209999999999</v>
      </c>
      <c r="T373" s="9">
        <f ca="1">SUMIF($C$276:$C$295,'Tech Parameters'!X226,T$276:T$295)+SUMIF($C$321:$C$340,'Tech Parameters'!X176,T$321:T$340)</f>
        <v>1502.1209999999999</v>
      </c>
      <c r="U373" s="9">
        <f ca="1">SUMIF($C$276:$C$295,'Tech Parameters'!Y226,U$276:U$295)+SUMIF($C$321:$C$340,'Tech Parameters'!Y176,U$321:U$340)</f>
        <v>1502.1209999999999</v>
      </c>
      <c r="V373" s="9">
        <f ca="1">SUMIF($C$276:$C$295,'Tech Parameters'!Z226,V$276:V$295)+SUMIF($C$321:$C$340,'Tech Parameters'!Z176,V$321:V$340)</f>
        <v>1502.1209999999999</v>
      </c>
      <c r="W373" s="9">
        <f ca="1">SUMIF($C$276:$C$295,'Tech Parameters'!AA226,W$276:W$295)+SUMIF($C$321:$C$340,'Tech Parameters'!AA176,W$321:W$340)</f>
        <v>1502.1209999999999</v>
      </c>
      <c r="X373" s="9">
        <f ca="1">SUMIF($C$276:$C$295,'Tech Parameters'!AB226,X$276:X$295)+SUMIF($C$321:$C$340,'Tech Parameters'!AB176,X$321:X$340)</f>
        <v>1502.1209999999999</v>
      </c>
      <c r="Y373" s="9">
        <f ca="1">SUMIF($C$276:$C$295,'Tech Parameters'!AC226,Y$276:Y$295)+SUMIF($C$321:$C$340,'Tech Parameters'!AC176,Y$321:Y$340)</f>
        <v>1502.1209999999999</v>
      </c>
      <c r="Z373" s="9">
        <f ca="1">SUMIF($C$276:$C$295,'Tech Parameters'!AD226,Z$276:Z$295)+SUMIF($C$321:$C$340,'Tech Parameters'!AD176,Z$321:Z$340)</f>
        <v>1502.1209999999999</v>
      </c>
      <c r="AA373" s="9">
        <f ca="1">SUMIF($C$276:$C$295,'Tech Parameters'!AE226,AA$276:AA$295)+SUMIF($C$321:$C$340,'Tech Parameters'!AE176,AA$321:AA$340)</f>
        <v>1502.1209999999999</v>
      </c>
      <c r="AB373" s="9">
        <f ca="1">SUMIF($C$276:$C$295,'Tech Parameters'!AF226,AB$276:AB$295)+SUMIF($C$321:$C$340,'Tech Parameters'!AF176,AB$321:AB$340)</f>
        <v>1502.1209999999999</v>
      </c>
      <c r="AC373" s="9">
        <f ca="1">SUMIF($C$276:$C$295,'Tech Parameters'!AG226,AC$276:AC$295)+SUMIF($C$321:$C$340,'Tech Parameters'!AG176,AC$321:AC$340)</f>
        <v>1502.1209999999999</v>
      </c>
      <c r="AD373" s="156">
        <f ca="1">AC373</f>
        <v>1502.1209999999999</v>
      </c>
      <c r="AE373" s="156">
        <f t="shared" ref="AE373:AS373" ca="1" si="175">AD373</f>
        <v>1502.1209999999999</v>
      </c>
      <c r="AF373" s="156">
        <f t="shared" ca="1" si="175"/>
        <v>1502.1209999999999</v>
      </c>
      <c r="AG373" s="156">
        <f t="shared" ca="1" si="175"/>
        <v>1502.1209999999999</v>
      </c>
      <c r="AH373" s="156">
        <f t="shared" ca="1" si="175"/>
        <v>1502.1209999999999</v>
      </c>
      <c r="AI373" s="156">
        <f t="shared" ca="1" si="175"/>
        <v>1502.1209999999999</v>
      </c>
      <c r="AJ373" s="156">
        <f t="shared" ca="1" si="175"/>
        <v>1502.1209999999999</v>
      </c>
      <c r="AK373" s="156">
        <f t="shared" ca="1" si="175"/>
        <v>1502.1209999999999</v>
      </c>
      <c r="AL373" s="156">
        <f t="shared" ca="1" si="175"/>
        <v>1502.1209999999999</v>
      </c>
      <c r="AM373" s="156">
        <f t="shared" ca="1" si="175"/>
        <v>1502.1209999999999</v>
      </c>
      <c r="AN373" s="156">
        <f t="shared" ca="1" si="175"/>
        <v>1502.1209999999999</v>
      </c>
      <c r="AO373" s="156">
        <f t="shared" ca="1" si="175"/>
        <v>1502.1209999999999</v>
      </c>
      <c r="AP373" s="156">
        <f t="shared" ca="1" si="175"/>
        <v>1502.1209999999999</v>
      </c>
      <c r="AQ373" s="156">
        <f t="shared" ca="1" si="175"/>
        <v>1502.1209999999999</v>
      </c>
      <c r="AR373" s="156">
        <f t="shared" ca="1" si="175"/>
        <v>1502.1209999999999</v>
      </c>
      <c r="AS373" s="156">
        <f t="shared" ca="1" si="175"/>
        <v>1502.1209999999999</v>
      </c>
      <c r="AT373" s="156">
        <f t="shared" ca="1" si="174"/>
        <v>1502.1209999999999</v>
      </c>
      <c r="AU373" s="156">
        <f t="shared" ca="1" si="174"/>
        <v>1502.1209999999999</v>
      </c>
      <c r="AV373" s="156">
        <f t="shared" ca="1" si="174"/>
        <v>1502.1209999999999</v>
      </c>
      <c r="AW373" s="156">
        <f t="shared" ca="1" si="174"/>
        <v>1502.1209999999999</v>
      </c>
    </row>
    <row r="374" spans="3:49">
      <c r="C374" t="str">
        <f t="shared" si="171"/>
        <v>Supercritical coal</v>
      </c>
      <c r="D374" s="157">
        <f>SUMIF($C$276:$C$295,'Tech Parameters'!H227,D$276:D$295)+SUMIF($C$321:$C$340,'Tech Parameters'!H177,D$321:D$340)</f>
        <v>0</v>
      </c>
      <c r="E374" s="157">
        <f>SUMIF($C$276:$C$295,'Tech Parameters'!I227,E$276:E$295)+SUMIF($C$321:$C$340,'Tech Parameters'!I177,E$321:E$340)</f>
        <v>0</v>
      </c>
      <c r="F374" s="157">
        <f>SUMIF($C$276:$C$295,'Tech Parameters'!J227,F$276:F$295)+SUMIF($C$321:$C$340,'Tech Parameters'!J177,F$321:F$340)</f>
        <v>0</v>
      </c>
      <c r="G374" s="157">
        <f>SUMIF($C$276:$C$295,'Tech Parameters'!K227,G$276:G$295)+SUMIF($C$321:$C$340,'Tech Parameters'!K177,G$321:G$340)</f>
        <v>0</v>
      </c>
      <c r="H374" s="157">
        <f>SUMIF($C$276:$C$295,'Tech Parameters'!L227,H$276:H$295)+SUMIF($C$321:$C$340,'Tech Parameters'!L177,H$321:H$340)</f>
        <v>0</v>
      </c>
      <c r="I374" s="157">
        <f ca="1">SUMIF($C$276:$C$295,'Tech Parameters'!M227,I$276:I$295)+SUMIF($C$321:$C$340,'Tech Parameters'!M177,I$321:I$340)</f>
        <v>0</v>
      </c>
      <c r="J374" s="9">
        <f ca="1">SUMIF($C$276:$C$295,'Tech Parameters'!N227,J$276:J$295)+SUMIF($C$321:$C$340,'Tech Parameters'!N177,J$321:J$340)</f>
        <v>0</v>
      </c>
      <c r="K374" s="9">
        <f ca="1">SUMIF($C$276:$C$295,'Tech Parameters'!O227,K$276:K$295)+SUMIF($C$321:$C$340,'Tech Parameters'!O177,K$321:K$340)</f>
        <v>1693.7365830000003</v>
      </c>
      <c r="L374" s="9">
        <f ca="1">SUMIF($C$276:$C$295,'Tech Parameters'!P227,L$276:L$295)+SUMIF($C$321:$C$340,'Tech Parameters'!P177,L$321:L$340)</f>
        <v>5081.2097490000015</v>
      </c>
      <c r="M374" s="9">
        <f ca="1">SUMIF($C$276:$C$295,'Tech Parameters'!Q227,M$276:M$295)+SUMIF($C$321:$C$340,'Tech Parameters'!Q177,M$321:M$340)</f>
        <v>13787.838002241275</v>
      </c>
      <c r="N374" s="9">
        <f ca="1">SUMIF($C$276:$C$295,'Tech Parameters'!R227,N$276:N$295)+SUMIF($C$321:$C$340,'Tech Parameters'!R177,N$321:N$340)</f>
        <v>22109.866176129231</v>
      </c>
      <c r="O374" s="9">
        <f ca="1">SUMIF($C$276:$C$295,'Tech Parameters'!S227,O$276:O$295)+SUMIF($C$321:$C$340,'Tech Parameters'!S177,O$321:O$340)</f>
        <v>30973.848045042821</v>
      </c>
      <c r="P374" s="9">
        <f ca="1">SUMIF($C$276:$C$295,'Tech Parameters'!T227,P$276:P$295)+SUMIF($C$321:$C$340,'Tech Parameters'!T177,P$321:P$340)</f>
        <v>39693.39423489997</v>
      </c>
      <c r="Q374" s="9">
        <f ca="1">SUMIF($C$276:$C$295,'Tech Parameters'!U227,Q$276:Q$295)+SUMIF($C$321:$C$340,'Tech Parameters'!U177,Q$321:Q$340)</f>
        <v>48912.77667558215</v>
      </c>
      <c r="R374" s="9">
        <f ca="1">SUMIF($C$276:$C$295,'Tech Parameters'!V227,R$276:R$295)+SUMIF($C$321:$C$340,'Tech Parameters'!V177,R$321:R$340)</f>
        <v>58560.11668383942</v>
      </c>
      <c r="S374" s="9">
        <f ca="1">SUMIF($C$276:$C$295,'Tech Parameters'!W227,S$276:S$295)+SUMIF($C$321:$C$340,'Tech Parameters'!W177,S$321:S$340)</f>
        <v>70157.919939841871</v>
      </c>
      <c r="T374" s="9">
        <f ca="1">SUMIF($C$276:$C$295,'Tech Parameters'!X227,T$276:T$295)+SUMIF($C$321:$C$340,'Tech Parameters'!X177,T$321:T$340)</f>
        <v>82258.573337745125</v>
      </c>
      <c r="U374" s="9">
        <f ca="1">SUMIF($C$276:$C$295,'Tech Parameters'!Y227,U$276:U$295)+SUMIF($C$321:$C$340,'Tech Parameters'!Y177,U$321:U$340)</f>
        <v>92501.989315475454</v>
      </c>
      <c r="V374" s="9">
        <f ca="1">SUMIF($C$276:$C$295,'Tech Parameters'!Z227,V$276:V$295)+SUMIF($C$321:$C$340,'Tech Parameters'!Z177,V$321:V$340)</f>
        <v>103258.67878333401</v>
      </c>
      <c r="W374" s="9">
        <f ca="1">SUMIF($C$276:$C$295,'Tech Parameters'!AA227,W$276:W$295)+SUMIF($C$321:$C$340,'Tech Parameters'!AA177,W$321:W$340)</f>
        <v>123284.62132491726</v>
      </c>
      <c r="X374" s="9">
        <f ca="1">SUMIF($C$276:$C$295,'Tech Parameters'!AB227,X$276:X$295)+SUMIF($C$321:$C$340,'Tech Parameters'!AB177,X$321:X$340)</f>
        <v>144735.49546189455</v>
      </c>
      <c r="Y374" s="9">
        <f ca="1">SUMIF($C$276:$C$295,'Tech Parameters'!AC227,Y$276:Y$295)+SUMIF($C$321:$C$340,'Tech Parameters'!AC177,Y$321:Y$340)</f>
        <v>169111.17186129716</v>
      </c>
      <c r="Z374" s="9">
        <f ca="1">SUMIF($C$276:$C$295,'Tech Parameters'!AD227,Z$276:Z$295)+SUMIF($C$321:$C$340,'Tech Parameters'!AD177,Z$321:Z$340)</f>
        <v>193300.59446743844</v>
      </c>
      <c r="AA374" s="9">
        <f ca="1">SUMIF($C$276:$C$295,'Tech Parameters'!AE227,AA$276:AA$295)+SUMIF($C$321:$C$340,'Tech Parameters'!AE177,AA$321:AA$340)</f>
        <v>220195.14662336902</v>
      </c>
      <c r="AB374" s="9">
        <f ca="1">SUMIF($C$276:$C$295,'Tech Parameters'!AF227,AB$276:AB$295)+SUMIF($C$321:$C$340,'Tech Parameters'!AF177,AB$321:AB$340)</f>
        <v>260340.97143911308</v>
      </c>
      <c r="AC374" s="9">
        <f ca="1">SUMIF($C$276:$C$295,'Tech Parameters'!AG227,AC$276:AC$295)+SUMIF($C$321:$C$340,'Tech Parameters'!AG177,AC$321:AC$340)</f>
        <v>284022.13653434324</v>
      </c>
      <c r="AD374" s="156">
        <f ca="1">$AC$374+$AC$367-AD367+$AC$368-AD368</f>
        <v>284022.13653434324</v>
      </c>
      <c r="AE374" s="156">
        <f t="shared" ref="AE374:AW374" ca="1" si="176">$AC$374+$AC$367-AE367+$AC$368-AE368</f>
        <v>284237.62737857486</v>
      </c>
      <c r="AF374" s="156">
        <f t="shared" ca="1" si="176"/>
        <v>284453.11822280654</v>
      </c>
      <c r="AG374" s="156">
        <f t="shared" ca="1" si="176"/>
        <v>311404.23767694144</v>
      </c>
      <c r="AH374" s="156">
        <f t="shared" ca="1" si="176"/>
        <v>338355.35713107634</v>
      </c>
      <c r="AI374" s="156">
        <f t="shared" ca="1" si="176"/>
        <v>352425.76329770876</v>
      </c>
      <c r="AJ374" s="156">
        <f t="shared" ca="1" si="176"/>
        <v>381138.54336132447</v>
      </c>
      <c r="AK374" s="156">
        <f t="shared" ca="1" si="176"/>
        <v>396583.72628583747</v>
      </c>
      <c r="AL374" s="156">
        <f t="shared" ca="1" si="176"/>
        <v>397386.5353133672</v>
      </c>
      <c r="AM374" s="156">
        <f t="shared" ca="1" si="176"/>
        <v>397386.5353133672</v>
      </c>
      <c r="AN374" s="156">
        <f t="shared" ca="1" si="176"/>
        <v>397386.5353133672</v>
      </c>
      <c r="AO374" s="156">
        <f t="shared" ca="1" si="176"/>
        <v>397386.5353133672</v>
      </c>
      <c r="AP374" s="156">
        <f t="shared" ca="1" si="176"/>
        <v>397386.5353133672</v>
      </c>
      <c r="AQ374" s="156">
        <f t="shared" ca="1" si="176"/>
        <v>397386.5353133672</v>
      </c>
      <c r="AR374" s="156">
        <f t="shared" ca="1" si="176"/>
        <v>412040.34856495756</v>
      </c>
      <c r="AS374" s="156">
        <f t="shared" ca="1" si="176"/>
        <v>426694.16181654786</v>
      </c>
      <c r="AT374" s="156">
        <f t="shared" ca="1" si="176"/>
        <v>426694.16181654786</v>
      </c>
      <c r="AU374" s="156">
        <f t="shared" ca="1" si="176"/>
        <v>426694.16181654786</v>
      </c>
      <c r="AV374" s="156">
        <f t="shared" ca="1" si="176"/>
        <v>426694.16181654786</v>
      </c>
      <c r="AW374" s="156">
        <f t="shared" ca="1" si="176"/>
        <v>426694.16181654786</v>
      </c>
    </row>
    <row r="375" spans="3:49">
      <c r="C375" t="str">
        <f t="shared" si="171"/>
        <v xml:space="preserve">Wind 30% </v>
      </c>
      <c r="D375" s="157">
        <f>SUMIF($C$276:$C$295,'Tech Parameters'!H228,D$276:D$295)+SUMIF($C$321:$C$340,'Tech Parameters'!H178,D$321:D$340)</f>
        <v>0</v>
      </c>
      <c r="E375" s="157">
        <f>SUMIF($C$276:$C$295,'Tech Parameters'!I228,E$276:E$295)+SUMIF($C$321:$C$340,'Tech Parameters'!I178,E$321:E$340)</f>
        <v>0</v>
      </c>
      <c r="F375" s="157">
        <f>SUMIF($C$276:$C$295,'Tech Parameters'!J228,F$276:F$295)+SUMIF($C$321:$C$340,'Tech Parameters'!J178,F$321:F$340)</f>
        <v>0</v>
      </c>
      <c r="G375" s="157">
        <f>SUMIF($C$276:$C$295,'Tech Parameters'!K228,G$276:G$295)+SUMIF($C$321:$C$340,'Tech Parameters'!K178,G$321:G$340)</f>
        <v>0</v>
      </c>
      <c r="H375" s="157">
        <f>SUMIF($C$276:$C$295,'Tech Parameters'!L228,H$276:H$295)+SUMIF($C$321:$C$340,'Tech Parameters'!L178,H$321:H$340)</f>
        <v>0</v>
      </c>
      <c r="I375" s="157">
        <f ca="1">SUMIF($C$276:$C$295,'Tech Parameters'!M228,I$276:I$295)+SUMIF($C$321:$C$340,'Tech Parameters'!M178,I$321:I$340)</f>
        <v>262.8</v>
      </c>
      <c r="J375" s="9">
        <f ca="1">SUMIF($C$276:$C$295,'Tech Parameters'!N228,J$276:J$295)+SUMIF($C$321:$C$340,'Tech Parameters'!N178,J$321:J$340)</f>
        <v>262.8</v>
      </c>
      <c r="K375" s="9">
        <f ca="1">SUMIF($C$276:$C$295,'Tech Parameters'!O228,K$276:K$295)+SUMIF($C$321:$C$340,'Tech Parameters'!O178,K$321:K$340)</f>
        <v>262.8</v>
      </c>
      <c r="L375" s="9">
        <f ca="1">SUMIF($C$276:$C$295,'Tech Parameters'!P228,L$276:L$295)+SUMIF($C$321:$C$340,'Tech Parameters'!P178,L$321:L$340)</f>
        <v>262.8</v>
      </c>
      <c r="M375" s="9">
        <f ca="1">SUMIF($C$276:$C$295,'Tech Parameters'!Q228,M$276:M$295)+SUMIF($C$321:$C$340,'Tech Parameters'!Q178,M$321:M$340)</f>
        <v>262.8</v>
      </c>
      <c r="N375" s="9">
        <f ca="1">SUMIF($C$276:$C$295,'Tech Parameters'!R228,N$276:N$295)+SUMIF($C$321:$C$340,'Tech Parameters'!R178,N$321:N$340)</f>
        <v>262.8</v>
      </c>
      <c r="O375" s="9">
        <f ca="1">SUMIF($C$276:$C$295,'Tech Parameters'!S228,O$276:O$295)+SUMIF($C$321:$C$340,'Tech Parameters'!S178,O$321:O$340)</f>
        <v>262.8</v>
      </c>
      <c r="P375" s="9">
        <f ca="1">SUMIF($C$276:$C$295,'Tech Parameters'!T228,P$276:P$295)+SUMIF($C$321:$C$340,'Tech Parameters'!T178,P$321:P$340)</f>
        <v>262.8</v>
      </c>
      <c r="Q375" s="9">
        <f ca="1">SUMIF($C$276:$C$295,'Tech Parameters'!U228,Q$276:Q$295)+SUMIF($C$321:$C$340,'Tech Parameters'!U178,Q$321:Q$340)</f>
        <v>262.8</v>
      </c>
      <c r="R375" s="9">
        <f ca="1">SUMIF($C$276:$C$295,'Tech Parameters'!V228,R$276:R$295)+SUMIF($C$321:$C$340,'Tech Parameters'!V178,R$321:R$340)</f>
        <v>262.8</v>
      </c>
      <c r="S375" s="9">
        <f ca="1">SUMIF($C$276:$C$295,'Tech Parameters'!W228,S$276:S$295)+SUMIF($C$321:$C$340,'Tech Parameters'!W178,S$321:S$340)</f>
        <v>262.8</v>
      </c>
      <c r="T375" s="9">
        <f ca="1">SUMIF($C$276:$C$295,'Tech Parameters'!X228,T$276:T$295)+SUMIF($C$321:$C$340,'Tech Parameters'!X178,T$321:T$340)</f>
        <v>262.8</v>
      </c>
      <c r="U375" s="9">
        <f ca="1">SUMIF($C$276:$C$295,'Tech Parameters'!Y228,U$276:U$295)+SUMIF($C$321:$C$340,'Tech Parameters'!Y178,U$321:U$340)</f>
        <v>262.8</v>
      </c>
      <c r="V375" s="9">
        <f ca="1">SUMIF($C$276:$C$295,'Tech Parameters'!Z228,V$276:V$295)+SUMIF($C$321:$C$340,'Tech Parameters'!Z178,V$321:V$340)</f>
        <v>262.8</v>
      </c>
      <c r="W375" s="9">
        <f ca="1">SUMIF($C$276:$C$295,'Tech Parameters'!AA228,W$276:W$295)+SUMIF($C$321:$C$340,'Tech Parameters'!AA178,W$321:W$340)</f>
        <v>262.8</v>
      </c>
      <c r="X375" s="9">
        <f ca="1">SUMIF($C$276:$C$295,'Tech Parameters'!AB228,X$276:X$295)+SUMIF($C$321:$C$340,'Tech Parameters'!AB178,X$321:X$340)</f>
        <v>262.8</v>
      </c>
      <c r="Y375" s="9">
        <f ca="1">SUMIF($C$276:$C$295,'Tech Parameters'!AC228,Y$276:Y$295)+SUMIF($C$321:$C$340,'Tech Parameters'!AC178,Y$321:Y$340)</f>
        <v>262.8</v>
      </c>
      <c r="Z375" s="9">
        <f ca="1">SUMIF($C$276:$C$295,'Tech Parameters'!AD228,Z$276:Z$295)+SUMIF($C$321:$C$340,'Tech Parameters'!AD178,Z$321:Z$340)</f>
        <v>262.8</v>
      </c>
      <c r="AA375" s="9">
        <f ca="1">SUMIF($C$276:$C$295,'Tech Parameters'!AE228,AA$276:AA$295)+SUMIF($C$321:$C$340,'Tech Parameters'!AE178,AA$321:AA$340)</f>
        <v>262.8</v>
      </c>
      <c r="AB375" s="9">
        <f ca="1">SUMIF($C$276:$C$295,'Tech Parameters'!AF228,AB$276:AB$295)+SUMIF($C$321:$C$340,'Tech Parameters'!AF178,AB$321:AB$340)</f>
        <v>262.8</v>
      </c>
      <c r="AC375" s="9">
        <f ca="1">SUMIF($C$276:$C$295,'Tech Parameters'!AG228,AC$276:AC$295)+SUMIF($C$321:$C$340,'Tech Parameters'!AG178,AC$321:AC$340)</f>
        <v>0</v>
      </c>
      <c r="AD375" s="156">
        <f t="shared" ref="AD375:AD386" ca="1" si="177">AC375</f>
        <v>0</v>
      </c>
      <c r="AE375" s="156">
        <f t="shared" ca="1" si="174"/>
        <v>0</v>
      </c>
      <c r="AF375" s="156">
        <f t="shared" ca="1" si="174"/>
        <v>0</v>
      </c>
      <c r="AG375" s="156">
        <f t="shared" ca="1" si="174"/>
        <v>0</v>
      </c>
      <c r="AH375" s="156">
        <f t="shared" ca="1" si="174"/>
        <v>0</v>
      </c>
      <c r="AI375" s="156">
        <f t="shared" ca="1" si="174"/>
        <v>0</v>
      </c>
      <c r="AJ375" s="156">
        <f t="shared" ca="1" si="174"/>
        <v>0</v>
      </c>
      <c r="AK375" s="156">
        <f t="shared" ca="1" si="174"/>
        <v>0</v>
      </c>
      <c r="AL375" s="156">
        <f t="shared" ca="1" si="174"/>
        <v>0</v>
      </c>
      <c r="AM375" s="156">
        <f t="shared" ca="1" si="174"/>
        <v>0</v>
      </c>
      <c r="AN375" s="156">
        <f t="shared" ca="1" si="174"/>
        <v>0</v>
      </c>
      <c r="AO375" s="156">
        <f t="shared" ca="1" si="174"/>
        <v>0</v>
      </c>
      <c r="AP375" s="156">
        <f t="shared" ca="1" si="174"/>
        <v>0</v>
      </c>
      <c r="AQ375" s="156">
        <f t="shared" ca="1" si="174"/>
        <v>0</v>
      </c>
      <c r="AR375" s="156">
        <f t="shared" ca="1" si="174"/>
        <v>0</v>
      </c>
      <c r="AS375" s="156">
        <f t="shared" ca="1" si="174"/>
        <v>0</v>
      </c>
      <c r="AT375" s="156">
        <f t="shared" ca="1" si="174"/>
        <v>0</v>
      </c>
      <c r="AU375" s="156">
        <f t="shared" ca="1" si="174"/>
        <v>0</v>
      </c>
      <c r="AV375" s="156">
        <f t="shared" ca="1" si="174"/>
        <v>0</v>
      </c>
      <c r="AW375" s="156">
        <f t="shared" ca="1" si="174"/>
        <v>0</v>
      </c>
    </row>
    <row r="376" spans="3:49">
      <c r="C376" t="str">
        <f t="shared" si="171"/>
        <v>Wind 25%</v>
      </c>
      <c r="D376" s="157">
        <f>SUMIF($C$276:$C$295,'Tech Parameters'!H229,D$276:D$295)+SUMIF($C$321:$C$340,'Tech Parameters'!H179,D$321:D$340)</f>
        <v>0</v>
      </c>
      <c r="E376" s="157">
        <f>SUMIF($C$276:$C$295,'Tech Parameters'!I229,E$276:E$295)+SUMIF($C$321:$C$340,'Tech Parameters'!I179,E$321:E$340)</f>
        <v>0</v>
      </c>
      <c r="F376" s="157">
        <f>SUMIF($C$276:$C$295,'Tech Parameters'!J229,F$276:F$295)+SUMIF($C$321:$C$340,'Tech Parameters'!J179,F$321:F$340)</f>
        <v>0</v>
      </c>
      <c r="G376" s="157">
        <f>SUMIF($C$276:$C$295,'Tech Parameters'!K229,G$276:G$295)+SUMIF($C$321:$C$340,'Tech Parameters'!K179,G$321:G$340)</f>
        <v>0</v>
      </c>
      <c r="H376" s="157">
        <f>SUMIF($C$276:$C$295,'Tech Parameters'!L229,H$276:H$295)+SUMIF($C$321:$C$340,'Tech Parameters'!L179,H$321:H$340)</f>
        <v>0</v>
      </c>
      <c r="I376" s="157">
        <f ca="1">SUMIF($C$276:$C$295,'Tech Parameters'!M229,I$276:I$295)+SUMIF($C$321:$C$340,'Tech Parameters'!M179,I$321:I$340)</f>
        <v>0</v>
      </c>
      <c r="J376" s="9">
        <f ca="1">SUMIF($C$276:$C$295,'Tech Parameters'!N229,J$276:J$295)+SUMIF($C$321:$C$340,'Tech Parameters'!N179,J$321:J$340)</f>
        <v>0</v>
      </c>
      <c r="K376" s="9">
        <f ca="1">SUMIF($C$276:$C$295,'Tech Parameters'!O229,K$276:K$295)+SUMIF($C$321:$C$340,'Tech Parameters'!O179,K$321:K$340)</f>
        <v>0</v>
      </c>
      <c r="L376" s="9">
        <f ca="1">SUMIF($C$276:$C$295,'Tech Parameters'!P229,L$276:L$295)+SUMIF($C$321:$C$340,'Tech Parameters'!P179,L$321:L$340)</f>
        <v>0</v>
      </c>
      <c r="M376" s="9">
        <f ca="1">SUMIF($C$276:$C$295,'Tech Parameters'!Q229,M$276:M$295)+SUMIF($C$321:$C$340,'Tech Parameters'!Q179,M$321:M$340)</f>
        <v>0</v>
      </c>
      <c r="N376" s="9">
        <f ca="1">SUMIF($C$276:$C$295,'Tech Parameters'!R229,N$276:N$295)+SUMIF($C$321:$C$340,'Tech Parameters'!R179,N$321:N$340)</f>
        <v>0</v>
      </c>
      <c r="O376" s="9">
        <f ca="1">SUMIF($C$276:$C$295,'Tech Parameters'!S229,O$276:O$295)+SUMIF($C$321:$C$340,'Tech Parameters'!S179,O$321:O$340)</f>
        <v>0</v>
      </c>
      <c r="P376" s="9">
        <f ca="1">SUMIF($C$276:$C$295,'Tech Parameters'!T229,P$276:P$295)+SUMIF($C$321:$C$340,'Tech Parameters'!T179,P$321:P$340)</f>
        <v>0</v>
      </c>
      <c r="Q376" s="9">
        <f ca="1">SUMIF($C$276:$C$295,'Tech Parameters'!U229,Q$276:Q$295)+SUMIF($C$321:$C$340,'Tech Parameters'!U179,Q$321:Q$340)</f>
        <v>0</v>
      </c>
      <c r="R376" s="9">
        <f ca="1">SUMIF($C$276:$C$295,'Tech Parameters'!V229,R$276:R$295)+SUMIF($C$321:$C$340,'Tech Parameters'!V179,R$321:R$340)</f>
        <v>0</v>
      </c>
      <c r="S376" s="9">
        <f ca="1">SUMIF($C$276:$C$295,'Tech Parameters'!W229,S$276:S$295)+SUMIF($C$321:$C$340,'Tech Parameters'!W179,S$321:S$340)</f>
        <v>0</v>
      </c>
      <c r="T376" s="9">
        <f ca="1">SUMIF($C$276:$C$295,'Tech Parameters'!X229,T$276:T$295)+SUMIF($C$321:$C$340,'Tech Parameters'!X179,T$321:T$340)</f>
        <v>0</v>
      </c>
      <c r="U376" s="9">
        <f ca="1">SUMIF($C$276:$C$295,'Tech Parameters'!Y229,U$276:U$295)+SUMIF($C$321:$C$340,'Tech Parameters'!Y179,U$321:U$340)</f>
        <v>0</v>
      </c>
      <c r="V376" s="9">
        <f ca="1">SUMIF($C$276:$C$295,'Tech Parameters'!Z229,V$276:V$295)+SUMIF($C$321:$C$340,'Tech Parameters'!Z179,V$321:V$340)</f>
        <v>0</v>
      </c>
      <c r="W376" s="9">
        <f ca="1">SUMIF($C$276:$C$295,'Tech Parameters'!AA229,W$276:W$295)+SUMIF($C$321:$C$340,'Tech Parameters'!AA179,W$321:W$340)</f>
        <v>0</v>
      </c>
      <c r="X376" s="9">
        <f ca="1">SUMIF($C$276:$C$295,'Tech Parameters'!AB229,X$276:X$295)+SUMIF($C$321:$C$340,'Tech Parameters'!AB179,X$321:X$340)</f>
        <v>0</v>
      </c>
      <c r="Y376" s="9">
        <f ca="1">SUMIF($C$276:$C$295,'Tech Parameters'!AC229,Y$276:Y$295)+SUMIF($C$321:$C$340,'Tech Parameters'!AC179,Y$321:Y$340)</f>
        <v>0</v>
      </c>
      <c r="Z376" s="9">
        <f ca="1">SUMIF($C$276:$C$295,'Tech Parameters'!AD229,Z$276:Z$295)+SUMIF($C$321:$C$340,'Tech Parameters'!AD179,Z$321:Z$340)</f>
        <v>0</v>
      </c>
      <c r="AA376" s="9">
        <f ca="1">SUMIF($C$276:$C$295,'Tech Parameters'!AE229,AA$276:AA$295)+SUMIF($C$321:$C$340,'Tech Parameters'!AE179,AA$321:AA$340)</f>
        <v>0</v>
      </c>
      <c r="AB376" s="9">
        <f ca="1">SUMIF($C$276:$C$295,'Tech Parameters'!AF229,AB$276:AB$295)+SUMIF($C$321:$C$340,'Tech Parameters'!AF179,AB$321:AB$340)</f>
        <v>0</v>
      </c>
      <c r="AC376" s="9">
        <f ca="1">SUMIF($C$276:$C$295,'Tech Parameters'!AG229,AC$276:AC$295)+SUMIF($C$321:$C$340,'Tech Parameters'!AG179,AC$321:AC$340)</f>
        <v>0</v>
      </c>
      <c r="AD376" s="156">
        <f t="shared" ca="1" si="177"/>
        <v>0</v>
      </c>
      <c r="AE376" s="156">
        <f t="shared" ca="1" si="174"/>
        <v>0</v>
      </c>
      <c r="AF376" s="156">
        <f t="shared" ca="1" si="174"/>
        <v>0</v>
      </c>
      <c r="AG376" s="156">
        <f t="shared" ca="1" si="174"/>
        <v>0</v>
      </c>
      <c r="AH376" s="156">
        <f t="shared" ca="1" si="174"/>
        <v>0</v>
      </c>
      <c r="AI376" s="156">
        <f t="shared" ca="1" si="174"/>
        <v>0</v>
      </c>
      <c r="AJ376" s="156">
        <f t="shared" ca="1" si="174"/>
        <v>0</v>
      </c>
      <c r="AK376" s="156">
        <f t="shared" ca="1" si="174"/>
        <v>0</v>
      </c>
      <c r="AL376" s="156">
        <f t="shared" ca="1" si="174"/>
        <v>0</v>
      </c>
      <c r="AM376" s="156">
        <f t="shared" ca="1" si="174"/>
        <v>0</v>
      </c>
      <c r="AN376" s="156">
        <f t="shared" ca="1" si="174"/>
        <v>0</v>
      </c>
      <c r="AO376" s="156">
        <f t="shared" ca="1" si="174"/>
        <v>0</v>
      </c>
      <c r="AP376" s="156">
        <f t="shared" ca="1" si="174"/>
        <v>0</v>
      </c>
      <c r="AQ376" s="156">
        <f t="shared" ca="1" si="174"/>
        <v>0</v>
      </c>
      <c r="AR376" s="156">
        <f t="shared" ca="1" si="174"/>
        <v>0</v>
      </c>
      <c r="AS376" s="156">
        <f t="shared" ca="1" si="174"/>
        <v>0</v>
      </c>
      <c r="AT376" s="156">
        <f t="shared" ca="1" si="174"/>
        <v>0</v>
      </c>
      <c r="AU376" s="156">
        <f t="shared" ca="1" si="174"/>
        <v>0</v>
      </c>
      <c r="AV376" s="156">
        <f t="shared" ca="1" si="174"/>
        <v>0</v>
      </c>
      <c r="AW376" s="156">
        <f t="shared" ca="1" si="174"/>
        <v>0</v>
      </c>
    </row>
    <row r="377" spans="3:49">
      <c r="C377" t="str">
        <f t="shared" si="171"/>
        <v>solar thermal central reciever</v>
      </c>
      <c r="D377" s="157">
        <f>SUMIF($C$276:$C$295,'Tech Parameters'!H230,D$276:D$295)+SUMIF($C$321:$C$340,'Tech Parameters'!H180,D$321:D$340)</f>
        <v>0</v>
      </c>
      <c r="E377" s="157">
        <f>SUMIF($C$276:$C$295,'Tech Parameters'!I230,E$276:E$295)+SUMIF($C$321:$C$340,'Tech Parameters'!I180,E$321:E$340)</f>
        <v>0</v>
      </c>
      <c r="F377" s="157">
        <f>SUMIF($C$276:$C$295,'Tech Parameters'!J230,F$276:F$295)+SUMIF($C$321:$C$340,'Tech Parameters'!J180,F$321:F$340)</f>
        <v>0</v>
      </c>
      <c r="G377" s="157">
        <f>SUMIF($C$276:$C$295,'Tech Parameters'!K230,G$276:G$295)+SUMIF($C$321:$C$340,'Tech Parameters'!K180,G$321:G$340)</f>
        <v>0</v>
      </c>
      <c r="H377" s="157">
        <f>SUMIF($C$276:$C$295,'Tech Parameters'!L230,H$276:H$295)+SUMIF($C$321:$C$340,'Tech Parameters'!L180,H$321:H$340)</f>
        <v>0</v>
      </c>
      <c r="I377" s="157">
        <f ca="1">SUMIF($C$276:$C$295,'Tech Parameters'!M230,I$276:I$295)+SUMIF($C$321:$C$340,'Tech Parameters'!M180,I$321:I$340)</f>
        <v>0</v>
      </c>
      <c r="J377" s="9">
        <f ca="1">SUMIF($C$276:$C$295,'Tech Parameters'!N230,J$276:J$295)+SUMIF($C$321:$C$340,'Tech Parameters'!N180,J$321:J$340)</f>
        <v>0</v>
      </c>
      <c r="K377" s="9">
        <f ca="1">SUMIF($C$276:$C$295,'Tech Parameters'!O230,K$276:K$295)+SUMIF($C$321:$C$340,'Tech Parameters'!O180,K$321:K$340)</f>
        <v>0</v>
      </c>
      <c r="L377" s="9">
        <f ca="1">SUMIF($C$276:$C$295,'Tech Parameters'!P230,L$276:L$295)+SUMIF($C$321:$C$340,'Tech Parameters'!P180,L$321:L$340)</f>
        <v>0</v>
      </c>
      <c r="M377" s="9">
        <f ca="1">SUMIF($C$276:$C$295,'Tech Parameters'!Q230,M$276:M$295)+SUMIF($C$321:$C$340,'Tech Parameters'!Q180,M$321:M$340)</f>
        <v>0</v>
      </c>
      <c r="N377" s="9">
        <f ca="1">SUMIF($C$276:$C$295,'Tech Parameters'!R230,N$276:N$295)+SUMIF($C$321:$C$340,'Tech Parameters'!R180,N$321:N$340)</f>
        <v>0</v>
      </c>
      <c r="O377" s="9">
        <f ca="1">SUMIF($C$276:$C$295,'Tech Parameters'!S230,O$276:O$295)+SUMIF($C$321:$C$340,'Tech Parameters'!S180,O$321:O$340)</f>
        <v>0</v>
      </c>
      <c r="P377" s="9">
        <f ca="1">SUMIF($C$276:$C$295,'Tech Parameters'!T230,P$276:P$295)+SUMIF($C$321:$C$340,'Tech Parameters'!T180,P$321:P$340)</f>
        <v>0</v>
      </c>
      <c r="Q377" s="9">
        <f ca="1">SUMIF($C$276:$C$295,'Tech Parameters'!U230,Q$276:Q$295)+SUMIF($C$321:$C$340,'Tech Parameters'!U180,Q$321:Q$340)</f>
        <v>0</v>
      </c>
      <c r="R377" s="9">
        <f ca="1">SUMIF($C$276:$C$295,'Tech Parameters'!V230,R$276:R$295)+SUMIF($C$321:$C$340,'Tech Parameters'!V180,R$321:R$340)</f>
        <v>0</v>
      </c>
      <c r="S377" s="9">
        <f ca="1">SUMIF($C$276:$C$295,'Tech Parameters'!W230,S$276:S$295)+SUMIF($C$321:$C$340,'Tech Parameters'!W180,S$321:S$340)</f>
        <v>0</v>
      </c>
      <c r="T377" s="9">
        <f ca="1">SUMIF($C$276:$C$295,'Tech Parameters'!X230,T$276:T$295)+SUMIF($C$321:$C$340,'Tech Parameters'!X180,T$321:T$340)</f>
        <v>0</v>
      </c>
      <c r="U377" s="9">
        <f ca="1">SUMIF($C$276:$C$295,'Tech Parameters'!Y230,U$276:U$295)+SUMIF($C$321:$C$340,'Tech Parameters'!Y180,U$321:U$340)</f>
        <v>0</v>
      </c>
      <c r="V377" s="9">
        <f ca="1">SUMIF($C$276:$C$295,'Tech Parameters'!Z230,V$276:V$295)+SUMIF($C$321:$C$340,'Tech Parameters'!Z180,V$321:V$340)</f>
        <v>0</v>
      </c>
      <c r="W377" s="9">
        <f ca="1">SUMIF($C$276:$C$295,'Tech Parameters'!AA230,W$276:W$295)+SUMIF($C$321:$C$340,'Tech Parameters'!AA180,W$321:W$340)</f>
        <v>0</v>
      </c>
      <c r="X377" s="9">
        <f ca="1">SUMIF($C$276:$C$295,'Tech Parameters'!AB230,X$276:X$295)+SUMIF($C$321:$C$340,'Tech Parameters'!AB180,X$321:X$340)</f>
        <v>0</v>
      </c>
      <c r="Y377" s="9">
        <f ca="1">SUMIF($C$276:$C$295,'Tech Parameters'!AC230,Y$276:Y$295)+SUMIF($C$321:$C$340,'Tech Parameters'!AC180,Y$321:Y$340)</f>
        <v>0</v>
      </c>
      <c r="Z377" s="9">
        <f ca="1">SUMIF($C$276:$C$295,'Tech Parameters'!AD230,Z$276:Z$295)+SUMIF($C$321:$C$340,'Tech Parameters'!AD180,Z$321:Z$340)</f>
        <v>0</v>
      </c>
      <c r="AA377" s="9">
        <f ca="1">SUMIF($C$276:$C$295,'Tech Parameters'!AE230,AA$276:AA$295)+SUMIF($C$321:$C$340,'Tech Parameters'!AE180,AA$321:AA$340)</f>
        <v>0</v>
      </c>
      <c r="AB377" s="9">
        <f ca="1">SUMIF($C$276:$C$295,'Tech Parameters'!AF230,AB$276:AB$295)+SUMIF($C$321:$C$340,'Tech Parameters'!AF180,AB$321:AB$340)</f>
        <v>0</v>
      </c>
      <c r="AC377" s="9">
        <f ca="1">SUMIF($C$276:$C$295,'Tech Parameters'!AG230,AC$276:AC$295)+SUMIF($C$321:$C$340,'Tech Parameters'!AG180,AC$321:AC$340)</f>
        <v>0</v>
      </c>
      <c r="AD377" s="156">
        <f t="shared" ca="1" si="177"/>
        <v>0</v>
      </c>
      <c r="AE377" s="156">
        <f t="shared" ca="1" si="174"/>
        <v>0</v>
      </c>
      <c r="AF377" s="156">
        <f t="shared" ca="1" si="174"/>
        <v>0</v>
      </c>
      <c r="AG377" s="156">
        <f t="shared" ca="1" si="174"/>
        <v>0</v>
      </c>
      <c r="AH377" s="156">
        <f t="shared" ca="1" si="174"/>
        <v>0</v>
      </c>
      <c r="AI377" s="156">
        <f t="shared" ca="1" si="174"/>
        <v>0</v>
      </c>
      <c r="AJ377" s="156">
        <f t="shared" ca="1" si="174"/>
        <v>0</v>
      </c>
      <c r="AK377" s="156">
        <f t="shared" ca="1" si="174"/>
        <v>0</v>
      </c>
      <c r="AL377" s="156">
        <f t="shared" ca="1" si="174"/>
        <v>0</v>
      </c>
      <c r="AM377" s="156">
        <f t="shared" ca="1" si="174"/>
        <v>0</v>
      </c>
      <c r="AN377" s="156">
        <f t="shared" ca="1" si="174"/>
        <v>0</v>
      </c>
      <c r="AO377" s="156">
        <f t="shared" ca="1" si="174"/>
        <v>0</v>
      </c>
      <c r="AP377" s="156">
        <f t="shared" ca="1" si="174"/>
        <v>0</v>
      </c>
      <c r="AQ377" s="156">
        <f t="shared" ca="1" si="174"/>
        <v>0</v>
      </c>
      <c r="AR377" s="156">
        <f t="shared" ca="1" si="174"/>
        <v>0</v>
      </c>
      <c r="AS377" s="156">
        <f t="shared" ca="1" si="174"/>
        <v>0</v>
      </c>
      <c r="AT377" s="156">
        <f t="shared" ca="1" si="174"/>
        <v>0</v>
      </c>
      <c r="AU377" s="156">
        <f t="shared" ca="1" si="174"/>
        <v>0</v>
      </c>
      <c r="AV377" s="156">
        <f t="shared" ca="1" si="174"/>
        <v>0</v>
      </c>
      <c r="AW377" s="156">
        <f t="shared" ca="1" si="174"/>
        <v>0</v>
      </c>
    </row>
    <row r="378" spans="3:49">
      <c r="C378" t="str">
        <f t="shared" si="171"/>
        <v>solar thermal trough</v>
      </c>
      <c r="D378" s="157">
        <f>SUMIF($C$276:$C$295,'Tech Parameters'!H231,D$276:D$295)+SUMIF($C$321:$C$340,'Tech Parameters'!H181,D$321:D$340)</f>
        <v>0</v>
      </c>
      <c r="E378" s="157">
        <f>SUMIF($C$276:$C$295,'Tech Parameters'!I231,E$276:E$295)+SUMIF($C$321:$C$340,'Tech Parameters'!I181,E$321:E$340)</f>
        <v>0</v>
      </c>
      <c r="F378" s="157">
        <f>SUMIF($C$276:$C$295,'Tech Parameters'!J231,F$276:F$295)+SUMIF($C$321:$C$340,'Tech Parameters'!J181,F$321:F$340)</f>
        <v>0</v>
      </c>
      <c r="G378" s="157">
        <f>SUMIF($C$276:$C$295,'Tech Parameters'!K231,G$276:G$295)+SUMIF($C$321:$C$340,'Tech Parameters'!K181,G$321:G$340)</f>
        <v>0</v>
      </c>
      <c r="H378" s="157">
        <f>SUMIF($C$276:$C$295,'Tech Parameters'!L231,H$276:H$295)+SUMIF($C$321:$C$340,'Tech Parameters'!L181,H$321:H$340)</f>
        <v>0</v>
      </c>
      <c r="I378" s="157">
        <f ca="1">SUMIF($C$276:$C$295,'Tech Parameters'!M231,I$276:I$295)+SUMIF($C$321:$C$340,'Tech Parameters'!M181,I$321:I$340)</f>
        <v>0</v>
      </c>
      <c r="J378" s="9">
        <f ca="1">SUMIF($C$276:$C$295,'Tech Parameters'!N231,J$276:J$295)+SUMIF($C$321:$C$340,'Tech Parameters'!N181,J$321:J$340)</f>
        <v>0</v>
      </c>
      <c r="K378" s="9">
        <f ca="1">SUMIF($C$276:$C$295,'Tech Parameters'!O231,K$276:K$295)+SUMIF($C$321:$C$340,'Tech Parameters'!O181,K$321:K$340)</f>
        <v>0</v>
      </c>
      <c r="L378" s="9">
        <f ca="1">SUMIF($C$276:$C$295,'Tech Parameters'!P231,L$276:L$295)+SUMIF($C$321:$C$340,'Tech Parameters'!P181,L$321:L$340)</f>
        <v>0</v>
      </c>
      <c r="M378" s="9">
        <f ca="1">SUMIF($C$276:$C$295,'Tech Parameters'!Q231,M$276:M$295)+SUMIF($C$321:$C$340,'Tech Parameters'!Q181,M$321:M$340)</f>
        <v>0</v>
      </c>
      <c r="N378" s="9">
        <f ca="1">SUMIF($C$276:$C$295,'Tech Parameters'!R231,N$276:N$295)+SUMIF($C$321:$C$340,'Tech Parameters'!R181,N$321:N$340)</f>
        <v>0</v>
      </c>
      <c r="O378" s="9">
        <f ca="1">SUMIF($C$276:$C$295,'Tech Parameters'!S231,O$276:O$295)+SUMIF($C$321:$C$340,'Tech Parameters'!S181,O$321:O$340)</f>
        <v>0</v>
      </c>
      <c r="P378" s="9">
        <f ca="1">SUMIF($C$276:$C$295,'Tech Parameters'!T231,P$276:P$295)+SUMIF($C$321:$C$340,'Tech Parameters'!T181,P$321:P$340)</f>
        <v>0</v>
      </c>
      <c r="Q378" s="9">
        <f ca="1">SUMIF($C$276:$C$295,'Tech Parameters'!U231,Q$276:Q$295)+SUMIF($C$321:$C$340,'Tech Parameters'!U181,Q$321:Q$340)</f>
        <v>0</v>
      </c>
      <c r="R378" s="9">
        <f ca="1">SUMIF($C$276:$C$295,'Tech Parameters'!V231,R$276:R$295)+SUMIF($C$321:$C$340,'Tech Parameters'!V181,R$321:R$340)</f>
        <v>0</v>
      </c>
      <c r="S378" s="9">
        <f ca="1">SUMIF($C$276:$C$295,'Tech Parameters'!W231,S$276:S$295)+SUMIF($C$321:$C$340,'Tech Parameters'!W181,S$321:S$340)</f>
        <v>0</v>
      </c>
      <c r="T378" s="9">
        <f ca="1">SUMIF($C$276:$C$295,'Tech Parameters'!X231,T$276:T$295)+SUMIF($C$321:$C$340,'Tech Parameters'!X181,T$321:T$340)</f>
        <v>0</v>
      </c>
      <c r="U378" s="9">
        <f ca="1">SUMIF($C$276:$C$295,'Tech Parameters'!Y231,U$276:U$295)+SUMIF($C$321:$C$340,'Tech Parameters'!Y181,U$321:U$340)</f>
        <v>0</v>
      </c>
      <c r="V378" s="9">
        <f ca="1">SUMIF($C$276:$C$295,'Tech Parameters'!Z231,V$276:V$295)+SUMIF($C$321:$C$340,'Tech Parameters'!Z181,V$321:V$340)</f>
        <v>0</v>
      </c>
      <c r="W378" s="9">
        <f ca="1">SUMIF($C$276:$C$295,'Tech Parameters'!AA231,W$276:W$295)+SUMIF($C$321:$C$340,'Tech Parameters'!AA181,W$321:W$340)</f>
        <v>0</v>
      </c>
      <c r="X378" s="9">
        <f ca="1">SUMIF($C$276:$C$295,'Tech Parameters'!AB231,X$276:X$295)+SUMIF($C$321:$C$340,'Tech Parameters'!AB181,X$321:X$340)</f>
        <v>0</v>
      </c>
      <c r="Y378" s="9">
        <f ca="1">SUMIF($C$276:$C$295,'Tech Parameters'!AC231,Y$276:Y$295)+SUMIF($C$321:$C$340,'Tech Parameters'!AC181,Y$321:Y$340)</f>
        <v>0</v>
      </c>
      <c r="Z378" s="9">
        <f ca="1">SUMIF($C$276:$C$295,'Tech Parameters'!AD231,Z$276:Z$295)+SUMIF($C$321:$C$340,'Tech Parameters'!AD181,Z$321:Z$340)</f>
        <v>0</v>
      </c>
      <c r="AA378" s="9">
        <f ca="1">SUMIF($C$276:$C$295,'Tech Parameters'!AE231,AA$276:AA$295)+SUMIF($C$321:$C$340,'Tech Parameters'!AE181,AA$321:AA$340)</f>
        <v>0</v>
      </c>
      <c r="AB378" s="9">
        <f ca="1">SUMIF($C$276:$C$295,'Tech Parameters'!AF231,AB$276:AB$295)+SUMIF($C$321:$C$340,'Tech Parameters'!AF181,AB$321:AB$340)</f>
        <v>0</v>
      </c>
      <c r="AC378" s="9">
        <f ca="1">SUMIF($C$276:$C$295,'Tech Parameters'!AG231,AC$276:AC$295)+SUMIF($C$321:$C$340,'Tech Parameters'!AG181,AC$321:AC$340)</f>
        <v>0</v>
      </c>
      <c r="AD378" s="156">
        <f t="shared" ca="1" si="177"/>
        <v>0</v>
      </c>
      <c r="AE378" s="156">
        <f t="shared" ca="1" si="174"/>
        <v>0</v>
      </c>
      <c r="AF378" s="156">
        <f t="shared" ca="1" si="174"/>
        <v>0</v>
      </c>
      <c r="AG378" s="156">
        <f t="shared" ca="1" si="174"/>
        <v>0</v>
      </c>
      <c r="AH378" s="156">
        <f t="shared" ca="1" si="174"/>
        <v>0</v>
      </c>
      <c r="AI378" s="156">
        <f t="shared" ca="1" si="174"/>
        <v>0</v>
      </c>
      <c r="AJ378" s="156">
        <f t="shared" ca="1" si="174"/>
        <v>0</v>
      </c>
      <c r="AK378" s="156">
        <f t="shared" ca="1" si="174"/>
        <v>0</v>
      </c>
      <c r="AL378" s="156">
        <f t="shared" ca="1" si="174"/>
        <v>0</v>
      </c>
      <c r="AM378" s="156">
        <f t="shared" ca="1" si="174"/>
        <v>0</v>
      </c>
      <c r="AN378" s="156">
        <f t="shared" ca="1" si="174"/>
        <v>0</v>
      </c>
      <c r="AO378" s="156">
        <f t="shared" ca="1" si="174"/>
        <v>0</v>
      </c>
      <c r="AP378" s="156">
        <f t="shared" ca="1" si="174"/>
        <v>0</v>
      </c>
      <c r="AQ378" s="156">
        <f t="shared" ca="1" si="174"/>
        <v>0</v>
      </c>
      <c r="AR378" s="156">
        <f t="shared" ca="1" si="174"/>
        <v>0</v>
      </c>
      <c r="AS378" s="156">
        <f t="shared" ca="1" si="174"/>
        <v>0</v>
      </c>
      <c r="AT378" s="156">
        <f t="shared" ca="1" si="174"/>
        <v>0</v>
      </c>
      <c r="AU378" s="156">
        <f t="shared" ca="1" si="174"/>
        <v>0</v>
      </c>
      <c r="AV378" s="156">
        <f t="shared" ca="1" si="174"/>
        <v>0</v>
      </c>
      <c r="AW378" s="156">
        <f t="shared" ca="1" si="174"/>
        <v>0</v>
      </c>
    </row>
    <row r="379" spans="3:49">
      <c r="C379" t="str">
        <f t="shared" si="171"/>
        <v>solar PV</v>
      </c>
      <c r="D379" s="157">
        <f>SUMIF($C$276:$C$295,'Tech Parameters'!H232,D$276:D$295)+SUMIF($C$321:$C$340,'Tech Parameters'!H182,D$321:D$340)</f>
        <v>0</v>
      </c>
      <c r="E379" s="157">
        <f>SUMIF($C$276:$C$295,'Tech Parameters'!I232,E$276:E$295)+SUMIF($C$321:$C$340,'Tech Parameters'!I182,E$321:E$340)</f>
        <v>0</v>
      </c>
      <c r="F379" s="157">
        <f>SUMIF($C$276:$C$295,'Tech Parameters'!J232,F$276:F$295)+SUMIF($C$321:$C$340,'Tech Parameters'!J182,F$321:F$340)</f>
        <v>0</v>
      </c>
      <c r="G379" s="157">
        <f>SUMIF($C$276:$C$295,'Tech Parameters'!K232,G$276:G$295)+SUMIF($C$321:$C$340,'Tech Parameters'!K182,G$321:G$340)</f>
        <v>0</v>
      </c>
      <c r="H379" s="157">
        <f>SUMIF($C$276:$C$295,'Tech Parameters'!L232,H$276:H$295)+SUMIF($C$321:$C$340,'Tech Parameters'!L182,H$321:H$340)</f>
        <v>0</v>
      </c>
      <c r="I379" s="157">
        <f ca="1">SUMIF($C$276:$C$295,'Tech Parameters'!M232,I$276:I$295)+SUMIF($C$321:$C$340,'Tech Parameters'!M182,I$321:I$340)</f>
        <v>0</v>
      </c>
      <c r="J379" s="9">
        <f ca="1">SUMIF($C$276:$C$295,'Tech Parameters'!N232,J$276:J$295)+SUMIF($C$321:$C$340,'Tech Parameters'!N182,J$321:J$340)</f>
        <v>0</v>
      </c>
      <c r="K379" s="9">
        <f ca="1">SUMIF($C$276:$C$295,'Tech Parameters'!O232,K$276:K$295)+SUMIF($C$321:$C$340,'Tech Parameters'!O182,K$321:K$340)</f>
        <v>0</v>
      </c>
      <c r="L379" s="9">
        <f ca="1">SUMIF($C$276:$C$295,'Tech Parameters'!P232,L$276:L$295)+SUMIF($C$321:$C$340,'Tech Parameters'!P182,L$321:L$340)</f>
        <v>0</v>
      </c>
      <c r="M379" s="9">
        <f ca="1">SUMIF($C$276:$C$295,'Tech Parameters'!Q232,M$276:M$295)+SUMIF($C$321:$C$340,'Tech Parameters'!Q182,M$321:M$340)</f>
        <v>0</v>
      </c>
      <c r="N379" s="9">
        <f ca="1">SUMIF($C$276:$C$295,'Tech Parameters'!R232,N$276:N$295)+SUMIF($C$321:$C$340,'Tech Parameters'!R182,N$321:N$340)</f>
        <v>0</v>
      </c>
      <c r="O379" s="9">
        <f ca="1">SUMIF($C$276:$C$295,'Tech Parameters'!S232,O$276:O$295)+SUMIF($C$321:$C$340,'Tech Parameters'!S182,O$321:O$340)</f>
        <v>0</v>
      </c>
      <c r="P379" s="9">
        <f ca="1">SUMIF($C$276:$C$295,'Tech Parameters'!T232,P$276:P$295)+SUMIF($C$321:$C$340,'Tech Parameters'!T182,P$321:P$340)</f>
        <v>0</v>
      </c>
      <c r="Q379" s="9">
        <f ca="1">SUMIF($C$276:$C$295,'Tech Parameters'!U232,Q$276:Q$295)+SUMIF($C$321:$C$340,'Tech Parameters'!U182,Q$321:Q$340)</f>
        <v>0</v>
      </c>
      <c r="R379" s="9">
        <f ca="1">SUMIF($C$276:$C$295,'Tech Parameters'!V232,R$276:R$295)+SUMIF($C$321:$C$340,'Tech Parameters'!V182,R$321:R$340)</f>
        <v>0</v>
      </c>
      <c r="S379" s="9">
        <f ca="1">SUMIF($C$276:$C$295,'Tech Parameters'!W232,S$276:S$295)+SUMIF($C$321:$C$340,'Tech Parameters'!W182,S$321:S$340)</f>
        <v>0</v>
      </c>
      <c r="T379" s="9">
        <f ca="1">SUMIF($C$276:$C$295,'Tech Parameters'!X232,T$276:T$295)+SUMIF($C$321:$C$340,'Tech Parameters'!X182,T$321:T$340)</f>
        <v>0</v>
      </c>
      <c r="U379" s="9">
        <f ca="1">SUMIF($C$276:$C$295,'Tech Parameters'!Y232,U$276:U$295)+SUMIF($C$321:$C$340,'Tech Parameters'!Y182,U$321:U$340)</f>
        <v>0</v>
      </c>
      <c r="V379" s="9">
        <f ca="1">SUMIF($C$276:$C$295,'Tech Parameters'!Z232,V$276:V$295)+SUMIF($C$321:$C$340,'Tech Parameters'!Z182,V$321:V$340)</f>
        <v>0</v>
      </c>
      <c r="W379" s="9">
        <f ca="1">SUMIF($C$276:$C$295,'Tech Parameters'!AA232,W$276:W$295)+SUMIF($C$321:$C$340,'Tech Parameters'!AA182,W$321:W$340)</f>
        <v>0</v>
      </c>
      <c r="X379" s="9">
        <f ca="1">SUMIF($C$276:$C$295,'Tech Parameters'!AB232,X$276:X$295)+SUMIF($C$321:$C$340,'Tech Parameters'!AB182,X$321:X$340)</f>
        <v>0</v>
      </c>
      <c r="Y379" s="9">
        <f ca="1">SUMIF($C$276:$C$295,'Tech Parameters'!AC232,Y$276:Y$295)+SUMIF($C$321:$C$340,'Tech Parameters'!AC182,Y$321:Y$340)</f>
        <v>0</v>
      </c>
      <c r="Z379" s="9">
        <f ca="1">SUMIF($C$276:$C$295,'Tech Parameters'!AD232,Z$276:Z$295)+SUMIF($C$321:$C$340,'Tech Parameters'!AD182,Z$321:Z$340)</f>
        <v>0</v>
      </c>
      <c r="AA379" s="9">
        <f ca="1">SUMIF($C$276:$C$295,'Tech Parameters'!AE232,AA$276:AA$295)+SUMIF($C$321:$C$340,'Tech Parameters'!AE182,AA$321:AA$340)</f>
        <v>0</v>
      </c>
      <c r="AB379" s="9">
        <f ca="1">SUMIF($C$276:$C$295,'Tech Parameters'!AF232,AB$276:AB$295)+SUMIF($C$321:$C$340,'Tech Parameters'!AF182,AB$321:AB$340)</f>
        <v>0</v>
      </c>
      <c r="AC379" s="9">
        <f ca="1">SUMIF($C$276:$C$295,'Tech Parameters'!AG232,AC$276:AC$295)+SUMIF($C$321:$C$340,'Tech Parameters'!AG182,AC$321:AC$340)</f>
        <v>0</v>
      </c>
      <c r="AD379" s="156">
        <f t="shared" ca="1" si="177"/>
        <v>0</v>
      </c>
      <c r="AE379" s="156">
        <f t="shared" ca="1" si="174"/>
        <v>0</v>
      </c>
      <c r="AF379" s="156">
        <f t="shared" ca="1" si="174"/>
        <v>0</v>
      </c>
      <c r="AG379" s="156">
        <f t="shared" ca="1" si="174"/>
        <v>0</v>
      </c>
      <c r="AH379" s="156">
        <f t="shared" ca="1" si="174"/>
        <v>0</v>
      </c>
      <c r="AI379" s="156">
        <f t="shared" ca="1" si="174"/>
        <v>0</v>
      </c>
      <c r="AJ379" s="156">
        <f t="shared" ca="1" si="174"/>
        <v>0</v>
      </c>
      <c r="AK379" s="156">
        <f t="shared" ca="1" si="174"/>
        <v>0</v>
      </c>
      <c r="AL379" s="156">
        <f t="shared" ca="1" si="174"/>
        <v>0</v>
      </c>
      <c r="AM379" s="156">
        <f t="shared" ca="1" si="174"/>
        <v>0</v>
      </c>
      <c r="AN379" s="156">
        <f t="shared" ca="1" si="174"/>
        <v>0</v>
      </c>
      <c r="AO379" s="156">
        <f t="shared" ca="1" si="174"/>
        <v>0</v>
      </c>
      <c r="AP379" s="156">
        <f t="shared" ca="1" si="174"/>
        <v>0</v>
      </c>
      <c r="AQ379" s="156">
        <f t="shared" ca="1" si="174"/>
        <v>0</v>
      </c>
      <c r="AR379" s="156">
        <f t="shared" ca="1" si="174"/>
        <v>0</v>
      </c>
      <c r="AS379" s="156">
        <f t="shared" ca="1" si="174"/>
        <v>0</v>
      </c>
      <c r="AT379" s="156">
        <f t="shared" ca="1" si="174"/>
        <v>0</v>
      </c>
      <c r="AU379" s="156">
        <f t="shared" ca="1" si="174"/>
        <v>0</v>
      </c>
      <c r="AV379" s="156">
        <f t="shared" ca="1" si="174"/>
        <v>0</v>
      </c>
      <c r="AW379" s="156">
        <f t="shared" ca="1" si="174"/>
        <v>0</v>
      </c>
    </row>
    <row r="380" spans="3:49">
      <c r="C380" t="str">
        <f t="shared" si="171"/>
        <v>combined cycle gas</v>
      </c>
      <c r="D380" s="157">
        <f>SUMIF($C$276:$C$295,'Tech Parameters'!H233,D$276:D$295)+SUMIF($C$321:$C$340,'Tech Parameters'!H183,D$321:D$340)</f>
        <v>0</v>
      </c>
      <c r="E380" s="157">
        <f>SUMIF($C$276:$C$295,'Tech Parameters'!I233,E$276:E$295)+SUMIF($C$321:$C$340,'Tech Parameters'!I183,E$321:E$340)</f>
        <v>0</v>
      </c>
      <c r="F380" s="157">
        <f>SUMIF($C$276:$C$295,'Tech Parameters'!J233,F$276:F$295)+SUMIF($C$321:$C$340,'Tech Parameters'!J183,F$321:F$340)</f>
        <v>0</v>
      </c>
      <c r="G380" s="157">
        <f>SUMIF($C$276:$C$295,'Tech Parameters'!K233,G$276:G$295)+SUMIF($C$321:$C$340,'Tech Parameters'!K183,G$321:G$340)</f>
        <v>0</v>
      </c>
      <c r="H380" s="157">
        <f>SUMIF($C$276:$C$295,'Tech Parameters'!L233,H$276:H$295)+SUMIF($C$321:$C$340,'Tech Parameters'!L183,H$321:H$340)</f>
        <v>0</v>
      </c>
      <c r="I380" s="157">
        <f ca="1">SUMIF($C$276:$C$295,'Tech Parameters'!M233,I$276:I$295)+SUMIF($C$321:$C$340,'Tech Parameters'!M183,I$321:I$340)</f>
        <v>0</v>
      </c>
      <c r="J380" s="9">
        <f ca="1">SUMIF($C$276:$C$295,'Tech Parameters'!N233,J$276:J$295)+SUMIF($C$321:$C$340,'Tech Parameters'!N183,J$321:J$340)</f>
        <v>0</v>
      </c>
      <c r="K380" s="9">
        <f ca="1">SUMIF($C$276:$C$295,'Tech Parameters'!O233,K$276:K$295)+SUMIF($C$321:$C$340,'Tech Parameters'!O183,K$321:K$340)</f>
        <v>0</v>
      </c>
      <c r="L380" s="9">
        <f ca="1">SUMIF($C$276:$C$295,'Tech Parameters'!P233,L$276:L$295)+SUMIF($C$321:$C$340,'Tech Parameters'!P183,L$321:L$340)</f>
        <v>0</v>
      </c>
      <c r="M380" s="9">
        <f ca="1">SUMIF($C$276:$C$295,'Tech Parameters'!Q233,M$276:M$295)+SUMIF($C$321:$C$340,'Tech Parameters'!Q183,M$321:M$340)</f>
        <v>0</v>
      </c>
      <c r="N380" s="9">
        <f ca="1">SUMIF($C$276:$C$295,'Tech Parameters'!R233,N$276:N$295)+SUMIF($C$321:$C$340,'Tech Parameters'!R183,N$321:N$340)</f>
        <v>0</v>
      </c>
      <c r="O380" s="9">
        <f ca="1">SUMIF($C$276:$C$295,'Tech Parameters'!S233,O$276:O$295)+SUMIF($C$321:$C$340,'Tech Parameters'!S183,O$321:O$340)</f>
        <v>0</v>
      </c>
      <c r="P380" s="9">
        <f ca="1">SUMIF($C$276:$C$295,'Tech Parameters'!T233,P$276:P$295)+SUMIF($C$321:$C$340,'Tech Parameters'!T183,P$321:P$340)</f>
        <v>0</v>
      </c>
      <c r="Q380" s="9">
        <f ca="1">SUMIF($C$276:$C$295,'Tech Parameters'!U233,Q$276:Q$295)+SUMIF($C$321:$C$340,'Tech Parameters'!U183,Q$321:Q$340)</f>
        <v>0</v>
      </c>
      <c r="R380" s="9">
        <f ca="1">SUMIF($C$276:$C$295,'Tech Parameters'!V233,R$276:R$295)+SUMIF($C$321:$C$340,'Tech Parameters'!V183,R$321:R$340)</f>
        <v>0</v>
      </c>
      <c r="S380" s="9">
        <f ca="1">SUMIF($C$276:$C$295,'Tech Parameters'!W233,S$276:S$295)+SUMIF($C$321:$C$340,'Tech Parameters'!W183,S$321:S$340)</f>
        <v>0</v>
      </c>
      <c r="T380" s="9">
        <f ca="1">SUMIF($C$276:$C$295,'Tech Parameters'!X233,T$276:T$295)+SUMIF($C$321:$C$340,'Tech Parameters'!X183,T$321:T$340)</f>
        <v>0</v>
      </c>
      <c r="U380" s="9">
        <f ca="1">SUMIF($C$276:$C$295,'Tech Parameters'!Y233,U$276:U$295)+SUMIF($C$321:$C$340,'Tech Parameters'!Y183,U$321:U$340)</f>
        <v>0</v>
      </c>
      <c r="V380" s="9">
        <f ca="1">SUMIF($C$276:$C$295,'Tech Parameters'!Z233,V$276:V$295)+SUMIF($C$321:$C$340,'Tech Parameters'!Z183,V$321:V$340)</f>
        <v>0</v>
      </c>
      <c r="W380" s="9">
        <f ca="1">SUMIF($C$276:$C$295,'Tech Parameters'!AA233,W$276:W$295)+SUMIF($C$321:$C$340,'Tech Parameters'!AA183,W$321:W$340)</f>
        <v>0</v>
      </c>
      <c r="X380" s="9">
        <f ca="1">SUMIF($C$276:$C$295,'Tech Parameters'!AB233,X$276:X$295)+SUMIF($C$321:$C$340,'Tech Parameters'!AB183,X$321:X$340)</f>
        <v>0</v>
      </c>
      <c r="Y380" s="9">
        <f ca="1">SUMIF($C$276:$C$295,'Tech Parameters'!AC233,Y$276:Y$295)+SUMIF($C$321:$C$340,'Tech Parameters'!AC183,Y$321:Y$340)</f>
        <v>0</v>
      </c>
      <c r="Z380" s="9">
        <f ca="1">SUMIF($C$276:$C$295,'Tech Parameters'!AD233,Z$276:Z$295)+SUMIF($C$321:$C$340,'Tech Parameters'!AD183,Z$321:Z$340)</f>
        <v>0</v>
      </c>
      <c r="AA380" s="9">
        <f ca="1">SUMIF($C$276:$C$295,'Tech Parameters'!AE233,AA$276:AA$295)+SUMIF($C$321:$C$340,'Tech Parameters'!AE183,AA$321:AA$340)</f>
        <v>0</v>
      </c>
      <c r="AB380" s="9">
        <f ca="1">SUMIF($C$276:$C$295,'Tech Parameters'!AF233,AB$276:AB$295)+SUMIF($C$321:$C$340,'Tech Parameters'!AF183,AB$321:AB$340)</f>
        <v>0</v>
      </c>
      <c r="AC380" s="9">
        <f ca="1">SUMIF($C$276:$C$295,'Tech Parameters'!AG233,AC$276:AC$295)+SUMIF($C$321:$C$340,'Tech Parameters'!AG183,AC$321:AC$340)</f>
        <v>0</v>
      </c>
      <c r="AD380" s="156">
        <f t="shared" ca="1" si="177"/>
        <v>0</v>
      </c>
      <c r="AE380" s="156">
        <f t="shared" ca="1" si="174"/>
        <v>0</v>
      </c>
      <c r="AF380" s="156">
        <f t="shared" ca="1" si="174"/>
        <v>0</v>
      </c>
      <c r="AG380" s="156">
        <f t="shared" ca="1" si="174"/>
        <v>0</v>
      </c>
      <c r="AH380" s="156">
        <f t="shared" ca="1" si="174"/>
        <v>0</v>
      </c>
      <c r="AI380" s="156">
        <f t="shared" ca="1" si="174"/>
        <v>0</v>
      </c>
      <c r="AJ380" s="156">
        <f t="shared" ca="1" si="174"/>
        <v>0</v>
      </c>
      <c r="AK380" s="156">
        <f t="shared" ca="1" si="174"/>
        <v>0</v>
      </c>
      <c r="AL380" s="156">
        <f t="shared" ca="1" si="174"/>
        <v>0</v>
      </c>
      <c r="AM380" s="156">
        <f t="shared" ca="1" si="174"/>
        <v>0</v>
      </c>
      <c r="AN380" s="156">
        <f t="shared" ca="1" si="174"/>
        <v>0</v>
      </c>
      <c r="AO380" s="156">
        <f t="shared" ca="1" si="174"/>
        <v>0</v>
      </c>
      <c r="AP380" s="156">
        <f t="shared" ca="1" si="174"/>
        <v>0</v>
      </c>
      <c r="AQ380" s="156">
        <f t="shared" ca="1" si="174"/>
        <v>0</v>
      </c>
      <c r="AR380" s="156">
        <f t="shared" ca="1" si="174"/>
        <v>0</v>
      </c>
      <c r="AS380" s="156">
        <f t="shared" ca="1" si="174"/>
        <v>0</v>
      </c>
      <c r="AT380" s="156">
        <f t="shared" ca="1" si="174"/>
        <v>0</v>
      </c>
      <c r="AU380" s="156">
        <f t="shared" ca="1" si="174"/>
        <v>0</v>
      </c>
      <c r="AV380" s="156">
        <f t="shared" ca="1" si="174"/>
        <v>0</v>
      </c>
      <c r="AW380" s="156">
        <f t="shared" ca="1" si="174"/>
        <v>0</v>
      </c>
    </row>
    <row r="381" spans="3:49">
      <c r="C381" t="str">
        <f t="shared" si="171"/>
        <v>PBMR</v>
      </c>
      <c r="D381" s="157">
        <f>SUMIF($C$276:$C$295,'Tech Parameters'!H234,D$276:D$295)+SUMIF($C$321:$C$340,'Tech Parameters'!H184,D$321:D$340)</f>
        <v>0</v>
      </c>
      <c r="E381" s="157">
        <f>SUMIF($C$276:$C$295,'Tech Parameters'!I234,E$276:E$295)+SUMIF($C$321:$C$340,'Tech Parameters'!I184,E$321:E$340)</f>
        <v>0</v>
      </c>
      <c r="F381" s="157">
        <f>SUMIF($C$276:$C$295,'Tech Parameters'!J234,F$276:F$295)+SUMIF($C$321:$C$340,'Tech Parameters'!J184,F$321:F$340)</f>
        <v>0</v>
      </c>
      <c r="G381" s="157">
        <f>SUMIF($C$276:$C$295,'Tech Parameters'!K234,G$276:G$295)+SUMIF($C$321:$C$340,'Tech Parameters'!K184,G$321:G$340)</f>
        <v>0</v>
      </c>
      <c r="H381" s="157">
        <f>SUMIF($C$276:$C$295,'Tech Parameters'!L234,H$276:H$295)+SUMIF($C$321:$C$340,'Tech Parameters'!L184,H$321:H$340)</f>
        <v>0</v>
      </c>
      <c r="I381" s="157">
        <f ca="1">SUMIF($C$276:$C$295,'Tech Parameters'!M234,I$276:I$295)+SUMIF($C$321:$C$340,'Tech Parameters'!M184,I$321:I$340)</f>
        <v>0</v>
      </c>
      <c r="J381" s="9">
        <f ca="1">SUMIF($C$276:$C$295,'Tech Parameters'!N234,J$276:J$295)+SUMIF($C$321:$C$340,'Tech Parameters'!N184,J$321:J$340)</f>
        <v>0</v>
      </c>
      <c r="K381" s="9">
        <f ca="1">SUMIF($C$276:$C$295,'Tech Parameters'!O234,K$276:K$295)+SUMIF($C$321:$C$340,'Tech Parameters'!O184,K$321:K$340)</f>
        <v>0</v>
      </c>
      <c r="L381" s="9">
        <f ca="1">SUMIF($C$276:$C$295,'Tech Parameters'!P234,L$276:L$295)+SUMIF($C$321:$C$340,'Tech Parameters'!P184,L$321:L$340)</f>
        <v>0</v>
      </c>
      <c r="M381" s="9">
        <f ca="1">SUMIF($C$276:$C$295,'Tech Parameters'!Q234,M$276:M$295)+SUMIF($C$321:$C$340,'Tech Parameters'!Q184,M$321:M$340)</f>
        <v>0</v>
      </c>
      <c r="N381" s="9">
        <f ca="1">SUMIF($C$276:$C$295,'Tech Parameters'!R234,N$276:N$295)+SUMIF($C$321:$C$340,'Tech Parameters'!R184,N$321:N$340)</f>
        <v>0</v>
      </c>
      <c r="O381" s="9">
        <f ca="1">SUMIF($C$276:$C$295,'Tech Parameters'!S234,O$276:O$295)+SUMIF($C$321:$C$340,'Tech Parameters'!S184,O$321:O$340)</f>
        <v>0</v>
      </c>
      <c r="P381" s="9">
        <f ca="1">SUMIF($C$276:$C$295,'Tech Parameters'!T234,P$276:P$295)+SUMIF($C$321:$C$340,'Tech Parameters'!T184,P$321:P$340)</f>
        <v>0</v>
      </c>
      <c r="Q381" s="9">
        <f ca="1">SUMIF($C$276:$C$295,'Tech Parameters'!U234,Q$276:Q$295)+SUMIF($C$321:$C$340,'Tech Parameters'!U184,Q$321:Q$340)</f>
        <v>0</v>
      </c>
      <c r="R381" s="9">
        <f ca="1">SUMIF($C$276:$C$295,'Tech Parameters'!V234,R$276:R$295)+SUMIF($C$321:$C$340,'Tech Parameters'!V184,R$321:R$340)</f>
        <v>0</v>
      </c>
      <c r="S381" s="9">
        <f ca="1">SUMIF($C$276:$C$295,'Tech Parameters'!W234,S$276:S$295)+SUMIF($C$321:$C$340,'Tech Parameters'!W184,S$321:S$340)</f>
        <v>0</v>
      </c>
      <c r="T381" s="9">
        <f ca="1">SUMIF($C$276:$C$295,'Tech Parameters'!X234,T$276:T$295)+SUMIF($C$321:$C$340,'Tech Parameters'!X184,T$321:T$340)</f>
        <v>0</v>
      </c>
      <c r="U381" s="9">
        <f ca="1">SUMIF($C$276:$C$295,'Tech Parameters'!Y234,U$276:U$295)+SUMIF($C$321:$C$340,'Tech Parameters'!Y184,U$321:U$340)</f>
        <v>0</v>
      </c>
      <c r="V381" s="9">
        <f ca="1">SUMIF($C$276:$C$295,'Tech Parameters'!Z234,V$276:V$295)+SUMIF($C$321:$C$340,'Tech Parameters'!Z184,V$321:V$340)</f>
        <v>0</v>
      </c>
      <c r="W381" s="9">
        <f ca="1">SUMIF($C$276:$C$295,'Tech Parameters'!AA234,W$276:W$295)+SUMIF($C$321:$C$340,'Tech Parameters'!AA184,W$321:W$340)</f>
        <v>0</v>
      </c>
      <c r="X381" s="9">
        <f ca="1">SUMIF($C$276:$C$295,'Tech Parameters'!AB234,X$276:X$295)+SUMIF($C$321:$C$340,'Tech Parameters'!AB184,X$321:X$340)</f>
        <v>0</v>
      </c>
      <c r="Y381" s="9">
        <f ca="1">SUMIF($C$276:$C$295,'Tech Parameters'!AC234,Y$276:Y$295)+SUMIF($C$321:$C$340,'Tech Parameters'!AC184,Y$321:Y$340)</f>
        <v>0</v>
      </c>
      <c r="Z381" s="9">
        <f ca="1">SUMIF($C$276:$C$295,'Tech Parameters'!AD234,Z$276:Z$295)+SUMIF($C$321:$C$340,'Tech Parameters'!AD184,Z$321:Z$340)</f>
        <v>0</v>
      </c>
      <c r="AA381" s="9">
        <f ca="1">SUMIF($C$276:$C$295,'Tech Parameters'!AE234,AA$276:AA$295)+SUMIF($C$321:$C$340,'Tech Parameters'!AE184,AA$321:AA$340)</f>
        <v>0</v>
      </c>
      <c r="AB381" s="9">
        <f ca="1">SUMIF($C$276:$C$295,'Tech Parameters'!AF234,AB$276:AB$295)+SUMIF($C$321:$C$340,'Tech Parameters'!AF184,AB$321:AB$340)</f>
        <v>0</v>
      </c>
      <c r="AC381" s="9">
        <f ca="1">SUMIF($C$276:$C$295,'Tech Parameters'!AG234,AC$276:AC$295)+SUMIF($C$321:$C$340,'Tech Parameters'!AG184,AC$321:AC$340)</f>
        <v>0</v>
      </c>
      <c r="AD381" s="156">
        <f t="shared" ca="1" si="177"/>
        <v>0</v>
      </c>
      <c r="AE381" s="156">
        <f t="shared" ca="1" si="174"/>
        <v>0</v>
      </c>
      <c r="AF381" s="156">
        <f t="shared" ca="1" si="174"/>
        <v>0</v>
      </c>
      <c r="AG381" s="156">
        <f t="shared" ca="1" si="174"/>
        <v>0</v>
      </c>
      <c r="AH381" s="156">
        <f t="shared" ca="1" si="174"/>
        <v>0</v>
      </c>
      <c r="AI381" s="156">
        <f t="shared" ca="1" si="174"/>
        <v>0</v>
      </c>
      <c r="AJ381" s="156">
        <f t="shared" ca="1" si="174"/>
        <v>0</v>
      </c>
      <c r="AK381" s="156">
        <f t="shared" ca="1" si="174"/>
        <v>0</v>
      </c>
      <c r="AL381" s="156">
        <f t="shared" ca="1" si="174"/>
        <v>0</v>
      </c>
      <c r="AM381" s="156">
        <f t="shared" ca="1" si="174"/>
        <v>0</v>
      </c>
      <c r="AN381" s="156">
        <f t="shared" ca="1" si="174"/>
        <v>0</v>
      </c>
      <c r="AO381" s="156">
        <f t="shared" ca="1" si="174"/>
        <v>0</v>
      </c>
      <c r="AP381" s="156">
        <f t="shared" ca="1" si="174"/>
        <v>0</v>
      </c>
      <c r="AQ381" s="156">
        <f t="shared" ca="1" si="174"/>
        <v>0</v>
      </c>
      <c r="AR381" s="156">
        <f t="shared" ca="1" si="174"/>
        <v>0</v>
      </c>
      <c r="AS381" s="156">
        <f t="shared" ca="1" si="174"/>
        <v>0</v>
      </c>
      <c r="AT381" s="156">
        <f t="shared" ca="1" si="174"/>
        <v>0</v>
      </c>
      <c r="AU381" s="156">
        <f t="shared" ca="1" si="174"/>
        <v>0</v>
      </c>
      <c r="AV381" s="156">
        <f t="shared" ca="1" si="174"/>
        <v>0</v>
      </c>
      <c r="AW381" s="156">
        <f t="shared" ca="1" si="174"/>
        <v>0</v>
      </c>
    </row>
    <row r="382" spans="3:49">
      <c r="C382" t="str">
        <f t="shared" si="171"/>
        <v>IGCC</v>
      </c>
      <c r="D382" s="157">
        <f>SUMIF($C$276:$C$295,'Tech Parameters'!H235,D$276:D$295)+SUMIF($C$321:$C$340,'Tech Parameters'!H185,D$321:D$340)</f>
        <v>0</v>
      </c>
      <c r="E382" s="157">
        <f>SUMIF($C$276:$C$295,'Tech Parameters'!I235,E$276:E$295)+SUMIF($C$321:$C$340,'Tech Parameters'!I185,E$321:E$340)</f>
        <v>2.9103830456733704E-11</v>
      </c>
      <c r="F382" s="157">
        <f>SUMIF($C$276:$C$295,'Tech Parameters'!J235,F$276:F$295)+SUMIF($C$321:$C$340,'Tech Parameters'!J185,F$321:F$340)</f>
        <v>0</v>
      </c>
      <c r="G382" s="157">
        <f>SUMIF($C$276:$C$295,'Tech Parameters'!K235,G$276:G$295)+SUMIF($C$321:$C$340,'Tech Parameters'!K185,G$321:G$340)</f>
        <v>2.9103830456733704E-11</v>
      </c>
      <c r="H382" s="157">
        <f>SUMIF($C$276:$C$295,'Tech Parameters'!L235,H$276:H$295)+SUMIF($C$321:$C$340,'Tech Parameters'!L185,H$321:H$340)</f>
        <v>2.9103830456733704E-11</v>
      </c>
      <c r="I382" s="157">
        <f ca="1">SUMIF($C$276:$C$295,'Tech Parameters'!M235,I$276:I$295)+SUMIF($C$321:$C$340,'Tech Parameters'!M185,I$321:I$340)</f>
        <v>0</v>
      </c>
      <c r="J382" s="9">
        <f ca="1">SUMIF($C$276:$C$295,'Tech Parameters'!N235,J$276:J$295)+SUMIF($C$321:$C$340,'Tech Parameters'!N185,J$321:J$340)</f>
        <v>0</v>
      </c>
      <c r="K382" s="9">
        <f ca="1">SUMIF($C$276:$C$295,'Tech Parameters'!O235,K$276:K$295)+SUMIF($C$321:$C$340,'Tech Parameters'!O185,K$321:K$340)</f>
        <v>0</v>
      </c>
      <c r="L382" s="9">
        <f ca="1">SUMIF($C$276:$C$295,'Tech Parameters'!P235,L$276:L$295)+SUMIF($C$321:$C$340,'Tech Parameters'!P185,L$321:L$340)</f>
        <v>0</v>
      </c>
      <c r="M382" s="9">
        <f ca="1">SUMIF($C$276:$C$295,'Tech Parameters'!Q235,M$276:M$295)+SUMIF($C$321:$C$340,'Tech Parameters'!Q185,M$321:M$340)</f>
        <v>0</v>
      </c>
      <c r="N382" s="9">
        <f ca="1">SUMIF($C$276:$C$295,'Tech Parameters'!R235,N$276:N$295)+SUMIF($C$321:$C$340,'Tech Parameters'!R185,N$321:N$340)</f>
        <v>0</v>
      </c>
      <c r="O382" s="9">
        <f ca="1">SUMIF($C$276:$C$295,'Tech Parameters'!S235,O$276:O$295)+SUMIF($C$321:$C$340,'Tech Parameters'!S185,O$321:O$340)</f>
        <v>0</v>
      </c>
      <c r="P382" s="9">
        <f ca="1">SUMIF($C$276:$C$295,'Tech Parameters'!T235,P$276:P$295)+SUMIF($C$321:$C$340,'Tech Parameters'!T185,P$321:P$340)</f>
        <v>0</v>
      </c>
      <c r="Q382" s="9">
        <f ca="1">SUMIF($C$276:$C$295,'Tech Parameters'!U235,Q$276:Q$295)+SUMIF($C$321:$C$340,'Tech Parameters'!U185,Q$321:Q$340)</f>
        <v>0</v>
      </c>
      <c r="R382" s="9">
        <f ca="1">SUMIF($C$276:$C$295,'Tech Parameters'!V235,R$276:R$295)+SUMIF($C$321:$C$340,'Tech Parameters'!V185,R$321:R$340)</f>
        <v>0</v>
      </c>
      <c r="S382" s="9">
        <f ca="1">SUMIF($C$276:$C$295,'Tech Parameters'!W235,S$276:S$295)+SUMIF($C$321:$C$340,'Tech Parameters'!W185,S$321:S$340)</f>
        <v>0</v>
      </c>
      <c r="T382" s="9">
        <f ca="1">SUMIF($C$276:$C$295,'Tech Parameters'!X235,T$276:T$295)+SUMIF($C$321:$C$340,'Tech Parameters'!X185,T$321:T$340)</f>
        <v>0</v>
      </c>
      <c r="U382" s="9">
        <f ca="1">SUMIF($C$276:$C$295,'Tech Parameters'!Y235,U$276:U$295)+SUMIF($C$321:$C$340,'Tech Parameters'!Y185,U$321:U$340)</f>
        <v>0</v>
      </c>
      <c r="V382" s="9">
        <f ca="1">SUMIF($C$276:$C$295,'Tech Parameters'!Z235,V$276:V$295)+SUMIF($C$321:$C$340,'Tech Parameters'!Z185,V$321:V$340)</f>
        <v>0</v>
      </c>
      <c r="W382" s="9">
        <f ca="1">SUMIF($C$276:$C$295,'Tech Parameters'!AA235,W$276:W$295)+SUMIF($C$321:$C$340,'Tech Parameters'!AA185,W$321:W$340)</f>
        <v>0</v>
      </c>
      <c r="X382" s="9">
        <f ca="1">SUMIF($C$276:$C$295,'Tech Parameters'!AB235,X$276:X$295)+SUMIF($C$321:$C$340,'Tech Parameters'!AB185,X$321:X$340)</f>
        <v>0</v>
      </c>
      <c r="Y382" s="9">
        <f ca="1">SUMIF($C$276:$C$295,'Tech Parameters'!AC235,Y$276:Y$295)+SUMIF($C$321:$C$340,'Tech Parameters'!AC185,Y$321:Y$340)</f>
        <v>0</v>
      </c>
      <c r="Z382" s="9">
        <f ca="1">SUMIF($C$276:$C$295,'Tech Parameters'!AD235,Z$276:Z$295)+SUMIF($C$321:$C$340,'Tech Parameters'!AD185,Z$321:Z$340)</f>
        <v>0</v>
      </c>
      <c r="AA382" s="9">
        <f ca="1">SUMIF($C$276:$C$295,'Tech Parameters'!AE235,AA$276:AA$295)+SUMIF($C$321:$C$340,'Tech Parameters'!AE185,AA$321:AA$340)</f>
        <v>0</v>
      </c>
      <c r="AB382" s="9">
        <f ca="1">SUMIF($C$276:$C$295,'Tech Parameters'!AF235,AB$276:AB$295)+SUMIF($C$321:$C$340,'Tech Parameters'!AF185,AB$321:AB$340)</f>
        <v>0</v>
      </c>
      <c r="AC382" s="9">
        <f ca="1">SUMIF($C$276:$C$295,'Tech Parameters'!AG235,AC$276:AC$295)+SUMIF($C$321:$C$340,'Tech Parameters'!AG185,AC$321:AC$340)</f>
        <v>0</v>
      </c>
      <c r="AD382" s="156">
        <f t="shared" ca="1" si="177"/>
        <v>0</v>
      </c>
      <c r="AE382" s="156">
        <f t="shared" ca="1" si="174"/>
        <v>0</v>
      </c>
      <c r="AF382" s="156">
        <f t="shared" ca="1" si="174"/>
        <v>0</v>
      </c>
      <c r="AG382" s="156">
        <f t="shared" ca="1" si="174"/>
        <v>0</v>
      </c>
      <c r="AH382" s="156">
        <f t="shared" ca="1" si="174"/>
        <v>0</v>
      </c>
      <c r="AI382" s="156">
        <f t="shared" ca="1" si="174"/>
        <v>0</v>
      </c>
      <c r="AJ382" s="156">
        <f t="shared" ca="1" si="174"/>
        <v>0</v>
      </c>
      <c r="AK382" s="156">
        <f t="shared" ca="1" si="174"/>
        <v>0</v>
      </c>
      <c r="AL382" s="156">
        <f t="shared" ca="1" si="174"/>
        <v>0</v>
      </c>
      <c r="AM382" s="156">
        <f t="shared" ca="1" si="174"/>
        <v>0</v>
      </c>
      <c r="AN382" s="156">
        <f t="shared" ca="1" si="174"/>
        <v>0</v>
      </c>
      <c r="AO382" s="156">
        <f t="shared" ca="1" si="174"/>
        <v>0</v>
      </c>
      <c r="AP382" s="156">
        <f t="shared" ca="1" si="174"/>
        <v>0</v>
      </c>
      <c r="AQ382" s="156">
        <f t="shared" ca="1" si="174"/>
        <v>0</v>
      </c>
      <c r="AR382" s="156">
        <f t="shared" ca="1" si="174"/>
        <v>0</v>
      </c>
      <c r="AS382" s="156">
        <f t="shared" ca="1" si="174"/>
        <v>0</v>
      </c>
      <c r="AT382" s="156">
        <f t="shared" ca="1" si="174"/>
        <v>0</v>
      </c>
      <c r="AU382" s="156">
        <f t="shared" ca="1" si="174"/>
        <v>0</v>
      </c>
      <c r="AV382" s="156">
        <f t="shared" ca="1" si="174"/>
        <v>0</v>
      </c>
      <c r="AW382" s="156">
        <f t="shared" ca="1" si="174"/>
        <v>0</v>
      </c>
    </row>
    <row r="383" spans="3:49">
      <c r="C383" t="str">
        <f t="shared" si="171"/>
        <v>-</v>
      </c>
      <c r="D383" s="157">
        <f>SUMIF($C$276:$C$295,'Tech Parameters'!H236,D$276:D$295)+SUMIF($C$321:$C$340,'Tech Parameters'!H186,D$321:D$340)</f>
        <v>0</v>
      </c>
      <c r="E383" s="157">
        <f>SUMIF($C$276:$C$295,'Tech Parameters'!I236,E$276:E$295)+SUMIF($C$321:$C$340,'Tech Parameters'!I186,E$321:E$340)</f>
        <v>0</v>
      </c>
      <c r="F383" s="157">
        <f>SUMIF($C$276:$C$295,'Tech Parameters'!J236,F$276:F$295)+SUMIF($C$321:$C$340,'Tech Parameters'!J186,F$321:F$340)</f>
        <v>0</v>
      </c>
      <c r="G383" s="157">
        <f>SUMIF($C$276:$C$295,'Tech Parameters'!K236,G$276:G$295)+SUMIF($C$321:$C$340,'Tech Parameters'!K186,G$321:G$340)</f>
        <v>0</v>
      </c>
      <c r="H383" s="157">
        <f>SUMIF($C$276:$C$295,'Tech Parameters'!L236,H$276:H$295)+SUMIF($C$321:$C$340,'Tech Parameters'!L186,H$321:H$340)</f>
        <v>0</v>
      </c>
      <c r="I383" s="157">
        <f ca="1">SUMIF($C$276:$C$295,'Tech Parameters'!M236,I$276:I$295)+SUMIF($C$321:$C$340,'Tech Parameters'!M186,I$321:I$340)</f>
        <v>0</v>
      </c>
      <c r="J383" s="9">
        <f ca="1">SUMIF($C$276:$C$295,'Tech Parameters'!N236,J$276:J$295)+SUMIF($C$321:$C$340,'Tech Parameters'!N186,J$321:J$340)</f>
        <v>0</v>
      </c>
      <c r="K383" s="9">
        <f ca="1">SUMIF($C$276:$C$295,'Tech Parameters'!O236,K$276:K$295)+SUMIF($C$321:$C$340,'Tech Parameters'!O186,K$321:K$340)</f>
        <v>0</v>
      </c>
      <c r="L383" s="9">
        <f ca="1">SUMIF($C$276:$C$295,'Tech Parameters'!P236,L$276:L$295)+SUMIF($C$321:$C$340,'Tech Parameters'!P186,L$321:L$340)</f>
        <v>0</v>
      </c>
      <c r="M383" s="9">
        <f ca="1">SUMIF($C$276:$C$295,'Tech Parameters'!Q236,M$276:M$295)+SUMIF($C$321:$C$340,'Tech Parameters'!Q186,M$321:M$340)</f>
        <v>0</v>
      </c>
      <c r="N383" s="9">
        <f ca="1">SUMIF($C$276:$C$295,'Tech Parameters'!R236,N$276:N$295)+SUMIF($C$321:$C$340,'Tech Parameters'!R186,N$321:N$340)</f>
        <v>0</v>
      </c>
      <c r="O383" s="9">
        <f ca="1">SUMIF($C$276:$C$295,'Tech Parameters'!S236,O$276:O$295)+SUMIF($C$321:$C$340,'Tech Parameters'!S186,O$321:O$340)</f>
        <v>0</v>
      </c>
      <c r="P383" s="9">
        <f ca="1">SUMIF($C$276:$C$295,'Tech Parameters'!T236,P$276:P$295)+SUMIF($C$321:$C$340,'Tech Parameters'!T186,P$321:P$340)</f>
        <v>0</v>
      </c>
      <c r="Q383" s="9">
        <f ca="1">SUMIF($C$276:$C$295,'Tech Parameters'!U236,Q$276:Q$295)+SUMIF($C$321:$C$340,'Tech Parameters'!U186,Q$321:Q$340)</f>
        <v>0</v>
      </c>
      <c r="R383" s="9">
        <f ca="1">SUMIF($C$276:$C$295,'Tech Parameters'!V236,R$276:R$295)+SUMIF($C$321:$C$340,'Tech Parameters'!V186,R$321:R$340)</f>
        <v>0</v>
      </c>
      <c r="S383" s="9">
        <f ca="1">SUMIF($C$276:$C$295,'Tech Parameters'!W236,S$276:S$295)+SUMIF($C$321:$C$340,'Tech Parameters'!W186,S$321:S$340)</f>
        <v>0</v>
      </c>
      <c r="T383" s="9">
        <f ca="1">SUMIF($C$276:$C$295,'Tech Parameters'!X236,T$276:T$295)+SUMIF($C$321:$C$340,'Tech Parameters'!X186,T$321:T$340)</f>
        <v>0</v>
      </c>
      <c r="U383" s="9">
        <f ca="1">SUMIF($C$276:$C$295,'Tech Parameters'!Y236,U$276:U$295)+SUMIF($C$321:$C$340,'Tech Parameters'!Y186,U$321:U$340)</f>
        <v>0</v>
      </c>
      <c r="V383" s="9">
        <f ca="1">SUMIF($C$276:$C$295,'Tech Parameters'!Z236,V$276:V$295)+SUMIF($C$321:$C$340,'Tech Parameters'!Z186,V$321:V$340)</f>
        <v>0</v>
      </c>
      <c r="W383" s="9">
        <f ca="1">SUMIF($C$276:$C$295,'Tech Parameters'!AA236,W$276:W$295)+SUMIF($C$321:$C$340,'Tech Parameters'!AA186,W$321:W$340)</f>
        <v>0</v>
      </c>
      <c r="X383" s="9">
        <f ca="1">SUMIF($C$276:$C$295,'Tech Parameters'!AB236,X$276:X$295)+SUMIF($C$321:$C$340,'Tech Parameters'!AB186,X$321:X$340)</f>
        <v>0</v>
      </c>
      <c r="Y383" s="9">
        <f ca="1">SUMIF($C$276:$C$295,'Tech Parameters'!AC236,Y$276:Y$295)+SUMIF($C$321:$C$340,'Tech Parameters'!AC186,Y$321:Y$340)</f>
        <v>0</v>
      </c>
      <c r="Z383" s="9">
        <f ca="1">SUMIF($C$276:$C$295,'Tech Parameters'!AD236,Z$276:Z$295)+SUMIF($C$321:$C$340,'Tech Parameters'!AD186,Z$321:Z$340)</f>
        <v>0</v>
      </c>
      <c r="AA383" s="9">
        <f ca="1">SUMIF($C$276:$C$295,'Tech Parameters'!AE236,AA$276:AA$295)+SUMIF($C$321:$C$340,'Tech Parameters'!AE186,AA$321:AA$340)</f>
        <v>0</v>
      </c>
      <c r="AB383" s="9">
        <f ca="1">SUMIF($C$276:$C$295,'Tech Parameters'!AF236,AB$276:AB$295)+SUMIF($C$321:$C$340,'Tech Parameters'!AF186,AB$321:AB$340)</f>
        <v>0</v>
      </c>
      <c r="AC383" s="9">
        <f ca="1">SUMIF($C$276:$C$295,'Tech Parameters'!AG236,AC$276:AC$295)+SUMIF($C$321:$C$340,'Tech Parameters'!AG186,AC$321:AC$340)</f>
        <v>0</v>
      </c>
      <c r="AD383" s="156">
        <f t="shared" ca="1" si="177"/>
        <v>0</v>
      </c>
      <c r="AE383" s="156">
        <f t="shared" ca="1" si="174"/>
        <v>0</v>
      </c>
      <c r="AF383" s="156">
        <f t="shared" ca="1" si="174"/>
        <v>0</v>
      </c>
      <c r="AG383" s="156">
        <f t="shared" ca="1" si="174"/>
        <v>0</v>
      </c>
      <c r="AH383" s="156">
        <f t="shared" ca="1" si="174"/>
        <v>0</v>
      </c>
      <c r="AI383" s="156">
        <f t="shared" ca="1" si="174"/>
        <v>0</v>
      </c>
      <c r="AJ383" s="156">
        <f t="shared" ca="1" si="174"/>
        <v>0</v>
      </c>
      <c r="AK383" s="156">
        <f t="shared" ca="1" si="174"/>
        <v>0</v>
      </c>
      <c r="AL383" s="156">
        <f t="shared" ca="1" si="174"/>
        <v>0</v>
      </c>
      <c r="AM383" s="156">
        <f t="shared" ca="1" si="174"/>
        <v>0</v>
      </c>
      <c r="AN383" s="156">
        <f t="shared" ca="1" si="174"/>
        <v>0</v>
      </c>
      <c r="AO383" s="156">
        <f t="shared" ca="1" si="174"/>
        <v>0</v>
      </c>
      <c r="AP383" s="156">
        <f t="shared" ca="1" si="174"/>
        <v>0</v>
      </c>
      <c r="AQ383" s="156">
        <f t="shared" ca="1" si="174"/>
        <v>0</v>
      </c>
      <c r="AR383" s="156">
        <f t="shared" ca="1" si="174"/>
        <v>0</v>
      </c>
      <c r="AS383" s="156">
        <f t="shared" ca="1" si="174"/>
        <v>0</v>
      </c>
      <c r="AT383" s="156">
        <f t="shared" ca="1" si="174"/>
        <v>0</v>
      </c>
      <c r="AU383" s="156">
        <f t="shared" ca="1" si="174"/>
        <v>0</v>
      </c>
      <c r="AV383" s="156">
        <f t="shared" ca="1" si="174"/>
        <v>0</v>
      </c>
      <c r="AW383" s="156">
        <f t="shared" ca="1" si="174"/>
        <v>0</v>
      </c>
    </row>
    <row r="384" spans="3:49">
      <c r="C384" t="str">
        <f t="shared" si="171"/>
        <v>-</v>
      </c>
      <c r="D384" s="157">
        <f>SUMIF($C$276:$C$295,'Tech Parameters'!H237,D$276:D$295)+SUMIF($C$321:$C$340,'Tech Parameters'!H187,D$321:D$340)</f>
        <v>0</v>
      </c>
      <c r="E384" s="157">
        <f>SUMIF($C$276:$C$295,'Tech Parameters'!I237,E$276:E$295)+SUMIF($C$321:$C$340,'Tech Parameters'!I187,E$321:E$340)</f>
        <v>0</v>
      </c>
      <c r="F384" s="157">
        <f>SUMIF($C$276:$C$295,'Tech Parameters'!J237,F$276:F$295)+SUMIF($C$321:$C$340,'Tech Parameters'!J187,F$321:F$340)</f>
        <v>0</v>
      </c>
      <c r="G384" s="157">
        <f>SUMIF($C$276:$C$295,'Tech Parameters'!K237,G$276:G$295)+SUMIF($C$321:$C$340,'Tech Parameters'!K187,G$321:G$340)</f>
        <v>0</v>
      </c>
      <c r="H384" s="157">
        <f>SUMIF($C$276:$C$295,'Tech Parameters'!L237,H$276:H$295)+SUMIF($C$321:$C$340,'Tech Parameters'!L187,H$321:H$340)</f>
        <v>0</v>
      </c>
      <c r="I384" s="157">
        <f ca="1">SUMIF($C$276:$C$295,'Tech Parameters'!M237,I$276:I$295)+SUMIF($C$321:$C$340,'Tech Parameters'!M187,I$321:I$340)</f>
        <v>0</v>
      </c>
      <c r="J384" s="9">
        <f ca="1">SUMIF($C$276:$C$295,'Tech Parameters'!N237,J$276:J$295)+SUMIF($C$321:$C$340,'Tech Parameters'!N187,J$321:J$340)</f>
        <v>0</v>
      </c>
      <c r="K384" s="9">
        <f ca="1">SUMIF($C$276:$C$295,'Tech Parameters'!O237,K$276:K$295)+SUMIF($C$321:$C$340,'Tech Parameters'!O187,K$321:K$340)</f>
        <v>0</v>
      </c>
      <c r="L384" s="9">
        <f ca="1">SUMIF($C$276:$C$295,'Tech Parameters'!P237,L$276:L$295)+SUMIF($C$321:$C$340,'Tech Parameters'!P187,L$321:L$340)</f>
        <v>0</v>
      </c>
      <c r="M384" s="9">
        <f ca="1">SUMIF($C$276:$C$295,'Tech Parameters'!Q237,M$276:M$295)+SUMIF($C$321:$C$340,'Tech Parameters'!Q187,M$321:M$340)</f>
        <v>0</v>
      </c>
      <c r="N384" s="9">
        <f ca="1">SUMIF($C$276:$C$295,'Tech Parameters'!R237,N$276:N$295)+SUMIF($C$321:$C$340,'Tech Parameters'!R187,N$321:N$340)</f>
        <v>0</v>
      </c>
      <c r="O384" s="9">
        <f ca="1">SUMIF($C$276:$C$295,'Tech Parameters'!S237,O$276:O$295)+SUMIF($C$321:$C$340,'Tech Parameters'!S187,O$321:O$340)</f>
        <v>0</v>
      </c>
      <c r="P384" s="9">
        <f ca="1">SUMIF($C$276:$C$295,'Tech Parameters'!T237,P$276:P$295)+SUMIF($C$321:$C$340,'Tech Parameters'!T187,P$321:P$340)</f>
        <v>0</v>
      </c>
      <c r="Q384" s="9">
        <f ca="1">SUMIF($C$276:$C$295,'Tech Parameters'!U237,Q$276:Q$295)+SUMIF($C$321:$C$340,'Tech Parameters'!U187,Q$321:Q$340)</f>
        <v>0</v>
      </c>
      <c r="R384" s="9">
        <f ca="1">SUMIF($C$276:$C$295,'Tech Parameters'!V237,R$276:R$295)+SUMIF($C$321:$C$340,'Tech Parameters'!V187,R$321:R$340)</f>
        <v>0</v>
      </c>
      <c r="S384" s="9">
        <f ca="1">SUMIF($C$276:$C$295,'Tech Parameters'!W237,S$276:S$295)+SUMIF($C$321:$C$340,'Tech Parameters'!W187,S$321:S$340)</f>
        <v>0</v>
      </c>
      <c r="T384" s="9">
        <f ca="1">SUMIF($C$276:$C$295,'Tech Parameters'!X237,T$276:T$295)+SUMIF($C$321:$C$340,'Tech Parameters'!X187,T$321:T$340)</f>
        <v>0</v>
      </c>
      <c r="U384" s="9">
        <f ca="1">SUMIF($C$276:$C$295,'Tech Parameters'!Y237,U$276:U$295)+SUMIF($C$321:$C$340,'Tech Parameters'!Y187,U$321:U$340)</f>
        <v>0</v>
      </c>
      <c r="V384" s="9">
        <f ca="1">SUMIF($C$276:$C$295,'Tech Parameters'!Z237,V$276:V$295)+SUMIF($C$321:$C$340,'Tech Parameters'!Z187,V$321:V$340)</f>
        <v>0</v>
      </c>
      <c r="W384" s="9">
        <f ca="1">SUMIF($C$276:$C$295,'Tech Parameters'!AA237,W$276:W$295)+SUMIF($C$321:$C$340,'Tech Parameters'!AA187,W$321:W$340)</f>
        <v>0</v>
      </c>
      <c r="X384" s="9">
        <f ca="1">SUMIF($C$276:$C$295,'Tech Parameters'!AB237,X$276:X$295)+SUMIF($C$321:$C$340,'Tech Parameters'!AB187,X$321:X$340)</f>
        <v>0</v>
      </c>
      <c r="Y384" s="9">
        <f ca="1">SUMIF($C$276:$C$295,'Tech Parameters'!AC237,Y$276:Y$295)+SUMIF($C$321:$C$340,'Tech Parameters'!AC187,Y$321:Y$340)</f>
        <v>0</v>
      </c>
      <c r="Z384" s="9">
        <f ca="1">SUMIF($C$276:$C$295,'Tech Parameters'!AD237,Z$276:Z$295)+SUMIF($C$321:$C$340,'Tech Parameters'!AD187,Z$321:Z$340)</f>
        <v>0</v>
      </c>
      <c r="AA384" s="9">
        <f ca="1">SUMIF($C$276:$C$295,'Tech Parameters'!AE237,AA$276:AA$295)+SUMIF($C$321:$C$340,'Tech Parameters'!AE187,AA$321:AA$340)</f>
        <v>0</v>
      </c>
      <c r="AB384" s="9">
        <f ca="1">SUMIF($C$276:$C$295,'Tech Parameters'!AF237,AB$276:AB$295)+SUMIF($C$321:$C$340,'Tech Parameters'!AF187,AB$321:AB$340)</f>
        <v>0</v>
      </c>
      <c r="AC384" s="9">
        <f ca="1">SUMIF($C$276:$C$295,'Tech Parameters'!AG237,AC$276:AC$295)+SUMIF($C$321:$C$340,'Tech Parameters'!AG187,AC$321:AC$340)</f>
        <v>0</v>
      </c>
      <c r="AD384" s="156">
        <f t="shared" ca="1" si="177"/>
        <v>0</v>
      </c>
      <c r="AE384" s="156">
        <f t="shared" ca="1" si="174"/>
        <v>0</v>
      </c>
      <c r="AF384" s="156">
        <f t="shared" ca="1" si="174"/>
        <v>0</v>
      </c>
      <c r="AG384" s="156">
        <f t="shared" ca="1" si="174"/>
        <v>0</v>
      </c>
      <c r="AH384" s="156">
        <f t="shared" ca="1" si="174"/>
        <v>0</v>
      </c>
      <c r="AI384" s="156">
        <f t="shared" ca="1" si="174"/>
        <v>0</v>
      </c>
      <c r="AJ384" s="156">
        <f t="shared" ca="1" si="174"/>
        <v>0</v>
      </c>
      <c r="AK384" s="156">
        <f t="shared" ca="1" si="174"/>
        <v>0</v>
      </c>
      <c r="AL384" s="156">
        <f t="shared" ca="1" si="174"/>
        <v>0</v>
      </c>
      <c r="AM384" s="156">
        <f t="shared" ca="1" si="174"/>
        <v>0</v>
      </c>
      <c r="AN384" s="156">
        <f t="shared" ca="1" si="174"/>
        <v>0</v>
      </c>
      <c r="AO384" s="156">
        <f t="shared" ca="1" si="174"/>
        <v>0</v>
      </c>
      <c r="AP384" s="156">
        <f t="shared" ca="1" si="174"/>
        <v>0</v>
      </c>
      <c r="AQ384" s="156">
        <f t="shared" ca="1" si="174"/>
        <v>0</v>
      </c>
      <c r="AR384" s="156">
        <f t="shared" ca="1" si="174"/>
        <v>0</v>
      </c>
      <c r="AS384" s="156">
        <f t="shared" ca="1" si="174"/>
        <v>0</v>
      </c>
      <c r="AT384" s="156">
        <f t="shared" ca="1" si="174"/>
        <v>0</v>
      </c>
      <c r="AU384" s="156">
        <f t="shared" ca="1" si="174"/>
        <v>0</v>
      </c>
      <c r="AV384" s="156">
        <f t="shared" ca="1" si="174"/>
        <v>0</v>
      </c>
      <c r="AW384" s="156">
        <f t="shared" ca="1" si="174"/>
        <v>0</v>
      </c>
    </row>
    <row r="385" spans="3:49">
      <c r="C385" t="str">
        <f t="shared" si="171"/>
        <v>-</v>
      </c>
      <c r="D385" s="157">
        <f>SUMIF($C$276:$C$295,'Tech Parameters'!H238,D$276:D$295)+SUMIF($C$321:$C$340,'Tech Parameters'!H188,D$321:D$340)</f>
        <v>0</v>
      </c>
      <c r="E385" s="157">
        <f>SUMIF($C$276:$C$295,'Tech Parameters'!I238,E$276:E$295)+SUMIF($C$321:$C$340,'Tech Parameters'!I188,E$321:E$340)</f>
        <v>0</v>
      </c>
      <c r="F385" s="157">
        <f>SUMIF($C$276:$C$295,'Tech Parameters'!J238,F$276:F$295)+SUMIF($C$321:$C$340,'Tech Parameters'!J188,F$321:F$340)</f>
        <v>0</v>
      </c>
      <c r="G385" s="157">
        <f>SUMIF($C$276:$C$295,'Tech Parameters'!K238,G$276:G$295)+SUMIF($C$321:$C$340,'Tech Parameters'!K188,G$321:G$340)</f>
        <v>0</v>
      </c>
      <c r="H385" s="157">
        <f>SUMIF($C$276:$C$295,'Tech Parameters'!L238,H$276:H$295)+SUMIF($C$321:$C$340,'Tech Parameters'!L188,H$321:H$340)</f>
        <v>0</v>
      </c>
      <c r="I385" s="157">
        <f ca="1">SUMIF($C$276:$C$295,'Tech Parameters'!M238,I$276:I$295)+SUMIF($C$321:$C$340,'Tech Parameters'!M188,I$321:I$340)</f>
        <v>0</v>
      </c>
      <c r="J385" s="9">
        <f ca="1">SUMIF($C$276:$C$295,'Tech Parameters'!N238,J$276:J$295)+SUMIF($C$321:$C$340,'Tech Parameters'!N188,J$321:J$340)</f>
        <v>0</v>
      </c>
      <c r="K385" s="9">
        <f ca="1">SUMIF($C$276:$C$295,'Tech Parameters'!O238,K$276:K$295)+SUMIF($C$321:$C$340,'Tech Parameters'!O188,K$321:K$340)</f>
        <v>0</v>
      </c>
      <c r="L385" s="9">
        <f ca="1">SUMIF($C$276:$C$295,'Tech Parameters'!P238,L$276:L$295)+SUMIF($C$321:$C$340,'Tech Parameters'!P188,L$321:L$340)</f>
        <v>0</v>
      </c>
      <c r="M385" s="9">
        <f ca="1">SUMIF($C$276:$C$295,'Tech Parameters'!Q238,M$276:M$295)+SUMIF($C$321:$C$340,'Tech Parameters'!Q188,M$321:M$340)</f>
        <v>0</v>
      </c>
      <c r="N385" s="9">
        <f ca="1">SUMIF($C$276:$C$295,'Tech Parameters'!R238,N$276:N$295)+SUMIF($C$321:$C$340,'Tech Parameters'!R188,N$321:N$340)</f>
        <v>0</v>
      </c>
      <c r="O385" s="9">
        <f ca="1">SUMIF($C$276:$C$295,'Tech Parameters'!S238,O$276:O$295)+SUMIF($C$321:$C$340,'Tech Parameters'!S188,O$321:O$340)</f>
        <v>0</v>
      </c>
      <c r="P385" s="9">
        <f ca="1">SUMIF($C$276:$C$295,'Tech Parameters'!T238,P$276:P$295)+SUMIF($C$321:$C$340,'Tech Parameters'!T188,P$321:P$340)</f>
        <v>0</v>
      </c>
      <c r="Q385" s="9">
        <f ca="1">SUMIF($C$276:$C$295,'Tech Parameters'!U238,Q$276:Q$295)+SUMIF($C$321:$C$340,'Tech Parameters'!U188,Q$321:Q$340)</f>
        <v>0</v>
      </c>
      <c r="R385" s="9">
        <f ca="1">SUMIF($C$276:$C$295,'Tech Parameters'!V238,R$276:R$295)+SUMIF($C$321:$C$340,'Tech Parameters'!V188,R$321:R$340)</f>
        <v>0</v>
      </c>
      <c r="S385" s="9">
        <f ca="1">SUMIF($C$276:$C$295,'Tech Parameters'!W238,S$276:S$295)+SUMIF($C$321:$C$340,'Tech Parameters'!W188,S$321:S$340)</f>
        <v>0</v>
      </c>
      <c r="T385" s="9">
        <f ca="1">SUMIF($C$276:$C$295,'Tech Parameters'!X238,T$276:T$295)+SUMIF($C$321:$C$340,'Tech Parameters'!X188,T$321:T$340)</f>
        <v>0</v>
      </c>
      <c r="U385" s="9">
        <f ca="1">SUMIF($C$276:$C$295,'Tech Parameters'!Y238,U$276:U$295)+SUMIF($C$321:$C$340,'Tech Parameters'!Y188,U$321:U$340)</f>
        <v>0</v>
      </c>
      <c r="V385" s="9">
        <f ca="1">SUMIF($C$276:$C$295,'Tech Parameters'!Z238,V$276:V$295)+SUMIF($C$321:$C$340,'Tech Parameters'!Z188,V$321:V$340)</f>
        <v>0</v>
      </c>
      <c r="W385" s="9">
        <f ca="1">SUMIF($C$276:$C$295,'Tech Parameters'!AA238,W$276:W$295)+SUMIF($C$321:$C$340,'Tech Parameters'!AA188,W$321:W$340)</f>
        <v>0</v>
      </c>
      <c r="X385" s="9">
        <f ca="1">SUMIF($C$276:$C$295,'Tech Parameters'!AB238,X$276:X$295)+SUMIF($C$321:$C$340,'Tech Parameters'!AB188,X$321:X$340)</f>
        <v>0</v>
      </c>
      <c r="Y385" s="9">
        <f ca="1">SUMIF($C$276:$C$295,'Tech Parameters'!AC238,Y$276:Y$295)+SUMIF($C$321:$C$340,'Tech Parameters'!AC188,Y$321:Y$340)</f>
        <v>0</v>
      </c>
      <c r="Z385" s="9">
        <f ca="1">SUMIF($C$276:$C$295,'Tech Parameters'!AD238,Z$276:Z$295)+SUMIF($C$321:$C$340,'Tech Parameters'!AD188,Z$321:Z$340)</f>
        <v>0</v>
      </c>
      <c r="AA385" s="9">
        <f ca="1">SUMIF($C$276:$C$295,'Tech Parameters'!AE238,AA$276:AA$295)+SUMIF($C$321:$C$340,'Tech Parameters'!AE188,AA$321:AA$340)</f>
        <v>0</v>
      </c>
      <c r="AB385" s="9">
        <f ca="1">SUMIF($C$276:$C$295,'Tech Parameters'!AF238,AB$276:AB$295)+SUMIF($C$321:$C$340,'Tech Parameters'!AF188,AB$321:AB$340)</f>
        <v>0</v>
      </c>
      <c r="AC385" s="9">
        <f ca="1">SUMIF($C$276:$C$295,'Tech Parameters'!AG238,AC$276:AC$295)+SUMIF($C$321:$C$340,'Tech Parameters'!AG188,AC$321:AC$340)</f>
        <v>0</v>
      </c>
      <c r="AD385" s="156">
        <f t="shared" ca="1" si="177"/>
        <v>0</v>
      </c>
      <c r="AE385" s="156">
        <f t="shared" ref="AE385:AW385" ca="1" si="178">AD385</f>
        <v>0</v>
      </c>
      <c r="AF385" s="156">
        <f t="shared" ca="1" si="178"/>
        <v>0</v>
      </c>
      <c r="AG385" s="156">
        <f t="shared" ca="1" si="178"/>
        <v>0</v>
      </c>
      <c r="AH385" s="156">
        <f t="shared" ca="1" si="178"/>
        <v>0</v>
      </c>
      <c r="AI385" s="156">
        <f t="shared" ca="1" si="178"/>
        <v>0</v>
      </c>
      <c r="AJ385" s="156">
        <f t="shared" ca="1" si="178"/>
        <v>0</v>
      </c>
      <c r="AK385" s="156">
        <f t="shared" ca="1" si="178"/>
        <v>0</v>
      </c>
      <c r="AL385" s="156">
        <f t="shared" ca="1" si="178"/>
        <v>0</v>
      </c>
      <c r="AM385" s="156">
        <f t="shared" ca="1" si="178"/>
        <v>0</v>
      </c>
      <c r="AN385" s="156">
        <f t="shared" ca="1" si="178"/>
        <v>0</v>
      </c>
      <c r="AO385" s="156">
        <f t="shared" ca="1" si="178"/>
        <v>0</v>
      </c>
      <c r="AP385" s="156">
        <f t="shared" ca="1" si="178"/>
        <v>0</v>
      </c>
      <c r="AQ385" s="156">
        <f t="shared" ca="1" si="178"/>
        <v>0</v>
      </c>
      <c r="AR385" s="156">
        <f t="shared" ca="1" si="178"/>
        <v>0</v>
      </c>
      <c r="AS385" s="156">
        <f t="shared" ca="1" si="178"/>
        <v>0</v>
      </c>
      <c r="AT385" s="156">
        <f t="shared" ca="1" si="178"/>
        <v>0</v>
      </c>
      <c r="AU385" s="156">
        <f t="shared" ca="1" si="178"/>
        <v>0</v>
      </c>
      <c r="AV385" s="156">
        <f t="shared" ca="1" si="178"/>
        <v>0</v>
      </c>
      <c r="AW385" s="156">
        <f t="shared" ca="1" si="178"/>
        <v>0</v>
      </c>
    </row>
    <row r="386" spans="3:49">
      <c r="C386" t="str">
        <f t="shared" si="171"/>
        <v>Pumped storage</v>
      </c>
      <c r="D386" s="157">
        <f>SUMIF($C$276:$C$295,'Tech Parameters'!H239,D$276:D$295)+SUMIF($C$321:$C$340,'Tech Parameters'!H189,D$321:D$340)</f>
        <v>3096.0000000000005</v>
      </c>
      <c r="E386" s="157">
        <f>SUMIF($C$276:$C$295,'Tech Parameters'!I239,E$276:E$295)+SUMIF($C$321:$C$340,'Tech Parameters'!I189,E$321:E$340)</f>
        <v>3096.0000000000005</v>
      </c>
      <c r="F386" s="157">
        <f>SUMIF($C$276:$C$295,'Tech Parameters'!J239,F$276:F$295)+SUMIF($C$321:$C$340,'Tech Parameters'!J189,F$321:F$340)</f>
        <v>3096.0000000000005</v>
      </c>
      <c r="G386" s="157">
        <f>SUMIF($C$276:$C$295,'Tech Parameters'!K239,G$276:G$295)+SUMIF($C$321:$C$340,'Tech Parameters'!K189,G$321:G$340)</f>
        <v>3096.0000000000005</v>
      </c>
      <c r="H386" s="157">
        <f>SUMIF($C$276:$C$295,'Tech Parameters'!L239,H$276:H$295)+SUMIF($C$321:$C$340,'Tech Parameters'!L189,H$321:H$340)</f>
        <v>3096.0000000000005</v>
      </c>
      <c r="I386" s="157">
        <f ca="1">SUMIF($C$276:$C$295,'Tech Parameters'!M239,I$276:I$295)+SUMIF($C$321:$C$340,'Tech Parameters'!M189,I$321:I$340)</f>
        <v>3096.0000000000005</v>
      </c>
      <c r="J386" s="9">
        <f ca="1">SUMIF($C$276:$C$295,'Tech Parameters'!N239,J$276:J$295)+SUMIF($C$321:$C$340,'Tech Parameters'!N189,J$321:J$340)</f>
        <v>3096.0000000000005</v>
      </c>
      <c r="K386" s="9">
        <f ca="1">SUMIF($C$276:$C$295,'Tech Parameters'!O239,K$276:K$295)+SUMIF($C$321:$C$340,'Tech Parameters'!O189,K$321:K$340)</f>
        <v>3096.0000000000005</v>
      </c>
      <c r="L386" s="9">
        <f ca="1">SUMIF($C$276:$C$295,'Tech Parameters'!P239,L$276:L$295)+SUMIF($C$321:$C$340,'Tech Parameters'!P189,L$321:L$340)</f>
        <v>4401.0227848101276</v>
      </c>
      <c r="M386" s="9">
        <f ca="1">SUMIF($C$276:$C$295,'Tech Parameters'!Q239,M$276:M$295)+SUMIF($C$321:$C$340,'Tech Parameters'!Q189,M$321:M$340)</f>
        <v>5706.0455696202544</v>
      </c>
      <c r="N386" s="9">
        <f ca="1">SUMIF($C$276:$C$295,'Tech Parameters'!R239,N$276:N$295)+SUMIF($C$321:$C$340,'Tech Parameters'!R189,N$321:N$340)</f>
        <v>5706.0455696202544</v>
      </c>
      <c r="O386" s="9">
        <f ca="1">SUMIF($C$276:$C$295,'Tech Parameters'!S239,O$276:O$295)+SUMIF($C$321:$C$340,'Tech Parameters'!S189,O$321:O$340)</f>
        <v>5706.0455696202544</v>
      </c>
      <c r="P386" s="9">
        <f ca="1">SUMIF($C$276:$C$295,'Tech Parameters'!T239,P$276:P$295)+SUMIF($C$321:$C$340,'Tech Parameters'!T189,P$321:P$340)</f>
        <v>5706.0455696202544</v>
      </c>
      <c r="Q386" s="9">
        <f ca="1">SUMIF($C$276:$C$295,'Tech Parameters'!U239,Q$276:Q$295)+SUMIF($C$321:$C$340,'Tech Parameters'!U189,Q$321:Q$340)</f>
        <v>5706.0455696202544</v>
      </c>
      <c r="R386" s="9">
        <f ca="1">SUMIF($C$276:$C$295,'Tech Parameters'!V239,R$276:R$295)+SUMIF($C$321:$C$340,'Tech Parameters'!V189,R$321:R$340)</f>
        <v>5706.0455696202544</v>
      </c>
      <c r="S386" s="9">
        <f ca="1">SUMIF($C$276:$C$295,'Tech Parameters'!W239,S$276:S$295)+SUMIF($C$321:$C$340,'Tech Parameters'!W189,S$321:S$340)</f>
        <v>5706.0455696202544</v>
      </c>
      <c r="T386" s="9">
        <f ca="1">SUMIF($C$276:$C$295,'Tech Parameters'!X239,T$276:T$295)+SUMIF($C$321:$C$340,'Tech Parameters'!X189,T$321:T$340)</f>
        <v>5706.0455696202544</v>
      </c>
      <c r="U386" s="9">
        <f ca="1">SUMIF($C$276:$C$295,'Tech Parameters'!Y239,U$276:U$295)+SUMIF($C$321:$C$340,'Tech Parameters'!Y189,U$321:U$340)</f>
        <v>5706.0455696202544</v>
      </c>
      <c r="V386" s="9">
        <f ca="1">SUMIF($C$276:$C$295,'Tech Parameters'!Z239,V$276:V$295)+SUMIF($C$321:$C$340,'Tech Parameters'!Z189,V$321:V$340)</f>
        <v>5706.0455696202544</v>
      </c>
      <c r="W386" s="9">
        <f ca="1">SUMIF($C$276:$C$295,'Tech Parameters'!AA239,W$276:W$295)+SUMIF($C$321:$C$340,'Tech Parameters'!AA189,W$321:W$340)</f>
        <v>5706.0455696202544</v>
      </c>
      <c r="X386" s="9">
        <f ca="1">SUMIF($C$276:$C$295,'Tech Parameters'!AB239,X$276:X$295)+SUMIF($C$321:$C$340,'Tech Parameters'!AB189,X$321:X$340)</f>
        <v>5706.0455696202544</v>
      </c>
      <c r="Y386" s="9">
        <f ca="1">SUMIF($C$276:$C$295,'Tech Parameters'!AC239,Y$276:Y$295)+SUMIF($C$321:$C$340,'Tech Parameters'!AC189,Y$321:Y$340)</f>
        <v>5706.0455696202544</v>
      </c>
      <c r="Z386" s="9">
        <f ca="1">SUMIF($C$276:$C$295,'Tech Parameters'!AD239,Z$276:Z$295)+SUMIF($C$321:$C$340,'Tech Parameters'!AD189,Z$321:Z$340)</f>
        <v>5706.0455696202544</v>
      </c>
      <c r="AA386" s="9">
        <f ca="1">SUMIF($C$276:$C$295,'Tech Parameters'!AE239,AA$276:AA$295)+SUMIF($C$321:$C$340,'Tech Parameters'!AE189,AA$321:AA$340)</f>
        <v>5706.0455696202544</v>
      </c>
      <c r="AB386" s="9">
        <f ca="1">SUMIF($C$276:$C$295,'Tech Parameters'!AF239,AB$276:AB$295)+SUMIF($C$321:$C$340,'Tech Parameters'!AF189,AB$321:AB$340)</f>
        <v>5706.0455696202544</v>
      </c>
      <c r="AC386" s="9">
        <f ca="1">SUMIF($C$276:$C$295,'Tech Parameters'!AG239,AC$276:AC$295)+SUMIF($C$321:$C$340,'Tech Parameters'!AG189,AC$321:AC$340)</f>
        <v>5706.0455696202544</v>
      </c>
      <c r="AD386" s="156">
        <f t="shared" ca="1" si="177"/>
        <v>5706.0455696202544</v>
      </c>
      <c r="AE386" s="156">
        <f t="shared" ref="AE386:AW386" ca="1" si="179">AD386</f>
        <v>5706.0455696202544</v>
      </c>
      <c r="AF386" s="156">
        <f t="shared" ca="1" si="179"/>
        <v>5706.0455696202544</v>
      </c>
      <c r="AG386" s="156">
        <f t="shared" ca="1" si="179"/>
        <v>5706.0455696202544</v>
      </c>
      <c r="AH386" s="156">
        <f t="shared" ca="1" si="179"/>
        <v>5706.0455696202544</v>
      </c>
      <c r="AI386" s="156">
        <f t="shared" ca="1" si="179"/>
        <v>5706.0455696202544</v>
      </c>
      <c r="AJ386" s="156">
        <f t="shared" ca="1" si="179"/>
        <v>5706.0455696202544</v>
      </c>
      <c r="AK386" s="156">
        <f t="shared" ca="1" si="179"/>
        <v>5706.0455696202544</v>
      </c>
      <c r="AL386" s="156">
        <f t="shared" ca="1" si="179"/>
        <v>5706.0455696202544</v>
      </c>
      <c r="AM386" s="156">
        <f t="shared" ca="1" si="179"/>
        <v>5706.0455696202544</v>
      </c>
      <c r="AN386" s="156">
        <f t="shared" ca="1" si="179"/>
        <v>5706.0455696202544</v>
      </c>
      <c r="AO386" s="156">
        <f t="shared" ca="1" si="179"/>
        <v>5706.0455696202544</v>
      </c>
      <c r="AP386" s="156">
        <f t="shared" ca="1" si="179"/>
        <v>5706.0455696202544</v>
      </c>
      <c r="AQ386" s="156">
        <f t="shared" ca="1" si="179"/>
        <v>5706.0455696202544</v>
      </c>
      <c r="AR386" s="156">
        <f t="shared" ca="1" si="179"/>
        <v>5706.0455696202544</v>
      </c>
      <c r="AS386" s="156">
        <f t="shared" ca="1" si="179"/>
        <v>5706.0455696202544</v>
      </c>
      <c r="AT386" s="156">
        <f t="shared" ca="1" si="179"/>
        <v>5706.0455696202544</v>
      </c>
      <c r="AU386" s="156">
        <f t="shared" ca="1" si="179"/>
        <v>5706.0455696202544</v>
      </c>
      <c r="AV386" s="156">
        <f t="shared" ca="1" si="179"/>
        <v>5706.0455696202544</v>
      </c>
      <c r="AW386" s="156">
        <f t="shared" ca="1" si="179"/>
        <v>5706.0455696202544</v>
      </c>
    </row>
    <row r="387" spans="3:49">
      <c r="C387" s="4" t="s">
        <v>5</v>
      </c>
      <c r="D387" s="157">
        <f t="shared" ref="D387:I387" si="180">SUM(D367:D386)</f>
        <v>237193.44941327997</v>
      </c>
      <c r="E387" s="157">
        <f t="shared" si="180"/>
        <v>237193.44941327997</v>
      </c>
      <c r="F387" s="157">
        <f t="shared" si="180"/>
        <v>243975.02833833831</v>
      </c>
      <c r="G387" s="157">
        <f t="shared" si="180"/>
        <v>246337.34650084164</v>
      </c>
      <c r="H387" s="157">
        <f t="shared" si="180"/>
        <v>246337.34650084164</v>
      </c>
      <c r="I387" s="157">
        <f t="shared" ca="1" si="180"/>
        <v>253118.9611461501</v>
      </c>
      <c r="J387" s="9">
        <f t="shared" ref="J387:AD387" ca="1" si="181">SUM(J367:J386)</f>
        <v>258113.61923214133</v>
      </c>
      <c r="K387" s="9">
        <f t="shared" ca="1" si="181"/>
        <v>264084.55551916349</v>
      </c>
      <c r="L387" s="9">
        <f t="shared" ca="1" si="181"/>
        <v>272749.97832692182</v>
      </c>
      <c r="M387" s="9">
        <f t="shared" ca="1" si="181"/>
        <v>282961.39784754527</v>
      </c>
      <c r="N387" s="9">
        <f t="shared" ca="1" si="181"/>
        <v>291283.4260214332</v>
      </c>
      <c r="O387" s="9">
        <f t="shared" ca="1" si="181"/>
        <v>300068.18331526167</v>
      </c>
      <c r="P387" s="9">
        <f t="shared" ca="1" si="181"/>
        <v>308708.50493003364</v>
      </c>
      <c r="Q387" s="9">
        <f t="shared" ca="1" si="181"/>
        <v>317822.25460393558</v>
      </c>
      <c r="R387" s="9">
        <f t="shared" ca="1" si="181"/>
        <v>327363.96184541262</v>
      </c>
      <c r="S387" s="9">
        <f t="shared" ca="1" si="181"/>
        <v>336954.74253259087</v>
      </c>
      <c r="T387" s="9">
        <f t="shared" ca="1" si="181"/>
        <v>347048.37336166983</v>
      </c>
      <c r="U387" s="9">
        <f t="shared" ca="1" si="181"/>
        <v>357291.78933940019</v>
      </c>
      <c r="V387" s="9">
        <f t="shared" ca="1" si="181"/>
        <v>368244.01003842673</v>
      </c>
      <c r="W387" s="9">
        <f t="shared" ca="1" si="181"/>
        <v>379576.04307867616</v>
      </c>
      <c r="X387" s="9">
        <f t="shared" ca="1" si="181"/>
        <v>391408.2515260292</v>
      </c>
      <c r="Y387" s="9">
        <f t="shared" ca="1" si="181"/>
        <v>404187.31609164213</v>
      </c>
      <c r="Z387" s="9">
        <f t="shared" ca="1" si="181"/>
        <v>417509.35182111606</v>
      </c>
      <c r="AA387" s="9">
        <f t="shared" ca="1" si="181"/>
        <v>431248.6461789757</v>
      </c>
      <c r="AB387" s="9">
        <f t="shared" ca="1" si="181"/>
        <v>445279.48662974586</v>
      </c>
      <c r="AC387" s="9">
        <f t="shared" ca="1" si="181"/>
        <v>455496.15525950264</v>
      </c>
      <c r="AD387" s="156">
        <f t="shared" ca="1" si="181"/>
        <v>455496.15525950264</v>
      </c>
      <c r="AE387" s="156">
        <f t="shared" ref="AE387:AW387" ca="1" si="182">SUM(AE367:AE386)</f>
        <v>455496.15525950264</v>
      </c>
      <c r="AF387" s="156">
        <f t="shared" ca="1" si="182"/>
        <v>455496.15525950264</v>
      </c>
      <c r="AG387" s="156">
        <f t="shared" ca="1" si="182"/>
        <v>455496.15525950259</v>
      </c>
      <c r="AH387" s="156">
        <f t="shared" ca="1" si="182"/>
        <v>455496.15525950253</v>
      </c>
      <c r="AI387" s="156">
        <f t="shared" ca="1" si="182"/>
        <v>455496.15525950253</v>
      </c>
      <c r="AJ387" s="156">
        <f t="shared" ca="1" si="182"/>
        <v>455496.15525950253</v>
      </c>
      <c r="AK387" s="156">
        <f t="shared" ca="1" si="182"/>
        <v>455496.15525950253</v>
      </c>
      <c r="AL387" s="156">
        <f t="shared" ca="1" si="182"/>
        <v>455496.15525950259</v>
      </c>
      <c r="AM387" s="156">
        <f t="shared" ca="1" si="182"/>
        <v>455496.15525950259</v>
      </c>
      <c r="AN387" s="156">
        <f t="shared" ca="1" si="182"/>
        <v>455496.15525950259</v>
      </c>
      <c r="AO387" s="156">
        <f t="shared" ca="1" si="182"/>
        <v>455496.15525950259</v>
      </c>
      <c r="AP387" s="156">
        <f t="shared" ca="1" si="182"/>
        <v>455496.15525950259</v>
      </c>
      <c r="AQ387" s="156">
        <f t="shared" ca="1" si="182"/>
        <v>455496.15525950259</v>
      </c>
      <c r="AR387" s="156">
        <f t="shared" ca="1" si="182"/>
        <v>455496.15525950259</v>
      </c>
      <c r="AS387" s="156">
        <f t="shared" ca="1" si="182"/>
        <v>455496.15525950253</v>
      </c>
      <c r="AT387" s="156">
        <f t="shared" ca="1" si="182"/>
        <v>455496.15525950253</v>
      </c>
      <c r="AU387" s="156">
        <f t="shared" ca="1" si="182"/>
        <v>455496.15525950253</v>
      </c>
      <c r="AV387" s="156">
        <f t="shared" ca="1" si="182"/>
        <v>455496.15525950253</v>
      </c>
      <c r="AW387" s="156">
        <f t="shared" ca="1" si="182"/>
        <v>455496.15525950253</v>
      </c>
    </row>
    <row r="389" spans="3:49">
      <c r="C389" s="4" t="s">
        <v>246</v>
      </c>
    </row>
    <row r="390" spans="3:49">
      <c r="C390" t="str">
        <f>C8</f>
        <v>Existing coal Large</v>
      </c>
      <c r="D390" s="26">
        <f t="shared" ref="D390:AC390" si="183">IF(D8=0,0,D367/D8/8760)</f>
        <v>0.77123086050198464</v>
      </c>
      <c r="E390" s="26">
        <f t="shared" si="183"/>
        <v>0.77123086050198464</v>
      </c>
      <c r="F390" s="26">
        <f t="shared" si="183"/>
        <v>0.79663707773562631</v>
      </c>
      <c r="G390" s="26">
        <f t="shared" si="183"/>
        <v>0.80548716546221288</v>
      </c>
      <c r="H390" s="26">
        <f t="shared" si="183"/>
        <v>0.80548716546221288</v>
      </c>
      <c r="I390" s="26">
        <f t="shared" ca="1" si="183"/>
        <v>0.82450319167071895</v>
      </c>
      <c r="J390" s="26">
        <f t="shared" ca="1" si="183"/>
        <v>0.83891860665566464</v>
      </c>
      <c r="K390" s="26">
        <f t="shared" ca="1" si="183"/>
        <v>0.85494252468904797</v>
      </c>
      <c r="L390" s="26">
        <f t="shared" ca="1" si="183"/>
        <v>0.86982652794204074</v>
      </c>
      <c r="M390" s="26">
        <f t="shared" ca="1" si="183"/>
        <v>0.87057493204096037</v>
      </c>
      <c r="N390" s="26">
        <f t="shared" ca="1" si="183"/>
        <v>0.87057493204096037</v>
      </c>
      <c r="O390" s="26">
        <f t="shared" ca="1" si="183"/>
        <v>0.87057493204096037</v>
      </c>
      <c r="P390" s="26">
        <f t="shared" ca="1" si="183"/>
        <v>0.87057493204096037</v>
      </c>
      <c r="Q390" s="26">
        <f t="shared" ca="1" si="183"/>
        <v>0.87057493204096037</v>
      </c>
      <c r="R390" s="26">
        <f t="shared" ca="1" si="183"/>
        <v>0.87057493204096037</v>
      </c>
      <c r="S390" s="26">
        <f t="shared" ca="1" si="183"/>
        <v>0.87057493204096037</v>
      </c>
      <c r="T390" s="26">
        <f t="shared" ca="1" si="183"/>
        <v>0.87057493204096037</v>
      </c>
      <c r="U390" s="26">
        <f t="shared" ca="1" si="183"/>
        <v>0.87057493204096037</v>
      </c>
      <c r="V390" s="26">
        <f t="shared" ca="1" si="183"/>
        <v>0.87057493204096037</v>
      </c>
      <c r="W390" s="26">
        <f t="shared" ca="1" si="183"/>
        <v>0.87057493204096037</v>
      </c>
      <c r="X390" s="26">
        <f t="shared" ca="1" si="183"/>
        <v>0.87057493204096048</v>
      </c>
      <c r="Y390" s="26">
        <f t="shared" ca="1" si="183"/>
        <v>0.87057493204096048</v>
      </c>
      <c r="Z390" s="26">
        <f t="shared" ca="1" si="183"/>
        <v>0.87057493204096037</v>
      </c>
      <c r="AA390" s="26">
        <f t="shared" ca="1" si="183"/>
        <v>0.87057493204096048</v>
      </c>
      <c r="AB390" s="26">
        <f t="shared" ca="1" si="183"/>
        <v>0.87057493204096048</v>
      </c>
      <c r="AC390" s="26">
        <f t="shared" ca="1" si="183"/>
        <v>0.87057493204096037</v>
      </c>
    </row>
    <row r="391" spans="3:49">
      <c r="C391" t="str">
        <f t="shared" ref="C391:C409" si="184">C9</f>
        <v>Existing coal Small</v>
      </c>
      <c r="D391" s="26">
        <f t="shared" ref="D391:AC391" si="185">IF(D9=0,0,D368/D9/8760)</f>
        <v>0.24117070041146876</v>
      </c>
      <c r="E391" s="26">
        <f t="shared" si="185"/>
        <v>0.24117070041146876</v>
      </c>
      <c r="F391" s="26">
        <f t="shared" si="185"/>
        <v>0.24117070041146876</v>
      </c>
      <c r="G391" s="26">
        <f t="shared" si="185"/>
        <v>0.24117070041146876</v>
      </c>
      <c r="H391" s="26">
        <f t="shared" si="185"/>
        <v>0.24117070041146876</v>
      </c>
      <c r="I391" s="26">
        <f t="shared" ca="1" si="185"/>
        <v>0.24117070041146876</v>
      </c>
      <c r="J391" s="26">
        <f t="shared" ca="1" si="185"/>
        <v>0.24117070041146876</v>
      </c>
      <c r="K391" s="26">
        <f t="shared" ca="1" si="185"/>
        <v>0.24117070041146876</v>
      </c>
      <c r="L391" s="26">
        <f t="shared" ca="1" si="185"/>
        <v>0.24117070041146876</v>
      </c>
      <c r="M391" s="26">
        <f t="shared" ca="1" si="185"/>
        <v>0.24117070041146876</v>
      </c>
      <c r="N391" s="26">
        <f t="shared" ca="1" si="185"/>
        <v>0.24117070041146876</v>
      </c>
      <c r="O391" s="26">
        <f t="shared" ca="1" si="185"/>
        <v>0.24117070041146876</v>
      </c>
      <c r="P391" s="26">
        <f t="shared" ca="1" si="185"/>
        <v>0.24117070041146876</v>
      </c>
      <c r="Q391" s="26">
        <f t="shared" ca="1" si="185"/>
        <v>0.24117070041146882</v>
      </c>
      <c r="R391" s="26">
        <f t="shared" ca="1" si="185"/>
        <v>0.24117070041146876</v>
      </c>
      <c r="S391" s="26">
        <f t="shared" ca="1" si="185"/>
        <v>0.24117070041146876</v>
      </c>
      <c r="T391" s="26">
        <f t="shared" ca="1" si="185"/>
        <v>0.24117070041146882</v>
      </c>
      <c r="U391" s="26">
        <f t="shared" ca="1" si="185"/>
        <v>0.24117070041146882</v>
      </c>
      <c r="V391" s="26">
        <f t="shared" ca="1" si="185"/>
        <v>0.24117070041146882</v>
      </c>
      <c r="W391" s="26">
        <f t="shared" ca="1" si="185"/>
        <v>0.24117070041146882</v>
      </c>
      <c r="X391" s="26">
        <f t="shared" ca="1" si="185"/>
        <v>0.24117070041146876</v>
      </c>
      <c r="Y391" s="26">
        <f t="shared" ca="1" si="185"/>
        <v>0.24117070041146876</v>
      </c>
      <c r="Z391" s="26">
        <f t="shared" ca="1" si="185"/>
        <v>0.24117070041146876</v>
      </c>
      <c r="AA391" s="26">
        <f t="shared" ca="1" si="185"/>
        <v>0.24117070041146876</v>
      </c>
      <c r="AB391" s="26">
        <f t="shared" ca="1" si="185"/>
        <v>0.24117070041146876</v>
      </c>
      <c r="AC391" s="26">
        <f t="shared" ca="1" si="185"/>
        <v>0.24117070041146876</v>
      </c>
    </row>
    <row r="392" spans="3:49">
      <c r="C392" t="str">
        <f t="shared" si="184"/>
        <v>OCGT liquid fuels</v>
      </c>
      <c r="D392" s="26">
        <f t="shared" ref="D392:AC392" si="186">IF(D10=0,0,D369/D10/8760)</f>
        <v>3.1001273333333329E-2</v>
      </c>
      <c r="E392" s="26">
        <f t="shared" si="186"/>
        <v>3.1001273333333329E-2</v>
      </c>
      <c r="F392" s="26">
        <f t="shared" si="186"/>
        <v>3.1001273333333329E-2</v>
      </c>
      <c r="G392" s="26">
        <f t="shared" si="186"/>
        <v>3.1001273333333329E-2</v>
      </c>
      <c r="H392" s="26">
        <f t="shared" si="186"/>
        <v>3.1001273333333329E-2</v>
      </c>
      <c r="I392" s="26">
        <f t="shared" ca="1" si="186"/>
        <v>3.1001273333333329E-2</v>
      </c>
      <c r="J392" s="26">
        <f t="shared" ca="1" si="186"/>
        <v>3.1001273333333329E-2</v>
      </c>
      <c r="K392" s="26">
        <f t="shared" ca="1" si="186"/>
        <v>3.1001273333333329E-2</v>
      </c>
      <c r="L392" s="26">
        <f t="shared" ca="1" si="186"/>
        <v>3.1001273333333329E-2</v>
      </c>
      <c r="M392" s="26">
        <f t="shared" ca="1" si="186"/>
        <v>3.1001273333333329E-2</v>
      </c>
      <c r="N392" s="26">
        <f t="shared" ca="1" si="186"/>
        <v>3.1001273333333329E-2</v>
      </c>
      <c r="O392" s="26">
        <f t="shared" ca="1" si="186"/>
        <v>3.1001273333333329E-2</v>
      </c>
      <c r="P392" s="26">
        <f t="shared" ca="1" si="186"/>
        <v>3.1001273333333329E-2</v>
      </c>
      <c r="Q392" s="26">
        <f t="shared" ca="1" si="186"/>
        <v>3.1001273333333329E-2</v>
      </c>
      <c r="R392" s="26">
        <f t="shared" ca="1" si="186"/>
        <v>3.1001273333333329E-2</v>
      </c>
      <c r="S392" s="26">
        <f t="shared" ca="1" si="186"/>
        <v>3.1001273333333329E-2</v>
      </c>
      <c r="T392" s="26">
        <f t="shared" ca="1" si="186"/>
        <v>3.1001273333333329E-2</v>
      </c>
      <c r="U392" s="26">
        <f t="shared" ca="1" si="186"/>
        <v>3.1001273333333329E-2</v>
      </c>
      <c r="V392" s="26">
        <f t="shared" ca="1" si="186"/>
        <v>3.1001273333333336E-2</v>
      </c>
      <c r="W392" s="26">
        <f t="shared" ca="1" si="186"/>
        <v>3.1001273333333336E-2</v>
      </c>
      <c r="X392" s="26">
        <f t="shared" ca="1" si="186"/>
        <v>3.1001273333333336E-2</v>
      </c>
      <c r="Y392" s="26">
        <f t="shared" ca="1" si="186"/>
        <v>3.1001273333333329E-2</v>
      </c>
      <c r="Z392" s="26">
        <f t="shared" ca="1" si="186"/>
        <v>3.1001273333333329E-2</v>
      </c>
      <c r="AA392" s="26">
        <f t="shared" ca="1" si="186"/>
        <v>3.1001273333333329E-2</v>
      </c>
      <c r="AB392" s="26">
        <f t="shared" ca="1" si="186"/>
        <v>3.1001273333333329E-2</v>
      </c>
      <c r="AC392" s="26">
        <f t="shared" ca="1" si="186"/>
        <v>3.1001273333333329E-2</v>
      </c>
    </row>
    <row r="393" spans="3:49">
      <c r="C393" t="str">
        <f t="shared" si="184"/>
        <v>PWR nuclear</v>
      </c>
      <c r="D393" s="26">
        <f t="shared" ref="D393:AC393" si="187">IF(D11=0,0,D370/D11/8760)</f>
        <v>0.83699999999999986</v>
      </c>
      <c r="E393" s="26">
        <f t="shared" si="187"/>
        <v>0.83699999999999986</v>
      </c>
      <c r="F393" s="26">
        <f t="shared" si="187"/>
        <v>0.83699999999999986</v>
      </c>
      <c r="G393" s="26">
        <f t="shared" si="187"/>
        <v>0.83699999999999986</v>
      </c>
      <c r="H393" s="26">
        <f t="shared" si="187"/>
        <v>0.83699999999999986</v>
      </c>
      <c r="I393" s="26">
        <f t="shared" ca="1" si="187"/>
        <v>0.83699999999999986</v>
      </c>
      <c r="J393" s="26">
        <f t="shared" ca="1" si="187"/>
        <v>0.83699999999999986</v>
      </c>
      <c r="K393" s="26">
        <f t="shared" ca="1" si="187"/>
        <v>0.83699999999999986</v>
      </c>
      <c r="L393" s="26">
        <f t="shared" ca="1" si="187"/>
        <v>0.83699999999999986</v>
      </c>
      <c r="M393" s="26">
        <f t="shared" ca="1" si="187"/>
        <v>0.83699999999999986</v>
      </c>
      <c r="N393" s="26">
        <f t="shared" ca="1" si="187"/>
        <v>0.83699999999999986</v>
      </c>
      <c r="O393" s="26">
        <f t="shared" ca="1" si="187"/>
        <v>0.83699999999999986</v>
      </c>
      <c r="P393" s="26">
        <f t="shared" ca="1" si="187"/>
        <v>0.83699999999999986</v>
      </c>
      <c r="Q393" s="26">
        <f t="shared" ca="1" si="187"/>
        <v>0.83699999999999986</v>
      </c>
      <c r="R393" s="26">
        <f t="shared" ca="1" si="187"/>
        <v>0.83699999999999986</v>
      </c>
      <c r="S393" s="26">
        <f t="shared" ca="1" si="187"/>
        <v>0.83699999999999986</v>
      </c>
      <c r="T393" s="26">
        <f t="shared" ca="1" si="187"/>
        <v>0.83699999999999986</v>
      </c>
      <c r="U393" s="26">
        <f t="shared" ca="1" si="187"/>
        <v>0.83699999999999986</v>
      </c>
      <c r="V393" s="26">
        <f t="shared" ca="1" si="187"/>
        <v>0.83699999999999986</v>
      </c>
      <c r="W393" s="26">
        <f t="shared" ca="1" si="187"/>
        <v>0.83699999999999986</v>
      </c>
      <c r="X393" s="26">
        <f t="shared" ca="1" si="187"/>
        <v>0.83699999999999986</v>
      </c>
      <c r="Y393" s="26">
        <f t="shared" ca="1" si="187"/>
        <v>0.83699999999999986</v>
      </c>
      <c r="Z393" s="26">
        <f t="shared" ca="1" si="187"/>
        <v>0.83699999999999986</v>
      </c>
      <c r="AA393" s="26">
        <f t="shared" ca="1" si="187"/>
        <v>0.83699999999999986</v>
      </c>
      <c r="AB393" s="26">
        <f t="shared" ca="1" si="187"/>
        <v>0.83699999999999986</v>
      </c>
      <c r="AC393" s="26">
        <f t="shared" ca="1" si="187"/>
        <v>0.83699999999999986</v>
      </c>
    </row>
    <row r="394" spans="3:49">
      <c r="C394" t="str">
        <f t="shared" si="184"/>
        <v>Hydro</v>
      </c>
      <c r="D394" s="26">
        <f t="shared" ref="D394:AC394" si="188">IF(D12=0,0,D371/D12/8760)</f>
        <v>0.15079248120300756</v>
      </c>
      <c r="E394" s="26">
        <f t="shared" si="188"/>
        <v>0.15079248120300756</v>
      </c>
      <c r="F394" s="26">
        <f t="shared" si="188"/>
        <v>0.15079248120300756</v>
      </c>
      <c r="G394" s="26">
        <f t="shared" si="188"/>
        <v>0.15079248120300756</v>
      </c>
      <c r="H394" s="26">
        <f t="shared" si="188"/>
        <v>0.15079248120300756</v>
      </c>
      <c r="I394" s="26">
        <f t="shared" ca="1" si="188"/>
        <v>0.15079248120300756</v>
      </c>
      <c r="J394" s="26">
        <f t="shared" ca="1" si="188"/>
        <v>0.15079248120300756</v>
      </c>
      <c r="K394" s="26">
        <f t="shared" ca="1" si="188"/>
        <v>0.15079248120300756</v>
      </c>
      <c r="L394" s="26">
        <f t="shared" ca="1" si="188"/>
        <v>0.15079248120300756</v>
      </c>
      <c r="M394" s="26">
        <f t="shared" ca="1" si="188"/>
        <v>0.15079248120300756</v>
      </c>
      <c r="N394" s="26">
        <f t="shared" ca="1" si="188"/>
        <v>0.15079248120300756</v>
      </c>
      <c r="O394" s="26">
        <f t="shared" ca="1" si="188"/>
        <v>0.15079248120300756</v>
      </c>
      <c r="P394" s="26">
        <f t="shared" ca="1" si="188"/>
        <v>0.15079248120300756</v>
      </c>
      <c r="Q394" s="26">
        <f t="shared" ca="1" si="188"/>
        <v>0.15079248120300756</v>
      </c>
      <c r="R394" s="26">
        <f t="shared" ca="1" si="188"/>
        <v>0.15079248120300756</v>
      </c>
      <c r="S394" s="26">
        <f t="shared" ca="1" si="188"/>
        <v>0.15079248120300756</v>
      </c>
      <c r="T394" s="26">
        <f t="shared" ca="1" si="188"/>
        <v>0.15079248120300756</v>
      </c>
      <c r="U394" s="26">
        <f t="shared" ca="1" si="188"/>
        <v>0.15079248120300756</v>
      </c>
      <c r="V394" s="26">
        <f t="shared" ca="1" si="188"/>
        <v>0.15079248120300756</v>
      </c>
      <c r="W394" s="26">
        <f t="shared" ca="1" si="188"/>
        <v>0.15079248120300756</v>
      </c>
      <c r="X394" s="26">
        <f t="shared" ca="1" si="188"/>
        <v>0.15079248120300756</v>
      </c>
      <c r="Y394" s="26">
        <f t="shared" ca="1" si="188"/>
        <v>0.15079248120300756</v>
      </c>
      <c r="Z394" s="26">
        <f t="shared" ca="1" si="188"/>
        <v>0.15079248120300756</v>
      </c>
      <c r="AA394" s="26">
        <f t="shared" ca="1" si="188"/>
        <v>0.15079248120300756</v>
      </c>
      <c r="AB394" s="26">
        <f t="shared" ca="1" si="188"/>
        <v>0.15079248120300756</v>
      </c>
      <c r="AC394" s="26">
        <f t="shared" ca="1" si="188"/>
        <v>0.15079248120300756</v>
      </c>
    </row>
    <row r="395" spans="3:49">
      <c r="C395" t="str">
        <f t="shared" si="184"/>
        <v>Landfill gas</v>
      </c>
      <c r="D395" s="26">
        <f t="shared" ref="D395:AC395" si="189">IF(D13=0,0,D372/D13/8760)</f>
        <v>0.85562499999999997</v>
      </c>
      <c r="E395" s="26">
        <f t="shared" si="189"/>
        <v>0.85562499999999997</v>
      </c>
      <c r="F395" s="26">
        <f t="shared" si="189"/>
        <v>0.85562499999999997</v>
      </c>
      <c r="G395" s="26">
        <f t="shared" si="189"/>
        <v>0.85562499999999997</v>
      </c>
      <c r="H395" s="26">
        <f t="shared" si="189"/>
        <v>0.85562499999999997</v>
      </c>
      <c r="I395" s="26">
        <f t="shared" ca="1" si="189"/>
        <v>0.85562499999999997</v>
      </c>
      <c r="J395" s="26">
        <f t="shared" ca="1" si="189"/>
        <v>0.85562499999999997</v>
      </c>
      <c r="K395" s="26">
        <f t="shared" ca="1" si="189"/>
        <v>0.85562499999999997</v>
      </c>
      <c r="L395" s="26">
        <f t="shared" ca="1" si="189"/>
        <v>0.85562499999999997</v>
      </c>
      <c r="M395" s="26">
        <f t="shared" ca="1" si="189"/>
        <v>0.85562499999999997</v>
      </c>
      <c r="N395" s="26">
        <f t="shared" ca="1" si="189"/>
        <v>0.85562499999999997</v>
      </c>
      <c r="O395" s="26">
        <f t="shared" ca="1" si="189"/>
        <v>0.85562499999999997</v>
      </c>
      <c r="P395" s="26">
        <f t="shared" ca="1" si="189"/>
        <v>0.85562499999999997</v>
      </c>
      <c r="Q395" s="26">
        <f t="shared" ca="1" si="189"/>
        <v>0.85562499999999997</v>
      </c>
      <c r="R395" s="26">
        <f t="shared" ca="1" si="189"/>
        <v>0.85562499999999997</v>
      </c>
      <c r="S395" s="26">
        <f t="shared" ca="1" si="189"/>
        <v>0.85562499999999997</v>
      </c>
      <c r="T395" s="26">
        <f t="shared" ca="1" si="189"/>
        <v>0.85562499999999997</v>
      </c>
      <c r="U395" s="26">
        <f t="shared" ca="1" si="189"/>
        <v>0.85562499999999997</v>
      </c>
      <c r="V395" s="26">
        <f t="shared" ca="1" si="189"/>
        <v>0.85562499999999997</v>
      </c>
      <c r="W395" s="26">
        <f t="shared" ca="1" si="189"/>
        <v>0.85562499999999997</v>
      </c>
      <c r="X395" s="26">
        <f t="shared" ca="1" si="189"/>
        <v>0.85562499999999997</v>
      </c>
      <c r="Y395" s="26">
        <f t="shared" ca="1" si="189"/>
        <v>0.85562499999999997</v>
      </c>
      <c r="Z395" s="26">
        <f t="shared" ca="1" si="189"/>
        <v>0.85562499999999997</v>
      </c>
      <c r="AA395" s="26">
        <f t="shared" ca="1" si="189"/>
        <v>0.85562499999999997</v>
      </c>
      <c r="AB395" s="26">
        <f t="shared" ca="1" si="189"/>
        <v>0.85562499999999997</v>
      </c>
      <c r="AC395" s="26">
        <f t="shared" ca="1" si="189"/>
        <v>0.85562499999999997</v>
      </c>
    </row>
    <row r="396" spans="3:49">
      <c r="C396" t="str">
        <f t="shared" si="184"/>
        <v>Biomass</v>
      </c>
      <c r="D396" s="26">
        <f t="shared" ref="D396:AC396" si="190">IF(D14=0,0,D373/D14/8760)</f>
        <v>0.9025000000000174</v>
      </c>
      <c r="E396" s="26">
        <f t="shared" si="190"/>
        <v>0.90249999999999997</v>
      </c>
      <c r="F396" s="26">
        <f t="shared" si="190"/>
        <v>0.90249999999999997</v>
      </c>
      <c r="G396" s="26">
        <f t="shared" si="190"/>
        <v>0.90249999999999997</v>
      </c>
      <c r="H396" s="26">
        <f t="shared" si="190"/>
        <v>0.90249999999999997</v>
      </c>
      <c r="I396" s="26">
        <f t="shared" ca="1" si="190"/>
        <v>0.90249999999999997</v>
      </c>
      <c r="J396" s="26">
        <f t="shared" ca="1" si="190"/>
        <v>0.90249999999999997</v>
      </c>
      <c r="K396" s="26">
        <f t="shared" ca="1" si="190"/>
        <v>0.90249999999999997</v>
      </c>
      <c r="L396" s="26">
        <f t="shared" ca="1" si="190"/>
        <v>0.90249999999999997</v>
      </c>
      <c r="M396" s="26">
        <f t="shared" ca="1" si="190"/>
        <v>0.90249999999999997</v>
      </c>
      <c r="N396" s="26">
        <f t="shared" ca="1" si="190"/>
        <v>0.90249999999999997</v>
      </c>
      <c r="O396" s="26">
        <f t="shared" ca="1" si="190"/>
        <v>0.90249999999999997</v>
      </c>
      <c r="P396" s="26">
        <f t="shared" ca="1" si="190"/>
        <v>0.90249999999999997</v>
      </c>
      <c r="Q396" s="26">
        <f t="shared" ca="1" si="190"/>
        <v>0.90249999999999997</v>
      </c>
      <c r="R396" s="26">
        <f t="shared" ca="1" si="190"/>
        <v>0.90249999999999997</v>
      </c>
      <c r="S396" s="26">
        <f t="shared" ca="1" si="190"/>
        <v>0.90249999999999997</v>
      </c>
      <c r="T396" s="26">
        <f t="shared" ca="1" si="190"/>
        <v>0.90249999999999997</v>
      </c>
      <c r="U396" s="26">
        <f t="shared" ca="1" si="190"/>
        <v>0.90249999999999997</v>
      </c>
      <c r="V396" s="26">
        <f t="shared" ca="1" si="190"/>
        <v>0.90249999999999997</v>
      </c>
      <c r="W396" s="26">
        <f t="shared" ca="1" si="190"/>
        <v>0.90249999999999997</v>
      </c>
      <c r="X396" s="26">
        <f t="shared" ca="1" si="190"/>
        <v>0.90249999999999997</v>
      </c>
      <c r="Y396" s="26">
        <f t="shared" ca="1" si="190"/>
        <v>0.90249999999999997</v>
      </c>
      <c r="Z396" s="26">
        <f t="shared" ca="1" si="190"/>
        <v>0.90249999999999997</v>
      </c>
      <c r="AA396" s="26">
        <f t="shared" ca="1" si="190"/>
        <v>0.90249999999999997</v>
      </c>
      <c r="AB396" s="26">
        <f t="shared" ca="1" si="190"/>
        <v>0.90249999999999997</v>
      </c>
      <c r="AC396" s="26">
        <f t="shared" ca="1" si="190"/>
        <v>0.90249999999999997</v>
      </c>
    </row>
    <row r="397" spans="3:49">
      <c r="C397" t="str">
        <f t="shared" si="184"/>
        <v>Supercritical coal</v>
      </c>
      <c r="D397" s="26">
        <f t="shared" ref="D397:AC397" si="191">IF(D15=0,0,D374/D15/8760)</f>
        <v>0</v>
      </c>
      <c r="E397" s="26">
        <f t="shared" si="191"/>
        <v>0</v>
      </c>
      <c r="F397" s="26">
        <f t="shared" si="191"/>
        <v>0</v>
      </c>
      <c r="G397" s="26">
        <f t="shared" si="191"/>
        <v>0</v>
      </c>
      <c r="H397" s="26">
        <f t="shared" si="191"/>
        <v>0</v>
      </c>
      <c r="I397" s="26">
        <f t="shared" ca="1" si="191"/>
        <v>0</v>
      </c>
      <c r="J397" s="26">
        <f t="shared" ca="1" si="191"/>
        <v>0</v>
      </c>
      <c r="K397" s="26">
        <f t="shared" ca="1" si="191"/>
        <v>0.24351250000000005</v>
      </c>
      <c r="L397" s="26">
        <f t="shared" ca="1" si="191"/>
        <v>0.24351250000000005</v>
      </c>
      <c r="M397" s="26">
        <f t="shared" ca="1" si="191"/>
        <v>0.3303849936702129</v>
      </c>
      <c r="N397" s="26">
        <f t="shared" ca="1" si="191"/>
        <v>0.35319861825386922</v>
      </c>
      <c r="O397" s="26">
        <f t="shared" ca="1" si="191"/>
        <v>0.40483482967736983</v>
      </c>
      <c r="P397" s="26">
        <f t="shared" ca="1" si="191"/>
        <v>0.43898560235861828</v>
      </c>
      <c r="Q397" s="26">
        <f t="shared" ca="1" si="191"/>
        <v>0.43951907316055977</v>
      </c>
      <c r="R397" s="26">
        <f t="shared" ca="1" si="191"/>
        <v>0.44312241992060902</v>
      </c>
      <c r="S397" s="26">
        <f t="shared" ca="1" si="191"/>
        <v>0.45848952200031956</v>
      </c>
      <c r="T397" s="26">
        <f t="shared" ca="1" si="191"/>
        <v>0.4548657284400362</v>
      </c>
      <c r="U397" s="26">
        <f t="shared" ca="1" si="191"/>
        <v>0.44330763314027305</v>
      </c>
      <c r="V397" s="26">
        <f t="shared" ca="1" si="191"/>
        <v>0.44987101782521904</v>
      </c>
      <c r="W397" s="26">
        <f t="shared" ca="1" si="191"/>
        <v>0.4790519065027275</v>
      </c>
      <c r="X397" s="26">
        <f t="shared" ca="1" si="191"/>
        <v>0.5075356894252504</v>
      </c>
      <c r="Y397" s="26">
        <f t="shared" ca="1" si="191"/>
        <v>0.5285546023072123</v>
      </c>
      <c r="Z397" s="26">
        <f t="shared" ca="1" si="191"/>
        <v>0.54492709802049255</v>
      </c>
      <c r="AA397" s="26">
        <f t="shared" ca="1" si="191"/>
        <v>0.56532098468292691</v>
      </c>
      <c r="AB397" s="26">
        <f t="shared" ca="1" si="191"/>
        <v>0.60370701586633002</v>
      </c>
      <c r="AC397" s="26">
        <f t="shared" ca="1" si="191"/>
        <v>0.60050782200767261</v>
      </c>
    </row>
    <row r="398" spans="3:49">
      <c r="C398" t="str">
        <f t="shared" si="184"/>
        <v xml:space="preserve">Wind 30% </v>
      </c>
      <c r="D398" s="26">
        <f t="shared" ref="D398:AC398" si="192">IF(D16=0,0,D375/D16/8760)</f>
        <v>0</v>
      </c>
      <c r="E398" s="26">
        <f t="shared" si="192"/>
        <v>0</v>
      </c>
      <c r="F398" s="26">
        <f t="shared" si="192"/>
        <v>0</v>
      </c>
      <c r="G398" s="26">
        <f t="shared" si="192"/>
        <v>0</v>
      </c>
      <c r="H398" s="26">
        <f t="shared" si="192"/>
        <v>0</v>
      </c>
      <c r="I398" s="26">
        <f t="shared" ca="1" si="192"/>
        <v>0.3</v>
      </c>
      <c r="J398" s="26">
        <f t="shared" ca="1" si="192"/>
        <v>0.3</v>
      </c>
      <c r="K398" s="26">
        <f t="shared" ca="1" si="192"/>
        <v>0.3</v>
      </c>
      <c r="L398" s="26">
        <f t="shared" ca="1" si="192"/>
        <v>0.3</v>
      </c>
      <c r="M398" s="26">
        <f t="shared" ca="1" si="192"/>
        <v>0.3</v>
      </c>
      <c r="N398" s="26">
        <f t="shared" ca="1" si="192"/>
        <v>0.3</v>
      </c>
      <c r="O398" s="26">
        <f t="shared" ca="1" si="192"/>
        <v>0.3</v>
      </c>
      <c r="P398" s="26">
        <f t="shared" ca="1" si="192"/>
        <v>0.3</v>
      </c>
      <c r="Q398" s="26">
        <f t="shared" ca="1" si="192"/>
        <v>0.3</v>
      </c>
      <c r="R398" s="26">
        <f t="shared" ca="1" si="192"/>
        <v>0.3</v>
      </c>
      <c r="S398" s="26">
        <f t="shared" ca="1" si="192"/>
        <v>0.3</v>
      </c>
      <c r="T398" s="26">
        <f t="shared" ca="1" si="192"/>
        <v>0.3</v>
      </c>
      <c r="U398" s="26">
        <f t="shared" ca="1" si="192"/>
        <v>0.3</v>
      </c>
      <c r="V398" s="26">
        <f t="shared" ca="1" si="192"/>
        <v>0.3</v>
      </c>
      <c r="W398" s="26">
        <f t="shared" ca="1" si="192"/>
        <v>0.3</v>
      </c>
      <c r="X398" s="26">
        <f t="shared" ca="1" si="192"/>
        <v>0.3</v>
      </c>
      <c r="Y398" s="26">
        <f t="shared" ca="1" si="192"/>
        <v>0.3</v>
      </c>
      <c r="Z398" s="26">
        <f t="shared" ca="1" si="192"/>
        <v>0.3</v>
      </c>
      <c r="AA398" s="26">
        <f t="shared" ca="1" si="192"/>
        <v>0.3</v>
      </c>
      <c r="AB398" s="26">
        <f t="shared" ca="1" si="192"/>
        <v>0.3</v>
      </c>
      <c r="AC398" s="26">
        <f t="shared" ca="1" si="192"/>
        <v>0</v>
      </c>
    </row>
    <row r="399" spans="3:49">
      <c r="C399" t="str">
        <f t="shared" si="184"/>
        <v>Wind 25%</v>
      </c>
      <c r="D399" s="26">
        <f t="shared" ref="D399:AC399" si="193">IF(D17=0,0,D376/D17/8760)</f>
        <v>0</v>
      </c>
      <c r="E399" s="26">
        <f t="shared" si="193"/>
        <v>0</v>
      </c>
      <c r="F399" s="26">
        <f t="shared" si="193"/>
        <v>0</v>
      </c>
      <c r="G399" s="26">
        <f t="shared" si="193"/>
        <v>0</v>
      </c>
      <c r="H399" s="26">
        <f t="shared" si="193"/>
        <v>0</v>
      </c>
      <c r="I399" s="26">
        <f t="shared" ca="1" si="193"/>
        <v>0</v>
      </c>
      <c r="J399" s="26">
        <f t="shared" ca="1" si="193"/>
        <v>0</v>
      </c>
      <c r="K399" s="26">
        <f t="shared" ca="1" si="193"/>
        <v>0</v>
      </c>
      <c r="L399" s="26">
        <f t="shared" ca="1" si="193"/>
        <v>0</v>
      </c>
      <c r="M399" s="26">
        <f t="shared" ca="1" si="193"/>
        <v>0</v>
      </c>
      <c r="N399" s="26">
        <f t="shared" ca="1" si="193"/>
        <v>0</v>
      </c>
      <c r="O399" s="26">
        <f t="shared" ca="1" si="193"/>
        <v>0</v>
      </c>
      <c r="P399" s="26">
        <f t="shared" ca="1" si="193"/>
        <v>0</v>
      </c>
      <c r="Q399" s="26">
        <f t="shared" ca="1" si="193"/>
        <v>0</v>
      </c>
      <c r="R399" s="26">
        <f t="shared" ca="1" si="193"/>
        <v>0</v>
      </c>
      <c r="S399" s="26">
        <f t="shared" ca="1" si="193"/>
        <v>0</v>
      </c>
      <c r="T399" s="26">
        <f t="shared" ca="1" si="193"/>
        <v>0</v>
      </c>
      <c r="U399" s="26">
        <f t="shared" ca="1" si="193"/>
        <v>0</v>
      </c>
      <c r="V399" s="26">
        <f t="shared" ca="1" si="193"/>
        <v>0</v>
      </c>
      <c r="W399" s="26">
        <f t="shared" ca="1" si="193"/>
        <v>0</v>
      </c>
      <c r="X399" s="26">
        <f t="shared" ca="1" si="193"/>
        <v>0</v>
      </c>
      <c r="Y399" s="26">
        <f t="shared" ca="1" si="193"/>
        <v>0</v>
      </c>
      <c r="Z399" s="26">
        <f t="shared" ca="1" si="193"/>
        <v>0</v>
      </c>
      <c r="AA399" s="26">
        <f t="shared" ca="1" si="193"/>
        <v>0</v>
      </c>
      <c r="AB399" s="26">
        <f t="shared" ca="1" si="193"/>
        <v>0</v>
      </c>
      <c r="AC399" s="26">
        <f t="shared" ca="1" si="193"/>
        <v>0</v>
      </c>
    </row>
    <row r="400" spans="3:49">
      <c r="C400" t="str">
        <f t="shared" si="184"/>
        <v>solar thermal central reciever</v>
      </c>
      <c r="D400" s="26">
        <f t="shared" ref="D400:AC400" si="194">IF(D18=0,0,D377/D18/8760)</f>
        <v>0</v>
      </c>
      <c r="E400" s="26">
        <f t="shared" si="194"/>
        <v>0</v>
      </c>
      <c r="F400" s="26">
        <f t="shared" si="194"/>
        <v>0</v>
      </c>
      <c r="G400" s="26">
        <f t="shared" si="194"/>
        <v>0</v>
      </c>
      <c r="H400" s="26">
        <f t="shared" si="194"/>
        <v>0</v>
      </c>
      <c r="I400" s="26">
        <f t="shared" ca="1" si="194"/>
        <v>0</v>
      </c>
      <c r="J400" s="26">
        <f t="shared" ca="1" si="194"/>
        <v>0</v>
      </c>
      <c r="K400" s="26">
        <f t="shared" ca="1" si="194"/>
        <v>0</v>
      </c>
      <c r="L400" s="26">
        <f t="shared" ca="1" si="194"/>
        <v>0</v>
      </c>
      <c r="M400" s="26">
        <f t="shared" ca="1" si="194"/>
        <v>0</v>
      </c>
      <c r="N400" s="26">
        <f t="shared" ca="1" si="194"/>
        <v>0</v>
      </c>
      <c r="O400" s="26">
        <f t="shared" ca="1" si="194"/>
        <v>0</v>
      </c>
      <c r="P400" s="26">
        <f t="shared" ca="1" si="194"/>
        <v>0</v>
      </c>
      <c r="Q400" s="26">
        <f t="shared" ca="1" si="194"/>
        <v>0</v>
      </c>
      <c r="R400" s="26">
        <f t="shared" ca="1" si="194"/>
        <v>0</v>
      </c>
      <c r="S400" s="26">
        <f t="shared" ca="1" si="194"/>
        <v>0</v>
      </c>
      <c r="T400" s="26">
        <f t="shared" ca="1" si="194"/>
        <v>0</v>
      </c>
      <c r="U400" s="26">
        <f t="shared" ca="1" si="194"/>
        <v>0</v>
      </c>
      <c r="V400" s="26">
        <f t="shared" ca="1" si="194"/>
        <v>0</v>
      </c>
      <c r="W400" s="26">
        <f t="shared" ca="1" si="194"/>
        <v>0</v>
      </c>
      <c r="X400" s="26">
        <f t="shared" ca="1" si="194"/>
        <v>0</v>
      </c>
      <c r="Y400" s="26">
        <f t="shared" ca="1" si="194"/>
        <v>0</v>
      </c>
      <c r="Z400" s="26">
        <f t="shared" ca="1" si="194"/>
        <v>0</v>
      </c>
      <c r="AA400" s="26">
        <f t="shared" ca="1" si="194"/>
        <v>0</v>
      </c>
      <c r="AB400" s="26">
        <f t="shared" ca="1" si="194"/>
        <v>0</v>
      </c>
      <c r="AC400" s="26">
        <f t="shared" ca="1" si="194"/>
        <v>0</v>
      </c>
    </row>
    <row r="401" spans="3:29">
      <c r="C401" t="str">
        <f t="shared" si="184"/>
        <v>solar thermal trough</v>
      </c>
      <c r="D401" s="26">
        <f t="shared" ref="D401:AC401" si="195">IF(D19=0,0,D378/D19/8760)</f>
        <v>0</v>
      </c>
      <c r="E401" s="26">
        <f t="shared" si="195"/>
        <v>0</v>
      </c>
      <c r="F401" s="26">
        <f t="shared" si="195"/>
        <v>0</v>
      </c>
      <c r="G401" s="26">
        <f t="shared" si="195"/>
        <v>0</v>
      </c>
      <c r="H401" s="26">
        <f t="shared" si="195"/>
        <v>0</v>
      </c>
      <c r="I401" s="26">
        <f t="shared" ca="1" si="195"/>
        <v>0</v>
      </c>
      <c r="J401" s="26">
        <f t="shared" ca="1" si="195"/>
        <v>0</v>
      </c>
      <c r="K401" s="26">
        <f t="shared" ca="1" si="195"/>
        <v>0</v>
      </c>
      <c r="L401" s="26">
        <f t="shared" ca="1" si="195"/>
        <v>0</v>
      </c>
      <c r="M401" s="26">
        <f t="shared" ca="1" si="195"/>
        <v>0</v>
      </c>
      <c r="N401" s="26">
        <f t="shared" ca="1" si="195"/>
        <v>0</v>
      </c>
      <c r="O401" s="26">
        <f t="shared" ca="1" si="195"/>
        <v>0</v>
      </c>
      <c r="P401" s="26">
        <f t="shared" ca="1" si="195"/>
        <v>0</v>
      </c>
      <c r="Q401" s="26">
        <f t="shared" ca="1" si="195"/>
        <v>0</v>
      </c>
      <c r="R401" s="26">
        <f t="shared" ca="1" si="195"/>
        <v>0</v>
      </c>
      <c r="S401" s="26">
        <f t="shared" ca="1" si="195"/>
        <v>0</v>
      </c>
      <c r="T401" s="26">
        <f t="shared" ca="1" si="195"/>
        <v>0</v>
      </c>
      <c r="U401" s="26">
        <f t="shared" ca="1" si="195"/>
        <v>0</v>
      </c>
      <c r="V401" s="26">
        <f t="shared" ca="1" si="195"/>
        <v>0</v>
      </c>
      <c r="W401" s="26">
        <f t="shared" ca="1" si="195"/>
        <v>0</v>
      </c>
      <c r="X401" s="26">
        <f t="shared" ca="1" si="195"/>
        <v>0</v>
      </c>
      <c r="Y401" s="26">
        <f t="shared" ca="1" si="195"/>
        <v>0</v>
      </c>
      <c r="Z401" s="26">
        <f t="shared" ca="1" si="195"/>
        <v>0</v>
      </c>
      <c r="AA401" s="26">
        <f t="shared" ca="1" si="195"/>
        <v>0</v>
      </c>
      <c r="AB401" s="26">
        <f t="shared" ca="1" si="195"/>
        <v>0</v>
      </c>
      <c r="AC401" s="26">
        <f t="shared" ca="1" si="195"/>
        <v>0</v>
      </c>
    </row>
    <row r="402" spans="3:29">
      <c r="C402" t="str">
        <f t="shared" si="184"/>
        <v>solar PV</v>
      </c>
      <c r="D402" s="26">
        <f t="shared" ref="D402:AC402" si="196">IF(D20=0,0,D379/D20/8760)</f>
        <v>0</v>
      </c>
      <c r="E402" s="26">
        <f t="shared" si="196"/>
        <v>0</v>
      </c>
      <c r="F402" s="26">
        <f t="shared" si="196"/>
        <v>0</v>
      </c>
      <c r="G402" s="26">
        <f t="shared" si="196"/>
        <v>0</v>
      </c>
      <c r="H402" s="26">
        <f t="shared" si="196"/>
        <v>0</v>
      </c>
      <c r="I402" s="26">
        <f t="shared" ca="1" si="196"/>
        <v>0</v>
      </c>
      <c r="J402" s="26">
        <f t="shared" ca="1" si="196"/>
        <v>0</v>
      </c>
      <c r="K402" s="26">
        <f t="shared" ca="1" si="196"/>
        <v>0</v>
      </c>
      <c r="L402" s="26">
        <f t="shared" ca="1" si="196"/>
        <v>0</v>
      </c>
      <c r="M402" s="26">
        <f t="shared" ca="1" si="196"/>
        <v>0</v>
      </c>
      <c r="N402" s="26">
        <f t="shared" ca="1" si="196"/>
        <v>0</v>
      </c>
      <c r="O402" s="26">
        <f t="shared" ca="1" si="196"/>
        <v>0</v>
      </c>
      <c r="P402" s="26">
        <f t="shared" ca="1" si="196"/>
        <v>0</v>
      </c>
      <c r="Q402" s="26">
        <f t="shared" ca="1" si="196"/>
        <v>0</v>
      </c>
      <c r="R402" s="26">
        <f t="shared" ca="1" si="196"/>
        <v>0</v>
      </c>
      <c r="S402" s="26">
        <f t="shared" ca="1" si="196"/>
        <v>0</v>
      </c>
      <c r="T402" s="26">
        <f t="shared" ca="1" si="196"/>
        <v>0</v>
      </c>
      <c r="U402" s="26">
        <f t="shared" ca="1" si="196"/>
        <v>0</v>
      </c>
      <c r="V402" s="26">
        <f t="shared" ca="1" si="196"/>
        <v>0</v>
      </c>
      <c r="W402" s="26">
        <f t="shared" ca="1" si="196"/>
        <v>0</v>
      </c>
      <c r="X402" s="26">
        <f t="shared" ca="1" si="196"/>
        <v>0</v>
      </c>
      <c r="Y402" s="26">
        <f t="shared" ca="1" si="196"/>
        <v>0</v>
      </c>
      <c r="Z402" s="26">
        <f t="shared" ca="1" si="196"/>
        <v>0</v>
      </c>
      <c r="AA402" s="26">
        <f t="shared" ca="1" si="196"/>
        <v>0</v>
      </c>
      <c r="AB402" s="26">
        <f t="shared" ca="1" si="196"/>
        <v>0</v>
      </c>
      <c r="AC402" s="26">
        <f t="shared" ca="1" si="196"/>
        <v>0</v>
      </c>
    </row>
    <row r="403" spans="3:29">
      <c r="C403" t="str">
        <f t="shared" si="184"/>
        <v>combined cycle gas</v>
      </c>
      <c r="D403" s="26">
        <f t="shared" ref="D403:AC403" si="197">IF(D21=0,0,D380/D21/8760)</f>
        <v>0</v>
      </c>
      <c r="E403" s="26">
        <f t="shared" si="197"/>
        <v>0</v>
      </c>
      <c r="F403" s="26">
        <f t="shared" si="197"/>
        <v>0</v>
      </c>
      <c r="G403" s="26">
        <f t="shared" si="197"/>
        <v>0</v>
      </c>
      <c r="H403" s="26">
        <f t="shared" si="197"/>
        <v>0</v>
      </c>
      <c r="I403" s="26">
        <f t="shared" ca="1" si="197"/>
        <v>0</v>
      </c>
      <c r="J403" s="26">
        <f t="shared" ca="1" si="197"/>
        <v>0</v>
      </c>
      <c r="K403" s="26">
        <f t="shared" ca="1" si="197"/>
        <v>0</v>
      </c>
      <c r="L403" s="26">
        <f t="shared" ca="1" si="197"/>
        <v>0</v>
      </c>
      <c r="M403" s="26">
        <f t="shared" ca="1" si="197"/>
        <v>0</v>
      </c>
      <c r="N403" s="26">
        <f t="shared" ca="1" si="197"/>
        <v>0</v>
      </c>
      <c r="O403" s="26">
        <f t="shared" ca="1" si="197"/>
        <v>0</v>
      </c>
      <c r="P403" s="26">
        <f t="shared" ca="1" si="197"/>
        <v>0</v>
      </c>
      <c r="Q403" s="26">
        <f t="shared" ca="1" si="197"/>
        <v>0</v>
      </c>
      <c r="R403" s="26">
        <f t="shared" ca="1" si="197"/>
        <v>0</v>
      </c>
      <c r="S403" s="26">
        <f t="shared" ca="1" si="197"/>
        <v>0</v>
      </c>
      <c r="T403" s="26">
        <f t="shared" ca="1" si="197"/>
        <v>0</v>
      </c>
      <c r="U403" s="26">
        <f t="shared" ca="1" si="197"/>
        <v>0</v>
      </c>
      <c r="V403" s="26">
        <f t="shared" ca="1" si="197"/>
        <v>0</v>
      </c>
      <c r="W403" s="26">
        <f t="shared" ca="1" si="197"/>
        <v>0</v>
      </c>
      <c r="X403" s="26">
        <f t="shared" ca="1" si="197"/>
        <v>0</v>
      </c>
      <c r="Y403" s="26">
        <f t="shared" ca="1" si="197"/>
        <v>0</v>
      </c>
      <c r="Z403" s="26">
        <f t="shared" ca="1" si="197"/>
        <v>0</v>
      </c>
      <c r="AA403" s="26">
        <f t="shared" ca="1" si="197"/>
        <v>0</v>
      </c>
      <c r="AB403" s="26">
        <f t="shared" ca="1" si="197"/>
        <v>0</v>
      </c>
      <c r="AC403" s="26">
        <f t="shared" ca="1" si="197"/>
        <v>0</v>
      </c>
    </row>
    <row r="404" spans="3:29">
      <c r="C404" t="str">
        <f t="shared" si="184"/>
        <v>PBMR</v>
      </c>
      <c r="D404" s="26">
        <f t="shared" ref="D404:AC404" si="198">IF(D22=0,0,D381/D22/8760)</f>
        <v>0</v>
      </c>
      <c r="E404" s="26">
        <f t="shared" si="198"/>
        <v>0</v>
      </c>
      <c r="F404" s="26">
        <f t="shared" si="198"/>
        <v>0</v>
      </c>
      <c r="G404" s="26">
        <f t="shared" si="198"/>
        <v>0</v>
      </c>
      <c r="H404" s="26">
        <f t="shared" si="198"/>
        <v>0</v>
      </c>
      <c r="I404" s="26">
        <f t="shared" ca="1" si="198"/>
        <v>0</v>
      </c>
      <c r="J404" s="26">
        <f t="shared" ca="1" si="198"/>
        <v>0</v>
      </c>
      <c r="K404" s="26">
        <f t="shared" ca="1" si="198"/>
        <v>0</v>
      </c>
      <c r="L404" s="26">
        <f t="shared" ca="1" si="198"/>
        <v>0</v>
      </c>
      <c r="M404" s="26">
        <f t="shared" ca="1" si="198"/>
        <v>0</v>
      </c>
      <c r="N404" s="26">
        <f t="shared" ca="1" si="198"/>
        <v>0</v>
      </c>
      <c r="O404" s="26">
        <f t="shared" ca="1" si="198"/>
        <v>0</v>
      </c>
      <c r="P404" s="26">
        <f t="shared" ca="1" si="198"/>
        <v>0</v>
      </c>
      <c r="Q404" s="26">
        <f t="shared" ca="1" si="198"/>
        <v>0</v>
      </c>
      <c r="R404" s="26">
        <f t="shared" ca="1" si="198"/>
        <v>0</v>
      </c>
      <c r="S404" s="26">
        <f t="shared" ca="1" si="198"/>
        <v>0</v>
      </c>
      <c r="T404" s="26">
        <f t="shared" ca="1" si="198"/>
        <v>0</v>
      </c>
      <c r="U404" s="26">
        <f t="shared" ca="1" si="198"/>
        <v>0</v>
      </c>
      <c r="V404" s="26">
        <f t="shared" ca="1" si="198"/>
        <v>0</v>
      </c>
      <c r="W404" s="26">
        <f t="shared" ca="1" si="198"/>
        <v>0</v>
      </c>
      <c r="X404" s="26">
        <f t="shared" ca="1" si="198"/>
        <v>0</v>
      </c>
      <c r="Y404" s="26">
        <f t="shared" ca="1" si="198"/>
        <v>0</v>
      </c>
      <c r="Z404" s="26">
        <f t="shared" ca="1" si="198"/>
        <v>0</v>
      </c>
      <c r="AA404" s="26">
        <f t="shared" ca="1" si="198"/>
        <v>0</v>
      </c>
      <c r="AB404" s="26">
        <f t="shared" ca="1" si="198"/>
        <v>0</v>
      </c>
      <c r="AC404" s="26">
        <f t="shared" ca="1" si="198"/>
        <v>0</v>
      </c>
    </row>
    <row r="405" spans="3:29">
      <c r="C405" t="str">
        <f t="shared" si="184"/>
        <v>IGCC</v>
      </c>
      <c r="D405" s="26">
        <f t="shared" ref="D405:AC405" si="199">IF(D23=0,0,D382/D23/8760)</f>
        <v>0</v>
      </c>
      <c r="E405" s="26">
        <f t="shared" si="199"/>
        <v>0</v>
      </c>
      <c r="F405" s="26">
        <f t="shared" si="199"/>
        <v>0</v>
      </c>
      <c r="G405" s="26">
        <f t="shared" si="199"/>
        <v>0</v>
      </c>
      <c r="H405" s="26">
        <f t="shared" si="199"/>
        <v>0</v>
      </c>
      <c r="I405" s="26">
        <f t="shared" ca="1" si="199"/>
        <v>0</v>
      </c>
      <c r="J405" s="26">
        <f t="shared" ca="1" si="199"/>
        <v>0</v>
      </c>
      <c r="K405" s="26">
        <f t="shared" ca="1" si="199"/>
        <v>0</v>
      </c>
      <c r="L405" s="26">
        <f t="shared" ca="1" si="199"/>
        <v>0</v>
      </c>
      <c r="M405" s="26">
        <f t="shared" ca="1" si="199"/>
        <v>0</v>
      </c>
      <c r="N405" s="26">
        <f t="shared" ca="1" si="199"/>
        <v>0</v>
      </c>
      <c r="O405" s="26">
        <f t="shared" ca="1" si="199"/>
        <v>0</v>
      </c>
      <c r="P405" s="26">
        <f t="shared" ca="1" si="199"/>
        <v>0</v>
      </c>
      <c r="Q405" s="26">
        <f t="shared" ca="1" si="199"/>
        <v>0</v>
      </c>
      <c r="R405" s="26">
        <f t="shared" ca="1" si="199"/>
        <v>0</v>
      </c>
      <c r="S405" s="26">
        <f t="shared" ca="1" si="199"/>
        <v>0</v>
      </c>
      <c r="T405" s="26">
        <f t="shared" ca="1" si="199"/>
        <v>0</v>
      </c>
      <c r="U405" s="26">
        <f t="shared" ca="1" si="199"/>
        <v>0</v>
      </c>
      <c r="V405" s="26">
        <f t="shared" ca="1" si="199"/>
        <v>0</v>
      </c>
      <c r="W405" s="26">
        <f t="shared" ca="1" si="199"/>
        <v>0</v>
      </c>
      <c r="X405" s="26">
        <f t="shared" ca="1" si="199"/>
        <v>0</v>
      </c>
      <c r="Y405" s="26">
        <f t="shared" ca="1" si="199"/>
        <v>0</v>
      </c>
      <c r="Z405" s="26">
        <f t="shared" ca="1" si="199"/>
        <v>0</v>
      </c>
      <c r="AA405" s="26">
        <f t="shared" ca="1" si="199"/>
        <v>0</v>
      </c>
      <c r="AB405" s="26">
        <f t="shared" ca="1" si="199"/>
        <v>0</v>
      </c>
      <c r="AC405" s="26">
        <f t="shared" ca="1" si="199"/>
        <v>0</v>
      </c>
    </row>
    <row r="406" spans="3:29">
      <c r="C406" t="str">
        <f t="shared" si="184"/>
        <v>-</v>
      </c>
      <c r="D406" s="26">
        <f t="shared" ref="D406:AC406" si="200">IF(D24=0,0,D383/D24/8760)</f>
        <v>0</v>
      </c>
      <c r="E406" s="26">
        <f t="shared" si="200"/>
        <v>0</v>
      </c>
      <c r="F406" s="26">
        <f t="shared" si="200"/>
        <v>0</v>
      </c>
      <c r="G406" s="26">
        <f t="shared" si="200"/>
        <v>0</v>
      </c>
      <c r="H406" s="26">
        <f t="shared" si="200"/>
        <v>0</v>
      </c>
      <c r="I406" s="26">
        <f t="shared" ca="1" si="200"/>
        <v>0</v>
      </c>
      <c r="J406" s="26">
        <f t="shared" ca="1" si="200"/>
        <v>0</v>
      </c>
      <c r="K406" s="26">
        <f t="shared" ca="1" si="200"/>
        <v>0</v>
      </c>
      <c r="L406" s="26">
        <f t="shared" ca="1" si="200"/>
        <v>0</v>
      </c>
      <c r="M406" s="26">
        <f t="shared" ca="1" si="200"/>
        <v>0</v>
      </c>
      <c r="N406" s="26">
        <f t="shared" ca="1" si="200"/>
        <v>0</v>
      </c>
      <c r="O406" s="26">
        <f t="shared" ca="1" si="200"/>
        <v>0</v>
      </c>
      <c r="P406" s="26">
        <f t="shared" ca="1" si="200"/>
        <v>0</v>
      </c>
      <c r="Q406" s="26">
        <f t="shared" ca="1" si="200"/>
        <v>0</v>
      </c>
      <c r="R406" s="26">
        <f t="shared" ca="1" si="200"/>
        <v>0</v>
      </c>
      <c r="S406" s="26">
        <f t="shared" ca="1" si="200"/>
        <v>0</v>
      </c>
      <c r="T406" s="26">
        <f t="shared" ca="1" si="200"/>
        <v>0</v>
      </c>
      <c r="U406" s="26">
        <f t="shared" ca="1" si="200"/>
        <v>0</v>
      </c>
      <c r="V406" s="26">
        <f t="shared" ca="1" si="200"/>
        <v>0</v>
      </c>
      <c r="W406" s="26">
        <f t="shared" ca="1" si="200"/>
        <v>0</v>
      </c>
      <c r="X406" s="26">
        <f t="shared" ca="1" si="200"/>
        <v>0</v>
      </c>
      <c r="Y406" s="26">
        <f t="shared" ca="1" si="200"/>
        <v>0</v>
      </c>
      <c r="Z406" s="26">
        <f t="shared" ca="1" si="200"/>
        <v>0</v>
      </c>
      <c r="AA406" s="26">
        <f t="shared" ca="1" si="200"/>
        <v>0</v>
      </c>
      <c r="AB406" s="26">
        <f t="shared" ca="1" si="200"/>
        <v>0</v>
      </c>
      <c r="AC406" s="26">
        <f t="shared" ca="1" si="200"/>
        <v>0</v>
      </c>
    </row>
    <row r="407" spans="3:29">
      <c r="C407" t="str">
        <f t="shared" si="184"/>
        <v>-</v>
      </c>
      <c r="D407" s="26">
        <f t="shared" ref="D407:AC407" si="201">IF(D25=0,0,D384/D25/8760)</f>
        <v>0</v>
      </c>
      <c r="E407" s="26">
        <f t="shared" si="201"/>
        <v>0</v>
      </c>
      <c r="F407" s="26">
        <f t="shared" si="201"/>
        <v>0</v>
      </c>
      <c r="G407" s="26">
        <f t="shared" si="201"/>
        <v>0</v>
      </c>
      <c r="H407" s="26">
        <f t="shared" si="201"/>
        <v>0</v>
      </c>
      <c r="I407" s="26">
        <f t="shared" ca="1" si="201"/>
        <v>0</v>
      </c>
      <c r="J407" s="26">
        <f t="shared" ca="1" si="201"/>
        <v>0</v>
      </c>
      <c r="K407" s="26">
        <f t="shared" ca="1" si="201"/>
        <v>0</v>
      </c>
      <c r="L407" s="26">
        <f t="shared" ca="1" si="201"/>
        <v>0</v>
      </c>
      <c r="M407" s="26">
        <f t="shared" ca="1" si="201"/>
        <v>0</v>
      </c>
      <c r="N407" s="26">
        <f t="shared" ca="1" si="201"/>
        <v>0</v>
      </c>
      <c r="O407" s="26">
        <f t="shared" ca="1" si="201"/>
        <v>0</v>
      </c>
      <c r="P407" s="26">
        <f t="shared" ca="1" si="201"/>
        <v>0</v>
      </c>
      <c r="Q407" s="26">
        <f t="shared" ca="1" si="201"/>
        <v>0</v>
      </c>
      <c r="R407" s="26">
        <f t="shared" ca="1" si="201"/>
        <v>0</v>
      </c>
      <c r="S407" s="26">
        <f t="shared" ca="1" si="201"/>
        <v>0</v>
      </c>
      <c r="T407" s="26">
        <f t="shared" ca="1" si="201"/>
        <v>0</v>
      </c>
      <c r="U407" s="26">
        <f t="shared" ca="1" si="201"/>
        <v>0</v>
      </c>
      <c r="V407" s="26">
        <f t="shared" ca="1" si="201"/>
        <v>0</v>
      </c>
      <c r="W407" s="26">
        <f t="shared" ca="1" si="201"/>
        <v>0</v>
      </c>
      <c r="X407" s="26">
        <f t="shared" ca="1" si="201"/>
        <v>0</v>
      </c>
      <c r="Y407" s="26">
        <f t="shared" ca="1" si="201"/>
        <v>0</v>
      </c>
      <c r="Z407" s="26">
        <f t="shared" ca="1" si="201"/>
        <v>0</v>
      </c>
      <c r="AA407" s="26">
        <f t="shared" ca="1" si="201"/>
        <v>0</v>
      </c>
      <c r="AB407" s="26">
        <f t="shared" ca="1" si="201"/>
        <v>0</v>
      </c>
      <c r="AC407" s="26">
        <f t="shared" ca="1" si="201"/>
        <v>0</v>
      </c>
    </row>
    <row r="408" spans="3:29">
      <c r="C408" t="str">
        <f>C26</f>
        <v>-</v>
      </c>
      <c r="D408" s="26">
        <f t="shared" ref="D408:AC408" si="202">IF(D26=0,0,D385/D26/8760)</f>
        <v>0</v>
      </c>
      <c r="E408" s="26">
        <f t="shared" si="202"/>
        <v>0</v>
      </c>
      <c r="F408" s="26">
        <f t="shared" si="202"/>
        <v>0</v>
      </c>
      <c r="G408" s="26">
        <f t="shared" si="202"/>
        <v>0</v>
      </c>
      <c r="H408" s="26">
        <f t="shared" si="202"/>
        <v>0</v>
      </c>
      <c r="I408" s="26">
        <f t="shared" ca="1" si="202"/>
        <v>0</v>
      </c>
      <c r="J408" s="26">
        <f t="shared" ca="1" si="202"/>
        <v>0</v>
      </c>
      <c r="K408" s="26">
        <f t="shared" ca="1" si="202"/>
        <v>0</v>
      </c>
      <c r="L408" s="26">
        <f t="shared" ca="1" si="202"/>
        <v>0</v>
      </c>
      <c r="M408" s="26">
        <f t="shared" ca="1" si="202"/>
        <v>0</v>
      </c>
      <c r="N408" s="26">
        <f t="shared" ca="1" si="202"/>
        <v>0</v>
      </c>
      <c r="O408" s="26">
        <f t="shared" ca="1" si="202"/>
        <v>0</v>
      </c>
      <c r="P408" s="26">
        <f t="shared" ca="1" si="202"/>
        <v>0</v>
      </c>
      <c r="Q408" s="26">
        <f t="shared" ca="1" si="202"/>
        <v>0</v>
      </c>
      <c r="R408" s="26">
        <f t="shared" ca="1" si="202"/>
        <v>0</v>
      </c>
      <c r="S408" s="26">
        <f t="shared" ca="1" si="202"/>
        <v>0</v>
      </c>
      <c r="T408" s="26">
        <f t="shared" ca="1" si="202"/>
        <v>0</v>
      </c>
      <c r="U408" s="26">
        <f t="shared" ca="1" si="202"/>
        <v>0</v>
      </c>
      <c r="V408" s="26">
        <f t="shared" ca="1" si="202"/>
        <v>0</v>
      </c>
      <c r="W408" s="26">
        <f t="shared" ca="1" si="202"/>
        <v>0</v>
      </c>
      <c r="X408" s="26">
        <f t="shared" ca="1" si="202"/>
        <v>0</v>
      </c>
      <c r="Y408" s="26">
        <f t="shared" ca="1" si="202"/>
        <v>0</v>
      </c>
      <c r="Z408" s="26">
        <f t="shared" ca="1" si="202"/>
        <v>0</v>
      </c>
      <c r="AA408" s="26">
        <f t="shared" ca="1" si="202"/>
        <v>0</v>
      </c>
      <c r="AB408" s="26">
        <f t="shared" ca="1" si="202"/>
        <v>0</v>
      </c>
      <c r="AC408" s="26">
        <f t="shared" ca="1" si="202"/>
        <v>0</v>
      </c>
    </row>
    <row r="409" spans="3:29">
      <c r="C409" t="str">
        <f t="shared" si="184"/>
        <v>Pumped storage</v>
      </c>
      <c r="D409" s="26">
        <f t="shared" ref="D409:AC409" si="203">IF(D27=0,0,D386/D27/8760)</f>
        <v>0.22368649211028269</v>
      </c>
      <c r="E409" s="26">
        <f t="shared" si="203"/>
        <v>0.22368649211028269</v>
      </c>
      <c r="F409" s="26">
        <f t="shared" si="203"/>
        <v>0.22368649211028269</v>
      </c>
      <c r="G409" s="26">
        <f t="shared" si="203"/>
        <v>0.22368649211028269</v>
      </c>
      <c r="H409" s="26">
        <f t="shared" si="203"/>
        <v>0.22368649211028269</v>
      </c>
      <c r="I409" s="26">
        <f t="shared" ca="1" si="203"/>
        <v>0.22368649211028269</v>
      </c>
      <c r="J409" s="26">
        <f t="shared" ca="1" si="203"/>
        <v>0.22368649211028269</v>
      </c>
      <c r="K409" s="26">
        <f t="shared" ca="1" si="203"/>
        <v>0.22368649211028269</v>
      </c>
      <c r="L409" s="26">
        <f t="shared" ca="1" si="203"/>
        <v>0.22368649211028269</v>
      </c>
      <c r="M409" s="26">
        <f t="shared" ca="1" si="203"/>
        <v>0.22368649211028269</v>
      </c>
      <c r="N409" s="26">
        <f t="shared" ca="1" si="203"/>
        <v>0.22368649211028269</v>
      </c>
      <c r="O409" s="26">
        <f t="shared" ca="1" si="203"/>
        <v>0.22368649211028269</v>
      </c>
      <c r="P409" s="26">
        <f t="shared" ca="1" si="203"/>
        <v>0.22368649211028269</v>
      </c>
      <c r="Q409" s="26">
        <f t="shared" ca="1" si="203"/>
        <v>0.22368649211028269</v>
      </c>
      <c r="R409" s="26">
        <f t="shared" ca="1" si="203"/>
        <v>0.22368649211028269</v>
      </c>
      <c r="S409" s="26">
        <f t="shared" ca="1" si="203"/>
        <v>0.22368649211028269</v>
      </c>
      <c r="T409" s="26">
        <f t="shared" ca="1" si="203"/>
        <v>0.22368649211028269</v>
      </c>
      <c r="U409" s="26">
        <f t="shared" ca="1" si="203"/>
        <v>0.22368649211028269</v>
      </c>
      <c r="V409" s="26">
        <f t="shared" ca="1" si="203"/>
        <v>0.22368649211028269</v>
      </c>
      <c r="W409" s="26">
        <f t="shared" ca="1" si="203"/>
        <v>0.22368649211028269</v>
      </c>
      <c r="X409" s="26">
        <f t="shared" ca="1" si="203"/>
        <v>0.22368649211028269</v>
      </c>
      <c r="Y409" s="26">
        <f t="shared" ca="1" si="203"/>
        <v>0.22368649211028269</v>
      </c>
      <c r="Z409" s="26">
        <f t="shared" ca="1" si="203"/>
        <v>0.22368649211028269</v>
      </c>
      <c r="AA409" s="26">
        <f t="shared" ca="1" si="203"/>
        <v>0.22368649211028269</v>
      </c>
      <c r="AB409" s="26">
        <f t="shared" ca="1" si="203"/>
        <v>0.22368649211028269</v>
      </c>
      <c r="AC409" s="26">
        <f t="shared" ca="1" si="203"/>
        <v>0.22368649211028269</v>
      </c>
    </row>
    <row r="410" spans="3:29">
      <c r="C410" s="11" t="s">
        <v>247</v>
      </c>
      <c r="D410" s="26">
        <f t="shared" ref="D410:AC410" si="204">D387/D28/8760</f>
        <v>0.63545166308243939</v>
      </c>
      <c r="E410" s="26">
        <f t="shared" si="204"/>
        <v>0.63545166308243939</v>
      </c>
      <c r="F410" s="26">
        <f t="shared" si="204"/>
        <v>0.65361981071431019</v>
      </c>
      <c r="G410" s="26">
        <f t="shared" si="204"/>
        <v>0.65994856477057018</v>
      </c>
      <c r="H410" s="26">
        <f t="shared" si="204"/>
        <v>0.65994856477057018</v>
      </c>
      <c r="I410" s="26">
        <f t="shared" ca="1" si="204"/>
        <v>0.66588073263741532</v>
      </c>
      <c r="J410" s="26">
        <f t="shared" ca="1" si="204"/>
        <v>0.65656646431763899</v>
      </c>
      <c r="K410" s="26">
        <f t="shared" ca="1" si="204"/>
        <v>0.66007631518127896</v>
      </c>
      <c r="L410" s="26">
        <f t="shared" ca="1" si="204"/>
        <v>0.64967247848594667</v>
      </c>
      <c r="M410" s="26">
        <f t="shared" ca="1" si="204"/>
        <v>0.63369328454655383</v>
      </c>
      <c r="N410" s="26">
        <f t="shared" ca="1" si="204"/>
        <v>0.62320786560912644</v>
      </c>
      <c r="O410" s="26">
        <f t="shared" ca="1" si="204"/>
        <v>0.62387341065779778</v>
      </c>
      <c r="P410" s="26">
        <f t="shared" ca="1" si="204"/>
        <v>0.6242103493516945</v>
      </c>
      <c r="Q410" s="26">
        <f t="shared" ca="1" si="204"/>
        <v>0.6171464415421406</v>
      </c>
      <c r="R410" s="26">
        <f t="shared" ca="1" si="204"/>
        <v>0.61142086938069495</v>
      </c>
      <c r="S410" s="26">
        <f t="shared" ca="1" si="204"/>
        <v>0.61492646048880883</v>
      </c>
      <c r="T410" s="26">
        <f t="shared" ca="1" si="204"/>
        <v>0.61158298194927374</v>
      </c>
      <c r="U410" s="26">
        <f t="shared" ca="1" si="204"/>
        <v>0.60020701039206836</v>
      </c>
      <c r="V410" s="26">
        <f t="shared" ca="1" si="204"/>
        <v>0.59159992842275755</v>
      </c>
      <c r="W410" s="26">
        <f t="shared" ca="1" si="204"/>
        <v>0.59281911905268714</v>
      </c>
      <c r="X410" s="26">
        <f t="shared" ca="1" si="204"/>
        <v>0.59821763563742969</v>
      </c>
      <c r="Y410" s="26">
        <f t="shared" ca="1" si="204"/>
        <v>0.59521794391846372</v>
      </c>
      <c r="Z410" s="26">
        <f t="shared" ca="1" si="204"/>
        <v>0.5952922687269564</v>
      </c>
      <c r="AA410" s="26">
        <f t="shared" ca="1" si="204"/>
        <v>0.59811072446196589</v>
      </c>
      <c r="AB410" s="26">
        <f t="shared" ca="1" si="204"/>
        <v>0.60267709592374141</v>
      </c>
      <c r="AC410" s="26">
        <f t="shared" ca="1" si="204"/>
        <v>0.59691514174790627</v>
      </c>
    </row>
    <row r="412" spans="3:29">
      <c r="C412" s="4" t="s">
        <v>309</v>
      </c>
    </row>
    <row r="413" spans="3:29">
      <c r="C413" s="11" t="s">
        <v>19</v>
      </c>
      <c r="D413">
        <f t="array" ref="D413">SUM('Tech Parameters'!$D$68:$D$87*'Ref scen Calcs'!D$367:D$386)</f>
        <v>217342.64587271994</v>
      </c>
      <c r="E413">
        <f t="array" ref="E413">SUM('Tech Parameters'!$D$68:$D$87*'Ref scen Calcs'!E$367:E$386)</f>
        <v>217342.64587271996</v>
      </c>
      <c r="F413">
        <f t="array" ref="F413">SUM('Tech Parameters'!$D$68:$D$87*'Ref scen Calcs'!F$367:F$386)</f>
        <v>224124.2247977783</v>
      </c>
      <c r="G413">
        <f t="array" ref="G413">SUM('Tech Parameters'!$D$68:$D$87*'Ref scen Calcs'!G$367:G$386)</f>
        <v>226486.54296028163</v>
      </c>
      <c r="H413">
        <f t="array" ref="H413">SUM('Tech Parameters'!$D$68:$D$87*'Ref scen Calcs'!H$367:H$386)</f>
        <v>226486.54296028163</v>
      </c>
      <c r="I413">
        <f t="array" aca="1" ref="I413" ca="1">SUM('Tech Parameters'!$D$68:$D$87*'Ref scen Calcs'!I$367:I$386)</f>
        <v>233005.35760559011</v>
      </c>
      <c r="J413">
        <f t="array" aca="1" ref="J413" ca="1">SUM('Tech Parameters'!$D$68:$D$87*'Ref scen Calcs'!J$367:J$386)</f>
        <v>237706.71884482933</v>
      </c>
      <c r="K413">
        <f t="array" aca="1" ref="K413" ca="1">SUM('Tech Parameters'!$D$68:$D$87*'Ref scen Calcs'!K$367:K$386)</f>
        <v>243677.65513185147</v>
      </c>
      <c r="L413">
        <f t="array" aca="1" ref="L413" ca="1">SUM('Tech Parameters'!$D$68:$D$87*'Ref scen Calcs'!L$367:L$386)</f>
        <v>251038.05515479969</v>
      </c>
      <c r="M413">
        <f t="array" aca="1" ref="M413" ca="1">SUM('Tech Parameters'!$D$68:$D$87*'Ref scen Calcs'!M$367:M$386)</f>
        <v>259944.45189061301</v>
      </c>
      <c r="N413">
        <f t="array" aca="1" ref="N413" ca="1">SUM('Tech Parameters'!$D$68:$D$87*'Ref scen Calcs'!N$367:N$386)</f>
        <v>268266.48006450094</v>
      </c>
      <c r="O413">
        <f t="array" aca="1" ref="O413" ca="1">SUM('Tech Parameters'!$D$68:$D$87*'Ref scen Calcs'!O$367:O$386)</f>
        <v>277051.23735832941</v>
      </c>
      <c r="P413">
        <f t="array" aca="1" ref="P413" ca="1">SUM('Tech Parameters'!$D$68:$D$87*'Ref scen Calcs'!P$367:P$386)</f>
        <v>285691.55897310138</v>
      </c>
      <c r="Q413">
        <f t="array" aca="1" ref="Q413" ca="1">SUM('Tech Parameters'!$D$68:$D$87*'Ref scen Calcs'!Q$367:Q$386)</f>
        <v>294805.30864700332</v>
      </c>
      <c r="R413">
        <f t="array" aca="1" ref="R413" ca="1">SUM('Tech Parameters'!$D$68:$D$87*'Ref scen Calcs'!R$367:R$386)</f>
        <v>304347.01588848041</v>
      </c>
      <c r="S413">
        <f t="array" aca="1" ref="S413" ca="1">SUM('Tech Parameters'!$D$68:$D$87*'Ref scen Calcs'!S$367:S$386)</f>
        <v>313937.79657565861</v>
      </c>
      <c r="T413">
        <f t="array" aca="1" ref="T413" ca="1">SUM('Tech Parameters'!$D$68:$D$87*'Ref scen Calcs'!T$367:T$386)</f>
        <v>324031.42740473757</v>
      </c>
      <c r="U413">
        <f t="array" aca="1" ref="U413" ca="1">SUM('Tech Parameters'!$D$68:$D$87*'Ref scen Calcs'!U$367:U$386)</f>
        <v>334274.84338246792</v>
      </c>
      <c r="V413">
        <f t="array" aca="1" ref="V413" ca="1">SUM('Tech Parameters'!$D$68:$D$87*'Ref scen Calcs'!V$367:V$386)</f>
        <v>345031.5328503265</v>
      </c>
      <c r="W413">
        <f t="array" aca="1" ref="W413" ca="1">SUM('Tech Parameters'!$D$68:$D$87*'Ref scen Calcs'!W$367:W$386)</f>
        <v>356363.56589057588</v>
      </c>
      <c r="X413">
        <f t="array" aca="1" ref="X413" ca="1">SUM('Tech Parameters'!$D$68:$D$87*'Ref scen Calcs'!X$367:X$386)</f>
        <v>368195.77433792892</v>
      </c>
      <c r="Y413">
        <f t="array" aca="1" ref="Y413" ca="1">SUM('Tech Parameters'!$D$68:$D$87*'Ref scen Calcs'!Y$367:Y$386)</f>
        <v>380779.30767237383</v>
      </c>
      <c r="Z413">
        <f t="array" aca="1" ref="Z413" ca="1">SUM('Tech Parameters'!$D$68:$D$87*'Ref scen Calcs'!Z$367:Z$386)</f>
        <v>394101.34340184776</v>
      </c>
      <c r="AA413">
        <f t="array" aca="1" ref="AA413" ca="1">SUM('Tech Parameters'!$D$68:$D$87*'Ref scen Calcs'!AA$367:AA$386)</f>
        <v>407840.6377597074</v>
      </c>
      <c r="AB413">
        <f t="array" aca="1" ref="AB413" ca="1">SUM('Tech Parameters'!$D$68:$D$87*'Ref scen Calcs'!AB$367:AB$386)</f>
        <v>421675.94697930955</v>
      </c>
      <c r="AC413">
        <f t="array" aca="1" ref="AC413" ca="1">SUM('Tech Parameters'!$D$68:$D$87*'Ref scen Calcs'!AC$367:AC$386)</f>
        <v>432201.85427646874</v>
      </c>
    </row>
    <row r="414" spans="3:29">
      <c r="C414" s="11" t="s">
        <v>78</v>
      </c>
      <c r="D414">
        <f t="array" ref="D414">SUM('Tech Parameters'!$E$68:$E$87*'Ref scen Calcs'!D$367:D$386)</f>
        <v>2905.2167700000291</v>
      </c>
      <c r="E414">
        <f t="array" ref="E414">SUM('Tech Parameters'!$E$68:$E$87*'Ref scen Calcs'!E$367:E$386)</f>
        <v>2905.21677</v>
      </c>
      <c r="F414">
        <f t="array" ref="F414">SUM('Tech Parameters'!$E$68:$E$87*'Ref scen Calcs'!F$367:F$386)</f>
        <v>2905.21677</v>
      </c>
      <c r="G414">
        <f t="array" ref="G414">SUM('Tech Parameters'!$E$68:$E$87*'Ref scen Calcs'!G$367:G$386)</f>
        <v>2905.21677</v>
      </c>
      <c r="H414">
        <f t="array" ref="H414">SUM('Tech Parameters'!$E$68:$E$87*'Ref scen Calcs'!H$367:H$386)</f>
        <v>2905.21677</v>
      </c>
      <c r="I414">
        <f t="array" aca="1" ref="I414" ca="1">SUM('Tech Parameters'!$E$68:$E$87*'Ref scen Calcs'!I$367:I$386)</f>
        <v>3168.0167700000002</v>
      </c>
      <c r="J414">
        <f t="array" aca="1" ref="J414" ca="1">SUM('Tech Parameters'!$E$68:$E$87*'Ref scen Calcs'!J$367:J$386)</f>
        <v>3168.0167700000002</v>
      </c>
      <c r="K414">
        <f t="array" aca="1" ref="K414" ca="1">SUM('Tech Parameters'!$E$68:$E$87*'Ref scen Calcs'!K$367:K$386)</f>
        <v>3168.0167700000002</v>
      </c>
      <c r="L414">
        <f t="array" aca="1" ref="L414" ca="1">SUM('Tech Parameters'!$E$68:$E$87*'Ref scen Calcs'!L$367:L$386)</f>
        <v>3168.0167700000002</v>
      </c>
      <c r="M414">
        <f t="array" aca="1" ref="M414" ca="1">SUM('Tech Parameters'!$E$68:$E$87*'Ref scen Calcs'!M$367:M$386)</f>
        <v>3168.0167700000002</v>
      </c>
      <c r="N414">
        <f t="array" aca="1" ref="N414" ca="1">SUM('Tech Parameters'!$E$68:$E$87*'Ref scen Calcs'!N$367:N$386)</f>
        <v>3168.0167700000002</v>
      </c>
      <c r="O414">
        <f t="array" aca="1" ref="O414" ca="1">SUM('Tech Parameters'!$E$68:$E$87*'Ref scen Calcs'!O$367:O$386)</f>
        <v>3168.0167700000002</v>
      </c>
      <c r="P414">
        <f t="array" aca="1" ref="P414" ca="1">SUM('Tech Parameters'!$E$68:$E$87*'Ref scen Calcs'!P$367:P$386)</f>
        <v>3168.0167700000002</v>
      </c>
      <c r="Q414">
        <f t="array" aca="1" ref="Q414" ca="1">SUM('Tech Parameters'!$E$68:$E$87*'Ref scen Calcs'!Q$367:Q$386)</f>
        <v>3168.0167700000002</v>
      </c>
      <c r="R414">
        <f t="array" aca="1" ref="R414" ca="1">SUM('Tech Parameters'!$E$68:$E$87*'Ref scen Calcs'!R$367:R$386)</f>
        <v>3168.0167700000002</v>
      </c>
      <c r="S414">
        <f t="array" aca="1" ref="S414" ca="1">SUM('Tech Parameters'!$E$68:$E$87*'Ref scen Calcs'!S$367:S$386)</f>
        <v>3168.0167700000002</v>
      </c>
      <c r="T414">
        <f t="array" aca="1" ref="T414" ca="1">SUM('Tech Parameters'!$E$68:$E$87*'Ref scen Calcs'!T$367:T$386)</f>
        <v>3168.0167700000002</v>
      </c>
      <c r="U414">
        <f t="array" aca="1" ref="U414" ca="1">SUM('Tech Parameters'!$E$68:$E$87*'Ref scen Calcs'!U$367:U$386)</f>
        <v>3168.0167700000002</v>
      </c>
      <c r="V414">
        <f t="array" aca="1" ref="V414" ca="1">SUM('Tech Parameters'!$E$68:$E$87*'Ref scen Calcs'!V$367:V$386)</f>
        <v>3168.0167700000002</v>
      </c>
      <c r="W414">
        <f t="array" aca="1" ref="W414" ca="1">SUM('Tech Parameters'!$E$68:$E$87*'Ref scen Calcs'!W$367:W$386)</f>
        <v>3168.0167700000002</v>
      </c>
      <c r="X414">
        <f t="array" aca="1" ref="X414" ca="1">SUM('Tech Parameters'!$E$68:$E$87*'Ref scen Calcs'!X$367:X$386)</f>
        <v>3168.0167700000002</v>
      </c>
      <c r="Y414">
        <f t="array" aca="1" ref="Y414" ca="1">SUM('Tech Parameters'!$E$68:$E$87*'Ref scen Calcs'!Y$367:Y$386)</f>
        <v>3168.0167700000002</v>
      </c>
      <c r="Z414">
        <f t="array" aca="1" ref="Z414" ca="1">SUM('Tech Parameters'!$E$68:$E$87*'Ref scen Calcs'!Z$367:Z$386)</f>
        <v>3168.0167700000002</v>
      </c>
      <c r="AA414">
        <f t="array" aca="1" ref="AA414" ca="1">SUM('Tech Parameters'!$E$68:$E$87*'Ref scen Calcs'!AA$367:AA$386)</f>
        <v>3168.0167700000002</v>
      </c>
      <c r="AB414">
        <f t="array" aca="1" ref="AB414" ca="1">SUM('Tech Parameters'!$E$68:$E$87*'Ref scen Calcs'!AB$367:AB$386)</f>
        <v>3168.0167700000002</v>
      </c>
      <c r="AC414">
        <f t="array" aca="1" ref="AC414" ca="1">SUM('Tech Parameters'!$E$68:$E$87*'Ref scen Calcs'!AC$367:AC$386)</f>
        <v>2905.21677</v>
      </c>
    </row>
    <row r="415" spans="3:29">
      <c r="C415" s="11" t="s">
        <v>222</v>
      </c>
      <c r="D415">
        <f t="array" ref="D415">SUM('Tech Parameters'!$F$68:$F$87*'Ref scen Calcs'!D$367:D$386)</f>
        <v>13197.815999999999</v>
      </c>
      <c r="E415">
        <f t="array" ref="E415">SUM('Tech Parameters'!$F$68:$F$87*'Ref scen Calcs'!E$367:E$386)</f>
        <v>13197.815999999999</v>
      </c>
      <c r="F415">
        <f t="array" ref="F415">SUM('Tech Parameters'!$F$68:$F$87*'Ref scen Calcs'!F$367:F$386)</f>
        <v>13197.815999999999</v>
      </c>
      <c r="G415">
        <f t="array" ref="G415">SUM('Tech Parameters'!$F$68:$F$87*'Ref scen Calcs'!G$367:G$386)</f>
        <v>13197.815999999999</v>
      </c>
      <c r="H415">
        <f t="array" ref="H415">SUM('Tech Parameters'!$F$68:$F$87*'Ref scen Calcs'!H$367:H$386)</f>
        <v>13197.815999999999</v>
      </c>
      <c r="I415">
        <f t="array" aca="1" ref="I415" ca="1">SUM('Tech Parameters'!$F$68:$F$87*'Ref scen Calcs'!I$367:I$386)</f>
        <v>13197.815999999999</v>
      </c>
      <c r="J415">
        <f t="array" aca="1" ref="J415" ca="1">SUM('Tech Parameters'!$F$68:$F$87*'Ref scen Calcs'!J$367:J$386)</f>
        <v>13197.815999999999</v>
      </c>
      <c r="K415">
        <f t="array" aca="1" ref="K415" ca="1">SUM('Tech Parameters'!$F$68:$F$87*'Ref scen Calcs'!K$367:K$386)</f>
        <v>13197.815999999999</v>
      </c>
      <c r="L415">
        <f t="array" aca="1" ref="L415" ca="1">SUM('Tech Parameters'!$F$68:$F$87*'Ref scen Calcs'!L$367:L$386)</f>
        <v>13197.815999999999</v>
      </c>
      <c r="M415">
        <f t="array" aca="1" ref="M415" ca="1">SUM('Tech Parameters'!$F$68:$F$87*'Ref scen Calcs'!M$367:M$386)</f>
        <v>13197.815999999999</v>
      </c>
      <c r="N415">
        <f t="array" aca="1" ref="N415" ca="1">SUM('Tech Parameters'!$F$68:$F$87*'Ref scen Calcs'!N$367:N$386)</f>
        <v>13197.815999999999</v>
      </c>
      <c r="O415">
        <f t="array" aca="1" ref="O415" ca="1">SUM('Tech Parameters'!$F$68:$F$87*'Ref scen Calcs'!O$367:O$386)</f>
        <v>13197.815999999999</v>
      </c>
      <c r="P415">
        <f t="array" aca="1" ref="P415" ca="1">SUM('Tech Parameters'!$F$68:$F$87*'Ref scen Calcs'!P$367:P$386)</f>
        <v>13197.815999999999</v>
      </c>
      <c r="Q415">
        <f t="array" aca="1" ref="Q415" ca="1">SUM('Tech Parameters'!$F$68:$F$87*'Ref scen Calcs'!Q$367:Q$386)</f>
        <v>13197.815999999999</v>
      </c>
      <c r="R415">
        <f t="array" aca="1" ref="R415" ca="1">SUM('Tech Parameters'!$F$68:$F$87*'Ref scen Calcs'!R$367:R$386)</f>
        <v>13197.815999999999</v>
      </c>
      <c r="S415">
        <f t="array" aca="1" ref="S415" ca="1">SUM('Tech Parameters'!$F$68:$F$87*'Ref scen Calcs'!S$367:S$386)</f>
        <v>13197.815999999999</v>
      </c>
      <c r="T415">
        <f t="array" aca="1" ref="T415" ca="1">SUM('Tech Parameters'!$F$68:$F$87*'Ref scen Calcs'!T$367:T$386)</f>
        <v>13197.815999999999</v>
      </c>
      <c r="U415">
        <f t="array" aca="1" ref="U415" ca="1">SUM('Tech Parameters'!$F$68:$F$87*'Ref scen Calcs'!U$367:U$386)</f>
        <v>13197.815999999999</v>
      </c>
      <c r="V415">
        <f t="array" aca="1" ref="V415" ca="1">SUM('Tech Parameters'!$F$68:$F$87*'Ref scen Calcs'!V$367:V$386)</f>
        <v>13197.815999999999</v>
      </c>
      <c r="W415">
        <f t="array" aca="1" ref="W415" ca="1">SUM('Tech Parameters'!$F$68:$F$87*'Ref scen Calcs'!W$367:W$386)</f>
        <v>13197.815999999999</v>
      </c>
      <c r="X415">
        <f t="array" aca="1" ref="X415" ca="1">SUM('Tech Parameters'!$F$68:$F$87*'Ref scen Calcs'!X$367:X$386)</f>
        <v>13197.815999999999</v>
      </c>
      <c r="Y415">
        <f t="array" aca="1" ref="Y415" ca="1">SUM('Tech Parameters'!$F$68:$F$87*'Ref scen Calcs'!Y$367:Y$386)</f>
        <v>13197.815999999999</v>
      </c>
      <c r="Z415">
        <f t="array" aca="1" ref="Z415" ca="1">SUM('Tech Parameters'!$F$68:$F$87*'Ref scen Calcs'!Z$367:Z$386)</f>
        <v>13197.815999999999</v>
      </c>
      <c r="AA415">
        <f t="array" aca="1" ref="AA415" ca="1">SUM('Tech Parameters'!$F$68:$F$87*'Ref scen Calcs'!AA$367:AA$386)</f>
        <v>13197.815999999999</v>
      </c>
      <c r="AB415">
        <f t="array" aca="1" ref="AB415" ca="1">SUM('Tech Parameters'!$F$68:$F$87*'Ref scen Calcs'!AB$367:AB$386)</f>
        <v>13197.815999999999</v>
      </c>
      <c r="AC415">
        <f t="array" aca="1" ref="AC415" ca="1">SUM('Tech Parameters'!$F$68:$F$87*'Ref scen Calcs'!AC$367:AC$386)</f>
        <v>13197.815999999999</v>
      </c>
    </row>
    <row r="416" spans="3:29">
      <c r="C416" s="11" t="s">
        <v>21</v>
      </c>
      <c r="D416">
        <f t="array" ref="D416">SUM('Tech Parameters'!$G$68:$G$87*'Ref scen Calcs'!D$367:D$386)</f>
        <v>651.77077055999985</v>
      </c>
      <c r="E416">
        <f t="array" ref="E416">SUM('Tech Parameters'!$G$68:$G$87*'Ref scen Calcs'!E$367:E$386)</f>
        <v>651.77077055999985</v>
      </c>
      <c r="F416">
        <f t="array" ref="F416">SUM('Tech Parameters'!$G$68:$G$87*'Ref scen Calcs'!F$367:F$386)</f>
        <v>651.77077055999985</v>
      </c>
      <c r="G416">
        <f t="array" ref="G416">SUM('Tech Parameters'!$G$68:$G$87*'Ref scen Calcs'!G$367:G$386)</f>
        <v>651.77077055999985</v>
      </c>
      <c r="H416">
        <f t="array" ref="H416">SUM('Tech Parameters'!$G$68:$G$87*'Ref scen Calcs'!H$367:H$386)</f>
        <v>651.77077055999985</v>
      </c>
      <c r="I416">
        <f t="array" aca="1" ref="I416" ca="1">SUM('Tech Parameters'!$G$68:$G$87*'Ref scen Calcs'!I$367:I$386)</f>
        <v>651.77077055999985</v>
      </c>
      <c r="J416">
        <f t="array" aca="1" ref="J416" ca="1">SUM('Tech Parameters'!$G$68:$G$87*'Ref scen Calcs'!J$367:J$386)</f>
        <v>945.06761731199981</v>
      </c>
      <c r="K416">
        <f t="array" aca="1" ref="K416" ca="1">SUM('Tech Parameters'!$G$68:$G$87*'Ref scen Calcs'!K$367:K$386)</f>
        <v>945.06761731199981</v>
      </c>
      <c r="L416">
        <f t="array" aca="1" ref="L416" ca="1">SUM('Tech Parameters'!$G$68:$G$87*'Ref scen Calcs'!L$367:L$386)</f>
        <v>945.06761731199981</v>
      </c>
      <c r="M416">
        <f t="array" aca="1" ref="M416" ca="1">SUM('Tech Parameters'!$G$68:$G$87*'Ref scen Calcs'!M$367:M$386)</f>
        <v>945.06761731199981</v>
      </c>
      <c r="N416">
        <f t="array" aca="1" ref="N416" ca="1">SUM('Tech Parameters'!$G$68:$G$87*'Ref scen Calcs'!N$367:N$386)</f>
        <v>945.06761731199981</v>
      </c>
      <c r="O416">
        <f t="array" aca="1" ref="O416" ca="1">SUM('Tech Parameters'!$G$68:$G$87*'Ref scen Calcs'!O$367:O$386)</f>
        <v>945.06761731199981</v>
      </c>
      <c r="P416">
        <f t="array" aca="1" ref="P416" ca="1">SUM('Tech Parameters'!$G$68:$G$87*'Ref scen Calcs'!P$367:P$386)</f>
        <v>945.06761731199981</v>
      </c>
      <c r="Q416">
        <f t="array" aca="1" ref="Q416" ca="1">SUM('Tech Parameters'!$G$68:$G$87*'Ref scen Calcs'!Q$367:Q$386)</f>
        <v>945.06761731199981</v>
      </c>
      <c r="R416">
        <f t="array" aca="1" ref="R416" ca="1">SUM('Tech Parameters'!$G$68:$G$87*'Ref scen Calcs'!R$367:R$386)</f>
        <v>945.06761731199981</v>
      </c>
      <c r="S416">
        <f t="array" aca="1" ref="S416" ca="1">SUM('Tech Parameters'!$G$68:$G$87*'Ref scen Calcs'!S$367:S$386)</f>
        <v>945.06761731199981</v>
      </c>
      <c r="T416">
        <f t="array" aca="1" ref="T416" ca="1">SUM('Tech Parameters'!$G$68:$G$87*'Ref scen Calcs'!T$367:T$386)</f>
        <v>945.06761731199981</v>
      </c>
      <c r="U416">
        <f t="array" aca="1" ref="U416" ca="1">SUM('Tech Parameters'!$G$68:$G$87*'Ref scen Calcs'!U$367:U$386)</f>
        <v>945.06761731199981</v>
      </c>
      <c r="V416">
        <f t="array" aca="1" ref="V416" ca="1">SUM('Tech Parameters'!$G$68:$G$87*'Ref scen Calcs'!V$367:V$386)</f>
        <v>1140.59884848</v>
      </c>
      <c r="W416">
        <f t="array" aca="1" ref="W416" ca="1">SUM('Tech Parameters'!$G$68:$G$87*'Ref scen Calcs'!W$367:W$386)</f>
        <v>1140.59884848</v>
      </c>
      <c r="X416">
        <f t="array" aca="1" ref="X416" ca="1">SUM('Tech Parameters'!$G$68:$G$87*'Ref scen Calcs'!X$367:X$386)</f>
        <v>1140.59884848</v>
      </c>
      <c r="Y416">
        <f t="array" aca="1" ref="Y416" ca="1">SUM('Tech Parameters'!$G$68:$G$87*'Ref scen Calcs'!Y$367:Y$386)</f>
        <v>1336.1300796479998</v>
      </c>
      <c r="Z416">
        <f t="array" aca="1" ref="Z416" ca="1">SUM('Tech Parameters'!$G$68:$G$87*'Ref scen Calcs'!Z$367:Z$386)</f>
        <v>1336.1300796479998</v>
      </c>
      <c r="AA416">
        <f t="array" aca="1" ref="AA416" ca="1">SUM('Tech Parameters'!$G$68:$G$87*'Ref scen Calcs'!AA$367:AA$386)</f>
        <v>1336.1300796479998</v>
      </c>
      <c r="AB416">
        <f t="array" aca="1" ref="AB416" ca="1">SUM('Tech Parameters'!$G$68:$G$87*'Ref scen Calcs'!AB$367:AB$386)</f>
        <v>1531.6613108159995</v>
      </c>
      <c r="AC416">
        <f t="array" aca="1" ref="AC416" ca="1">SUM('Tech Parameters'!$G$68:$G$87*'Ref scen Calcs'!AC$367:AC$386)</f>
        <v>1485.2226434135996</v>
      </c>
    </row>
    <row r="417" spans="3:29">
      <c r="C417" s="11" t="s">
        <v>18</v>
      </c>
      <c r="D417">
        <f t="array" ref="D417">SUM('Tech Parameters'!$H$68:$H$87*'Ref scen Calcs'!D$367:D$386)</f>
        <v>0</v>
      </c>
      <c r="E417">
        <f t="array" ref="E417">SUM('Tech Parameters'!$H$68:$H$87*'Ref scen Calcs'!E$367:E$386)</f>
        <v>0</v>
      </c>
      <c r="F417">
        <f t="array" ref="F417">SUM('Tech Parameters'!$H$68:$H$87*'Ref scen Calcs'!F$367:F$386)</f>
        <v>0</v>
      </c>
      <c r="G417">
        <f t="array" ref="G417">SUM('Tech Parameters'!$H$68:$H$87*'Ref scen Calcs'!G$367:G$386)</f>
        <v>0</v>
      </c>
      <c r="H417">
        <f t="array" ref="H417">SUM('Tech Parameters'!$H$68:$H$87*'Ref scen Calcs'!H$367:H$386)</f>
        <v>0</v>
      </c>
      <c r="I417">
        <f t="array" aca="1" ref="I417" ca="1">SUM('Tech Parameters'!$H$68:$H$87*'Ref scen Calcs'!I$367:I$386)</f>
        <v>0</v>
      </c>
      <c r="J417">
        <f t="array" aca="1" ref="J417" ca="1">SUM('Tech Parameters'!$H$68:$H$87*'Ref scen Calcs'!J$367:J$386)</f>
        <v>0</v>
      </c>
      <c r="K417">
        <f t="array" aca="1" ref="K417" ca="1">SUM('Tech Parameters'!$H$68:$H$87*'Ref scen Calcs'!K$367:K$386)</f>
        <v>0</v>
      </c>
      <c r="L417">
        <f t="array" aca="1" ref="L417" ca="1">SUM('Tech Parameters'!$H$68:$H$87*'Ref scen Calcs'!L$367:L$386)</f>
        <v>0</v>
      </c>
      <c r="M417">
        <f t="array" aca="1" ref="M417" ca="1">SUM('Tech Parameters'!$H$68:$H$87*'Ref scen Calcs'!M$367:M$386)</f>
        <v>0</v>
      </c>
      <c r="N417">
        <f t="array" aca="1" ref="N417" ca="1">SUM('Tech Parameters'!$H$68:$H$87*'Ref scen Calcs'!N$367:N$386)</f>
        <v>0</v>
      </c>
      <c r="O417">
        <f t="array" aca="1" ref="O417" ca="1">SUM('Tech Parameters'!$H$68:$H$87*'Ref scen Calcs'!O$367:O$386)</f>
        <v>0</v>
      </c>
      <c r="P417">
        <f t="array" aca="1" ref="P417" ca="1">SUM('Tech Parameters'!$H$68:$H$87*'Ref scen Calcs'!P$367:P$386)</f>
        <v>0</v>
      </c>
      <c r="Q417">
        <f t="array" aca="1" ref="Q417" ca="1">SUM('Tech Parameters'!$H$68:$H$87*'Ref scen Calcs'!Q$367:Q$386)</f>
        <v>0</v>
      </c>
      <c r="R417">
        <f t="array" aca="1" ref="R417" ca="1">SUM('Tech Parameters'!$H$68:$H$87*'Ref scen Calcs'!R$367:R$386)</f>
        <v>0</v>
      </c>
      <c r="S417">
        <f t="array" aca="1" ref="S417" ca="1">SUM('Tech Parameters'!$H$68:$H$87*'Ref scen Calcs'!S$367:S$386)</f>
        <v>0</v>
      </c>
      <c r="T417">
        <f t="array" aca="1" ref="T417" ca="1">SUM('Tech Parameters'!$H$68:$H$87*'Ref scen Calcs'!T$367:T$386)</f>
        <v>0</v>
      </c>
      <c r="U417">
        <f t="array" aca="1" ref="U417" ca="1">SUM('Tech Parameters'!$H$68:$H$87*'Ref scen Calcs'!U$367:U$386)</f>
        <v>0</v>
      </c>
      <c r="V417">
        <f t="array" aca="1" ref="V417" ca="1">SUM('Tech Parameters'!$H$68:$H$87*'Ref scen Calcs'!V$367:V$386)</f>
        <v>0</v>
      </c>
      <c r="W417">
        <f t="array" aca="1" ref="W417" ca="1">SUM('Tech Parameters'!$H$68:$H$87*'Ref scen Calcs'!W$367:W$386)</f>
        <v>0</v>
      </c>
      <c r="X417">
        <f t="array" aca="1" ref="X417" ca="1">SUM('Tech Parameters'!$H$68:$H$87*'Ref scen Calcs'!X$367:X$386)</f>
        <v>0</v>
      </c>
      <c r="Y417">
        <f t="array" aca="1" ref="Y417" ca="1">SUM('Tech Parameters'!$H$68:$H$87*'Ref scen Calcs'!Y$367:Y$386)</f>
        <v>0</v>
      </c>
      <c r="Z417">
        <f t="array" aca="1" ref="Z417" ca="1">SUM('Tech Parameters'!$H$68:$H$87*'Ref scen Calcs'!Z$367:Z$386)</f>
        <v>0</v>
      </c>
      <c r="AA417">
        <f t="array" aca="1" ref="AA417" ca="1">SUM('Tech Parameters'!$H$68:$H$87*'Ref scen Calcs'!AA$367:AA$386)</f>
        <v>0</v>
      </c>
      <c r="AB417">
        <f t="array" aca="1" ref="AB417" ca="1">SUM('Tech Parameters'!$H$68:$H$87*'Ref scen Calcs'!AB$367:AB$386)</f>
        <v>0</v>
      </c>
      <c r="AC417">
        <f t="array" aca="1" ref="AC417" ca="1">SUM('Tech Parameters'!$H$68:$H$87*'Ref scen Calcs'!AC$367:AC$386)</f>
        <v>0</v>
      </c>
    </row>
    <row r="418" spans="3:29">
      <c r="C418" s="11" t="s">
        <v>5</v>
      </c>
      <c r="D418">
        <f>SUM(D413:D417)</f>
        <v>234097.44941327994</v>
      </c>
      <c r="E418">
        <f t="shared" ref="E418:AC418" si="205">SUM(E413:E417)</f>
        <v>234097.44941327994</v>
      </c>
      <c r="F418">
        <f t="shared" si="205"/>
        <v>240879.02833833828</v>
      </c>
      <c r="G418">
        <f t="shared" si="205"/>
        <v>243241.34650084161</v>
      </c>
      <c r="H418">
        <f t="shared" si="205"/>
        <v>243241.34650084161</v>
      </c>
      <c r="I418">
        <f t="shared" ca="1" si="205"/>
        <v>250022.96114615008</v>
      </c>
      <c r="J418">
        <f t="shared" ca="1" si="205"/>
        <v>255017.6192321413</v>
      </c>
      <c r="K418">
        <f t="shared" ca="1" si="205"/>
        <v>260988.55551916343</v>
      </c>
      <c r="L418">
        <f t="shared" ca="1" si="205"/>
        <v>268348.95554211171</v>
      </c>
      <c r="M418">
        <f t="shared" ca="1" si="205"/>
        <v>277255.35227792501</v>
      </c>
      <c r="N418">
        <f t="shared" ca="1" si="205"/>
        <v>285577.38045181293</v>
      </c>
      <c r="O418">
        <f t="shared" ca="1" si="205"/>
        <v>294362.1377456414</v>
      </c>
      <c r="P418">
        <f t="shared" ca="1" si="205"/>
        <v>303002.45936041337</v>
      </c>
      <c r="Q418">
        <f t="shared" ca="1" si="205"/>
        <v>312116.20903431531</v>
      </c>
      <c r="R418">
        <f t="shared" ca="1" si="205"/>
        <v>321657.91627579241</v>
      </c>
      <c r="S418">
        <f t="shared" ca="1" si="205"/>
        <v>331248.6969629706</v>
      </c>
      <c r="T418">
        <f t="shared" ca="1" si="205"/>
        <v>341342.32779204956</v>
      </c>
      <c r="U418">
        <f t="shared" ca="1" si="205"/>
        <v>351585.74376977992</v>
      </c>
      <c r="V418">
        <f t="shared" ca="1" si="205"/>
        <v>362537.96446880646</v>
      </c>
      <c r="W418">
        <f t="shared" ca="1" si="205"/>
        <v>373869.99750905583</v>
      </c>
      <c r="X418">
        <f t="shared" ca="1" si="205"/>
        <v>385702.20595640887</v>
      </c>
      <c r="Y418">
        <f t="shared" ca="1" si="205"/>
        <v>398481.2705220218</v>
      </c>
      <c r="Z418">
        <f t="shared" ca="1" si="205"/>
        <v>411803.30625149573</v>
      </c>
      <c r="AA418">
        <f t="shared" ca="1" si="205"/>
        <v>425542.60060935537</v>
      </c>
      <c r="AB418">
        <f t="shared" ca="1" si="205"/>
        <v>439573.44106012554</v>
      </c>
      <c r="AC418">
        <f t="shared" ca="1" si="205"/>
        <v>449790.10968988232</v>
      </c>
    </row>
    <row r="420" spans="3:29">
      <c r="C420" s="4" t="s">
        <v>344</v>
      </c>
    </row>
    <row r="421" spans="3:29">
      <c r="C421" s="11" t="s">
        <v>343</v>
      </c>
      <c r="D421" s="15">
        <f>D413/D$418</f>
        <v>0.92842808162774648</v>
      </c>
      <c r="E421" s="15">
        <f t="shared" ref="E421:AC425" si="206">E413/E$418</f>
        <v>0.9284280816277467</v>
      </c>
      <c r="F421" s="15">
        <f t="shared" si="206"/>
        <v>0.9304430790171313</v>
      </c>
      <c r="G421" s="15">
        <f t="shared" si="206"/>
        <v>0.93111860388216516</v>
      </c>
      <c r="H421" s="15">
        <f t="shared" si="206"/>
        <v>0.93111860388216516</v>
      </c>
      <c r="I421" s="15">
        <f t="shared" ca="1" si="206"/>
        <v>0.93193583716252215</v>
      </c>
      <c r="J421" s="15">
        <f t="shared" ca="1" si="206"/>
        <v>0.93211880638116251</v>
      </c>
      <c r="K421" s="15">
        <f t="shared" ca="1" si="206"/>
        <v>0.93367180276209127</v>
      </c>
      <c r="L421" s="15">
        <f t="shared" ca="1" si="206"/>
        <v>0.93549108342031373</v>
      </c>
      <c r="M421" s="15">
        <f t="shared" ca="1" si="206"/>
        <v>0.93756333197867614</v>
      </c>
      <c r="N421" s="15">
        <f t="shared" ca="1" si="206"/>
        <v>0.93938280279788144</v>
      </c>
      <c r="O421" s="15">
        <f t="shared" ca="1" si="206"/>
        <v>0.94119182405764978</v>
      </c>
      <c r="P421" s="15">
        <f t="shared" ca="1" si="206"/>
        <v>0.9428687792704642</v>
      </c>
      <c r="Q421" s="15">
        <f t="shared" ca="1" si="206"/>
        <v>0.94453700292954423</v>
      </c>
      <c r="R421" s="15">
        <f t="shared" ca="1" si="206"/>
        <v>0.9461822653465507</v>
      </c>
      <c r="S421" s="15">
        <f t="shared" ca="1" si="206"/>
        <v>0.94774047250290883</v>
      </c>
      <c r="T421" s="15">
        <f t="shared" ca="1" si="206"/>
        <v>0.94928580788885331</v>
      </c>
      <c r="U421" s="15">
        <f t="shared" ca="1" si="206"/>
        <v>0.95076336087549884</v>
      </c>
      <c r="V421" s="15">
        <f t="shared" ca="1" si="206"/>
        <v>0.95171145277397218</v>
      </c>
      <c r="W421" s="15">
        <f t="shared" ca="1" si="206"/>
        <v>0.95317508295632647</v>
      </c>
      <c r="X421" s="15">
        <f t="shared" ca="1" si="206"/>
        <v>0.954611533592166</v>
      </c>
      <c r="Y421" s="15">
        <f t="shared" ca="1" si="206"/>
        <v>0.95557642439139512</v>
      </c>
      <c r="Z421" s="15">
        <f t="shared" ca="1" si="206"/>
        <v>0.95701354850503051</v>
      </c>
      <c r="AA421" s="15">
        <f t="shared" ca="1" si="206"/>
        <v>0.95840143190294069</v>
      </c>
      <c r="AB421" s="15">
        <f t="shared" ca="1" si="206"/>
        <v>0.95928440526877068</v>
      </c>
      <c r="AC421" s="15">
        <f t="shared" ca="1" si="206"/>
        <v>0.96089674931816493</v>
      </c>
    </row>
    <row r="422" spans="3:29">
      <c r="C422" s="11" t="s">
        <v>341</v>
      </c>
      <c r="D422" s="15">
        <f>D414/D$418</f>
        <v>1.2410288011601127E-2</v>
      </c>
      <c r="E422" s="15">
        <f t="shared" ref="E422:S422" si="207">E414/E$418</f>
        <v>1.2410288011601002E-2</v>
      </c>
      <c r="F422" s="15">
        <f t="shared" si="207"/>
        <v>1.2060895421411852E-2</v>
      </c>
      <c r="G422" s="15">
        <f t="shared" si="207"/>
        <v>1.1943762077430977E-2</v>
      </c>
      <c r="H422" s="15">
        <f t="shared" si="207"/>
        <v>1.1943762077430977E-2</v>
      </c>
      <c r="I422" s="15">
        <f t="shared" ca="1" si="207"/>
        <v>1.26709033261475E-2</v>
      </c>
      <c r="J422" s="15">
        <f t="shared" ca="1" si="207"/>
        <v>1.242273682712162E-2</v>
      </c>
      <c r="K422" s="15">
        <f t="shared" ca="1" si="207"/>
        <v>1.2138527544620187E-2</v>
      </c>
      <c r="L422" s="15">
        <f t="shared" ca="1" si="207"/>
        <v>1.1805586362727044E-2</v>
      </c>
      <c r="M422" s="15">
        <f t="shared" ca="1" si="207"/>
        <v>1.1426350272309014E-2</v>
      </c>
      <c r="N422" s="15">
        <f t="shared" ca="1" si="207"/>
        <v>1.10933742896159E-2</v>
      </c>
      <c r="O422" s="15">
        <f t="shared" ca="1" si="207"/>
        <v>1.0762310649943324E-2</v>
      </c>
      <c r="P422" s="15">
        <f t="shared" ca="1" si="207"/>
        <v>1.0455416027603024E-2</v>
      </c>
      <c r="Q422" s="15">
        <f t="shared" ca="1" si="207"/>
        <v>1.0150119341131993E-2</v>
      </c>
      <c r="R422" s="15">
        <f t="shared" ca="1" si="207"/>
        <v>9.8490247237805091E-3</v>
      </c>
      <c r="S422" s="15">
        <f t="shared" ca="1" si="207"/>
        <v>9.5638618326524139E-3</v>
      </c>
      <c r="T422" s="15">
        <f t="shared" ca="1" si="206"/>
        <v>9.2810545662242033E-3</v>
      </c>
      <c r="U422" s="15">
        <f t="shared" ca="1" si="206"/>
        <v>9.0106519565663432E-3</v>
      </c>
      <c r="V422" s="15">
        <f t="shared" ca="1" si="206"/>
        <v>8.7384414336904113E-3</v>
      </c>
      <c r="W422" s="15">
        <f t="shared" ca="1" si="206"/>
        <v>8.4735784928109004E-3</v>
      </c>
      <c r="X422" s="15">
        <f t="shared" ca="1" si="206"/>
        <v>8.213634044805131E-3</v>
      </c>
      <c r="Y422" s="15">
        <f t="shared" ca="1" si="206"/>
        <v>7.9502275372938056E-3</v>
      </c>
      <c r="Z422" s="15">
        <f t="shared" ca="1" si="206"/>
        <v>7.6930338389882549E-3</v>
      </c>
      <c r="AA422" s="15">
        <f t="shared" ca="1" si="206"/>
        <v>7.4446524636160071E-3</v>
      </c>
      <c r="AB422" s="15">
        <f t="shared" ca="1" si="206"/>
        <v>7.2070249793974106E-3</v>
      </c>
      <c r="AC422" s="15">
        <f t="shared" ca="1" si="206"/>
        <v>6.4590499155329703E-3</v>
      </c>
    </row>
    <row r="423" spans="3:29">
      <c r="C423" s="11" t="s">
        <v>342</v>
      </c>
      <c r="D423" s="15">
        <f>D415/D$418</f>
        <v>5.6377444662800799E-2</v>
      </c>
      <c r="E423" s="15">
        <f t="shared" si="206"/>
        <v>5.6377444662800799E-2</v>
      </c>
      <c r="F423" s="15">
        <f t="shared" si="206"/>
        <v>5.4790224333943961E-2</v>
      </c>
      <c r="G423" s="15">
        <f t="shared" si="206"/>
        <v>5.4258111089490843E-2</v>
      </c>
      <c r="H423" s="15">
        <f t="shared" si="206"/>
        <v>5.4258111089490843E-2</v>
      </c>
      <c r="I423" s="15">
        <f t="shared" ca="1" si="206"/>
        <v>5.2786415853563383E-2</v>
      </c>
      <c r="J423" s="15">
        <f t="shared" ca="1" si="206"/>
        <v>5.1752565331519666E-2</v>
      </c>
      <c r="K423" s="15">
        <f t="shared" ca="1" si="206"/>
        <v>5.0568562187512975E-2</v>
      </c>
      <c r="L423" s="15">
        <f t="shared" ca="1" si="206"/>
        <v>4.9181544132855325E-2</v>
      </c>
      <c r="M423" s="15">
        <f t="shared" ca="1" si="206"/>
        <v>4.7601663562369417E-2</v>
      </c>
      <c r="N423" s="15">
        <f t="shared" ca="1" si="206"/>
        <v>4.6214500529137462E-2</v>
      </c>
      <c r="O423" s="15">
        <f t="shared" ca="1" si="206"/>
        <v>4.4835304231294323E-2</v>
      </c>
      <c r="P423" s="15">
        <f t="shared" ca="1" si="206"/>
        <v>4.355679497736864E-2</v>
      </c>
      <c r="Q423" s="15">
        <f t="shared" ca="1" si="206"/>
        <v>4.2284942652718746E-2</v>
      </c>
      <c r="R423" s="15">
        <f t="shared" ca="1" si="206"/>
        <v>4.103059595985218E-2</v>
      </c>
      <c r="S423" s="15">
        <f t="shared" ca="1" si="206"/>
        <v>3.9842620125009422E-2</v>
      </c>
      <c r="T423" s="15">
        <f t="shared" ca="1" si="206"/>
        <v>3.8664457717181473E-2</v>
      </c>
      <c r="U423" s="15">
        <f t="shared" ca="1" si="206"/>
        <v>3.7537972553978165E-2</v>
      </c>
      <c r="V423" s="15">
        <f t="shared" ca="1" si="206"/>
        <v>3.6403955705266743E-2</v>
      </c>
      <c r="W423" s="15">
        <f t="shared" ca="1" si="206"/>
        <v>3.5300548554127627E-2</v>
      </c>
      <c r="X423" s="15">
        <f t="shared" ca="1" si="206"/>
        <v>3.4217631624050351E-2</v>
      </c>
      <c r="Y423" s="15">
        <f t="shared" ca="1" si="206"/>
        <v>3.3120291909103997E-2</v>
      </c>
      <c r="Z423" s="15">
        <f t="shared" ca="1" si="206"/>
        <v>3.2048834479099238E-2</v>
      </c>
      <c r="AA423" s="15">
        <f t="shared" ca="1" si="206"/>
        <v>3.101408879181872E-2</v>
      </c>
      <c r="AB423" s="15">
        <f t="shared" ca="1" si="206"/>
        <v>3.0024143333524968E-2</v>
      </c>
      <c r="AC423" s="15">
        <f t="shared" ca="1" si="206"/>
        <v>2.9342165858425664E-2</v>
      </c>
    </row>
    <row r="424" spans="3:29">
      <c r="C424" s="11" t="s">
        <v>345</v>
      </c>
      <c r="D424" s="15">
        <f>D416/D$418</f>
        <v>2.7841856978516317E-3</v>
      </c>
      <c r="E424" s="15">
        <f t="shared" si="206"/>
        <v>2.7841856978516317E-3</v>
      </c>
      <c r="F424" s="15">
        <f t="shared" si="206"/>
        <v>2.7058012275129393E-3</v>
      </c>
      <c r="G424" s="15">
        <f t="shared" si="206"/>
        <v>2.6795229509130542E-3</v>
      </c>
      <c r="H424" s="15">
        <f t="shared" si="206"/>
        <v>2.6795229509130542E-3</v>
      </c>
      <c r="I424" s="15">
        <f t="shared" ca="1" si="206"/>
        <v>2.6068436577671339E-3</v>
      </c>
      <c r="J424" s="15">
        <f t="shared" ca="1" si="206"/>
        <v>3.7058914601963613E-3</v>
      </c>
      <c r="K424" s="15">
        <f t="shared" ca="1" si="206"/>
        <v>3.6211075057756966E-3</v>
      </c>
      <c r="L424" s="15">
        <f t="shared" ca="1" si="206"/>
        <v>3.5217860841038054E-3</v>
      </c>
      <c r="M424" s="15">
        <f t="shared" ca="1" si="206"/>
        <v>3.4086541866454197E-3</v>
      </c>
      <c r="N424" s="15">
        <f t="shared" ca="1" si="206"/>
        <v>3.3093223833652553E-3</v>
      </c>
      <c r="O424" s="15">
        <f t="shared" ca="1" si="206"/>
        <v>3.2105610611125319E-3</v>
      </c>
      <c r="P424" s="15">
        <f t="shared" ca="1" si="206"/>
        <v>3.1190097245642058E-3</v>
      </c>
      <c r="Q424" s="15">
        <f t="shared" ca="1" si="206"/>
        <v>3.0279350766050581E-3</v>
      </c>
      <c r="R424" s="15">
        <f t="shared" ca="1" si="206"/>
        <v>2.9381139698165869E-3</v>
      </c>
      <c r="S424" s="15">
        <f t="shared" ca="1" si="206"/>
        <v>2.8530455394293864E-3</v>
      </c>
      <c r="T424" s="15">
        <f t="shared" ca="1" si="206"/>
        <v>2.7686798277409886E-3</v>
      </c>
      <c r="U424" s="15">
        <f t="shared" ca="1" si="206"/>
        <v>2.6880146139566874E-3</v>
      </c>
      <c r="V424" s="15">
        <f t="shared" ca="1" si="206"/>
        <v>3.1461500870707832E-3</v>
      </c>
      <c r="W424" s="15">
        <f t="shared" ca="1" si="206"/>
        <v>3.0507899967350885E-3</v>
      </c>
      <c r="X424" s="15">
        <f t="shared" ca="1" si="206"/>
        <v>2.9572007389786817E-3</v>
      </c>
      <c r="Y424" s="15">
        <f t="shared" ca="1" si="206"/>
        <v>3.3530561622071506E-3</v>
      </c>
      <c r="Z424" s="15">
        <f t="shared" ca="1" si="206"/>
        <v>3.2445831768820256E-3</v>
      </c>
      <c r="AA424" s="15">
        <f t="shared" ca="1" si="206"/>
        <v>3.1398268416246208E-3</v>
      </c>
      <c r="AB424" s="15">
        <f t="shared" ca="1" si="206"/>
        <v>3.4844264183069617E-3</v>
      </c>
      <c r="AC424" s="15">
        <f t="shared" ca="1" si="206"/>
        <v>3.3020349078765185E-3</v>
      </c>
    </row>
    <row r="425" spans="3:29">
      <c r="C425" s="11" t="s">
        <v>346</v>
      </c>
      <c r="D425" s="15">
        <f>D417/D$418</f>
        <v>0</v>
      </c>
      <c r="E425" s="15">
        <f t="shared" si="206"/>
        <v>0</v>
      </c>
      <c r="F425" s="15">
        <f t="shared" si="206"/>
        <v>0</v>
      </c>
      <c r="G425" s="15">
        <f t="shared" si="206"/>
        <v>0</v>
      </c>
      <c r="H425" s="15">
        <f t="shared" si="206"/>
        <v>0</v>
      </c>
      <c r="I425" s="15">
        <f t="shared" ca="1" si="206"/>
        <v>0</v>
      </c>
      <c r="J425" s="15">
        <f t="shared" ca="1" si="206"/>
        <v>0</v>
      </c>
      <c r="K425" s="15">
        <f t="shared" ca="1" si="206"/>
        <v>0</v>
      </c>
      <c r="L425" s="15">
        <f t="shared" ca="1" si="206"/>
        <v>0</v>
      </c>
      <c r="M425" s="15">
        <f t="shared" ca="1" si="206"/>
        <v>0</v>
      </c>
      <c r="N425" s="15">
        <f t="shared" ca="1" si="206"/>
        <v>0</v>
      </c>
      <c r="O425" s="15">
        <f t="shared" ca="1" si="206"/>
        <v>0</v>
      </c>
      <c r="P425" s="15">
        <f t="shared" ca="1" si="206"/>
        <v>0</v>
      </c>
      <c r="Q425" s="15">
        <f t="shared" ca="1" si="206"/>
        <v>0</v>
      </c>
      <c r="R425" s="15">
        <f t="shared" ca="1" si="206"/>
        <v>0</v>
      </c>
      <c r="S425" s="15">
        <f t="shared" ca="1" si="206"/>
        <v>0</v>
      </c>
      <c r="T425" s="15">
        <f t="shared" ca="1" si="206"/>
        <v>0</v>
      </c>
      <c r="U425" s="15">
        <f t="shared" ca="1" si="206"/>
        <v>0</v>
      </c>
      <c r="V425" s="15">
        <f t="shared" ca="1" si="206"/>
        <v>0</v>
      </c>
      <c r="W425" s="15">
        <f t="shared" ca="1" si="206"/>
        <v>0</v>
      </c>
      <c r="X425" s="15">
        <f t="shared" ca="1" si="206"/>
        <v>0</v>
      </c>
      <c r="Y425" s="15">
        <f t="shared" ca="1" si="206"/>
        <v>0</v>
      </c>
      <c r="Z425" s="15">
        <f t="shared" ca="1" si="206"/>
        <v>0</v>
      </c>
      <c r="AA425" s="15">
        <f t="shared" ca="1" si="206"/>
        <v>0</v>
      </c>
      <c r="AB425" s="15">
        <f t="shared" ca="1" si="206"/>
        <v>0</v>
      </c>
      <c r="AC425" s="15">
        <f t="shared" ca="1" si="206"/>
        <v>0</v>
      </c>
    </row>
    <row r="427" spans="3:29">
      <c r="C427" s="4" t="s">
        <v>265</v>
      </c>
      <c r="H427" s="11" t="s">
        <v>267</v>
      </c>
      <c r="J427" t="str">
        <f>'Investment Plan'!AX4</f>
        <v>Supercritical coal</v>
      </c>
    </row>
    <row r="428" spans="3:29">
      <c r="H428" s="11" t="s">
        <v>266</v>
      </c>
      <c r="J428" t="str">
        <f>'Investment Plan'!AX5</f>
        <v>Existing coal Large</v>
      </c>
    </row>
    <row r="430" spans="3:29">
      <c r="C430" t="str">
        <f>J427&amp;" capacity"</f>
        <v>Supercritical coal capacity</v>
      </c>
      <c r="D430">
        <f t="shared" ref="D430:AC430" si="208">SUMIF($C$8:$C$27,$J$427,D$8:D$27)</f>
        <v>0</v>
      </c>
      <c r="E430">
        <f t="shared" si="208"/>
        <v>0</v>
      </c>
      <c r="F430">
        <f t="shared" si="208"/>
        <v>0</v>
      </c>
      <c r="G430">
        <f t="shared" si="208"/>
        <v>0</v>
      </c>
      <c r="H430">
        <f t="shared" si="208"/>
        <v>0</v>
      </c>
      <c r="I430">
        <f t="shared" ca="1" si="208"/>
        <v>0</v>
      </c>
      <c r="J430">
        <f t="shared" ca="1" si="208"/>
        <v>0</v>
      </c>
      <c r="K430">
        <f t="shared" ca="1" si="208"/>
        <v>0.79400000000000004</v>
      </c>
      <c r="L430">
        <f t="shared" ca="1" si="208"/>
        <v>2.3820000000000001</v>
      </c>
      <c r="M430">
        <f t="shared" ca="1" si="208"/>
        <v>4.7640000000000002</v>
      </c>
      <c r="N430">
        <f t="shared" ca="1" si="208"/>
        <v>7.1460000000000008</v>
      </c>
      <c r="O430">
        <f t="shared" ca="1" si="208"/>
        <v>8.7340000000000018</v>
      </c>
      <c r="P430">
        <f t="shared" ca="1" si="208"/>
        <v>10.322000000000003</v>
      </c>
      <c r="Q430">
        <f t="shared" ca="1" si="208"/>
        <v>12.704000000000002</v>
      </c>
      <c r="R430">
        <f t="shared" ca="1" si="208"/>
        <v>15.086000000000002</v>
      </c>
      <c r="S430">
        <f t="shared" ca="1" si="208"/>
        <v>17.468000000000004</v>
      </c>
      <c r="T430">
        <f t="shared" ca="1" si="208"/>
        <v>20.644000000000005</v>
      </c>
      <c r="U430">
        <f t="shared" ca="1" si="208"/>
        <v>23.820000000000007</v>
      </c>
      <c r="V430">
        <f t="shared" ca="1" si="208"/>
        <v>26.202000000000009</v>
      </c>
      <c r="W430">
        <f t="shared" ca="1" si="208"/>
        <v>29.378000000000007</v>
      </c>
      <c r="X430">
        <f t="shared" ca="1" si="208"/>
        <v>32.554000000000009</v>
      </c>
      <c r="Y430">
        <f t="shared" ca="1" si="208"/>
        <v>36.524000000000008</v>
      </c>
      <c r="Z430">
        <f t="shared" ca="1" si="208"/>
        <v>40.494000000000007</v>
      </c>
      <c r="AA430">
        <f t="shared" ca="1" si="208"/>
        <v>44.464000000000006</v>
      </c>
      <c r="AB430">
        <f t="shared" ca="1" si="208"/>
        <v>49.228000000000009</v>
      </c>
      <c r="AC430">
        <f t="shared" ca="1" si="208"/>
        <v>53.992000000000012</v>
      </c>
    </row>
    <row r="431" spans="3:29">
      <c r="C431" t="str">
        <f>J428&amp;" capacity"</f>
        <v>Existing coal Large capacity</v>
      </c>
      <c r="D431">
        <f t="shared" ref="D431:AC431" si="209">SUMIF($C$8:$C$27,$J$428,D$8:D$27)</f>
        <v>30.471</v>
      </c>
      <c r="E431">
        <f t="shared" si="209"/>
        <v>30.471</v>
      </c>
      <c r="F431">
        <f t="shared" si="209"/>
        <v>30.471</v>
      </c>
      <c r="G431">
        <f t="shared" si="209"/>
        <v>30.471</v>
      </c>
      <c r="H431">
        <f t="shared" si="209"/>
        <v>30.471</v>
      </c>
      <c r="I431">
        <f t="shared" ca="1" si="209"/>
        <v>30.471</v>
      </c>
      <c r="J431">
        <f t="shared" ca="1" si="209"/>
        <v>30.471</v>
      </c>
      <c r="K431">
        <f t="shared" ca="1" si="209"/>
        <v>30.471</v>
      </c>
      <c r="L431">
        <f t="shared" ca="1" si="209"/>
        <v>30.471</v>
      </c>
      <c r="M431">
        <f t="shared" ca="1" si="209"/>
        <v>30.471</v>
      </c>
      <c r="N431">
        <f t="shared" ca="1" si="209"/>
        <v>30.471</v>
      </c>
      <c r="O431">
        <f t="shared" ca="1" si="209"/>
        <v>30.471</v>
      </c>
      <c r="P431">
        <f t="shared" ca="1" si="209"/>
        <v>30.471</v>
      </c>
      <c r="Q431">
        <f t="shared" ca="1" si="209"/>
        <v>30.471</v>
      </c>
      <c r="R431">
        <f t="shared" ca="1" si="209"/>
        <v>30.471</v>
      </c>
      <c r="S431">
        <f t="shared" ca="1" si="209"/>
        <v>30.471</v>
      </c>
      <c r="T431">
        <f t="shared" ca="1" si="209"/>
        <v>30.471</v>
      </c>
      <c r="U431">
        <f t="shared" ca="1" si="209"/>
        <v>30.471</v>
      </c>
      <c r="V431">
        <f t="shared" ca="1" si="209"/>
        <v>30.471</v>
      </c>
      <c r="W431">
        <f t="shared" ca="1" si="209"/>
        <v>29.331</v>
      </c>
      <c r="X431">
        <f t="shared" ca="1" si="209"/>
        <v>28.190999999999999</v>
      </c>
      <c r="Y431">
        <f t="shared" ca="1" si="209"/>
        <v>26.765999999999998</v>
      </c>
      <c r="Z431">
        <f t="shared" ca="1" si="209"/>
        <v>25.340999999999998</v>
      </c>
      <c r="AA431">
        <f t="shared" ca="1" si="209"/>
        <v>23.615999999999996</v>
      </c>
      <c r="AB431">
        <f t="shared" ca="1" si="209"/>
        <v>20.165999999999997</v>
      </c>
      <c r="AC431">
        <f t="shared" ca="1" si="209"/>
        <v>18.440999999999995</v>
      </c>
    </row>
    <row r="432" spans="3:29">
      <c r="C432" t="str">
        <f>J427&amp;" output"</f>
        <v>Supercritical coal output</v>
      </c>
      <c r="D432">
        <f t="shared" ref="D432:AC432" si="210">SUMIF($C$367:$C$386,$J$427,D$367:D$386)</f>
        <v>0</v>
      </c>
      <c r="E432">
        <f t="shared" si="210"/>
        <v>0</v>
      </c>
      <c r="F432">
        <f t="shared" si="210"/>
        <v>0</v>
      </c>
      <c r="G432">
        <f t="shared" si="210"/>
        <v>0</v>
      </c>
      <c r="H432">
        <f t="shared" si="210"/>
        <v>0</v>
      </c>
      <c r="I432">
        <f t="shared" ca="1" si="210"/>
        <v>0</v>
      </c>
      <c r="J432">
        <f t="shared" ca="1" si="210"/>
        <v>0</v>
      </c>
      <c r="K432">
        <f t="shared" ca="1" si="210"/>
        <v>1693.7365830000003</v>
      </c>
      <c r="L432">
        <f t="shared" ca="1" si="210"/>
        <v>5081.2097490000015</v>
      </c>
      <c r="M432">
        <f t="shared" ca="1" si="210"/>
        <v>13787.838002241275</v>
      </c>
      <c r="N432">
        <f t="shared" ca="1" si="210"/>
        <v>22109.866176129231</v>
      </c>
      <c r="O432">
        <f t="shared" ca="1" si="210"/>
        <v>30973.848045042821</v>
      </c>
      <c r="P432">
        <f t="shared" ca="1" si="210"/>
        <v>39693.39423489997</v>
      </c>
      <c r="Q432">
        <f t="shared" ca="1" si="210"/>
        <v>48912.77667558215</v>
      </c>
      <c r="R432">
        <f t="shared" ca="1" si="210"/>
        <v>58560.11668383942</v>
      </c>
      <c r="S432">
        <f t="shared" ca="1" si="210"/>
        <v>70157.919939841871</v>
      </c>
      <c r="T432">
        <f t="shared" ca="1" si="210"/>
        <v>82258.573337745125</v>
      </c>
      <c r="U432">
        <f t="shared" ca="1" si="210"/>
        <v>92501.989315475454</v>
      </c>
      <c r="V432">
        <f t="shared" ca="1" si="210"/>
        <v>103258.67878333401</v>
      </c>
      <c r="W432">
        <f t="shared" ca="1" si="210"/>
        <v>123284.62132491726</v>
      </c>
      <c r="X432">
        <f t="shared" ca="1" si="210"/>
        <v>144735.49546189455</v>
      </c>
      <c r="Y432">
        <f t="shared" ca="1" si="210"/>
        <v>169111.17186129716</v>
      </c>
      <c r="Z432">
        <f t="shared" ca="1" si="210"/>
        <v>193300.59446743844</v>
      </c>
      <c r="AA432">
        <f t="shared" ca="1" si="210"/>
        <v>220195.14662336902</v>
      </c>
      <c r="AB432">
        <f t="shared" ca="1" si="210"/>
        <v>260340.97143911308</v>
      </c>
      <c r="AC432">
        <f t="shared" ca="1" si="210"/>
        <v>284022.13653434324</v>
      </c>
    </row>
    <row r="433" spans="3:49">
      <c r="C433" t="str">
        <f>J428&amp;" output"</f>
        <v>Existing coal Large output</v>
      </c>
      <c r="D433">
        <f t="shared" ref="D433:AC433" si="211">SUMIF($C$367:$C$386,$J$428,D$367:D$386)</f>
        <v>205861.53782111834</v>
      </c>
      <c r="E433">
        <f t="shared" si="211"/>
        <v>205861.53782111834</v>
      </c>
      <c r="F433">
        <f t="shared" si="211"/>
        <v>212643.1167461767</v>
      </c>
      <c r="G433">
        <f t="shared" si="211"/>
        <v>215005.43490868001</v>
      </c>
      <c r="H433">
        <f t="shared" si="211"/>
        <v>215005.43490868001</v>
      </c>
      <c r="I433">
        <f t="shared" ca="1" si="211"/>
        <v>220081.30595977066</v>
      </c>
      <c r="J433">
        <f t="shared" ca="1" si="211"/>
        <v>223929.15444342568</v>
      </c>
      <c r="K433">
        <f t="shared" ca="1" si="211"/>
        <v>228206.35414744783</v>
      </c>
      <c r="L433">
        <f t="shared" ca="1" si="211"/>
        <v>232179.28100439603</v>
      </c>
      <c r="M433">
        <f t="shared" ca="1" si="211"/>
        <v>232379.04948696808</v>
      </c>
      <c r="N433">
        <f t="shared" ca="1" si="211"/>
        <v>232379.04948696808</v>
      </c>
      <c r="O433">
        <f t="shared" ca="1" si="211"/>
        <v>232379.04948696808</v>
      </c>
      <c r="P433">
        <f t="shared" ca="1" si="211"/>
        <v>232379.04948696808</v>
      </c>
      <c r="Q433">
        <f t="shared" ca="1" si="211"/>
        <v>232379.04948696808</v>
      </c>
      <c r="R433">
        <f t="shared" ca="1" si="211"/>
        <v>232379.04948696808</v>
      </c>
      <c r="S433">
        <f t="shared" ca="1" si="211"/>
        <v>232379.04948696808</v>
      </c>
      <c r="T433">
        <f t="shared" ca="1" si="211"/>
        <v>232379.04948696808</v>
      </c>
      <c r="U433">
        <f t="shared" ca="1" si="211"/>
        <v>232379.04948696808</v>
      </c>
      <c r="V433">
        <f t="shared" ca="1" si="211"/>
        <v>232379.04948696808</v>
      </c>
      <c r="W433">
        <f t="shared" ca="1" si="211"/>
        <v>223685.13998563425</v>
      </c>
      <c r="X433">
        <f t="shared" ca="1" si="211"/>
        <v>214991.23048430041</v>
      </c>
      <c r="Y433">
        <f t="shared" ca="1" si="211"/>
        <v>204123.84360763311</v>
      </c>
      <c r="Z433">
        <f t="shared" ca="1" si="211"/>
        <v>193256.45673096576</v>
      </c>
      <c r="AA433">
        <f t="shared" ca="1" si="211"/>
        <v>180101.19893289483</v>
      </c>
      <c r="AB433">
        <f t="shared" ca="1" si="211"/>
        <v>153790.68333675293</v>
      </c>
      <c r="AC433">
        <f t="shared" ca="1" si="211"/>
        <v>140635.42553868194</v>
      </c>
    </row>
    <row r="434" spans="3:49">
      <c r="C434" t="str">
        <f>J427&amp;" capacity utilisation"</f>
        <v>Supercritical coal capacity utilisation</v>
      </c>
      <c r="D434">
        <f t="shared" ref="D434:AC434" si="212">SUMIF($C$390:$C$409,$J$427,D$390:D$409)</f>
        <v>0</v>
      </c>
      <c r="E434">
        <f t="shared" si="212"/>
        <v>0</v>
      </c>
      <c r="F434">
        <f t="shared" si="212"/>
        <v>0</v>
      </c>
      <c r="G434">
        <f t="shared" si="212"/>
        <v>0</v>
      </c>
      <c r="H434">
        <f t="shared" si="212"/>
        <v>0</v>
      </c>
      <c r="I434">
        <f t="shared" ca="1" si="212"/>
        <v>0</v>
      </c>
      <c r="J434">
        <f t="shared" ca="1" si="212"/>
        <v>0</v>
      </c>
      <c r="K434">
        <f t="shared" ca="1" si="212"/>
        <v>0.24351250000000005</v>
      </c>
      <c r="L434">
        <f t="shared" ca="1" si="212"/>
        <v>0.24351250000000005</v>
      </c>
      <c r="M434">
        <f t="shared" ca="1" si="212"/>
        <v>0.3303849936702129</v>
      </c>
      <c r="N434">
        <f t="shared" ca="1" si="212"/>
        <v>0.35319861825386922</v>
      </c>
      <c r="O434">
        <f t="shared" ca="1" si="212"/>
        <v>0.40483482967736983</v>
      </c>
      <c r="P434">
        <f t="shared" ca="1" si="212"/>
        <v>0.43898560235861828</v>
      </c>
      <c r="Q434">
        <f t="shared" ca="1" si="212"/>
        <v>0.43951907316055977</v>
      </c>
      <c r="R434">
        <f t="shared" ca="1" si="212"/>
        <v>0.44312241992060902</v>
      </c>
      <c r="S434">
        <f t="shared" ca="1" si="212"/>
        <v>0.45848952200031956</v>
      </c>
      <c r="T434">
        <f t="shared" ca="1" si="212"/>
        <v>0.4548657284400362</v>
      </c>
      <c r="U434">
        <f t="shared" ca="1" si="212"/>
        <v>0.44330763314027305</v>
      </c>
      <c r="V434">
        <f t="shared" ca="1" si="212"/>
        <v>0.44987101782521904</v>
      </c>
      <c r="W434">
        <f t="shared" ca="1" si="212"/>
        <v>0.4790519065027275</v>
      </c>
      <c r="X434">
        <f t="shared" ca="1" si="212"/>
        <v>0.5075356894252504</v>
      </c>
      <c r="Y434">
        <f t="shared" ca="1" si="212"/>
        <v>0.5285546023072123</v>
      </c>
      <c r="Z434">
        <f t="shared" ca="1" si="212"/>
        <v>0.54492709802049255</v>
      </c>
      <c r="AA434">
        <f t="shared" ca="1" si="212"/>
        <v>0.56532098468292691</v>
      </c>
      <c r="AB434">
        <f t="shared" ca="1" si="212"/>
        <v>0.60370701586633002</v>
      </c>
      <c r="AC434">
        <f t="shared" ca="1" si="212"/>
        <v>0.60050782200767261</v>
      </c>
    </row>
    <row r="435" spans="3:49">
      <c r="C435" t="str">
        <f>J428&amp;" capacity utilisation"</f>
        <v>Existing coal Large capacity utilisation</v>
      </c>
      <c r="D435">
        <f t="shared" ref="D435:AC435" si="213">SUMIF($C$390:$C$409,$J$428,D$390:D$409)</f>
        <v>0.77123086050198464</v>
      </c>
      <c r="E435">
        <f t="shared" si="213"/>
        <v>0.77123086050198464</v>
      </c>
      <c r="F435">
        <f t="shared" si="213"/>
        <v>0.79663707773562631</v>
      </c>
      <c r="G435">
        <f t="shared" si="213"/>
        <v>0.80548716546221288</v>
      </c>
      <c r="H435">
        <f t="shared" si="213"/>
        <v>0.80548716546221288</v>
      </c>
      <c r="I435">
        <f t="shared" ca="1" si="213"/>
        <v>0.82450319167071895</v>
      </c>
      <c r="J435">
        <f t="shared" ca="1" si="213"/>
        <v>0.83891860665566464</v>
      </c>
      <c r="K435">
        <f t="shared" ca="1" si="213"/>
        <v>0.85494252468904797</v>
      </c>
      <c r="L435">
        <f t="shared" ca="1" si="213"/>
        <v>0.86982652794204074</v>
      </c>
      <c r="M435">
        <f t="shared" ca="1" si="213"/>
        <v>0.87057493204096037</v>
      </c>
      <c r="N435">
        <f t="shared" ca="1" si="213"/>
        <v>0.87057493204096037</v>
      </c>
      <c r="O435">
        <f t="shared" ca="1" si="213"/>
        <v>0.87057493204096037</v>
      </c>
      <c r="P435">
        <f t="shared" ca="1" si="213"/>
        <v>0.87057493204096037</v>
      </c>
      <c r="Q435">
        <f t="shared" ca="1" si="213"/>
        <v>0.87057493204096037</v>
      </c>
      <c r="R435">
        <f t="shared" ca="1" si="213"/>
        <v>0.87057493204096037</v>
      </c>
      <c r="S435">
        <f t="shared" ca="1" si="213"/>
        <v>0.87057493204096037</v>
      </c>
      <c r="T435">
        <f t="shared" ca="1" si="213"/>
        <v>0.87057493204096037</v>
      </c>
      <c r="U435">
        <f t="shared" ca="1" si="213"/>
        <v>0.87057493204096037</v>
      </c>
      <c r="V435">
        <f t="shared" ca="1" si="213"/>
        <v>0.87057493204096037</v>
      </c>
      <c r="W435">
        <f t="shared" ca="1" si="213"/>
        <v>0.87057493204096037</v>
      </c>
      <c r="X435">
        <f t="shared" ca="1" si="213"/>
        <v>0.87057493204096048</v>
      </c>
      <c r="Y435">
        <f t="shared" ca="1" si="213"/>
        <v>0.87057493204096048</v>
      </c>
      <c r="Z435">
        <f t="shared" ca="1" si="213"/>
        <v>0.87057493204096037</v>
      </c>
      <c r="AA435">
        <f t="shared" ca="1" si="213"/>
        <v>0.87057493204096048</v>
      </c>
      <c r="AB435">
        <f t="shared" ca="1" si="213"/>
        <v>0.87057493204096048</v>
      </c>
      <c r="AC435">
        <f t="shared" ca="1" si="213"/>
        <v>0.87057493204096037</v>
      </c>
    </row>
    <row r="438" spans="3:49">
      <c r="C438" s="34" t="s">
        <v>269</v>
      </c>
      <c r="H438" s="11" t="s">
        <v>270</v>
      </c>
      <c r="J438" t="str">
        <f>'Investment Plan'!AQ123</f>
        <v>Supercritical coal</v>
      </c>
    </row>
    <row r="440" spans="3:49">
      <c r="C440" t="str">
        <f>J438&amp;" capacity"</f>
        <v>Supercritical coal capacity</v>
      </c>
      <c r="D440">
        <f t="shared" ref="D440:AC440" si="214">SUMIF($C$8:$C$27,$J$438,D$8:D$27)</f>
        <v>0</v>
      </c>
      <c r="E440">
        <f t="shared" si="214"/>
        <v>0</v>
      </c>
      <c r="F440">
        <f t="shared" si="214"/>
        <v>0</v>
      </c>
      <c r="G440">
        <f t="shared" si="214"/>
        <v>0</v>
      </c>
      <c r="H440">
        <f t="shared" si="214"/>
        <v>0</v>
      </c>
      <c r="I440">
        <f t="shared" ca="1" si="214"/>
        <v>0</v>
      </c>
      <c r="J440">
        <f t="shared" ca="1" si="214"/>
        <v>0</v>
      </c>
      <c r="K440">
        <f t="shared" ca="1" si="214"/>
        <v>0.79400000000000004</v>
      </c>
      <c r="L440">
        <f t="shared" ca="1" si="214"/>
        <v>2.3820000000000001</v>
      </c>
      <c r="M440">
        <f t="shared" ca="1" si="214"/>
        <v>4.7640000000000002</v>
      </c>
      <c r="N440">
        <f t="shared" ca="1" si="214"/>
        <v>7.1460000000000008</v>
      </c>
      <c r="O440">
        <f t="shared" ca="1" si="214"/>
        <v>8.7340000000000018</v>
      </c>
      <c r="P440">
        <f t="shared" ca="1" si="214"/>
        <v>10.322000000000003</v>
      </c>
      <c r="Q440">
        <f t="shared" ca="1" si="214"/>
        <v>12.704000000000002</v>
      </c>
      <c r="R440">
        <f t="shared" ca="1" si="214"/>
        <v>15.086000000000002</v>
      </c>
      <c r="S440">
        <f t="shared" ca="1" si="214"/>
        <v>17.468000000000004</v>
      </c>
      <c r="T440">
        <f t="shared" ca="1" si="214"/>
        <v>20.644000000000005</v>
      </c>
      <c r="U440">
        <f t="shared" ca="1" si="214"/>
        <v>23.820000000000007</v>
      </c>
      <c r="V440">
        <f t="shared" ca="1" si="214"/>
        <v>26.202000000000009</v>
      </c>
      <c r="W440">
        <f t="shared" ca="1" si="214"/>
        <v>29.378000000000007</v>
      </c>
      <c r="X440">
        <f t="shared" ca="1" si="214"/>
        <v>32.554000000000009</v>
      </c>
      <c r="Y440">
        <f t="shared" ca="1" si="214"/>
        <v>36.524000000000008</v>
      </c>
      <c r="Z440">
        <f t="shared" ca="1" si="214"/>
        <v>40.494000000000007</v>
      </c>
      <c r="AA440">
        <f t="shared" ca="1" si="214"/>
        <v>44.464000000000006</v>
      </c>
      <c r="AB440">
        <f t="shared" ca="1" si="214"/>
        <v>49.228000000000009</v>
      </c>
      <c r="AC440">
        <f t="shared" ca="1" si="214"/>
        <v>53.992000000000012</v>
      </c>
    </row>
    <row r="441" spans="3:49">
      <c r="C441" t="str">
        <f>J438&amp;" output"</f>
        <v>Supercritical coal output</v>
      </c>
      <c r="D441">
        <f t="shared" ref="D441:AC441" si="215">SUMIF($C$367:$C$386,$J$438,D$367:D$386)</f>
        <v>0</v>
      </c>
      <c r="E441">
        <f t="shared" si="215"/>
        <v>0</v>
      </c>
      <c r="F441">
        <f t="shared" si="215"/>
        <v>0</v>
      </c>
      <c r="G441">
        <f t="shared" si="215"/>
        <v>0</v>
      </c>
      <c r="H441">
        <f t="shared" si="215"/>
        <v>0</v>
      </c>
      <c r="I441">
        <f t="shared" ca="1" si="215"/>
        <v>0</v>
      </c>
      <c r="J441">
        <f t="shared" ca="1" si="215"/>
        <v>0</v>
      </c>
      <c r="K441">
        <f t="shared" ca="1" si="215"/>
        <v>1693.7365830000003</v>
      </c>
      <c r="L441">
        <f t="shared" ca="1" si="215"/>
        <v>5081.2097490000015</v>
      </c>
      <c r="M441">
        <f t="shared" ca="1" si="215"/>
        <v>13787.838002241275</v>
      </c>
      <c r="N441">
        <f t="shared" ca="1" si="215"/>
        <v>22109.866176129231</v>
      </c>
      <c r="O441">
        <f t="shared" ca="1" si="215"/>
        <v>30973.848045042821</v>
      </c>
      <c r="P441">
        <f t="shared" ca="1" si="215"/>
        <v>39693.39423489997</v>
      </c>
      <c r="Q441">
        <f t="shared" ca="1" si="215"/>
        <v>48912.77667558215</v>
      </c>
      <c r="R441">
        <f t="shared" ca="1" si="215"/>
        <v>58560.11668383942</v>
      </c>
      <c r="S441">
        <f t="shared" ca="1" si="215"/>
        <v>70157.919939841871</v>
      </c>
      <c r="T441">
        <f t="shared" ca="1" si="215"/>
        <v>82258.573337745125</v>
      </c>
      <c r="U441">
        <f t="shared" ca="1" si="215"/>
        <v>92501.989315475454</v>
      </c>
      <c r="V441">
        <f t="shared" ca="1" si="215"/>
        <v>103258.67878333401</v>
      </c>
      <c r="W441">
        <f t="shared" ca="1" si="215"/>
        <v>123284.62132491726</v>
      </c>
      <c r="X441">
        <f t="shared" ca="1" si="215"/>
        <v>144735.49546189455</v>
      </c>
      <c r="Y441">
        <f t="shared" ca="1" si="215"/>
        <v>169111.17186129716</v>
      </c>
      <c r="Z441">
        <f t="shared" ca="1" si="215"/>
        <v>193300.59446743844</v>
      </c>
      <c r="AA441">
        <f t="shared" ca="1" si="215"/>
        <v>220195.14662336902</v>
      </c>
      <c r="AB441">
        <f t="shared" ca="1" si="215"/>
        <v>260340.97143911308</v>
      </c>
      <c r="AC441">
        <f t="shared" ca="1" si="215"/>
        <v>284022.13653434324</v>
      </c>
    </row>
    <row r="442" spans="3:49">
      <c r="C442" t="str">
        <f>J438&amp;" capacity utilisation"</f>
        <v>Supercritical coal capacity utilisation</v>
      </c>
      <c r="D442">
        <f t="shared" ref="D442:AC442" si="216">SUMIF($C$390:$C$409,$J$438,D$390:D$409)</f>
        <v>0</v>
      </c>
      <c r="E442">
        <f t="shared" si="216"/>
        <v>0</v>
      </c>
      <c r="F442">
        <f t="shared" si="216"/>
        <v>0</v>
      </c>
      <c r="G442">
        <f t="shared" si="216"/>
        <v>0</v>
      </c>
      <c r="H442">
        <f t="shared" si="216"/>
        <v>0</v>
      </c>
      <c r="I442">
        <f t="shared" ca="1" si="216"/>
        <v>0</v>
      </c>
      <c r="J442">
        <f t="shared" ca="1" si="216"/>
        <v>0</v>
      </c>
      <c r="K442">
        <f t="shared" ca="1" si="216"/>
        <v>0.24351250000000005</v>
      </c>
      <c r="L442">
        <f t="shared" ca="1" si="216"/>
        <v>0.24351250000000005</v>
      </c>
      <c r="M442">
        <f t="shared" ca="1" si="216"/>
        <v>0.3303849936702129</v>
      </c>
      <c r="N442">
        <f t="shared" ca="1" si="216"/>
        <v>0.35319861825386922</v>
      </c>
      <c r="O442">
        <f t="shared" ca="1" si="216"/>
        <v>0.40483482967736983</v>
      </c>
      <c r="P442">
        <f t="shared" ca="1" si="216"/>
        <v>0.43898560235861828</v>
      </c>
      <c r="Q442">
        <f t="shared" ca="1" si="216"/>
        <v>0.43951907316055977</v>
      </c>
      <c r="R442">
        <f t="shared" ca="1" si="216"/>
        <v>0.44312241992060902</v>
      </c>
      <c r="S442">
        <f t="shared" ca="1" si="216"/>
        <v>0.45848952200031956</v>
      </c>
      <c r="T442">
        <f t="shared" ca="1" si="216"/>
        <v>0.4548657284400362</v>
      </c>
      <c r="U442">
        <f t="shared" ca="1" si="216"/>
        <v>0.44330763314027305</v>
      </c>
      <c r="V442">
        <f t="shared" ca="1" si="216"/>
        <v>0.44987101782521904</v>
      </c>
      <c r="W442">
        <f t="shared" ca="1" si="216"/>
        <v>0.4790519065027275</v>
      </c>
      <c r="X442">
        <f t="shared" ca="1" si="216"/>
        <v>0.5075356894252504</v>
      </c>
      <c r="Y442">
        <f t="shared" ca="1" si="216"/>
        <v>0.5285546023072123</v>
      </c>
      <c r="Z442">
        <f t="shared" ca="1" si="216"/>
        <v>0.54492709802049255</v>
      </c>
      <c r="AA442">
        <f t="shared" ca="1" si="216"/>
        <v>0.56532098468292691</v>
      </c>
      <c r="AB442">
        <f t="shared" ca="1" si="216"/>
        <v>0.60370701586633002</v>
      </c>
      <c r="AC442">
        <f t="shared" ca="1" si="216"/>
        <v>0.60050782200767261</v>
      </c>
    </row>
    <row r="444" spans="3:49">
      <c r="C444" s="44" t="s">
        <v>129</v>
      </c>
    </row>
    <row r="446" spans="3:49">
      <c r="C446" s="4" t="s">
        <v>130</v>
      </c>
    </row>
    <row r="447" spans="3:49">
      <c r="C447" t="str">
        <f>C8</f>
        <v>Existing coal Large</v>
      </c>
      <c r="D447" s="49">
        <f>IF('Tech Parameters'!$I6=0,0,-PMT(discount_rate,'Tech Parameters'!$I6,'Tech Parameters'!G68))</f>
        <v>0</v>
      </c>
      <c r="E447" s="49">
        <f>IF('Tech Parameters'!$I6=0,0,-PMT(discount_rate,'Tech Parameters'!$I6,'Tech Parameters'!H68))</f>
        <v>0</v>
      </c>
      <c r="F447" s="49">
        <f>IF('Tech Parameters'!$I6=0,0,-PMT(discount_rate,'Tech Parameters'!$I6,'Tech Parameters'!I68))</f>
        <v>712.55242792628542</v>
      </c>
      <c r="G447" s="49">
        <f>IF('Tech Parameters'!$I6=0,0,-PMT(discount_rate,'Tech Parameters'!$I6,'Tech Parameters'!J68))</f>
        <v>712.55242792628542</v>
      </c>
      <c r="H447" s="49">
        <f>IF('Tech Parameters'!$I6=0,0,-PMT(discount_rate,'Tech Parameters'!$I6,'Tech Parameters'!K68))</f>
        <v>712.55242792628542</v>
      </c>
      <c r="I447" s="49">
        <f>IF('Tech Parameters'!$I6=0,0,-PMT(discount_rate,'Tech Parameters'!$I6,'Tech Parameters'!L68))</f>
        <v>712.55242792628542</v>
      </c>
      <c r="J447" s="49">
        <f>IF('Tech Parameters'!$I6=0,0,-PMT(discount_rate,'Tech Parameters'!$I6,'Tech Parameters'!M68))</f>
        <v>712.55242792628542</v>
      </c>
      <c r="K447" s="49">
        <f>IF('Tech Parameters'!$I6=0,0,-PMT(discount_rate,'Tech Parameters'!$I6,'Tech Parameters'!N68))</f>
        <v>712.55242792628542</v>
      </c>
      <c r="L447" s="49">
        <f>IF('Tech Parameters'!$I6=0,0,-PMT(discount_rate,'Tech Parameters'!$I6,'Tech Parameters'!O68))</f>
        <v>712.55242792628542</v>
      </c>
      <c r="M447" s="49">
        <f>IF('Tech Parameters'!$I6=0,0,-PMT(discount_rate,'Tech Parameters'!$I6,'Tech Parameters'!P68))</f>
        <v>712.55242792628542</v>
      </c>
      <c r="N447" s="49">
        <f>IF('Tech Parameters'!$I6=0,0,-PMT(discount_rate,'Tech Parameters'!$I6,'Tech Parameters'!Q68))</f>
        <v>712.55242792628542</v>
      </c>
      <c r="O447" s="49">
        <f>IF('Tech Parameters'!$I6=0,0,-PMT(discount_rate,'Tech Parameters'!$I6,'Tech Parameters'!R68))</f>
        <v>712.55242792628542</v>
      </c>
      <c r="P447" s="49">
        <f>IF('Tech Parameters'!$I6=0,0,-PMT(discount_rate,'Tech Parameters'!$I6,'Tech Parameters'!S68))</f>
        <v>712.55242792628542</v>
      </c>
      <c r="Q447" s="49">
        <f>IF('Tech Parameters'!$I6=0,0,-PMT(discount_rate,'Tech Parameters'!$I6,'Tech Parameters'!T68))</f>
        <v>712.55242792628542</v>
      </c>
      <c r="R447" s="49">
        <f>IF('Tech Parameters'!$I6=0,0,-PMT(discount_rate,'Tech Parameters'!$I6,'Tech Parameters'!U68))</f>
        <v>712.55242792628542</v>
      </c>
      <c r="S447" s="49">
        <f>IF('Tech Parameters'!$I6=0,0,-PMT(discount_rate,'Tech Parameters'!$I6,'Tech Parameters'!V68))</f>
        <v>712.55242792628542</v>
      </c>
      <c r="T447" s="49">
        <f>IF('Tech Parameters'!$I6=0,0,-PMT(discount_rate,'Tech Parameters'!$I6,'Tech Parameters'!W68))</f>
        <v>712.55242792628542</v>
      </c>
      <c r="U447" s="49">
        <f>IF('Tech Parameters'!$I6=0,0,-PMT(discount_rate,'Tech Parameters'!$I6,'Tech Parameters'!X68))</f>
        <v>712.55242792628542</v>
      </c>
      <c r="V447" s="49">
        <f>IF('Tech Parameters'!$I6=0,0,-PMT(discount_rate,'Tech Parameters'!$I6,'Tech Parameters'!Y68))</f>
        <v>712.55242792628542</v>
      </c>
      <c r="W447" s="49">
        <f>IF('Tech Parameters'!$I6=0,0,-PMT(discount_rate,'Tech Parameters'!$I6,'Tech Parameters'!Z68))</f>
        <v>712.55242792628542</v>
      </c>
      <c r="X447" s="49">
        <f>IF('Tech Parameters'!$I6=0,0,-PMT(discount_rate,'Tech Parameters'!$I6,'Tech Parameters'!AA68))</f>
        <v>712.55242792628542</v>
      </c>
      <c r="Y447" s="49">
        <f>IF('Tech Parameters'!$I6=0,0,-PMT(discount_rate,'Tech Parameters'!$I6,'Tech Parameters'!AB68))</f>
        <v>712.55242792628542</v>
      </c>
      <c r="Z447" s="49">
        <f>IF('Tech Parameters'!$I6=0,0,-PMT(discount_rate,'Tech Parameters'!$I6,'Tech Parameters'!AC68))</f>
        <v>712.55242792628542</v>
      </c>
      <c r="AA447" s="49">
        <f>IF('Tech Parameters'!$I6=0,0,-PMT(discount_rate,'Tech Parameters'!$I6,'Tech Parameters'!AD68))</f>
        <v>712.55242792628542</v>
      </c>
      <c r="AB447" s="49">
        <f>IF('Tech Parameters'!$I6=0,0,-PMT(discount_rate,'Tech Parameters'!$I6,'Tech Parameters'!AE68))</f>
        <v>712.55242792628542</v>
      </c>
      <c r="AC447" s="49">
        <f>IF('Tech Parameters'!$I6=0,0,-PMT(discount_rate,'Tech Parameters'!$I6,'Tech Parameters'!AF68))</f>
        <v>712.55242792628542</v>
      </c>
      <c r="AD447" s="49">
        <f>IF('Tech Parameters'!$I6=0,0,-PMT(discount_rate,'Tech Parameters'!$I6,'Tech Parameters'!AG68))</f>
        <v>712.55242792628542</v>
      </c>
      <c r="AE447" s="49">
        <f>IF('Tech Parameters'!$I6=0,0,-PMT(discount_rate,'Tech Parameters'!$I6,'Tech Parameters'!AH68))</f>
        <v>712.55242792628542</v>
      </c>
      <c r="AF447" s="49">
        <f>IF('Tech Parameters'!$I6=0,0,-PMT(discount_rate,'Tech Parameters'!$I6,'Tech Parameters'!AI68))</f>
        <v>712.55242792628542</v>
      </c>
      <c r="AG447" s="49">
        <f>IF('Tech Parameters'!$I6=0,0,-PMT(discount_rate,'Tech Parameters'!$I6,'Tech Parameters'!AJ68))</f>
        <v>712.55242792628542</v>
      </c>
      <c r="AH447" s="49">
        <f>IF('Tech Parameters'!$I6=0,0,-PMT(discount_rate,'Tech Parameters'!$I6,'Tech Parameters'!AK68))</f>
        <v>712.55242792628542</v>
      </c>
      <c r="AI447" s="49">
        <f>IF('Tech Parameters'!$I6=0,0,-PMT(discount_rate,'Tech Parameters'!$I6,'Tech Parameters'!AL68))</f>
        <v>712.55242792628542</v>
      </c>
      <c r="AJ447" s="49">
        <f>IF('Tech Parameters'!$I6=0,0,-PMT(discount_rate,'Tech Parameters'!$I6,'Tech Parameters'!AM68))</f>
        <v>712.55242792628542</v>
      </c>
      <c r="AK447" s="49">
        <f>IF('Tech Parameters'!$I6=0,0,-PMT(discount_rate,'Tech Parameters'!$I6,'Tech Parameters'!AN68))</f>
        <v>712.55242792628542</v>
      </c>
      <c r="AL447" s="49">
        <f>IF('Tech Parameters'!$I6=0,0,-PMT(discount_rate,'Tech Parameters'!$I6,'Tech Parameters'!AO68))</f>
        <v>712.55242792628542</v>
      </c>
      <c r="AM447" s="49">
        <f>IF('Tech Parameters'!$I6=0,0,-PMT(discount_rate,'Tech Parameters'!$I6,'Tech Parameters'!AP68))</f>
        <v>712.55242792628542</v>
      </c>
      <c r="AN447" s="49">
        <f>IF('Tech Parameters'!$I6=0,0,-PMT(discount_rate,'Tech Parameters'!$I6,'Tech Parameters'!AQ68))</f>
        <v>712.55242792628542</v>
      </c>
      <c r="AO447" s="49">
        <f>IF('Tech Parameters'!$I6=0,0,-PMT(discount_rate,'Tech Parameters'!$I6,'Tech Parameters'!AR68))</f>
        <v>712.55242792628542</v>
      </c>
      <c r="AP447" s="49">
        <f>IF('Tech Parameters'!$I6=0,0,-PMT(discount_rate,'Tech Parameters'!$I6,'Tech Parameters'!AS68))</f>
        <v>712.55242792628542</v>
      </c>
      <c r="AQ447" s="49">
        <f>IF('Tech Parameters'!$I6=0,0,-PMT(discount_rate,'Tech Parameters'!$I6,'Tech Parameters'!AT68))</f>
        <v>712.55242792628542</v>
      </c>
      <c r="AR447" s="49">
        <f>IF('Tech Parameters'!$I6=0,0,-PMT(discount_rate,'Tech Parameters'!$I6,'Tech Parameters'!AU68))</f>
        <v>712.55242792628542</v>
      </c>
      <c r="AS447" s="49">
        <f>IF('Tech Parameters'!$I6=0,0,-PMT(discount_rate,'Tech Parameters'!$I6,'Tech Parameters'!AV68))</f>
        <v>712.55242792628542</v>
      </c>
      <c r="AT447" s="49">
        <f>IF('Tech Parameters'!$I6=0,0,-PMT(discount_rate,'Tech Parameters'!$I6,'Tech Parameters'!AW68))</f>
        <v>712.55242792628542</v>
      </c>
      <c r="AU447" s="49">
        <f>IF('Tech Parameters'!$I6=0,0,-PMT(discount_rate,'Tech Parameters'!$I6,'Tech Parameters'!AX68))</f>
        <v>712.55242792628542</v>
      </c>
      <c r="AV447" s="49">
        <f>IF('Tech Parameters'!$I6=0,0,-PMT(discount_rate,'Tech Parameters'!$I6,'Tech Parameters'!AY68))</f>
        <v>712.55242792628542</v>
      </c>
      <c r="AW447" s="49">
        <f>IF('Tech Parameters'!$I6=0,0,-PMT(discount_rate,'Tech Parameters'!$I6,'Tech Parameters'!AZ68))</f>
        <v>712.55242792628542</v>
      </c>
    </row>
    <row r="448" spans="3:49">
      <c r="C448" t="str">
        <f t="shared" ref="C448:C466" si="217">C9</f>
        <v>Existing coal Small</v>
      </c>
      <c r="D448" s="49">
        <f>IF('Tech Parameters'!$I7=0,0,-PMT(discount_rate,'Tech Parameters'!$I7,'Tech Parameters'!G69))</f>
        <v>0</v>
      </c>
      <c r="E448" s="49">
        <f>IF('Tech Parameters'!$I7=0,0,-PMT(discount_rate,'Tech Parameters'!$I7,'Tech Parameters'!H69))</f>
        <v>0</v>
      </c>
      <c r="F448" s="49">
        <f>IF('Tech Parameters'!$I7=0,0,-PMT(discount_rate,'Tech Parameters'!$I7,'Tech Parameters'!I69))</f>
        <v>712.55242792628542</v>
      </c>
      <c r="G448" s="49">
        <f>IF('Tech Parameters'!$I7=0,0,-PMT(discount_rate,'Tech Parameters'!$I7,'Tech Parameters'!J69))</f>
        <v>712.55242792628542</v>
      </c>
      <c r="H448" s="49">
        <f>IF('Tech Parameters'!$I7=0,0,-PMT(discount_rate,'Tech Parameters'!$I7,'Tech Parameters'!K69))</f>
        <v>712.55242792628542</v>
      </c>
      <c r="I448" s="49">
        <f>IF('Tech Parameters'!$I7=0,0,-PMT(discount_rate,'Tech Parameters'!$I7,'Tech Parameters'!L69))</f>
        <v>712.55242792628542</v>
      </c>
      <c r="J448" s="49">
        <f>IF('Tech Parameters'!$I7=0,0,-PMT(discount_rate,'Tech Parameters'!$I7,'Tech Parameters'!M69))</f>
        <v>712.55242792628542</v>
      </c>
      <c r="K448" s="49">
        <f>IF('Tech Parameters'!$I7=0,0,-PMT(discount_rate,'Tech Parameters'!$I7,'Tech Parameters'!N69))</f>
        <v>712.55242792628542</v>
      </c>
      <c r="L448" s="49">
        <f>IF('Tech Parameters'!$I7=0,0,-PMT(discount_rate,'Tech Parameters'!$I7,'Tech Parameters'!O69))</f>
        <v>712.55242792628542</v>
      </c>
      <c r="M448" s="49">
        <f>IF('Tech Parameters'!$I7=0,0,-PMT(discount_rate,'Tech Parameters'!$I7,'Tech Parameters'!P69))</f>
        <v>712.55242792628542</v>
      </c>
      <c r="N448" s="49">
        <f>IF('Tech Parameters'!$I7=0,0,-PMT(discount_rate,'Tech Parameters'!$I7,'Tech Parameters'!Q69))</f>
        <v>712.55242792628542</v>
      </c>
      <c r="O448" s="49">
        <f>IF('Tech Parameters'!$I7=0,0,-PMT(discount_rate,'Tech Parameters'!$I7,'Tech Parameters'!R69))</f>
        <v>712.55242792628542</v>
      </c>
      <c r="P448" s="49">
        <f>IF('Tech Parameters'!$I7=0,0,-PMT(discount_rate,'Tech Parameters'!$I7,'Tech Parameters'!S69))</f>
        <v>712.55242792628542</v>
      </c>
      <c r="Q448" s="49">
        <f>IF('Tech Parameters'!$I7=0,0,-PMT(discount_rate,'Tech Parameters'!$I7,'Tech Parameters'!T69))</f>
        <v>712.55242792628542</v>
      </c>
      <c r="R448" s="49">
        <f>IF('Tech Parameters'!$I7=0,0,-PMT(discount_rate,'Tech Parameters'!$I7,'Tech Parameters'!U69))</f>
        <v>712.55242792628542</v>
      </c>
      <c r="S448" s="49">
        <f>IF('Tech Parameters'!$I7=0,0,-PMT(discount_rate,'Tech Parameters'!$I7,'Tech Parameters'!V69))</f>
        <v>712.55242792628542</v>
      </c>
      <c r="T448" s="49">
        <f>IF('Tech Parameters'!$I7=0,0,-PMT(discount_rate,'Tech Parameters'!$I7,'Tech Parameters'!W69))</f>
        <v>712.55242792628542</v>
      </c>
      <c r="U448" s="49">
        <f>IF('Tech Parameters'!$I7=0,0,-PMT(discount_rate,'Tech Parameters'!$I7,'Tech Parameters'!X69))</f>
        <v>712.55242792628542</v>
      </c>
      <c r="V448" s="49">
        <f>IF('Tech Parameters'!$I7=0,0,-PMT(discount_rate,'Tech Parameters'!$I7,'Tech Parameters'!Y69))</f>
        <v>712.55242792628542</v>
      </c>
      <c r="W448" s="49">
        <f>IF('Tech Parameters'!$I7=0,0,-PMT(discount_rate,'Tech Parameters'!$I7,'Tech Parameters'!Z69))</f>
        <v>712.55242792628542</v>
      </c>
      <c r="X448" s="49">
        <f>IF('Tech Parameters'!$I7=0,0,-PMT(discount_rate,'Tech Parameters'!$I7,'Tech Parameters'!AA69))</f>
        <v>712.55242792628542</v>
      </c>
      <c r="Y448" s="49">
        <f>IF('Tech Parameters'!$I7=0,0,-PMT(discount_rate,'Tech Parameters'!$I7,'Tech Parameters'!AB69))</f>
        <v>712.55242792628542</v>
      </c>
      <c r="Z448" s="49">
        <f>IF('Tech Parameters'!$I7=0,0,-PMT(discount_rate,'Tech Parameters'!$I7,'Tech Parameters'!AC69))</f>
        <v>712.55242792628542</v>
      </c>
      <c r="AA448" s="49">
        <f>IF('Tech Parameters'!$I7=0,0,-PMT(discount_rate,'Tech Parameters'!$I7,'Tech Parameters'!AD69))</f>
        <v>712.55242792628542</v>
      </c>
      <c r="AB448" s="49">
        <f>IF('Tech Parameters'!$I7=0,0,-PMT(discount_rate,'Tech Parameters'!$I7,'Tech Parameters'!AE69))</f>
        <v>712.55242792628542</v>
      </c>
      <c r="AC448" s="49">
        <f>IF('Tech Parameters'!$I7=0,0,-PMT(discount_rate,'Tech Parameters'!$I7,'Tech Parameters'!AF69))</f>
        <v>712.55242792628542</v>
      </c>
      <c r="AD448" s="49">
        <f>IF('Tech Parameters'!$I7=0,0,-PMT(discount_rate,'Tech Parameters'!$I7,'Tech Parameters'!AG69))</f>
        <v>712.55242792628542</v>
      </c>
      <c r="AE448" s="49">
        <f>IF('Tech Parameters'!$I7=0,0,-PMT(discount_rate,'Tech Parameters'!$I7,'Tech Parameters'!AH69))</f>
        <v>712.55242792628542</v>
      </c>
      <c r="AF448" s="49">
        <f>IF('Tech Parameters'!$I7=0,0,-PMT(discount_rate,'Tech Parameters'!$I7,'Tech Parameters'!AI69))</f>
        <v>712.55242792628542</v>
      </c>
      <c r="AG448" s="49">
        <f>IF('Tech Parameters'!$I7=0,0,-PMT(discount_rate,'Tech Parameters'!$I7,'Tech Parameters'!AJ69))</f>
        <v>712.55242792628542</v>
      </c>
      <c r="AH448" s="49">
        <f>IF('Tech Parameters'!$I7=0,0,-PMT(discount_rate,'Tech Parameters'!$I7,'Tech Parameters'!AK69))</f>
        <v>712.55242792628542</v>
      </c>
      <c r="AI448" s="49">
        <f>IF('Tech Parameters'!$I7=0,0,-PMT(discount_rate,'Tech Parameters'!$I7,'Tech Parameters'!AL69))</f>
        <v>712.55242792628542</v>
      </c>
      <c r="AJ448" s="49">
        <f>IF('Tech Parameters'!$I7=0,0,-PMT(discount_rate,'Tech Parameters'!$I7,'Tech Parameters'!AM69))</f>
        <v>712.55242792628542</v>
      </c>
      <c r="AK448" s="49">
        <f>IF('Tech Parameters'!$I7=0,0,-PMT(discount_rate,'Tech Parameters'!$I7,'Tech Parameters'!AN69))</f>
        <v>712.55242792628542</v>
      </c>
      <c r="AL448" s="49">
        <f>IF('Tech Parameters'!$I7=0,0,-PMT(discount_rate,'Tech Parameters'!$I7,'Tech Parameters'!AO69))</f>
        <v>712.55242792628542</v>
      </c>
      <c r="AM448" s="49">
        <f>IF('Tech Parameters'!$I7=0,0,-PMT(discount_rate,'Tech Parameters'!$I7,'Tech Parameters'!AP69))</f>
        <v>712.55242792628542</v>
      </c>
      <c r="AN448" s="49">
        <f>IF('Tech Parameters'!$I7=0,0,-PMT(discount_rate,'Tech Parameters'!$I7,'Tech Parameters'!AQ69))</f>
        <v>712.55242792628542</v>
      </c>
      <c r="AO448" s="49">
        <f>IF('Tech Parameters'!$I7=0,0,-PMT(discount_rate,'Tech Parameters'!$I7,'Tech Parameters'!AR69))</f>
        <v>712.55242792628542</v>
      </c>
      <c r="AP448" s="49">
        <f>IF('Tech Parameters'!$I7=0,0,-PMT(discount_rate,'Tech Parameters'!$I7,'Tech Parameters'!AS69))</f>
        <v>712.55242792628542</v>
      </c>
      <c r="AQ448" s="49">
        <f>IF('Tech Parameters'!$I7=0,0,-PMT(discount_rate,'Tech Parameters'!$I7,'Tech Parameters'!AT69))</f>
        <v>712.55242792628542</v>
      </c>
      <c r="AR448" s="49">
        <f>IF('Tech Parameters'!$I7=0,0,-PMT(discount_rate,'Tech Parameters'!$I7,'Tech Parameters'!AU69))</f>
        <v>712.55242792628542</v>
      </c>
      <c r="AS448" s="49">
        <f>IF('Tech Parameters'!$I7=0,0,-PMT(discount_rate,'Tech Parameters'!$I7,'Tech Parameters'!AV69))</f>
        <v>712.55242792628542</v>
      </c>
      <c r="AT448" s="49">
        <f>IF('Tech Parameters'!$I7=0,0,-PMT(discount_rate,'Tech Parameters'!$I7,'Tech Parameters'!AW69))</f>
        <v>712.55242792628542</v>
      </c>
      <c r="AU448" s="49">
        <f>IF('Tech Parameters'!$I7=0,0,-PMT(discount_rate,'Tech Parameters'!$I7,'Tech Parameters'!AX69))</f>
        <v>712.55242792628542</v>
      </c>
      <c r="AV448" s="49">
        <f>IF('Tech Parameters'!$I7=0,0,-PMT(discount_rate,'Tech Parameters'!$I7,'Tech Parameters'!AY69))</f>
        <v>712.55242792628542</v>
      </c>
      <c r="AW448" s="49">
        <f>IF('Tech Parameters'!$I7=0,0,-PMT(discount_rate,'Tech Parameters'!$I7,'Tech Parameters'!AZ69))</f>
        <v>712.55242792628542</v>
      </c>
    </row>
    <row r="449" spans="3:49">
      <c r="C449" t="str">
        <f t="shared" si="217"/>
        <v>OCGT liquid fuels</v>
      </c>
      <c r="D449" s="49">
        <f>IF('Tech Parameters'!$I8=0,0,-PMT(discount_rate,'Tech Parameters'!$I8,'Tech Parameters'!G70))</f>
        <v>0.11016807219002084</v>
      </c>
      <c r="E449" s="49">
        <f>IF('Tech Parameters'!$I8=0,0,-PMT(discount_rate,'Tech Parameters'!$I8,'Tech Parameters'!H70))</f>
        <v>0</v>
      </c>
      <c r="F449" s="49">
        <f>IF('Tech Parameters'!$I8=0,0,-PMT(discount_rate,'Tech Parameters'!$I8,'Tech Parameters'!I70))</f>
        <v>630.40540350161257</v>
      </c>
      <c r="G449" s="49">
        <f>IF('Tech Parameters'!$I8=0,0,-PMT(discount_rate,'Tech Parameters'!$I8,'Tech Parameters'!J70))</f>
        <v>630.40540350161257</v>
      </c>
      <c r="H449" s="49">
        <f>IF('Tech Parameters'!$I8=0,0,-PMT(discount_rate,'Tech Parameters'!$I8,'Tech Parameters'!K70))</f>
        <v>630.40540350161257</v>
      </c>
      <c r="I449" s="49">
        <f>IF('Tech Parameters'!$I8=0,0,-PMT(discount_rate,'Tech Parameters'!$I8,'Tech Parameters'!L70))</f>
        <v>630.40540350161257</v>
      </c>
      <c r="J449" s="49">
        <f>IF('Tech Parameters'!$I8=0,0,-PMT(discount_rate,'Tech Parameters'!$I8,'Tech Parameters'!M70))</f>
        <v>630.40540350161257</v>
      </c>
      <c r="K449" s="49">
        <f>IF('Tech Parameters'!$I8=0,0,-PMT(discount_rate,'Tech Parameters'!$I8,'Tech Parameters'!N70))</f>
        <v>630.40540350161257</v>
      </c>
      <c r="L449" s="49">
        <f>IF('Tech Parameters'!$I8=0,0,-PMT(discount_rate,'Tech Parameters'!$I8,'Tech Parameters'!O70))</f>
        <v>630.40540350161257</v>
      </c>
      <c r="M449" s="49">
        <f>IF('Tech Parameters'!$I8=0,0,-PMT(discount_rate,'Tech Parameters'!$I8,'Tech Parameters'!P70))</f>
        <v>630.40540350161257</v>
      </c>
      <c r="N449" s="49">
        <f>IF('Tech Parameters'!$I8=0,0,-PMT(discount_rate,'Tech Parameters'!$I8,'Tech Parameters'!Q70))</f>
        <v>630.40540350161257</v>
      </c>
      <c r="O449" s="49">
        <f>IF('Tech Parameters'!$I8=0,0,-PMT(discount_rate,'Tech Parameters'!$I8,'Tech Parameters'!R70))</f>
        <v>630.40540350161257</v>
      </c>
      <c r="P449" s="49">
        <f>IF('Tech Parameters'!$I8=0,0,-PMT(discount_rate,'Tech Parameters'!$I8,'Tech Parameters'!S70))</f>
        <v>630.40540350161257</v>
      </c>
      <c r="Q449" s="49">
        <f>IF('Tech Parameters'!$I8=0,0,-PMT(discount_rate,'Tech Parameters'!$I8,'Tech Parameters'!T70))</f>
        <v>630.40540350161257</v>
      </c>
      <c r="R449" s="49">
        <f>IF('Tech Parameters'!$I8=0,0,-PMT(discount_rate,'Tech Parameters'!$I8,'Tech Parameters'!U70))</f>
        <v>630.40540350161257</v>
      </c>
      <c r="S449" s="49">
        <f>IF('Tech Parameters'!$I8=0,0,-PMT(discount_rate,'Tech Parameters'!$I8,'Tech Parameters'!V70))</f>
        <v>630.40540350161257</v>
      </c>
      <c r="T449" s="49">
        <f>IF('Tech Parameters'!$I8=0,0,-PMT(discount_rate,'Tech Parameters'!$I8,'Tech Parameters'!W70))</f>
        <v>630.40540350161257</v>
      </c>
      <c r="U449" s="49">
        <f>IF('Tech Parameters'!$I8=0,0,-PMT(discount_rate,'Tech Parameters'!$I8,'Tech Parameters'!X70))</f>
        <v>630.40540350161257</v>
      </c>
      <c r="V449" s="49">
        <f>IF('Tech Parameters'!$I8=0,0,-PMT(discount_rate,'Tech Parameters'!$I8,'Tech Parameters'!Y70))</f>
        <v>630.40540350161257</v>
      </c>
      <c r="W449" s="49">
        <f>IF('Tech Parameters'!$I8=0,0,-PMT(discount_rate,'Tech Parameters'!$I8,'Tech Parameters'!Z70))</f>
        <v>630.40540350161257</v>
      </c>
      <c r="X449" s="49">
        <f>IF('Tech Parameters'!$I8=0,0,-PMT(discount_rate,'Tech Parameters'!$I8,'Tech Parameters'!AA70))</f>
        <v>630.40540350161257</v>
      </c>
      <c r="Y449" s="49">
        <f>IF('Tech Parameters'!$I8=0,0,-PMT(discount_rate,'Tech Parameters'!$I8,'Tech Parameters'!AB70))</f>
        <v>630.40540350161257</v>
      </c>
      <c r="Z449" s="49">
        <f>IF('Tech Parameters'!$I8=0,0,-PMT(discount_rate,'Tech Parameters'!$I8,'Tech Parameters'!AC70))</f>
        <v>630.40540350161257</v>
      </c>
      <c r="AA449" s="49">
        <f>IF('Tech Parameters'!$I8=0,0,-PMT(discount_rate,'Tech Parameters'!$I8,'Tech Parameters'!AD70))</f>
        <v>630.40540350161257</v>
      </c>
      <c r="AB449" s="49">
        <f>IF('Tech Parameters'!$I8=0,0,-PMT(discount_rate,'Tech Parameters'!$I8,'Tech Parameters'!AE70))</f>
        <v>630.40540350161257</v>
      </c>
      <c r="AC449" s="49">
        <f>IF('Tech Parameters'!$I8=0,0,-PMT(discount_rate,'Tech Parameters'!$I8,'Tech Parameters'!AF70))</f>
        <v>630.40540350161257</v>
      </c>
      <c r="AD449" s="49">
        <f>IF('Tech Parameters'!$I8=0,0,-PMT(discount_rate,'Tech Parameters'!$I8,'Tech Parameters'!AG70))</f>
        <v>630.40540350161257</v>
      </c>
      <c r="AE449" s="49">
        <f>IF('Tech Parameters'!$I8=0,0,-PMT(discount_rate,'Tech Parameters'!$I8,'Tech Parameters'!AH70))</f>
        <v>630.40540350161257</v>
      </c>
      <c r="AF449" s="49">
        <f>IF('Tech Parameters'!$I8=0,0,-PMT(discount_rate,'Tech Parameters'!$I8,'Tech Parameters'!AI70))</f>
        <v>630.40540350161257</v>
      </c>
      <c r="AG449" s="49">
        <f>IF('Tech Parameters'!$I8=0,0,-PMT(discount_rate,'Tech Parameters'!$I8,'Tech Parameters'!AJ70))</f>
        <v>630.40540350161257</v>
      </c>
      <c r="AH449" s="49">
        <f>IF('Tech Parameters'!$I8=0,0,-PMT(discount_rate,'Tech Parameters'!$I8,'Tech Parameters'!AK70))</f>
        <v>630.40540350161257</v>
      </c>
      <c r="AI449" s="49">
        <f>IF('Tech Parameters'!$I8=0,0,-PMT(discount_rate,'Tech Parameters'!$I8,'Tech Parameters'!AL70))</f>
        <v>630.40540350161257</v>
      </c>
      <c r="AJ449" s="49">
        <f>IF('Tech Parameters'!$I8=0,0,-PMT(discount_rate,'Tech Parameters'!$I8,'Tech Parameters'!AM70))</f>
        <v>630.40540350161257</v>
      </c>
      <c r="AK449" s="49">
        <f>IF('Tech Parameters'!$I8=0,0,-PMT(discount_rate,'Tech Parameters'!$I8,'Tech Parameters'!AN70))</f>
        <v>630.40540350161257</v>
      </c>
      <c r="AL449" s="49">
        <f>IF('Tech Parameters'!$I8=0,0,-PMT(discount_rate,'Tech Parameters'!$I8,'Tech Parameters'!AO70))</f>
        <v>630.40540350161257</v>
      </c>
      <c r="AM449" s="49">
        <f>IF('Tech Parameters'!$I8=0,0,-PMT(discount_rate,'Tech Parameters'!$I8,'Tech Parameters'!AP70))</f>
        <v>630.40540350161257</v>
      </c>
      <c r="AN449" s="49">
        <f>IF('Tech Parameters'!$I8=0,0,-PMT(discount_rate,'Tech Parameters'!$I8,'Tech Parameters'!AQ70))</f>
        <v>630.40540350161257</v>
      </c>
      <c r="AO449" s="49">
        <f>IF('Tech Parameters'!$I8=0,0,-PMT(discount_rate,'Tech Parameters'!$I8,'Tech Parameters'!AR70))</f>
        <v>630.40540350161257</v>
      </c>
      <c r="AP449" s="49">
        <f>IF('Tech Parameters'!$I8=0,0,-PMT(discount_rate,'Tech Parameters'!$I8,'Tech Parameters'!AS70))</f>
        <v>630.40540350161257</v>
      </c>
      <c r="AQ449" s="49">
        <f>IF('Tech Parameters'!$I8=0,0,-PMT(discount_rate,'Tech Parameters'!$I8,'Tech Parameters'!AT70))</f>
        <v>630.40540350161257</v>
      </c>
      <c r="AR449" s="49">
        <f>IF('Tech Parameters'!$I8=0,0,-PMT(discount_rate,'Tech Parameters'!$I8,'Tech Parameters'!AU70))</f>
        <v>630.40540350161257</v>
      </c>
      <c r="AS449" s="49">
        <f>IF('Tech Parameters'!$I8=0,0,-PMT(discount_rate,'Tech Parameters'!$I8,'Tech Parameters'!AV70))</f>
        <v>630.40540350161257</v>
      </c>
      <c r="AT449" s="49">
        <f>IF('Tech Parameters'!$I8=0,0,-PMT(discount_rate,'Tech Parameters'!$I8,'Tech Parameters'!AW70))</f>
        <v>630.40540350161257</v>
      </c>
      <c r="AU449" s="49">
        <f>IF('Tech Parameters'!$I8=0,0,-PMT(discount_rate,'Tech Parameters'!$I8,'Tech Parameters'!AX70))</f>
        <v>630.40540350161257</v>
      </c>
      <c r="AV449" s="49">
        <f>IF('Tech Parameters'!$I8=0,0,-PMT(discount_rate,'Tech Parameters'!$I8,'Tech Parameters'!AY70))</f>
        <v>630.40540350161257</v>
      </c>
      <c r="AW449" s="49">
        <f>IF('Tech Parameters'!$I8=0,0,-PMT(discount_rate,'Tech Parameters'!$I8,'Tech Parameters'!AZ70))</f>
        <v>630.40540350161257</v>
      </c>
    </row>
    <row r="450" spans="3:49">
      <c r="C450" t="str">
        <f t="shared" si="217"/>
        <v>PWR nuclear</v>
      </c>
      <c r="D450" s="49">
        <f>IF('Tech Parameters'!$I9=0,0,-PMT(discount_rate,'Tech Parameters'!$I9,'Tech Parameters'!G71))</f>
        <v>0</v>
      </c>
      <c r="E450" s="49">
        <f>IF('Tech Parameters'!$I9=0,0,-PMT(discount_rate,'Tech Parameters'!$I9,'Tech Parameters'!H71))</f>
        <v>0</v>
      </c>
      <c r="F450" s="49">
        <f>IF('Tech Parameters'!$I9=0,0,-PMT(discount_rate,'Tech Parameters'!$I9,'Tech Parameters'!I71))</f>
        <v>3829.0934918562289</v>
      </c>
      <c r="G450" s="49">
        <f>IF('Tech Parameters'!$I9=0,0,-PMT(discount_rate,'Tech Parameters'!$I9,'Tech Parameters'!J71))</f>
        <v>3829.0934918562289</v>
      </c>
      <c r="H450" s="49">
        <f>IF('Tech Parameters'!$I9=0,0,-PMT(discount_rate,'Tech Parameters'!$I9,'Tech Parameters'!K71))</f>
        <v>3829.0934918562289</v>
      </c>
      <c r="I450" s="49">
        <f>IF('Tech Parameters'!$I9=0,0,-PMT(discount_rate,'Tech Parameters'!$I9,'Tech Parameters'!L71))</f>
        <v>3829.0934918562289</v>
      </c>
      <c r="J450" s="49">
        <f>IF('Tech Parameters'!$I9=0,0,-PMT(discount_rate,'Tech Parameters'!$I9,'Tech Parameters'!M71))</f>
        <v>3829.0934918562289</v>
      </c>
      <c r="K450" s="49">
        <f>IF('Tech Parameters'!$I9=0,0,-PMT(discount_rate,'Tech Parameters'!$I9,'Tech Parameters'!N71))</f>
        <v>3829.0934918562289</v>
      </c>
      <c r="L450" s="49">
        <f>IF('Tech Parameters'!$I9=0,0,-PMT(discount_rate,'Tech Parameters'!$I9,'Tech Parameters'!O71))</f>
        <v>3829.0934918562289</v>
      </c>
      <c r="M450" s="49">
        <f>IF('Tech Parameters'!$I9=0,0,-PMT(discount_rate,'Tech Parameters'!$I9,'Tech Parameters'!P71))</f>
        <v>3829.0934918562289</v>
      </c>
      <c r="N450" s="49">
        <f>IF('Tech Parameters'!$I9=0,0,-PMT(discount_rate,'Tech Parameters'!$I9,'Tech Parameters'!Q71))</f>
        <v>3829.0934918562289</v>
      </c>
      <c r="O450" s="49">
        <f>IF('Tech Parameters'!$I9=0,0,-PMT(discount_rate,'Tech Parameters'!$I9,'Tech Parameters'!R71))</f>
        <v>3829.0934918562289</v>
      </c>
      <c r="P450" s="49">
        <f>IF('Tech Parameters'!$I9=0,0,-PMT(discount_rate,'Tech Parameters'!$I9,'Tech Parameters'!S71))</f>
        <v>3829.0934918562289</v>
      </c>
      <c r="Q450" s="49">
        <f>IF('Tech Parameters'!$I9=0,0,-PMT(discount_rate,'Tech Parameters'!$I9,'Tech Parameters'!T71))</f>
        <v>3829.0934918562289</v>
      </c>
      <c r="R450" s="49">
        <f>IF('Tech Parameters'!$I9=0,0,-PMT(discount_rate,'Tech Parameters'!$I9,'Tech Parameters'!U71))</f>
        <v>3829.0934918562289</v>
      </c>
      <c r="S450" s="49">
        <f>IF('Tech Parameters'!$I9=0,0,-PMT(discount_rate,'Tech Parameters'!$I9,'Tech Parameters'!V71))</f>
        <v>3829.0934918562289</v>
      </c>
      <c r="T450" s="49">
        <f>IF('Tech Parameters'!$I9=0,0,-PMT(discount_rate,'Tech Parameters'!$I9,'Tech Parameters'!W71))</f>
        <v>3829.0934918562289</v>
      </c>
      <c r="U450" s="49">
        <f>IF('Tech Parameters'!$I9=0,0,-PMT(discount_rate,'Tech Parameters'!$I9,'Tech Parameters'!X71))</f>
        <v>3829.0934918562289</v>
      </c>
      <c r="V450" s="49">
        <f>IF('Tech Parameters'!$I9=0,0,-PMT(discount_rate,'Tech Parameters'!$I9,'Tech Parameters'!Y71))</f>
        <v>3829.0934918562289</v>
      </c>
      <c r="W450" s="49">
        <f>IF('Tech Parameters'!$I9=0,0,-PMT(discount_rate,'Tech Parameters'!$I9,'Tech Parameters'!Z71))</f>
        <v>3829.0934918562289</v>
      </c>
      <c r="X450" s="49">
        <f>IF('Tech Parameters'!$I9=0,0,-PMT(discount_rate,'Tech Parameters'!$I9,'Tech Parameters'!AA71))</f>
        <v>3829.0934918562289</v>
      </c>
      <c r="Y450" s="49">
        <f>IF('Tech Parameters'!$I9=0,0,-PMT(discount_rate,'Tech Parameters'!$I9,'Tech Parameters'!AB71))</f>
        <v>3829.0934918562289</v>
      </c>
      <c r="Z450" s="49">
        <f>IF('Tech Parameters'!$I9=0,0,-PMT(discount_rate,'Tech Parameters'!$I9,'Tech Parameters'!AC71))</f>
        <v>3829.0934918562289</v>
      </c>
      <c r="AA450" s="49">
        <f>IF('Tech Parameters'!$I9=0,0,-PMT(discount_rate,'Tech Parameters'!$I9,'Tech Parameters'!AD71))</f>
        <v>3829.0934918562289</v>
      </c>
      <c r="AB450" s="49">
        <f>IF('Tech Parameters'!$I9=0,0,-PMT(discount_rate,'Tech Parameters'!$I9,'Tech Parameters'!AE71))</f>
        <v>3829.0934918562289</v>
      </c>
      <c r="AC450" s="49">
        <f>IF('Tech Parameters'!$I9=0,0,-PMT(discount_rate,'Tech Parameters'!$I9,'Tech Parameters'!AF71))</f>
        <v>3829.0934918562289</v>
      </c>
      <c r="AD450" s="49">
        <f>IF('Tech Parameters'!$I9=0,0,-PMT(discount_rate,'Tech Parameters'!$I9,'Tech Parameters'!AG71))</f>
        <v>3829.0934918562289</v>
      </c>
      <c r="AE450" s="49">
        <f>IF('Tech Parameters'!$I9=0,0,-PMT(discount_rate,'Tech Parameters'!$I9,'Tech Parameters'!AH71))</f>
        <v>3829.0934918562289</v>
      </c>
      <c r="AF450" s="49">
        <f>IF('Tech Parameters'!$I9=0,0,-PMT(discount_rate,'Tech Parameters'!$I9,'Tech Parameters'!AI71))</f>
        <v>3829.0934918562289</v>
      </c>
      <c r="AG450" s="49">
        <f>IF('Tech Parameters'!$I9=0,0,-PMT(discount_rate,'Tech Parameters'!$I9,'Tech Parameters'!AJ71))</f>
        <v>3829.0934918562289</v>
      </c>
      <c r="AH450" s="49">
        <f>IF('Tech Parameters'!$I9=0,0,-PMT(discount_rate,'Tech Parameters'!$I9,'Tech Parameters'!AK71))</f>
        <v>3829.0934918562289</v>
      </c>
      <c r="AI450" s="49">
        <f>IF('Tech Parameters'!$I9=0,0,-PMT(discount_rate,'Tech Parameters'!$I9,'Tech Parameters'!AL71))</f>
        <v>3829.0934918562289</v>
      </c>
      <c r="AJ450" s="49">
        <f>IF('Tech Parameters'!$I9=0,0,-PMT(discount_rate,'Tech Parameters'!$I9,'Tech Parameters'!AM71))</f>
        <v>3829.0934918562289</v>
      </c>
      <c r="AK450" s="49">
        <f>IF('Tech Parameters'!$I9=0,0,-PMT(discount_rate,'Tech Parameters'!$I9,'Tech Parameters'!AN71))</f>
        <v>3829.0934918562289</v>
      </c>
      <c r="AL450" s="49">
        <f>IF('Tech Parameters'!$I9=0,0,-PMT(discount_rate,'Tech Parameters'!$I9,'Tech Parameters'!AO71))</f>
        <v>3829.0934918562289</v>
      </c>
      <c r="AM450" s="49">
        <f>IF('Tech Parameters'!$I9=0,0,-PMT(discount_rate,'Tech Parameters'!$I9,'Tech Parameters'!AP71))</f>
        <v>3829.0934918562289</v>
      </c>
      <c r="AN450" s="49">
        <f>IF('Tech Parameters'!$I9=0,0,-PMT(discount_rate,'Tech Parameters'!$I9,'Tech Parameters'!AQ71))</f>
        <v>3829.0934918562289</v>
      </c>
      <c r="AO450" s="49">
        <f>IF('Tech Parameters'!$I9=0,0,-PMT(discount_rate,'Tech Parameters'!$I9,'Tech Parameters'!AR71))</f>
        <v>3829.0934918562289</v>
      </c>
      <c r="AP450" s="49">
        <f>IF('Tech Parameters'!$I9=0,0,-PMT(discount_rate,'Tech Parameters'!$I9,'Tech Parameters'!AS71))</f>
        <v>3829.0934918562289</v>
      </c>
      <c r="AQ450" s="49">
        <f>IF('Tech Parameters'!$I9=0,0,-PMT(discount_rate,'Tech Parameters'!$I9,'Tech Parameters'!AT71))</f>
        <v>3829.0934918562289</v>
      </c>
      <c r="AR450" s="49">
        <f>IF('Tech Parameters'!$I9=0,0,-PMT(discount_rate,'Tech Parameters'!$I9,'Tech Parameters'!AU71))</f>
        <v>3829.0934918562289</v>
      </c>
      <c r="AS450" s="49">
        <f>IF('Tech Parameters'!$I9=0,0,-PMT(discount_rate,'Tech Parameters'!$I9,'Tech Parameters'!AV71))</f>
        <v>3829.0934918562289</v>
      </c>
      <c r="AT450" s="49">
        <f>IF('Tech Parameters'!$I9=0,0,-PMT(discount_rate,'Tech Parameters'!$I9,'Tech Parameters'!AW71))</f>
        <v>3829.0934918562289</v>
      </c>
      <c r="AU450" s="49">
        <f>IF('Tech Parameters'!$I9=0,0,-PMT(discount_rate,'Tech Parameters'!$I9,'Tech Parameters'!AX71))</f>
        <v>3829.0934918562289</v>
      </c>
      <c r="AV450" s="49">
        <f>IF('Tech Parameters'!$I9=0,0,-PMT(discount_rate,'Tech Parameters'!$I9,'Tech Parameters'!AY71))</f>
        <v>3829.0934918562289</v>
      </c>
      <c r="AW450" s="49">
        <f>IF('Tech Parameters'!$I9=0,0,-PMT(discount_rate,'Tech Parameters'!$I9,'Tech Parameters'!AZ71))</f>
        <v>3829.0934918562289</v>
      </c>
    </row>
    <row r="451" spans="3:49">
      <c r="C451" t="str">
        <f t="shared" si="217"/>
        <v>Hydro</v>
      </c>
      <c r="D451" s="49">
        <f>IF('Tech Parameters'!$I10=0,0,-PMT(discount_rate,'Tech Parameters'!$I10,'Tech Parameters'!G72))</f>
        <v>0</v>
      </c>
      <c r="E451" s="49">
        <f>IF('Tech Parameters'!$I10=0,0,-PMT(discount_rate,'Tech Parameters'!$I10,'Tech Parameters'!H72))</f>
        <v>0</v>
      </c>
      <c r="F451" s="49">
        <f>IF('Tech Parameters'!$I10=0,0,-PMT(discount_rate,'Tech Parameters'!$I10,'Tech Parameters'!I72))</f>
        <v>0</v>
      </c>
      <c r="G451" s="49">
        <f>IF('Tech Parameters'!$I10=0,0,-PMT(discount_rate,'Tech Parameters'!$I10,'Tech Parameters'!J72))</f>
        <v>0</v>
      </c>
      <c r="H451" s="49">
        <f>IF('Tech Parameters'!$I10=0,0,-PMT(discount_rate,'Tech Parameters'!$I10,'Tech Parameters'!K72))</f>
        <v>0</v>
      </c>
      <c r="I451" s="49">
        <f>IF('Tech Parameters'!$I10=0,0,-PMT(discount_rate,'Tech Parameters'!$I10,'Tech Parameters'!L72))</f>
        <v>0</v>
      </c>
      <c r="J451" s="49">
        <f>IF('Tech Parameters'!$I10=0,0,-PMT(discount_rate,'Tech Parameters'!$I10,'Tech Parameters'!M72))</f>
        <v>0</v>
      </c>
      <c r="K451" s="49">
        <f>IF('Tech Parameters'!$I10=0,0,-PMT(discount_rate,'Tech Parameters'!$I10,'Tech Parameters'!N72))</f>
        <v>0</v>
      </c>
      <c r="L451" s="49">
        <f>IF('Tech Parameters'!$I10=0,0,-PMT(discount_rate,'Tech Parameters'!$I10,'Tech Parameters'!O72))</f>
        <v>0</v>
      </c>
      <c r="M451" s="49">
        <f>IF('Tech Parameters'!$I10=0,0,-PMT(discount_rate,'Tech Parameters'!$I10,'Tech Parameters'!P72))</f>
        <v>0</v>
      </c>
      <c r="N451" s="49">
        <f>IF('Tech Parameters'!$I10=0,0,-PMT(discount_rate,'Tech Parameters'!$I10,'Tech Parameters'!Q72))</f>
        <v>0</v>
      </c>
      <c r="O451" s="49">
        <f>IF('Tech Parameters'!$I10=0,0,-PMT(discount_rate,'Tech Parameters'!$I10,'Tech Parameters'!R72))</f>
        <v>0</v>
      </c>
      <c r="P451" s="49">
        <f>IF('Tech Parameters'!$I10=0,0,-PMT(discount_rate,'Tech Parameters'!$I10,'Tech Parameters'!S72))</f>
        <v>0</v>
      </c>
      <c r="Q451" s="49">
        <f>IF('Tech Parameters'!$I10=0,0,-PMT(discount_rate,'Tech Parameters'!$I10,'Tech Parameters'!T72))</f>
        <v>0</v>
      </c>
      <c r="R451" s="49">
        <f>IF('Tech Parameters'!$I10=0,0,-PMT(discount_rate,'Tech Parameters'!$I10,'Tech Parameters'!U72))</f>
        <v>0</v>
      </c>
      <c r="S451" s="49">
        <f>IF('Tech Parameters'!$I10=0,0,-PMT(discount_rate,'Tech Parameters'!$I10,'Tech Parameters'!V72))</f>
        <v>0</v>
      </c>
      <c r="T451" s="49">
        <f>IF('Tech Parameters'!$I10=0,0,-PMT(discount_rate,'Tech Parameters'!$I10,'Tech Parameters'!W72))</f>
        <v>0</v>
      </c>
      <c r="U451" s="49">
        <f>IF('Tech Parameters'!$I10=0,0,-PMT(discount_rate,'Tech Parameters'!$I10,'Tech Parameters'!X72))</f>
        <v>0</v>
      </c>
      <c r="V451" s="49">
        <f>IF('Tech Parameters'!$I10=0,0,-PMT(discount_rate,'Tech Parameters'!$I10,'Tech Parameters'!Y72))</f>
        <v>0</v>
      </c>
      <c r="W451" s="49">
        <f>IF('Tech Parameters'!$I10=0,0,-PMT(discount_rate,'Tech Parameters'!$I10,'Tech Parameters'!Z72))</f>
        <v>0</v>
      </c>
      <c r="X451" s="49">
        <f>IF('Tech Parameters'!$I10=0,0,-PMT(discount_rate,'Tech Parameters'!$I10,'Tech Parameters'!AA72))</f>
        <v>0</v>
      </c>
      <c r="Y451" s="49">
        <f>IF('Tech Parameters'!$I10=0,0,-PMT(discount_rate,'Tech Parameters'!$I10,'Tech Parameters'!AB72))</f>
        <v>0</v>
      </c>
      <c r="Z451" s="49">
        <f>IF('Tech Parameters'!$I10=0,0,-PMT(discount_rate,'Tech Parameters'!$I10,'Tech Parameters'!AC72))</f>
        <v>0</v>
      </c>
      <c r="AA451" s="49">
        <f>IF('Tech Parameters'!$I10=0,0,-PMT(discount_rate,'Tech Parameters'!$I10,'Tech Parameters'!AD72))</f>
        <v>0</v>
      </c>
      <c r="AB451" s="49">
        <f>IF('Tech Parameters'!$I10=0,0,-PMT(discount_rate,'Tech Parameters'!$I10,'Tech Parameters'!AE72))</f>
        <v>0</v>
      </c>
      <c r="AC451" s="49">
        <f>IF('Tech Parameters'!$I10=0,0,-PMT(discount_rate,'Tech Parameters'!$I10,'Tech Parameters'!AF72))</f>
        <v>0</v>
      </c>
      <c r="AD451" s="49">
        <f>IF('Tech Parameters'!$I10=0,0,-PMT(discount_rate,'Tech Parameters'!$I10,'Tech Parameters'!AG72))</f>
        <v>0</v>
      </c>
      <c r="AE451" s="49">
        <f>IF('Tech Parameters'!$I10=0,0,-PMT(discount_rate,'Tech Parameters'!$I10,'Tech Parameters'!AH72))</f>
        <v>0</v>
      </c>
      <c r="AF451" s="49">
        <f>IF('Tech Parameters'!$I10=0,0,-PMT(discount_rate,'Tech Parameters'!$I10,'Tech Parameters'!AI72))</f>
        <v>0</v>
      </c>
      <c r="AG451" s="49">
        <f>IF('Tech Parameters'!$I10=0,0,-PMT(discount_rate,'Tech Parameters'!$I10,'Tech Parameters'!AJ72))</f>
        <v>0</v>
      </c>
      <c r="AH451" s="49">
        <f>IF('Tech Parameters'!$I10=0,0,-PMT(discount_rate,'Tech Parameters'!$I10,'Tech Parameters'!AK72))</f>
        <v>0</v>
      </c>
      <c r="AI451" s="49">
        <f>IF('Tech Parameters'!$I10=0,0,-PMT(discount_rate,'Tech Parameters'!$I10,'Tech Parameters'!AL72))</f>
        <v>0</v>
      </c>
      <c r="AJ451" s="49">
        <f>IF('Tech Parameters'!$I10=0,0,-PMT(discount_rate,'Tech Parameters'!$I10,'Tech Parameters'!AM72))</f>
        <v>0</v>
      </c>
      <c r="AK451" s="49">
        <f>IF('Tech Parameters'!$I10=0,0,-PMT(discount_rate,'Tech Parameters'!$I10,'Tech Parameters'!AN72))</f>
        <v>0</v>
      </c>
      <c r="AL451" s="49">
        <f>IF('Tech Parameters'!$I10=0,0,-PMT(discount_rate,'Tech Parameters'!$I10,'Tech Parameters'!AO72))</f>
        <v>0</v>
      </c>
      <c r="AM451" s="49">
        <f>IF('Tech Parameters'!$I10=0,0,-PMT(discount_rate,'Tech Parameters'!$I10,'Tech Parameters'!AP72))</f>
        <v>0</v>
      </c>
      <c r="AN451" s="49">
        <f>IF('Tech Parameters'!$I10=0,0,-PMT(discount_rate,'Tech Parameters'!$I10,'Tech Parameters'!AQ72))</f>
        <v>0</v>
      </c>
      <c r="AO451" s="49">
        <f>IF('Tech Parameters'!$I10=0,0,-PMT(discount_rate,'Tech Parameters'!$I10,'Tech Parameters'!AR72))</f>
        <v>0</v>
      </c>
      <c r="AP451" s="49">
        <f>IF('Tech Parameters'!$I10=0,0,-PMT(discount_rate,'Tech Parameters'!$I10,'Tech Parameters'!AS72))</f>
        <v>0</v>
      </c>
      <c r="AQ451" s="49">
        <f>IF('Tech Parameters'!$I10=0,0,-PMT(discount_rate,'Tech Parameters'!$I10,'Tech Parameters'!AT72))</f>
        <v>0</v>
      </c>
      <c r="AR451" s="49">
        <f>IF('Tech Parameters'!$I10=0,0,-PMT(discount_rate,'Tech Parameters'!$I10,'Tech Parameters'!AU72))</f>
        <v>0</v>
      </c>
      <c r="AS451" s="49">
        <f>IF('Tech Parameters'!$I10=0,0,-PMT(discount_rate,'Tech Parameters'!$I10,'Tech Parameters'!AV72))</f>
        <v>0</v>
      </c>
      <c r="AT451" s="49">
        <f>IF('Tech Parameters'!$I10=0,0,-PMT(discount_rate,'Tech Parameters'!$I10,'Tech Parameters'!AW72))</f>
        <v>0</v>
      </c>
      <c r="AU451" s="49">
        <f>IF('Tech Parameters'!$I10=0,0,-PMT(discount_rate,'Tech Parameters'!$I10,'Tech Parameters'!AX72))</f>
        <v>0</v>
      </c>
      <c r="AV451" s="49">
        <f>IF('Tech Parameters'!$I10=0,0,-PMT(discount_rate,'Tech Parameters'!$I10,'Tech Parameters'!AY72))</f>
        <v>0</v>
      </c>
      <c r="AW451" s="49">
        <f>IF('Tech Parameters'!$I10=0,0,-PMT(discount_rate,'Tech Parameters'!$I10,'Tech Parameters'!AZ72))</f>
        <v>0</v>
      </c>
    </row>
    <row r="452" spans="3:49">
      <c r="C452" t="str">
        <f t="shared" si="217"/>
        <v>Landfill gas</v>
      </c>
      <c r="D452" s="49">
        <f>IF('Tech Parameters'!$I11=0,0,-PMT(discount_rate,'Tech Parameters'!$I11,'Tech Parameters'!G73))</f>
        <v>0</v>
      </c>
      <c r="E452" s="49">
        <f>IF('Tech Parameters'!$I11=0,0,-PMT(discount_rate,'Tech Parameters'!$I11,'Tech Parameters'!H73))</f>
        <v>0</v>
      </c>
      <c r="F452" s="49">
        <f>IF('Tech Parameters'!$I11=0,0,-PMT(discount_rate,'Tech Parameters'!$I11,'Tech Parameters'!I73))</f>
        <v>2321.8998763165264</v>
      </c>
      <c r="G452" s="49">
        <f>IF('Tech Parameters'!$I11=0,0,-PMT(discount_rate,'Tech Parameters'!$I11,'Tech Parameters'!J73))</f>
        <v>2321.8998763165264</v>
      </c>
      <c r="H452" s="49">
        <f>IF('Tech Parameters'!$I11=0,0,-PMT(discount_rate,'Tech Parameters'!$I11,'Tech Parameters'!K73))</f>
        <v>2321.8998763165264</v>
      </c>
      <c r="I452" s="49">
        <f>IF('Tech Parameters'!$I11=0,0,-PMT(discount_rate,'Tech Parameters'!$I11,'Tech Parameters'!L73))</f>
        <v>2321.8998763165264</v>
      </c>
      <c r="J452" s="49">
        <f>IF('Tech Parameters'!$I11=0,0,-PMT(discount_rate,'Tech Parameters'!$I11,'Tech Parameters'!M73))</f>
        <v>2321.8998763165264</v>
      </c>
      <c r="K452" s="49">
        <f>IF('Tech Parameters'!$I11=0,0,-PMT(discount_rate,'Tech Parameters'!$I11,'Tech Parameters'!N73))</f>
        <v>2321.8998763165264</v>
      </c>
      <c r="L452" s="49">
        <f>IF('Tech Parameters'!$I11=0,0,-PMT(discount_rate,'Tech Parameters'!$I11,'Tech Parameters'!O73))</f>
        <v>2321.8998763165264</v>
      </c>
      <c r="M452" s="49">
        <f>IF('Tech Parameters'!$I11=0,0,-PMT(discount_rate,'Tech Parameters'!$I11,'Tech Parameters'!P73))</f>
        <v>2321.8998763165264</v>
      </c>
      <c r="N452" s="49">
        <f>IF('Tech Parameters'!$I11=0,0,-PMT(discount_rate,'Tech Parameters'!$I11,'Tech Parameters'!Q73))</f>
        <v>2321.8998763165264</v>
      </c>
      <c r="O452" s="49">
        <f>IF('Tech Parameters'!$I11=0,0,-PMT(discount_rate,'Tech Parameters'!$I11,'Tech Parameters'!R73))</f>
        <v>2321.8998763165264</v>
      </c>
      <c r="P452" s="49">
        <f>IF('Tech Parameters'!$I11=0,0,-PMT(discount_rate,'Tech Parameters'!$I11,'Tech Parameters'!S73))</f>
        <v>2321.8998763165264</v>
      </c>
      <c r="Q452" s="49">
        <f>IF('Tech Parameters'!$I11=0,0,-PMT(discount_rate,'Tech Parameters'!$I11,'Tech Parameters'!T73))</f>
        <v>2321.8998763165264</v>
      </c>
      <c r="R452" s="49">
        <f>IF('Tech Parameters'!$I11=0,0,-PMT(discount_rate,'Tech Parameters'!$I11,'Tech Parameters'!U73))</f>
        <v>2321.8998763165264</v>
      </c>
      <c r="S452" s="49">
        <f>IF('Tech Parameters'!$I11=0,0,-PMT(discount_rate,'Tech Parameters'!$I11,'Tech Parameters'!V73))</f>
        <v>2321.8998763165264</v>
      </c>
      <c r="T452" s="49">
        <f>IF('Tech Parameters'!$I11=0,0,-PMT(discount_rate,'Tech Parameters'!$I11,'Tech Parameters'!W73))</f>
        <v>2321.8998763165264</v>
      </c>
      <c r="U452" s="49">
        <f>IF('Tech Parameters'!$I11=0,0,-PMT(discount_rate,'Tech Parameters'!$I11,'Tech Parameters'!X73))</f>
        <v>2321.8998763165264</v>
      </c>
      <c r="V452" s="49">
        <f>IF('Tech Parameters'!$I11=0,0,-PMT(discount_rate,'Tech Parameters'!$I11,'Tech Parameters'!Y73))</f>
        <v>2321.8998763165264</v>
      </c>
      <c r="W452" s="49">
        <f>IF('Tech Parameters'!$I11=0,0,-PMT(discount_rate,'Tech Parameters'!$I11,'Tech Parameters'!Z73))</f>
        <v>2321.8998763165264</v>
      </c>
      <c r="X452" s="49">
        <f>IF('Tech Parameters'!$I11=0,0,-PMT(discount_rate,'Tech Parameters'!$I11,'Tech Parameters'!AA73))</f>
        <v>2321.8998763165264</v>
      </c>
      <c r="Y452" s="49">
        <f>IF('Tech Parameters'!$I11=0,0,-PMT(discount_rate,'Tech Parameters'!$I11,'Tech Parameters'!AB73))</f>
        <v>2321.8998763165264</v>
      </c>
      <c r="Z452" s="49">
        <f>IF('Tech Parameters'!$I11=0,0,-PMT(discount_rate,'Tech Parameters'!$I11,'Tech Parameters'!AC73))</f>
        <v>2321.8998763165264</v>
      </c>
      <c r="AA452" s="49">
        <f>IF('Tech Parameters'!$I11=0,0,-PMT(discount_rate,'Tech Parameters'!$I11,'Tech Parameters'!AD73))</f>
        <v>2321.8998763165264</v>
      </c>
      <c r="AB452" s="49">
        <f>IF('Tech Parameters'!$I11=0,0,-PMT(discount_rate,'Tech Parameters'!$I11,'Tech Parameters'!AE73))</f>
        <v>2321.8998763165264</v>
      </c>
      <c r="AC452" s="49">
        <f>IF('Tech Parameters'!$I11=0,0,-PMT(discount_rate,'Tech Parameters'!$I11,'Tech Parameters'!AF73))</f>
        <v>2321.8998763165264</v>
      </c>
      <c r="AD452" s="49">
        <f>IF('Tech Parameters'!$I11=0,0,-PMT(discount_rate,'Tech Parameters'!$I11,'Tech Parameters'!AG73))</f>
        <v>2321.8998763165264</v>
      </c>
      <c r="AE452" s="49">
        <f>IF('Tech Parameters'!$I11=0,0,-PMT(discount_rate,'Tech Parameters'!$I11,'Tech Parameters'!AH73))</f>
        <v>2321.8998763165264</v>
      </c>
      <c r="AF452" s="49">
        <f>IF('Tech Parameters'!$I11=0,0,-PMT(discount_rate,'Tech Parameters'!$I11,'Tech Parameters'!AI73))</f>
        <v>2321.8998763165264</v>
      </c>
      <c r="AG452" s="49">
        <f>IF('Tech Parameters'!$I11=0,0,-PMT(discount_rate,'Tech Parameters'!$I11,'Tech Parameters'!AJ73))</f>
        <v>2321.8998763165264</v>
      </c>
      <c r="AH452" s="49">
        <f>IF('Tech Parameters'!$I11=0,0,-PMT(discount_rate,'Tech Parameters'!$I11,'Tech Parameters'!AK73))</f>
        <v>2321.8998763165264</v>
      </c>
      <c r="AI452" s="49">
        <f>IF('Tech Parameters'!$I11=0,0,-PMT(discount_rate,'Tech Parameters'!$I11,'Tech Parameters'!AL73))</f>
        <v>2321.8998763165264</v>
      </c>
      <c r="AJ452" s="49">
        <f>IF('Tech Parameters'!$I11=0,0,-PMT(discount_rate,'Tech Parameters'!$I11,'Tech Parameters'!AM73))</f>
        <v>2321.8998763165264</v>
      </c>
      <c r="AK452" s="49">
        <f>IF('Tech Parameters'!$I11=0,0,-PMT(discount_rate,'Tech Parameters'!$I11,'Tech Parameters'!AN73))</f>
        <v>2321.8998763165264</v>
      </c>
      <c r="AL452" s="49">
        <f>IF('Tech Parameters'!$I11=0,0,-PMT(discount_rate,'Tech Parameters'!$I11,'Tech Parameters'!AO73))</f>
        <v>2321.8998763165264</v>
      </c>
      <c r="AM452" s="49">
        <f>IF('Tech Parameters'!$I11=0,0,-PMT(discount_rate,'Tech Parameters'!$I11,'Tech Parameters'!AP73))</f>
        <v>2321.8998763165264</v>
      </c>
      <c r="AN452" s="49">
        <f>IF('Tech Parameters'!$I11=0,0,-PMT(discount_rate,'Tech Parameters'!$I11,'Tech Parameters'!AQ73))</f>
        <v>2321.8998763165264</v>
      </c>
      <c r="AO452" s="49">
        <f>IF('Tech Parameters'!$I11=0,0,-PMT(discount_rate,'Tech Parameters'!$I11,'Tech Parameters'!AR73))</f>
        <v>2321.8998763165264</v>
      </c>
      <c r="AP452" s="49">
        <f>IF('Tech Parameters'!$I11=0,0,-PMT(discount_rate,'Tech Parameters'!$I11,'Tech Parameters'!AS73))</f>
        <v>2321.8998763165264</v>
      </c>
      <c r="AQ452" s="49">
        <f>IF('Tech Parameters'!$I11=0,0,-PMT(discount_rate,'Tech Parameters'!$I11,'Tech Parameters'!AT73))</f>
        <v>2321.8998763165264</v>
      </c>
      <c r="AR452" s="49">
        <f>IF('Tech Parameters'!$I11=0,0,-PMT(discount_rate,'Tech Parameters'!$I11,'Tech Parameters'!AU73))</f>
        <v>2321.8998763165264</v>
      </c>
      <c r="AS452" s="49">
        <f>IF('Tech Parameters'!$I11=0,0,-PMT(discount_rate,'Tech Parameters'!$I11,'Tech Parameters'!AV73))</f>
        <v>2321.8998763165264</v>
      </c>
      <c r="AT452" s="49">
        <f>IF('Tech Parameters'!$I11=0,0,-PMT(discount_rate,'Tech Parameters'!$I11,'Tech Parameters'!AW73))</f>
        <v>2321.8998763165264</v>
      </c>
      <c r="AU452" s="49">
        <f>IF('Tech Parameters'!$I11=0,0,-PMT(discount_rate,'Tech Parameters'!$I11,'Tech Parameters'!AX73))</f>
        <v>2321.8998763165264</v>
      </c>
      <c r="AV452" s="49">
        <f>IF('Tech Parameters'!$I11=0,0,-PMT(discount_rate,'Tech Parameters'!$I11,'Tech Parameters'!AY73))</f>
        <v>2321.8998763165264</v>
      </c>
      <c r="AW452" s="49">
        <f>IF('Tech Parameters'!$I11=0,0,-PMT(discount_rate,'Tech Parameters'!$I11,'Tech Parameters'!AZ73))</f>
        <v>2321.8998763165264</v>
      </c>
    </row>
    <row r="453" spans="3:49">
      <c r="C453" t="str">
        <f t="shared" si="217"/>
        <v>Biomass</v>
      </c>
      <c r="D453" s="49">
        <f>IF('Tech Parameters'!$I12=0,0,-PMT(discount_rate,'Tech Parameters'!$I12,'Tech Parameters'!G74))</f>
        <v>0</v>
      </c>
      <c r="E453" s="49">
        <f>IF('Tech Parameters'!$I12=0,0,-PMT(discount_rate,'Tech Parameters'!$I12,'Tech Parameters'!H74))</f>
        <v>0</v>
      </c>
      <c r="F453" s="49">
        <f>IF('Tech Parameters'!$I12=0,0,-PMT(discount_rate,'Tech Parameters'!$I12,'Tech Parameters'!I74))</f>
        <v>3438.5666276869983</v>
      </c>
      <c r="G453" s="49">
        <f>IF('Tech Parameters'!$I12=0,0,-PMT(discount_rate,'Tech Parameters'!$I12,'Tech Parameters'!J74))</f>
        <v>3438.5666276869983</v>
      </c>
      <c r="H453" s="49">
        <f>IF('Tech Parameters'!$I12=0,0,-PMT(discount_rate,'Tech Parameters'!$I12,'Tech Parameters'!K74))</f>
        <v>3438.5666276869983</v>
      </c>
      <c r="I453" s="49">
        <f>IF('Tech Parameters'!$I12=0,0,-PMT(discount_rate,'Tech Parameters'!$I12,'Tech Parameters'!L74))</f>
        <v>3438.5666276869983</v>
      </c>
      <c r="J453" s="49">
        <f>IF('Tech Parameters'!$I12=0,0,-PMT(discount_rate,'Tech Parameters'!$I12,'Tech Parameters'!M74))</f>
        <v>3438.5666276869983</v>
      </c>
      <c r="K453" s="49">
        <f>IF('Tech Parameters'!$I12=0,0,-PMT(discount_rate,'Tech Parameters'!$I12,'Tech Parameters'!N74))</f>
        <v>3438.5666276869983</v>
      </c>
      <c r="L453" s="49">
        <f>IF('Tech Parameters'!$I12=0,0,-PMT(discount_rate,'Tech Parameters'!$I12,'Tech Parameters'!O74))</f>
        <v>3438.5666276869983</v>
      </c>
      <c r="M453" s="49">
        <f>IF('Tech Parameters'!$I12=0,0,-PMT(discount_rate,'Tech Parameters'!$I12,'Tech Parameters'!P74))</f>
        <v>3438.5666276869983</v>
      </c>
      <c r="N453" s="49">
        <f>IF('Tech Parameters'!$I12=0,0,-PMT(discount_rate,'Tech Parameters'!$I12,'Tech Parameters'!Q74))</f>
        <v>3438.5666276869983</v>
      </c>
      <c r="O453" s="49">
        <f>IF('Tech Parameters'!$I12=0,0,-PMT(discount_rate,'Tech Parameters'!$I12,'Tech Parameters'!R74))</f>
        <v>3438.5666276869983</v>
      </c>
      <c r="P453" s="49">
        <f>IF('Tech Parameters'!$I12=0,0,-PMT(discount_rate,'Tech Parameters'!$I12,'Tech Parameters'!S74))</f>
        <v>3438.5666276869983</v>
      </c>
      <c r="Q453" s="49">
        <f>IF('Tech Parameters'!$I12=0,0,-PMT(discount_rate,'Tech Parameters'!$I12,'Tech Parameters'!T74))</f>
        <v>3438.5666276869983</v>
      </c>
      <c r="R453" s="49">
        <f>IF('Tech Parameters'!$I12=0,0,-PMT(discount_rate,'Tech Parameters'!$I12,'Tech Parameters'!U74))</f>
        <v>3438.5666276869983</v>
      </c>
      <c r="S453" s="49">
        <f>IF('Tech Parameters'!$I12=0,0,-PMT(discount_rate,'Tech Parameters'!$I12,'Tech Parameters'!V74))</f>
        <v>3438.5666276869983</v>
      </c>
      <c r="T453" s="49">
        <f>IF('Tech Parameters'!$I12=0,0,-PMT(discount_rate,'Tech Parameters'!$I12,'Tech Parameters'!W74))</f>
        <v>3438.5666276869983</v>
      </c>
      <c r="U453" s="49">
        <f>IF('Tech Parameters'!$I12=0,0,-PMT(discount_rate,'Tech Parameters'!$I12,'Tech Parameters'!X74))</f>
        <v>3438.5666276869983</v>
      </c>
      <c r="V453" s="49">
        <f>IF('Tech Parameters'!$I12=0,0,-PMT(discount_rate,'Tech Parameters'!$I12,'Tech Parameters'!Y74))</f>
        <v>3438.5666276869983</v>
      </c>
      <c r="W453" s="49">
        <f>IF('Tech Parameters'!$I12=0,0,-PMT(discount_rate,'Tech Parameters'!$I12,'Tech Parameters'!Z74))</f>
        <v>3438.5666276869983</v>
      </c>
      <c r="X453" s="49">
        <f>IF('Tech Parameters'!$I12=0,0,-PMT(discount_rate,'Tech Parameters'!$I12,'Tech Parameters'!AA74))</f>
        <v>3438.5666276869983</v>
      </c>
      <c r="Y453" s="49">
        <f>IF('Tech Parameters'!$I12=0,0,-PMT(discount_rate,'Tech Parameters'!$I12,'Tech Parameters'!AB74))</f>
        <v>3438.5666276869983</v>
      </c>
      <c r="Z453" s="49">
        <f>IF('Tech Parameters'!$I12=0,0,-PMT(discount_rate,'Tech Parameters'!$I12,'Tech Parameters'!AC74))</f>
        <v>3438.5666276869983</v>
      </c>
      <c r="AA453" s="49">
        <f>IF('Tech Parameters'!$I12=0,0,-PMT(discount_rate,'Tech Parameters'!$I12,'Tech Parameters'!AD74))</f>
        <v>3438.5666276869983</v>
      </c>
      <c r="AB453" s="49">
        <f>IF('Tech Parameters'!$I12=0,0,-PMT(discount_rate,'Tech Parameters'!$I12,'Tech Parameters'!AE74))</f>
        <v>3438.5666276869983</v>
      </c>
      <c r="AC453" s="49">
        <f>IF('Tech Parameters'!$I12=0,0,-PMT(discount_rate,'Tech Parameters'!$I12,'Tech Parameters'!AF74))</f>
        <v>3438.5666276869983</v>
      </c>
      <c r="AD453" s="49">
        <f>IF('Tech Parameters'!$I12=0,0,-PMT(discount_rate,'Tech Parameters'!$I12,'Tech Parameters'!AG74))</f>
        <v>3438.5666276869983</v>
      </c>
      <c r="AE453" s="49">
        <f>IF('Tech Parameters'!$I12=0,0,-PMT(discount_rate,'Tech Parameters'!$I12,'Tech Parameters'!AH74))</f>
        <v>3438.5666276869983</v>
      </c>
      <c r="AF453" s="49">
        <f>IF('Tech Parameters'!$I12=0,0,-PMT(discount_rate,'Tech Parameters'!$I12,'Tech Parameters'!AI74))</f>
        <v>3438.5666276869983</v>
      </c>
      <c r="AG453" s="49">
        <f>IF('Tech Parameters'!$I12=0,0,-PMT(discount_rate,'Tech Parameters'!$I12,'Tech Parameters'!AJ74))</f>
        <v>3438.5666276869983</v>
      </c>
      <c r="AH453" s="49">
        <f>IF('Tech Parameters'!$I12=0,0,-PMT(discount_rate,'Tech Parameters'!$I12,'Tech Parameters'!AK74))</f>
        <v>3438.5666276869983</v>
      </c>
      <c r="AI453" s="49">
        <f>IF('Tech Parameters'!$I12=0,0,-PMT(discount_rate,'Tech Parameters'!$I12,'Tech Parameters'!AL74))</f>
        <v>3438.5666276869983</v>
      </c>
      <c r="AJ453" s="49">
        <f>IF('Tech Parameters'!$I12=0,0,-PMT(discount_rate,'Tech Parameters'!$I12,'Tech Parameters'!AM74))</f>
        <v>3438.5666276869983</v>
      </c>
      <c r="AK453" s="49">
        <f>IF('Tech Parameters'!$I12=0,0,-PMT(discount_rate,'Tech Parameters'!$I12,'Tech Parameters'!AN74))</f>
        <v>3438.5666276869983</v>
      </c>
      <c r="AL453" s="49">
        <f>IF('Tech Parameters'!$I12=0,0,-PMT(discount_rate,'Tech Parameters'!$I12,'Tech Parameters'!AO74))</f>
        <v>3438.5666276869983</v>
      </c>
      <c r="AM453" s="49">
        <f>IF('Tech Parameters'!$I12=0,0,-PMT(discount_rate,'Tech Parameters'!$I12,'Tech Parameters'!AP74))</f>
        <v>3438.5666276869983</v>
      </c>
      <c r="AN453" s="49">
        <f>IF('Tech Parameters'!$I12=0,0,-PMT(discount_rate,'Tech Parameters'!$I12,'Tech Parameters'!AQ74))</f>
        <v>3438.5666276869983</v>
      </c>
      <c r="AO453" s="49">
        <f>IF('Tech Parameters'!$I12=0,0,-PMT(discount_rate,'Tech Parameters'!$I12,'Tech Parameters'!AR74))</f>
        <v>3438.5666276869983</v>
      </c>
      <c r="AP453" s="49">
        <f>IF('Tech Parameters'!$I12=0,0,-PMT(discount_rate,'Tech Parameters'!$I12,'Tech Parameters'!AS74))</f>
        <v>3438.5666276869983</v>
      </c>
      <c r="AQ453" s="49">
        <f>IF('Tech Parameters'!$I12=0,0,-PMT(discount_rate,'Tech Parameters'!$I12,'Tech Parameters'!AT74))</f>
        <v>3438.5666276869983</v>
      </c>
      <c r="AR453" s="49">
        <f>IF('Tech Parameters'!$I12=0,0,-PMT(discount_rate,'Tech Parameters'!$I12,'Tech Parameters'!AU74))</f>
        <v>3438.5666276869983</v>
      </c>
      <c r="AS453" s="49">
        <f>IF('Tech Parameters'!$I12=0,0,-PMT(discount_rate,'Tech Parameters'!$I12,'Tech Parameters'!AV74))</f>
        <v>3438.5666276869983</v>
      </c>
      <c r="AT453" s="49">
        <f>IF('Tech Parameters'!$I12=0,0,-PMT(discount_rate,'Tech Parameters'!$I12,'Tech Parameters'!AW74))</f>
        <v>3438.5666276869983</v>
      </c>
      <c r="AU453" s="49">
        <f>IF('Tech Parameters'!$I12=0,0,-PMT(discount_rate,'Tech Parameters'!$I12,'Tech Parameters'!AX74))</f>
        <v>3438.5666276869983</v>
      </c>
      <c r="AV453" s="49">
        <f>IF('Tech Parameters'!$I12=0,0,-PMT(discount_rate,'Tech Parameters'!$I12,'Tech Parameters'!AY74))</f>
        <v>3438.5666276869983</v>
      </c>
      <c r="AW453" s="49">
        <f>IF('Tech Parameters'!$I12=0,0,-PMT(discount_rate,'Tech Parameters'!$I12,'Tech Parameters'!AZ74))</f>
        <v>3438.5666276869983</v>
      </c>
    </row>
    <row r="454" spans="3:49">
      <c r="C454" t="str">
        <f t="shared" si="217"/>
        <v>Supercritical coal</v>
      </c>
      <c r="D454" s="49">
        <f>IF('Tech Parameters'!$I13=0,0,-PMT(discount_rate,'Tech Parameters'!$I13,'Tech Parameters'!G75))</f>
        <v>0</v>
      </c>
      <c r="E454" s="49">
        <f>IF('Tech Parameters'!$I13=0,0,-PMT(discount_rate,'Tech Parameters'!$I13,'Tech Parameters'!H75))</f>
        <v>0</v>
      </c>
      <c r="F454" s="49">
        <f>IF('Tech Parameters'!$I13=0,0,-PMT(discount_rate,'Tech Parameters'!$I13,'Tech Parameters'!I75))</f>
        <v>2136.9939867745561</v>
      </c>
      <c r="G454" s="49">
        <f>IF('Tech Parameters'!$I13=0,0,-PMT(discount_rate,'Tech Parameters'!$I13,'Tech Parameters'!J75))</f>
        <v>2136.9939867745561</v>
      </c>
      <c r="H454" s="49">
        <f>IF('Tech Parameters'!$I13=0,0,-PMT(discount_rate,'Tech Parameters'!$I13,'Tech Parameters'!K75))</f>
        <v>2122.3570416596613</v>
      </c>
      <c r="I454" s="49">
        <f>IF('Tech Parameters'!$I13=0,0,-PMT(discount_rate,'Tech Parameters'!$I13,'Tech Parameters'!L75))</f>
        <v>2107.7200965447673</v>
      </c>
      <c r="J454" s="49">
        <f>IF('Tech Parameters'!$I13=0,0,-PMT(discount_rate,'Tech Parameters'!$I13,'Tech Parameters'!M75))</f>
        <v>2101.2348039400135</v>
      </c>
      <c r="K454" s="49">
        <f>IF('Tech Parameters'!$I13=0,0,-PMT(discount_rate,'Tech Parameters'!$I13,'Tech Parameters'!N75))</f>
        <v>2094.7495113352606</v>
      </c>
      <c r="L454" s="49">
        <f>IF('Tech Parameters'!$I13=0,0,-PMT(discount_rate,'Tech Parameters'!$I13,'Tech Parameters'!O75))</f>
        <v>2088.2642187305073</v>
      </c>
      <c r="M454" s="49">
        <f>IF('Tech Parameters'!$I13=0,0,-PMT(discount_rate,'Tech Parameters'!$I13,'Tech Parameters'!P75))</f>
        <v>2081.7789261257544</v>
      </c>
      <c r="N454" s="49">
        <f>IF('Tech Parameters'!$I13=0,0,-PMT(discount_rate,'Tech Parameters'!$I13,'Tech Parameters'!Q75))</f>
        <v>2075.2936335210011</v>
      </c>
      <c r="O454" s="49">
        <f>IF('Tech Parameters'!$I13=0,0,-PMT(discount_rate,'Tech Parameters'!$I13,'Tech Parameters'!R75))</f>
        <v>2068.8083409162487</v>
      </c>
      <c r="P454" s="49">
        <f>IF('Tech Parameters'!$I13=0,0,-PMT(discount_rate,'Tech Parameters'!$I13,'Tech Parameters'!S75))</f>
        <v>2062.3230483114953</v>
      </c>
      <c r="Q454" s="49">
        <f>IF('Tech Parameters'!$I13=0,0,-PMT(discount_rate,'Tech Parameters'!$I13,'Tech Parameters'!T75))</f>
        <v>2055.8377557067424</v>
      </c>
      <c r="R454" s="49">
        <f>IF('Tech Parameters'!$I13=0,0,-PMT(discount_rate,'Tech Parameters'!$I13,'Tech Parameters'!U75))</f>
        <v>2049.3524631019891</v>
      </c>
      <c r="S454" s="49">
        <f>IF('Tech Parameters'!$I13=0,0,-PMT(discount_rate,'Tech Parameters'!$I13,'Tech Parameters'!V75))</f>
        <v>2042.8671704972357</v>
      </c>
      <c r="T454" s="49">
        <f>IF('Tech Parameters'!$I13=0,0,-PMT(discount_rate,'Tech Parameters'!$I13,'Tech Parameters'!W75))</f>
        <v>2036.3818778924826</v>
      </c>
      <c r="U454" s="49">
        <f>IF('Tech Parameters'!$I13=0,0,-PMT(discount_rate,'Tech Parameters'!$I13,'Tech Parameters'!X75))</f>
        <v>2029.8965852877293</v>
      </c>
      <c r="V454" s="49">
        <f>IF('Tech Parameters'!$I13=0,0,-PMT(discount_rate,'Tech Parameters'!$I13,'Tech Parameters'!Y75))</f>
        <v>2023.4112926829762</v>
      </c>
      <c r="W454" s="49">
        <f>IF('Tech Parameters'!$I13=0,0,-PMT(discount_rate,'Tech Parameters'!$I13,'Tech Parameters'!Z75))</f>
        <v>2017.6301175610249</v>
      </c>
      <c r="X454" s="49">
        <f>IF('Tech Parameters'!$I13=0,0,-PMT(discount_rate,'Tech Parameters'!$I13,'Tech Parameters'!AA75))</f>
        <v>2011.8489424390734</v>
      </c>
      <c r="Y454" s="49">
        <f>IF('Tech Parameters'!$I13=0,0,-PMT(discount_rate,'Tech Parameters'!$I13,'Tech Parameters'!AB75))</f>
        <v>2006.0677673171222</v>
      </c>
      <c r="Z454" s="49">
        <f>IF('Tech Parameters'!$I13=0,0,-PMT(discount_rate,'Tech Parameters'!$I13,'Tech Parameters'!AC75))</f>
        <v>2000.2865921951711</v>
      </c>
      <c r="AA454" s="49">
        <f>IF('Tech Parameters'!$I13=0,0,-PMT(discount_rate,'Tech Parameters'!$I13,'Tech Parameters'!AD75))</f>
        <v>1994.5054170732196</v>
      </c>
      <c r="AB454" s="49">
        <f>IF('Tech Parameters'!$I13=0,0,-PMT(discount_rate,'Tech Parameters'!$I13,'Tech Parameters'!AE75))</f>
        <v>1988.7242419512684</v>
      </c>
      <c r="AC454" s="49">
        <f>IF('Tech Parameters'!$I13=0,0,-PMT(discount_rate,'Tech Parameters'!$I13,'Tech Parameters'!AF75))</f>
        <v>1982.9430668293169</v>
      </c>
      <c r="AD454" s="49">
        <f>IF('Tech Parameters'!$I13=0,0,-PMT(discount_rate,'Tech Parameters'!$I13,'Tech Parameters'!AG75))</f>
        <v>1977.1618917073654</v>
      </c>
      <c r="AE454" s="49">
        <f>IF('Tech Parameters'!$I13=0,0,-PMT(discount_rate,'Tech Parameters'!$I13,'Tech Parameters'!AH75))</f>
        <v>1971.3807165854139</v>
      </c>
      <c r="AF454" s="49">
        <f>IF('Tech Parameters'!$I13=0,0,-PMT(discount_rate,'Tech Parameters'!$I13,'Tech Parameters'!AI75))</f>
        <v>1965.5995414634624</v>
      </c>
      <c r="AG454" s="49">
        <f>IF('Tech Parameters'!$I13=0,0,-PMT(discount_rate,'Tech Parameters'!$I13,'Tech Parameters'!AJ75))</f>
        <v>1959.8183663415107</v>
      </c>
      <c r="AH454" s="49">
        <f>IF('Tech Parameters'!$I13=0,0,-PMT(discount_rate,'Tech Parameters'!$I13,'Tech Parameters'!AK75))</f>
        <v>1954.0371912195599</v>
      </c>
      <c r="AI454" s="49">
        <f>IF('Tech Parameters'!$I13=0,0,-PMT(discount_rate,'Tech Parameters'!$I13,'Tech Parameters'!AL75))</f>
        <v>1948.2560160976084</v>
      </c>
      <c r="AJ454" s="49">
        <f>IF('Tech Parameters'!$I13=0,0,-PMT(discount_rate,'Tech Parameters'!$I13,'Tech Parameters'!AM75))</f>
        <v>1942.4748409756569</v>
      </c>
      <c r="AK454" s="49">
        <f>IF('Tech Parameters'!$I13=0,0,-PMT(discount_rate,'Tech Parameters'!$I13,'Tech Parameters'!AN75))</f>
        <v>1938.9430685375194</v>
      </c>
      <c r="AL454" s="49">
        <f>IF('Tech Parameters'!$I13=0,0,-PMT(discount_rate,'Tech Parameters'!$I13,'Tech Parameters'!AO75))</f>
        <v>1935.4112960993823</v>
      </c>
      <c r="AM454" s="49">
        <f>IF('Tech Parameters'!$I13=0,0,-PMT(discount_rate,'Tech Parameters'!$I13,'Tech Parameters'!AP75))</f>
        <v>1931.8795236612448</v>
      </c>
      <c r="AN454" s="49">
        <f>IF('Tech Parameters'!$I13=0,0,-PMT(discount_rate,'Tech Parameters'!$I13,'Tech Parameters'!AQ75))</f>
        <v>1928.347751223107</v>
      </c>
      <c r="AO454" s="49">
        <f>IF('Tech Parameters'!$I13=0,0,-PMT(discount_rate,'Tech Parameters'!$I13,'Tech Parameters'!AR75))</f>
        <v>1924.8159787849695</v>
      </c>
      <c r="AP454" s="49">
        <f>IF('Tech Parameters'!$I13=0,0,-PMT(discount_rate,'Tech Parameters'!$I13,'Tech Parameters'!AS75))</f>
        <v>1921.2842063468315</v>
      </c>
      <c r="AQ454" s="49">
        <f>IF('Tech Parameters'!$I13=0,0,-PMT(discount_rate,'Tech Parameters'!$I13,'Tech Parameters'!AT75))</f>
        <v>1917.752433908694</v>
      </c>
      <c r="AR454" s="49">
        <f>IF('Tech Parameters'!$I13=0,0,-PMT(discount_rate,'Tech Parameters'!$I13,'Tech Parameters'!AU75))</f>
        <v>1914.2206614705569</v>
      </c>
      <c r="AS454" s="49">
        <f>IF('Tech Parameters'!$I13=0,0,-PMT(discount_rate,'Tech Parameters'!$I13,'Tech Parameters'!AV75))</f>
        <v>1910.6888890324192</v>
      </c>
      <c r="AT454" s="49">
        <f>IF('Tech Parameters'!$I13=0,0,-PMT(discount_rate,'Tech Parameters'!$I13,'Tech Parameters'!AW75))</f>
        <v>1907.1571165942817</v>
      </c>
      <c r="AU454" s="49">
        <f>IF('Tech Parameters'!$I13=0,0,-PMT(discount_rate,'Tech Parameters'!$I13,'Tech Parameters'!AX75))</f>
        <v>1903.6253441561441</v>
      </c>
      <c r="AV454" s="49">
        <f>IF('Tech Parameters'!$I13=0,0,-PMT(discount_rate,'Tech Parameters'!$I13,'Tech Parameters'!AY75))</f>
        <v>1900.0935717180064</v>
      </c>
      <c r="AW454" s="49">
        <f>IF('Tech Parameters'!$I13=0,0,-PMT(discount_rate,'Tech Parameters'!$I13,'Tech Parameters'!AZ75))</f>
        <v>1896.5617992798689</v>
      </c>
    </row>
    <row r="455" spans="3:49">
      <c r="C455" t="str">
        <f t="shared" si="217"/>
        <v xml:space="preserve">Wind 30% </v>
      </c>
      <c r="D455" s="49">
        <f>IF('Tech Parameters'!$I14=0,0,-PMT(discount_rate,'Tech Parameters'!$I14,'Tech Parameters'!G76))</f>
        <v>0</v>
      </c>
      <c r="E455" s="49">
        <f>IF('Tech Parameters'!$I14=0,0,-PMT(discount_rate,'Tech Parameters'!$I14,'Tech Parameters'!H76))</f>
        <v>0</v>
      </c>
      <c r="F455" s="49">
        <f>IF('Tech Parameters'!$I14=0,0,-PMT(discount_rate,'Tech Parameters'!$I14,'Tech Parameters'!I76))</f>
        <v>1929.1112240017158</v>
      </c>
      <c r="G455" s="49">
        <f>IF('Tech Parameters'!$I14=0,0,-PMT(discount_rate,'Tech Parameters'!$I14,'Tech Parameters'!J76))</f>
        <v>1929.1112240017158</v>
      </c>
      <c r="H455" s="49">
        <f>IF('Tech Parameters'!$I14=0,0,-PMT(discount_rate,'Tech Parameters'!$I14,'Tech Parameters'!K76))</f>
        <v>1880.8834434016726</v>
      </c>
      <c r="I455" s="49">
        <f>IF('Tech Parameters'!$I14=0,0,-PMT(discount_rate,'Tech Parameters'!$I14,'Tech Parameters'!L76))</f>
        <v>1832.6556628016301</v>
      </c>
      <c r="J455" s="49">
        <f>IF('Tech Parameters'!$I14=0,0,-PMT(discount_rate,'Tech Parameters'!$I14,'Tech Parameters'!M76))</f>
        <v>1784.4278822015872</v>
      </c>
      <c r="K455" s="49">
        <f>IF('Tech Parameters'!$I14=0,0,-PMT(discount_rate,'Tech Parameters'!$I14,'Tech Parameters'!N76))</f>
        <v>1736.2001016015442</v>
      </c>
      <c r="L455" s="49">
        <f>IF('Tech Parameters'!$I14=0,0,-PMT(discount_rate,'Tech Parameters'!$I14,'Tech Parameters'!O76))</f>
        <v>1692.7950990615057</v>
      </c>
      <c r="M455" s="49">
        <f>IF('Tech Parameters'!$I14=0,0,-PMT(discount_rate,'Tech Parameters'!$I14,'Tech Parameters'!P76))</f>
        <v>1649.3900965214668</v>
      </c>
      <c r="N455" s="49">
        <f>IF('Tech Parameters'!$I14=0,0,-PMT(discount_rate,'Tech Parameters'!$I14,'Tech Parameters'!Q76))</f>
        <v>1605.985093981428</v>
      </c>
      <c r="O455" s="49">
        <f>IF('Tech Parameters'!$I14=0,0,-PMT(discount_rate,'Tech Parameters'!$I14,'Tech Parameters'!R76))</f>
        <v>1562.5800914413896</v>
      </c>
      <c r="P455" s="49">
        <f>IF('Tech Parameters'!$I14=0,0,-PMT(discount_rate,'Tech Parameters'!$I14,'Tech Parameters'!S76))</f>
        <v>1531.328489612562</v>
      </c>
      <c r="Q455" s="49">
        <f>IF('Tech Parameters'!$I14=0,0,-PMT(discount_rate,'Tech Parameters'!$I14,'Tech Parameters'!T76))</f>
        <v>1500.076887783734</v>
      </c>
      <c r="R455" s="49">
        <f>IF('Tech Parameters'!$I14=0,0,-PMT(discount_rate,'Tech Parameters'!$I14,'Tech Parameters'!U76))</f>
        <v>1468.8252859549066</v>
      </c>
      <c r="S455" s="49">
        <f>IF('Tech Parameters'!$I14=0,0,-PMT(discount_rate,'Tech Parameters'!$I14,'Tech Parameters'!V76))</f>
        <v>1437.5736841260787</v>
      </c>
      <c r="T455" s="49">
        <f>IF('Tech Parameters'!$I14=0,0,-PMT(discount_rate,'Tech Parameters'!$I14,'Tech Parameters'!W76))</f>
        <v>1406.3220822972507</v>
      </c>
      <c r="U455" s="49">
        <f>IF('Tech Parameters'!$I14=0,0,-PMT(discount_rate,'Tech Parameters'!$I14,'Tech Parameters'!X76))</f>
        <v>1398.0495994602084</v>
      </c>
      <c r="V455" s="49">
        <f>IF('Tech Parameters'!$I14=0,0,-PMT(discount_rate,'Tech Parameters'!$I14,'Tech Parameters'!Y76))</f>
        <v>1389.7771166231655</v>
      </c>
      <c r="W455" s="49">
        <f>IF('Tech Parameters'!$I14=0,0,-PMT(discount_rate,'Tech Parameters'!$I14,'Tech Parameters'!Z76))</f>
        <v>1381.5046337861231</v>
      </c>
      <c r="X455" s="49">
        <f>IF('Tech Parameters'!$I14=0,0,-PMT(discount_rate,'Tech Parameters'!$I14,'Tech Parameters'!AA76))</f>
        <v>1373.2321509490807</v>
      </c>
      <c r="Y455" s="49">
        <f>IF('Tech Parameters'!$I14=0,0,-PMT(discount_rate,'Tech Parameters'!$I14,'Tech Parameters'!AB76))</f>
        <v>1364.9596681120374</v>
      </c>
      <c r="Z455" s="49">
        <f>IF('Tech Parameters'!$I14=0,0,-PMT(discount_rate,'Tech Parameters'!$I14,'Tech Parameters'!AC76))</f>
        <v>1356.6871852749953</v>
      </c>
      <c r="AA455" s="49">
        <f>IF('Tech Parameters'!$I14=0,0,-PMT(discount_rate,'Tech Parameters'!$I14,'Tech Parameters'!AD76))</f>
        <v>1348.4147024379527</v>
      </c>
      <c r="AB455" s="49">
        <f>IF('Tech Parameters'!$I14=0,0,-PMT(discount_rate,'Tech Parameters'!$I14,'Tech Parameters'!AE76))</f>
        <v>1340.1422196009098</v>
      </c>
      <c r="AC455" s="49">
        <f>IF('Tech Parameters'!$I14=0,0,-PMT(discount_rate,'Tech Parameters'!$I14,'Tech Parameters'!AF76))</f>
        <v>1331.8697367638672</v>
      </c>
      <c r="AD455" s="49">
        <f>IF('Tech Parameters'!$I14=0,0,-PMT(discount_rate,'Tech Parameters'!$I14,'Tech Parameters'!AG76))</f>
        <v>1323.5972539268246</v>
      </c>
      <c r="AE455" s="49">
        <f>IF('Tech Parameters'!$I14=0,0,-PMT(discount_rate,'Tech Parameters'!$I14,'Tech Parameters'!AH76))</f>
        <v>1315.3247710897817</v>
      </c>
      <c r="AF455" s="49">
        <f>IF('Tech Parameters'!$I14=0,0,-PMT(discount_rate,'Tech Parameters'!$I14,'Tech Parameters'!AI76))</f>
        <v>1307.0522882527391</v>
      </c>
      <c r="AG455" s="49">
        <f>IF('Tech Parameters'!$I14=0,0,-PMT(discount_rate,'Tech Parameters'!$I14,'Tech Parameters'!AJ76))</f>
        <v>1298.7798054156965</v>
      </c>
      <c r="AH455" s="49">
        <f>IF('Tech Parameters'!$I14=0,0,-PMT(discount_rate,'Tech Parameters'!$I14,'Tech Parameters'!AK76))</f>
        <v>1290.5073225786539</v>
      </c>
      <c r="AI455" s="49">
        <f>IF('Tech Parameters'!$I14=0,0,-PMT(discount_rate,'Tech Parameters'!$I14,'Tech Parameters'!AL76))</f>
        <v>1282.2348397416115</v>
      </c>
      <c r="AJ455" s="49">
        <f>IF('Tech Parameters'!$I14=0,0,-PMT(discount_rate,'Tech Parameters'!$I14,'Tech Parameters'!AM76))</f>
        <v>1273.9623569045682</v>
      </c>
      <c r="AK455" s="49">
        <f>IF('Tech Parameters'!$I14=0,0,-PMT(discount_rate,'Tech Parameters'!$I14,'Tech Parameters'!AN76))</f>
        <v>1265.689874067526</v>
      </c>
      <c r="AL455" s="49">
        <f>IF('Tech Parameters'!$I14=0,0,-PMT(discount_rate,'Tech Parameters'!$I14,'Tech Parameters'!AO76))</f>
        <v>1265.689874067526</v>
      </c>
      <c r="AM455" s="49">
        <f>IF('Tech Parameters'!$I14=0,0,-PMT(discount_rate,'Tech Parameters'!$I14,'Tech Parameters'!AP76))</f>
        <v>1265.689874067526</v>
      </c>
      <c r="AN455" s="49">
        <f>IF('Tech Parameters'!$I14=0,0,-PMT(discount_rate,'Tech Parameters'!$I14,'Tech Parameters'!AQ76))</f>
        <v>1265.689874067526</v>
      </c>
      <c r="AO455" s="49">
        <f>IF('Tech Parameters'!$I14=0,0,-PMT(discount_rate,'Tech Parameters'!$I14,'Tech Parameters'!AR76))</f>
        <v>1265.689874067526</v>
      </c>
      <c r="AP455" s="49">
        <f>IF('Tech Parameters'!$I14=0,0,-PMT(discount_rate,'Tech Parameters'!$I14,'Tech Parameters'!AS76))</f>
        <v>1265.689874067526</v>
      </c>
      <c r="AQ455" s="49">
        <f>IF('Tech Parameters'!$I14=0,0,-PMT(discount_rate,'Tech Parameters'!$I14,'Tech Parameters'!AT76))</f>
        <v>1265.689874067526</v>
      </c>
      <c r="AR455" s="49">
        <f>IF('Tech Parameters'!$I14=0,0,-PMT(discount_rate,'Tech Parameters'!$I14,'Tech Parameters'!AU76))</f>
        <v>1265.689874067526</v>
      </c>
      <c r="AS455" s="49">
        <f>IF('Tech Parameters'!$I14=0,0,-PMT(discount_rate,'Tech Parameters'!$I14,'Tech Parameters'!AV76))</f>
        <v>1265.689874067526</v>
      </c>
      <c r="AT455" s="49">
        <f>IF('Tech Parameters'!$I14=0,0,-PMT(discount_rate,'Tech Parameters'!$I14,'Tech Parameters'!AW76))</f>
        <v>1265.689874067526</v>
      </c>
      <c r="AU455" s="49">
        <f>IF('Tech Parameters'!$I14=0,0,-PMT(discount_rate,'Tech Parameters'!$I14,'Tech Parameters'!AX76))</f>
        <v>1265.689874067526</v>
      </c>
      <c r="AV455" s="49">
        <f>IF('Tech Parameters'!$I14=0,0,-PMT(discount_rate,'Tech Parameters'!$I14,'Tech Parameters'!AY76))</f>
        <v>1265.689874067526</v>
      </c>
      <c r="AW455" s="49">
        <f>IF('Tech Parameters'!$I14=0,0,-PMT(discount_rate,'Tech Parameters'!$I14,'Tech Parameters'!AZ76))</f>
        <v>1265.689874067526</v>
      </c>
    </row>
    <row r="456" spans="3:49">
      <c r="C456" t="str">
        <f t="shared" si="217"/>
        <v>Wind 25%</v>
      </c>
      <c r="D456" s="49">
        <f>IF('Tech Parameters'!$I15=0,0,-PMT(discount_rate,'Tech Parameters'!$I15,'Tech Parameters'!G77))</f>
        <v>0</v>
      </c>
      <c r="E456" s="49">
        <f>IF('Tech Parameters'!$I15=0,0,-PMT(discount_rate,'Tech Parameters'!$I15,'Tech Parameters'!H77))</f>
        <v>0</v>
      </c>
      <c r="F456" s="49">
        <f>IF('Tech Parameters'!$I15=0,0,-PMT(discount_rate,'Tech Parameters'!$I15,'Tech Parameters'!I77))</f>
        <v>1929.1112240017158</v>
      </c>
      <c r="G456" s="49">
        <f>IF('Tech Parameters'!$I15=0,0,-PMT(discount_rate,'Tech Parameters'!$I15,'Tech Parameters'!J77))</f>
        <v>1929.1112240017158</v>
      </c>
      <c r="H456" s="49">
        <f>IF('Tech Parameters'!$I15=0,0,-PMT(discount_rate,'Tech Parameters'!$I15,'Tech Parameters'!K77))</f>
        <v>1880.8834434016726</v>
      </c>
      <c r="I456" s="49">
        <f>IF('Tech Parameters'!$I15=0,0,-PMT(discount_rate,'Tech Parameters'!$I15,'Tech Parameters'!L77))</f>
        <v>1832.6556628016301</v>
      </c>
      <c r="J456" s="49">
        <f>IF('Tech Parameters'!$I15=0,0,-PMT(discount_rate,'Tech Parameters'!$I15,'Tech Parameters'!M77))</f>
        <v>1784.4278822015872</v>
      </c>
      <c r="K456" s="49">
        <f>IF('Tech Parameters'!$I15=0,0,-PMT(discount_rate,'Tech Parameters'!$I15,'Tech Parameters'!N77))</f>
        <v>1736.2001016015442</v>
      </c>
      <c r="L456" s="49">
        <f>IF('Tech Parameters'!$I15=0,0,-PMT(discount_rate,'Tech Parameters'!$I15,'Tech Parameters'!O77))</f>
        <v>1692.7950990615057</v>
      </c>
      <c r="M456" s="49">
        <f>IF('Tech Parameters'!$I15=0,0,-PMT(discount_rate,'Tech Parameters'!$I15,'Tech Parameters'!P77))</f>
        <v>1649.3900965214668</v>
      </c>
      <c r="N456" s="49">
        <f>IF('Tech Parameters'!$I15=0,0,-PMT(discount_rate,'Tech Parameters'!$I15,'Tech Parameters'!Q77))</f>
        <v>1605.985093981428</v>
      </c>
      <c r="O456" s="49">
        <f>IF('Tech Parameters'!$I15=0,0,-PMT(discount_rate,'Tech Parameters'!$I15,'Tech Parameters'!R77))</f>
        <v>1562.5800914413896</v>
      </c>
      <c r="P456" s="49">
        <f>IF('Tech Parameters'!$I15=0,0,-PMT(discount_rate,'Tech Parameters'!$I15,'Tech Parameters'!S77))</f>
        <v>1531.328489612562</v>
      </c>
      <c r="Q456" s="49">
        <f>IF('Tech Parameters'!$I15=0,0,-PMT(discount_rate,'Tech Parameters'!$I15,'Tech Parameters'!T77))</f>
        <v>1500.076887783734</v>
      </c>
      <c r="R456" s="49">
        <f>IF('Tech Parameters'!$I15=0,0,-PMT(discount_rate,'Tech Parameters'!$I15,'Tech Parameters'!U77))</f>
        <v>1468.8252859549066</v>
      </c>
      <c r="S456" s="49">
        <f>IF('Tech Parameters'!$I15=0,0,-PMT(discount_rate,'Tech Parameters'!$I15,'Tech Parameters'!V77))</f>
        <v>1437.5736841260787</v>
      </c>
      <c r="T456" s="49">
        <f>IF('Tech Parameters'!$I15=0,0,-PMT(discount_rate,'Tech Parameters'!$I15,'Tech Parameters'!W77))</f>
        <v>1406.3220822972507</v>
      </c>
      <c r="U456" s="49">
        <f>IF('Tech Parameters'!$I15=0,0,-PMT(discount_rate,'Tech Parameters'!$I15,'Tech Parameters'!X77))</f>
        <v>1398.0495994602084</v>
      </c>
      <c r="V456" s="49">
        <f>IF('Tech Parameters'!$I15=0,0,-PMT(discount_rate,'Tech Parameters'!$I15,'Tech Parameters'!Y77))</f>
        <v>1389.7771166231655</v>
      </c>
      <c r="W456" s="49">
        <f>IF('Tech Parameters'!$I15=0,0,-PMT(discount_rate,'Tech Parameters'!$I15,'Tech Parameters'!Z77))</f>
        <v>1381.5046337861231</v>
      </c>
      <c r="X456" s="49">
        <f>IF('Tech Parameters'!$I15=0,0,-PMT(discount_rate,'Tech Parameters'!$I15,'Tech Parameters'!AA77))</f>
        <v>1373.2321509490807</v>
      </c>
      <c r="Y456" s="49">
        <f>IF('Tech Parameters'!$I15=0,0,-PMT(discount_rate,'Tech Parameters'!$I15,'Tech Parameters'!AB77))</f>
        <v>1364.9596681120374</v>
      </c>
      <c r="Z456" s="49">
        <f>IF('Tech Parameters'!$I15=0,0,-PMT(discount_rate,'Tech Parameters'!$I15,'Tech Parameters'!AC77))</f>
        <v>1356.6871852749953</v>
      </c>
      <c r="AA456" s="49">
        <f>IF('Tech Parameters'!$I15=0,0,-PMT(discount_rate,'Tech Parameters'!$I15,'Tech Parameters'!AD77))</f>
        <v>1348.4147024379527</v>
      </c>
      <c r="AB456" s="49">
        <f>IF('Tech Parameters'!$I15=0,0,-PMT(discount_rate,'Tech Parameters'!$I15,'Tech Parameters'!AE77))</f>
        <v>1340.1422196009098</v>
      </c>
      <c r="AC456" s="49">
        <f>IF('Tech Parameters'!$I15=0,0,-PMT(discount_rate,'Tech Parameters'!$I15,'Tech Parameters'!AF77))</f>
        <v>1331.8697367638672</v>
      </c>
      <c r="AD456" s="49">
        <f>IF('Tech Parameters'!$I15=0,0,-PMT(discount_rate,'Tech Parameters'!$I15,'Tech Parameters'!AG77))</f>
        <v>1323.5972539268246</v>
      </c>
      <c r="AE456" s="49">
        <f>IF('Tech Parameters'!$I15=0,0,-PMT(discount_rate,'Tech Parameters'!$I15,'Tech Parameters'!AH77))</f>
        <v>1315.3247710897817</v>
      </c>
      <c r="AF456" s="49">
        <f>IF('Tech Parameters'!$I15=0,0,-PMT(discount_rate,'Tech Parameters'!$I15,'Tech Parameters'!AI77))</f>
        <v>1307.0522882527391</v>
      </c>
      <c r="AG456" s="49">
        <f>IF('Tech Parameters'!$I15=0,0,-PMT(discount_rate,'Tech Parameters'!$I15,'Tech Parameters'!AJ77))</f>
        <v>1298.7798054156965</v>
      </c>
      <c r="AH456" s="49">
        <f>IF('Tech Parameters'!$I15=0,0,-PMT(discount_rate,'Tech Parameters'!$I15,'Tech Parameters'!AK77))</f>
        <v>1290.5073225786539</v>
      </c>
      <c r="AI456" s="49">
        <f>IF('Tech Parameters'!$I15=0,0,-PMT(discount_rate,'Tech Parameters'!$I15,'Tech Parameters'!AL77))</f>
        <v>1282.2348397416115</v>
      </c>
      <c r="AJ456" s="49">
        <f>IF('Tech Parameters'!$I15=0,0,-PMT(discount_rate,'Tech Parameters'!$I15,'Tech Parameters'!AM77))</f>
        <v>1273.9623569045682</v>
      </c>
      <c r="AK456" s="49">
        <f>IF('Tech Parameters'!$I15=0,0,-PMT(discount_rate,'Tech Parameters'!$I15,'Tech Parameters'!AN77))</f>
        <v>1265.689874067526</v>
      </c>
      <c r="AL456" s="49">
        <f>IF('Tech Parameters'!$I15=0,0,-PMT(discount_rate,'Tech Parameters'!$I15,'Tech Parameters'!AO77))</f>
        <v>1265.689874067526</v>
      </c>
      <c r="AM456" s="49">
        <f>IF('Tech Parameters'!$I15=0,0,-PMT(discount_rate,'Tech Parameters'!$I15,'Tech Parameters'!AP77))</f>
        <v>1265.689874067526</v>
      </c>
      <c r="AN456" s="49">
        <f>IF('Tech Parameters'!$I15=0,0,-PMT(discount_rate,'Tech Parameters'!$I15,'Tech Parameters'!AQ77))</f>
        <v>1265.689874067526</v>
      </c>
      <c r="AO456" s="49">
        <f>IF('Tech Parameters'!$I15=0,0,-PMT(discount_rate,'Tech Parameters'!$I15,'Tech Parameters'!AR77))</f>
        <v>1265.689874067526</v>
      </c>
      <c r="AP456" s="49">
        <f>IF('Tech Parameters'!$I15=0,0,-PMT(discount_rate,'Tech Parameters'!$I15,'Tech Parameters'!AS77))</f>
        <v>1265.689874067526</v>
      </c>
      <c r="AQ456" s="49">
        <f>IF('Tech Parameters'!$I15=0,0,-PMT(discount_rate,'Tech Parameters'!$I15,'Tech Parameters'!AT77))</f>
        <v>1265.689874067526</v>
      </c>
      <c r="AR456" s="49">
        <f>IF('Tech Parameters'!$I15=0,0,-PMT(discount_rate,'Tech Parameters'!$I15,'Tech Parameters'!AU77))</f>
        <v>1265.689874067526</v>
      </c>
      <c r="AS456" s="49">
        <f>IF('Tech Parameters'!$I15=0,0,-PMT(discount_rate,'Tech Parameters'!$I15,'Tech Parameters'!AV77))</f>
        <v>1265.689874067526</v>
      </c>
      <c r="AT456" s="49">
        <f>IF('Tech Parameters'!$I15=0,0,-PMT(discount_rate,'Tech Parameters'!$I15,'Tech Parameters'!AW77))</f>
        <v>1265.689874067526</v>
      </c>
      <c r="AU456" s="49">
        <f>IF('Tech Parameters'!$I15=0,0,-PMT(discount_rate,'Tech Parameters'!$I15,'Tech Parameters'!AX77))</f>
        <v>1265.689874067526</v>
      </c>
      <c r="AV456" s="49">
        <f>IF('Tech Parameters'!$I15=0,0,-PMT(discount_rate,'Tech Parameters'!$I15,'Tech Parameters'!AY77))</f>
        <v>1265.689874067526</v>
      </c>
      <c r="AW456" s="49">
        <f>IF('Tech Parameters'!$I15=0,0,-PMT(discount_rate,'Tech Parameters'!$I15,'Tech Parameters'!AZ77))</f>
        <v>1265.689874067526</v>
      </c>
    </row>
    <row r="457" spans="3:49">
      <c r="C457" t="str">
        <f t="shared" si="217"/>
        <v>solar thermal central reciever</v>
      </c>
      <c r="D457" s="49">
        <f>IF('Tech Parameters'!$I16=0,0,-PMT(discount_rate,'Tech Parameters'!$I16,'Tech Parameters'!G78))</f>
        <v>0</v>
      </c>
      <c r="E457" s="49">
        <f>IF('Tech Parameters'!$I16=0,0,-PMT(discount_rate,'Tech Parameters'!$I16,'Tech Parameters'!H78))</f>
        <v>0</v>
      </c>
      <c r="F457" s="49">
        <f>IF('Tech Parameters'!$I16=0,0,-PMT(discount_rate,'Tech Parameters'!$I16,'Tech Parameters'!I78))</f>
        <v>7156.1682961556662</v>
      </c>
      <c r="G457" s="49">
        <f>IF('Tech Parameters'!$I16=0,0,-PMT(discount_rate,'Tech Parameters'!$I16,'Tech Parameters'!J78))</f>
        <v>7156.1682961556662</v>
      </c>
      <c r="H457" s="49">
        <f>IF('Tech Parameters'!$I16=0,0,-PMT(discount_rate,'Tech Parameters'!$I16,'Tech Parameters'!K78))</f>
        <v>6977.2640887517746</v>
      </c>
      <c r="I457" s="49">
        <f>IF('Tech Parameters'!$I16=0,0,-PMT(discount_rate,'Tech Parameters'!$I16,'Tech Parameters'!L78))</f>
        <v>6798.3598813478829</v>
      </c>
      <c r="J457" s="49">
        <f>IF('Tech Parameters'!$I16=0,0,-PMT(discount_rate,'Tech Parameters'!$I16,'Tech Parameters'!M78))</f>
        <v>6619.4556739439913</v>
      </c>
      <c r="K457" s="49">
        <f>IF('Tech Parameters'!$I16=0,0,-PMT(discount_rate,'Tech Parameters'!$I16,'Tech Parameters'!N78))</f>
        <v>6440.5514665400988</v>
      </c>
      <c r="L457" s="49">
        <f>IF('Tech Parameters'!$I16=0,0,-PMT(discount_rate,'Tech Parameters'!$I16,'Tech Parameters'!O78))</f>
        <v>6261.6472591362062</v>
      </c>
      <c r="M457" s="49">
        <f>IF('Tech Parameters'!$I16=0,0,-PMT(discount_rate,'Tech Parameters'!$I16,'Tech Parameters'!P78))</f>
        <v>6082.7430517323155</v>
      </c>
      <c r="N457" s="49">
        <f>IF('Tech Parameters'!$I16=0,0,-PMT(discount_rate,'Tech Parameters'!$I16,'Tech Parameters'!Q78))</f>
        <v>5903.8388443284248</v>
      </c>
      <c r="O457" s="49">
        <f>IF('Tech Parameters'!$I16=0,0,-PMT(discount_rate,'Tech Parameters'!$I16,'Tech Parameters'!R78))</f>
        <v>5724.9346369245322</v>
      </c>
      <c r="P457" s="49">
        <f>IF('Tech Parameters'!$I16=0,0,-PMT(discount_rate,'Tech Parameters'!$I16,'Tech Parameters'!S78))</f>
        <v>5581.8112710014211</v>
      </c>
      <c r="Q457" s="49">
        <f>IF('Tech Parameters'!$I16=0,0,-PMT(discount_rate,'Tech Parameters'!$I16,'Tech Parameters'!T78))</f>
        <v>5438.6879050783073</v>
      </c>
      <c r="R457" s="49">
        <f>IF('Tech Parameters'!$I16=0,0,-PMT(discount_rate,'Tech Parameters'!$I16,'Tech Parameters'!U78))</f>
        <v>5295.5645391551943</v>
      </c>
      <c r="S457" s="49">
        <f>IF('Tech Parameters'!$I16=0,0,-PMT(discount_rate,'Tech Parameters'!$I16,'Tech Parameters'!V78))</f>
        <v>5152.4411732320796</v>
      </c>
      <c r="T457" s="49">
        <f>IF('Tech Parameters'!$I16=0,0,-PMT(discount_rate,'Tech Parameters'!$I16,'Tech Parameters'!W78))</f>
        <v>5009.3178073089666</v>
      </c>
      <c r="U457" s="49">
        <f>IF('Tech Parameters'!$I16=0,0,-PMT(discount_rate,'Tech Parameters'!$I16,'Tech Parameters'!X78))</f>
        <v>4866.1944413858528</v>
      </c>
      <c r="V457" s="49">
        <f>IF('Tech Parameters'!$I16=0,0,-PMT(discount_rate,'Tech Parameters'!$I16,'Tech Parameters'!Y78))</f>
        <v>4723.0710754627389</v>
      </c>
      <c r="W457" s="49">
        <f>IF('Tech Parameters'!$I16=0,0,-PMT(discount_rate,'Tech Parameters'!$I16,'Tech Parameters'!Z78))</f>
        <v>4579.9477095396278</v>
      </c>
      <c r="X457" s="49">
        <f>IF('Tech Parameters'!$I16=0,0,-PMT(discount_rate,'Tech Parameters'!$I16,'Tech Parameters'!AA78))</f>
        <v>4449.0920606956379</v>
      </c>
      <c r="Y457" s="49">
        <f>IF('Tech Parameters'!$I16=0,0,-PMT(discount_rate,'Tech Parameters'!$I16,'Tech Parameters'!AB78))</f>
        <v>4318.2364118516489</v>
      </c>
      <c r="Z457" s="49">
        <f>IF('Tech Parameters'!$I16=0,0,-PMT(discount_rate,'Tech Parameters'!$I16,'Tech Parameters'!AC78))</f>
        <v>4187.380763007659</v>
      </c>
      <c r="AA457" s="49">
        <f>IF('Tech Parameters'!$I16=0,0,-PMT(discount_rate,'Tech Parameters'!$I16,'Tech Parameters'!AD78))</f>
        <v>4056.5251141636691</v>
      </c>
      <c r="AB457" s="49">
        <f>IF('Tech Parameters'!$I16=0,0,-PMT(discount_rate,'Tech Parameters'!$I16,'Tech Parameters'!AE78))</f>
        <v>3925.669465319681</v>
      </c>
      <c r="AC457" s="49">
        <f>IF('Tech Parameters'!$I16=0,0,-PMT(discount_rate,'Tech Parameters'!$I16,'Tech Parameters'!AF78))</f>
        <v>3794.8138164756911</v>
      </c>
      <c r="AD457" s="49">
        <f>IF('Tech Parameters'!$I16=0,0,-PMT(discount_rate,'Tech Parameters'!$I16,'Tech Parameters'!AG78))</f>
        <v>3663.9581676317011</v>
      </c>
      <c r="AE457" s="49">
        <f>IF('Tech Parameters'!$I16=0,0,-PMT(discount_rate,'Tech Parameters'!$I16,'Tech Parameters'!AH78))</f>
        <v>3559.2736485565106</v>
      </c>
      <c r="AF457" s="49">
        <f>IF('Tech Parameters'!$I16=0,0,-PMT(discount_rate,'Tech Parameters'!$I16,'Tech Parameters'!AI78))</f>
        <v>3454.5891294813182</v>
      </c>
      <c r="AG457" s="49">
        <f>IF('Tech Parameters'!$I16=0,0,-PMT(discount_rate,'Tech Parameters'!$I16,'Tech Parameters'!AJ78))</f>
        <v>3349.9046104061267</v>
      </c>
      <c r="AH457" s="49">
        <f>IF('Tech Parameters'!$I16=0,0,-PMT(discount_rate,'Tech Parameters'!$I16,'Tech Parameters'!AK78))</f>
        <v>3245.2200913309352</v>
      </c>
      <c r="AI457" s="49">
        <f>IF('Tech Parameters'!$I16=0,0,-PMT(discount_rate,'Tech Parameters'!$I16,'Tech Parameters'!AL78))</f>
        <v>3140.5355722557447</v>
      </c>
      <c r="AJ457" s="49">
        <f>IF('Tech Parameters'!$I16=0,0,-PMT(discount_rate,'Tech Parameters'!$I16,'Tech Parameters'!AM78))</f>
        <v>3035.8510531805523</v>
      </c>
      <c r="AK457" s="49">
        <f>IF('Tech Parameters'!$I16=0,0,-PMT(discount_rate,'Tech Parameters'!$I16,'Tech Parameters'!AN78))</f>
        <v>2931.1665341053604</v>
      </c>
      <c r="AL457" s="49">
        <f>IF('Tech Parameters'!$I16=0,0,-PMT(discount_rate,'Tech Parameters'!$I16,'Tech Parameters'!AO78))</f>
        <v>2847.4189188452078</v>
      </c>
      <c r="AM457" s="49">
        <f>IF('Tech Parameters'!$I16=0,0,-PMT(discount_rate,'Tech Parameters'!$I16,'Tech Parameters'!AP78))</f>
        <v>2763.6713035850544</v>
      </c>
      <c r="AN457" s="49">
        <f>IF('Tech Parameters'!$I16=0,0,-PMT(discount_rate,'Tech Parameters'!$I16,'Tech Parameters'!AQ78))</f>
        <v>2679.9236883249018</v>
      </c>
      <c r="AO457" s="49">
        <f>IF('Tech Parameters'!$I16=0,0,-PMT(discount_rate,'Tech Parameters'!$I16,'Tech Parameters'!AR78))</f>
        <v>2596.1760730647479</v>
      </c>
      <c r="AP457" s="49">
        <f>IF('Tech Parameters'!$I16=0,0,-PMT(discount_rate,'Tech Parameters'!$I16,'Tech Parameters'!AS78))</f>
        <v>2512.4284578045949</v>
      </c>
      <c r="AQ457" s="49">
        <f>IF('Tech Parameters'!$I16=0,0,-PMT(discount_rate,'Tech Parameters'!$I16,'Tech Parameters'!AT78))</f>
        <v>2428.6808425444419</v>
      </c>
      <c r="AR457" s="49">
        <f>IF('Tech Parameters'!$I16=0,0,-PMT(discount_rate,'Tech Parameters'!$I16,'Tech Parameters'!AU78))</f>
        <v>2344.9332272842894</v>
      </c>
      <c r="AS457" s="49">
        <f>IF('Tech Parameters'!$I16=0,0,-PMT(discount_rate,'Tech Parameters'!$I16,'Tech Parameters'!AV78))</f>
        <v>2277.9351350761663</v>
      </c>
      <c r="AT457" s="49">
        <f>IF('Tech Parameters'!$I16=0,0,-PMT(discount_rate,'Tech Parameters'!$I16,'Tech Parameters'!AW78))</f>
        <v>2210.9370428680436</v>
      </c>
      <c r="AU457" s="49">
        <f>IF('Tech Parameters'!$I16=0,0,-PMT(discount_rate,'Tech Parameters'!$I16,'Tech Parameters'!AX78))</f>
        <v>2143.9389506599214</v>
      </c>
      <c r="AV457" s="49">
        <f>IF('Tech Parameters'!$I16=0,0,-PMT(discount_rate,'Tech Parameters'!$I16,'Tech Parameters'!AY78))</f>
        <v>2076.9408584517987</v>
      </c>
      <c r="AW457" s="49">
        <f>IF('Tech Parameters'!$I16=0,0,-PMT(discount_rate,'Tech Parameters'!$I16,'Tech Parameters'!AZ78))</f>
        <v>2009.9427662436763</v>
      </c>
    </row>
    <row r="458" spans="3:49">
      <c r="C458" t="str">
        <f t="shared" si="217"/>
        <v>solar thermal trough</v>
      </c>
      <c r="D458" s="49">
        <f>IF('Tech Parameters'!$I17=0,0,-PMT(discount_rate,'Tech Parameters'!$I17,'Tech Parameters'!G79))</f>
        <v>0</v>
      </c>
      <c r="E458" s="49">
        <f>IF('Tech Parameters'!$I17=0,0,-PMT(discount_rate,'Tech Parameters'!$I17,'Tech Parameters'!H79))</f>
        <v>0</v>
      </c>
      <c r="F458" s="49">
        <f>IF('Tech Parameters'!$I17=0,0,-PMT(discount_rate,'Tech Parameters'!$I17,'Tech Parameters'!I79))</f>
        <v>4770.7788641037778</v>
      </c>
      <c r="G458" s="49">
        <f>IF('Tech Parameters'!$I17=0,0,-PMT(discount_rate,'Tech Parameters'!$I17,'Tech Parameters'!J79))</f>
        <v>4770.7788641037778</v>
      </c>
      <c r="H458" s="49">
        <f>IF('Tech Parameters'!$I17=0,0,-PMT(discount_rate,'Tech Parameters'!$I17,'Tech Parameters'!K79))</f>
        <v>4681.326760401832</v>
      </c>
      <c r="I458" s="49">
        <f>IF('Tech Parameters'!$I17=0,0,-PMT(discount_rate,'Tech Parameters'!$I17,'Tech Parameters'!L79))</f>
        <v>4591.8746566998861</v>
      </c>
      <c r="J458" s="49">
        <f>IF('Tech Parameters'!$I17=0,0,-PMT(discount_rate,'Tech Parameters'!$I17,'Tech Parameters'!M79))</f>
        <v>4502.4225529979403</v>
      </c>
      <c r="K458" s="49">
        <f>IF('Tech Parameters'!$I17=0,0,-PMT(discount_rate,'Tech Parameters'!$I17,'Tech Parameters'!N79))</f>
        <v>4412.9704492959945</v>
      </c>
      <c r="L458" s="49">
        <f>IF('Tech Parameters'!$I17=0,0,-PMT(discount_rate,'Tech Parameters'!$I17,'Tech Parameters'!O79))</f>
        <v>4323.5183455940487</v>
      </c>
      <c r="M458" s="49">
        <f>IF('Tech Parameters'!$I17=0,0,-PMT(discount_rate,'Tech Parameters'!$I17,'Tech Parameters'!P79))</f>
        <v>4234.066241892102</v>
      </c>
      <c r="N458" s="49">
        <f>IF('Tech Parameters'!$I17=0,0,-PMT(discount_rate,'Tech Parameters'!$I17,'Tech Parameters'!Q79))</f>
        <v>4144.6141381901571</v>
      </c>
      <c r="O458" s="49">
        <f>IF('Tech Parameters'!$I17=0,0,-PMT(discount_rate,'Tech Parameters'!$I17,'Tech Parameters'!R79))</f>
        <v>4055.1620344882112</v>
      </c>
      <c r="P458" s="49">
        <f>IF('Tech Parameters'!$I17=0,0,-PMT(discount_rate,'Tech Parameters'!$I17,'Tech Parameters'!S79))</f>
        <v>3979.1277463415572</v>
      </c>
      <c r="Q458" s="49">
        <f>IF('Tech Parameters'!$I17=0,0,-PMT(discount_rate,'Tech Parameters'!$I17,'Tech Parameters'!T79))</f>
        <v>3903.0934581949032</v>
      </c>
      <c r="R458" s="49">
        <f>IF('Tech Parameters'!$I17=0,0,-PMT(discount_rate,'Tech Parameters'!$I17,'Tech Parameters'!U79))</f>
        <v>3827.0591700482496</v>
      </c>
      <c r="S458" s="49">
        <f>IF('Tech Parameters'!$I17=0,0,-PMT(discount_rate,'Tech Parameters'!$I17,'Tech Parameters'!V79))</f>
        <v>3751.0248819015951</v>
      </c>
      <c r="T458" s="49">
        <f>IF('Tech Parameters'!$I17=0,0,-PMT(discount_rate,'Tech Parameters'!$I17,'Tech Parameters'!W79))</f>
        <v>3674.9905937549415</v>
      </c>
      <c r="U458" s="49">
        <f>IF('Tech Parameters'!$I17=0,0,-PMT(discount_rate,'Tech Parameters'!$I17,'Tech Parameters'!X79))</f>
        <v>3598.9563056082861</v>
      </c>
      <c r="V458" s="49">
        <f>IF('Tech Parameters'!$I17=0,0,-PMT(discount_rate,'Tech Parameters'!$I17,'Tech Parameters'!Y79))</f>
        <v>3522.9220174616335</v>
      </c>
      <c r="W458" s="49">
        <f>IF('Tech Parameters'!$I17=0,0,-PMT(discount_rate,'Tech Parameters'!$I17,'Tech Parameters'!Z79))</f>
        <v>3446.8877293149803</v>
      </c>
      <c r="X458" s="49">
        <f>IF('Tech Parameters'!$I17=0,0,-PMT(discount_rate,'Tech Parameters'!$I17,'Tech Parameters'!AA79))</f>
        <v>3373.0258494010873</v>
      </c>
      <c r="Y458" s="49">
        <f>IF('Tech Parameters'!$I17=0,0,-PMT(discount_rate,'Tech Parameters'!$I17,'Tech Parameters'!AB79))</f>
        <v>3299.1639694871951</v>
      </c>
      <c r="Z458" s="49">
        <f>IF('Tech Parameters'!$I17=0,0,-PMT(discount_rate,'Tech Parameters'!$I17,'Tech Parameters'!AC79))</f>
        <v>3225.302089573303</v>
      </c>
      <c r="AA458" s="49">
        <f>IF('Tech Parameters'!$I17=0,0,-PMT(discount_rate,'Tech Parameters'!$I17,'Tech Parameters'!AD79))</f>
        <v>3151.4402096594104</v>
      </c>
      <c r="AB458" s="49">
        <f>IF('Tech Parameters'!$I17=0,0,-PMT(discount_rate,'Tech Parameters'!$I17,'Tech Parameters'!AE79))</f>
        <v>3077.5783297455173</v>
      </c>
      <c r="AC458" s="49">
        <f>IF('Tech Parameters'!$I17=0,0,-PMT(discount_rate,'Tech Parameters'!$I17,'Tech Parameters'!AF79))</f>
        <v>3003.7164498316251</v>
      </c>
      <c r="AD458" s="49">
        <f>IF('Tech Parameters'!$I17=0,0,-PMT(discount_rate,'Tech Parameters'!$I17,'Tech Parameters'!AG79))</f>
        <v>2929.8545699177325</v>
      </c>
      <c r="AE458" s="49">
        <f>IF('Tech Parameters'!$I17=0,0,-PMT(discount_rate,'Tech Parameters'!$I17,'Tech Parameters'!AH79))</f>
        <v>2867.0719719909248</v>
      </c>
      <c r="AF458" s="49">
        <f>IF('Tech Parameters'!$I17=0,0,-PMT(discount_rate,'Tech Parameters'!$I17,'Tech Parameters'!AI79))</f>
        <v>2804.2893740641161</v>
      </c>
      <c r="AG458" s="49">
        <f>IF('Tech Parameters'!$I17=0,0,-PMT(discount_rate,'Tech Parameters'!$I17,'Tech Parameters'!AJ79))</f>
        <v>2741.5067761373075</v>
      </c>
      <c r="AH458" s="49">
        <f>IF('Tech Parameters'!$I17=0,0,-PMT(discount_rate,'Tech Parameters'!$I17,'Tech Parameters'!AK79))</f>
        <v>2678.7241782104988</v>
      </c>
      <c r="AI458" s="49">
        <f>IF('Tech Parameters'!$I17=0,0,-PMT(discount_rate,'Tech Parameters'!$I17,'Tech Parameters'!AL79))</f>
        <v>2615.9415802836902</v>
      </c>
      <c r="AJ458" s="49">
        <f>IF('Tech Parameters'!$I17=0,0,-PMT(discount_rate,'Tech Parameters'!$I17,'Tech Parameters'!AM79))</f>
        <v>2553.1589823568816</v>
      </c>
      <c r="AK458" s="49">
        <f>IF('Tech Parameters'!$I17=0,0,-PMT(discount_rate,'Tech Parameters'!$I17,'Tech Parameters'!AN79))</f>
        <v>2490.3763844300729</v>
      </c>
      <c r="AL458" s="49">
        <f>IF('Tech Parameters'!$I17=0,0,-PMT(discount_rate,'Tech Parameters'!$I17,'Tech Parameters'!AO79))</f>
        <v>2443.6818272220085</v>
      </c>
      <c r="AM458" s="49">
        <f>IF('Tech Parameters'!$I17=0,0,-PMT(discount_rate,'Tech Parameters'!$I17,'Tech Parameters'!AP79))</f>
        <v>2396.9872700139449</v>
      </c>
      <c r="AN458" s="49">
        <f>IF('Tech Parameters'!$I17=0,0,-PMT(discount_rate,'Tech Parameters'!$I17,'Tech Parameters'!AQ79))</f>
        <v>2350.2927128058805</v>
      </c>
      <c r="AO458" s="49">
        <f>IF('Tech Parameters'!$I17=0,0,-PMT(discount_rate,'Tech Parameters'!$I17,'Tech Parameters'!AR79))</f>
        <v>2303.5981555978165</v>
      </c>
      <c r="AP458" s="49">
        <f>IF('Tech Parameters'!$I17=0,0,-PMT(discount_rate,'Tech Parameters'!$I17,'Tech Parameters'!AS79))</f>
        <v>2256.9035983897529</v>
      </c>
      <c r="AQ458" s="49">
        <f>IF('Tech Parameters'!$I17=0,0,-PMT(discount_rate,'Tech Parameters'!$I17,'Tech Parameters'!AT79))</f>
        <v>2210.2090411816894</v>
      </c>
      <c r="AR458" s="49">
        <f>IF('Tech Parameters'!$I17=0,0,-PMT(discount_rate,'Tech Parameters'!$I17,'Tech Parameters'!AU79))</f>
        <v>2163.5144839736249</v>
      </c>
      <c r="AS458" s="49">
        <f>IF('Tech Parameters'!$I17=0,0,-PMT(discount_rate,'Tech Parameters'!$I17,'Tech Parameters'!AV79))</f>
        <v>2116.8199267655618</v>
      </c>
      <c r="AT458" s="49">
        <f>IF('Tech Parameters'!$I17=0,0,-PMT(discount_rate,'Tech Parameters'!$I17,'Tech Parameters'!AW79))</f>
        <v>2077.1295531387068</v>
      </c>
      <c r="AU458" s="49">
        <f>IF('Tech Parameters'!$I17=0,0,-PMT(discount_rate,'Tech Parameters'!$I17,'Tech Parameters'!AX79))</f>
        <v>2037.4391795118529</v>
      </c>
      <c r="AV458" s="49">
        <f>IF('Tech Parameters'!$I17=0,0,-PMT(discount_rate,'Tech Parameters'!$I17,'Tech Parameters'!AY79))</f>
        <v>1997.748805884999</v>
      </c>
      <c r="AW458" s="49">
        <f>IF('Tech Parameters'!$I17=0,0,-PMT(discount_rate,'Tech Parameters'!$I17,'Tech Parameters'!AZ79))</f>
        <v>1958.0584322581446</v>
      </c>
    </row>
    <row r="459" spans="3:49">
      <c r="C459" t="str">
        <f t="shared" si="217"/>
        <v>solar PV</v>
      </c>
      <c r="D459" s="49">
        <f>IF('Tech Parameters'!$I18=0,0,-PMT(discount_rate,'Tech Parameters'!$I18,'Tech Parameters'!G80))</f>
        <v>0</v>
      </c>
      <c r="E459" s="49">
        <f>IF('Tech Parameters'!$I18=0,0,-PMT(discount_rate,'Tech Parameters'!$I18,'Tech Parameters'!H80))</f>
        <v>0</v>
      </c>
      <c r="F459" s="49">
        <f>IF('Tech Parameters'!$I18=0,0,-PMT(discount_rate,'Tech Parameters'!$I18,'Tech Parameters'!I80))</f>
        <v>6579.2081446208786</v>
      </c>
      <c r="G459" s="49">
        <f>IF('Tech Parameters'!$I18=0,0,-PMT(discount_rate,'Tech Parameters'!$I18,'Tech Parameters'!J80))</f>
        <v>6579.2081446208786</v>
      </c>
      <c r="H459" s="49">
        <f>IF('Tech Parameters'!$I18=0,0,-PMT(discount_rate,'Tech Parameters'!$I18,'Tech Parameters'!K80))</f>
        <v>5987.0794116049974</v>
      </c>
      <c r="I459" s="49">
        <f>IF('Tech Parameters'!$I18=0,0,-PMT(discount_rate,'Tech Parameters'!$I18,'Tech Parameters'!L80))</f>
        <v>5394.9506785891208</v>
      </c>
      <c r="J459" s="49">
        <f>IF('Tech Parameters'!$I18=0,0,-PMT(discount_rate,'Tech Parameters'!$I18,'Tech Parameters'!M80))</f>
        <v>5071.2536378737723</v>
      </c>
      <c r="K459" s="49">
        <f>IF('Tech Parameters'!$I18=0,0,-PMT(discount_rate,'Tech Parameters'!$I18,'Tech Parameters'!N80))</f>
        <v>4747.5565971584256</v>
      </c>
      <c r="L459" s="49">
        <f>IF('Tech Parameters'!$I18=0,0,-PMT(discount_rate,'Tech Parameters'!$I18,'Tech Parameters'!O80))</f>
        <v>4423.8595564430789</v>
      </c>
      <c r="M459" s="49">
        <f>IF('Tech Parameters'!$I18=0,0,-PMT(discount_rate,'Tech Parameters'!$I18,'Tech Parameters'!P80))</f>
        <v>4025.712196363203</v>
      </c>
      <c r="N459" s="49">
        <f>IF('Tech Parameters'!$I18=0,0,-PMT(discount_rate,'Tech Parameters'!$I18,'Tech Parameters'!Q80))</f>
        <v>3627.564836283324</v>
      </c>
      <c r="O459" s="49">
        <f>IF('Tech Parameters'!$I18=0,0,-PMT(discount_rate,'Tech Parameters'!$I18,'Tech Parameters'!R80))</f>
        <v>3409.9109461063249</v>
      </c>
      <c r="P459" s="49">
        <f>IF('Tech Parameters'!$I18=0,0,-PMT(discount_rate,'Tech Parameters'!$I18,'Tech Parameters'!S80))</f>
        <v>3192.2570559293249</v>
      </c>
      <c r="Q459" s="49">
        <f>IF('Tech Parameters'!$I18=0,0,-PMT(discount_rate,'Tech Parameters'!$I18,'Tech Parameters'!T80))</f>
        <v>2974.6031657523263</v>
      </c>
      <c r="R459" s="49">
        <f>IF('Tech Parameters'!$I18=0,0,-PMT(discount_rate,'Tech Parameters'!$I18,'Tech Parameters'!U80))</f>
        <v>2796.1269758071871</v>
      </c>
      <c r="S459" s="49">
        <f>IF('Tech Parameters'!$I18=0,0,-PMT(discount_rate,'Tech Parameters'!$I18,'Tech Parameters'!V80))</f>
        <v>2617.6507858620466</v>
      </c>
      <c r="T459" s="49">
        <f>IF('Tech Parameters'!$I18=0,0,-PMT(discount_rate,'Tech Parameters'!$I18,'Tech Parameters'!W80))</f>
        <v>2439.1745959169079</v>
      </c>
      <c r="U459" s="49">
        <f>IF('Tech Parameters'!$I18=0,0,-PMT(discount_rate,'Tech Parameters'!$I18,'Tech Parameters'!X80))</f>
        <v>2329.4117391006475</v>
      </c>
      <c r="V459" s="49">
        <f>IF('Tech Parameters'!$I18=0,0,-PMT(discount_rate,'Tech Parameters'!$I18,'Tech Parameters'!Y80))</f>
        <v>2219.6488822843862</v>
      </c>
      <c r="W459" s="49">
        <f>IF('Tech Parameters'!$I18=0,0,-PMT(discount_rate,'Tech Parameters'!$I18,'Tech Parameters'!Z80))</f>
        <v>2109.8860254681258</v>
      </c>
      <c r="X459" s="49">
        <f>IF('Tech Parameters'!$I18=0,0,-PMT(discount_rate,'Tech Parameters'!$I18,'Tech Parameters'!AA80))</f>
        <v>2000.1231686518647</v>
      </c>
      <c r="Y459" s="49">
        <f>IF('Tech Parameters'!$I18=0,0,-PMT(discount_rate,'Tech Parameters'!$I18,'Tech Parameters'!AB80))</f>
        <v>2000.1231686518647</v>
      </c>
      <c r="Z459" s="49">
        <f>IF('Tech Parameters'!$I18=0,0,-PMT(discount_rate,'Tech Parameters'!$I18,'Tech Parameters'!AC80))</f>
        <v>2000.1231686518647</v>
      </c>
      <c r="AA459" s="49">
        <f>IF('Tech Parameters'!$I18=0,0,-PMT(discount_rate,'Tech Parameters'!$I18,'Tech Parameters'!AD80))</f>
        <v>2000.1231686518647</v>
      </c>
      <c r="AB459" s="49">
        <f>IF('Tech Parameters'!$I18=0,0,-PMT(discount_rate,'Tech Parameters'!$I18,'Tech Parameters'!AE80))</f>
        <v>2000.1231686518647</v>
      </c>
      <c r="AC459" s="49">
        <f>IF('Tech Parameters'!$I18=0,0,-PMT(discount_rate,'Tech Parameters'!$I18,'Tech Parameters'!AF80))</f>
        <v>2000.1231686518647</v>
      </c>
      <c r="AD459" s="49">
        <f>IF('Tech Parameters'!$I18=0,0,-PMT(discount_rate,'Tech Parameters'!$I18,'Tech Parameters'!AG80))</f>
        <v>2000.1231686518647</v>
      </c>
      <c r="AE459" s="49">
        <f>IF('Tech Parameters'!$I18=0,0,-PMT(discount_rate,'Tech Parameters'!$I18,'Tech Parameters'!AH80))</f>
        <v>2000.1231686518647</v>
      </c>
      <c r="AF459" s="49">
        <f>IF('Tech Parameters'!$I18=0,0,-PMT(discount_rate,'Tech Parameters'!$I18,'Tech Parameters'!AI80))</f>
        <v>2000.1231686518647</v>
      </c>
      <c r="AG459" s="49">
        <f>IF('Tech Parameters'!$I18=0,0,-PMT(discount_rate,'Tech Parameters'!$I18,'Tech Parameters'!AJ80))</f>
        <v>2000.1231686518647</v>
      </c>
      <c r="AH459" s="49">
        <f>IF('Tech Parameters'!$I18=0,0,-PMT(discount_rate,'Tech Parameters'!$I18,'Tech Parameters'!AK80))</f>
        <v>2000.1231686518647</v>
      </c>
      <c r="AI459" s="49">
        <f>IF('Tech Parameters'!$I18=0,0,-PMT(discount_rate,'Tech Parameters'!$I18,'Tech Parameters'!AL80))</f>
        <v>2000.1231686518647</v>
      </c>
      <c r="AJ459" s="49">
        <f>IF('Tech Parameters'!$I18=0,0,-PMT(discount_rate,'Tech Parameters'!$I18,'Tech Parameters'!AM80))</f>
        <v>2000.1231686518647</v>
      </c>
      <c r="AK459" s="49">
        <f>IF('Tech Parameters'!$I18=0,0,-PMT(discount_rate,'Tech Parameters'!$I18,'Tech Parameters'!AN80))</f>
        <v>2000.1231686518647</v>
      </c>
      <c r="AL459" s="49">
        <f>IF('Tech Parameters'!$I18=0,0,-PMT(discount_rate,'Tech Parameters'!$I18,'Tech Parameters'!AO80))</f>
        <v>2000.1231686518647</v>
      </c>
      <c r="AM459" s="49">
        <f>IF('Tech Parameters'!$I18=0,0,-PMT(discount_rate,'Tech Parameters'!$I18,'Tech Parameters'!AP80))</f>
        <v>2000.1231686518647</v>
      </c>
      <c r="AN459" s="49">
        <f>IF('Tech Parameters'!$I18=0,0,-PMT(discount_rate,'Tech Parameters'!$I18,'Tech Parameters'!AQ80))</f>
        <v>2000.1231686518647</v>
      </c>
      <c r="AO459" s="49">
        <f>IF('Tech Parameters'!$I18=0,0,-PMT(discount_rate,'Tech Parameters'!$I18,'Tech Parameters'!AR80))</f>
        <v>2000.1231686518647</v>
      </c>
      <c r="AP459" s="49">
        <f>IF('Tech Parameters'!$I18=0,0,-PMT(discount_rate,'Tech Parameters'!$I18,'Tech Parameters'!AS80))</f>
        <v>2000.1231686518647</v>
      </c>
      <c r="AQ459" s="49">
        <f>IF('Tech Parameters'!$I18=0,0,-PMT(discount_rate,'Tech Parameters'!$I18,'Tech Parameters'!AT80))</f>
        <v>2000.1231686518647</v>
      </c>
      <c r="AR459" s="49">
        <f>IF('Tech Parameters'!$I18=0,0,-PMT(discount_rate,'Tech Parameters'!$I18,'Tech Parameters'!AU80))</f>
        <v>2000.1231686518647</v>
      </c>
      <c r="AS459" s="49">
        <f>IF('Tech Parameters'!$I18=0,0,-PMT(discount_rate,'Tech Parameters'!$I18,'Tech Parameters'!AV80))</f>
        <v>2000.1231686518647</v>
      </c>
      <c r="AT459" s="49">
        <f>IF('Tech Parameters'!$I18=0,0,-PMT(discount_rate,'Tech Parameters'!$I18,'Tech Parameters'!AW80))</f>
        <v>2000.1231686518647</v>
      </c>
      <c r="AU459" s="49">
        <f>IF('Tech Parameters'!$I18=0,0,-PMT(discount_rate,'Tech Parameters'!$I18,'Tech Parameters'!AX80))</f>
        <v>2000.1231686518647</v>
      </c>
      <c r="AV459" s="49">
        <f>IF('Tech Parameters'!$I18=0,0,-PMT(discount_rate,'Tech Parameters'!$I18,'Tech Parameters'!AY80))</f>
        <v>2000.1231686518647</v>
      </c>
      <c r="AW459" s="49">
        <f>IF('Tech Parameters'!$I18=0,0,-PMT(discount_rate,'Tech Parameters'!$I18,'Tech Parameters'!AZ80))</f>
        <v>2000.1231686518647</v>
      </c>
    </row>
    <row r="460" spans="3:49">
      <c r="C460" t="str">
        <f t="shared" si="217"/>
        <v>combined cycle gas</v>
      </c>
      <c r="D460" s="49">
        <f>IF('Tech Parameters'!$I19=0,0,-PMT(discount_rate,'Tech Parameters'!$I19,'Tech Parameters'!G81))</f>
        <v>0</v>
      </c>
      <c r="E460" s="49">
        <f>IF('Tech Parameters'!$I19=0,0,-PMT(discount_rate,'Tech Parameters'!$I19,'Tech Parameters'!H81))</f>
        <v>0.11016807219002084</v>
      </c>
      <c r="F460" s="49">
        <f>IF('Tech Parameters'!$I19=0,0,-PMT(discount_rate,'Tech Parameters'!$I19,'Tech Parameters'!I81))</f>
        <v>965.45300822952811</v>
      </c>
      <c r="G460" s="49">
        <f>IF('Tech Parameters'!$I19=0,0,-PMT(discount_rate,'Tech Parameters'!$I19,'Tech Parameters'!J81))</f>
        <v>965.45300822952811</v>
      </c>
      <c r="H460" s="49">
        <f>IF('Tech Parameters'!$I19=0,0,-PMT(discount_rate,'Tech Parameters'!$I19,'Tech Parameters'!K81))</f>
        <v>959.96747977367841</v>
      </c>
      <c r="I460" s="49">
        <f>IF('Tech Parameters'!$I19=0,0,-PMT(discount_rate,'Tech Parameters'!$I19,'Tech Parameters'!L81))</f>
        <v>954.4819513178287</v>
      </c>
      <c r="J460" s="49">
        <f>IF('Tech Parameters'!$I19=0,0,-PMT(discount_rate,'Tech Parameters'!$I19,'Tech Parameters'!M81))</f>
        <v>948.99642286197911</v>
      </c>
      <c r="K460" s="49">
        <f>IF('Tech Parameters'!$I19=0,0,-PMT(discount_rate,'Tech Parameters'!$I19,'Tech Parameters'!N81))</f>
        <v>943.51089440612964</v>
      </c>
      <c r="L460" s="49">
        <f>IF('Tech Parameters'!$I19=0,0,-PMT(discount_rate,'Tech Parameters'!$I19,'Tech Parameters'!O81))</f>
        <v>938.02536595028005</v>
      </c>
      <c r="M460" s="49">
        <f>IF('Tech Parameters'!$I19=0,0,-PMT(discount_rate,'Tech Parameters'!$I19,'Tech Parameters'!P81))</f>
        <v>935.79197222182677</v>
      </c>
      <c r="N460" s="49">
        <f>IF('Tech Parameters'!$I19=0,0,-PMT(discount_rate,'Tech Parameters'!$I19,'Tech Parameters'!Q81))</f>
        <v>933.55857849337349</v>
      </c>
      <c r="O460" s="49">
        <f>IF('Tech Parameters'!$I19=0,0,-PMT(discount_rate,'Tech Parameters'!$I19,'Tech Parameters'!R81))</f>
        <v>931.32518476492066</v>
      </c>
      <c r="P460" s="49">
        <f>IF('Tech Parameters'!$I19=0,0,-PMT(discount_rate,'Tech Parameters'!$I19,'Tech Parameters'!S81))</f>
        <v>929.09179103646773</v>
      </c>
      <c r="Q460" s="49">
        <f>IF('Tech Parameters'!$I19=0,0,-PMT(discount_rate,'Tech Parameters'!$I19,'Tech Parameters'!T81))</f>
        <v>926.85839730801456</v>
      </c>
      <c r="R460" s="49">
        <f>IF('Tech Parameters'!$I19=0,0,-PMT(discount_rate,'Tech Parameters'!$I19,'Tech Parameters'!U81))</f>
        <v>924.62500357956162</v>
      </c>
      <c r="S460" s="49">
        <f>IF('Tech Parameters'!$I19=0,0,-PMT(discount_rate,'Tech Parameters'!$I19,'Tech Parameters'!V81))</f>
        <v>922.39160985110868</v>
      </c>
      <c r="T460" s="49">
        <f>IF('Tech Parameters'!$I19=0,0,-PMT(discount_rate,'Tech Parameters'!$I19,'Tech Parameters'!W81))</f>
        <v>920.15821612265552</v>
      </c>
      <c r="U460" s="49">
        <f>IF('Tech Parameters'!$I19=0,0,-PMT(discount_rate,'Tech Parameters'!$I19,'Tech Parameters'!X81))</f>
        <v>917.92482239420258</v>
      </c>
      <c r="V460" s="49">
        <f>IF('Tech Parameters'!$I19=0,0,-PMT(discount_rate,'Tech Parameters'!$I19,'Tech Parameters'!Y81))</f>
        <v>915.6914286657493</v>
      </c>
      <c r="W460" s="49">
        <f>IF('Tech Parameters'!$I19=0,0,-PMT(discount_rate,'Tech Parameters'!$I19,'Tech Parameters'!Z81))</f>
        <v>913.45803493729636</v>
      </c>
      <c r="X460" s="49">
        <f>IF('Tech Parameters'!$I19=0,0,-PMT(discount_rate,'Tech Parameters'!$I19,'Tech Parameters'!AA81))</f>
        <v>911.2246412088432</v>
      </c>
      <c r="Y460" s="49">
        <f>IF('Tech Parameters'!$I19=0,0,-PMT(discount_rate,'Tech Parameters'!$I19,'Tech Parameters'!AB81))</f>
        <v>908.99124748038992</v>
      </c>
      <c r="Z460" s="49">
        <f>IF('Tech Parameters'!$I19=0,0,-PMT(discount_rate,'Tech Parameters'!$I19,'Tech Parameters'!AC81))</f>
        <v>906.75785375193709</v>
      </c>
      <c r="AA460" s="49">
        <f>IF('Tech Parameters'!$I19=0,0,-PMT(discount_rate,'Tech Parameters'!$I19,'Tech Parameters'!AD81))</f>
        <v>904.52446002348404</v>
      </c>
      <c r="AB460" s="49">
        <f>IF('Tech Parameters'!$I19=0,0,-PMT(discount_rate,'Tech Parameters'!$I19,'Tech Parameters'!AE81))</f>
        <v>902.29106629503087</v>
      </c>
      <c r="AC460" s="49">
        <f>IF('Tech Parameters'!$I19=0,0,-PMT(discount_rate,'Tech Parameters'!$I19,'Tech Parameters'!AF81))</f>
        <v>900.05767256657805</v>
      </c>
      <c r="AD460" s="49">
        <f>IF('Tech Parameters'!$I19=0,0,-PMT(discount_rate,'Tech Parameters'!$I19,'Tech Parameters'!AG81))</f>
        <v>897.824278838125</v>
      </c>
      <c r="AE460" s="49">
        <f>IF('Tech Parameters'!$I19=0,0,-PMT(discount_rate,'Tech Parameters'!$I19,'Tech Parameters'!AH81))</f>
        <v>895.59088510967194</v>
      </c>
      <c r="AF460" s="49">
        <f>IF('Tech Parameters'!$I19=0,0,-PMT(discount_rate,'Tech Parameters'!$I19,'Tech Parameters'!AI81))</f>
        <v>893.35749138121889</v>
      </c>
      <c r="AG460" s="49">
        <f>IF('Tech Parameters'!$I19=0,0,-PMT(discount_rate,'Tech Parameters'!$I19,'Tech Parameters'!AJ81))</f>
        <v>891.12409765276607</v>
      </c>
      <c r="AH460" s="49">
        <f>IF('Tech Parameters'!$I19=0,0,-PMT(discount_rate,'Tech Parameters'!$I19,'Tech Parameters'!AK81))</f>
        <v>889.73171625018347</v>
      </c>
      <c r="AI460" s="49">
        <f>IF('Tech Parameters'!$I19=0,0,-PMT(discount_rate,'Tech Parameters'!$I19,'Tech Parameters'!AL81))</f>
        <v>888.33933484760098</v>
      </c>
      <c r="AJ460" s="49">
        <f>IF('Tech Parameters'!$I19=0,0,-PMT(discount_rate,'Tech Parameters'!$I19,'Tech Parameters'!AM81))</f>
        <v>886.94695344501861</v>
      </c>
      <c r="AK460" s="49">
        <f>IF('Tech Parameters'!$I19=0,0,-PMT(discount_rate,'Tech Parameters'!$I19,'Tech Parameters'!AN81))</f>
        <v>885.55457204243601</v>
      </c>
      <c r="AL460" s="49">
        <f>IF('Tech Parameters'!$I19=0,0,-PMT(discount_rate,'Tech Parameters'!$I19,'Tech Parameters'!AO81))</f>
        <v>884.16219063985363</v>
      </c>
      <c r="AM460" s="49">
        <f>IF('Tech Parameters'!$I19=0,0,-PMT(discount_rate,'Tech Parameters'!$I19,'Tech Parameters'!AP81))</f>
        <v>882.76980923727115</v>
      </c>
      <c r="AN460" s="49">
        <f>IF('Tech Parameters'!$I19=0,0,-PMT(discount_rate,'Tech Parameters'!$I19,'Tech Parameters'!AQ81))</f>
        <v>881.37742783468889</v>
      </c>
      <c r="AO460" s="49">
        <f>IF('Tech Parameters'!$I19=0,0,-PMT(discount_rate,'Tech Parameters'!$I19,'Tech Parameters'!AR81))</f>
        <v>879.98504643210617</v>
      </c>
      <c r="AP460" s="49">
        <f>IF('Tech Parameters'!$I19=0,0,-PMT(discount_rate,'Tech Parameters'!$I19,'Tech Parameters'!AS81))</f>
        <v>878.5926650295238</v>
      </c>
      <c r="AQ460" s="49">
        <f>IF('Tech Parameters'!$I19=0,0,-PMT(discount_rate,'Tech Parameters'!$I19,'Tech Parameters'!AT81))</f>
        <v>877.20028362694143</v>
      </c>
      <c r="AR460" s="49">
        <f>IF('Tech Parameters'!$I19=0,0,-PMT(discount_rate,'Tech Parameters'!$I19,'Tech Parameters'!AU81))</f>
        <v>875.80790222435894</v>
      </c>
      <c r="AS460" s="49">
        <f>IF('Tech Parameters'!$I19=0,0,-PMT(discount_rate,'Tech Parameters'!$I19,'Tech Parameters'!AV81))</f>
        <v>874.41552082177645</v>
      </c>
      <c r="AT460" s="49">
        <f>IF('Tech Parameters'!$I19=0,0,-PMT(discount_rate,'Tech Parameters'!$I19,'Tech Parameters'!AW81))</f>
        <v>873.02313941919385</v>
      </c>
      <c r="AU460" s="49">
        <f>IF('Tech Parameters'!$I19=0,0,-PMT(discount_rate,'Tech Parameters'!$I19,'Tech Parameters'!AX81))</f>
        <v>871.63075801661148</v>
      </c>
      <c r="AV460" s="49">
        <f>IF('Tech Parameters'!$I19=0,0,-PMT(discount_rate,'Tech Parameters'!$I19,'Tech Parameters'!AY81))</f>
        <v>870.23837661402922</v>
      </c>
      <c r="AW460" s="49">
        <f>IF('Tech Parameters'!$I19=0,0,-PMT(discount_rate,'Tech Parameters'!$I19,'Tech Parameters'!AZ81))</f>
        <v>868.84599521144685</v>
      </c>
    </row>
    <row r="461" spans="3:49">
      <c r="C461" t="str">
        <f t="shared" si="217"/>
        <v>PBMR</v>
      </c>
      <c r="D461" s="49">
        <f>IF('Tech Parameters'!$I20=0,0,-PMT(discount_rate,'Tech Parameters'!$I20,'Tech Parameters'!G82))</f>
        <v>0</v>
      </c>
      <c r="E461" s="49">
        <f>IF('Tech Parameters'!$I20=0,0,-PMT(discount_rate,'Tech Parameters'!$I20,'Tech Parameters'!H82))</f>
        <v>0</v>
      </c>
      <c r="F461" s="49">
        <f>IF('Tech Parameters'!$I20=0,0,-PMT(discount_rate,'Tech Parameters'!$I20,'Tech Parameters'!I82))</f>
        <v>3579.653336491594</v>
      </c>
      <c r="G461" s="49">
        <f>IF('Tech Parameters'!$I20=0,0,-PMT(discount_rate,'Tech Parameters'!$I20,'Tech Parameters'!J82))</f>
        <v>3579.653336491594</v>
      </c>
      <c r="H461" s="49">
        <f>IF('Tech Parameters'!$I20=0,0,-PMT(discount_rate,'Tech Parameters'!$I20,'Tech Parameters'!K82))</f>
        <v>3579.653336491594</v>
      </c>
      <c r="I461" s="49">
        <f>IF('Tech Parameters'!$I20=0,0,-PMT(discount_rate,'Tech Parameters'!$I20,'Tech Parameters'!L82))</f>
        <v>3579.653336491594</v>
      </c>
      <c r="J461" s="49">
        <f>IF('Tech Parameters'!$I20=0,0,-PMT(discount_rate,'Tech Parameters'!$I20,'Tech Parameters'!M82))</f>
        <v>3579.653336491594</v>
      </c>
      <c r="K461" s="49">
        <f>IF('Tech Parameters'!$I20=0,0,-PMT(discount_rate,'Tech Parameters'!$I20,'Tech Parameters'!N82))</f>
        <v>3579.653336491594</v>
      </c>
      <c r="L461" s="49">
        <f>IF('Tech Parameters'!$I20=0,0,-PMT(discount_rate,'Tech Parameters'!$I20,'Tech Parameters'!O82))</f>
        <v>3579.653336491594</v>
      </c>
      <c r="M461" s="49">
        <f>IF('Tech Parameters'!$I20=0,0,-PMT(discount_rate,'Tech Parameters'!$I20,'Tech Parameters'!P82))</f>
        <v>3579.653336491594</v>
      </c>
      <c r="N461" s="49">
        <f>IF('Tech Parameters'!$I20=0,0,-PMT(discount_rate,'Tech Parameters'!$I20,'Tech Parameters'!Q82))</f>
        <v>3579.653336491594</v>
      </c>
      <c r="O461" s="49">
        <f>IF('Tech Parameters'!$I20=0,0,-PMT(discount_rate,'Tech Parameters'!$I20,'Tech Parameters'!R82))</f>
        <v>3579.653336491594</v>
      </c>
      <c r="P461" s="49">
        <f>IF('Tech Parameters'!$I20=0,0,-PMT(discount_rate,'Tech Parameters'!$I20,'Tech Parameters'!S82))</f>
        <v>3579.653336491594</v>
      </c>
      <c r="Q461" s="49">
        <f>IF('Tech Parameters'!$I20=0,0,-PMT(discount_rate,'Tech Parameters'!$I20,'Tech Parameters'!T82))</f>
        <v>3579.653336491594</v>
      </c>
      <c r="R461" s="49">
        <f>IF('Tech Parameters'!$I20=0,0,-PMT(discount_rate,'Tech Parameters'!$I20,'Tech Parameters'!U82))</f>
        <v>3579.653336491594</v>
      </c>
      <c r="S461" s="49">
        <f>IF('Tech Parameters'!$I20=0,0,-PMT(discount_rate,'Tech Parameters'!$I20,'Tech Parameters'!V82))</f>
        <v>3579.653336491594</v>
      </c>
      <c r="T461" s="49">
        <f>IF('Tech Parameters'!$I20=0,0,-PMT(discount_rate,'Tech Parameters'!$I20,'Tech Parameters'!W82))</f>
        <v>3579.653336491594</v>
      </c>
      <c r="U461" s="49">
        <f>IF('Tech Parameters'!$I20=0,0,-PMT(discount_rate,'Tech Parameters'!$I20,'Tech Parameters'!X82))</f>
        <v>3579.653336491594</v>
      </c>
      <c r="V461" s="49">
        <f>IF('Tech Parameters'!$I20=0,0,-PMT(discount_rate,'Tech Parameters'!$I20,'Tech Parameters'!Y82))</f>
        <v>3579.653336491594</v>
      </c>
      <c r="W461" s="49">
        <f>IF('Tech Parameters'!$I20=0,0,-PMT(discount_rate,'Tech Parameters'!$I20,'Tech Parameters'!Z82))</f>
        <v>3579.653336491594</v>
      </c>
      <c r="X461" s="49">
        <f>IF('Tech Parameters'!$I20=0,0,-PMT(discount_rate,'Tech Parameters'!$I20,'Tech Parameters'!AA82))</f>
        <v>3579.653336491594</v>
      </c>
      <c r="Y461" s="49">
        <f>IF('Tech Parameters'!$I20=0,0,-PMT(discount_rate,'Tech Parameters'!$I20,'Tech Parameters'!AB82))</f>
        <v>3579.653336491594</v>
      </c>
      <c r="Z461" s="49">
        <f>IF('Tech Parameters'!$I20=0,0,-PMT(discount_rate,'Tech Parameters'!$I20,'Tech Parameters'!AC82))</f>
        <v>3579.653336491594</v>
      </c>
      <c r="AA461" s="49">
        <f>IF('Tech Parameters'!$I20=0,0,-PMT(discount_rate,'Tech Parameters'!$I20,'Tech Parameters'!AD82))</f>
        <v>3579.653336491594</v>
      </c>
      <c r="AB461" s="49">
        <f>IF('Tech Parameters'!$I20=0,0,-PMT(discount_rate,'Tech Parameters'!$I20,'Tech Parameters'!AE82))</f>
        <v>3579.653336491594</v>
      </c>
      <c r="AC461" s="49">
        <f>IF('Tech Parameters'!$I20=0,0,-PMT(discount_rate,'Tech Parameters'!$I20,'Tech Parameters'!AF82))</f>
        <v>3579.653336491594</v>
      </c>
      <c r="AD461" s="49">
        <f>IF('Tech Parameters'!$I20=0,0,-PMT(discount_rate,'Tech Parameters'!$I20,'Tech Parameters'!AG82))</f>
        <v>3579.653336491594</v>
      </c>
      <c r="AE461" s="49">
        <f>IF('Tech Parameters'!$I20=0,0,-PMT(discount_rate,'Tech Parameters'!$I20,'Tech Parameters'!AH82))</f>
        <v>3579.653336491594</v>
      </c>
      <c r="AF461" s="49">
        <f>IF('Tech Parameters'!$I20=0,0,-PMT(discount_rate,'Tech Parameters'!$I20,'Tech Parameters'!AI82))</f>
        <v>3579.653336491594</v>
      </c>
      <c r="AG461" s="49">
        <f>IF('Tech Parameters'!$I20=0,0,-PMT(discount_rate,'Tech Parameters'!$I20,'Tech Parameters'!AJ82))</f>
        <v>3579.653336491594</v>
      </c>
      <c r="AH461" s="49">
        <f>IF('Tech Parameters'!$I20=0,0,-PMT(discount_rate,'Tech Parameters'!$I20,'Tech Parameters'!AK82))</f>
        <v>3579.653336491594</v>
      </c>
      <c r="AI461" s="49">
        <f>IF('Tech Parameters'!$I20=0,0,-PMT(discount_rate,'Tech Parameters'!$I20,'Tech Parameters'!AL82))</f>
        <v>3579.653336491594</v>
      </c>
      <c r="AJ461" s="49">
        <f>IF('Tech Parameters'!$I20=0,0,-PMT(discount_rate,'Tech Parameters'!$I20,'Tech Parameters'!AM82))</f>
        <v>3579.653336491594</v>
      </c>
      <c r="AK461" s="49">
        <f>IF('Tech Parameters'!$I20=0,0,-PMT(discount_rate,'Tech Parameters'!$I20,'Tech Parameters'!AN82))</f>
        <v>3579.653336491594</v>
      </c>
      <c r="AL461" s="49">
        <f>IF('Tech Parameters'!$I20=0,0,-PMT(discount_rate,'Tech Parameters'!$I20,'Tech Parameters'!AO82))</f>
        <v>3579.653336491594</v>
      </c>
      <c r="AM461" s="49">
        <f>IF('Tech Parameters'!$I20=0,0,-PMT(discount_rate,'Tech Parameters'!$I20,'Tech Parameters'!AP82))</f>
        <v>3579.653336491594</v>
      </c>
      <c r="AN461" s="49">
        <f>IF('Tech Parameters'!$I20=0,0,-PMT(discount_rate,'Tech Parameters'!$I20,'Tech Parameters'!AQ82))</f>
        <v>3579.653336491594</v>
      </c>
      <c r="AO461" s="49">
        <f>IF('Tech Parameters'!$I20=0,0,-PMT(discount_rate,'Tech Parameters'!$I20,'Tech Parameters'!AR82))</f>
        <v>3579.653336491594</v>
      </c>
      <c r="AP461" s="49">
        <f>IF('Tech Parameters'!$I20=0,0,-PMT(discount_rate,'Tech Parameters'!$I20,'Tech Parameters'!AS82))</f>
        <v>3579.653336491594</v>
      </c>
      <c r="AQ461" s="49">
        <f>IF('Tech Parameters'!$I20=0,0,-PMT(discount_rate,'Tech Parameters'!$I20,'Tech Parameters'!AT82))</f>
        <v>3579.653336491594</v>
      </c>
      <c r="AR461" s="49">
        <f>IF('Tech Parameters'!$I20=0,0,-PMT(discount_rate,'Tech Parameters'!$I20,'Tech Parameters'!AU82))</f>
        <v>3579.653336491594</v>
      </c>
      <c r="AS461" s="49">
        <f>IF('Tech Parameters'!$I20=0,0,-PMT(discount_rate,'Tech Parameters'!$I20,'Tech Parameters'!AV82))</f>
        <v>3579.653336491594</v>
      </c>
      <c r="AT461" s="49">
        <f>IF('Tech Parameters'!$I20=0,0,-PMT(discount_rate,'Tech Parameters'!$I20,'Tech Parameters'!AW82))</f>
        <v>3579.653336491594</v>
      </c>
      <c r="AU461" s="49">
        <f>IF('Tech Parameters'!$I20=0,0,-PMT(discount_rate,'Tech Parameters'!$I20,'Tech Parameters'!AX82))</f>
        <v>3579.653336491594</v>
      </c>
      <c r="AV461" s="49">
        <f>IF('Tech Parameters'!$I20=0,0,-PMT(discount_rate,'Tech Parameters'!$I20,'Tech Parameters'!AY82))</f>
        <v>3579.653336491594</v>
      </c>
      <c r="AW461" s="49">
        <f>IF('Tech Parameters'!$I20=0,0,-PMT(discount_rate,'Tech Parameters'!$I20,'Tech Parameters'!AZ82))</f>
        <v>3579.653336491594</v>
      </c>
    </row>
    <row r="462" spans="3:49">
      <c r="C462" t="str">
        <f t="shared" si="217"/>
        <v>IGCC</v>
      </c>
      <c r="D462" s="49">
        <f>IF('Tech Parameters'!$I21=0,0,-PMT(discount_rate,'Tech Parameters'!$I21,'Tech Parameters'!G83))</f>
        <v>0</v>
      </c>
      <c r="E462" s="49">
        <f>IF('Tech Parameters'!$I21=0,0,-PMT(discount_rate,'Tech Parameters'!$I21,'Tech Parameters'!H83))</f>
        <v>0</v>
      </c>
      <c r="F462" s="49">
        <f>IF('Tech Parameters'!$I21=0,0,-PMT(discount_rate,'Tech Parameters'!$I21,'Tech Parameters'!I83))</f>
        <v>2482.9676219095945</v>
      </c>
      <c r="G462" s="49">
        <f>IF('Tech Parameters'!$I21=0,0,-PMT(discount_rate,'Tech Parameters'!$I21,'Tech Parameters'!J83))</f>
        <v>2482.9676219095945</v>
      </c>
      <c r="H462" s="49">
        <f>IF('Tech Parameters'!$I21=0,0,-PMT(discount_rate,'Tech Parameters'!$I21,'Tech Parameters'!K83))</f>
        <v>2482.9676219095945</v>
      </c>
      <c r="I462" s="49">
        <f>IF('Tech Parameters'!$I21=0,0,-PMT(discount_rate,'Tech Parameters'!$I21,'Tech Parameters'!L83))</f>
        <v>2482.9676219095945</v>
      </c>
      <c r="J462" s="49">
        <f>IF('Tech Parameters'!$I21=0,0,-PMT(discount_rate,'Tech Parameters'!$I21,'Tech Parameters'!M83))</f>
        <v>2482.9676219095945</v>
      </c>
      <c r="K462" s="49">
        <f>IF('Tech Parameters'!$I21=0,0,-PMT(discount_rate,'Tech Parameters'!$I21,'Tech Parameters'!N83))</f>
        <v>2482.9676219095945</v>
      </c>
      <c r="L462" s="49">
        <f>IF('Tech Parameters'!$I21=0,0,-PMT(discount_rate,'Tech Parameters'!$I21,'Tech Parameters'!O83))</f>
        <v>2482.9676219095945</v>
      </c>
      <c r="M462" s="49">
        <f>IF('Tech Parameters'!$I21=0,0,-PMT(discount_rate,'Tech Parameters'!$I21,'Tech Parameters'!P83))</f>
        <v>2482.9676219095945</v>
      </c>
      <c r="N462" s="49">
        <f>IF('Tech Parameters'!$I21=0,0,-PMT(discount_rate,'Tech Parameters'!$I21,'Tech Parameters'!Q83))</f>
        <v>2482.9676219095945</v>
      </c>
      <c r="O462" s="49">
        <f>IF('Tech Parameters'!$I21=0,0,-PMT(discount_rate,'Tech Parameters'!$I21,'Tech Parameters'!R83))</f>
        <v>2482.9676219095945</v>
      </c>
      <c r="P462" s="49">
        <f>IF('Tech Parameters'!$I21=0,0,-PMT(discount_rate,'Tech Parameters'!$I21,'Tech Parameters'!S83))</f>
        <v>2482.9676219095945</v>
      </c>
      <c r="Q462" s="49">
        <f>IF('Tech Parameters'!$I21=0,0,-PMT(discount_rate,'Tech Parameters'!$I21,'Tech Parameters'!T83))</f>
        <v>2482.9676219095945</v>
      </c>
      <c r="R462" s="49">
        <f>IF('Tech Parameters'!$I21=0,0,-PMT(discount_rate,'Tech Parameters'!$I21,'Tech Parameters'!U83))</f>
        <v>2482.9676219095945</v>
      </c>
      <c r="S462" s="49">
        <f>IF('Tech Parameters'!$I21=0,0,-PMT(discount_rate,'Tech Parameters'!$I21,'Tech Parameters'!V83))</f>
        <v>2482.9676219095945</v>
      </c>
      <c r="T462" s="49">
        <f>IF('Tech Parameters'!$I21=0,0,-PMT(discount_rate,'Tech Parameters'!$I21,'Tech Parameters'!W83))</f>
        <v>2482.9676219095945</v>
      </c>
      <c r="U462" s="49">
        <f>IF('Tech Parameters'!$I21=0,0,-PMT(discount_rate,'Tech Parameters'!$I21,'Tech Parameters'!X83))</f>
        <v>2482.9676219095945</v>
      </c>
      <c r="V462" s="49">
        <f>IF('Tech Parameters'!$I21=0,0,-PMT(discount_rate,'Tech Parameters'!$I21,'Tech Parameters'!Y83))</f>
        <v>2482.9676219095945</v>
      </c>
      <c r="W462" s="49">
        <f>IF('Tech Parameters'!$I21=0,0,-PMT(discount_rate,'Tech Parameters'!$I21,'Tech Parameters'!Z83))</f>
        <v>2482.9676219095945</v>
      </c>
      <c r="X462" s="49">
        <f>IF('Tech Parameters'!$I21=0,0,-PMT(discount_rate,'Tech Parameters'!$I21,'Tech Parameters'!AA83))</f>
        <v>2482.9676219095945</v>
      </c>
      <c r="Y462" s="49">
        <f>IF('Tech Parameters'!$I21=0,0,-PMT(discount_rate,'Tech Parameters'!$I21,'Tech Parameters'!AB83))</f>
        <v>2482.9676219095945</v>
      </c>
      <c r="Z462" s="49">
        <f>IF('Tech Parameters'!$I21=0,0,-PMT(discount_rate,'Tech Parameters'!$I21,'Tech Parameters'!AC83))</f>
        <v>2482.9676219095945</v>
      </c>
      <c r="AA462" s="49">
        <f>IF('Tech Parameters'!$I21=0,0,-PMT(discount_rate,'Tech Parameters'!$I21,'Tech Parameters'!AD83))</f>
        <v>2482.9676219095945</v>
      </c>
      <c r="AB462" s="49">
        <f>IF('Tech Parameters'!$I21=0,0,-PMT(discount_rate,'Tech Parameters'!$I21,'Tech Parameters'!AE83))</f>
        <v>2482.9676219095945</v>
      </c>
      <c r="AC462" s="49">
        <f>IF('Tech Parameters'!$I21=0,0,-PMT(discount_rate,'Tech Parameters'!$I21,'Tech Parameters'!AF83))</f>
        <v>2482.9676219095945</v>
      </c>
      <c r="AD462" s="49">
        <f>IF('Tech Parameters'!$I21=0,0,-PMT(discount_rate,'Tech Parameters'!$I21,'Tech Parameters'!AG83))</f>
        <v>2482.9676219095945</v>
      </c>
      <c r="AE462" s="49">
        <f>IF('Tech Parameters'!$I21=0,0,-PMT(discount_rate,'Tech Parameters'!$I21,'Tech Parameters'!AH83))</f>
        <v>2482.9676219095945</v>
      </c>
      <c r="AF462" s="49">
        <f>IF('Tech Parameters'!$I21=0,0,-PMT(discount_rate,'Tech Parameters'!$I21,'Tech Parameters'!AI83))</f>
        <v>2482.9676219095945</v>
      </c>
      <c r="AG462" s="49">
        <f>IF('Tech Parameters'!$I21=0,0,-PMT(discount_rate,'Tech Parameters'!$I21,'Tech Parameters'!AJ83))</f>
        <v>2482.9676219095945</v>
      </c>
      <c r="AH462" s="49">
        <f>IF('Tech Parameters'!$I21=0,0,-PMT(discount_rate,'Tech Parameters'!$I21,'Tech Parameters'!AK83))</f>
        <v>2482.9676219095945</v>
      </c>
      <c r="AI462" s="49">
        <f>IF('Tech Parameters'!$I21=0,0,-PMT(discount_rate,'Tech Parameters'!$I21,'Tech Parameters'!AL83))</f>
        <v>2482.9676219095945</v>
      </c>
      <c r="AJ462" s="49">
        <f>IF('Tech Parameters'!$I21=0,0,-PMT(discount_rate,'Tech Parameters'!$I21,'Tech Parameters'!AM83))</f>
        <v>2482.9676219095945</v>
      </c>
      <c r="AK462" s="49">
        <f>IF('Tech Parameters'!$I21=0,0,-PMT(discount_rate,'Tech Parameters'!$I21,'Tech Parameters'!AN83))</f>
        <v>2482.9676219095945</v>
      </c>
      <c r="AL462" s="49">
        <f>IF('Tech Parameters'!$I21=0,0,-PMT(discount_rate,'Tech Parameters'!$I21,'Tech Parameters'!AO83))</f>
        <v>2482.9676219095945</v>
      </c>
      <c r="AM462" s="49">
        <f>IF('Tech Parameters'!$I21=0,0,-PMT(discount_rate,'Tech Parameters'!$I21,'Tech Parameters'!AP83))</f>
        <v>2482.9676219095945</v>
      </c>
      <c r="AN462" s="49">
        <f>IF('Tech Parameters'!$I21=0,0,-PMT(discount_rate,'Tech Parameters'!$I21,'Tech Parameters'!AQ83))</f>
        <v>2482.9676219095945</v>
      </c>
      <c r="AO462" s="49">
        <f>IF('Tech Parameters'!$I21=0,0,-PMT(discount_rate,'Tech Parameters'!$I21,'Tech Parameters'!AR83))</f>
        <v>2482.9676219095945</v>
      </c>
      <c r="AP462" s="49">
        <f>IF('Tech Parameters'!$I21=0,0,-PMT(discount_rate,'Tech Parameters'!$I21,'Tech Parameters'!AS83))</f>
        <v>2482.9676219095945</v>
      </c>
      <c r="AQ462" s="49">
        <f>IF('Tech Parameters'!$I21=0,0,-PMT(discount_rate,'Tech Parameters'!$I21,'Tech Parameters'!AT83))</f>
        <v>2482.9676219095945</v>
      </c>
      <c r="AR462" s="49">
        <f>IF('Tech Parameters'!$I21=0,0,-PMT(discount_rate,'Tech Parameters'!$I21,'Tech Parameters'!AU83))</f>
        <v>2482.9676219095945</v>
      </c>
      <c r="AS462" s="49">
        <f>IF('Tech Parameters'!$I21=0,0,-PMT(discount_rate,'Tech Parameters'!$I21,'Tech Parameters'!AV83))</f>
        <v>2482.9676219095945</v>
      </c>
      <c r="AT462" s="49">
        <f>IF('Tech Parameters'!$I21=0,0,-PMT(discount_rate,'Tech Parameters'!$I21,'Tech Parameters'!AW83))</f>
        <v>2482.9676219095945</v>
      </c>
      <c r="AU462" s="49">
        <f>IF('Tech Parameters'!$I21=0,0,-PMT(discount_rate,'Tech Parameters'!$I21,'Tech Parameters'!AX83))</f>
        <v>2482.9676219095945</v>
      </c>
      <c r="AV462" s="49">
        <f>IF('Tech Parameters'!$I21=0,0,-PMT(discount_rate,'Tech Parameters'!$I21,'Tech Parameters'!AY83))</f>
        <v>2482.9676219095945</v>
      </c>
      <c r="AW462" s="49">
        <f>IF('Tech Parameters'!$I21=0,0,-PMT(discount_rate,'Tech Parameters'!$I21,'Tech Parameters'!AZ83))</f>
        <v>2482.9676219095945</v>
      </c>
    </row>
    <row r="463" spans="3:49">
      <c r="C463" t="str">
        <f t="shared" si="217"/>
        <v>-</v>
      </c>
      <c r="D463" s="49">
        <f>IF('Tech Parameters'!$I22=0,0,-PMT(discount_rate,'Tech Parameters'!$I22,'Tech Parameters'!G84))</f>
        <v>0</v>
      </c>
      <c r="E463" s="49">
        <f>IF('Tech Parameters'!$I22=0,0,-PMT(discount_rate,'Tech Parameters'!$I22,'Tech Parameters'!H84))</f>
        <v>0</v>
      </c>
      <c r="F463" s="49">
        <f>IF('Tech Parameters'!$I22=0,0,-PMT(discount_rate,'Tech Parameters'!$I22,'Tech Parameters'!I84))</f>
        <v>0</v>
      </c>
      <c r="G463" s="49">
        <f>IF('Tech Parameters'!$I22=0,0,-PMT(discount_rate,'Tech Parameters'!$I22,'Tech Parameters'!J84))</f>
        <v>0</v>
      </c>
      <c r="H463" s="49">
        <f>IF('Tech Parameters'!$I22=0,0,-PMT(discount_rate,'Tech Parameters'!$I22,'Tech Parameters'!K84))</f>
        <v>0</v>
      </c>
      <c r="I463" s="49">
        <f>IF('Tech Parameters'!$I22=0,0,-PMT(discount_rate,'Tech Parameters'!$I22,'Tech Parameters'!L84))</f>
        <v>0</v>
      </c>
      <c r="J463" s="49">
        <f>IF('Tech Parameters'!$I22=0,0,-PMT(discount_rate,'Tech Parameters'!$I22,'Tech Parameters'!M84))</f>
        <v>0</v>
      </c>
      <c r="K463" s="49">
        <f>IF('Tech Parameters'!$I22=0,0,-PMT(discount_rate,'Tech Parameters'!$I22,'Tech Parameters'!N84))</f>
        <v>0</v>
      </c>
      <c r="L463" s="49">
        <f>IF('Tech Parameters'!$I22=0,0,-PMT(discount_rate,'Tech Parameters'!$I22,'Tech Parameters'!O84))</f>
        <v>0</v>
      </c>
      <c r="M463" s="49">
        <f>IF('Tech Parameters'!$I22=0,0,-PMT(discount_rate,'Tech Parameters'!$I22,'Tech Parameters'!P84))</f>
        <v>0</v>
      </c>
      <c r="N463" s="49">
        <f>IF('Tech Parameters'!$I22=0,0,-PMT(discount_rate,'Tech Parameters'!$I22,'Tech Parameters'!Q84))</f>
        <v>0</v>
      </c>
      <c r="O463" s="49">
        <f>IF('Tech Parameters'!$I22=0,0,-PMT(discount_rate,'Tech Parameters'!$I22,'Tech Parameters'!R84))</f>
        <v>0</v>
      </c>
      <c r="P463" s="49">
        <f>IF('Tech Parameters'!$I22=0,0,-PMT(discount_rate,'Tech Parameters'!$I22,'Tech Parameters'!S84))</f>
        <v>0</v>
      </c>
      <c r="Q463" s="49">
        <f>IF('Tech Parameters'!$I22=0,0,-PMT(discount_rate,'Tech Parameters'!$I22,'Tech Parameters'!T84))</f>
        <v>0</v>
      </c>
      <c r="R463" s="49">
        <f>IF('Tech Parameters'!$I22=0,0,-PMT(discount_rate,'Tech Parameters'!$I22,'Tech Parameters'!U84))</f>
        <v>0</v>
      </c>
      <c r="S463" s="49">
        <f>IF('Tech Parameters'!$I22=0,0,-PMT(discount_rate,'Tech Parameters'!$I22,'Tech Parameters'!V84))</f>
        <v>0</v>
      </c>
      <c r="T463" s="49">
        <f>IF('Tech Parameters'!$I22=0,0,-PMT(discount_rate,'Tech Parameters'!$I22,'Tech Parameters'!W84))</f>
        <v>0</v>
      </c>
      <c r="U463" s="49">
        <f>IF('Tech Parameters'!$I22=0,0,-PMT(discount_rate,'Tech Parameters'!$I22,'Tech Parameters'!X84))</f>
        <v>0</v>
      </c>
      <c r="V463" s="49">
        <f>IF('Tech Parameters'!$I22=0,0,-PMT(discount_rate,'Tech Parameters'!$I22,'Tech Parameters'!Y84))</f>
        <v>0</v>
      </c>
      <c r="W463" s="49">
        <f>IF('Tech Parameters'!$I22=0,0,-PMT(discount_rate,'Tech Parameters'!$I22,'Tech Parameters'!Z84))</f>
        <v>0</v>
      </c>
      <c r="X463" s="49">
        <f>IF('Tech Parameters'!$I22=0,0,-PMT(discount_rate,'Tech Parameters'!$I22,'Tech Parameters'!AA84))</f>
        <v>0</v>
      </c>
      <c r="Y463" s="49">
        <f>IF('Tech Parameters'!$I22=0,0,-PMT(discount_rate,'Tech Parameters'!$I22,'Tech Parameters'!AB84))</f>
        <v>0</v>
      </c>
      <c r="Z463" s="49">
        <f>IF('Tech Parameters'!$I22=0,0,-PMT(discount_rate,'Tech Parameters'!$I22,'Tech Parameters'!AC84))</f>
        <v>0</v>
      </c>
      <c r="AA463" s="49">
        <f>IF('Tech Parameters'!$I22=0,0,-PMT(discount_rate,'Tech Parameters'!$I22,'Tech Parameters'!AD84))</f>
        <v>0</v>
      </c>
      <c r="AB463" s="49">
        <f>IF('Tech Parameters'!$I22=0,0,-PMT(discount_rate,'Tech Parameters'!$I22,'Tech Parameters'!AE84))</f>
        <v>0</v>
      </c>
      <c r="AC463" s="49">
        <f>IF('Tech Parameters'!$I22=0,0,-PMT(discount_rate,'Tech Parameters'!$I22,'Tech Parameters'!AF84))</f>
        <v>0</v>
      </c>
      <c r="AD463" s="49">
        <f>IF('Tech Parameters'!$I22=0,0,-PMT(discount_rate,'Tech Parameters'!$I22,'Tech Parameters'!AG84))</f>
        <v>0</v>
      </c>
      <c r="AE463" s="49">
        <f>IF('Tech Parameters'!$I22=0,0,-PMT(discount_rate,'Tech Parameters'!$I22,'Tech Parameters'!AH84))</f>
        <v>0</v>
      </c>
      <c r="AF463" s="49">
        <f>IF('Tech Parameters'!$I22=0,0,-PMT(discount_rate,'Tech Parameters'!$I22,'Tech Parameters'!AI84))</f>
        <v>0</v>
      </c>
      <c r="AG463" s="49">
        <f>IF('Tech Parameters'!$I22=0,0,-PMT(discount_rate,'Tech Parameters'!$I22,'Tech Parameters'!AJ84))</f>
        <v>0</v>
      </c>
      <c r="AH463" s="49">
        <f>IF('Tech Parameters'!$I22=0,0,-PMT(discount_rate,'Tech Parameters'!$I22,'Tech Parameters'!AK84))</f>
        <v>0</v>
      </c>
      <c r="AI463" s="49">
        <f>IF('Tech Parameters'!$I22=0,0,-PMT(discount_rate,'Tech Parameters'!$I22,'Tech Parameters'!AL84))</f>
        <v>0</v>
      </c>
      <c r="AJ463" s="49">
        <f>IF('Tech Parameters'!$I22=0,0,-PMT(discount_rate,'Tech Parameters'!$I22,'Tech Parameters'!AM84))</f>
        <v>0</v>
      </c>
      <c r="AK463" s="49">
        <f>IF('Tech Parameters'!$I22=0,0,-PMT(discount_rate,'Tech Parameters'!$I22,'Tech Parameters'!AN84))</f>
        <v>0</v>
      </c>
      <c r="AL463" s="49">
        <f>IF('Tech Parameters'!$I22=0,0,-PMT(discount_rate,'Tech Parameters'!$I22,'Tech Parameters'!AO84))</f>
        <v>0</v>
      </c>
      <c r="AM463" s="49">
        <f>IF('Tech Parameters'!$I22=0,0,-PMT(discount_rate,'Tech Parameters'!$I22,'Tech Parameters'!AP84))</f>
        <v>0</v>
      </c>
      <c r="AN463" s="49">
        <f>IF('Tech Parameters'!$I22=0,0,-PMT(discount_rate,'Tech Parameters'!$I22,'Tech Parameters'!AQ84))</f>
        <v>0</v>
      </c>
      <c r="AO463" s="49">
        <f>IF('Tech Parameters'!$I22=0,0,-PMT(discount_rate,'Tech Parameters'!$I22,'Tech Parameters'!AR84))</f>
        <v>0</v>
      </c>
      <c r="AP463" s="49">
        <f>IF('Tech Parameters'!$I22=0,0,-PMT(discount_rate,'Tech Parameters'!$I22,'Tech Parameters'!AS84))</f>
        <v>0</v>
      </c>
      <c r="AQ463" s="49">
        <f>IF('Tech Parameters'!$I22=0,0,-PMT(discount_rate,'Tech Parameters'!$I22,'Tech Parameters'!AT84))</f>
        <v>0</v>
      </c>
      <c r="AR463" s="49">
        <f>IF('Tech Parameters'!$I22=0,0,-PMT(discount_rate,'Tech Parameters'!$I22,'Tech Parameters'!AU84))</f>
        <v>0</v>
      </c>
      <c r="AS463" s="49">
        <f>IF('Tech Parameters'!$I22=0,0,-PMT(discount_rate,'Tech Parameters'!$I22,'Tech Parameters'!AV84))</f>
        <v>0</v>
      </c>
      <c r="AT463" s="49">
        <f>IF('Tech Parameters'!$I22=0,0,-PMT(discount_rate,'Tech Parameters'!$I22,'Tech Parameters'!AW84))</f>
        <v>0</v>
      </c>
      <c r="AU463" s="49">
        <f>IF('Tech Parameters'!$I22=0,0,-PMT(discount_rate,'Tech Parameters'!$I22,'Tech Parameters'!AX84))</f>
        <v>0</v>
      </c>
      <c r="AV463" s="49">
        <f>IF('Tech Parameters'!$I22=0,0,-PMT(discount_rate,'Tech Parameters'!$I22,'Tech Parameters'!AY84))</f>
        <v>0</v>
      </c>
      <c r="AW463" s="49">
        <f>IF('Tech Parameters'!$I22=0,0,-PMT(discount_rate,'Tech Parameters'!$I22,'Tech Parameters'!AZ84))</f>
        <v>0</v>
      </c>
    </row>
    <row r="464" spans="3:49">
      <c r="C464" t="str">
        <f t="shared" si="217"/>
        <v>-</v>
      </c>
      <c r="D464" s="49">
        <f>IF('Tech Parameters'!$I23=0,0,-PMT(discount_rate,'Tech Parameters'!$I23,'Tech Parameters'!G85))</f>
        <v>0</v>
      </c>
      <c r="E464" s="49">
        <f>IF('Tech Parameters'!$I23=0,0,-PMT(discount_rate,'Tech Parameters'!$I23,'Tech Parameters'!H85))</f>
        <v>0</v>
      </c>
      <c r="F464" s="49">
        <f>IF('Tech Parameters'!$I23=0,0,-PMT(discount_rate,'Tech Parameters'!$I23,'Tech Parameters'!I85))</f>
        <v>0</v>
      </c>
      <c r="G464" s="49">
        <f>IF('Tech Parameters'!$I23=0,0,-PMT(discount_rate,'Tech Parameters'!$I23,'Tech Parameters'!J85))</f>
        <v>0</v>
      </c>
      <c r="H464" s="49">
        <f>IF('Tech Parameters'!$I23=0,0,-PMT(discount_rate,'Tech Parameters'!$I23,'Tech Parameters'!K85))</f>
        <v>0</v>
      </c>
      <c r="I464" s="49">
        <f>IF('Tech Parameters'!$I23=0,0,-PMT(discount_rate,'Tech Parameters'!$I23,'Tech Parameters'!L85))</f>
        <v>0</v>
      </c>
      <c r="J464" s="49">
        <f>IF('Tech Parameters'!$I23=0,0,-PMT(discount_rate,'Tech Parameters'!$I23,'Tech Parameters'!M85))</f>
        <v>0</v>
      </c>
      <c r="K464" s="49">
        <f>IF('Tech Parameters'!$I23=0,0,-PMT(discount_rate,'Tech Parameters'!$I23,'Tech Parameters'!N85))</f>
        <v>0</v>
      </c>
      <c r="L464" s="49">
        <f>IF('Tech Parameters'!$I23=0,0,-PMT(discount_rate,'Tech Parameters'!$I23,'Tech Parameters'!O85))</f>
        <v>0</v>
      </c>
      <c r="M464" s="49">
        <f>IF('Tech Parameters'!$I23=0,0,-PMT(discount_rate,'Tech Parameters'!$I23,'Tech Parameters'!P85))</f>
        <v>0</v>
      </c>
      <c r="N464" s="49">
        <f>IF('Tech Parameters'!$I23=0,0,-PMT(discount_rate,'Tech Parameters'!$I23,'Tech Parameters'!Q85))</f>
        <v>0</v>
      </c>
      <c r="O464" s="49">
        <f>IF('Tech Parameters'!$I23=0,0,-PMT(discount_rate,'Tech Parameters'!$I23,'Tech Parameters'!R85))</f>
        <v>0</v>
      </c>
      <c r="P464" s="49">
        <f>IF('Tech Parameters'!$I23=0,0,-PMT(discount_rate,'Tech Parameters'!$I23,'Tech Parameters'!S85))</f>
        <v>0</v>
      </c>
      <c r="Q464" s="49">
        <f>IF('Tech Parameters'!$I23=0,0,-PMT(discount_rate,'Tech Parameters'!$I23,'Tech Parameters'!T85))</f>
        <v>0</v>
      </c>
      <c r="R464" s="49">
        <f>IF('Tech Parameters'!$I23=0,0,-PMT(discount_rate,'Tech Parameters'!$I23,'Tech Parameters'!U85))</f>
        <v>0</v>
      </c>
      <c r="S464" s="49">
        <f>IF('Tech Parameters'!$I23=0,0,-PMT(discount_rate,'Tech Parameters'!$I23,'Tech Parameters'!V85))</f>
        <v>0</v>
      </c>
      <c r="T464" s="49">
        <f>IF('Tech Parameters'!$I23=0,0,-PMT(discount_rate,'Tech Parameters'!$I23,'Tech Parameters'!W85))</f>
        <v>0</v>
      </c>
      <c r="U464" s="49">
        <f>IF('Tech Parameters'!$I23=0,0,-PMT(discount_rate,'Tech Parameters'!$I23,'Tech Parameters'!X85))</f>
        <v>0</v>
      </c>
      <c r="V464" s="49">
        <f>IF('Tech Parameters'!$I23=0,0,-PMT(discount_rate,'Tech Parameters'!$I23,'Tech Parameters'!Y85))</f>
        <v>0</v>
      </c>
      <c r="W464" s="49">
        <f>IF('Tech Parameters'!$I23=0,0,-PMT(discount_rate,'Tech Parameters'!$I23,'Tech Parameters'!Z85))</f>
        <v>0</v>
      </c>
      <c r="X464" s="49">
        <f>IF('Tech Parameters'!$I23=0,0,-PMT(discount_rate,'Tech Parameters'!$I23,'Tech Parameters'!AA85))</f>
        <v>0</v>
      </c>
      <c r="Y464" s="49">
        <f>IF('Tech Parameters'!$I23=0,0,-PMT(discount_rate,'Tech Parameters'!$I23,'Tech Parameters'!AB85))</f>
        <v>0</v>
      </c>
      <c r="Z464" s="49">
        <f>IF('Tech Parameters'!$I23=0,0,-PMT(discount_rate,'Tech Parameters'!$I23,'Tech Parameters'!AC85))</f>
        <v>0</v>
      </c>
      <c r="AA464" s="49">
        <f>IF('Tech Parameters'!$I23=0,0,-PMT(discount_rate,'Tech Parameters'!$I23,'Tech Parameters'!AD85))</f>
        <v>0</v>
      </c>
      <c r="AB464" s="49">
        <f>IF('Tech Parameters'!$I23=0,0,-PMT(discount_rate,'Tech Parameters'!$I23,'Tech Parameters'!AE85))</f>
        <v>0</v>
      </c>
      <c r="AC464" s="49">
        <f>IF('Tech Parameters'!$I23=0,0,-PMT(discount_rate,'Tech Parameters'!$I23,'Tech Parameters'!AF85))</f>
        <v>0</v>
      </c>
      <c r="AD464" s="49">
        <f>IF('Tech Parameters'!$I23=0,0,-PMT(discount_rate,'Tech Parameters'!$I23,'Tech Parameters'!AG85))</f>
        <v>0</v>
      </c>
      <c r="AE464" s="49">
        <f>IF('Tech Parameters'!$I23=0,0,-PMT(discount_rate,'Tech Parameters'!$I23,'Tech Parameters'!AH85))</f>
        <v>0</v>
      </c>
      <c r="AF464" s="49">
        <f>IF('Tech Parameters'!$I23=0,0,-PMT(discount_rate,'Tech Parameters'!$I23,'Tech Parameters'!AI85))</f>
        <v>0</v>
      </c>
      <c r="AG464" s="49">
        <f>IF('Tech Parameters'!$I23=0,0,-PMT(discount_rate,'Tech Parameters'!$I23,'Tech Parameters'!AJ85))</f>
        <v>0</v>
      </c>
      <c r="AH464" s="49">
        <f>IF('Tech Parameters'!$I23=0,0,-PMT(discount_rate,'Tech Parameters'!$I23,'Tech Parameters'!AK85))</f>
        <v>0</v>
      </c>
      <c r="AI464" s="49">
        <f>IF('Tech Parameters'!$I23=0,0,-PMT(discount_rate,'Tech Parameters'!$I23,'Tech Parameters'!AL85))</f>
        <v>0</v>
      </c>
      <c r="AJ464" s="49">
        <f>IF('Tech Parameters'!$I23=0,0,-PMT(discount_rate,'Tech Parameters'!$I23,'Tech Parameters'!AM85))</f>
        <v>0</v>
      </c>
      <c r="AK464" s="49">
        <f>IF('Tech Parameters'!$I23=0,0,-PMT(discount_rate,'Tech Parameters'!$I23,'Tech Parameters'!AN85))</f>
        <v>0</v>
      </c>
      <c r="AL464" s="49">
        <f>IF('Tech Parameters'!$I23=0,0,-PMT(discount_rate,'Tech Parameters'!$I23,'Tech Parameters'!AO85))</f>
        <v>0</v>
      </c>
      <c r="AM464" s="49">
        <f>IF('Tech Parameters'!$I23=0,0,-PMT(discount_rate,'Tech Parameters'!$I23,'Tech Parameters'!AP85))</f>
        <v>0</v>
      </c>
      <c r="AN464" s="49">
        <f>IF('Tech Parameters'!$I23=0,0,-PMT(discount_rate,'Tech Parameters'!$I23,'Tech Parameters'!AQ85))</f>
        <v>0</v>
      </c>
      <c r="AO464" s="49">
        <f>IF('Tech Parameters'!$I23=0,0,-PMT(discount_rate,'Tech Parameters'!$I23,'Tech Parameters'!AR85))</f>
        <v>0</v>
      </c>
      <c r="AP464" s="49">
        <f>IF('Tech Parameters'!$I23=0,0,-PMT(discount_rate,'Tech Parameters'!$I23,'Tech Parameters'!AS85))</f>
        <v>0</v>
      </c>
      <c r="AQ464" s="49">
        <f>IF('Tech Parameters'!$I23=0,0,-PMT(discount_rate,'Tech Parameters'!$I23,'Tech Parameters'!AT85))</f>
        <v>0</v>
      </c>
      <c r="AR464" s="49">
        <f>IF('Tech Parameters'!$I23=0,0,-PMT(discount_rate,'Tech Parameters'!$I23,'Tech Parameters'!AU85))</f>
        <v>0</v>
      </c>
      <c r="AS464" s="49">
        <f>IF('Tech Parameters'!$I23=0,0,-PMT(discount_rate,'Tech Parameters'!$I23,'Tech Parameters'!AV85))</f>
        <v>0</v>
      </c>
      <c r="AT464" s="49">
        <f>IF('Tech Parameters'!$I23=0,0,-PMT(discount_rate,'Tech Parameters'!$I23,'Tech Parameters'!AW85))</f>
        <v>0</v>
      </c>
      <c r="AU464" s="49">
        <f>IF('Tech Parameters'!$I23=0,0,-PMT(discount_rate,'Tech Parameters'!$I23,'Tech Parameters'!AX85))</f>
        <v>0</v>
      </c>
      <c r="AV464" s="49">
        <f>IF('Tech Parameters'!$I23=0,0,-PMT(discount_rate,'Tech Parameters'!$I23,'Tech Parameters'!AY85))</f>
        <v>0</v>
      </c>
      <c r="AW464" s="49">
        <f>IF('Tech Parameters'!$I23=0,0,-PMT(discount_rate,'Tech Parameters'!$I23,'Tech Parameters'!AZ85))</f>
        <v>0</v>
      </c>
    </row>
    <row r="465" spans="3:49">
      <c r="C465" t="str">
        <f t="shared" si="217"/>
        <v>-</v>
      </c>
      <c r="D465" s="49">
        <f>IF('Tech Parameters'!$I24=0,0,-PMT(discount_rate,'Tech Parameters'!$I24,'Tech Parameters'!G86))</f>
        <v>0</v>
      </c>
      <c r="E465" s="49">
        <f>IF('Tech Parameters'!$I24=0,0,-PMT(discount_rate,'Tech Parameters'!$I24,'Tech Parameters'!H86))</f>
        <v>0</v>
      </c>
      <c r="F465" s="49">
        <f>IF('Tech Parameters'!$I24=0,0,-PMT(discount_rate,'Tech Parameters'!$I24,'Tech Parameters'!I86))</f>
        <v>0</v>
      </c>
      <c r="G465" s="49">
        <f>IF('Tech Parameters'!$I24=0,0,-PMT(discount_rate,'Tech Parameters'!$I24,'Tech Parameters'!J86))</f>
        <v>0</v>
      </c>
      <c r="H465" s="49">
        <f>IF('Tech Parameters'!$I24=0,0,-PMT(discount_rate,'Tech Parameters'!$I24,'Tech Parameters'!K86))</f>
        <v>0</v>
      </c>
      <c r="I465" s="49">
        <f>IF('Tech Parameters'!$I24=0,0,-PMT(discount_rate,'Tech Parameters'!$I24,'Tech Parameters'!L86))</f>
        <v>0</v>
      </c>
      <c r="J465" s="49">
        <f>IF('Tech Parameters'!$I24=0,0,-PMT(discount_rate,'Tech Parameters'!$I24,'Tech Parameters'!M86))</f>
        <v>0</v>
      </c>
      <c r="K465" s="49">
        <f>IF('Tech Parameters'!$I24=0,0,-PMT(discount_rate,'Tech Parameters'!$I24,'Tech Parameters'!N86))</f>
        <v>0</v>
      </c>
      <c r="L465" s="49">
        <f>IF('Tech Parameters'!$I24=0,0,-PMT(discount_rate,'Tech Parameters'!$I24,'Tech Parameters'!O86))</f>
        <v>0</v>
      </c>
      <c r="M465" s="49">
        <f>IF('Tech Parameters'!$I24=0,0,-PMT(discount_rate,'Tech Parameters'!$I24,'Tech Parameters'!P86))</f>
        <v>0</v>
      </c>
      <c r="N465" s="49">
        <f>IF('Tech Parameters'!$I24=0,0,-PMT(discount_rate,'Tech Parameters'!$I24,'Tech Parameters'!Q86))</f>
        <v>0</v>
      </c>
      <c r="O465" s="49">
        <f>IF('Tech Parameters'!$I24=0,0,-PMT(discount_rate,'Tech Parameters'!$I24,'Tech Parameters'!R86))</f>
        <v>0</v>
      </c>
      <c r="P465" s="49">
        <f>IF('Tech Parameters'!$I24=0,0,-PMT(discount_rate,'Tech Parameters'!$I24,'Tech Parameters'!S86))</f>
        <v>0</v>
      </c>
      <c r="Q465" s="49">
        <f>IF('Tech Parameters'!$I24=0,0,-PMT(discount_rate,'Tech Parameters'!$I24,'Tech Parameters'!T86))</f>
        <v>0</v>
      </c>
      <c r="R465" s="49">
        <f>IF('Tech Parameters'!$I24=0,0,-PMT(discount_rate,'Tech Parameters'!$I24,'Tech Parameters'!U86))</f>
        <v>0</v>
      </c>
      <c r="S465" s="49">
        <f>IF('Tech Parameters'!$I24=0,0,-PMT(discount_rate,'Tech Parameters'!$I24,'Tech Parameters'!V86))</f>
        <v>0</v>
      </c>
      <c r="T465" s="49">
        <f>IF('Tech Parameters'!$I24=0,0,-PMT(discount_rate,'Tech Parameters'!$I24,'Tech Parameters'!W86))</f>
        <v>0</v>
      </c>
      <c r="U465" s="49">
        <f>IF('Tech Parameters'!$I24=0,0,-PMT(discount_rate,'Tech Parameters'!$I24,'Tech Parameters'!X86))</f>
        <v>0</v>
      </c>
      <c r="V465" s="49">
        <f>IF('Tech Parameters'!$I24=0,0,-PMT(discount_rate,'Tech Parameters'!$I24,'Tech Parameters'!Y86))</f>
        <v>0</v>
      </c>
      <c r="W465" s="49">
        <f>IF('Tech Parameters'!$I24=0,0,-PMT(discount_rate,'Tech Parameters'!$I24,'Tech Parameters'!Z86))</f>
        <v>0</v>
      </c>
      <c r="X465" s="49">
        <f>IF('Tech Parameters'!$I24=0,0,-PMT(discount_rate,'Tech Parameters'!$I24,'Tech Parameters'!AA86))</f>
        <v>0</v>
      </c>
      <c r="Y465" s="49">
        <f>IF('Tech Parameters'!$I24=0,0,-PMT(discount_rate,'Tech Parameters'!$I24,'Tech Parameters'!AB86))</f>
        <v>0</v>
      </c>
      <c r="Z465" s="49">
        <f>IF('Tech Parameters'!$I24=0,0,-PMT(discount_rate,'Tech Parameters'!$I24,'Tech Parameters'!AC86))</f>
        <v>0</v>
      </c>
      <c r="AA465" s="49">
        <f>IF('Tech Parameters'!$I24=0,0,-PMT(discount_rate,'Tech Parameters'!$I24,'Tech Parameters'!AD86))</f>
        <v>0</v>
      </c>
      <c r="AB465" s="49">
        <f>IF('Tech Parameters'!$I24=0,0,-PMT(discount_rate,'Tech Parameters'!$I24,'Tech Parameters'!AE86))</f>
        <v>0</v>
      </c>
      <c r="AC465" s="49">
        <f>IF('Tech Parameters'!$I24=0,0,-PMT(discount_rate,'Tech Parameters'!$I24,'Tech Parameters'!AF86))</f>
        <v>0</v>
      </c>
      <c r="AD465" s="49">
        <f>IF('Tech Parameters'!$I24=0,0,-PMT(discount_rate,'Tech Parameters'!$I24,'Tech Parameters'!AG86))</f>
        <v>0</v>
      </c>
      <c r="AE465" s="49">
        <f>IF('Tech Parameters'!$I24=0,0,-PMT(discount_rate,'Tech Parameters'!$I24,'Tech Parameters'!AH86))</f>
        <v>0</v>
      </c>
      <c r="AF465" s="49">
        <f>IF('Tech Parameters'!$I24=0,0,-PMT(discount_rate,'Tech Parameters'!$I24,'Tech Parameters'!AI86))</f>
        <v>0</v>
      </c>
      <c r="AG465" s="49">
        <f>IF('Tech Parameters'!$I24=0,0,-PMT(discount_rate,'Tech Parameters'!$I24,'Tech Parameters'!AJ86))</f>
        <v>0</v>
      </c>
      <c r="AH465" s="49">
        <f>IF('Tech Parameters'!$I24=0,0,-PMT(discount_rate,'Tech Parameters'!$I24,'Tech Parameters'!AK86))</f>
        <v>0</v>
      </c>
      <c r="AI465" s="49">
        <f>IF('Tech Parameters'!$I24=0,0,-PMT(discount_rate,'Tech Parameters'!$I24,'Tech Parameters'!AL86))</f>
        <v>0</v>
      </c>
      <c r="AJ465" s="49">
        <f>IF('Tech Parameters'!$I24=0,0,-PMT(discount_rate,'Tech Parameters'!$I24,'Tech Parameters'!AM86))</f>
        <v>0</v>
      </c>
      <c r="AK465" s="49">
        <f>IF('Tech Parameters'!$I24=0,0,-PMT(discount_rate,'Tech Parameters'!$I24,'Tech Parameters'!AN86))</f>
        <v>0</v>
      </c>
      <c r="AL465" s="49">
        <f>IF('Tech Parameters'!$I24=0,0,-PMT(discount_rate,'Tech Parameters'!$I24,'Tech Parameters'!AO86))</f>
        <v>0</v>
      </c>
      <c r="AM465" s="49">
        <f>IF('Tech Parameters'!$I24=0,0,-PMT(discount_rate,'Tech Parameters'!$I24,'Tech Parameters'!AP86))</f>
        <v>0</v>
      </c>
      <c r="AN465" s="49">
        <f>IF('Tech Parameters'!$I24=0,0,-PMT(discount_rate,'Tech Parameters'!$I24,'Tech Parameters'!AQ86))</f>
        <v>0</v>
      </c>
      <c r="AO465" s="49">
        <f>IF('Tech Parameters'!$I24=0,0,-PMT(discount_rate,'Tech Parameters'!$I24,'Tech Parameters'!AR86))</f>
        <v>0</v>
      </c>
      <c r="AP465" s="49">
        <f>IF('Tech Parameters'!$I24=0,0,-PMT(discount_rate,'Tech Parameters'!$I24,'Tech Parameters'!AS86))</f>
        <v>0</v>
      </c>
      <c r="AQ465" s="49">
        <f>IF('Tech Parameters'!$I24=0,0,-PMT(discount_rate,'Tech Parameters'!$I24,'Tech Parameters'!AT86))</f>
        <v>0</v>
      </c>
      <c r="AR465" s="49">
        <f>IF('Tech Parameters'!$I24=0,0,-PMT(discount_rate,'Tech Parameters'!$I24,'Tech Parameters'!AU86))</f>
        <v>0</v>
      </c>
      <c r="AS465" s="49">
        <f>IF('Tech Parameters'!$I24=0,0,-PMT(discount_rate,'Tech Parameters'!$I24,'Tech Parameters'!AV86))</f>
        <v>0</v>
      </c>
      <c r="AT465" s="49">
        <f>IF('Tech Parameters'!$I24=0,0,-PMT(discount_rate,'Tech Parameters'!$I24,'Tech Parameters'!AW86))</f>
        <v>0</v>
      </c>
      <c r="AU465" s="49">
        <f>IF('Tech Parameters'!$I24=0,0,-PMT(discount_rate,'Tech Parameters'!$I24,'Tech Parameters'!AX86))</f>
        <v>0</v>
      </c>
      <c r="AV465" s="49">
        <f>IF('Tech Parameters'!$I24=0,0,-PMT(discount_rate,'Tech Parameters'!$I24,'Tech Parameters'!AY86))</f>
        <v>0</v>
      </c>
      <c r="AW465" s="49">
        <f>IF('Tech Parameters'!$I24=0,0,-PMT(discount_rate,'Tech Parameters'!$I24,'Tech Parameters'!AZ86))</f>
        <v>0</v>
      </c>
    </row>
    <row r="466" spans="3:49">
      <c r="C466" t="str">
        <f t="shared" si="217"/>
        <v>Pumped storage</v>
      </c>
      <c r="D466" s="49">
        <f>IF('Tech Parameters'!$I25=0,0,-PMT(discount_rate,'Tech Parameters'!$I25,'Tech Parameters'!G87))</f>
        <v>0</v>
      </c>
      <c r="E466" s="49">
        <f>IF('Tech Parameters'!$I25=0,0,-PMT(discount_rate,'Tech Parameters'!$I25,'Tech Parameters'!H87))</f>
        <v>0</v>
      </c>
      <c r="F466" s="49">
        <f>IF('Tech Parameters'!$I25=0,0,-PMT(discount_rate,'Tech Parameters'!$I25,'Tech Parameters'!I87))</f>
        <v>1312.1362995365118</v>
      </c>
      <c r="G466" s="49">
        <f>IF('Tech Parameters'!$I25=0,0,-PMT(discount_rate,'Tech Parameters'!$I25,'Tech Parameters'!J87))</f>
        <v>1312.1362995365118</v>
      </c>
      <c r="H466" s="49">
        <f>IF('Tech Parameters'!$I25=0,0,-PMT(discount_rate,'Tech Parameters'!$I25,'Tech Parameters'!K87))</f>
        <v>1312.1362995365118</v>
      </c>
      <c r="I466" s="49">
        <f>IF('Tech Parameters'!$I25=0,0,-PMT(discount_rate,'Tech Parameters'!$I25,'Tech Parameters'!L87))</f>
        <v>1312.1362995365118</v>
      </c>
      <c r="J466" s="49">
        <f>IF('Tech Parameters'!$I25=0,0,-PMT(discount_rate,'Tech Parameters'!$I25,'Tech Parameters'!M87))</f>
        <v>1312.1362995365118</v>
      </c>
      <c r="K466" s="49">
        <f>IF('Tech Parameters'!$I25=0,0,-PMT(discount_rate,'Tech Parameters'!$I25,'Tech Parameters'!N87))</f>
        <v>1312.1362995365118</v>
      </c>
      <c r="L466" s="49">
        <f>IF('Tech Parameters'!$I25=0,0,-PMT(discount_rate,'Tech Parameters'!$I25,'Tech Parameters'!O87))</f>
        <v>1312.1362995365118</v>
      </c>
      <c r="M466" s="49">
        <f>IF('Tech Parameters'!$I25=0,0,-PMT(discount_rate,'Tech Parameters'!$I25,'Tech Parameters'!P87))</f>
        <v>1312.1362995365118</v>
      </c>
      <c r="N466" s="49">
        <f>IF('Tech Parameters'!$I25=0,0,-PMT(discount_rate,'Tech Parameters'!$I25,'Tech Parameters'!Q87))</f>
        <v>1312.1362995365118</v>
      </c>
      <c r="O466" s="49">
        <f>IF('Tech Parameters'!$I25=0,0,-PMT(discount_rate,'Tech Parameters'!$I25,'Tech Parameters'!R87))</f>
        <v>1312.1362995365118</v>
      </c>
      <c r="P466" s="49">
        <f>IF('Tech Parameters'!$I25=0,0,-PMT(discount_rate,'Tech Parameters'!$I25,'Tech Parameters'!S87))</f>
        <v>1312.1362995365118</v>
      </c>
      <c r="Q466" s="49">
        <f>IF('Tech Parameters'!$I25=0,0,-PMT(discount_rate,'Tech Parameters'!$I25,'Tech Parameters'!T87))</f>
        <v>1312.1362995365118</v>
      </c>
      <c r="R466" s="49">
        <f>IF('Tech Parameters'!$I25=0,0,-PMT(discount_rate,'Tech Parameters'!$I25,'Tech Parameters'!U87))</f>
        <v>1312.1362995365118</v>
      </c>
      <c r="S466" s="49">
        <f>IF('Tech Parameters'!$I25=0,0,-PMT(discount_rate,'Tech Parameters'!$I25,'Tech Parameters'!V87))</f>
        <v>1312.1362995365118</v>
      </c>
      <c r="T466" s="49">
        <f>IF('Tech Parameters'!$I25=0,0,-PMT(discount_rate,'Tech Parameters'!$I25,'Tech Parameters'!W87))</f>
        <v>1312.1362995365118</v>
      </c>
      <c r="U466" s="49">
        <f>IF('Tech Parameters'!$I25=0,0,-PMT(discount_rate,'Tech Parameters'!$I25,'Tech Parameters'!X87))</f>
        <v>1312.1362995365118</v>
      </c>
      <c r="V466" s="49">
        <f>IF('Tech Parameters'!$I25=0,0,-PMT(discount_rate,'Tech Parameters'!$I25,'Tech Parameters'!Y87))</f>
        <v>1312.1362995365118</v>
      </c>
      <c r="W466" s="49">
        <f>IF('Tech Parameters'!$I25=0,0,-PMT(discount_rate,'Tech Parameters'!$I25,'Tech Parameters'!Z87))</f>
        <v>1312.1362995365118</v>
      </c>
      <c r="X466" s="49">
        <f>IF('Tech Parameters'!$I25=0,0,-PMT(discount_rate,'Tech Parameters'!$I25,'Tech Parameters'!AA87))</f>
        <v>1312.1362995365118</v>
      </c>
      <c r="Y466" s="49">
        <f>IF('Tech Parameters'!$I25=0,0,-PMT(discount_rate,'Tech Parameters'!$I25,'Tech Parameters'!AB87))</f>
        <v>1312.1362995365118</v>
      </c>
      <c r="Z466" s="49">
        <f>IF('Tech Parameters'!$I25=0,0,-PMT(discount_rate,'Tech Parameters'!$I25,'Tech Parameters'!AC87))</f>
        <v>1312.1362995365118</v>
      </c>
      <c r="AA466" s="49">
        <f>IF('Tech Parameters'!$I25=0,0,-PMT(discount_rate,'Tech Parameters'!$I25,'Tech Parameters'!AD87))</f>
        <v>1312.1362995365118</v>
      </c>
      <c r="AB466" s="49">
        <f>IF('Tech Parameters'!$I25=0,0,-PMT(discount_rate,'Tech Parameters'!$I25,'Tech Parameters'!AE87))</f>
        <v>1312.1362995365118</v>
      </c>
      <c r="AC466" s="49">
        <f>IF('Tech Parameters'!$I25=0,0,-PMT(discount_rate,'Tech Parameters'!$I25,'Tech Parameters'!AF87))</f>
        <v>1312.1362995365118</v>
      </c>
      <c r="AD466" s="49">
        <f>IF('Tech Parameters'!$I25=0,0,-PMT(discount_rate,'Tech Parameters'!$I25,'Tech Parameters'!AG87))</f>
        <v>1312.1362995365118</v>
      </c>
      <c r="AE466" s="49">
        <f>IF('Tech Parameters'!$I25=0,0,-PMT(discount_rate,'Tech Parameters'!$I25,'Tech Parameters'!AH87))</f>
        <v>1312.1362995365118</v>
      </c>
      <c r="AF466" s="49">
        <f>IF('Tech Parameters'!$I25=0,0,-PMT(discount_rate,'Tech Parameters'!$I25,'Tech Parameters'!AI87))</f>
        <v>1312.1362995365118</v>
      </c>
      <c r="AG466" s="49">
        <f>IF('Tech Parameters'!$I25=0,0,-PMT(discount_rate,'Tech Parameters'!$I25,'Tech Parameters'!AJ87))</f>
        <v>1312.1362995365118</v>
      </c>
      <c r="AH466" s="49">
        <f>IF('Tech Parameters'!$I25=0,0,-PMT(discount_rate,'Tech Parameters'!$I25,'Tech Parameters'!AK87))</f>
        <v>1312.1362995365118</v>
      </c>
      <c r="AI466" s="49">
        <f>IF('Tech Parameters'!$I25=0,0,-PMT(discount_rate,'Tech Parameters'!$I25,'Tech Parameters'!AL87))</f>
        <v>1312.1362995365118</v>
      </c>
      <c r="AJ466" s="49">
        <f>IF('Tech Parameters'!$I25=0,0,-PMT(discount_rate,'Tech Parameters'!$I25,'Tech Parameters'!AM87))</f>
        <v>1312.1362995365118</v>
      </c>
      <c r="AK466" s="49">
        <f>IF('Tech Parameters'!$I25=0,0,-PMT(discount_rate,'Tech Parameters'!$I25,'Tech Parameters'!AN87))</f>
        <v>1312.1362995365118</v>
      </c>
      <c r="AL466" s="49">
        <f>IF('Tech Parameters'!$I25=0,0,-PMT(discount_rate,'Tech Parameters'!$I25,'Tech Parameters'!AO87))</f>
        <v>1312.1362995365118</v>
      </c>
      <c r="AM466" s="49">
        <f>IF('Tech Parameters'!$I25=0,0,-PMT(discount_rate,'Tech Parameters'!$I25,'Tech Parameters'!AP87))</f>
        <v>1312.1362995365118</v>
      </c>
      <c r="AN466" s="49">
        <f>IF('Tech Parameters'!$I25=0,0,-PMT(discount_rate,'Tech Parameters'!$I25,'Tech Parameters'!AQ87))</f>
        <v>1312.1362995365118</v>
      </c>
      <c r="AO466" s="49">
        <f>IF('Tech Parameters'!$I25=0,0,-PMT(discount_rate,'Tech Parameters'!$I25,'Tech Parameters'!AR87))</f>
        <v>1312.1362995365118</v>
      </c>
      <c r="AP466" s="49">
        <f>IF('Tech Parameters'!$I25=0,0,-PMT(discount_rate,'Tech Parameters'!$I25,'Tech Parameters'!AS87))</f>
        <v>1312.1362995365118</v>
      </c>
      <c r="AQ466" s="49">
        <f>IF('Tech Parameters'!$I25=0,0,-PMT(discount_rate,'Tech Parameters'!$I25,'Tech Parameters'!AT87))</f>
        <v>1312.1362995365118</v>
      </c>
      <c r="AR466" s="49">
        <f>IF('Tech Parameters'!$I25=0,0,-PMT(discount_rate,'Tech Parameters'!$I25,'Tech Parameters'!AU87))</f>
        <v>1312.1362995365118</v>
      </c>
      <c r="AS466" s="49">
        <f>IF('Tech Parameters'!$I25=0,0,-PMT(discount_rate,'Tech Parameters'!$I25,'Tech Parameters'!AV87))</f>
        <v>1312.1362995365118</v>
      </c>
      <c r="AT466" s="49">
        <f>IF('Tech Parameters'!$I25=0,0,-PMT(discount_rate,'Tech Parameters'!$I25,'Tech Parameters'!AW87))</f>
        <v>1312.1362995365118</v>
      </c>
      <c r="AU466" s="49">
        <f>IF('Tech Parameters'!$I25=0,0,-PMT(discount_rate,'Tech Parameters'!$I25,'Tech Parameters'!AX87))</f>
        <v>1312.1362995365118</v>
      </c>
      <c r="AV466" s="49">
        <f>IF('Tech Parameters'!$I25=0,0,-PMT(discount_rate,'Tech Parameters'!$I25,'Tech Parameters'!AY87))</f>
        <v>1312.1362995365118</v>
      </c>
      <c r="AW466" s="49">
        <f>IF('Tech Parameters'!$I25=0,0,-PMT(discount_rate,'Tech Parameters'!$I25,'Tech Parameters'!AZ87))</f>
        <v>1312.1362995365118</v>
      </c>
    </row>
    <row r="469" spans="3:49">
      <c r="C469" s="4" t="s">
        <v>319</v>
      </c>
    </row>
    <row r="470" spans="3:49">
      <c r="C470" t="str">
        <f>C8</f>
        <v>Existing coal Large</v>
      </c>
      <c r="D470">
        <f t="array" aca="1" ref="D470" ca="1">SUM(OFFSET(D121,0,IF(D$7-2004-'Tech Parameters'!$I6&lt;1,-D$7+2004+1,-'Tech Parameters'!$I6+1)):D121*OFFSET(D447,0,IF(D$7-2004-'Tech Parameters'!$I6&lt;1,-D$7+2004+1,-'Tech Parameters'!$I6+1)):D447)</f>
        <v>0</v>
      </c>
      <c r="E470">
        <f t="array" aca="1" ref="E470" ca="1">SUM(OFFSET(E121,0,IF(E$7-2004-'Tech Parameters'!$I6&lt;1,-E$7+2004+1,-'Tech Parameters'!$I6+1)):E121*OFFSET(E447,0,IF(E$7-2004-'Tech Parameters'!$I6&lt;1,-E$7+2004+1,-'Tech Parameters'!$I6+1)):E447)</f>
        <v>0</v>
      </c>
      <c r="F470">
        <f t="array" aca="1" ref="F470" ca="1">SUM(OFFSET(F121,0,IF(F$7-2004-'Tech Parameters'!$I6&lt;1,-F$7+2004+1,-'Tech Parameters'!$I6+1)):F121*OFFSET(F447,0,IF(F$7-2004-'Tech Parameters'!$I6&lt;1,-F$7+2004+1,-'Tech Parameters'!$I6+1)):F447)</f>
        <v>0</v>
      </c>
      <c r="G470">
        <f t="array" aca="1" ref="G470" ca="1">SUM(OFFSET(G121,0,IF(G$7-2004-'Tech Parameters'!$I6&lt;1,-G$7+2004+1,-'Tech Parameters'!$I6+1)):G121*OFFSET(G447,0,IF(G$7-2004-'Tech Parameters'!$I6&lt;1,-G$7+2004+1,-'Tech Parameters'!$I6+1)):G447)</f>
        <v>0</v>
      </c>
      <c r="H470">
        <f t="array" aca="1" ref="H470" ca="1">SUM(OFFSET(H121,0,IF(H$7-2004-'Tech Parameters'!$I6&lt;1,-H$7+2004+1,-'Tech Parameters'!$I6+1)):H121*OFFSET(H447,0,IF(H$7-2004-'Tech Parameters'!$I6&lt;1,-H$7+2004+1,-'Tech Parameters'!$I6+1)):H447)</f>
        <v>0</v>
      </c>
      <c r="I470">
        <f t="array" aca="1" ref="I470" ca="1">SUM(OFFSET(I121,0,IF(I$7-2004-'Tech Parameters'!$I6&lt;1,-I$7+2004+1,-'Tech Parameters'!$I6+1)):I121*OFFSET(I447,0,IF(I$7-2004-'Tech Parameters'!$I6&lt;1,-I$7+2004+1,-'Tech Parameters'!$I6+1)):I447)</f>
        <v>0</v>
      </c>
      <c r="J470">
        <f t="array" aca="1" ref="J470" ca="1">SUM(OFFSET(J121,0,IF(J$7-2004-'Tech Parameters'!$I6&lt;1,-J$7+2004+1,-'Tech Parameters'!$I6+1)):J121*OFFSET(J447,0,IF(J$7-2004-'Tech Parameters'!$I6&lt;1,-J$7+2004+1,-'Tech Parameters'!$I6+1)):J447)</f>
        <v>0</v>
      </c>
      <c r="K470">
        <f t="array" aca="1" ref="K470" ca="1">SUM(OFFSET(K121,0,IF(K$7-2004-'Tech Parameters'!$I6&lt;1,-K$7+2004+1,-'Tech Parameters'!$I6+1)):K121*OFFSET(K447,0,IF(K$7-2004-'Tech Parameters'!$I6&lt;1,-K$7+2004+1,-'Tech Parameters'!$I6+1)):K447)</f>
        <v>0</v>
      </c>
      <c r="L470">
        <f t="array" aca="1" ref="L470" ca="1">SUM(OFFSET(L121,0,IF(L$7-2004-'Tech Parameters'!$I6&lt;1,-L$7+2004+1,-'Tech Parameters'!$I6+1)):L121*OFFSET(L447,0,IF(L$7-2004-'Tech Parameters'!$I6&lt;1,-L$7+2004+1,-'Tech Parameters'!$I6+1)):L447)</f>
        <v>0</v>
      </c>
      <c r="M470">
        <f t="array" aca="1" ref="M470" ca="1">SUM(OFFSET(M121,0,IF(M$7-2004-'Tech Parameters'!$I6&lt;1,-M$7+2004+1,-'Tech Parameters'!$I6+1)):M121*OFFSET(M447,0,IF(M$7-2004-'Tech Parameters'!$I6&lt;1,-M$7+2004+1,-'Tech Parameters'!$I6+1)):M447)</f>
        <v>0</v>
      </c>
      <c r="N470">
        <f t="array" aca="1" ref="N470" ca="1">SUM(OFFSET(N121,0,IF(N$7-2004-'Tech Parameters'!$I6&lt;1,-N$7+2004+1,-'Tech Parameters'!$I6+1)):N121*OFFSET(N447,0,IF(N$7-2004-'Tech Parameters'!$I6&lt;1,-N$7+2004+1,-'Tech Parameters'!$I6+1)):N447)</f>
        <v>0</v>
      </c>
      <c r="O470">
        <f t="array" aca="1" ref="O470" ca="1">SUM(OFFSET(O121,0,IF(O$7-2004-'Tech Parameters'!$I6&lt;1,-O$7+2004+1,-'Tech Parameters'!$I6+1)):O121*OFFSET(O447,0,IF(O$7-2004-'Tech Parameters'!$I6&lt;1,-O$7+2004+1,-'Tech Parameters'!$I6+1)):O447)</f>
        <v>0</v>
      </c>
      <c r="P470">
        <f t="array" aca="1" ref="P470" ca="1">SUM(OFFSET(P121,0,IF(P$7-2004-'Tech Parameters'!$I6&lt;1,-P$7+2004+1,-'Tech Parameters'!$I6+1)):P121*OFFSET(P447,0,IF(P$7-2004-'Tech Parameters'!$I6&lt;1,-P$7+2004+1,-'Tech Parameters'!$I6+1)):P447)</f>
        <v>0</v>
      </c>
      <c r="Q470">
        <f t="array" aca="1" ref="Q470" ca="1">SUM(OFFSET(Q121,0,IF(Q$7-2004-'Tech Parameters'!$I6&lt;1,-Q$7+2004+1,-'Tech Parameters'!$I6+1)):Q121*OFFSET(Q447,0,IF(Q$7-2004-'Tech Parameters'!$I6&lt;1,-Q$7+2004+1,-'Tech Parameters'!$I6+1)):Q447)</f>
        <v>0</v>
      </c>
      <c r="R470">
        <f t="array" aca="1" ref="R470" ca="1">SUM(OFFSET(R121,0,IF(R$7-2004-'Tech Parameters'!$I6&lt;1,-R$7+2004+1,-'Tech Parameters'!$I6+1)):R121*OFFSET(R447,0,IF(R$7-2004-'Tech Parameters'!$I6&lt;1,-R$7+2004+1,-'Tech Parameters'!$I6+1)):R447)</f>
        <v>0</v>
      </c>
      <c r="S470">
        <f t="array" aca="1" ref="S470" ca="1">SUM(OFFSET(S121,0,IF(S$7-2004-'Tech Parameters'!$I6&lt;1,-S$7+2004+1,-'Tech Parameters'!$I6+1)):S121*OFFSET(S447,0,IF(S$7-2004-'Tech Parameters'!$I6&lt;1,-S$7+2004+1,-'Tech Parameters'!$I6+1)):S447)</f>
        <v>0</v>
      </c>
      <c r="T470">
        <f t="array" aca="1" ref="T470" ca="1">SUM(OFFSET(T121,0,IF(T$7-2004-'Tech Parameters'!$I6&lt;1,-T$7+2004+1,-'Tech Parameters'!$I6+1)):T121*OFFSET(T447,0,IF(T$7-2004-'Tech Parameters'!$I6&lt;1,-T$7+2004+1,-'Tech Parameters'!$I6+1)):T447)</f>
        <v>0</v>
      </c>
      <c r="U470">
        <f t="array" aca="1" ref="U470" ca="1">SUM(OFFSET(U121,0,IF(U$7-2004-'Tech Parameters'!$I6&lt;1,-U$7+2004+1,-'Tech Parameters'!$I6+1)):U121*OFFSET(U447,0,IF(U$7-2004-'Tech Parameters'!$I6&lt;1,-U$7+2004+1,-'Tech Parameters'!$I6+1)):U447)</f>
        <v>0</v>
      </c>
      <c r="V470">
        <f t="array" aca="1" ref="V470" ca="1">SUM(OFFSET(V121,0,IF(V$7-2004-'Tech Parameters'!$I6&lt;1,-V$7+2004+1,-'Tech Parameters'!$I6+1)):V121*OFFSET(V447,0,IF(V$7-2004-'Tech Parameters'!$I6&lt;1,-V$7+2004+1,-'Tech Parameters'!$I6+1)):V447)</f>
        <v>0</v>
      </c>
      <c r="W470">
        <f t="array" aca="1" ref="W470" ca="1">SUM(OFFSET(W121,0,IF(W$7-2004-'Tech Parameters'!$I6&lt;1,-W$7+2004+1,-'Tech Parameters'!$I6+1)):W121*OFFSET(W447,0,IF(W$7-2004-'Tech Parameters'!$I6&lt;1,-W$7+2004+1,-'Tech Parameters'!$I6+1)):W447)</f>
        <v>0</v>
      </c>
      <c r="X470">
        <f t="array" aca="1" ref="X470" ca="1">SUM(OFFSET(X121,0,IF(X$7-2004-'Tech Parameters'!$I6&lt;1,-X$7+2004+1,-'Tech Parameters'!$I6+1)):X121*OFFSET(X447,0,IF(X$7-2004-'Tech Parameters'!$I6&lt;1,-X$7+2004+1,-'Tech Parameters'!$I6+1)):X447)</f>
        <v>0</v>
      </c>
      <c r="Y470">
        <f t="array" aca="1" ref="Y470" ca="1">SUM(OFFSET(Y121,0,IF(Y$7-2004-'Tech Parameters'!$I6&lt;1,-Y$7+2004+1,-'Tech Parameters'!$I6+1)):Y121*OFFSET(Y447,0,IF(Y$7-2004-'Tech Parameters'!$I6&lt;1,-Y$7+2004+1,-'Tech Parameters'!$I6+1)):Y447)</f>
        <v>0</v>
      </c>
      <c r="Z470">
        <f t="array" aca="1" ref="Z470" ca="1">SUM(OFFSET(Z121,0,IF(Z$7-2004-'Tech Parameters'!$I6&lt;1,-Z$7+2004+1,-'Tech Parameters'!$I6+1)):Z121*OFFSET(Z447,0,IF(Z$7-2004-'Tech Parameters'!$I6&lt;1,-Z$7+2004+1,-'Tech Parameters'!$I6+1)):Z447)</f>
        <v>0</v>
      </c>
      <c r="AA470">
        <f t="array" aca="1" ref="AA470" ca="1">SUM(OFFSET(AA121,0,IF(AA$7-2004-'Tech Parameters'!$I6&lt;1,-AA$7+2004+1,-'Tech Parameters'!$I6+1)):AA121*OFFSET(AA447,0,IF(AA$7-2004-'Tech Parameters'!$I6&lt;1,-AA$7+2004+1,-'Tech Parameters'!$I6+1)):AA447)</f>
        <v>0</v>
      </c>
      <c r="AB470">
        <f t="array" aca="1" ref="AB470" ca="1">SUM(OFFSET(AB121,0,IF(AB$7-2004-'Tech Parameters'!$I6&lt;1,-AB$7+2004+1,-'Tech Parameters'!$I6+1)):AB121*OFFSET(AB447,0,IF(AB$7-2004-'Tech Parameters'!$I6&lt;1,-AB$7+2004+1,-'Tech Parameters'!$I6+1)):AB447)</f>
        <v>0</v>
      </c>
      <c r="AC470">
        <f t="array" aca="1" ref="AC470" ca="1">SUM(OFFSET(AC121,0,IF(AC$7-2004-'Tech Parameters'!$I6&lt;1,-AC$7+2004+1,-'Tech Parameters'!$I6+1)):AC121*OFFSET(AC447,0,IF(AC$7-2004-'Tech Parameters'!$I6&lt;1,-AC$7+2004+1,-'Tech Parameters'!$I6+1)):AC447)</f>
        <v>0</v>
      </c>
      <c r="AD470" s="76">
        <f t="array" aca="1" ref="AD470" ca="1">SUM(OFFSET(AD121,0,IF(AD$7-2004-'Tech Parameters'!$I6&lt;1,-AD$7+2004+1,-'Tech Parameters'!$I6+1)):AD121*OFFSET(AD447,0,IF(AD$7-2004-'Tech Parameters'!$I6&lt;1,-AD$7+2004+1,-'Tech Parameters'!$I6+1)):AD447)</f>
        <v>0</v>
      </c>
      <c r="AE470" s="76">
        <f t="array" aca="1" ref="AE470" ca="1">SUM(OFFSET(AE121,0,IF(AE$7-2004-'Tech Parameters'!$I6&lt;1,-AE$7+2004+1,-'Tech Parameters'!$I6+1)):AE121*OFFSET(AE447,0,IF(AE$7-2004-'Tech Parameters'!$I6&lt;1,-AE$7+2004+1,-'Tech Parameters'!$I6+1)):AE447)</f>
        <v>0</v>
      </c>
      <c r="AF470" s="76">
        <f t="array" aca="1" ref="AF470" ca="1">SUM(OFFSET(AF121,0,IF(AF$7-2004-'Tech Parameters'!$I6&lt;1,-AF$7+2004+1,-'Tech Parameters'!$I6+1)):AF121*OFFSET(AF447,0,IF(AF$7-2004-'Tech Parameters'!$I6&lt;1,-AF$7+2004+1,-'Tech Parameters'!$I6+1)):AF447)</f>
        <v>0</v>
      </c>
      <c r="AG470" s="76">
        <f t="array" aca="1" ref="AG470" ca="1">SUM(OFFSET(AG121,0,IF(AG$7-2004-'Tech Parameters'!$I6&lt;1,-AG$7+2004+1,-'Tech Parameters'!$I6+1)):AG121*OFFSET(AG447,0,IF(AG$7-2004-'Tech Parameters'!$I6&lt;1,-AG$7+2004+1,-'Tech Parameters'!$I6+1)):AG447)</f>
        <v>0</v>
      </c>
      <c r="AH470" s="76">
        <f t="array" aca="1" ref="AH470" ca="1">SUM(OFFSET(AH121,0,IF(AH$7-2004-'Tech Parameters'!$I6&lt;1,-AH$7+2004+1,-'Tech Parameters'!$I6+1)):AH121*OFFSET(AH447,0,IF(AH$7-2004-'Tech Parameters'!$I6&lt;1,-AH$7+2004+1,-'Tech Parameters'!$I6+1)):AH447)</f>
        <v>0</v>
      </c>
      <c r="AI470" s="76">
        <f t="array" aca="1" ref="AI470" ca="1">SUM(OFFSET(AI121,0,IF(AI$7-2004-'Tech Parameters'!$I6&lt;1,-AI$7+2004+1,-'Tech Parameters'!$I6+1)):AI121*OFFSET(AI447,0,IF(AI$7-2004-'Tech Parameters'!$I6&lt;1,-AI$7+2004+1,-'Tech Parameters'!$I6+1)):AI447)</f>
        <v>0</v>
      </c>
      <c r="AJ470" s="76">
        <f t="array" aca="1" ref="AJ470" ca="1">SUM(OFFSET(AJ121,0,IF(AJ$7-2004-'Tech Parameters'!$I6&lt;1,-AJ$7+2004+1,-'Tech Parameters'!$I6+1)):AJ121*OFFSET(AJ447,0,IF(AJ$7-2004-'Tech Parameters'!$I6&lt;1,-AJ$7+2004+1,-'Tech Parameters'!$I6+1)):AJ447)</f>
        <v>0</v>
      </c>
      <c r="AK470" s="76">
        <f t="array" aca="1" ref="AK470" ca="1">SUM(OFFSET(AK121,0,IF(AK$7-2004-'Tech Parameters'!$I6&lt;1,-AK$7+2004+1,-'Tech Parameters'!$I6+1)):AK121*OFFSET(AK447,0,IF(AK$7-2004-'Tech Parameters'!$I6&lt;1,-AK$7+2004+1,-'Tech Parameters'!$I6+1)):AK447)</f>
        <v>0</v>
      </c>
      <c r="AL470" s="76">
        <f t="array" aca="1" ref="AL470" ca="1">SUM(OFFSET(AL121,0,IF(AL$7-2004-'Tech Parameters'!$I6&lt;1,-AL$7+2004+1,-'Tech Parameters'!$I6+1)):AL121*OFFSET(AL447,0,IF(AL$7-2004-'Tech Parameters'!$I6&lt;1,-AL$7+2004+1,-'Tech Parameters'!$I6+1)):AL447)</f>
        <v>0</v>
      </c>
      <c r="AM470" s="76">
        <f t="array" aca="1" ref="AM470" ca="1">SUM(OFFSET(AM121,0,IF(AM$7-2004-'Tech Parameters'!$I6&lt;1,-AM$7+2004+1,-'Tech Parameters'!$I6+1)):AM121*OFFSET(AM447,0,IF(AM$7-2004-'Tech Parameters'!$I6&lt;1,-AM$7+2004+1,-'Tech Parameters'!$I6+1)):AM447)</f>
        <v>0</v>
      </c>
      <c r="AN470" s="76">
        <f t="array" aca="1" ref="AN470" ca="1">SUM(OFFSET(AN121,0,IF(AN$7-2004-'Tech Parameters'!$I6&lt;1,-AN$7+2004+1,-'Tech Parameters'!$I6+1)):AN121*OFFSET(AN447,0,IF(AN$7-2004-'Tech Parameters'!$I6&lt;1,-AN$7+2004+1,-'Tech Parameters'!$I6+1)):AN447)</f>
        <v>0</v>
      </c>
      <c r="AO470" s="76">
        <f t="array" aca="1" ref="AO470" ca="1">SUM(OFFSET(AO121,0,IF(AO$7-2004-'Tech Parameters'!$I6&lt;1,-AO$7+2004+1,-'Tech Parameters'!$I6+1)):AO121*OFFSET(AO447,0,IF(AO$7-2004-'Tech Parameters'!$I6&lt;1,-AO$7+2004+1,-'Tech Parameters'!$I6+1)):AO447)</f>
        <v>0</v>
      </c>
      <c r="AP470" s="76">
        <f t="array" aca="1" ref="AP470" ca="1">SUM(OFFSET(AP121,0,IF(AP$7-2004-'Tech Parameters'!$I6&lt;1,-AP$7+2004+1,-'Tech Parameters'!$I6+1)):AP121*OFFSET(AP447,0,IF(AP$7-2004-'Tech Parameters'!$I6&lt;1,-AP$7+2004+1,-'Tech Parameters'!$I6+1)):AP447)</f>
        <v>0</v>
      </c>
      <c r="AQ470" s="76">
        <f t="array" aca="1" ref="AQ470" ca="1">SUM(OFFSET(AQ121,0,IF(AQ$7-2004-'Tech Parameters'!$I6&lt;1,-AQ$7+2004+1,-'Tech Parameters'!$I6+1)):AQ121*OFFSET(AQ447,0,IF(AQ$7-2004-'Tech Parameters'!$I6&lt;1,-AQ$7+2004+1,-'Tech Parameters'!$I6+1)):AQ447)</f>
        <v>0</v>
      </c>
      <c r="AR470" s="76">
        <f t="array" aca="1" ref="AR470" ca="1">SUM(OFFSET(AR121,0,IF(AR$7-2004-'Tech Parameters'!$I6&lt;1,-AR$7+2004+1,-'Tech Parameters'!$I6+1)):AR121*OFFSET(AR447,0,IF(AR$7-2004-'Tech Parameters'!$I6&lt;1,-AR$7+2004+1,-'Tech Parameters'!$I6+1)):AR447)</f>
        <v>0</v>
      </c>
      <c r="AS470" s="76">
        <f t="array" aca="1" ref="AS470" ca="1">SUM(OFFSET(AS121,0,IF(AS$7-2004-'Tech Parameters'!$I6&lt;1,-AS$7+2004+1,-'Tech Parameters'!$I6+1)):AS121*OFFSET(AS447,0,IF(AS$7-2004-'Tech Parameters'!$I6&lt;1,-AS$7+2004+1,-'Tech Parameters'!$I6+1)):AS447)</f>
        <v>0</v>
      </c>
      <c r="AT470" s="76">
        <f t="array" aca="1" ref="AT470" ca="1">SUM(OFFSET(AT121,0,IF(AT$7-2004-'Tech Parameters'!$I6&lt;1,-AT$7+2004+1,-'Tech Parameters'!$I6+1)):AT121*OFFSET(AT447,0,IF(AT$7-2004-'Tech Parameters'!$I6&lt;1,-AT$7+2004+1,-'Tech Parameters'!$I6+1)):AT447)</f>
        <v>0</v>
      </c>
      <c r="AU470" s="76">
        <f t="array" aca="1" ref="AU470" ca="1">SUM(OFFSET(AU121,0,IF(AU$7-2004-'Tech Parameters'!$I6&lt;1,-AU$7+2004+1,-'Tech Parameters'!$I6+1)):AU121*OFFSET(AU447,0,IF(AU$7-2004-'Tech Parameters'!$I6&lt;1,-AU$7+2004+1,-'Tech Parameters'!$I6+1)):AU447)</f>
        <v>0</v>
      </c>
      <c r="AV470" s="76">
        <f t="array" aca="1" ref="AV470" ca="1">SUM(OFFSET(AV121,0,IF(AV$7-2004-'Tech Parameters'!$I6&lt;1,-AV$7+2004+1,-'Tech Parameters'!$I6+1)):AV121*OFFSET(AV447,0,IF(AV$7-2004-'Tech Parameters'!$I6&lt;1,-AV$7+2004+1,-'Tech Parameters'!$I6+1)):AV447)</f>
        <v>0</v>
      </c>
      <c r="AW470" s="76">
        <f t="array" aca="1" ref="AW470" ca="1">SUM(OFFSET(AW121,0,IF(AW$7-2004-'Tech Parameters'!$I6&lt;1,-AW$7+2004+1,-'Tech Parameters'!$I6+1)):AW121*OFFSET(AW447,0,IF(AW$7-2004-'Tech Parameters'!$I6&lt;1,-AW$7+2004+1,-'Tech Parameters'!$I6+1)):AW447)</f>
        <v>0</v>
      </c>
    </row>
    <row r="471" spans="3:49">
      <c r="C471" t="str">
        <f t="shared" ref="C471:C488" si="218">C9</f>
        <v>Existing coal Small</v>
      </c>
      <c r="D471">
        <f t="array" aca="1" ref="D471" ca="1">SUM(OFFSET(D122,0,IF(D$7-2004-'Tech Parameters'!$I7&lt;1,-D$7+2004+1,-'Tech Parameters'!$I7+1)):D122*OFFSET(D448,0,IF(D$7-2004-'Tech Parameters'!$I7&lt;1,-D$7+2004+1,-'Tech Parameters'!$I7+1)):D448)</f>
        <v>0</v>
      </c>
      <c r="E471">
        <f t="array" aca="1" ref="E471" ca="1">SUM(OFFSET(E122,0,IF(E$7-2004-'Tech Parameters'!$I7&lt;1,-E$7+2004+1,-'Tech Parameters'!$I7+1)):E122*OFFSET(E448,0,IF(E$7-2004-'Tech Parameters'!$I7&lt;1,-E$7+2004+1,-'Tech Parameters'!$I7+1)):E448)</f>
        <v>0</v>
      </c>
      <c r="F471">
        <f t="array" aca="1" ref="F471" ca="1">SUM(OFFSET(F122,0,IF(F$7-2004-'Tech Parameters'!$I7&lt;1,-F$7+2004+1,-'Tech Parameters'!$I7+1)):F122*OFFSET(F448,0,IF(F$7-2004-'Tech Parameters'!$I7&lt;1,-F$7+2004+1,-'Tech Parameters'!$I7+1)):F448)</f>
        <v>0</v>
      </c>
      <c r="G471">
        <f t="array" aca="1" ref="G471" ca="1">SUM(OFFSET(G122,0,IF(G$7-2004-'Tech Parameters'!$I7&lt;1,-G$7+2004+1,-'Tech Parameters'!$I7+1)):G122*OFFSET(G448,0,IF(G$7-2004-'Tech Parameters'!$I7&lt;1,-G$7+2004+1,-'Tech Parameters'!$I7+1)):G448)</f>
        <v>0</v>
      </c>
      <c r="H471">
        <f t="array" aca="1" ref="H471" ca="1">SUM(OFFSET(H122,0,IF(H$7-2004-'Tech Parameters'!$I7&lt;1,-H$7+2004+1,-'Tech Parameters'!$I7+1)):H122*OFFSET(H448,0,IF(H$7-2004-'Tech Parameters'!$I7&lt;1,-H$7+2004+1,-'Tech Parameters'!$I7+1)):H448)</f>
        <v>0</v>
      </c>
      <c r="I471">
        <f t="array" aca="1" ref="I471" ca="1">SUM(OFFSET(I122,0,IF(I$7-2004-'Tech Parameters'!$I7&lt;1,-I$7+2004+1,-'Tech Parameters'!$I7+1)):I122*OFFSET(I448,0,IF(I$7-2004-'Tech Parameters'!$I7&lt;1,-I$7+2004+1,-'Tech Parameters'!$I7+1)):I448)</f>
        <v>0</v>
      </c>
      <c r="J471">
        <f t="array" aca="1" ref="J471" ca="1">SUM(OFFSET(J122,0,IF(J$7-2004-'Tech Parameters'!$I7&lt;1,-J$7+2004+1,-'Tech Parameters'!$I7+1)):J122*OFFSET(J448,0,IF(J$7-2004-'Tech Parameters'!$I7&lt;1,-J$7+2004+1,-'Tech Parameters'!$I7+1)):J448)</f>
        <v>0</v>
      </c>
      <c r="K471">
        <f t="array" aca="1" ref="K471" ca="1">SUM(OFFSET(K122,0,IF(K$7-2004-'Tech Parameters'!$I7&lt;1,-K$7+2004+1,-'Tech Parameters'!$I7+1)):K122*OFFSET(K448,0,IF(K$7-2004-'Tech Parameters'!$I7&lt;1,-K$7+2004+1,-'Tech Parameters'!$I7+1)):K448)</f>
        <v>0</v>
      </c>
      <c r="L471">
        <f t="array" aca="1" ref="L471" ca="1">SUM(OFFSET(L122,0,IF(L$7-2004-'Tech Parameters'!$I7&lt;1,-L$7+2004+1,-'Tech Parameters'!$I7+1)):L122*OFFSET(L448,0,IF(L$7-2004-'Tech Parameters'!$I7&lt;1,-L$7+2004+1,-'Tech Parameters'!$I7+1)):L448)</f>
        <v>0</v>
      </c>
      <c r="M471">
        <f t="array" aca="1" ref="M471" ca="1">SUM(OFFSET(M122,0,IF(M$7-2004-'Tech Parameters'!$I7&lt;1,-M$7+2004+1,-'Tech Parameters'!$I7+1)):M122*OFFSET(M448,0,IF(M$7-2004-'Tech Parameters'!$I7&lt;1,-M$7+2004+1,-'Tech Parameters'!$I7+1)):M448)</f>
        <v>0</v>
      </c>
      <c r="N471">
        <f t="array" aca="1" ref="N471" ca="1">SUM(OFFSET(N122,0,IF(N$7-2004-'Tech Parameters'!$I7&lt;1,-N$7+2004+1,-'Tech Parameters'!$I7+1)):N122*OFFSET(N448,0,IF(N$7-2004-'Tech Parameters'!$I7&lt;1,-N$7+2004+1,-'Tech Parameters'!$I7+1)):N448)</f>
        <v>0</v>
      </c>
      <c r="O471">
        <f t="array" aca="1" ref="O471" ca="1">SUM(OFFSET(O122,0,IF(O$7-2004-'Tech Parameters'!$I7&lt;1,-O$7+2004+1,-'Tech Parameters'!$I7+1)):O122*OFFSET(O448,0,IF(O$7-2004-'Tech Parameters'!$I7&lt;1,-O$7+2004+1,-'Tech Parameters'!$I7+1)):O448)</f>
        <v>0</v>
      </c>
      <c r="P471">
        <f t="array" aca="1" ref="P471" ca="1">SUM(OFFSET(P122,0,IF(P$7-2004-'Tech Parameters'!$I7&lt;1,-P$7+2004+1,-'Tech Parameters'!$I7+1)):P122*OFFSET(P448,0,IF(P$7-2004-'Tech Parameters'!$I7&lt;1,-P$7+2004+1,-'Tech Parameters'!$I7+1)):P448)</f>
        <v>0</v>
      </c>
      <c r="Q471">
        <f t="array" aca="1" ref="Q471" ca="1">SUM(OFFSET(Q122,0,IF(Q$7-2004-'Tech Parameters'!$I7&lt;1,-Q$7+2004+1,-'Tech Parameters'!$I7+1)):Q122*OFFSET(Q448,0,IF(Q$7-2004-'Tech Parameters'!$I7&lt;1,-Q$7+2004+1,-'Tech Parameters'!$I7+1)):Q448)</f>
        <v>0</v>
      </c>
      <c r="R471">
        <f t="array" aca="1" ref="R471" ca="1">SUM(OFFSET(R122,0,IF(R$7-2004-'Tech Parameters'!$I7&lt;1,-R$7+2004+1,-'Tech Parameters'!$I7+1)):R122*OFFSET(R448,0,IF(R$7-2004-'Tech Parameters'!$I7&lt;1,-R$7+2004+1,-'Tech Parameters'!$I7+1)):R448)</f>
        <v>0</v>
      </c>
      <c r="S471">
        <f t="array" aca="1" ref="S471" ca="1">SUM(OFFSET(S122,0,IF(S$7-2004-'Tech Parameters'!$I7&lt;1,-S$7+2004+1,-'Tech Parameters'!$I7+1)):S122*OFFSET(S448,0,IF(S$7-2004-'Tech Parameters'!$I7&lt;1,-S$7+2004+1,-'Tech Parameters'!$I7+1)):S448)</f>
        <v>0</v>
      </c>
      <c r="T471">
        <f t="array" aca="1" ref="T471" ca="1">SUM(OFFSET(T122,0,IF(T$7-2004-'Tech Parameters'!$I7&lt;1,-T$7+2004+1,-'Tech Parameters'!$I7+1)):T122*OFFSET(T448,0,IF(T$7-2004-'Tech Parameters'!$I7&lt;1,-T$7+2004+1,-'Tech Parameters'!$I7+1)):T448)</f>
        <v>0</v>
      </c>
      <c r="U471">
        <f t="array" aca="1" ref="U471" ca="1">SUM(OFFSET(U122,0,IF(U$7-2004-'Tech Parameters'!$I7&lt;1,-U$7+2004+1,-'Tech Parameters'!$I7+1)):U122*OFFSET(U448,0,IF(U$7-2004-'Tech Parameters'!$I7&lt;1,-U$7+2004+1,-'Tech Parameters'!$I7+1)):U448)</f>
        <v>0</v>
      </c>
      <c r="V471">
        <f t="array" aca="1" ref="V471" ca="1">SUM(OFFSET(V122,0,IF(V$7-2004-'Tech Parameters'!$I7&lt;1,-V$7+2004+1,-'Tech Parameters'!$I7+1)):V122*OFFSET(V448,0,IF(V$7-2004-'Tech Parameters'!$I7&lt;1,-V$7+2004+1,-'Tech Parameters'!$I7+1)):V448)</f>
        <v>0</v>
      </c>
      <c r="W471">
        <f t="array" aca="1" ref="W471" ca="1">SUM(OFFSET(W122,0,IF(W$7-2004-'Tech Parameters'!$I7&lt;1,-W$7+2004+1,-'Tech Parameters'!$I7+1)):W122*OFFSET(W448,0,IF(W$7-2004-'Tech Parameters'!$I7&lt;1,-W$7+2004+1,-'Tech Parameters'!$I7+1)):W448)</f>
        <v>0</v>
      </c>
      <c r="X471">
        <f t="array" aca="1" ref="X471" ca="1">SUM(OFFSET(X122,0,IF(X$7-2004-'Tech Parameters'!$I7&lt;1,-X$7+2004+1,-'Tech Parameters'!$I7+1)):X122*OFFSET(X448,0,IF(X$7-2004-'Tech Parameters'!$I7&lt;1,-X$7+2004+1,-'Tech Parameters'!$I7+1)):X448)</f>
        <v>0</v>
      </c>
      <c r="Y471">
        <f t="array" aca="1" ref="Y471" ca="1">SUM(OFFSET(Y122,0,IF(Y$7-2004-'Tech Parameters'!$I7&lt;1,-Y$7+2004+1,-'Tech Parameters'!$I7+1)):Y122*OFFSET(Y448,0,IF(Y$7-2004-'Tech Parameters'!$I7&lt;1,-Y$7+2004+1,-'Tech Parameters'!$I7+1)):Y448)</f>
        <v>0</v>
      </c>
      <c r="Z471">
        <f t="array" aca="1" ref="Z471" ca="1">SUM(OFFSET(Z122,0,IF(Z$7-2004-'Tech Parameters'!$I7&lt;1,-Z$7+2004+1,-'Tech Parameters'!$I7+1)):Z122*OFFSET(Z448,0,IF(Z$7-2004-'Tech Parameters'!$I7&lt;1,-Z$7+2004+1,-'Tech Parameters'!$I7+1)):Z448)</f>
        <v>0</v>
      </c>
      <c r="AA471">
        <f t="array" aca="1" ref="AA471" ca="1">SUM(OFFSET(AA122,0,IF(AA$7-2004-'Tech Parameters'!$I7&lt;1,-AA$7+2004+1,-'Tech Parameters'!$I7+1)):AA122*OFFSET(AA448,0,IF(AA$7-2004-'Tech Parameters'!$I7&lt;1,-AA$7+2004+1,-'Tech Parameters'!$I7+1)):AA448)</f>
        <v>0</v>
      </c>
      <c r="AB471">
        <f t="array" aca="1" ref="AB471" ca="1">SUM(OFFSET(AB122,0,IF(AB$7-2004-'Tech Parameters'!$I7&lt;1,-AB$7+2004+1,-'Tech Parameters'!$I7+1)):AB122*OFFSET(AB448,0,IF(AB$7-2004-'Tech Parameters'!$I7&lt;1,-AB$7+2004+1,-'Tech Parameters'!$I7+1)):AB448)</f>
        <v>0</v>
      </c>
      <c r="AC471">
        <f t="array" aca="1" ref="AC471" ca="1">SUM(OFFSET(AC122,0,IF(AC$7-2004-'Tech Parameters'!$I7&lt;1,-AC$7+2004+1,-'Tech Parameters'!$I7+1)):AC122*OFFSET(AC448,0,IF(AC$7-2004-'Tech Parameters'!$I7&lt;1,-AC$7+2004+1,-'Tech Parameters'!$I7+1)):AC448)</f>
        <v>0</v>
      </c>
      <c r="AD471" s="76">
        <f t="array" aca="1" ref="AD471" ca="1">SUM(OFFSET(AD122,0,IF(AD$7-2004-'Tech Parameters'!$I7&lt;1,-AD$7+2004+1,-'Tech Parameters'!$I7+1)):AD122*OFFSET(AD448,0,IF(AD$7-2004-'Tech Parameters'!$I7&lt;1,-AD$7+2004+1,-'Tech Parameters'!$I7+1)):AD448)</f>
        <v>0</v>
      </c>
      <c r="AE471" s="76">
        <f t="array" aca="1" ref="AE471" ca="1">SUM(OFFSET(AE122,0,IF(AE$7-2004-'Tech Parameters'!$I7&lt;1,-AE$7+2004+1,-'Tech Parameters'!$I7+1)):AE122*OFFSET(AE448,0,IF(AE$7-2004-'Tech Parameters'!$I7&lt;1,-AE$7+2004+1,-'Tech Parameters'!$I7+1)):AE448)</f>
        <v>0</v>
      </c>
      <c r="AF471" s="76">
        <f t="array" aca="1" ref="AF471" ca="1">SUM(OFFSET(AF122,0,IF(AF$7-2004-'Tech Parameters'!$I7&lt;1,-AF$7+2004+1,-'Tech Parameters'!$I7+1)):AF122*OFFSET(AF448,0,IF(AF$7-2004-'Tech Parameters'!$I7&lt;1,-AF$7+2004+1,-'Tech Parameters'!$I7+1)):AF448)</f>
        <v>0</v>
      </c>
      <c r="AG471" s="76">
        <f t="array" aca="1" ref="AG471" ca="1">SUM(OFFSET(AG122,0,IF(AG$7-2004-'Tech Parameters'!$I7&lt;1,-AG$7+2004+1,-'Tech Parameters'!$I7+1)):AG122*OFFSET(AG448,0,IF(AG$7-2004-'Tech Parameters'!$I7&lt;1,-AG$7+2004+1,-'Tech Parameters'!$I7+1)):AG448)</f>
        <v>0</v>
      </c>
      <c r="AH471" s="76">
        <f t="array" aca="1" ref="AH471" ca="1">SUM(OFFSET(AH122,0,IF(AH$7-2004-'Tech Parameters'!$I7&lt;1,-AH$7+2004+1,-'Tech Parameters'!$I7+1)):AH122*OFFSET(AH448,0,IF(AH$7-2004-'Tech Parameters'!$I7&lt;1,-AH$7+2004+1,-'Tech Parameters'!$I7+1)):AH448)</f>
        <v>0</v>
      </c>
      <c r="AI471" s="76">
        <f t="array" aca="1" ref="AI471" ca="1">SUM(OFFSET(AI122,0,IF(AI$7-2004-'Tech Parameters'!$I7&lt;1,-AI$7+2004+1,-'Tech Parameters'!$I7+1)):AI122*OFFSET(AI448,0,IF(AI$7-2004-'Tech Parameters'!$I7&lt;1,-AI$7+2004+1,-'Tech Parameters'!$I7+1)):AI448)</f>
        <v>0</v>
      </c>
      <c r="AJ471" s="76">
        <f t="array" aca="1" ref="AJ471" ca="1">SUM(OFFSET(AJ122,0,IF(AJ$7-2004-'Tech Parameters'!$I7&lt;1,-AJ$7+2004+1,-'Tech Parameters'!$I7+1)):AJ122*OFFSET(AJ448,0,IF(AJ$7-2004-'Tech Parameters'!$I7&lt;1,-AJ$7+2004+1,-'Tech Parameters'!$I7+1)):AJ448)</f>
        <v>0</v>
      </c>
      <c r="AK471" s="76">
        <f t="array" aca="1" ref="AK471" ca="1">SUM(OFFSET(AK122,0,IF(AK$7-2004-'Tech Parameters'!$I7&lt;1,-AK$7+2004+1,-'Tech Parameters'!$I7+1)):AK122*OFFSET(AK448,0,IF(AK$7-2004-'Tech Parameters'!$I7&lt;1,-AK$7+2004+1,-'Tech Parameters'!$I7+1)):AK448)</f>
        <v>0</v>
      </c>
      <c r="AL471" s="76">
        <f t="array" aca="1" ref="AL471" ca="1">SUM(OFFSET(AL122,0,IF(AL$7-2004-'Tech Parameters'!$I7&lt;1,-AL$7+2004+1,-'Tech Parameters'!$I7+1)):AL122*OFFSET(AL448,0,IF(AL$7-2004-'Tech Parameters'!$I7&lt;1,-AL$7+2004+1,-'Tech Parameters'!$I7+1)):AL448)</f>
        <v>0</v>
      </c>
      <c r="AM471" s="76">
        <f t="array" aca="1" ref="AM471" ca="1">SUM(OFFSET(AM122,0,IF(AM$7-2004-'Tech Parameters'!$I7&lt;1,-AM$7+2004+1,-'Tech Parameters'!$I7+1)):AM122*OFFSET(AM448,0,IF(AM$7-2004-'Tech Parameters'!$I7&lt;1,-AM$7+2004+1,-'Tech Parameters'!$I7+1)):AM448)</f>
        <v>0</v>
      </c>
      <c r="AN471" s="76">
        <f t="array" aca="1" ref="AN471" ca="1">SUM(OFFSET(AN122,0,IF(AN$7-2004-'Tech Parameters'!$I7&lt;1,-AN$7+2004+1,-'Tech Parameters'!$I7+1)):AN122*OFFSET(AN448,0,IF(AN$7-2004-'Tech Parameters'!$I7&lt;1,-AN$7+2004+1,-'Tech Parameters'!$I7+1)):AN448)</f>
        <v>0</v>
      </c>
      <c r="AO471" s="76">
        <f t="array" aca="1" ref="AO471" ca="1">SUM(OFFSET(AO122,0,IF(AO$7-2004-'Tech Parameters'!$I7&lt;1,-AO$7+2004+1,-'Tech Parameters'!$I7+1)):AO122*OFFSET(AO448,0,IF(AO$7-2004-'Tech Parameters'!$I7&lt;1,-AO$7+2004+1,-'Tech Parameters'!$I7+1)):AO448)</f>
        <v>0</v>
      </c>
      <c r="AP471" s="76">
        <f t="array" aca="1" ref="AP471" ca="1">SUM(OFFSET(AP122,0,IF(AP$7-2004-'Tech Parameters'!$I7&lt;1,-AP$7+2004+1,-'Tech Parameters'!$I7+1)):AP122*OFFSET(AP448,0,IF(AP$7-2004-'Tech Parameters'!$I7&lt;1,-AP$7+2004+1,-'Tech Parameters'!$I7+1)):AP448)</f>
        <v>0</v>
      </c>
      <c r="AQ471" s="76">
        <f t="array" aca="1" ref="AQ471" ca="1">SUM(OFFSET(AQ122,0,IF(AQ$7-2004-'Tech Parameters'!$I7&lt;1,-AQ$7+2004+1,-'Tech Parameters'!$I7+1)):AQ122*OFFSET(AQ448,0,IF(AQ$7-2004-'Tech Parameters'!$I7&lt;1,-AQ$7+2004+1,-'Tech Parameters'!$I7+1)):AQ448)</f>
        <v>0</v>
      </c>
      <c r="AR471" s="76">
        <f t="array" aca="1" ref="AR471" ca="1">SUM(OFFSET(AR122,0,IF(AR$7-2004-'Tech Parameters'!$I7&lt;1,-AR$7+2004+1,-'Tech Parameters'!$I7+1)):AR122*OFFSET(AR448,0,IF(AR$7-2004-'Tech Parameters'!$I7&lt;1,-AR$7+2004+1,-'Tech Parameters'!$I7+1)):AR448)</f>
        <v>0</v>
      </c>
      <c r="AS471" s="76">
        <f t="array" aca="1" ref="AS471" ca="1">SUM(OFFSET(AS122,0,IF(AS$7-2004-'Tech Parameters'!$I7&lt;1,-AS$7+2004+1,-'Tech Parameters'!$I7+1)):AS122*OFFSET(AS448,0,IF(AS$7-2004-'Tech Parameters'!$I7&lt;1,-AS$7+2004+1,-'Tech Parameters'!$I7+1)):AS448)</f>
        <v>0</v>
      </c>
      <c r="AT471" s="76">
        <f t="array" aca="1" ref="AT471" ca="1">SUM(OFFSET(AT122,0,IF(AT$7-2004-'Tech Parameters'!$I7&lt;1,-AT$7+2004+1,-'Tech Parameters'!$I7+1)):AT122*OFFSET(AT448,0,IF(AT$7-2004-'Tech Parameters'!$I7&lt;1,-AT$7+2004+1,-'Tech Parameters'!$I7+1)):AT448)</f>
        <v>0</v>
      </c>
      <c r="AU471" s="76">
        <f t="array" aca="1" ref="AU471" ca="1">SUM(OFFSET(AU122,0,IF(AU$7-2004-'Tech Parameters'!$I7&lt;1,-AU$7+2004+1,-'Tech Parameters'!$I7+1)):AU122*OFFSET(AU448,0,IF(AU$7-2004-'Tech Parameters'!$I7&lt;1,-AU$7+2004+1,-'Tech Parameters'!$I7+1)):AU448)</f>
        <v>0</v>
      </c>
      <c r="AV471" s="76">
        <f t="array" aca="1" ref="AV471" ca="1">SUM(OFFSET(AV122,0,IF(AV$7-2004-'Tech Parameters'!$I7&lt;1,-AV$7+2004+1,-'Tech Parameters'!$I7+1)):AV122*OFFSET(AV448,0,IF(AV$7-2004-'Tech Parameters'!$I7&lt;1,-AV$7+2004+1,-'Tech Parameters'!$I7+1)):AV448)</f>
        <v>0</v>
      </c>
      <c r="AW471" s="76">
        <f t="array" aca="1" ref="AW471" ca="1">SUM(OFFSET(AW122,0,IF(AW$7-2004-'Tech Parameters'!$I7&lt;1,-AW$7+2004+1,-'Tech Parameters'!$I7+1)):AW122*OFFSET(AW448,0,IF(AW$7-2004-'Tech Parameters'!$I7&lt;1,-AW$7+2004+1,-'Tech Parameters'!$I7+1)):AW448)</f>
        <v>0</v>
      </c>
    </row>
    <row r="472" spans="3:49">
      <c r="C472" t="str">
        <f t="shared" si="218"/>
        <v>OCGT liquid fuels</v>
      </c>
      <c r="D472">
        <f t="array" aca="1" ref="D472" ca="1">SUM(OFFSET(D123,0,IF(D$7-2004-'Tech Parameters'!$I8&lt;1,-D$7+2004+1,-'Tech Parameters'!$I8+1)):D123*OFFSET(D449,0,IF(D$7-2004-'Tech Parameters'!$I8&lt;1,-D$7+2004+1,-'Tech Parameters'!$I8+1)):D449)</f>
        <v>0</v>
      </c>
      <c r="E472">
        <f t="array" aca="1" ref="E472" ca="1">SUM(OFFSET(E123,0,IF(E$7-2004-'Tech Parameters'!$I8&lt;1,-E$7+2004+1,-'Tech Parameters'!$I8+1)):E123*OFFSET(E449,0,IF(E$7-2004-'Tech Parameters'!$I8&lt;1,-E$7+2004+1,-'Tech Parameters'!$I8+1)):E449)</f>
        <v>0</v>
      </c>
      <c r="F472">
        <f t="array" aca="1" ref="F472" ca="1">SUM(OFFSET(F123,0,IF(F$7-2004-'Tech Parameters'!$I8&lt;1,-F$7+2004+1,-'Tech Parameters'!$I8+1)):F123*OFFSET(F449,0,IF(F$7-2004-'Tech Parameters'!$I8&lt;1,-F$7+2004+1,-'Tech Parameters'!$I8+1)):F449)</f>
        <v>0</v>
      </c>
      <c r="G472">
        <f t="array" aca="1" ref="G472" ca="1">SUM(OFFSET(G123,0,IF(G$7-2004-'Tech Parameters'!$I8&lt;1,-G$7+2004+1,-'Tech Parameters'!$I8+1)):G123*OFFSET(G449,0,IF(G$7-2004-'Tech Parameters'!$I8&lt;1,-G$7+2004+1,-'Tech Parameters'!$I8+1)):G449)</f>
        <v>0</v>
      </c>
      <c r="H472">
        <f t="array" aca="1" ref="H472" ca="1">SUM(OFFSET(H123,0,IF(H$7-2004-'Tech Parameters'!$I8&lt;1,-H$7+2004+1,-'Tech Parameters'!$I8+1)):H123*OFFSET(H449,0,IF(H$7-2004-'Tech Parameters'!$I8&lt;1,-H$7+2004+1,-'Tech Parameters'!$I8+1)):H449)</f>
        <v>0</v>
      </c>
      <c r="I472">
        <f t="array" aca="1" ref="I472" ca="1">SUM(OFFSET(I123,0,IF(I$7-2004-'Tech Parameters'!$I8&lt;1,-I$7+2004+1,-'Tech Parameters'!$I8+1)):I123*OFFSET(I449,0,IF(I$7-2004-'Tech Parameters'!$I8&lt;1,-I$7+2004+1,-'Tech Parameters'!$I8+1)):I449)</f>
        <v>0</v>
      </c>
      <c r="J472">
        <f t="array" aca="1" ref="J472" ca="1">SUM(OFFSET(J123,0,IF(J$7-2004-'Tech Parameters'!$I8&lt;1,-J$7+2004+1,-'Tech Parameters'!$I8+1)):J123*OFFSET(J449,0,IF(J$7-2004-'Tech Parameters'!$I8&lt;1,-J$7+2004+1,-'Tech Parameters'!$I8+1)):J449)</f>
        <v>680.83783578174166</v>
      </c>
      <c r="K472">
        <f t="array" aca="1" ref="K472" ca="1">SUM(OFFSET(K123,0,IF(K$7-2004-'Tech Parameters'!$I8&lt;1,-K$7+2004+1,-'Tech Parameters'!$I8+1)):K123*OFFSET(K449,0,IF(K$7-2004-'Tech Parameters'!$I8&lt;1,-K$7+2004+1,-'Tech Parameters'!$I8+1)):K449)</f>
        <v>680.83783578174166</v>
      </c>
      <c r="L472">
        <f t="array" aca="1" ref="L472" ca="1">SUM(OFFSET(L123,0,IF(L$7-2004-'Tech Parameters'!$I8&lt;1,-L$7+2004+1,-'Tech Parameters'!$I8+1)):L123*OFFSET(L449,0,IF(L$7-2004-'Tech Parameters'!$I8&lt;1,-L$7+2004+1,-'Tech Parameters'!$I8+1)):L449)</f>
        <v>680.83783578174166</v>
      </c>
      <c r="M472">
        <f t="array" aca="1" ref="M472" ca="1">SUM(OFFSET(M123,0,IF(M$7-2004-'Tech Parameters'!$I8&lt;1,-M$7+2004+1,-'Tech Parameters'!$I8+1)):M123*OFFSET(M449,0,IF(M$7-2004-'Tech Parameters'!$I8&lt;1,-M$7+2004+1,-'Tech Parameters'!$I8+1)):M449)</f>
        <v>680.83783578174166</v>
      </c>
      <c r="N472">
        <f t="array" aca="1" ref="N472" ca="1">SUM(OFFSET(N123,0,IF(N$7-2004-'Tech Parameters'!$I8&lt;1,-N$7+2004+1,-'Tech Parameters'!$I8+1)):N123*OFFSET(N449,0,IF(N$7-2004-'Tech Parameters'!$I8&lt;1,-N$7+2004+1,-'Tech Parameters'!$I8+1)):N449)</f>
        <v>680.83783578174166</v>
      </c>
      <c r="O472">
        <f t="array" aca="1" ref="O472" ca="1">SUM(OFFSET(O123,0,IF(O$7-2004-'Tech Parameters'!$I8&lt;1,-O$7+2004+1,-'Tech Parameters'!$I8+1)):O123*OFFSET(O449,0,IF(O$7-2004-'Tech Parameters'!$I8&lt;1,-O$7+2004+1,-'Tech Parameters'!$I8+1)):O449)</f>
        <v>680.83783578174166</v>
      </c>
      <c r="P472">
        <f t="array" aca="1" ref="P472" ca="1">SUM(OFFSET(P123,0,IF(P$7-2004-'Tech Parameters'!$I8&lt;1,-P$7+2004+1,-'Tech Parameters'!$I8+1)):P123*OFFSET(P449,0,IF(P$7-2004-'Tech Parameters'!$I8&lt;1,-P$7+2004+1,-'Tech Parameters'!$I8+1)):P449)</f>
        <v>680.83783578174166</v>
      </c>
      <c r="Q472">
        <f t="array" aca="1" ref="Q472" ca="1">SUM(OFFSET(Q123,0,IF(Q$7-2004-'Tech Parameters'!$I8&lt;1,-Q$7+2004+1,-'Tech Parameters'!$I8+1)):Q123*OFFSET(Q449,0,IF(Q$7-2004-'Tech Parameters'!$I8&lt;1,-Q$7+2004+1,-'Tech Parameters'!$I8+1)):Q449)</f>
        <v>680.83783578174166</v>
      </c>
      <c r="R472">
        <f t="array" aca="1" ref="R472" ca="1">SUM(OFFSET(R123,0,IF(R$7-2004-'Tech Parameters'!$I8&lt;1,-R$7+2004+1,-'Tech Parameters'!$I8+1)):R123*OFFSET(R449,0,IF(R$7-2004-'Tech Parameters'!$I8&lt;1,-R$7+2004+1,-'Tech Parameters'!$I8+1)):R449)</f>
        <v>680.83783578174166</v>
      </c>
      <c r="S472">
        <f t="array" aca="1" ref="S472" ca="1">SUM(OFFSET(S123,0,IF(S$7-2004-'Tech Parameters'!$I8&lt;1,-S$7+2004+1,-'Tech Parameters'!$I8+1)):S123*OFFSET(S449,0,IF(S$7-2004-'Tech Parameters'!$I8&lt;1,-S$7+2004+1,-'Tech Parameters'!$I8+1)):S449)</f>
        <v>680.83783578174166</v>
      </c>
      <c r="T472">
        <f t="array" aca="1" ref="T472" ca="1">SUM(OFFSET(T123,0,IF(T$7-2004-'Tech Parameters'!$I8&lt;1,-T$7+2004+1,-'Tech Parameters'!$I8+1)):T123*OFFSET(T449,0,IF(T$7-2004-'Tech Parameters'!$I8&lt;1,-T$7+2004+1,-'Tech Parameters'!$I8+1)):T449)</f>
        <v>680.83783578174166</v>
      </c>
      <c r="U472">
        <f t="array" aca="1" ref="U472" ca="1">SUM(OFFSET(U123,0,IF(U$7-2004-'Tech Parameters'!$I8&lt;1,-U$7+2004+1,-'Tech Parameters'!$I8+1)):U123*OFFSET(U449,0,IF(U$7-2004-'Tech Parameters'!$I8&lt;1,-U$7+2004+1,-'Tech Parameters'!$I8+1)):U449)</f>
        <v>680.83783578174166</v>
      </c>
      <c r="V472">
        <f t="array" aca="1" ref="V472" ca="1">SUM(OFFSET(V123,0,IF(V$7-2004-'Tech Parameters'!$I8&lt;1,-V$7+2004+1,-'Tech Parameters'!$I8+1)):V123*OFFSET(V449,0,IF(V$7-2004-'Tech Parameters'!$I8&lt;1,-V$7+2004+1,-'Tech Parameters'!$I8+1)):V449)</f>
        <v>1134.7297263029027</v>
      </c>
      <c r="W472">
        <f t="array" aca="1" ref="W472" ca="1">SUM(OFFSET(W123,0,IF(W$7-2004-'Tech Parameters'!$I8&lt;1,-W$7+2004+1,-'Tech Parameters'!$I8+1)):W123*OFFSET(W449,0,IF(W$7-2004-'Tech Parameters'!$I8&lt;1,-W$7+2004+1,-'Tech Parameters'!$I8+1)):W449)</f>
        <v>1134.7297263029027</v>
      </c>
      <c r="X472">
        <f t="array" aca="1" ref="X472" ca="1">SUM(OFFSET(X123,0,IF(X$7-2004-'Tech Parameters'!$I8&lt;1,-X$7+2004+1,-'Tech Parameters'!$I8+1)):X123*OFFSET(X449,0,IF(X$7-2004-'Tech Parameters'!$I8&lt;1,-X$7+2004+1,-'Tech Parameters'!$I8+1)):X449)</f>
        <v>1134.7297263029027</v>
      </c>
      <c r="Y472">
        <f t="array" aca="1" ref="Y472" ca="1">SUM(OFFSET(Y123,0,IF(Y$7-2004-'Tech Parameters'!$I8&lt;1,-Y$7+2004+1,-'Tech Parameters'!$I8+1)):Y123*OFFSET(Y449,0,IF(Y$7-2004-'Tech Parameters'!$I8&lt;1,-Y$7+2004+1,-'Tech Parameters'!$I8+1)):Y449)</f>
        <v>1588.6216168240637</v>
      </c>
      <c r="Z472">
        <f t="array" aca="1" ref="Z472" ca="1">SUM(OFFSET(Z123,0,IF(Z$7-2004-'Tech Parameters'!$I8&lt;1,-Z$7+2004+1,-'Tech Parameters'!$I8+1)):Z123*OFFSET(Z449,0,IF(Z$7-2004-'Tech Parameters'!$I8&lt;1,-Z$7+2004+1,-'Tech Parameters'!$I8+1)):Z449)</f>
        <v>1588.6216168240637</v>
      </c>
      <c r="AA472">
        <f t="array" aca="1" ref="AA472" ca="1">SUM(OFFSET(AA123,0,IF(AA$7-2004-'Tech Parameters'!$I8&lt;1,-AA$7+2004+1,-'Tech Parameters'!$I8+1)):AA123*OFFSET(AA449,0,IF(AA$7-2004-'Tech Parameters'!$I8&lt;1,-AA$7+2004+1,-'Tech Parameters'!$I8+1)):AA449)</f>
        <v>1588.6216168240637</v>
      </c>
      <c r="AB472">
        <f t="array" aca="1" ref="AB472" ca="1">SUM(OFFSET(AB123,0,IF(AB$7-2004-'Tech Parameters'!$I8&lt;1,-AB$7+2004+1,-'Tech Parameters'!$I8+1)):AB123*OFFSET(AB449,0,IF(AB$7-2004-'Tech Parameters'!$I8&lt;1,-AB$7+2004+1,-'Tech Parameters'!$I8+1)):AB449)</f>
        <v>2042.5135073452248</v>
      </c>
      <c r="AC472">
        <f t="array" aca="1" ref="AC472" ca="1">SUM(OFFSET(AC123,0,IF(AC$7-2004-'Tech Parameters'!$I8&lt;1,-AC$7+2004+1,-'Tech Parameters'!$I8+1)):AC123*OFFSET(AC449,0,IF(AC$7-2004-'Tech Parameters'!$I8&lt;1,-AC$7+2004+1,-'Tech Parameters'!$I8+1)):AC449)</f>
        <v>2042.5135073452248</v>
      </c>
      <c r="AD472" s="76">
        <f t="array" aca="1" ref="AD472" ca="1">SUM(OFFSET(AD123,0,IF(AD$7-2004-'Tech Parameters'!$I8&lt;1,-AD$7+2004+1,-'Tech Parameters'!$I8+1)):AD123*OFFSET(AD449,0,IF(AD$7-2004-'Tech Parameters'!$I8&lt;1,-AD$7+2004+1,-'Tech Parameters'!$I8+1)):AD449)</f>
        <v>2042.5135073452248</v>
      </c>
      <c r="AE472" s="76">
        <f t="array" aca="1" ref="AE472" ca="1">SUM(OFFSET(AE123,0,IF(AE$7-2004-'Tech Parameters'!$I8&lt;1,-AE$7+2004+1,-'Tech Parameters'!$I8+1)):AE123*OFFSET(AE449,0,IF(AE$7-2004-'Tech Parameters'!$I8&lt;1,-AE$7+2004+1,-'Tech Parameters'!$I8+1)):AE449)</f>
        <v>2042.5135073452248</v>
      </c>
      <c r="AF472" s="76">
        <f t="array" aca="1" ref="AF472" ca="1">SUM(OFFSET(AF123,0,IF(AF$7-2004-'Tech Parameters'!$I8&lt;1,-AF$7+2004+1,-'Tech Parameters'!$I8+1)):AF123*OFFSET(AF449,0,IF(AF$7-2004-'Tech Parameters'!$I8&lt;1,-AF$7+2004+1,-'Tech Parameters'!$I8+1)):AF449)</f>
        <v>2042.5135073452248</v>
      </c>
      <c r="AG472" s="76">
        <f t="array" aca="1" ref="AG472" ca="1">SUM(OFFSET(AG123,0,IF(AG$7-2004-'Tech Parameters'!$I8&lt;1,-AG$7+2004+1,-'Tech Parameters'!$I8+1)):AG123*OFFSET(AG449,0,IF(AG$7-2004-'Tech Parameters'!$I8&lt;1,-AG$7+2004+1,-'Tech Parameters'!$I8+1)):AG449)</f>
        <v>2042.5135073452248</v>
      </c>
      <c r="AH472" s="76">
        <f t="array" aca="1" ref="AH472" ca="1">SUM(OFFSET(AH123,0,IF(AH$7-2004-'Tech Parameters'!$I8&lt;1,-AH$7+2004+1,-'Tech Parameters'!$I8+1)):AH123*OFFSET(AH449,0,IF(AH$7-2004-'Tech Parameters'!$I8&lt;1,-AH$7+2004+1,-'Tech Parameters'!$I8+1)):AH449)</f>
        <v>2042.5135073452248</v>
      </c>
      <c r="AI472" s="76">
        <f t="array" aca="1" ref="AI472" ca="1">SUM(OFFSET(AI123,0,IF(AI$7-2004-'Tech Parameters'!$I8&lt;1,-AI$7+2004+1,-'Tech Parameters'!$I8+1)):AI123*OFFSET(AI449,0,IF(AI$7-2004-'Tech Parameters'!$I8&lt;1,-AI$7+2004+1,-'Tech Parameters'!$I8+1)):AI449)</f>
        <v>2042.5135073452248</v>
      </c>
      <c r="AJ472" s="76">
        <f t="array" aca="1" ref="AJ472" ca="1">SUM(OFFSET(AJ123,0,IF(AJ$7-2004-'Tech Parameters'!$I8&lt;1,-AJ$7+2004+1,-'Tech Parameters'!$I8+1)):AJ123*OFFSET(AJ449,0,IF(AJ$7-2004-'Tech Parameters'!$I8&lt;1,-AJ$7+2004+1,-'Tech Parameters'!$I8+1)):AJ449)</f>
        <v>2042.5135073452248</v>
      </c>
      <c r="AK472" s="76">
        <f t="array" aca="1" ref="AK472" ca="1">SUM(OFFSET(AK123,0,IF(AK$7-2004-'Tech Parameters'!$I8&lt;1,-AK$7+2004+1,-'Tech Parameters'!$I8+1)):AK123*OFFSET(AK449,0,IF(AK$7-2004-'Tech Parameters'!$I8&lt;1,-AK$7+2004+1,-'Tech Parameters'!$I8+1)):AK449)</f>
        <v>2042.5135073452248</v>
      </c>
      <c r="AL472" s="76">
        <f t="array" aca="1" ref="AL472" ca="1">SUM(OFFSET(AL123,0,IF(AL$7-2004-'Tech Parameters'!$I8&lt;1,-AL$7+2004+1,-'Tech Parameters'!$I8+1)):AL123*OFFSET(AL449,0,IF(AL$7-2004-'Tech Parameters'!$I8&lt;1,-AL$7+2004+1,-'Tech Parameters'!$I8+1)):AL449)</f>
        <v>2042.5135073452248</v>
      </c>
      <c r="AM472" s="76">
        <f t="array" aca="1" ref="AM472" ca="1">SUM(OFFSET(AM123,0,IF(AM$7-2004-'Tech Parameters'!$I8&lt;1,-AM$7+2004+1,-'Tech Parameters'!$I8+1)):AM123*OFFSET(AM449,0,IF(AM$7-2004-'Tech Parameters'!$I8&lt;1,-AM$7+2004+1,-'Tech Parameters'!$I8+1)):AM449)</f>
        <v>2042.5135073452248</v>
      </c>
      <c r="AN472" s="76">
        <f t="array" aca="1" ref="AN472" ca="1">SUM(OFFSET(AN123,0,IF(AN$7-2004-'Tech Parameters'!$I8&lt;1,-AN$7+2004+1,-'Tech Parameters'!$I8+1)):AN123*OFFSET(AN449,0,IF(AN$7-2004-'Tech Parameters'!$I8&lt;1,-AN$7+2004+1,-'Tech Parameters'!$I8+1)):AN449)</f>
        <v>2042.5135073452248</v>
      </c>
      <c r="AO472" s="76">
        <f t="array" aca="1" ref="AO472" ca="1">SUM(OFFSET(AO123,0,IF(AO$7-2004-'Tech Parameters'!$I8&lt;1,-AO$7+2004+1,-'Tech Parameters'!$I8+1)):AO123*OFFSET(AO449,0,IF(AO$7-2004-'Tech Parameters'!$I8&lt;1,-AO$7+2004+1,-'Tech Parameters'!$I8+1)):AO449)</f>
        <v>2042.5135073452248</v>
      </c>
      <c r="AP472" s="76">
        <f t="array" aca="1" ref="AP472" ca="1">SUM(OFFSET(AP123,0,IF(AP$7-2004-'Tech Parameters'!$I8&lt;1,-AP$7+2004+1,-'Tech Parameters'!$I8+1)):AP123*OFFSET(AP449,0,IF(AP$7-2004-'Tech Parameters'!$I8&lt;1,-AP$7+2004+1,-'Tech Parameters'!$I8+1)):AP449)</f>
        <v>2042.5135073452248</v>
      </c>
      <c r="AQ472" s="76">
        <f t="array" aca="1" ref="AQ472" ca="1">SUM(OFFSET(AQ123,0,IF(AQ$7-2004-'Tech Parameters'!$I8&lt;1,-AQ$7+2004+1,-'Tech Parameters'!$I8+1)):AQ123*OFFSET(AQ449,0,IF(AQ$7-2004-'Tech Parameters'!$I8&lt;1,-AQ$7+2004+1,-'Tech Parameters'!$I8+1)):AQ449)</f>
        <v>2042.5135073452248</v>
      </c>
      <c r="AR472" s="76">
        <f t="array" aca="1" ref="AR472" ca="1">SUM(OFFSET(AR123,0,IF(AR$7-2004-'Tech Parameters'!$I8&lt;1,-AR$7+2004+1,-'Tech Parameters'!$I8+1)):AR123*OFFSET(AR449,0,IF(AR$7-2004-'Tech Parameters'!$I8&lt;1,-AR$7+2004+1,-'Tech Parameters'!$I8+1)):AR449)</f>
        <v>2042.5135073452248</v>
      </c>
      <c r="AS472" s="76">
        <f t="array" aca="1" ref="AS472" ca="1">SUM(OFFSET(AS123,0,IF(AS$7-2004-'Tech Parameters'!$I8&lt;1,-AS$7+2004+1,-'Tech Parameters'!$I8+1)):AS123*OFFSET(AS449,0,IF(AS$7-2004-'Tech Parameters'!$I8&lt;1,-AS$7+2004+1,-'Tech Parameters'!$I8+1)):AS449)</f>
        <v>2042.5135073452248</v>
      </c>
      <c r="AT472" s="76">
        <f t="array" aca="1" ref="AT472" ca="1">SUM(OFFSET(AT123,0,IF(AT$7-2004-'Tech Parameters'!$I8&lt;1,-AT$7+2004+1,-'Tech Parameters'!$I8+1)):AT123*OFFSET(AT449,0,IF(AT$7-2004-'Tech Parameters'!$I8&lt;1,-AT$7+2004+1,-'Tech Parameters'!$I8+1)):AT449)</f>
        <v>2042.5135073452248</v>
      </c>
      <c r="AU472" s="76">
        <f t="array" aca="1" ref="AU472" ca="1">SUM(OFFSET(AU123,0,IF(AU$7-2004-'Tech Parameters'!$I8&lt;1,-AU$7+2004+1,-'Tech Parameters'!$I8+1)):AU123*OFFSET(AU449,0,IF(AU$7-2004-'Tech Parameters'!$I8&lt;1,-AU$7+2004+1,-'Tech Parameters'!$I8+1)):AU449)</f>
        <v>2042.5135073452248</v>
      </c>
      <c r="AV472" s="76">
        <f t="array" aca="1" ref="AV472" ca="1">SUM(OFFSET(AV123,0,IF(AV$7-2004-'Tech Parameters'!$I8&lt;1,-AV$7+2004+1,-'Tech Parameters'!$I8+1)):AV123*OFFSET(AV449,0,IF(AV$7-2004-'Tech Parameters'!$I8&lt;1,-AV$7+2004+1,-'Tech Parameters'!$I8+1)):AV449)</f>
        <v>2042.5135073452248</v>
      </c>
      <c r="AW472" s="76">
        <f t="array" aca="1" ref="AW472" ca="1">SUM(OFFSET(AW123,0,IF(AW$7-2004-'Tech Parameters'!$I8&lt;1,-AW$7+2004+1,-'Tech Parameters'!$I8+1)):AW123*OFFSET(AW449,0,IF(AW$7-2004-'Tech Parameters'!$I8&lt;1,-AW$7+2004+1,-'Tech Parameters'!$I8+1)):AW449)</f>
        <v>2042.5135073452248</v>
      </c>
    </row>
    <row r="473" spans="3:49">
      <c r="C473" t="str">
        <f t="shared" si="218"/>
        <v>PWR nuclear</v>
      </c>
      <c r="D473">
        <f t="array" aca="1" ref="D473" ca="1">SUM(OFFSET(D124,0,IF(D$7-2004-'Tech Parameters'!$I9&lt;1,-D$7+2004+1,-'Tech Parameters'!$I9+1)):D124*OFFSET(D450,0,IF(D$7-2004-'Tech Parameters'!$I9&lt;1,-D$7+2004+1,-'Tech Parameters'!$I9+1)):D450)</f>
        <v>0</v>
      </c>
      <c r="E473">
        <f t="array" aca="1" ref="E473" ca="1">SUM(OFFSET(E124,0,IF(E$7-2004-'Tech Parameters'!$I9&lt;1,-E$7+2004+1,-'Tech Parameters'!$I9+1)):E124*OFFSET(E450,0,IF(E$7-2004-'Tech Parameters'!$I9&lt;1,-E$7+2004+1,-'Tech Parameters'!$I9+1)):E450)</f>
        <v>0</v>
      </c>
      <c r="F473">
        <f t="array" aca="1" ref="F473" ca="1">SUM(OFFSET(F124,0,IF(F$7-2004-'Tech Parameters'!$I9&lt;1,-F$7+2004+1,-'Tech Parameters'!$I9+1)):F124*OFFSET(F450,0,IF(F$7-2004-'Tech Parameters'!$I9&lt;1,-F$7+2004+1,-'Tech Parameters'!$I9+1)):F450)</f>
        <v>0</v>
      </c>
      <c r="G473">
        <f t="array" aca="1" ref="G473" ca="1">SUM(OFFSET(G124,0,IF(G$7-2004-'Tech Parameters'!$I9&lt;1,-G$7+2004+1,-'Tech Parameters'!$I9+1)):G124*OFFSET(G450,0,IF(G$7-2004-'Tech Parameters'!$I9&lt;1,-G$7+2004+1,-'Tech Parameters'!$I9+1)):G450)</f>
        <v>0</v>
      </c>
      <c r="H473">
        <f t="array" aca="1" ref="H473" ca="1">SUM(OFFSET(H124,0,IF(H$7-2004-'Tech Parameters'!$I9&lt;1,-H$7+2004+1,-'Tech Parameters'!$I9+1)):H124*OFFSET(H450,0,IF(H$7-2004-'Tech Parameters'!$I9&lt;1,-H$7+2004+1,-'Tech Parameters'!$I9+1)):H450)</f>
        <v>0</v>
      </c>
      <c r="I473">
        <f t="array" aca="1" ref="I473" ca="1">SUM(OFFSET(I124,0,IF(I$7-2004-'Tech Parameters'!$I9&lt;1,-I$7+2004+1,-'Tech Parameters'!$I9+1)):I124*OFFSET(I450,0,IF(I$7-2004-'Tech Parameters'!$I9&lt;1,-I$7+2004+1,-'Tech Parameters'!$I9+1)):I450)</f>
        <v>0</v>
      </c>
      <c r="J473">
        <f t="array" aca="1" ref="J473" ca="1">SUM(OFFSET(J124,0,IF(J$7-2004-'Tech Parameters'!$I9&lt;1,-J$7+2004+1,-'Tech Parameters'!$I9+1)):J124*OFFSET(J450,0,IF(J$7-2004-'Tech Parameters'!$I9&lt;1,-J$7+2004+1,-'Tech Parameters'!$I9+1)):J450)</f>
        <v>0</v>
      </c>
      <c r="K473">
        <f t="array" aca="1" ref="K473" ca="1">SUM(OFFSET(K124,0,IF(K$7-2004-'Tech Parameters'!$I9&lt;1,-K$7+2004+1,-'Tech Parameters'!$I9+1)):K124*OFFSET(K450,0,IF(K$7-2004-'Tech Parameters'!$I9&lt;1,-K$7+2004+1,-'Tech Parameters'!$I9+1)):K450)</f>
        <v>0</v>
      </c>
      <c r="L473">
        <f t="array" aca="1" ref="L473" ca="1">SUM(OFFSET(L124,0,IF(L$7-2004-'Tech Parameters'!$I9&lt;1,-L$7+2004+1,-'Tech Parameters'!$I9+1)):L124*OFFSET(L450,0,IF(L$7-2004-'Tech Parameters'!$I9&lt;1,-L$7+2004+1,-'Tech Parameters'!$I9+1)):L450)</f>
        <v>0</v>
      </c>
      <c r="M473">
        <f t="array" aca="1" ref="M473" ca="1">SUM(OFFSET(M124,0,IF(M$7-2004-'Tech Parameters'!$I9&lt;1,-M$7+2004+1,-'Tech Parameters'!$I9+1)):M124*OFFSET(M450,0,IF(M$7-2004-'Tech Parameters'!$I9&lt;1,-M$7+2004+1,-'Tech Parameters'!$I9+1)):M450)</f>
        <v>0</v>
      </c>
      <c r="N473">
        <f t="array" aca="1" ref="N473" ca="1">SUM(OFFSET(N124,0,IF(N$7-2004-'Tech Parameters'!$I9&lt;1,-N$7+2004+1,-'Tech Parameters'!$I9+1)):N124*OFFSET(N450,0,IF(N$7-2004-'Tech Parameters'!$I9&lt;1,-N$7+2004+1,-'Tech Parameters'!$I9+1)):N450)</f>
        <v>0</v>
      </c>
      <c r="O473">
        <f t="array" aca="1" ref="O473" ca="1">SUM(OFFSET(O124,0,IF(O$7-2004-'Tech Parameters'!$I9&lt;1,-O$7+2004+1,-'Tech Parameters'!$I9+1)):O124*OFFSET(O450,0,IF(O$7-2004-'Tech Parameters'!$I9&lt;1,-O$7+2004+1,-'Tech Parameters'!$I9+1)):O450)</f>
        <v>0</v>
      </c>
      <c r="P473">
        <f t="array" aca="1" ref="P473" ca="1">SUM(OFFSET(P124,0,IF(P$7-2004-'Tech Parameters'!$I9&lt;1,-P$7+2004+1,-'Tech Parameters'!$I9+1)):P124*OFFSET(P450,0,IF(P$7-2004-'Tech Parameters'!$I9&lt;1,-P$7+2004+1,-'Tech Parameters'!$I9+1)):P450)</f>
        <v>0</v>
      </c>
      <c r="Q473">
        <f t="array" aca="1" ref="Q473" ca="1">SUM(OFFSET(Q124,0,IF(Q$7-2004-'Tech Parameters'!$I9&lt;1,-Q$7+2004+1,-'Tech Parameters'!$I9+1)):Q124*OFFSET(Q450,0,IF(Q$7-2004-'Tech Parameters'!$I9&lt;1,-Q$7+2004+1,-'Tech Parameters'!$I9+1)):Q450)</f>
        <v>0</v>
      </c>
      <c r="R473">
        <f t="array" aca="1" ref="R473" ca="1">SUM(OFFSET(R124,0,IF(R$7-2004-'Tech Parameters'!$I9&lt;1,-R$7+2004+1,-'Tech Parameters'!$I9+1)):R124*OFFSET(R450,0,IF(R$7-2004-'Tech Parameters'!$I9&lt;1,-R$7+2004+1,-'Tech Parameters'!$I9+1)):R450)</f>
        <v>0</v>
      </c>
      <c r="S473">
        <f t="array" aca="1" ref="S473" ca="1">SUM(OFFSET(S124,0,IF(S$7-2004-'Tech Parameters'!$I9&lt;1,-S$7+2004+1,-'Tech Parameters'!$I9+1)):S124*OFFSET(S450,0,IF(S$7-2004-'Tech Parameters'!$I9&lt;1,-S$7+2004+1,-'Tech Parameters'!$I9+1)):S450)</f>
        <v>0</v>
      </c>
      <c r="T473">
        <f t="array" aca="1" ref="T473" ca="1">SUM(OFFSET(T124,0,IF(T$7-2004-'Tech Parameters'!$I9&lt;1,-T$7+2004+1,-'Tech Parameters'!$I9+1)):T124*OFFSET(T450,0,IF(T$7-2004-'Tech Parameters'!$I9&lt;1,-T$7+2004+1,-'Tech Parameters'!$I9+1)):T450)</f>
        <v>0</v>
      </c>
      <c r="U473">
        <f t="array" aca="1" ref="U473" ca="1">SUM(OFFSET(U124,0,IF(U$7-2004-'Tech Parameters'!$I9&lt;1,-U$7+2004+1,-'Tech Parameters'!$I9+1)):U124*OFFSET(U450,0,IF(U$7-2004-'Tech Parameters'!$I9&lt;1,-U$7+2004+1,-'Tech Parameters'!$I9+1)):U450)</f>
        <v>0</v>
      </c>
      <c r="V473">
        <f t="array" aca="1" ref="V473" ca="1">SUM(OFFSET(V124,0,IF(V$7-2004-'Tech Parameters'!$I9&lt;1,-V$7+2004+1,-'Tech Parameters'!$I9+1)):V124*OFFSET(V450,0,IF(V$7-2004-'Tech Parameters'!$I9&lt;1,-V$7+2004+1,-'Tech Parameters'!$I9+1)):V450)</f>
        <v>0</v>
      </c>
      <c r="W473">
        <f t="array" aca="1" ref="W473" ca="1">SUM(OFFSET(W124,0,IF(W$7-2004-'Tech Parameters'!$I9&lt;1,-W$7+2004+1,-'Tech Parameters'!$I9+1)):W124*OFFSET(W450,0,IF(W$7-2004-'Tech Parameters'!$I9&lt;1,-W$7+2004+1,-'Tech Parameters'!$I9+1)):W450)</f>
        <v>0</v>
      </c>
      <c r="X473">
        <f t="array" aca="1" ref="X473" ca="1">SUM(OFFSET(X124,0,IF(X$7-2004-'Tech Parameters'!$I9&lt;1,-X$7+2004+1,-'Tech Parameters'!$I9+1)):X124*OFFSET(X450,0,IF(X$7-2004-'Tech Parameters'!$I9&lt;1,-X$7+2004+1,-'Tech Parameters'!$I9+1)):X450)</f>
        <v>0</v>
      </c>
      <c r="Y473">
        <f t="array" aca="1" ref="Y473" ca="1">SUM(OFFSET(Y124,0,IF(Y$7-2004-'Tech Parameters'!$I9&lt;1,-Y$7+2004+1,-'Tech Parameters'!$I9+1)):Y124*OFFSET(Y450,0,IF(Y$7-2004-'Tech Parameters'!$I9&lt;1,-Y$7+2004+1,-'Tech Parameters'!$I9+1)):Y450)</f>
        <v>0</v>
      </c>
      <c r="Z473">
        <f t="array" aca="1" ref="Z473" ca="1">SUM(OFFSET(Z124,0,IF(Z$7-2004-'Tech Parameters'!$I9&lt;1,-Z$7+2004+1,-'Tech Parameters'!$I9+1)):Z124*OFFSET(Z450,0,IF(Z$7-2004-'Tech Parameters'!$I9&lt;1,-Z$7+2004+1,-'Tech Parameters'!$I9+1)):Z450)</f>
        <v>0</v>
      </c>
      <c r="AA473">
        <f t="array" aca="1" ref="AA473" ca="1">SUM(OFFSET(AA124,0,IF(AA$7-2004-'Tech Parameters'!$I9&lt;1,-AA$7+2004+1,-'Tech Parameters'!$I9+1)):AA124*OFFSET(AA450,0,IF(AA$7-2004-'Tech Parameters'!$I9&lt;1,-AA$7+2004+1,-'Tech Parameters'!$I9+1)):AA450)</f>
        <v>0</v>
      </c>
      <c r="AB473">
        <f t="array" aca="1" ref="AB473" ca="1">SUM(OFFSET(AB124,0,IF(AB$7-2004-'Tech Parameters'!$I9&lt;1,-AB$7+2004+1,-'Tech Parameters'!$I9+1)):AB124*OFFSET(AB450,0,IF(AB$7-2004-'Tech Parameters'!$I9&lt;1,-AB$7+2004+1,-'Tech Parameters'!$I9+1)):AB450)</f>
        <v>0</v>
      </c>
      <c r="AC473">
        <f t="array" aca="1" ref="AC473" ca="1">SUM(OFFSET(AC124,0,IF(AC$7-2004-'Tech Parameters'!$I9&lt;1,-AC$7+2004+1,-'Tech Parameters'!$I9+1)):AC124*OFFSET(AC450,0,IF(AC$7-2004-'Tech Parameters'!$I9&lt;1,-AC$7+2004+1,-'Tech Parameters'!$I9+1)):AC450)</f>
        <v>0</v>
      </c>
      <c r="AD473" s="76">
        <f t="array" aca="1" ref="AD473" ca="1">SUM(OFFSET(AD124,0,IF(AD$7-2004-'Tech Parameters'!$I9&lt;1,-AD$7+2004+1,-'Tech Parameters'!$I9+1)):AD124*OFFSET(AD450,0,IF(AD$7-2004-'Tech Parameters'!$I9&lt;1,-AD$7+2004+1,-'Tech Parameters'!$I9+1)):AD450)</f>
        <v>0</v>
      </c>
      <c r="AE473" s="76">
        <f t="array" aca="1" ref="AE473" ca="1">SUM(OFFSET(AE124,0,IF(AE$7-2004-'Tech Parameters'!$I9&lt;1,-AE$7+2004+1,-'Tech Parameters'!$I9+1)):AE124*OFFSET(AE450,0,IF(AE$7-2004-'Tech Parameters'!$I9&lt;1,-AE$7+2004+1,-'Tech Parameters'!$I9+1)):AE450)</f>
        <v>0</v>
      </c>
      <c r="AF473" s="76">
        <f t="array" aca="1" ref="AF473" ca="1">SUM(OFFSET(AF124,0,IF(AF$7-2004-'Tech Parameters'!$I9&lt;1,-AF$7+2004+1,-'Tech Parameters'!$I9+1)):AF124*OFFSET(AF450,0,IF(AF$7-2004-'Tech Parameters'!$I9&lt;1,-AF$7+2004+1,-'Tech Parameters'!$I9+1)):AF450)</f>
        <v>0</v>
      </c>
      <c r="AG473" s="76">
        <f t="array" aca="1" ref="AG473" ca="1">SUM(OFFSET(AG124,0,IF(AG$7-2004-'Tech Parameters'!$I9&lt;1,-AG$7+2004+1,-'Tech Parameters'!$I9+1)):AG124*OFFSET(AG450,0,IF(AG$7-2004-'Tech Parameters'!$I9&lt;1,-AG$7+2004+1,-'Tech Parameters'!$I9+1)):AG450)</f>
        <v>0</v>
      </c>
      <c r="AH473" s="76">
        <f t="array" aca="1" ref="AH473" ca="1">SUM(OFFSET(AH124,0,IF(AH$7-2004-'Tech Parameters'!$I9&lt;1,-AH$7+2004+1,-'Tech Parameters'!$I9+1)):AH124*OFFSET(AH450,0,IF(AH$7-2004-'Tech Parameters'!$I9&lt;1,-AH$7+2004+1,-'Tech Parameters'!$I9+1)):AH450)</f>
        <v>0</v>
      </c>
      <c r="AI473" s="76">
        <f t="array" aca="1" ref="AI473" ca="1">SUM(OFFSET(AI124,0,IF(AI$7-2004-'Tech Parameters'!$I9&lt;1,-AI$7+2004+1,-'Tech Parameters'!$I9+1)):AI124*OFFSET(AI450,0,IF(AI$7-2004-'Tech Parameters'!$I9&lt;1,-AI$7+2004+1,-'Tech Parameters'!$I9+1)):AI450)</f>
        <v>0</v>
      </c>
      <c r="AJ473" s="76">
        <f t="array" aca="1" ref="AJ473" ca="1">SUM(OFFSET(AJ124,0,IF(AJ$7-2004-'Tech Parameters'!$I9&lt;1,-AJ$7+2004+1,-'Tech Parameters'!$I9+1)):AJ124*OFFSET(AJ450,0,IF(AJ$7-2004-'Tech Parameters'!$I9&lt;1,-AJ$7+2004+1,-'Tech Parameters'!$I9+1)):AJ450)</f>
        <v>0</v>
      </c>
      <c r="AK473" s="76">
        <f t="array" aca="1" ref="AK473" ca="1">SUM(OFFSET(AK124,0,IF(AK$7-2004-'Tech Parameters'!$I9&lt;1,-AK$7+2004+1,-'Tech Parameters'!$I9+1)):AK124*OFFSET(AK450,0,IF(AK$7-2004-'Tech Parameters'!$I9&lt;1,-AK$7+2004+1,-'Tech Parameters'!$I9+1)):AK450)</f>
        <v>0</v>
      </c>
      <c r="AL473" s="76">
        <f t="array" aca="1" ref="AL473" ca="1">SUM(OFFSET(AL124,0,IF(AL$7-2004-'Tech Parameters'!$I9&lt;1,-AL$7+2004+1,-'Tech Parameters'!$I9+1)):AL124*OFFSET(AL450,0,IF(AL$7-2004-'Tech Parameters'!$I9&lt;1,-AL$7+2004+1,-'Tech Parameters'!$I9+1)):AL450)</f>
        <v>0</v>
      </c>
      <c r="AM473" s="76">
        <f t="array" aca="1" ref="AM473" ca="1">SUM(OFFSET(AM124,0,IF(AM$7-2004-'Tech Parameters'!$I9&lt;1,-AM$7+2004+1,-'Tech Parameters'!$I9+1)):AM124*OFFSET(AM450,0,IF(AM$7-2004-'Tech Parameters'!$I9&lt;1,-AM$7+2004+1,-'Tech Parameters'!$I9+1)):AM450)</f>
        <v>0</v>
      </c>
      <c r="AN473" s="76">
        <f t="array" aca="1" ref="AN473" ca="1">SUM(OFFSET(AN124,0,IF(AN$7-2004-'Tech Parameters'!$I9&lt;1,-AN$7+2004+1,-'Tech Parameters'!$I9+1)):AN124*OFFSET(AN450,0,IF(AN$7-2004-'Tech Parameters'!$I9&lt;1,-AN$7+2004+1,-'Tech Parameters'!$I9+1)):AN450)</f>
        <v>0</v>
      </c>
      <c r="AO473" s="76">
        <f t="array" aca="1" ref="AO473" ca="1">SUM(OFFSET(AO124,0,IF(AO$7-2004-'Tech Parameters'!$I9&lt;1,-AO$7+2004+1,-'Tech Parameters'!$I9+1)):AO124*OFFSET(AO450,0,IF(AO$7-2004-'Tech Parameters'!$I9&lt;1,-AO$7+2004+1,-'Tech Parameters'!$I9+1)):AO450)</f>
        <v>0</v>
      </c>
      <c r="AP473" s="76">
        <f t="array" aca="1" ref="AP473" ca="1">SUM(OFFSET(AP124,0,IF(AP$7-2004-'Tech Parameters'!$I9&lt;1,-AP$7+2004+1,-'Tech Parameters'!$I9+1)):AP124*OFFSET(AP450,0,IF(AP$7-2004-'Tech Parameters'!$I9&lt;1,-AP$7+2004+1,-'Tech Parameters'!$I9+1)):AP450)</f>
        <v>0</v>
      </c>
      <c r="AQ473" s="76">
        <f t="array" aca="1" ref="AQ473" ca="1">SUM(OFFSET(AQ124,0,IF(AQ$7-2004-'Tech Parameters'!$I9&lt;1,-AQ$7+2004+1,-'Tech Parameters'!$I9+1)):AQ124*OFFSET(AQ450,0,IF(AQ$7-2004-'Tech Parameters'!$I9&lt;1,-AQ$7+2004+1,-'Tech Parameters'!$I9+1)):AQ450)</f>
        <v>0</v>
      </c>
      <c r="AR473" s="76">
        <f t="array" aca="1" ref="AR473" ca="1">SUM(OFFSET(AR124,0,IF(AR$7-2004-'Tech Parameters'!$I9&lt;1,-AR$7+2004+1,-'Tech Parameters'!$I9+1)):AR124*OFFSET(AR450,0,IF(AR$7-2004-'Tech Parameters'!$I9&lt;1,-AR$7+2004+1,-'Tech Parameters'!$I9+1)):AR450)</f>
        <v>0</v>
      </c>
      <c r="AS473" s="76">
        <f t="array" aca="1" ref="AS473" ca="1">SUM(OFFSET(AS124,0,IF(AS$7-2004-'Tech Parameters'!$I9&lt;1,-AS$7+2004+1,-'Tech Parameters'!$I9+1)):AS124*OFFSET(AS450,0,IF(AS$7-2004-'Tech Parameters'!$I9&lt;1,-AS$7+2004+1,-'Tech Parameters'!$I9+1)):AS450)</f>
        <v>0</v>
      </c>
      <c r="AT473" s="76">
        <f t="array" aca="1" ref="AT473" ca="1">SUM(OFFSET(AT124,0,IF(AT$7-2004-'Tech Parameters'!$I9&lt;1,-AT$7+2004+1,-'Tech Parameters'!$I9+1)):AT124*OFFSET(AT450,0,IF(AT$7-2004-'Tech Parameters'!$I9&lt;1,-AT$7+2004+1,-'Tech Parameters'!$I9+1)):AT450)</f>
        <v>0</v>
      </c>
      <c r="AU473" s="76">
        <f t="array" aca="1" ref="AU473" ca="1">SUM(OFFSET(AU124,0,IF(AU$7-2004-'Tech Parameters'!$I9&lt;1,-AU$7+2004+1,-'Tech Parameters'!$I9+1)):AU124*OFFSET(AU450,0,IF(AU$7-2004-'Tech Parameters'!$I9&lt;1,-AU$7+2004+1,-'Tech Parameters'!$I9+1)):AU450)</f>
        <v>0</v>
      </c>
      <c r="AV473" s="76">
        <f t="array" aca="1" ref="AV473" ca="1">SUM(OFFSET(AV124,0,IF(AV$7-2004-'Tech Parameters'!$I9&lt;1,-AV$7+2004+1,-'Tech Parameters'!$I9+1)):AV124*OFFSET(AV450,0,IF(AV$7-2004-'Tech Parameters'!$I9&lt;1,-AV$7+2004+1,-'Tech Parameters'!$I9+1)):AV450)</f>
        <v>0</v>
      </c>
      <c r="AW473" s="76">
        <f t="array" aca="1" ref="AW473" ca="1">SUM(OFFSET(AW124,0,IF(AW$7-2004-'Tech Parameters'!$I9&lt;1,-AW$7+2004+1,-'Tech Parameters'!$I9+1)):AW124*OFFSET(AW450,0,IF(AW$7-2004-'Tech Parameters'!$I9&lt;1,-AW$7+2004+1,-'Tech Parameters'!$I9+1)):AW450)</f>
        <v>0</v>
      </c>
    </row>
    <row r="474" spans="3:49">
      <c r="C474" t="str">
        <f t="shared" si="218"/>
        <v>Hydro</v>
      </c>
      <c r="D474">
        <f t="array" aca="1" ref="D474" ca="1">SUM(OFFSET(D125,0,IF(D$7-2004-'Tech Parameters'!$I10&lt;1,-D$7+2004+1,-'Tech Parameters'!$I10+1)):D125*OFFSET(D451,0,IF(D$7-2004-'Tech Parameters'!$I10&lt;1,-D$7+2004+1,-'Tech Parameters'!$I10+1)):D451)</f>
        <v>0</v>
      </c>
      <c r="E474">
        <f t="array" aca="1" ref="E474" ca="1">SUM(OFFSET(E125,0,IF(E$7-2004-'Tech Parameters'!$I10&lt;1,-E$7+2004+1,-'Tech Parameters'!$I10+1)):E125*OFFSET(E451,0,IF(E$7-2004-'Tech Parameters'!$I10&lt;1,-E$7+2004+1,-'Tech Parameters'!$I10+1)):E451)</f>
        <v>0</v>
      </c>
      <c r="F474">
        <f t="array" aca="1" ref="F474" ca="1">SUM(OFFSET(F125,0,IF(F$7-2004-'Tech Parameters'!$I10&lt;1,-F$7+2004+1,-'Tech Parameters'!$I10+1)):F125*OFFSET(F451,0,IF(F$7-2004-'Tech Parameters'!$I10&lt;1,-F$7+2004+1,-'Tech Parameters'!$I10+1)):F451)</f>
        <v>0</v>
      </c>
      <c r="G474">
        <f t="array" aca="1" ref="G474" ca="1">SUM(OFFSET(G125,0,IF(G$7-2004-'Tech Parameters'!$I10&lt;1,-G$7+2004+1,-'Tech Parameters'!$I10+1)):G125*OFFSET(G451,0,IF(G$7-2004-'Tech Parameters'!$I10&lt;1,-G$7+2004+1,-'Tech Parameters'!$I10+1)):G451)</f>
        <v>0</v>
      </c>
      <c r="H474">
        <f t="array" aca="1" ref="H474" ca="1">SUM(OFFSET(H125,0,IF(H$7-2004-'Tech Parameters'!$I10&lt;1,-H$7+2004+1,-'Tech Parameters'!$I10+1)):H125*OFFSET(H451,0,IF(H$7-2004-'Tech Parameters'!$I10&lt;1,-H$7+2004+1,-'Tech Parameters'!$I10+1)):H451)</f>
        <v>0</v>
      </c>
      <c r="I474">
        <f t="array" aca="1" ref="I474" ca="1">SUM(OFFSET(I125,0,IF(I$7-2004-'Tech Parameters'!$I10&lt;1,-I$7+2004+1,-'Tech Parameters'!$I10+1)):I125*OFFSET(I451,0,IF(I$7-2004-'Tech Parameters'!$I10&lt;1,-I$7+2004+1,-'Tech Parameters'!$I10+1)):I451)</f>
        <v>0</v>
      </c>
      <c r="J474">
        <f t="array" aca="1" ref="J474" ca="1">SUM(OFFSET(J125,0,IF(J$7-2004-'Tech Parameters'!$I10&lt;1,-J$7+2004+1,-'Tech Parameters'!$I10+1)):J125*OFFSET(J451,0,IF(J$7-2004-'Tech Parameters'!$I10&lt;1,-J$7+2004+1,-'Tech Parameters'!$I10+1)):J451)</f>
        <v>0</v>
      </c>
      <c r="K474">
        <f t="array" aca="1" ref="K474" ca="1">SUM(OFFSET(K125,0,IF(K$7-2004-'Tech Parameters'!$I10&lt;1,-K$7+2004+1,-'Tech Parameters'!$I10+1)):K125*OFFSET(K451,0,IF(K$7-2004-'Tech Parameters'!$I10&lt;1,-K$7+2004+1,-'Tech Parameters'!$I10+1)):K451)</f>
        <v>0</v>
      </c>
      <c r="L474">
        <f t="array" aca="1" ref="L474" ca="1">SUM(OFFSET(L125,0,IF(L$7-2004-'Tech Parameters'!$I10&lt;1,-L$7+2004+1,-'Tech Parameters'!$I10+1)):L125*OFFSET(L451,0,IF(L$7-2004-'Tech Parameters'!$I10&lt;1,-L$7+2004+1,-'Tech Parameters'!$I10+1)):L451)</f>
        <v>0</v>
      </c>
      <c r="M474">
        <f t="array" aca="1" ref="M474" ca="1">SUM(OFFSET(M125,0,IF(M$7-2004-'Tech Parameters'!$I10&lt;1,-M$7+2004+1,-'Tech Parameters'!$I10+1)):M125*OFFSET(M451,0,IF(M$7-2004-'Tech Parameters'!$I10&lt;1,-M$7+2004+1,-'Tech Parameters'!$I10+1)):M451)</f>
        <v>0</v>
      </c>
      <c r="N474">
        <f t="array" aca="1" ref="N474" ca="1">SUM(OFFSET(N125,0,IF(N$7-2004-'Tech Parameters'!$I10&lt;1,-N$7+2004+1,-'Tech Parameters'!$I10+1)):N125*OFFSET(N451,0,IF(N$7-2004-'Tech Parameters'!$I10&lt;1,-N$7+2004+1,-'Tech Parameters'!$I10+1)):N451)</f>
        <v>0</v>
      </c>
      <c r="O474">
        <f t="array" aca="1" ref="O474" ca="1">SUM(OFFSET(O125,0,IF(O$7-2004-'Tech Parameters'!$I10&lt;1,-O$7+2004+1,-'Tech Parameters'!$I10+1)):O125*OFFSET(O451,0,IF(O$7-2004-'Tech Parameters'!$I10&lt;1,-O$7+2004+1,-'Tech Parameters'!$I10+1)):O451)</f>
        <v>0</v>
      </c>
      <c r="P474">
        <f t="array" aca="1" ref="P474" ca="1">SUM(OFFSET(P125,0,IF(P$7-2004-'Tech Parameters'!$I10&lt;1,-P$7+2004+1,-'Tech Parameters'!$I10+1)):P125*OFFSET(P451,0,IF(P$7-2004-'Tech Parameters'!$I10&lt;1,-P$7+2004+1,-'Tech Parameters'!$I10+1)):P451)</f>
        <v>0</v>
      </c>
      <c r="Q474">
        <f t="array" aca="1" ref="Q474" ca="1">SUM(OFFSET(Q125,0,IF(Q$7-2004-'Tech Parameters'!$I10&lt;1,-Q$7+2004+1,-'Tech Parameters'!$I10+1)):Q125*OFFSET(Q451,0,IF(Q$7-2004-'Tech Parameters'!$I10&lt;1,-Q$7+2004+1,-'Tech Parameters'!$I10+1)):Q451)</f>
        <v>0</v>
      </c>
      <c r="R474">
        <f t="array" aca="1" ref="R474" ca="1">SUM(OFFSET(R125,0,IF(R$7-2004-'Tech Parameters'!$I10&lt;1,-R$7+2004+1,-'Tech Parameters'!$I10+1)):R125*OFFSET(R451,0,IF(R$7-2004-'Tech Parameters'!$I10&lt;1,-R$7+2004+1,-'Tech Parameters'!$I10+1)):R451)</f>
        <v>0</v>
      </c>
      <c r="S474">
        <f t="array" aca="1" ref="S474" ca="1">SUM(OFFSET(S125,0,IF(S$7-2004-'Tech Parameters'!$I10&lt;1,-S$7+2004+1,-'Tech Parameters'!$I10+1)):S125*OFFSET(S451,0,IF(S$7-2004-'Tech Parameters'!$I10&lt;1,-S$7+2004+1,-'Tech Parameters'!$I10+1)):S451)</f>
        <v>0</v>
      </c>
      <c r="T474">
        <f t="array" aca="1" ref="T474" ca="1">SUM(OFFSET(T125,0,IF(T$7-2004-'Tech Parameters'!$I10&lt;1,-T$7+2004+1,-'Tech Parameters'!$I10+1)):T125*OFFSET(T451,0,IF(T$7-2004-'Tech Parameters'!$I10&lt;1,-T$7+2004+1,-'Tech Parameters'!$I10+1)):T451)</f>
        <v>0</v>
      </c>
      <c r="U474">
        <f t="array" aca="1" ref="U474" ca="1">SUM(OFFSET(U125,0,IF(U$7-2004-'Tech Parameters'!$I10&lt;1,-U$7+2004+1,-'Tech Parameters'!$I10+1)):U125*OFFSET(U451,0,IF(U$7-2004-'Tech Parameters'!$I10&lt;1,-U$7+2004+1,-'Tech Parameters'!$I10+1)):U451)</f>
        <v>0</v>
      </c>
      <c r="V474">
        <f t="array" aca="1" ref="V474" ca="1">SUM(OFFSET(V125,0,IF(V$7-2004-'Tech Parameters'!$I10&lt;1,-V$7+2004+1,-'Tech Parameters'!$I10+1)):V125*OFFSET(V451,0,IF(V$7-2004-'Tech Parameters'!$I10&lt;1,-V$7+2004+1,-'Tech Parameters'!$I10+1)):V451)</f>
        <v>0</v>
      </c>
      <c r="W474">
        <f t="array" aca="1" ref="W474" ca="1">SUM(OFFSET(W125,0,IF(W$7-2004-'Tech Parameters'!$I10&lt;1,-W$7+2004+1,-'Tech Parameters'!$I10+1)):W125*OFFSET(W451,0,IF(W$7-2004-'Tech Parameters'!$I10&lt;1,-W$7+2004+1,-'Tech Parameters'!$I10+1)):W451)</f>
        <v>0</v>
      </c>
      <c r="X474">
        <f t="array" aca="1" ref="X474" ca="1">SUM(OFFSET(X125,0,IF(X$7-2004-'Tech Parameters'!$I10&lt;1,-X$7+2004+1,-'Tech Parameters'!$I10+1)):X125*OFFSET(X451,0,IF(X$7-2004-'Tech Parameters'!$I10&lt;1,-X$7+2004+1,-'Tech Parameters'!$I10+1)):X451)</f>
        <v>0</v>
      </c>
      <c r="Y474">
        <f t="array" aca="1" ref="Y474" ca="1">SUM(OFFSET(Y125,0,IF(Y$7-2004-'Tech Parameters'!$I10&lt;1,-Y$7+2004+1,-'Tech Parameters'!$I10+1)):Y125*OFFSET(Y451,0,IF(Y$7-2004-'Tech Parameters'!$I10&lt;1,-Y$7+2004+1,-'Tech Parameters'!$I10+1)):Y451)</f>
        <v>0</v>
      </c>
      <c r="Z474">
        <f t="array" aca="1" ref="Z474" ca="1">SUM(OFFSET(Z125,0,IF(Z$7-2004-'Tech Parameters'!$I10&lt;1,-Z$7+2004+1,-'Tech Parameters'!$I10+1)):Z125*OFFSET(Z451,0,IF(Z$7-2004-'Tech Parameters'!$I10&lt;1,-Z$7+2004+1,-'Tech Parameters'!$I10+1)):Z451)</f>
        <v>0</v>
      </c>
      <c r="AA474">
        <f t="array" aca="1" ref="AA474" ca="1">SUM(OFFSET(AA125,0,IF(AA$7-2004-'Tech Parameters'!$I10&lt;1,-AA$7+2004+1,-'Tech Parameters'!$I10+1)):AA125*OFFSET(AA451,0,IF(AA$7-2004-'Tech Parameters'!$I10&lt;1,-AA$7+2004+1,-'Tech Parameters'!$I10+1)):AA451)</f>
        <v>0</v>
      </c>
      <c r="AB474">
        <f t="array" aca="1" ref="AB474" ca="1">SUM(OFFSET(AB125,0,IF(AB$7-2004-'Tech Parameters'!$I10&lt;1,-AB$7+2004+1,-'Tech Parameters'!$I10+1)):AB125*OFFSET(AB451,0,IF(AB$7-2004-'Tech Parameters'!$I10&lt;1,-AB$7+2004+1,-'Tech Parameters'!$I10+1)):AB451)</f>
        <v>0</v>
      </c>
      <c r="AC474">
        <f t="array" aca="1" ref="AC474" ca="1">SUM(OFFSET(AC125,0,IF(AC$7-2004-'Tech Parameters'!$I10&lt;1,-AC$7+2004+1,-'Tech Parameters'!$I10+1)):AC125*OFFSET(AC451,0,IF(AC$7-2004-'Tech Parameters'!$I10&lt;1,-AC$7+2004+1,-'Tech Parameters'!$I10+1)):AC451)</f>
        <v>0</v>
      </c>
      <c r="AD474" s="76">
        <f t="array" aca="1" ref="AD474" ca="1">SUM(OFFSET(AD125,0,IF(AD$7-2004-'Tech Parameters'!$I10&lt;1,-AD$7+2004+1,-'Tech Parameters'!$I10+1)):AD125*OFFSET(AD451,0,IF(AD$7-2004-'Tech Parameters'!$I10&lt;1,-AD$7+2004+1,-'Tech Parameters'!$I10+1)):AD451)</f>
        <v>0</v>
      </c>
      <c r="AE474" s="76">
        <f t="array" aca="1" ref="AE474" ca="1">SUM(OFFSET(AE125,0,IF(AE$7-2004-'Tech Parameters'!$I10&lt;1,-AE$7+2004+1,-'Tech Parameters'!$I10+1)):AE125*OFFSET(AE451,0,IF(AE$7-2004-'Tech Parameters'!$I10&lt;1,-AE$7+2004+1,-'Tech Parameters'!$I10+1)):AE451)</f>
        <v>0</v>
      </c>
      <c r="AF474" s="76">
        <f t="array" aca="1" ref="AF474" ca="1">SUM(OFFSET(AF125,0,IF(AF$7-2004-'Tech Parameters'!$I10&lt;1,-AF$7+2004+1,-'Tech Parameters'!$I10+1)):AF125*OFFSET(AF451,0,IF(AF$7-2004-'Tech Parameters'!$I10&lt;1,-AF$7+2004+1,-'Tech Parameters'!$I10+1)):AF451)</f>
        <v>0</v>
      </c>
      <c r="AG474" s="76">
        <f t="array" aca="1" ref="AG474" ca="1">SUM(OFFSET(AG125,0,IF(AG$7-2004-'Tech Parameters'!$I10&lt;1,-AG$7+2004+1,-'Tech Parameters'!$I10+1)):AG125*OFFSET(AG451,0,IF(AG$7-2004-'Tech Parameters'!$I10&lt;1,-AG$7+2004+1,-'Tech Parameters'!$I10+1)):AG451)</f>
        <v>0</v>
      </c>
      <c r="AH474" s="76">
        <f t="array" aca="1" ref="AH474" ca="1">SUM(OFFSET(AH125,0,IF(AH$7-2004-'Tech Parameters'!$I10&lt;1,-AH$7+2004+1,-'Tech Parameters'!$I10+1)):AH125*OFFSET(AH451,0,IF(AH$7-2004-'Tech Parameters'!$I10&lt;1,-AH$7+2004+1,-'Tech Parameters'!$I10+1)):AH451)</f>
        <v>0</v>
      </c>
      <c r="AI474" s="76">
        <f t="array" aca="1" ref="AI474" ca="1">SUM(OFFSET(AI125,0,IF(AI$7-2004-'Tech Parameters'!$I10&lt;1,-AI$7+2004+1,-'Tech Parameters'!$I10+1)):AI125*OFFSET(AI451,0,IF(AI$7-2004-'Tech Parameters'!$I10&lt;1,-AI$7+2004+1,-'Tech Parameters'!$I10+1)):AI451)</f>
        <v>0</v>
      </c>
      <c r="AJ474" s="76">
        <f t="array" aca="1" ref="AJ474" ca="1">SUM(OFFSET(AJ125,0,IF(AJ$7-2004-'Tech Parameters'!$I10&lt;1,-AJ$7+2004+1,-'Tech Parameters'!$I10+1)):AJ125*OFFSET(AJ451,0,IF(AJ$7-2004-'Tech Parameters'!$I10&lt;1,-AJ$7+2004+1,-'Tech Parameters'!$I10+1)):AJ451)</f>
        <v>0</v>
      </c>
      <c r="AK474" s="76">
        <f t="array" aca="1" ref="AK474" ca="1">SUM(OFFSET(AK125,0,IF(AK$7-2004-'Tech Parameters'!$I10&lt;1,-AK$7+2004+1,-'Tech Parameters'!$I10+1)):AK125*OFFSET(AK451,0,IF(AK$7-2004-'Tech Parameters'!$I10&lt;1,-AK$7+2004+1,-'Tech Parameters'!$I10+1)):AK451)</f>
        <v>0</v>
      </c>
      <c r="AL474" s="76">
        <f t="array" aca="1" ref="AL474" ca="1">SUM(OFFSET(AL125,0,IF(AL$7-2004-'Tech Parameters'!$I10&lt;1,-AL$7+2004+1,-'Tech Parameters'!$I10+1)):AL125*OFFSET(AL451,0,IF(AL$7-2004-'Tech Parameters'!$I10&lt;1,-AL$7+2004+1,-'Tech Parameters'!$I10+1)):AL451)</f>
        <v>0</v>
      </c>
      <c r="AM474" s="76">
        <f t="array" aca="1" ref="AM474" ca="1">SUM(OFFSET(AM125,0,IF(AM$7-2004-'Tech Parameters'!$I10&lt;1,-AM$7+2004+1,-'Tech Parameters'!$I10+1)):AM125*OFFSET(AM451,0,IF(AM$7-2004-'Tech Parameters'!$I10&lt;1,-AM$7+2004+1,-'Tech Parameters'!$I10+1)):AM451)</f>
        <v>0</v>
      </c>
      <c r="AN474" s="76">
        <f t="array" aca="1" ref="AN474" ca="1">SUM(OFFSET(AN125,0,IF(AN$7-2004-'Tech Parameters'!$I10&lt;1,-AN$7+2004+1,-'Tech Parameters'!$I10+1)):AN125*OFFSET(AN451,0,IF(AN$7-2004-'Tech Parameters'!$I10&lt;1,-AN$7+2004+1,-'Tech Parameters'!$I10+1)):AN451)</f>
        <v>0</v>
      </c>
      <c r="AO474" s="76">
        <f t="array" aca="1" ref="AO474" ca="1">SUM(OFFSET(AO125,0,IF(AO$7-2004-'Tech Parameters'!$I10&lt;1,-AO$7+2004+1,-'Tech Parameters'!$I10+1)):AO125*OFFSET(AO451,0,IF(AO$7-2004-'Tech Parameters'!$I10&lt;1,-AO$7+2004+1,-'Tech Parameters'!$I10+1)):AO451)</f>
        <v>0</v>
      </c>
      <c r="AP474" s="76">
        <f t="array" aca="1" ref="AP474" ca="1">SUM(OFFSET(AP125,0,IF(AP$7-2004-'Tech Parameters'!$I10&lt;1,-AP$7+2004+1,-'Tech Parameters'!$I10+1)):AP125*OFFSET(AP451,0,IF(AP$7-2004-'Tech Parameters'!$I10&lt;1,-AP$7+2004+1,-'Tech Parameters'!$I10+1)):AP451)</f>
        <v>0</v>
      </c>
      <c r="AQ474" s="76">
        <f t="array" aca="1" ref="AQ474" ca="1">SUM(OFFSET(AQ125,0,IF(AQ$7-2004-'Tech Parameters'!$I10&lt;1,-AQ$7+2004+1,-'Tech Parameters'!$I10+1)):AQ125*OFFSET(AQ451,0,IF(AQ$7-2004-'Tech Parameters'!$I10&lt;1,-AQ$7+2004+1,-'Tech Parameters'!$I10+1)):AQ451)</f>
        <v>0</v>
      </c>
      <c r="AR474" s="76">
        <f t="array" aca="1" ref="AR474" ca="1">SUM(OFFSET(AR125,0,IF(AR$7-2004-'Tech Parameters'!$I10&lt;1,-AR$7+2004+1,-'Tech Parameters'!$I10+1)):AR125*OFFSET(AR451,0,IF(AR$7-2004-'Tech Parameters'!$I10&lt;1,-AR$7+2004+1,-'Tech Parameters'!$I10+1)):AR451)</f>
        <v>0</v>
      </c>
      <c r="AS474" s="76">
        <f t="array" aca="1" ref="AS474" ca="1">SUM(OFFSET(AS125,0,IF(AS$7-2004-'Tech Parameters'!$I10&lt;1,-AS$7+2004+1,-'Tech Parameters'!$I10+1)):AS125*OFFSET(AS451,0,IF(AS$7-2004-'Tech Parameters'!$I10&lt;1,-AS$7+2004+1,-'Tech Parameters'!$I10+1)):AS451)</f>
        <v>0</v>
      </c>
      <c r="AT474" s="76">
        <f t="array" aca="1" ref="AT474" ca="1">SUM(OFFSET(AT125,0,IF(AT$7-2004-'Tech Parameters'!$I10&lt;1,-AT$7+2004+1,-'Tech Parameters'!$I10+1)):AT125*OFFSET(AT451,0,IF(AT$7-2004-'Tech Parameters'!$I10&lt;1,-AT$7+2004+1,-'Tech Parameters'!$I10+1)):AT451)</f>
        <v>0</v>
      </c>
      <c r="AU474" s="76">
        <f t="array" aca="1" ref="AU474" ca="1">SUM(OFFSET(AU125,0,IF(AU$7-2004-'Tech Parameters'!$I10&lt;1,-AU$7+2004+1,-'Tech Parameters'!$I10+1)):AU125*OFFSET(AU451,0,IF(AU$7-2004-'Tech Parameters'!$I10&lt;1,-AU$7+2004+1,-'Tech Parameters'!$I10+1)):AU451)</f>
        <v>0</v>
      </c>
      <c r="AV474" s="76">
        <f t="array" aca="1" ref="AV474" ca="1">SUM(OFFSET(AV125,0,IF(AV$7-2004-'Tech Parameters'!$I10&lt;1,-AV$7+2004+1,-'Tech Parameters'!$I10+1)):AV125*OFFSET(AV451,0,IF(AV$7-2004-'Tech Parameters'!$I10&lt;1,-AV$7+2004+1,-'Tech Parameters'!$I10+1)):AV451)</f>
        <v>0</v>
      </c>
      <c r="AW474" s="76">
        <f t="array" aca="1" ref="AW474" ca="1">SUM(OFFSET(AW125,0,IF(AW$7-2004-'Tech Parameters'!$I10&lt;1,-AW$7+2004+1,-'Tech Parameters'!$I10+1)):AW125*OFFSET(AW451,0,IF(AW$7-2004-'Tech Parameters'!$I10&lt;1,-AW$7+2004+1,-'Tech Parameters'!$I10+1)):AW451)</f>
        <v>0</v>
      </c>
    </row>
    <row r="475" spans="3:49">
      <c r="C475" t="str">
        <f t="shared" si="218"/>
        <v>Landfill gas</v>
      </c>
      <c r="D475">
        <f t="array" aca="1" ref="D475" ca="1">SUM(OFFSET(D126,0,IF(D$7-2004-'Tech Parameters'!$I11&lt;1,-D$7+2004+1,-'Tech Parameters'!$I11+1)):D126*OFFSET(D452,0,IF(D$7-2004-'Tech Parameters'!$I11&lt;1,-D$7+2004+1,-'Tech Parameters'!$I11+1)):D452)</f>
        <v>0</v>
      </c>
      <c r="E475">
        <f t="array" aca="1" ref="E475" ca="1">SUM(OFFSET(E126,0,IF(E$7-2004-'Tech Parameters'!$I11&lt;1,-E$7+2004+1,-'Tech Parameters'!$I11+1)):E126*OFFSET(E452,0,IF(E$7-2004-'Tech Parameters'!$I11&lt;1,-E$7+2004+1,-'Tech Parameters'!$I11+1)):E452)</f>
        <v>0</v>
      </c>
      <c r="F475">
        <f t="array" aca="1" ref="F475" ca="1">SUM(OFFSET(F126,0,IF(F$7-2004-'Tech Parameters'!$I11&lt;1,-F$7+2004+1,-'Tech Parameters'!$I11+1)):F126*OFFSET(F452,0,IF(F$7-2004-'Tech Parameters'!$I11&lt;1,-F$7+2004+1,-'Tech Parameters'!$I11+1)):F452)</f>
        <v>0</v>
      </c>
      <c r="G475">
        <f t="array" aca="1" ref="G475" ca="1">SUM(OFFSET(G126,0,IF(G$7-2004-'Tech Parameters'!$I11&lt;1,-G$7+2004+1,-'Tech Parameters'!$I11+1)):G126*OFFSET(G452,0,IF(G$7-2004-'Tech Parameters'!$I11&lt;1,-G$7+2004+1,-'Tech Parameters'!$I11+1)):G452)</f>
        <v>0</v>
      </c>
      <c r="H475">
        <f t="array" aca="1" ref="H475" ca="1">SUM(OFFSET(H126,0,IF(H$7-2004-'Tech Parameters'!$I11&lt;1,-H$7+2004+1,-'Tech Parameters'!$I11+1)):H126*OFFSET(H452,0,IF(H$7-2004-'Tech Parameters'!$I11&lt;1,-H$7+2004+1,-'Tech Parameters'!$I11+1)):H452)</f>
        <v>0</v>
      </c>
      <c r="I475">
        <f t="array" aca="1" ref="I475" ca="1">SUM(OFFSET(I126,0,IF(I$7-2004-'Tech Parameters'!$I11&lt;1,-I$7+2004+1,-'Tech Parameters'!$I11+1)):I126*OFFSET(I452,0,IF(I$7-2004-'Tech Parameters'!$I11&lt;1,-I$7+2004+1,-'Tech Parameters'!$I11+1)):I452)</f>
        <v>0</v>
      </c>
      <c r="J475">
        <f t="array" aca="1" ref="J475" ca="1">SUM(OFFSET(J126,0,IF(J$7-2004-'Tech Parameters'!$I11&lt;1,-J$7+2004+1,-'Tech Parameters'!$I11+1)):J126*OFFSET(J452,0,IF(J$7-2004-'Tech Parameters'!$I11&lt;1,-J$7+2004+1,-'Tech Parameters'!$I11+1)):J452)</f>
        <v>0</v>
      </c>
      <c r="K475">
        <f t="array" aca="1" ref="K475" ca="1">SUM(OFFSET(K126,0,IF(K$7-2004-'Tech Parameters'!$I11&lt;1,-K$7+2004+1,-'Tech Parameters'!$I11+1)):K126*OFFSET(K452,0,IF(K$7-2004-'Tech Parameters'!$I11&lt;1,-K$7+2004+1,-'Tech Parameters'!$I11+1)):K452)</f>
        <v>0</v>
      </c>
      <c r="L475">
        <f t="array" aca="1" ref="L475" ca="1">SUM(OFFSET(L126,0,IF(L$7-2004-'Tech Parameters'!$I11&lt;1,-L$7+2004+1,-'Tech Parameters'!$I11+1)):L126*OFFSET(L452,0,IF(L$7-2004-'Tech Parameters'!$I11&lt;1,-L$7+2004+1,-'Tech Parameters'!$I11+1)):L452)</f>
        <v>0</v>
      </c>
      <c r="M475">
        <f t="array" aca="1" ref="M475" ca="1">SUM(OFFSET(M126,0,IF(M$7-2004-'Tech Parameters'!$I11&lt;1,-M$7+2004+1,-'Tech Parameters'!$I11+1)):M126*OFFSET(M452,0,IF(M$7-2004-'Tech Parameters'!$I11&lt;1,-M$7+2004+1,-'Tech Parameters'!$I11+1)):M452)</f>
        <v>0</v>
      </c>
      <c r="N475">
        <f t="array" aca="1" ref="N475" ca="1">SUM(OFFSET(N126,0,IF(N$7-2004-'Tech Parameters'!$I11&lt;1,-N$7+2004+1,-'Tech Parameters'!$I11+1)):N126*OFFSET(N452,0,IF(N$7-2004-'Tech Parameters'!$I11&lt;1,-N$7+2004+1,-'Tech Parameters'!$I11+1)):N452)</f>
        <v>0</v>
      </c>
      <c r="O475">
        <f t="array" aca="1" ref="O475" ca="1">SUM(OFFSET(O126,0,IF(O$7-2004-'Tech Parameters'!$I11&lt;1,-O$7+2004+1,-'Tech Parameters'!$I11+1)):O126*OFFSET(O452,0,IF(O$7-2004-'Tech Parameters'!$I11&lt;1,-O$7+2004+1,-'Tech Parameters'!$I11+1)):O452)</f>
        <v>0</v>
      </c>
      <c r="P475">
        <f t="array" aca="1" ref="P475" ca="1">SUM(OFFSET(P126,0,IF(P$7-2004-'Tech Parameters'!$I11&lt;1,-P$7+2004+1,-'Tech Parameters'!$I11+1)):P126*OFFSET(P452,0,IF(P$7-2004-'Tech Parameters'!$I11&lt;1,-P$7+2004+1,-'Tech Parameters'!$I11+1)):P452)</f>
        <v>0</v>
      </c>
      <c r="Q475">
        <f t="array" aca="1" ref="Q475" ca="1">SUM(OFFSET(Q126,0,IF(Q$7-2004-'Tech Parameters'!$I11&lt;1,-Q$7+2004+1,-'Tech Parameters'!$I11+1)):Q126*OFFSET(Q452,0,IF(Q$7-2004-'Tech Parameters'!$I11&lt;1,-Q$7+2004+1,-'Tech Parameters'!$I11+1)):Q452)</f>
        <v>0</v>
      </c>
      <c r="R475">
        <f t="array" aca="1" ref="R475" ca="1">SUM(OFFSET(R126,0,IF(R$7-2004-'Tech Parameters'!$I11&lt;1,-R$7+2004+1,-'Tech Parameters'!$I11+1)):R126*OFFSET(R452,0,IF(R$7-2004-'Tech Parameters'!$I11&lt;1,-R$7+2004+1,-'Tech Parameters'!$I11+1)):R452)</f>
        <v>0</v>
      </c>
      <c r="S475">
        <f t="array" aca="1" ref="S475" ca="1">SUM(OFFSET(S126,0,IF(S$7-2004-'Tech Parameters'!$I11&lt;1,-S$7+2004+1,-'Tech Parameters'!$I11+1)):S126*OFFSET(S452,0,IF(S$7-2004-'Tech Parameters'!$I11&lt;1,-S$7+2004+1,-'Tech Parameters'!$I11+1)):S452)</f>
        <v>0</v>
      </c>
      <c r="T475">
        <f t="array" aca="1" ref="T475" ca="1">SUM(OFFSET(T126,0,IF(T$7-2004-'Tech Parameters'!$I11&lt;1,-T$7+2004+1,-'Tech Parameters'!$I11+1)):T126*OFFSET(T452,0,IF(T$7-2004-'Tech Parameters'!$I11&lt;1,-T$7+2004+1,-'Tech Parameters'!$I11+1)):T452)</f>
        <v>0</v>
      </c>
      <c r="U475">
        <f t="array" aca="1" ref="U475" ca="1">SUM(OFFSET(U126,0,IF(U$7-2004-'Tech Parameters'!$I11&lt;1,-U$7+2004+1,-'Tech Parameters'!$I11+1)):U126*OFFSET(U452,0,IF(U$7-2004-'Tech Parameters'!$I11&lt;1,-U$7+2004+1,-'Tech Parameters'!$I11+1)):U452)</f>
        <v>0</v>
      </c>
      <c r="V475">
        <f t="array" aca="1" ref="V475" ca="1">SUM(OFFSET(V126,0,IF(V$7-2004-'Tech Parameters'!$I11&lt;1,-V$7+2004+1,-'Tech Parameters'!$I11+1)):V126*OFFSET(V452,0,IF(V$7-2004-'Tech Parameters'!$I11&lt;1,-V$7+2004+1,-'Tech Parameters'!$I11+1)):V452)</f>
        <v>0</v>
      </c>
      <c r="W475">
        <f t="array" aca="1" ref="W475" ca="1">SUM(OFFSET(W126,0,IF(W$7-2004-'Tech Parameters'!$I11&lt;1,-W$7+2004+1,-'Tech Parameters'!$I11+1)):W126*OFFSET(W452,0,IF(W$7-2004-'Tech Parameters'!$I11&lt;1,-W$7+2004+1,-'Tech Parameters'!$I11+1)):W452)</f>
        <v>0</v>
      </c>
      <c r="X475">
        <f t="array" aca="1" ref="X475" ca="1">SUM(OFFSET(X126,0,IF(X$7-2004-'Tech Parameters'!$I11&lt;1,-X$7+2004+1,-'Tech Parameters'!$I11+1)):X126*OFFSET(X452,0,IF(X$7-2004-'Tech Parameters'!$I11&lt;1,-X$7+2004+1,-'Tech Parameters'!$I11+1)):X452)</f>
        <v>0</v>
      </c>
      <c r="Y475">
        <f t="array" aca="1" ref="Y475" ca="1">SUM(OFFSET(Y126,0,IF(Y$7-2004-'Tech Parameters'!$I11&lt;1,-Y$7+2004+1,-'Tech Parameters'!$I11+1)):Y126*OFFSET(Y452,0,IF(Y$7-2004-'Tech Parameters'!$I11&lt;1,-Y$7+2004+1,-'Tech Parameters'!$I11+1)):Y452)</f>
        <v>0</v>
      </c>
      <c r="Z475">
        <f t="array" aca="1" ref="Z475" ca="1">SUM(OFFSET(Z126,0,IF(Z$7-2004-'Tech Parameters'!$I11&lt;1,-Z$7+2004+1,-'Tech Parameters'!$I11+1)):Z126*OFFSET(Z452,0,IF(Z$7-2004-'Tech Parameters'!$I11&lt;1,-Z$7+2004+1,-'Tech Parameters'!$I11+1)):Z452)</f>
        <v>0</v>
      </c>
      <c r="AA475">
        <f t="array" aca="1" ref="AA475" ca="1">SUM(OFFSET(AA126,0,IF(AA$7-2004-'Tech Parameters'!$I11&lt;1,-AA$7+2004+1,-'Tech Parameters'!$I11+1)):AA126*OFFSET(AA452,0,IF(AA$7-2004-'Tech Parameters'!$I11&lt;1,-AA$7+2004+1,-'Tech Parameters'!$I11+1)):AA452)</f>
        <v>0</v>
      </c>
      <c r="AB475">
        <f t="array" aca="1" ref="AB475" ca="1">SUM(OFFSET(AB126,0,IF(AB$7-2004-'Tech Parameters'!$I11&lt;1,-AB$7+2004+1,-'Tech Parameters'!$I11+1)):AB126*OFFSET(AB452,0,IF(AB$7-2004-'Tech Parameters'!$I11&lt;1,-AB$7+2004+1,-'Tech Parameters'!$I11+1)):AB452)</f>
        <v>0</v>
      </c>
      <c r="AC475">
        <f t="array" aca="1" ref="AC475" ca="1">SUM(OFFSET(AC126,0,IF(AC$7-2004-'Tech Parameters'!$I11&lt;1,-AC$7+2004+1,-'Tech Parameters'!$I11+1)):AC126*OFFSET(AC452,0,IF(AC$7-2004-'Tech Parameters'!$I11&lt;1,-AC$7+2004+1,-'Tech Parameters'!$I11+1)):AC452)</f>
        <v>0</v>
      </c>
      <c r="AD475" s="76">
        <f t="array" aca="1" ref="AD475" ca="1">SUM(OFFSET(AD126,0,IF(AD$7-2004-'Tech Parameters'!$I11&lt;1,-AD$7+2004+1,-'Tech Parameters'!$I11+1)):AD126*OFFSET(AD452,0,IF(AD$7-2004-'Tech Parameters'!$I11&lt;1,-AD$7+2004+1,-'Tech Parameters'!$I11+1)):AD452)</f>
        <v>0</v>
      </c>
      <c r="AE475" s="76">
        <f t="array" aca="1" ref="AE475" ca="1">SUM(OFFSET(AE126,0,IF(AE$7-2004-'Tech Parameters'!$I11&lt;1,-AE$7+2004+1,-'Tech Parameters'!$I11+1)):AE126*OFFSET(AE452,0,IF(AE$7-2004-'Tech Parameters'!$I11&lt;1,-AE$7+2004+1,-'Tech Parameters'!$I11+1)):AE452)</f>
        <v>0</v>
      </c>
      <c r="AF475" s="76">
        <f t="array" aca="1" ref="AF475" ca="1">SUM(OFFSET(AF126,0,IF(AF$7-2004-'Tech Parameters'!$I11&lt;1,-AF$7+2004+1,-'Tech Parameters'!$I11+1)):AF126*OFFSET(AF452,0,IF(AF$7-2004-'Tech Parameters'!$I11&lt;1,-AF$7+2004+1,-'Tech Parameters'!$I11+1)):AF452)</f>
        <v>0</v>
      </c>
      <c r="AG475" s="76">
        <f t="array" aca="1" ref="AG475" ca="1">SUM(OFFSET(AG126,0,IF(AG$7-2004-'Tech Parameters'!$I11&lt;1,-AG$7+2004+1,-'Tech Parameters'!$I11+1)):AG126*OFFSET(AG452,0,IF(AG$7-2004-'Tech Parameters'!$I11&lt;1,-AG$7+2004+1,-'Tech Parameters'!$I11+1)):AG452)</f>
        <v>0</v>
      </c>
      <c r="AH475" s="76">
        <f t="array" aca="1" ref="AH475" ca="1">SUM(OFFSET(AH126,0,IF(AH$7-2004-'Tech Parameters'!$I11&lt;1,-AH$7+2004+1,-'Tech Parameters'!$I11+1)):AH126*OFFSET(AH452,0,IF(AH$7-2004-'Tech Parameters'!$I11&lt;1,-AH$7+2004+1,-'Tech Parameters'!$I11+1)):AH452)</f>
        <v>0</v>
      </c>
      <c r="AI475" s="76">
        <f t="array" aca="1" ref="AI475" ca="1">SUM(OFFSET(AI126,0,IF(AI$7-2004-'Tech Parameters'!$I11&lt;1,-AI$7+2004+1,-'Tech Parameters'!$I11+1)):AI126*OFFSET(AI452,0,IF(AI$7-2004-'Tech Parameters'!$I11&lt;1,-AI$7+2004+1,-'Tech Parameters'!$I11+1)):AI452)</f>
        <v>0</v>
      </c>
      <c r="AJ475" s="76">
        <f t="array" aca="1" ref="AJ475" ca="1">SUM(OFFSET(AJ126,0,IF(AJ$7-2004-'Tech Parameters'!$I11&lt;1,-AJ$7+2004+1,-'Tech Parameters'!$I11+1)):AJ126*OFFSET(AJ452,0,IF(AJ$7-2004-'Tech Parameters'!$I11&lt;1,-AJ$7+2004+1,-'Tech Parameters'!$I11+1)):AJ452)</f>
        <v>0</v>
      </c>
      <c r="AK475" s="76">
        <f t="array" aca="1" ref="AK475" ca="1">SUM(OFFSET(AK126,0,IF(AK$7-2004-'Tech Parameters'!$I11&lt;1,-AK$7+2004+1,-'Tech Parameters'!$I11+1)):AK126*OFFSET(AK452,0,IF(AK$7-2004-'Tech Parameters'!$I11&lt;1,-AK$7+2004+1,-'Tech Parameters'!$I11+1)):AK452)</f>
        <v>0</v>
      </c>
      <c r="AL475" s="76">
        <f t="array" aca="1" ref="AL475" ca="1">SUM(OFFSET(AL126,0,IF(AL$7-2004-'Tech Parameters'!$I11&lt;1,-AL$7+2004+1,-'Tech Parameters'!$I11+1)):AL126*OFFSET(AL452,0,IF(AL$7-2004-'Tech Parameters'!$I11&lt;1,-AL$7+2004+1,-'Tech Parameters'!$I11+1)):AL452)</f>
        <v>0</v>
      </c>
      <c r="AM475" s="76">
        <f t="array" aca="1" ref="AM475" ca="1">SUM(OFFSET(AM126,0,IF(AM$7-2004-'Tech Parameters'!$I11&lt;1,-AM$7+2004+1,-'Tech Parameters'!$I11+1)):AM126*OFFSET(AM452,0,IF(AM$7-2004-'Tech Parameters'!$I11&lt;1,-AM$7+2004+1,-'Tech Parameters'!$I11+1)):AM452)</f>
        <v>0</v>
      </c>
      <c r="AN475" s="76">
        <f t="array" aca="1" ref="AN475" ca="1">SUM(OFFSET(AN126,0,IF(AN$7-2004-'Tech Parameters'!$I11&lt;1,-AN$7+2004+1,-'Tech Parameters'!$I11+1)):AN126*OFFSET(AN452,0,IF(AN$7-2004-'Tech Parameters'!$I11&lt;1,-AN$7+2004+1,-'Tech Parameters'!$I11+1)):AN452)</f>
        <v>0</v>
      </c>
      <c r="AO475" s="76">
        <f t="array" aca="1" ref="AO475" ca="1">SUM(OFFSET(AO126,0,IF(AO$7-2004-'Tech Parameters'!$I11&lt;1,-AO$7+2004+1,-'Tech Parameters'!$I11+1)):AO126*OFFSET(AO452,0,IF(AO$7-2004-'Tech Parameters'!$I11&lt;1,-AO$7+2004+1,-'Tech Parameters'!$I11+1)):AO452)</f>
        <v>0</v>
      </c>
      <c r="AP475" s="76">
        <f t="array" aca="1" ref="AP475" ca="1">SUM(OFFSET(AP126,0,IF(AP$7-2004-'Tech Parameters'!$I11&lt;1,-AP$7+2004+1,-'Tech Parameters'!$I11+1)):AP126*OFFSET(AP452,0,IF(AP$7-2004-'Tech Parameters'!$I11&lt;1,-AP$7+2004+1,-'Tech Parameters'!$I11+1)):AP452)</f>
        <v>0</v>
      </c>
      <c r="AQ475" s="76">
        <f t="array" aca="1" ref="AQ475" ca="1">SUM(OFFSET(AQ126,0,IF(AQ$7-2004-'Tech Parameters'!$I11&lt;1,-AQ$7+2004+1,-'Tech Parameters'!$I11+1)):AQ126*OFFSET(AQ452,0,IF(AQ$7-2004-'Tech Parameters'!$I11&lt;1,-AQ$7+2004+1,-'Tech Parameters'!$I11+1)):AQ452)</f>
        <v>0</v>
      </c>
      <c r="AR475" s="76">
        <f t="array" aca="1" ref="AR475" ca="1">SUM(OFFSET(AR126,0,IF(AR$7-2004-'Tech Parameters'!$I11&lt;1,-AR$7+2004+1,-'Tech Parameters'!$I11+1)):AR126*OFFSET(AR452,0,IF(AR$7-2004-'Tech Parameters'!$I11&lt;1,-AR$7+2004+1,-'Tech Parameters'!$I11+1)):AR452)</f>
        <v>0</v>
      </c>
      <c r="AS475" s="76">
        <f t="array" aca="1" ref="AS475" ca="1">SUM(OFFSET(AS126,0,IF(AS$7-2004-'Tech Parameters'!$I11&lt;1,-AS$7+2004+1,-'Tech Parameters'!$I11+1)):AS126*OFFSET(AS452,0,IF(AS$7-2004-'Tech Parameters'!$I11&lt;1,-AS$7+2004+1,-'Tech Parameters'!$I11+1)):AS452)</f>
        <v>0</v>
      </c>
      <c r="AT475" s="76">
        <f t="array" aca="1" ref="AT475" ca="1">SUM(OFFSET(AT126,0,IF(AT$7-2004-'Tech Parameters'!$I11&lt;1,-AT$7+2004+1,-'Tech Parameters'!$I11+1)):AT126*OFFSET(AT452,0,IF(AT$7-2004-'Tech Parameters'!$I11&lt;1,-AT$7+2004+1,-'Tech Parameters'!$I11+1)):AT452)</f>
        <v>0</v>
      </c>
      <c r="AU475" s="76">
        <f t="array" aca="1" ref="AU475" ca="1">SUM(OFFSET(AU126,0,IF(AU$7-2004-'Tech Parameters'!$I11&lt;1,-AU$7+2004+1,-'Tech Parameters'!$I11+1)):AU126*OFFSET(AU452,0,IF(AU$7-2004-'Tech Parameters'!$I11&lt;1,-AU$7+2004+1,-'Tech Parameters'!$I11+1)):AU452)</f>
        <v>0</v>
      </c>
      <c r="AV475" s="76">
        <f t="array" aca="1" ref="AV475" ca="1">SUM(OFFSET(AV126,0,IF(AV$7-2004-'Tech Parameters'!$I11&lt;1,-AV$7+2004+1,-'Tech Parameters'!$I11+1)):AV126*OFFSET(AV452,0,IF(AV$7-2004-'Tech Parameters'!$I11&lt;1,-AV$7+2004+1,-'Tech Parameters'!$I11+1)):AV452)</f>
        <v>0</v>
      </c>
      <c r="AW475" s="76">
        <f t="array" aca="1" ref="AW475" ca="1">SUM(OFFSET(AW126,0,IF(AW$7-2004-'Tech Parameters'!$I11&lt;1,-AW$7+2004+1,-'Tech Parameters'!$I11+1)):AW126*OFFSET(AW452,0,IF(AW$7-2004-'Tech Parameters'!$I11&lt;1,-AW$7+2004+1,-'Tech Parameters'!$I11+1)):AW452)</f>
        <v>0</v>
      </c>
    </row>
    <row r="476" spans="3:49">
      <c r="C476" t="str">
        <f t="shared" si="218"/>
        <v>Biomass</v>
      </c>
      <c r="D476">
        <f t="array" aca="1" ref="D476" ca="1">SUM(OFFSET(D127,0,IF(D$7-2004-'Tech Parameters'!$I12&lt;1,-D$7+2004+1,-'Tech Parameters'!$I12+1)):D127*OFFSET(D453,0,IF(D$7-2004-'Tech Parameters'!$I12&lt;1,-D$7+2004+1,-'Tech Parameters'!$I12+1)):D453)</f>
        <v>0</v>
      </c>
      <c r="E476">
        <f t="array" aca="1" ref="E476" ca="1">SUM(OFFSET(E127,0,IF(E$7-2004-'Tech Parameters'!$I12&lt;1,-E$7+2004+1,-'Tech Parameters'!$I12+1)):E127*OFFSET(E453,0,IF(E$7-2004-'Tech Parameters'!$I12&lt;1,-E$7+2004+1,-'Tech Parameters'!$I12+1)):E453)</f>
        <v>0</v>
      </c>
      <c r="F476">
        <f t="array" aca="1" ref="F476" ca="1">SUM(OFFSET(F127,0,IF(F$7-2004-'Tech Parameters'!$I12&lt;1,-F$7+2004+1,-'Tech Parameters'!$I12+1)):F127*OFFSET(F453,0,IF(F$7-2004-'Tech Parameters'!$I12&lt;1,-F$7+2004+1,-'Tech Parameters'!$I12+1)):F453)</f>
        <v>0</v>
      </c>
      <c r="G476">
        <f t="array" aca="1" ref="G476" ca="1">SUM(OFFSET(G127,0,IF(G$7-2004-'Tech Parameters'!$I12&lt;1,-G$7+2004+1,-'Tech Parameters'!$I12+1)):G127*OFFSET(G453,0,IF(G$7-2004-'Tech Parameters'!$I12&lt;1,-G$7+2004+1,-'Tech Parameters'!$I12+1)):G453)</f>
        <v>0</v>
      </c>
      <c r="H476">
        <f t="array" aca="1" ref="H476" ca="1">SUM(OFFSET(H127,0,IF(H$7-2004-'Tech Parameters'!$I12&lt;1,-H$7+2004+1,-'Tech Parameters'!$I12+1)):H127*OFFSET(H453,0,IF(H$7-2004-'Tech Parameters'!$I12&lt;1,-H$7+2004+1,-'Tech Parameters'!$I12+1)):H453)</f>
        <v>0</v>
      </c>
      <c r="I476">
        <f t="array" aca="1" ref="I476" ca="1">SUM(OFFSET(I127,0,IF(I$7-2004-'Tech Parameters'!$I12&lt;1,-I$7+2004+1,-'Tech Parameters'!$I12+1)):I127*OFFSET(I453,0,IF(I$7-2004-'Tech Parameters'!$I12&lt;1,-I$7+2004+1,-'Tech Parameters'!$I12+1)):I453)</f>
        <v>0</v>
      </c>
      <c r="J476">
        <f t="array" aca="1" ref="J476" ca="1">SUM(OFFSET(J127,0,IF(J$7-2004-'Tech Parameters'!$I12&lt;1,-J$7+2004+1,-'Tech Parameters'!$I12+1)):J127*OFFSET(J453,0,IF(J$7-2004-'Tech Parameters'!$I12&lt;1,-J$7+2004+1,-'Tech Parameters'!$I12+1)):J453)</f>
        <v>0</v>
      </c>
      <c r="K476">
        <f t="array" aca="1" ref="K476" ca="1">SUM(OFFSET(K127,0,IF(K$7-2004-'Tech Parameters'!$I12&lt;1,-K$7+2004+1,-'Tech Parameters'!$I12+1)):K127*OFFSET(K453,0,IF(K$7-2004-'Tech Parameters'!$I12&lt;1,-K$7+2004+1,-'Tech Parameters'!$I12+1)):K453)</f>
        <v>0</v>
      </c>
      <c r="L476">
        <f t="array" aca="1" ref="L476" ca="1">SUM(OFFSET(L127,0,IF(L$7-2004-'Tech Parameters'!$I12&lt;1,-L$7+2004+1,-'Tech Parameters'!$I12+1)):L127*OFFSET(L453,0,IF(L$7-2004-'Tech Parameters'!$I12&lt;1,-L$7+2004+1,-'Tech Parameters'!$I12+1)):L453)</f>
        <v>0</v>
      </c>
      <c r="M476">
        <f t="array" aca="1" ref="M476" ca="1">SUM(OFFSET(M127,0,IF(M$7-2004-'Tech Parameters'!$I12&lt;1,-M$7+2004+1,-'Tech Parameters'!$I12+1)):M127*OFFSET(M453,0,IF(M$7-2004-'Tech Parameters'!$I12&lt;1,-M$7+2004+1,-'Tech Parameters'!$I12+1)):M453)</f>
        <v>0</v>
      </c>
      <c r="N476">
        <f t="array" aca="1" ref="N476" ca="1">SUM(OFFSET(N127,0,IF(N$7-2004-'Tech Parameters'!$I12&lt;1,-N$7+2004+1,-'Tech Parameters'!$I12+1)):N127*OFFSET(N453,0,IF(N$7-2004-'Tech Parameters'!$I12&lt;1,-N$7+2004+1,-'Tech Parameters'!$I12+1)):N453)</f>
        <v>0</v>
      </c>
      <c r="O476">
        <f t="array" aca="1" ref="O476" ca="1">SUM(OFFSET(O127,0,IF(O$7-2004-'Tech Parameters'!$I12&lt;1,-O$7+2004+1,-'Tech Parameters'!$I12+1)):O127*OFFSET(O453,0,IF(O$7-2004-'Tech Parameters'!$I12&lt;1,-O$7+2004+1,-'Tech Parameters'!$I12+1)):O453)</f>
        <v>0</v>
      </c>
      <c r="P476">
        <f t="array" aca="1" ref="P476" ca="1">SUM(OFFSET(P127,0,IF(P$7-2004-'Tech Parameters'!$I12&lt;1,-P$7+2004+1,-'Tech Parameters'!$I12+1)):P127*OFFSET(P453,0,IF(P$7-2004-'Tech Parameters'!$I12&lt;1,-P$7+2004+1,-'Tech Parameters'!$I12+1)):P453)</f>
        <v>0</v>
      </c>
      <c r="Q476">
        <f t="array" aca="1" ref="Q476" ca="1">SUM(OFFSET(Q127,0,IF(Q$7-2004-'Tech Parameters'!$I12&lt;1,-Q$7+2004+1,-'Tech Parameters'!$I12+1)):Q127*OFFSET(Q453,0,IF(Q$7-2004-'Tech Parameters'!$I12&lt;1,-Q$7+2004+1,-'Tech Parameters'!$I12+1)):Q453)</f>
        <v>0</v>
      </c>
      <c r="R476">
        <f t="array" aca="1" ref="R476" ca="1">SUM(OFFSET(R127,0,IF(R$7-2004-'Tech Parameters'!$I12&lt;1,-R$7+2004+1,-'Tech Parameters'!$I12+1)):R127*OFFSET(R453,0,IF(R$7-2004-'Tech Parameters'!$I12&lt;1,-R$7+2004+1,-'Tech Parameters'!$I12+1)):R453)</f>
        <v>0</v>
      </c>
      <c r="S476">
        <f t="array" aca="1" ref="S476" ca="1">SUM(OFFSET(S127,0,IF(S$7-2004-'Tech Parameters'!$I12&lt;1,-S$7+2004+1,-'Tech Parameters'!$I12+1)):S127*OFFSET(S453,0,IF(S$7-2004-'Tech Parameters'!$I12&lt;1,-S$7+2004+1,-'Tech Parameters'!$I12+1)):S453)</f>
        <v>0</v>
      </c>
      <c r="T476">
        <f t="array" aca="1" ref="T476" ca="1">SUM(OFFSET(T127,0,IF(T$7-2004-'Tech Parameters'!$I12&lt;1,-T$7+2004+1,-'Tech Parameters'!$I12+1)):T127*OFFSET(T453,0,IF(T$7-2004-'Tech Parameters'!$I12&lt;1,-T$7+2004+1,-'Tech Parameters'!$I12+1)):T453)</f>
        <v>0</v>
      </c>
      <c r="U476">
        <f t="array" aca="1" ref="U476" ca="1">SUM(OFFSET(U127,0,IF(U$7-2004-'Tech Parameters'!$I12&lt;1,-U$7+2004+1,-'Tech Parameters'!$I12+1)):U127*OFFSET(U453,0,IF(U$7-2004-'Tech Parameters'!$I12&lt;1,-U$7+2004+1,-'Tech Parameters'!$I12+1)):U453)</f>
        <v>0</v>
      </c>
      <c r="V476">
        <f t="array" aca="1" ref="V476" ca="1">SUM(OFFSET(V127,0,IF(V$7-2004-'Tech Parameters'!$I12&lt;1,-V$7+2004+1,-'Tech Parameters'!$I12+1)):V127*OFFSET(V453,0,IF(V$7-2004-'Tech Parameters'!$I12&lt;1,-V$7+2004+1,-'Tech Parameters'!$I12+1)):V453)</f>
        <v>0</v>
      </c>
      <c r="W476">
        <f t="array" aca="1" ref="W476" ca="1">SUM(OFFSET(W127,0,IF(W$7-2004-'Tech Parameters'!$I12&lt;1,-W$7+2004+1,-'Tech Parameters'!$I12+1)):W127*OFFSET(W453,0,IF(W$7-2004-'Tech Parameters'!$I12&lt;1,-W$7+2004+1,-'Tech Parameters'!$I12+1)):W453)</f>
        <v>0</v>
      </c>
      <c r="X476">
        <f t="array" aca="1" ref="X476" ca="1">SUM(OFFSET(X127,0,IF(X$7-2004-'Tech Parameters'!$I12&lt;1,-X$7+2004+1,-'Tech Parameters'!$I12+1)):X127*OFFSET(X453,0,IF(X$7-2004-'Tech Parameters'!$I12&lt;1,-X$7+2004+1,-'Tech Parameters'!$I12+1)):X453)</f>
        <v>0</v>
      </c>
      <c r="Y476">
        <f t="array" aca="1" ref="Y476" ca="1">SUM(OFFSET(Y127,0,IF(Y$7-2004-'Tech Parameters'!$I12&lt;1,-Y$7+2004+1,-'Tech Parameters'!$I12+1)):Y127*OFFSET(Y453,0,IF(Y$7-2004-'Tech Parameters'!$I12&lt;1,-Y$7+2004+1,-'Tech Parameters'!$I12+1)):Y453)</f>
        <v>0</v>
      </c>
      <c r="Z476">
        <f t="array" aca="1" ref="Z476" ca="1">SUM(OFFSET(Z127,0,IF(Z$7-2004-'Tech Parameters'!$I12&lt;1,-Z$7+2004+1,-'Tech Parameters'!$I12+1)):Z127*OFFSET(Z453,0,IF(Z$7-2004-'Tech Parameters'!$I12&lt;1,-Z$7+2004+1,-'Tech Parameters'!$I12+1)):Z453)</f>
        <v>0</v>
      </c>
      <c r="AA476">
        <f t="array" aca="1" ref="AA476" ca="1">SUM(OFFSET(AA127,0,IF(AA$7-2004-'Tech Parameters'!$I12&lt;1,-AA$7+2004+1,-'Tech Parameters'!$I12+1)):AA127*OFFSET(AA453,0,IF(AA$7-2004-'Tech Parameters'!$I12&lt;1,-AA$7+2004+1,-'Tech Parameters'!$I12+1)):AA453)</f>
        <v>0</v>
      </c>
      <c r="AB476">
        <f t="array" aca="1" ref="AB476" ca="1">SUM(OFFSET(AB127,0,IF(AB$7-2004-'Tech Parameters'!$I12&lt;1,-AB$7+2004+1,-'Tech Parameters'!$I12+1)):AB127*OFFSET(AB453,0,IF(AB$7-2004-'Tech Parameters'!$I12&lt;1,-AB$7+2004+1,-'Tech Parameters'!$I12+1)):AB453)</f>
        <v>0</v>
      </c>
      <c r="AC476">
        <f t="array" aca="1" ref="AC476" ca="1">SUM(OFFSET(AC127,0,IF(AC$7-2004-'Tech Parameters'!$I12&lt;1,-AC$7+2004+1,-'Tech Parameters'!$I12+1)):AC127*OFFSET(AC453,0,IF(AC$7-2004-'Tech Parameters'!$I12&lt;1,-AC$7+2004+1,-'Tech Parameters'!$I12+1)):AC453)</f>
        <v>0</v>
      </c>
      <c r="AD476" s="76">
        <f t="array" aca="1" ref="AD476" ca="1">SUM(OFFSET(AD127,0,IF(AD$7-2004-'Tech Parameters'!$I12&lt;1,-AD$7+2004+1,-'Tech Parameters'!$I12+1)):AD127*OFFSET(AD453,0,IF(AD$7-2004-'Tech Parameters'!$I12&lt;1,-AD$7+2004+1,-'Tech Parameters'!$I12+1)):AD453)</f>
        <v>0</v>
      </c>
      <c r="AE476" s="76">
        <f t="array" aca="1" ref="AE476" ca="1">SUM(OFFSET(AE127,0,IF(AE$7-2004-'Tech Parameters'!$I12&lt;1,-AE$7+2004+1,-'Tech Parameters'!$I12+1)):AE127*OFFSET(AE453,0,IF(AE$7-2004-'Tech Parameters'!$I12&lt;1,-AE$7+2004+1,-'Tech Parameters'!$I12+1)):AE453)</f>
        <v>0</v>
      </c>
      <c r="AF476" s="76">
        <f t="array" aca="1" ref="AF476" ca="1">SUM(OFFSET(AF127,0,IF(AF$7-2004-'Tech Parameters'!$I12&lt;1,-AF$7+2004+1,-'Tech Parameters'!$I12+1)):AF127*OFFSET(AF453,0,IF(AF$7-2004-'Tech Parameters'!$I12&lt;1,-AF$7+2004+1,-'Tech Parameters'!$I12+1)):AF453)</f>
        <v>0</v>
      </c>
      <c r="AG476" s="76">
        <f t="array" aca="1" ref="AG476" ca="1">SUM(OFFSET(AG127,0,IF(AG$7-2004-'Tech Parameters'!$I12&lt;1,-AG$7+2004+1,-'Tech Parameters'!$I12+1)):AG127*OFFSET(AG453,0,IF(AG$7-2004-'Tech Parameters'!$I12&lt;1,-AG$7+2004+1,-'Tech Parameters'!$I12+1)):AG453)</f>
        <v>0</v>
      </c>
      <c r="AH476" s="76">
        <f t="array" aca="1" ref="AH476" ca="1">SUM(OFFSET(AH127,0,IF(AH$7-2004-'Tech Parameters'!$I12&lt;1,-AH$7+2004+1,-'Tech Parameters'!$I12+1)):AH127*OFFSET(AH453,0,IF(AH$7-2004-'Tech Parameters'!$I12&lt;1,-AH$7+2004+1,-'Tech Parameters'!$I12+1)):AH453)</f>
        <v>0</v>
      </c>
      <c r="AI476" s="76">
        <f t="array" aca="1" ref="AI476" ca="1">SUM(OFFSET(AI127,0,IF(AI$7-2004-'Tech Parameters'!$I12&lt;1,-AI$7+2004+1,-'Tech Parameters'!$I12+1)):AI127*OFFSET(AI453,0,IF(AI$7-2004-'Tech Parameters'!$I12&lt;1,-AI$7+2004+1,-'Tech Parameters'!$I12+1)):AI453)</f>
        <v>0</v>
      </c>
      <c r="AJ476" s="76">
        <f t="array" aca="1" ref="AJ476" ca="1">SUM(OFFSET(AJ127,0,IF(AJ$7-2004-'Tech Parameters'!$I12&lt;1,-AJ$7+2004+1,-'Tech Parameters'!$I12+1)):AJ127*OFFSET(AJ453,0,IF(AJ$7-2004-'Tech Parameters'!$I12&lt;1,-AJ$7+2004+1,-'Tech Parameters'!$I12+1)):AJ453)</f>
        <v>0</v>
      </c>
      <c r="AK476" s="76">
        <f t="array" aca="1" ref="AK476" ca="1">SUM(OFFSET(AK127,0,IF(AK$7-2004-'Tech Parameters'!$I12&lt;1,-AK$7+2004+1,-'Tech Parameters'!$I12+1)):AK127*OFFSET(AK453,0,IF(AK$7-2004-'Tech Parameters'!$I12&lt;1,-AK$7+2004+1,-'Tech Parameters'!$I12+1)):AK453)</f>
        <v>0</v>
      </c>
      <c r="AL476" s="76">
        <f t="array" aca="1" ref="AL476" ca="1">SUM(OFFSET(AL127,0,IF(AL$7-2004-'Tech Parameters'!$I12&lt;1,-AL$7+2004+1,-'Tech Parameters'!$I12+1)):AL127*OFFSET(AL453,0,IF(AL$7-2004-'Tech Parameters'!$I12&lt;1,-AL$7+2004+1,-'Tech Parameters'!$I12+1)):AL453)</f>
        <v>0</v>
      </c>
      <c r="AM476" s="76">
        <f t="array" aca="1" ref="AM476" ca="1">SUM(OFFSET(AM127,0,IF(AM$7-2004-'Tech Parameters'!$I12&lt;1,-AM$7+2004+1,-'Tech Parameters'!$I12+1)):AM127*OFFSET(AM453,0,IF(AM$7-2004-'Tech Parameters'!$I12&lt;1,-AM$7+2004+1,-'Tech Parameters'!$I12+1)):AM453)</f>
        <v>0</v>
      </c>
      <c r="AN476" s="76">
        <f t="array" aca="1" ref="AN476" ca="1">SUM(OFFSET(AN127,0,IF(AN$7-2004-'Tech Parameters'!$I12&lt;1,-AN$7+2004+1,-'Tech Parameters'!$I12+1)):AN127*OFFSET(AN453,0,IF(AN$7-2004-'Tech Parameters'!$I12&lt;1,-AN$7+2004+1,-'Tech Parameters'!$I12+1)):AN453)</f>
        <v>0</v>
      </c>
      <c r="AO476" s="76">
        <f t="array" aca="1" ref="AO476" ca="1">SUM(OFFSET(AO127,0,IF(AO$7-2004-'Tech Parameters'!$I12&lt;1,-AO$7+2004+1,-'Tech Parameters'!$I12+1)):AO127*OFFSET(AO453,0,IF(AO$7-2004-'Tech Parameters'!$I12&lt;1,-AO$7+2004+1,-'Tech Parameters'!$I12+1)):AO453)</f>
        <v>0</v>
      </c>
      <c r="AP476" s="76">
        <f t="array" aca="1" ref="AP476" ca="1">SUM(OFFSET(AP127,0,IF(AP$7-2004-'Tech Parameters'!$I12&lt;1,-AP$7+2004+1,-'Tech Parameters'!$I12+1)):AP127*OFFSET(AP453,0,IF(AP$7-2004-'Tech Parameters'!$I12&lt;1,-AP$7+2004+1,-'Tech Parameters'!$I12+1)):AP453)</f>
        <v>0</v>
      </c>
      <c r="AQ476" s="76">
        <f t="array" aca="1" ref="AQ476" ca="1">SUM(OFFSET(AQ127,0,IF(AQ$7-2004-'Tech Parameters'!$I12&lt;1,-AQ$7+2004+1,-'Tech Parameters'!$I12+1)):AQ127*OFFSET(AQ453,0,IF(AQ$7-2004-'Tech Parameters'!$I12&lt;1,-AQ$7+2004+1,-'Tech Parameters'!$I12+1)):AQ453)</f>
        <v>0</v>
      </c>
      <c r="AR476" s="76">
        <f t="array" aca="1" ref="AR476" ca="1">SUM(OFFSET(AR127,0,IF(AR$7-2004-'Tech Parameters'!$I12&lt;1,-AR$7+2004+1,-'Tech Parameters'!$I12+1)):AR127*OFFSET(AR453,0,IF(AR$7-2004-'Tech Parameters'!$I12&lt;1,-AR$7+2004+1,-'Tech Parameters'!$I12+1)):AR453)</f>
        <v>0</v>
      </c>
      <c r="AS476" s="76">
        <f t="array" aca="1" ref="AS476" ca="1">SUM(OFFSET(AS127,0,IF(AS$7-2004-'Tech Parameters'!$I12&lt;1,-AS$7+2004+1,-'Tech Parameters'!$I12+1)):AS127*OFFSET(AS453,0,IF(AS$7-2004-'Tech Parameters'!$I12&lt;1,-AS$7+2004+1,-'Tech Parameters'!$I12+1)):AS453)</f>
        <v>0</v>
      </c>
      <c r="AT476" s="76">
        <f t="array" aca="1" ref="AT476" ca="1">SUM(OFFSET(AT127,0,IF(AT$7-2004-'Tech Parameters'!$I12&lt;1,-AT$7+2004+1,-'Tech Parameters'!$I12+1)):AT127*OFFSET(AT453,0,IF(AT$7-2004-'Tech Parameters'!$I12&lt;1,-AT$7+2004+1,-'Tech Parameters'!$I12+1)):AT453)</f>
        <v>0</v>
      </c>
      <c r="AU476" s="76">
        <f t="array" aca="1" ref="AU476" ca="1">SUM(OFFSET(AU127,0,IF(AU$7-2004-'Tech Parameters'!$I12&lt;1,-AU$7+2004+1,-'Tech Parameters'!$I12+1)):AU127*OFFSET(AU453,0,IF(AU$7-2004-'Tech Parameters'!$I12&lt;1,-AU$7+2004+1,-'Tech Parameters'!$I12+1)):AU453)</f>
        <v>0</v>
      </c>
      <c r="AV476" s="76">
        <f t="array" aca="1" ref="AV476" ca="1">SUM(OFFSET(AV127,0,IF(AV$7-2004-'Tech Parameters'!$I12&lt;1,-AV$7+2004+1,-'Tech Parameters'!$I12+1)):AV127*OFFSET(AV453,0,IF(AV$7-2004-'Tech Parameters'!$I12&lt;1,-AV$7+2004+1,-'Tech Parameters'!$I12+1)):AV453)</f>
        <v>0</v>
      </c>
      <c r="AW476" s="76">
        <f t="array" aca="1" ref="AW476" ca="1">SUM(OFFSET(AW127,0,IF(AW$7-2004-'Tech Parameters'!$I12&lt;1,-AW$7+2004+1,-'Tech Parameters'!$I12+1)):AW127*OFFSET(AW453,0,IF(AW$7-2004-'Tech Parameters'!$I12&lt;1,-AW$7+2004+1,-'Tech Parameters'!$I12+1)):AW453)</f>
        <v>0</v>
      </c>
    </row>
    <row r="477" spans="3:49">
      <c r="C477" t="str">
        <f t="shared" si="218"/>
        <v>Supercritical coal</v>
      </c>
      <c r="D477">
        <f t="array" aca="1" ref="D477" ca="1">SUM(OFFSET(D128,0,IF(D$7-2004-'Tech Parameters'!$I13&lt;1,-D$7+2004+1,-'Tech Parameters'!$I13+1)):D128*OFFSET(D454,0,IF(D$7-2004-'Tech Parameters'!$I13&lt;1,-D$7+2004+1,-'Tech Parameters'!$I13+1)):D454)</f>
        <v>0</v>
      </c>
      <c r="E477">
        <f t="array" aca="1" ref="E477" ca="1">SUM(OFFSET(E128,0,IF(E$7-2004-'Tech Parameters'!$I13&lt;1,-E$7+2004+1,-'Tech Parameters'!$I13+1)):E128*OFFSET(E454,0,IF(E$7-2004-'Tech Parameters'!$I13&lt;1,-E$7+2004+1,-'Tech Parameters'!$I13+1)):E454)</f>
        <v>0</v>
      </c>
      <c r="F477">
        <f t="array" aca="1" ref="F477" ca="1">SUM(OFFSET(F128,0,IF(F$7-2004-'Tech Parameters'!$I13&lt;1,-F$7+2004+1,-'Tech Parameters'!$I13+1)):F128*OFFSET(F454,0,IF(F$7-2004-'Tech Parameters'!$I13&lt;1,-F$7+2004+1,-'Tech Parameters'!$I13+1)):F454)</f>
        <v>0</v>
      </c>
      <c r="G477">
        <f t="array" aca="1" ref="G477" ca="1">SUM(OFFSET(G128,0,IF(G$7-2004-'Tech Parameters'!$I13&lt;1,-G$7+2004+1,-'Tech Parameters'!$I13+1)):G128*OFFSET(G454,0,IF(G$7-2004-'Tech Parameters'!$I13&lt;1,-G$7+2004+1,-'Tech Parameters'!$I13+1)):G454)</f>
        <v>0</v>
      </c>
      <c r="H477">
        <f t="array" aca="1" ref="H477" ca="1">SUM(OFFSET(H128,0,IF(H$7-2004-'Tech Parameters'!$I13&lt;1,-H$7+2004+1,-'Tech Parameters'!$I13+1)):H128*OFFSET(H454,0,IF(H$7-2004-'Tech Parameters'!$I13&lt;1,-H$7+2004+1,-'Tech Parameters'!$I13+1)):H454)</f>
        <v>0</v>
      </c>
      <c r="I477">
        <f t="array" aca="1" ref="I477" ca="1">SUM(OFFSET(I128,0,IF(I$7-2004-'Tech Parameters'!$I13&lt;1,-I$7+2004+1,-'Tech Parameters'!$I13+1)):I128*OFFSET(I454,0,IF(I$7-2004-'Tech Parameters'!$I13&lt;1,-I$7+2004+1,-'Tech Parameters'!$I13+1)):I454)</f>
        <v>0</v>
      </c>
      <c r="J477">
        <f t="array" aca="1" ref="J477" ca="1">SUM(OFFSET(J128,0,IF(J$7-2004-'Tech Parameters'!$I13&lt;1,-J$7+2004+1,-'Tech Parameters'!$I13+1)):J128*OFFSET(J454,0,IF(J$7-2004-'Tech Parameters'!$I13&lt;1,-J$7+2004+1,-'Tech Parameters'!$I13+1)):J454)</f>
        <v>0</v>
      </c>
      <c r="K477">
        <f t="array" aca="1" ref="K477" ca="1">SUM(OFFSET(K128,0,IF(K$7-2004-'Tech Parameters'!$I13&lt;1,-K$7+2004+1,-'Tech Parameters'!$I13+1)):K128*OFFSET(K454,0,IF(K$7-2004-'Tech Parameters'!$I13&lt;1,-K$7+2004+1,-'Tech Parameters'!$I13+1)):K454)</f>
        <v>1663.2311120001971</v>
      </c>
      <c r="L477">
        <f t="array" aca="1" ref="L477" ca="1">SUM(OFFSET(L128,0,IF(L$7-2004-'Tech Parameters'!$I13&lt;1,-L$7+2004+1,-'Tech Parameters'!$I13+1)):L128*OFFSET(L454,0,IF(L$7-2004-'Tech Parameters'!$I13&lt;1,-L$7+2004+1,-'Tech Parameters'!$I13+1)):L454)</f>
        <v>4979.3946913442433</v>
      </c>
      <c r="M477">
        <f t="array" aca="1" ref="M477" ca="1">SUM(OFFSET(M128,0,IF(M$7-2004-'Tech Parameters'!$I13&lt;1,-M$7+2004+1,-'Tech Parameters'!$I13+1)):M128*OFFSET(M454,0,IF(M$7-2004-'Tech Parameters'!$I13&lt;1,-M$7+2004+1,-'Tech Parameters'!$I13+1)):M454)</f>
        <v>9938.1920933757901</v>
      </c>
      <c r="N477">
        <f t="array" aca="1" ref="N477" ca="1">SUM(OFFSET(N128,0,IF(N$7-2004-'Tech Parameters'!$I13&lt;1,-N$7+2004+1,-'Tech Parameters'!$I13+1)):N128*OFFSET(N454,0,IF(N$7-2004-'Tech Parameters'!$I13&lt;1,-N$7+2004+1,-'Tech Parameters'!$I13+1)):N454)</f>
        <v>14881.541528422815</v>
      </c>
      <c r="O477">
        <f t="array" aca="1" ref="O477" ca="1">SUM(OFFSET(O128,0,IF(O$7-2004-'Tech Parameters'!$I13&lt;1,-O$7+2004+1,-'Tech Parameters'!$I13+1)):O128*OFFSET(O454,0,IF(O$7-2004-'Tech Parameters'!$I13&lt;1,-O$7+2004+1,-'Tech Parameters'!$I13+1)):O454)</f>
        <v>18166.809173797817</v>
      </c>
      <c r="P477">
        <f t="array" aca="1" ref="P477" ca="1">SUM(OFFSET(P128,0,IF(P$7-2004-'Tech Parameters'!$I13&lt;1,-P$7+2004+1,-'Tech Parameters'!$I13+1)):P128*OFFSET(P454,0,IF(P$7-2004-'Tech Parameters'!$I13&lt;1,-P$7+2004+1,-'Tech Parameters'!$I13+1)):P454)</f>
        <v>21441.778174516472</v>
      </c>
      <c r="Q477">
        <f t="array" aca="1" ref="Q477" ca="1">SUM(OFFSET(Q128,0,IF(Q$7-2004-'Tech Parameters'!$I13&lt;1,-Q$7+2004+1,-'Tech Parameters'!$I13+1)):Q128*OFFSET(Q454,0,IF(Q$7-2004-'Tech Parameters'!$I13&lt;1,-Q$7+2004+1,-'Tech Parameters'!$I13+1)):Q454)</f>
        <v>26338.783708609932</v>
      </c>
      <c r="R477">
        <f t="array" aca="1" ref="R477" ca="1">SUM(OFFSET(R128,0,IF(R$7-2004-'Tech Parameters'!$I13&lt;1,-R$7+2004+1,-'Tech Parameters'!$I13+1)):R128*OFFSET(R454,0,IF(R$7-2004-'Tech Parameters'!$I13&lt;1,-R$7+2004+1,-'Tech Parameters'!$I13+1)):R454)</f>
        <v>31220.341275718871</v>
      </c>
      <c r="S477">
        <f t="array" aca="1" ref="S477" ca="1">SUM(OFFSET(S128,0,IF(S$7-2004-'Tech Parameters'!$I13&lt;1,-S$7+2004+1,-'Tech Parameters'!$I13+1)):S128*OFFSET(S454,0,IF(S$7-2004-'Tech Parameters'!$I13&lt;1,-S$7+2004+1,-'Tech Parameters'!$I13+1)):S454)</f>
        <v>36086.450875843286</v>
      </c>
      <c r="T477">
        <f t="array" aca="1" ref="T477" ca="1">SUM(OFFSET(T128,0,IF(T$7-2004-'Tech Parameters'!$I13&lt;1,-T$7+2004+1,-'Tech Parameters'!$I13+1)):T128*OFFSET(T454,0,IF(T$7-2004-'Tech Parameters'!$I13&lt;1,-T$7+2004+1,-'Tech Parameters'!$I13+1)):T454)</f>
        <v>42553.999720029809</v>
      </c>
      <c r="U477">
        <f t="array" aca="1" ref="U477" ca="1">SUM(OFFSET(U128,0,IF(U$7-2004-'Tech Parameters'!$I13&lt;1,-U$7+2004+1,-'Tech Parameters'!$I13+1)):U128*OFFSET(U454,0,IF(U$7-2004-'Tech Parameters'!$I13&lt;1,-U$7+2004+1,-'Tech Parameters'!$I13+1)):U454)</f>
        <v>49000.951274903637</v>
      </c>
      <c r="V477">
        <f t="array" aca="1" ref="V477" ca="1">SUM(OFFSET(V128,0,IF(V$7-2004-'Tech Parameters'!$I13&lt;1,-V$7+2004+1,-'Tech Parameters'!$I13+1)):V128*OFFSET(V454,0,IF(V$7-2004-'Tech Parameters'!$I13&lt;1,-V$7+2004+1,-'Tech Parameters'!$I13+1)):V454)</f>
        <v>53820.716974074487</v>
      </c>
      <c r="W477">
        <f t="array" aca="1" ref="W477" ca="1">SUM(OFFSET(W128,0,IF(W$7-2004-'Tech Parameters'!$I13&lt;1,-W$7+2004+1,-'Tech Parameters'!$I13+1)):W128*OFFSET(W454,0,IF(W$7-2004-'Tech Parameters'!$I13&lt;1,-W$7+2004+1,-'Tech Parameters'!$I13+1)):W454)</f>
        <v>60228.710227448304</v>
      </c>
      <c r="X477">
        <f t="array" aca="1" ref="X477" ca="1">SUM(OFFSET(X128,0,IF(X$7-2004-'Tech Parameters'!$I13&lt;1,-X$7+2004+1,-'Tech Parameters'!$I13+1)):X128*OFFSET(X454,0,IF(X$7-2004-'Tech Parameters'!$I13&lt;1,-X$7+2004+1,-'Tech Parameters'!$I13+1)):X454)</f>
        <v>66618.342468634801</v>
      </c>
      <c r="Y477">
        <f t="array" aca="1" ref="Y477" ca="1">SUM(OFFSET(Y128,0,IF(Y$7-2004-'Tech Parameters'!$I13&lt;1,-Y$7+2004+1,-'Tech Parameters'!$I13+1)):Y128*OFFSET(Y454,0,IF(Y$7-2004-'Tech Parameters'!$I13&lt;1,-Y$7+2004+1,-'Tech Parameters'!$I13+1)):Y454)</f>
        <v>74582.431504883774</v>
      </c>
      <c r="Z477">
        <f t="array" aca="1" ref="Z477" ca="1">SUM(OFFSET(Z128,0,IF(Z$7-2004-'Tech Parameters'!$I13&lt;1,-Z$7+2004+1,-'Tech Parameters'!$I13+1)):Z128*OFFSET(Z454,0,IF(Z$7-2004-'Tech Parameters'!$I13&lt;1,-Z$7+2004+1,-'Tech Parameters'!$I13+1)):Z454)</f>
        <v>82523.569275898597</v>
      </c>
      <c r="AA477">
        <f t="array" aca="1" ref="AA477" ca="1">SUM(OFFSET(AA128,0,IF(AA$7-2004-'Tech Parameters'!$I13&lt;1,-AA$7+2004+1,-'Tech Parameters'!$I13+1)):AA128*OFFSET(AA454,0,IF(AA$7-2004-'Tech Parameters'!$I13&lt;1,-AA$7+2004+1,-'Tech Parameters'!$I13+1)):AA454)</f>
        <v>90441.755781679283</v>
      </c>
      <c r="AB477">
        <f t="array" aca="1" ref="AB477" ca="1">SUM(OFFSET(AB128,0,IF(AB$7-2004-'Tech Parameters'!$I13&lt;1,-AB$7+2004+1,-'Tech Parameters'!$I13+1)):AB128*OFFSET(AB454,0,IF(AB$7-2004-'Tech Parameters'!$I13&lt;1,-AB$7+2004+1,-'Tech Parameters'!$I13+1)):AB454)</f>
        <v>99916.038070335126</v>
      </c>
      <c r="AC477">
        <f t="array" aca="1" ref="AC477" ca="1">SUM(OFFSET(AC128,0,IF(AC$7-2004-'Tech Parameters'!$I13&lt;1,-AC$7+2004+1,-'Tech Parameters'!$I13+1)):AC128*OFFSET(AC454,0,IF(AC$7-2004-'Tech Parameters'!$I13&lt;1,-AC$7+2004+1,-'Tech Parameters'!$I13+1)):AC454)</f>
        <v>109362.77884070999</v>
      </c>
      <c r="AD477" s="76">
        <f t="array" aca="1" ref="AD477" ca="1">SUM(OFFSET(AD128,0,IF(AD$7-2004-'Tech Parameters'!$I13&lt;1,-AD$7+2004+1,-'Tech Parameters'!$I13+1)):AD128*OFFSET(AD454,0,IF(AD$7-2004-'Tech Parameters'!$I13&lt;1,-AD$7+2004+1,-'Tech Parameters'!$I13+1)):AD454)</f>
        <v>109362.77884070999</v>
      </c>
      <c r="AE477" s="76">
        <f t="array" aca="1" ref="AE477" ca="1">SUM(OFFSET(AE128,0,IF(AE$7-2004-'Tech Parameters'!$I13&lt;1,-AE$7+2004+1,-'Tech Parameters'!$I13+1)):AE128*OFFSET(AE454,0,IF(AE$7-2004-'Tech Parameters'!$I13&lt;1,-AE$7+2004+1,-'Tech Parameters'!$I13+1)):AE454)</f>
        <v>109362.77884070999</v>
      </c>
      <c r="AF477" s="76">
        <f t="array" aca="1" ref="AF477" ca="1">SUM(OFFSET(AF128,0,IF(AF$7-2004-'Tech Parameters'!$I13&lt;1,-AF$7+2004+1,-'Tech Parameters'!$I13+1)):AF128*OFFSET(AF454,0,IF(AF$7-2004-'Tech Parameters'!$I13&lt;1,-AF$7+2004+1,-'Tech Parameters'!$I13+1)):AF454)</f>
        <v>109362.77884070999</v>
      </c>
      <c r="AG477" s="76">
        <f t="array" aca="1" ref="AG477" ca="1">SUM(OFFSET(AG128,0,IF(AG$7-2004-'Tech Parameters'!$I13&lt;1,-AG$7+2004+1,-'Tech Parameters'!$I13+1)):AG128*OFFSET(AG454,0,IF(AG$7-2004-'Tech Parameters'!$I13&lt;1,-AG$7+2004+1,-'Tech Parameters'!$I13+1)):AG454)</f>
        <v>109362.77884070999</v>
      </c>
      <c r="AH477" s="76">
        <f t="array" aca="1" ref="AH477" ca="1">SUM(OFFSET(AH128,0,IF(AH$7-2004-'Tech Parameters'!$I13&lt;1,-AH$7+2004+1,-'Tech Parameters'!$I13+1)):AH128*OFFSET(AH454,0,IF(AH$7-2004-'Tech Parameters'!$I13&lt;1,-AH$7+2004+1,-'Tech Parameters'!$I13+1)):AH454)</f>
        <v>109362.77884070999</v>
      </c>
      <c r="AI477" s="76">
        <f t="array" aca="1" ref="AI477" ca="1">SUM(OFFSET(AI128,0,IF(AI$7-2004-'Tech Parameters'!$I13&lt;1,-AI$7+2004+1,-'Tech Parameters'!$I13+1)):AI128*OFFSET(AI454,0,IF(AI$7-2004-'Tech Parameters'!$I13&lt;1,-AI$7+2004+1,-'Tech Parameters'!$I13+1)):AI454)</f>
        <v>109362.77884070999</v>
      </c>
      <c r="AJ477" s="76">
        <f t="array" aca="1" ref="AJ477" ca="1">SUM(OFFSET(AJ128,0,IF(AJ$7-2004-'Tech Parameters'!$I13&lt;1,-AJ$7+2004+1,-'Tech Parameters'!$I13+1)):AJ128*OFFSET(AJ454,0,IF(AJ$7-2004-'Tech Parameters'!$I13&lt;1,-AJ$7+2004+1,-'Tech Parameters'!$I13+1)):AJ454)</f>
        <v>109362.77884070999</v>
      </c>
      <c r="AK477" s="76">
        <f t="array" aca="1" ref="AK477" ca="1">SUM(OFFSET(AK128,0,IF(AK$7-2004-'Tech Parameters'!$I13&lt;1,-AK$7+2004+1,-'Tech Parameters'!$I13+1)):AK128*OFFSET(AK454,0,IF(AK$7-2004-'Tech Parameters'!$I13&lt;1,-AK$7+2004+1,-'Tech Parameters'!$I13+1)):AK454)</f>
        <v>109362.77884070999</v>
      </c>
      <c r="AL477" s="76">
        <f t="array" aca="1" ref="AL477" ca="1">SUM(OFFSET(AL128,0,IF(AL$7-2004-'Tech Parameters'!$I13&lt;1,-AL$7+2004+1,-'Tech Parameters'!$I13+1)):AL128*OFFSET(AL454,0,IF(AL$7-2004-'Tech Parameters'!$I13&lt;1,-AL$7+2004+1,-'Tech Parameters'!$I13+1)):AL454)</f>
        <v>109362.77884070999</v>
      </c>
      <c r="AM477" s="76">
        <f t="array" aca="1" ref="AM477" ca="1">SUM(OFFSET(AM128,0,IF(AM$7-2004-'Tech Parameters'!$I13&lt;1,-AM$7+2004+1,-'Tech Parameters'!$I13+1)):AM128*OFFSET(AM454,0,IF(AM$7-2004-'Tech Parameters'!$I13&lt;1,-AM$7+2004+1,-'Tech Parameters'!$I13+1)):AM454)</f>
        <v>109362.77884070999</v>
      </c>
      <c r="AN477" s="76">
        <f t="array" aca="1" ref="AN477" ca="1">SUM(OFFSET(AN128,0,IF(AN$7-2004-'Tech Parameters'!$I13&lt;1,-AN$7+2004+1,-'Tech Parameters'!$I13+1)):AN128*OFFSET(AN454,0,IF(AN$7-2004-'Tech Parameters'!$I13&lt;1,-AN$7+2004+1,-'Tech Parameters'!$I13+1)):AN454)</f>
        <v>109362.77884070999</v>
      </c>
      <c r="AO477" s="76">
        <f t="array" aca="1" ref="AO477" ca="1">SUM(OFFSET(AO128,0,IF(AO$7-2004-'Tech Parameters'!$I13&lt;1,-AO$7+2004+1,-'Tech Parameters'!$I13+1)):AO128*OFFSET(AO454,0,IF(AO$7-2004-'Tech Parameters'!$I13&lt;1,-AO$7+2004+1,-'Tech Parameters'!$I13+1)):AO454)</f>
        <v>109227.85161586507</v>
      </c>
      <c r="AP477" s="76">
        <f t="array" aca="1" ref="AP477" ca="1">SUM(OFFSET(AP128,0,IF(AP$7-2004-'Tech Parameters'!$I13&lt;1,-AP$7+2004+1,-'Tech Parameters'!$I13+1)):AP128*OFFSET(AP454,0,IF(AP$7-2004-'Tech Parameters'!$I13&lt;1,-AP$7+2004+1,-'Tech Parameters'!$I13+1)):AP454)</f>
        <v>108962.68735619979</v>
      </c>
      <c r="AQ477" s="76">
        <f t="array" aca="1" ref="AQ477" ca="1">SUM(OFFSET(AQ128,0,IF(AQ$7-2004-'Tech Parameters'!$I13&lt;1,-AQ$7+2004+1,-'Tech Parameters'!$I13+1)):AQ128*OFFSET(AQ454,0,IF(AQ$7-2004-'Tech Parameters'!$I13&lt;1,-AQ$7+2004+1,-'Tech Parameters'!$I13+1)):AQ454)</f>
        <v>108571.97625173876</v>
      </c>
      <c r="AR477" s="76">
        <f t="array" aca="1" ref="AR477" ca="1">SUM(OFFSET(AR128,0,IF(AR$7-2004-'Tech Parameters'!$I13&lt;1,-AR$7+2004+1,-'Tech Parameters'!$I13+1)):AR128*OFFSET(AR454,0,IF(AR$7-2004-'Tech Parameters'!$I13&lt;1,-AR$7+2004+1,-'Tech Parameters'!$I13+1)):AR454)</f>
        <v>108188.3004323146</v>
      </c>
      <c r="AS477" s="76">
        <f t="array" aca="1" ref="AS477" ca="1">SUM(OFFSET(AS128,0,IF(AS$7-2004-'Tech Parameters'!$I13&lt;1,-AS$7+2004+1,-'Tech Parameters'!$I13+1)):AS128*OFFSET(AS454,0,IF(AS$7-2004-'Tech Parameters'!$I13&lt;1,-AS$7+2004+1,-'Tech Parameters'!$I13+1)):AS454)</f>
        <v>107937.20674272308</v>
      </c>
      <c r="AT477" s="76">
        <f t="array" aca="1" ref="AT477" ca="1">SUM(OFFSET(AT128,0,IF(AT$7-2004-'Tech Parameters'!$I13&lt;1,-AT$7+2004+1,-'Tech Parameters'!$I13+1)):AT128*OFFSET(AT454,0,IF(AT$7-2004-'Tech Parameters'!$I13&lt;1,-AT$7+2004+1,-'Tech Parameters'!$I13+1)):AT454)</f>
        <v>107690.80324315614</v>
      </c>
      <c r="AU477" s="76">
        <f t="array" aca="1" ref="AU477" ca="1">SUM(OFFSET(AU128,0,IF(AU$7-2004-'Tech Parameters'!$I13&lt;1,-AU$7+2004+1,-'Tech Parameters'!$I13+1)):AU128*OFFSET(AU454,0,IF(AU$7-2004-'Tech Parameters'!$I13&lt;1,-AU$7+2004+1,-'Tech Parameters'!$I13+1)):AU454)</f>
        <v>107328.23327884261</v>
      </c>
      <c r="AV477" s="76">
        <f t="array" aca="1" ref="AV477" ca="1">SUM(OFFSET(AV128,0,IF(AV$7-2004-'Tech Parameters'!$I13&lt;1,-AV$7+2004+1,-'Tech Parameters'!$I13+1)):AV128*OFFSET(AV454,0,IF(AV$7-2004-'Tech Parameters'!$I13&lt;1,-AV$7+2004+1,-'Tech Parameters'!$I13+1)):AV454)</f>
        <v>106972.69859956598</v>
      </c>
      <c r="AW477" s="76">
        <f t="array" aca="1" ref="AW477" ca="1">SUM(OFFSET(AW128,0,IF(AW$7-2004-'Tech Parameters'!$I13&lt;1,-AW$7+2004+1,-'Tech Parameters'!$I13+1)):AW128*OFFSET(AW454,0,IF(AW$7-2004-'Tech Parameters'!$I13&lt;1,-AW$7+2004+1,-'Tech Parameters'!$I13+1)):AW454)</f>
        <v>106624.19920532621</v>
      </c>
    </row>
    <row r="478" spans="3:49">
      <c r="C478" t="str">
        <f t="shared" si="218"/>
        <v xml:space="preserve">Wind 30% </v>
      </c>
      <c r="D478">
        <f t="array" aca="1" ref="D478" ca="1">SUM(OFFSET(D129,0,IF(D$7-2004-'Tech Parameters'!$I14&lt;1,-D$7+2004+1,-'Tech Parameters'!$I14+1)):D129*OFFSET(D455,0,IF(D$7-2004-'Tech Parameters'!$I14&lt;1,-D$7+2004+1,-'Tech Parameters'!$I14+1)):D455)</f>
        <v>0</v>
      </c>
      <c r="E478">
        <f t="array" aca="1" ref="E478" ca="1">SUM(OFFSET(E129,0,IF(E$7-2004-'Tech Parameters'!$I14&lt;1,-E$7+2004+1,-'Tech Parameters'!$I14+1)):E129*OFFSET(E455,0,IF(E$7-2004-'Tech Parameters'!$I14&lt;1,-E$7+2004+1,-'Tech Parameters'!$I14+1)):E455)</f>
        <v>0</v>
      </c>
      <c r="F478">
        <f t="array" aca="1" ref="F478" ca="1">SUM(OFFSET(F129,0,IF(F$7-2004-'Tech Parameters'!$I14&lt;1,-F$7+2004+1,-'Tech Parameters'!$I14+1)):F129*OFFSET(F455,0,IF(F$7-2004-'Tech Parameters'!$I14&lt;1,-F$7+2004+1,-'Tech Parameters'!$I14+1)):F455)</f>
        <v>0</v>
      </c>
      <c r="G478">
        <f t="array" aca="1" ref="G478" ca="1">SUM(OFFSET(G129,0,IF(G$7-2004-'Tech Parameters'!$I14&lt;1,-G$7+2004+1,-'Tech Parameters'!$I14+1)):G129*OFFSET(G455,0,IF(G$7-2004-'Tech Parameters'!$I14&lt;1,-G$7+2004+1,-'Tech Parameters'!$I14+1)):G455)</f>
        <v>0</v>
      </c>
      <c r="H478">
        <f t="array" aca="1" ref="H478" ca="1">SUM(OFFSET(H129,0,IF(H$7-2004-'Tech Parameters'!$I14&lt;1,-H$7+2004+1,-'Tech Parameters'!$I14+1)):H129*OFFSET(H455,0,IF(H$7-2004-'Tech Parameters'!$I14&lt;1,-H$7+2004+1,-'Tech Parameters'!$I14+1)):H455)</f>
        <v>0</v>
      </c>
      <c r="I478">
        <f t="array" aca="1" ref="I478" ca="1">SUM(OFFSET(I129,0,IF(I$7-2004-'Tech Parameters'!$I14&lt;1,-I$7+2004+1,-'Tech Parameters'!$I14+1)):I129*OFFSET(I455,0,IF(I$7-2004-'Tech Parameters'!$I14&lt;1,-I$7+2004+1,-'Tech Parameters'!$I14+1)):I455)</f>
        <v>183.26556628016303</v>
      </c>
      <c r="J478">
        <f t="array" aca="1" ref="J478" ca="1">SUM(OFFSET(J129,0,IF(J$7-2004-'Tech Parameters'!$I14&lt;1,-J$7+2004+1,-'Tech Parameters'!$I14+1)):J129*OFFSET(J455,0,IF(J$7-2004-'Tech Parameters'!$I14&lt;1,-J$7+2004+1,-'Tech Parameters'!$I14+1)):J455)</f>
        <v>183.26556628016303</v>
      </c>
      <c r="K478">
        <f t="array" aca="1" ref="K478" ca="1">SUM(OFFSET(K129,0,IF(K$7-2004-'Tech Parameters'!$I14&lt;1,-K$7+2004+1,-'Tech Parameters'!$I14+1)):K129*OFFSET(K455,0,IF(K$7-2004-'Tech Parameters'!$I14&lt;1,-K$7+2004+1,-'Tech Parameters'!$I14+1)):K455)</f>
        <v>183.26556628016303</v>
      </c>
      <c r="L478">
        <f t="array" aca="1" ref="L478" ca="1">SUM(OFFSET(L129,0,IF(L$7-2004-'Tech Parameters'!$I14&lt;1,-L$7+2004+1,-'Tech Parameters'!$I14+1)):L129*OFFSET(L455,0,IF(L$7-2004-'Tech Parameters'!$I14&lt;1,-L$7+2004+1,-'Tech Parameters'!$I14+1)):L455)</f>
        <v>183.26556628016303</v>
      </c>
      <c r="M478">
        <f t="array" aca="1" ref="M478" ca="1">SUM(OFFSET(M129,0,IF(M$7-2004-'Tech Parameters'!$I14&lt;1,-M$7+2004+1,-'Tech Parameters'!$I14+1)):M129*OFFSET(M455,0,IF(M$7-2004-'Tech Parameters'!$I14&lt;1,-M$7+2004+1,-'Tech Parameters'!$I14+1)):M455)</f>
        <v>183.26556628016303</v>
      </c>
      <c r="N478">
        <f t="array" aca="1" ref="N478" ca="1">SUM(OFFSET(N129,0,IF(N$7-2004-'Tech Parameters'!$I14&lt;1,-N$7+2004+1,-'Tech Parameters'!$I14+1)):N129*OFFSET(N455,0,IF(N$7-2004-'Tech Parameters'!$I14&lt;1,-N$7+2004+1,-'Tech Parameters'!$I14+1)):N455)</f>
        <v>183.26556628016303</v>
      </c>
      <c r="O478">
        <f t="array" aca="1" ref="O478" ca="1">SUM(OFFSET(O129,0,IF(O$7-2004-'Tech Parameters'!$I14&lt;1,-O$7+2004+1,-'Tech Parameters'!$I14+1)):O129*OFFSET(O455,0,IF(O$7-2004-'Tech Parameters'!$I14&lt;1,-O$7+2004+1,-'Tech Parameters'!$I14+1)):O455)</f>
        <v>183.26556628016303</v>
      </c>
      <c r="P478">
        <f t="array" aca="1" ref="P478" ca="1">SUM(OFFSET(P129,0,IF(P$7-2004-'Tech Parameters'!$I14&lt;1,-P$7+2004+1,-'Tech Parameters'!$I14+1)):P129*OFFSET(P455,0,IF(P$7-2004-'Tech Parameters'!$I14&lt;1,-P$7+2004+1,-'Tech Parameters'!$I14+1)):P455)</f>
        <v>183.26556628016303</v>
      </c>
      <c r="Q478">
        <f t="array" aca="1" ref="Q478" ca="1">SUM(OFFSET(Q129,0,IF(Q$7-2004-'Tech Parameters'!$I14&lt;1,-Q$7+2004+1,-'Tech Parameters'!$I14+1)):Q129*OFFSET(Q455,0,IF(Q$7-2004-'Tech Parameters'!$I14&lt;1,-Q$7+2004+1,-'Tech Parameters'!$I14+1)):Q455)</f>
        <v>183.26556628016303</v>
      </c>
      <c r="R478">
        <f t="array" aca="1" ref="R478" ca="1">SUM(OFFSET(R129,0,IF(R$7-2004-'Tech Parameters'!$I14&lt;1,-R$7+2004+1,-'Tech Parameters'!$I14+1)):R129*OFFSET(R455,0,IF(R$7-2004-'Tech Parameters'!$I14&lt;1,-R$7+2004+1,-'Tech Parameters'!$I14+1)):R455)</f>
        <v>183.26556628016303</v>
      </c>
      <c r="S478">
        <f t="array" aca="1" ref="S478" ca="1">SUM(OFFSET(S129,0,IF(S$7-2004-'Tech Parameters'!$I14&lt;1,-S$7+2004+1,-'Tech Parameters'!$I14+1)):S129*OFFSET(S455,0,IF(S$7-2004-'Tech Parameters'!$I14&lt;1,-S$7+2004+1,-'Tech Parameters'!$I14+1)):S455)</f>
        <v>183.26556628016303</v>
      </c>
      <c r="T478">
        <f t="array" aca="1" ref="T478" ca="1">SUM(OFFSET(T129,0,IF(T$7-2004-'Tech Parameters'!$I14&lt;1,-T$7+2004+1,-'Tech Parameters'!$I14+1)):T129*OFFSET(T455,0,IF(T$7-2004-'Tech Parameters'!$I14&lt;1,-T$7+2004+1,-'Tech Parameters'!$I14+1)):T455)</f>
        <v>183.26556628016303</v>
      </c>
      <c r="U478">
        <f t="array" aca="1" ref="U478" ca="1">SUM(OFFSET(U129,0,IF(U$7-2004-'Tech Parameters'!$I14&lt;1,-U$7+2004+1,-'Tech Parameters'!$I14+1)):U129*OFFSET(U455,0,IF(U$7-2004-'Tech Parameters'!$I14&lt;1,-U$7+2004+1,-'Tech Parameters'!$I14+1)):U455)</f>
        <v>183.26556628016303</v>
      </c>
      <c r="V478">
        <f t="array" aca="1" ref="V478" ca="1">SUM(OFFSET(V129,0,IF(V$7-2004-'Tech Parameters'!$I14&lt;1,-V$7+2004+1,-'Tech Parameters'!$I14+1)):V129*OFFSET(V455,0,IF(V$7-2004-'Tech Parameters'!$I14&lt;1,-V$7+2004+1,-'Tech Parameters'!$I14+1)):V455)</f>
        <v>183.26556628016303</v>
      </c>
      <c r="W478">
        <f t="array" aca="1" ref="W478" ca="1">SUM(OFFSET(W129,0,IF(W$7-2004-'Tech Parameters'!$I14&lt;1,-W$7+2004+1,-'Tech Parameters'!$I14+1)):W129*OFFSET(W455,0,IF(W$7-2004-'Tech Parameters'!$I14&lt;1,-W$7+2004+1,-'Tech Parameters'!$I14+1)):W455)</f>
        <v>183.26556628016303</v>
      </c>
      <c r="X478">
        <f t="array" aca="1" ref="X478" ca="1">SUM(OFFSET(X129,0,IF(X$7-2004-'Tech Parameters'!$I14&lt;1,-X$7+2004+1,-'Tech Parameters'!$I14+1)):X129*OFFSET(X455,0,IF(X$7-2004-'Tech Parameters'!$I14&lt;1,-X$7+2004+1,-'Tech Parameters'!$I14+1)):X455)</f>
        <v>183.26556628016303</v>
      </c>
      <c r="Y478">
        <f t="array" aca="1" ref="Y478" ca="1">SUM(OFFSET(Y129,0,IF(Y$7-2004-'Tech Parameters'!$I14&lt;1,-Y$7+2004+1,-'Tech Parameters'!$I14+1)):Y129*OFFSET(Y455,0,IF(Y$7-2004-'Tech Parameters'!$I14&lt;1,-Y$7+2004+1,-'Tech Parameters'!$I14+1)):Y455)</f>
        <v>183.26556628016303</v>
      </c>
      <c r="Z478">
        <f t="array" aca="1" ref="Z478" ca="1">SUM(OFFSET(Z129,0,IF(Z$7-2004-'Tech Parameters'!$I14&lt;1,-Z$7+2004+1,-'Tech Parameters'!$I14+1)):Z129*OFFSET(Z455,0,IF(Z$7-2004-'Tech Parameters'!$I14&lt;1,-Z$7+2004+1,-'Tech Parameters'!$I14+1)):Z455)</f>
        <v>183.26556628016303</v>
      </c>
      <c r="AA478">
        <f t="array" aca="1" ref="AA478" ca="1">SUM(OFFSET(AA129,0,IF(AA$7-2004-'Tech Parameters'!$I14&lt;1,-AA$7+2004+1,-'Tech Parameters'!$I14+1)):AA129*OFFSET(AA455,0,IF(AA$7-2004-'Tech Parameters'!$I14&lt;1,-AA$7+2004+1,-'Tech Parameters'!$I14+1)):AA455)</f>
        <v>183.26556628016303</v>
      </c>
      <c r="AB478">
        <f t="array" aca="1" ref="AB478" ca="1">SUM(OFFSET(AB129,0,IF(AB$7-2004-'Tech Parameters'!$I14&lt;1,-AB$7+2004+1,-'Tech Parameters'!$I14+1)):AB129*OFFSET(AB455,0,IF(AB$7-2004-'Tech Parameters'!$I14&lt;1,-AB$7+2004+1,-'Tech Parameters'!$I14+1)):AB455)</f>
        <v>183.26556628016303</v>
      </c>
      <c r="AC478">
        <f t="array" aca="1" ref="AC478" ca="1">SUM(OFFSET(AC129,0,IF(AC$7-2004-'Tech Parameters'!$I14&lt;1,-AC$7+2004+1,-'Tech Parameters'!$I14+1)):AC129*OFFSET(AC455,0,IF(AC$7-2004-'Tech Parameters'!$I14&lt;1,-AC$7+2004+1,-'Tech Parameters'!$I14+1)):AC455)</f>
        <v>0</v>
      </c>
      <c r="AD478" s="76">
        <f t="array" aca="1" ref="AD478" ca="1">SUM(OFFSET(AD129,0,IF(AD$7-2004-'Tech Parameters'!$I14&lt;1,-AD$7+2004+1,-'Tech Parameters'!$I14+1)):AD129*OFFSET(AD455,0,IF(AD$7-2004-'Tech Parameters'!$I14&lt;1,-AD$7+2004+1,-'Tech Parameters'!$I14+1)):AD455)</f>
        <v>0</v>
      </c>
      <c r="AE478" s="76">
        <f t="array" aca="1" ref="AE478" ca="1">SUM(OFFSET(AE129,0,IF(AE$7-2004-'Tech Parameters'!$I14&lt;1,-AE$7+2004+1,-'Tech Parameters'!$I14+1)):AE129*OFFSET(AE455,0,IF(AE$7-2004-'Tech Parameters'!$I14&lt;1,-AE$7+2004+1,-'Tech Parameters'!$I14+1)):AE455)</f>
        <v>0</v>
      </c>
      <c r="AF478" s="76">
        <f t="array" aca="1" ref="AF478" ca="1">SUM(OFFSET(AF129,0,IF(AF$7-2004-'Tech Parameters'!$I14&lt;1,-AF$7+2004+1,-'Tech Parameters'!$I14+1)):AF129*OFFSET(AF455,0,IF(AF$7-2004-'Tech Parameters'!$I14&lt;1,-AF$7+2004+1,-'Tech Parameters'!$I14+1)):AF455)</f>
        <v>0</v>
      </c>
      <c r="AG478" s="76">
        <f t="array" aca="1" ref="AG478" ca="1">SUM(OFFSET(AG129,0,IF(AG$7-2004-'Tech Parameters'!$I14&lt;1,-AG$7+2004+1,-'Tech Parameters'!$I14+1)):AG129*OFFSET(AG455,0,IF(AG$7-2004-'Tech Parameters'!$I14&lt;1,-AG$7+2004+1,-'Tech Parameters'!$I14+1)):AG455)</f>
        <v>0</v>
      </c>
      <c r="AH478" s="76">
        <f t="array" aca="1" ref="AH478" ca="1">SUM(OFFSET(AH129,0,IF(AH$7-2004-'Tech Parameters'!$I14&lt;1,-AH$7+2004+1,-'Tech Parameters'!$I14+1)):AH129*OFFSET(AH455,0,IF(AH$7-2004-'Tech Parameters'!$I14&lt;1,-AH$7+2004+1,-'Tech Parameters'!$I14+1)):AH455)</f>
        <v>0</v>
      </c>
      <c r="AI478" s="76">
        <f t="array" aca="1" ref="AI478" ca="1">SUM(OFFSET(AI129,0,IF(AI$7-2004-'Tech Parameters'!$I14&lt;1,-AI$7+2004+1,-'Tech Parameters'!$I14+1)):AI129*OFFSET(AI455,0,IF(AI$7-2004-'Tech Parameters'!$I14&lt;1,-AI$7+2004+1,-'Tech Parameters'!$I14+1)):AI455)</f>
        <v>0</v>
      </c>
      <c r="AJ478" s="76">
        <f t="array" aca="1" ref="AJ478" ca="1">SUM(OFFSET(AJ129,0,IF(AJ$7-2004-'Tech Parameters'!$I14&lt;1,-AJ$7+2004+1,-'Tech Parameters'!$I14+1)):AJ129*OFFSET(AJ455,0,IF(AJ$7-2004-'Tech Parameters'!$I14&lt;1,-AJ$7+2004+1,-'Tech Parameters'!$I14+1)):AJ455)</f>
        <v>0</v>
      </c>
      <c r="AK478" s="76">
        <f t="array" aca="1" ref="AK478" ca="1">SUM(OFFSET(AK129,0,IF(AK$7-2004-'Tech Parameters'!$I14&lt;1,-AK$7+2004+1,-'Tech Parameters'!$I14+1)):AK129*OFFSET(AK455,0,IF(AK$7-2004-'Tech Parameters'!$I14&lt;1,-AK$7+2004+1,-'Tech Parameters'!$I14+1)):AK455)</f>
        <v>0</v>
      </c>
      <c r="AL478" s="76">
        <f t="array" aca="1" ref="AL478" ca="1">SUM(OFFSET(AL129,0,IF(AL$7-2004-'Tech Parameters'!$I14&lt;1,-AL$7+2004+1,-'Tech Parameters'!$I14+1)):AL129*OFFSET(AL455,0,IF(AL$7-2004-'Tech Parameters'!$I14&lt;1,-AL$7+2004+1,-'Tech Parameters'!$I14+1)):AL455)</f>
        <v>0</v>
      </c>
      <c r="AM478" s="76">
        <f t="array" aca="1" ref="AM478" ca="1">SUM(OFFSET(AM129,0,IF(AM$7-2004-'Tech Parameters'!$I14&lt;1,-AM$7+2004+1,-'Tech Parameters'!$I14+1)):AM129*OFFSET(AM455,0,IF(AM$7-2004-'Tech Parameters'!$I14&lt;1,-AM$7+2004+1,-'Tech Parameters'!$I14+1)):AM455)</f>
        <v>0</v>
      </c>
      <c r="AN478" s="76">
        <f t="array" aca="1" ref="AN478" ca="1">SUM(OFFSET(AN129,0,IF(AN$7-2004-'Tech Parameters'!$I14&lt;1,-AN$7+2004+1,-'Tech Parameters'!$I14+1)):AN129*OFFSET(AN455,0,IF(AN$7-2004-'Tech Parameters'!$I14&lt;1,-AN$7+2004+1,-'Tech Parameters'!$I14+1)):AN455)</f>
        <v>0</v>
      </c>
      <c r="AO478" s="76">
        <f t="array" aca="1" ref="AO478" ca="1">SUM(OFFSET(AO129,0,IF(AO$7-2004-'Tech Parameters'!$I14&lt;1,-AO$7+2004+1,-'Tech Parameters'!$I14+1)):AO129*OFFSET(AO455,0,IF(AO$7-2004-'Tech Parameters'!$I14&lt;1,-AO$7+2004+1,-'Tech Parameters'!$I14+1)):AO455)</f>
        <v>0</v>
      </c>
      <c r="AP478" s="76">
        <f t="array" aca="1" ref="AP478" ca="1">SUM(OFFSET(AP129,0,IF(AP$7-2004-'Tech Parameters'!$I14&lt;1,-AP$7+2004+1,-'Tech Parameters'!$I14+1)):AP129*OFFSET(AP455,0,IF(AP$7-2004-'Tech Parameters'!$I14&lt;1,-AP$7+2004+1,-'Tech Parameters'!$I14+1)):AP455)</f>
        <v>0</v>
      </c>
      <c r="AQ478" s="76">
        <f t="array" aca="1" ref="AQ478" ca="1">SUM(OFFSET(AQ129,0,IF(AQ$7-2004-'Tech Parameters'!$I14&lt;1,-AQ$7+2004+1,-'Tech Parameters'!$I14+1)):AQ129*OFFSET(AQ455,0,IF(AQ$7-2004-'Tech Parameters'!$I14&lt;1,-AQ$7+2004+1,-'Tech Parameters'!$I14+1)):AQ455)</f>
        <v>0</v>
      </c>
      <c r="AR478" s="76">
        <f t="array" aca="1" ref="AR478" ca="1">SUM(OFFSET(AR129,0,IF(AR$7-2004-'Tech Parameters'!$I14&lt;1,-AR$7+2004+1,-'Tech Parameters'!$I14+1)):AR129*OFFSET(AR455,0,IF(AR$7-2004-'Tech Parameters'!$I14&lt;1,-AR$7+2004+1,-'Tech Parameters'!$I14+1)):AR455)</f>
        <v>0</v>
      </c>
      <c r="AS478" s="76">
        <f t="array" aca="1" ref="AS478" ca="1">SUM(OFFSET(AS129,0,IF(AS$7-2004-'Tech Parameters'!$I14&lt;1,-AS$7+2004+1,-'Tech Parameters'!$I14+1)):AS129*OFFSET(AS455,0,IF(AS$7-2004-'Tech Parameters'!$I14&lt;1,-AS$7+2004+1,-'Tech Parameters'!$I14+1)):AS455)</f>
        <v>0</v>
      </c>
      <c r="AT478" s="76">
        <f t="array" aca="1" ref="AT478" ca="1">SUM(OFFSET(AT129,0,IF(AT$7-2004-'Tech Parameters'!$I14&lt;1,-AT$7+2004+1,-'Tech Parameters'!$I14+1)):AT129*OFFSET(AT455,0,IF(AT$7-2004-'Tech Parameters'!$I14&lt;1,-AT$7+2004+1,-'Tech Parameters'!$I14+1)):AT455)</f>
        <v>0</v>
      </c>
      <c r="AU478" s="76">
        <f t="array" aca="1" ref="AU478" ca="1">SUM(OFFSET(AU129,0,IF(AU$7-2004-'Tech Parameters'!$I14&lt;1,-AU$7+2004+1,-'Tech Parameters'!$I14+1)):AU129*OFFSET(AU455,0,IF(AU$7-2004-'Tech Parameters'!$I14&lt;1,-AU$7+2004+1,-'Tech Parameters'!$I14+1)):AU455)</f>
        <v>0</v>
      </c>
      <c r="AV478" s="76">
        <f t="array" aca="1" ref="AV478" ca="1">SUM(OFFSET(AV129,0,IF(AV$7-2004-'Tech Parameters'!$I14&lt;1,-AV$7+2004+1,-'Tech Parameters'!$I14+1)):AV129*OFFSET(AV455,0,IF(AV$7-2004-'Tech Parameters'!$I14&lt;1,-AV$7+2004+1,-'Tech Parameters'!$I14+1)):AV455)</f>
        <v>0</v>
      </c>
      <c r="AW478" s="76">
        <f t="array" aca="1" ref="AW478" ca="1">SUM(OFFSET(AW129,0,IF(AW$7-2004-'Tech Parameters'!$I14&lt;1,-AW$7+2004+1,-'Tech Parameters'!$I14+1)):AW129*OFFSET(AW455,0,IF(AW$7-2004-'Tech Parameters'!$I14&lt;1,-AW$7+2004+1,-'Tech Parameters'!$I14+1)):AW455)</f>
        <v>0</v>
      </c>
    </row>
    <row r="479" spans="3:49">
      <c r="C479" t="str">
        <f t="shared" si="218"/>
        <v>Wind 25%</v>
      </c>
      <c r="D479">
        <f t="array" aca="1" ref="D479" ca="1">SUM(OFFSET(D130,0,IF(D$7-2004-'Tech Parameters'!$I15&lt;1,-D$7+2004+1,-'Tech Parameters'!$I15+1)):D130*OFFSET(D456,0,IF(D$7-2004-'Tech Parameters'!$I15&lt;1,-D$7+2004+1,-'Tech Parameters'!$I15+1)):D456)</f>
        <v>0</v>
      </c>
      <c r="E479">
        <f t="array" aca="1" ref="E479" ca="1">SUM(OFFSET(E130,0,IF(E$7-2004-'Tech Parameters'!$I15&lt;1,-E$7+2004+1,-'Tech Parameters'!$I15+1)):E130*OFFSET(E456,0,IF(E$7-2004-'Tech Parameters'!$I15&lt;1,-E$7+2004+1,-'Tech Parameters'!$I15+1)):E456)</f>
        <v>0</v>
      </c>
      <c r="F479">
        <f t="array" aca="1" ref="F479" ca="1">SUM(OFFSET(F130,0,IF(F$7-2004-'Tech Parameters'!$I15&lt;1,-F$7+2004+1,-'Tech Parameters'!$I15+1)):F130*OFFSET(F456,0,IF(F$7-2004-'Tech Parameters'!$I15&lt;1,-F$7+2004+1,-'Tech Parameters'!$I15+1)):F456)</f>
        <v>0</v>
      </c>
      <c r="G479">
        <f t="array" aca="1" ref="G479" ca="1">SUM(OFFSET(G130,0,IF(G$7-2004-'Tech Parameters'!$I15&lt;1,-G$7+2004+1,-'Tech Parameters'!$I15+1)):G130*OFFSET(G456,0,IF(G$7-2004-'Tech Parameters'!$I15&lt;1,-G$7+2004+1,-'Tech Parameters'!$I15+1)):G456)</f>
        <v>0</v>
      </c>
      <c r="H479">
        <f t="array" aca="1" ref="H479" ca="1">SUM(OFFSET(H130,0,IF(H$7-2004-'Tech Parameters'!$I15&lt;1,-H$7+2004+1,-'Tech Parameters'!$I15+1)):H130*OFFSET(H456,0,IF(H$7-2004-'Tech Parameters'!$I15&lt;1,-H$7+2004+1,-'Tech Parameters'!$I15+1)):H456)</f>
        <v>0</v>
      </c>
      <c r="I479">
        <f t="array" aca="1" ref="I479" ca="1">SUM(OFFSET(I130,0,IF(I$7-2004-'Tech Parameters'!$I15&lt;1,-I$7+2004+1,-'Tech Parameters'!$I15+1)):I130*OFFSET(I456,0,IF(I$7-2004-'Tech Parameters'!$I15&lt;1,-I$7+2004+1,-'Tech Parameters'!$I15+1)):I456)</f>
        <v>0</v>
      </c>
      <c r="J479">
        <f t="array" aca="1" ref="J479" ca="1">SUM(OFFSET(J130,0,IF(J$7-2004-'Tech Parameters'!$I15&lt;1,-J$7+2004+1,-'Tech Parameters'!$I15+1)):J130*OFFSET(J456,0,IF(J$7-2004-'Tech Parameters'!$I15&lt;1,-J$7+2004+1,-'Tech Parameters'!$I15+1)):J456)</f>
        <v>0</v>
      </c>
      <c r="K479">
        <f t="array" aca="1" ref="K479" ca="1">SUM(OFFSET(K130,0,IF(K$7-2004-'Tech Parameters'!$I15&lt;1,-K$7+2004+1,-'Tech Parameters'!$I15+1)):K130*OFFSET(K456,0,IF(K$7-2004-'Tech Parameters'!$I15&lt;1,-K$7+2004+1,-'Tech Parameters'!$I15+1)):K456)</f>
        <v>0</v>
      </c>
      <c r="L479">
        <f t="array" aca="1" ref="L479" ca="1">SUM(OFFSET(L130,0,IF(L$7-2004-'Tech Parameters'!$I15&lt;1,-L$7+2004+1,-'Tech Parameters'!$I15+1)):L130*OFFSET(L456,0,IF(L$7-2004-'Tech Parameters'!$I15&lt;1,-L$7+2004+1,-'Tech Parameters'!$I15+1)):L456)</f>
        <v>0</v>
      </c>
      <c r="M479">
        <f t="array" aca="1" ref="M479" ca="1">SUM(OFFSET(M130,0,IF(M$7-2004-'Tech Parameters'!$I15&lt;1,-M$7+2004+1,-'Tech Parameters'!$I15+1)):M130*OFFSET(M456,0,IF(M$7-2004-'Tech Parameters'!$I15&lt;1,-M$7+2004+1,-'Tech Parameters'!$I15+1)):M456)</f>
        <v>0</v>
      </c>
      <c r="N479">
        <f t="array" aca="1" ref="N479" ca="1">SUM(OFFSET(N130,0,IF(N$7-2004-'Tech Parameters'!$I15&lt;1,-N$7+2004+1,-'Tech Parameters'!$I15+1)):N130*OFFSET(N456,0,IF(N$7-2004-'Tech Parameters'!$I15&lt;1,-N$7+2004+1,-'Tech Parameters'!$I15+1)):N456)</f>
        <v>0</v>
      </c>
      <c r="O479">
        <f t="array" aca="1" ref="O479" ca="1">SUM(OFFSET(O130,0,IF(O$7-2004-'Tech Parameters'!$I15&lt;1,-O$7+2004+1,-'Tech Parameters'!$I15+1)):O130*OFFSET(O456,0,IF(O$7-2004-'Tech Parameters'!$I15&lt;1,-O$7+2004+1,-'Tech Parameters'!$I15+1)):O456)</f>
        <v>0</v>
      </c>
      <c r="P479">
        <f t="array" aca="1" ref="P479" ca="1">SUM(OFFSET(P130,0,IF(P$7-2004-'Tech Parameters'!$I15&lt;1,-P$7+2004+1,-'Tech Parameters'!$I15+1)):P130*OFFSET(P456,0,IF(P$7-2004-'Tech Parameters'!$I15&lt;1,-P$7+2004+1,-'Tech Parameters'!$I15+1)):P456)</f>
        <v>0</v>
      </c>
      <c r="Q479">
        <f t="array" aca="1" ref="Q479" ca="1">SUM(OFFSET(Q130,0,IF(Q$7-2004-'Tech Parameters'!$I15&lt;1,-Q$7+2004+1,-'Tech Parameters'!$I15+1)):Q130*OFFSET(Q456,0,IF(Q$7-2004-'Tech Parameters'!$I15&lt;1,-Q$7+2004+1,-'Tech Parameters'!$I15+1)):Q456)</f>
        <v>0</v>
      </c>
      <c r="R479">
        <f t="array" aca="1" ref="R479" ca="1">SUM(OFFSET(R130,0,IF(R$7-2004-'Tech Parameters'!$I15&lt;1,-R$7+2004+1,-'Tech Parameters'!$I15+1)):R130*OFFSET(R456,0,IF(R$7-2004-'Tech Parameters'!$I15&lt;1,-R$7+2004+1,-'Tech Parameters'!$I15+1)):R456)</f>
        <v>0</v>
      </c>
      <c r="S479">
        <f t="array" aca="1" ref="S479" ca="1">SUM(OFFSET(S130,0,IF(S$7-2004-'Tech Parameters'!$I15&lt;1,-S$7+2004+1,-'Tech Parameters'!$I15+1)):S130*OFFSET(S456,0,IF(S$7-2004-'Tech Parameters'!$I15&lt;1,-S$7+2004+1,-'Tech Parameters'!$I15+1)):S456)</f>
        <v>0</v>
      </c>
      <c r="T479">
        <f t="array" aca="1" ref="T479" ca="1">SUM(OFFSET(T130,0,IF(T$7-2004-'Tech Parameters'!$I15&lt;1,-T$7+2004+1,-'Tech Parameters'!$I15+1)):T130*OFFSET(T456,0,IF(T$7-2004-'Tech Parameters'!$I15&lt;1,-T$7+2004+1,-'Tech Parameters'!$I15+1)):T456)</f>
        <v>0</v>
      </c>
      <c r="U479">
        <f t="array" aca="1" ref="U479" ca="1">SUM(OFFSET(U130,0,IF(U$7-2004-'Tech Parameters'!$I15&lt;1,-U$7+2004+1,-'Tech Parameters'!$I15+1)):U130*OFFSET(U456,0,IF(U$7-2004-'Tech Parameters'!$I15&lt;1,-U$7+2004+1,-'Tech Parameters'!$I15+1)):U456)</f>
        <v>0</v>
      </c>
      <c r="V479">
        <f t="array" aca="1" ref="V479" ca="1">SUM(OFFSET(V130,0,IF(V$7-2004-'Tech Parameters'!$I15&lt;1,-V$7+2004+1,-'Tech Parameters'!$I15+1)):V130*OFFSET(V456,0,IF(V$7-2004-'Tech Parameters'!$I15&lt;1,-V$7+2004+1,-'Tech Parameters'!$I15+1)):V456)</f>
        <v>0</v>
      </c>
      <c r="W479">
        <f t="array" aca="1" ref="W479" ca="1">SUM(OFFSET(W130,0,IF(W$7-2004-'Tech Parameters'!$I15&lt;1,-W$7+2004+1,-'Tech Parameters'!$I15+1)):W130*OFFSET(W456,0,IF(W$7-2004-'Tech Parameters'!$I15&lt;1,-W$7+2004+1,-'Tech Parameters'!$I15+1)):W456)</f>
        <v>0</v>
      </c>
      <c r="X479">
        <f t="array" aca="1" ref="X479" ca="1">SUM(OFFSET(X130,0,IF(X$7-2004-'Tech Parameters'!$I15&lt;1,-X$7+2004+1,-'Tech Parameters'!$I15+1)):X130*OFFSET(X456,0,IF(X$7-2004-'Tech Parameters'!$I15&lt;1,-X$7+2004+1,-'Tech Parameters'!$I15+1)):X456)</f>
        <v>0</v>
      </c>
      <c r="Y479">
        <f t="array" aca="1" ref="Y479" ca="1">SUM(OFFSET(Y130,0,IF(Y$7-2004-'Tech Parameters'!$I15&lt;1,-Y$7+2004+1,-'Tech Parameters'!$I15+1)):Y130*OFFSET(Y456,0,IF(Y$7-2004-'Tech Parameters'!$I15&lt;1,-Y$7+2004+1,-'Tech Parameters'!$I15+1)):Y456)</f>
        <v>0</v>
      </c>
      <c r="Z479">
        <f t="array" aca="1" ref="Z479" ca="1">SUM(OFFSET(Z130,0,IF(Z$7-2004-'Tech Parameters'!$I15&lt;1,-Z$7+2004+1,-'Tech Parameters'!$I15+1)):Z130*OFFSET(Z456,0,IF(Z$7-2004-'Tech Parameters'!$I15&lt;1,-Z$7+2004+1,-'Tech Parameters'!$I15+1)):Z456)</f>
        <v>0</v>
      </c>
      <c r="AA479">
        <f t="array" aca="1" ref="AA479" ca="1">SUM(OFFSET(AA130,0,IF(AA$7-2004-'Tech Parameters'!$I15&lt;1,-AA$7+2004+1,-'Tech Parameters'!$I15+1)):AA130*OFFSET(AA456,0,IF(AA$7-2004-'Tech Parameters'!$I15&lt;1,-AA$7+2004+1,-'Tech Parameters'!$I15+1)):AA456)</f>
        <v>0</v>
      </c>
      <c r="AB479">
        <f t="array" aca="1" ref="AB479" ca="1">SUM(OFFSET(AB130,0,IF(AB$7-2004-'Tech Parameters'!$I15&lt;1,-AB$7+2004+1,-'Tech Parameters'!$I15+1)):AB130*OFFSET(AB456,0,IF(AB$7-2004-'Tech Parameters'!$I15&lt;1,-AB$7+2004+1,-'Tech Parameters'!$I15+1)):AB456)</f>
        <v>0</v>
      </c>
      <c r="AC479">
        <f t="array" aca="1" ref="AC479" ca="1">SUM(OFFSET(AC130,0,IF(AC$7-2004-'Tech Parameters'!$I15&lt;1,-AC$7+2004+1,-'Tech Parameters'!$I15+1)):AC130*OFFSET(AC456,0,IF(AC$7-2004-'Tech Parameters'!$I15&lt;1,-AC$7+2004+1,-'Tech Parameters'!$I15+1)):AC456)</f>
        <v>0</v>
      </c>
      <c r="AD479" s="76">
        <f t="array" aca="1" ref="AD479" ca="1">SUM(OFFSET(AD130,0,IF(AD$7-2004-'Tech Parameters'!$I15&lt;1,-AD$7+2004+1,-'Tech Parameters'!$I15+1)):AD130*OFFSET(AD456,0,IF(AD$7-2004-'Tech Parameters'!$I15&lt;1,-AD$7+2004+1,-'Tech Parameters'!$I15+1)):AD456)</f>
        <v>0</v>
      </c>
      <c r="AE479" s="76">
        <f t="array" aca="1" ref="AE479" ca="1">SUM(OFFSET(AE130,0,IF(AE$7-2004-'Tech Parameters'!$I15&lt;1,-AE$7+2004+1,-'Tech Parameters'!$I15+1)):AE130*OFFSET(AE456,0,IF(AE$7-2004-'Tech Parameters'!$I15&lt;1,-AE$7+2004+1,-'Tech Parameters'!$I15+1)):AE456)</f>
        <v>0</v>
      </c>
      <c r="AF479" s="76">
        <f t="array" aca="1" ref="AF479" ca="1">SUM(OFFSET(AF130,0,IF(AF$7-2004-'Tech Parameters'!$I15&lt;1,-AF$7+2004+1,-'Tech Parameters'!$I15+1)):AF130*OFFSET(AF456,0,IF(AF$7-2004-'Tech Parameters'!$I15&lt;1,-AF$7+2004+1,-'Tech Parameters'!$I15+1)):AF456)</f>
        <v>0</v>
      </c>
      <c r="AG479" s="76">
        <f t="array" aca="1" ref="AG479" ca="1">SUM(OFFSET(AG130,0,IF(AG$7-2004-'Tech Parameters'!$I15&lt;1,-AG$7+2004+1,-'Tech Parameters'!$I15+1)):AG130*OFFSET(AG456,0,IF(AG$7-2004-'Tech Parameters'!$I15&lt;1,-AG$7+2004+1,-'Tech Parameters'!$I15+1)):AG456)</f>
        <v>0</v>
      </c>
      <c r="AH479" s="76">
        <f t="array" aca="1" ref="AH479" ca="1">SUM(OFFSET(AH130,0,IF(AH$7-2004-'Tech Parameters'!$I15&lt;1,-AH$7+2004+1,-'Tech Parameters'!$I15+1)):AH130*OFFSET(AH456,0,IF(AH$7-2004-'Tech Parameters'!$I15&lt;1,-AH$7+2004+1,-'Tech Parameters'!$I15+1)):AH456)</f>
        <v>0</v>
      </c>
      <c r="AI479" s="76">
        <f t="array" aca="1" ref="AI479" ca="1">SUM(OFFSET(AI130,0,IF(AI$7-2004-'Tech Parameters'!$I15&lt;1,-AI$7+2004+1,-'Tech Parameters'!$I15+1)):AI130*OFFSET(AI456,0,IF(AI$7-2004-'Tech Parameters'!$I15&lt;1,-AI$7+2004+1,-'Tech Parameters'!$I15+1)):AI456)</f>
        <v>0</v>
      </c>
      <c r="AJ479" s="76">
        <f t="array" aca="1" ref="AJ479" ca="1">SUM(OFFSET(AJ130,0,IF(AJ$7-2004-'Tech Parameters'!$I15&lt;1,-AJ$7+2004+1,-'Tech Parameters'!$I15+1)):AJ130*OFFSET(AJ456,0,IF(AJ$7-2004-'Tech Parameters'!$I15&lt;1,-AJ$7+2004+1,-'Tech Parameters'!$I15+1)):AJ456)</f>
        <v>0</v>
      </c>
      <c r="AK479" s="76">
        <f t="array" aca="1" ref="AK479" ca="1">SUM(OFFSET(AK130,0,IF(AK$7-2004-'Tech Parameters'!$I15&lt;1,-AK$7+2004+1,-'Tech Parameters'!$I15+1)):AK130*OFFSET(AK456,0,IF(AK$7-2004-'Tech Parameters'!$I15&lt;1,-AK$7+2004+1,-'Tech Parameters'!$I15+1)):AK456)</f>
        <v>0</v>
      </c>
      <c r="AL479" s="76">
        <f t="array" aca="1" ref="AL479" ca="1">SUM(OFFSET(AL130,0,IF(AL$7-2004-'Tech Parameters'!$I15&lt;1,-AL$7+2004+1,-'Tech Parameters'!$I15+1)):AL130*OFFSET(AL456,0,IF(AL$7-2004-'Tech Parameters'!$I15&lt;1,-AL$7+2004+1,-'Tech Parameters'!$I15+1)):AL456)</f>
        <v>0</v>
      </c>
      <c r="AM479" s="76">
        <f t="array" aca="1" ref="AM479" ca="1">SUM(OFFSET(AM130,0,IF(AM$7-2004-'Tech Parameters'!$I15&lt;1,-AM$7+2004+1,-'Tech Parameters'!$I15+1)):AM130*OFFSET(AM456,0,IF(AM$7-2004-'Tech Parameters'!$I15&lt;1,-AM$7+2004+1,-'Tech Parameters'!$I15+1)):AM456)</f>
        <v>0</v>
      </c>
      <c r="AN479" s="76">
        <f t="array" aca="1" ref="AN479" ca="1">SUM(OFFSET(AN130,0,IF(AN$7-2004-'Tech Parameters'!$I15&lt;1,-AN$7+2004+1,-'Tech Parameters'!$I15+1)):AN130*OFFSET(AN456,0,IF(AN$7-2004-'Tech Parameters'!$I15&lt;1,-AN$7+2004+1,-'Tech Parameters'!$I15+1)):AN456)</f>
        <v>0</v>
      </c>
      <c r="AO479" s="76">
        <f t="array" aca="1" ref="AO479" ca="1">SUM(OFFSET(AO130,0,IF(AO$7-2004-'Tech Parameters'!$I15&lt;1,-AO$7+2004+1,-'Tech Parameters'!$I15+1)):AO130*OFFSET(AO456,0,IF(AO$7-2004-'Tech Parameters'!$I15&lt;1,-AO$7+2004+1,-'Tech Parameters'!$I15+1)):AO456)</f>
        <v>0</v>
      </c>
      <c r="AP479" s="76">
        <f t="array" aca="1" ref="AP479" ca="1">SUM(OFFSET(AP130,0,IF(AP$7-2004-'Tech Parameters'!$I15&lt;1,-AP$7+2004+1,-'Tech Parameters'!$I15+1)):AP130*OFFSET(AP456,0,IF(AP$7-2004-'Tech Parameters'!$I15&lt;1,-AP$7+2004+1,-'Tech Parameters'!$I15+1)):AP456)</f>
        <v>0</v>
      </c>
      <c r="AQ479" s="76">
        <f t="array" aca="1" ref="AQ479" ca="1">SUM(OFFSET(AQ130,0,IF(AQ$7-2004-'Tech Parameters'!$I15&lt;1,-AQ$7+2004+1,-'Tech Parameters'!$I15+1)):AQ130*OFFSET(AQ456,0,IF(AQ$7-2004-'Tech Parameters'!$I15&lt;1,-AQ$7+2004+1,-'Tech Parameters'!$I15+1)):AQ456)</f>
        <v>0</v>
      </c>
      <c r="AR479" s="76">
        <f t="array" aca="1" ref="AR479" ca="1">SUM(OFFSET(AR130,0,IF(AR$7-2004-'Tech Parameters'!$I15&lt;1,-AR$7+2004+1,-'Tech Parameters'!$I15+1)):AR130*OFFSET(AR456,0,IF(AR$7-2004-'Tech Parameters'!$I15&lt;1,-AR$7+2004+1,-'Tech Parameters'!$I15+1)):AR456)</f>
        <v>0</v>
      </c>
      <c r="AS479" s="76">
        <f t="array" aca="1" ref="AS479" ca="1">SUM(OFFSET(AS130,0,IF(AS$7-2004-'Tech Parameters'!$I15&lt;1,-AS$7+2004+1,-'Tech Parameters'!$I15+1)):AS130*OFFSET(AS456,0,IF(AS$7-2004-'Tech Parameters'!$I15&lt;1,-AS$7+2004+1,-'Tech Parameters'!$I15+1)):AS456)</f>
        <v>0</v>
      </c>
      <c r="AT479" s="76">
        <f t="array" aca="1" ref="AT479" ca="1">SUM(OFFSET(AT130,0,IF(AT$7-2004-'Tech Parameters'!$I15&lt;1,-AT$7+2004+1,-'Tech Parameters'!$I15+1)):AT130*OFFSET(AT456,0,IF(AT$7-2004-'Tech Parameters'!$I15&lt;1,-AT$7+2004+1,-'Tech Parameters'!$I15+1)):AT456)</f>
        <v>0</v>
      </c>
      <c r="AU479" s="76">
        <f t="array" aca="1" ref="AU479" ca="1">SUM(OFFSET(AU130,0,IF(AU$7-2004-'Tech Parameters'!$I15&lt;1,-AU$7+2004+1,-'Tech Parameters'!$I15+1)):AU130*OFFSET(AU456,0,IF(AU$7-2004-'Tech Parameters'!$I15&lt;1,-AU$7+2004+1,-'Tech Parameters'!$I15+1)):AU456)</f>
        <v>0</v>
      </c>
      <c r="AV479" s="76">
        <f t="array" aca="1" ref="AV479" ca="1">SUM(OFFSET(AV130,0,IF(AV$7-2004-'Tech Parameters'!$I15&lt;1,-AV$7+2004+1,-'Tech Parameters'!$I15+1)):AV130*OFFSET(AV456,0,IF(AV$7-2004-'Tech Parameters'!$I15&lt;1,-AV$7+2004+1,-'Tech Parameters'!$I15+1)):AV456)</f>
        <v>0</v>
      </c>
      <c r="AW479" s="76">
        <f t="array" aca="1" ref="AW479" ca="1">SUM(OFFSET(AW130,0,IF(AW$7-2004-'Tech Parameters'!$I15&lt;1,-AW$7+2004+1,-'Tech Parameters'!$I15+1)):AW130*OFFSET(AW456,0,IF(AW$7-2004-'Tech Parameters'!$I15&lt;1,-AW$7+2004+1,-'Tech Parameters'!$I15+1)):AW456)</f>
        <v>0</v>
      </c>
    </row>
    <row r="480" spans="3:49">
      <c r="C480" t="str">
        <f t="shared" si="218"/>
        <v>solar thermal central reciever</v>
      </c>
      <c r="D480">
        <f t="array" aca="1" ref="D480" ca="1">SUM(OFFSET(D131,0,IF(D$7-2004-'Tech Parameters'!$I16&lt;1,-D$7+2004+1,-'Tech Parameters'!$I16+1)):D131*OFFSET(D457,0,IF(D$7-2004-'Tech Parameters'!$I16&lt;1,-D$7+2004+1,-'Tech Parameters'!$I16+1)):D457)</f>
        <v>0</v>
      </c>
      <c r="E480">
        <f t="array" aca="1" ref="E480" ca="1">SUM(OFFSET(E131,0,IF(E$7-2004-'Tech Parameters'!$I16&lt;1,-E$7+2004+1,-'Tech Parameters'!$I16+1)):E131*OFFSET(E457,0,IF(E$7-2004-'Tech Parameters'!$I16&lt;1,-E$7+2004+1,-'Tech Parameters'!$I16+1)):E457)</f>
        <v>0</v>
      </c>
      <c r="F480">
        <f t="array" aca="1" ref="F480" ca="1">SUM(OFFSET(F131,0,IF(F$7-2004-'Tech Parameters'!$I16&lt;1,-F$7+2004+1,-'Tech Parameters'!$I16+1)):F131*OFFSET(F457,0,IF(F$7-2004-'Tech Parameters'!$I16&lt;1,-F$7+2004+1,-'Tech Parameters'!$I16+1)):F457)</f>
        <v>0</v>
      </c>
      <c r="G480">
        <f t="array" aca="1" ref="G480" ca="1">SUM(OFFSET(G131,0,IF(G$7-2004-'Tech Parameters'!$I16&lt;1,-G$7+2004+1,-'Tech Parameters'!$I16+1)):G131*OFFSET(G457,0,IF(G$7-2004-'Tech Parameters'!$I16&lt;1,-G$7+2004+1,-'Tech Parameters'!$I16+1)):G457)</f>
        <v>0</v>
      </c>
      <c r="H480">
        <f t="array" aca="1" ref="H480" ca="1">SUM(OFFSET(H131,0,IF(H$7-2004-'Tech Parameters'!$I16&lt;1,-H$7+2004+1,-'Tech Parameters'!$I16+1)):H131*OFFSET(H457,0,IF(H$7-2004-'Tech Parameters'!$I16&lt;1,-H$7+2004+1,-'Tech Parameters'!$I16+1)):H457)</f>
        <v>0</v>
      </c>
      <c r="I480">
        <f t="array" aca="1" ref="I480" ca="1">SUM(OFFSET(I131,0,IF(I$7-2004-'Tech Parameters'!$I16&lt;1,-I$7+2004+1,-'Tech Parameters'!$I16+1)):I131*OFFSET(I457,0,IF(I$7-2004-'Tech Parameters'!$I16&lt;1,-I$7+2004+1,-'Tech Parameters'!$I16+1)):I457)</f>
        <v>0</v>
      </c>
      <c r="J480">
        <f t="array" aca="1" ref="J480" ca="1">SUM(OFFSET(J131,0,IF(J$7-2004-'Tech Parameters'!$I16&lt;1,-J$7+2004+1,-'Tech Parameters'!$I16+1)):J131*OFFSET(J457,0,IF(J$7-2004-'Tech Parameters'!$I16&lt;1,-J$7+2004+1,-'Tech Parameters'!$I16+1)):J457)</f>
        <v>0</v>
      </c>
      <c r="K480">
        <f t="array" aca="1" ref="K480" ca="1">SUM(OFFSET(K131,0,IF(K$7-2004-'Tech Parameters'!$I16&lt;1,-K$7+2004+1,-'Tech Parameters'!$I16+1)):K131*OFFSET(K457,0,IF(K$7-2004-'Tech Parameters'!$I16&lt;1,-K$7+2004+1,-'Tech Parameters'!$I16+1)):K457)</f>
        <v>0</v>
      </c>
      <c r="L480">
        <f t="array" aca="1" ref="L480" ca="1">SUM(OFFSET(L131,0,IF(L$7-2004-'Tech Parameters'!$I16&lt;1,-L$7+2004+1,-'Tech Parameters'!$I16+1)):L131*OFFSET(L457,0,IF(L$7-2004-'Tech Parameters'!$I16&lt;1,-L$7+2004+1,-'Tech Parameters'!$I16+1)):L457)</f>
        <v>0</v>
      </c>
      <c r="M480">
        <f t="array" aca="1" ref="M480" ca="1">SUM(OFFSET(M131,0,IF(M$7-2004-'Tech Parameters'!$I16&lt;1,-M$7+2004+1,-'Tech Parameters'!$I16+1)):M131*OFFSET(M457,0,IF(M$7-2004-'Tech Parameters'!$I16&lt;1,-M$7+2004+1,-'Tech Parameters'!$I16+1)):M457)</f>
        <v>0</v>
      </c>
      <c r="N480">
        <f t="array" aca="1" ref="N480" ca="1">SUM(OFFSET(N131,0,IF(N$7-2004-'Tech Parameters'!$I16&lt;1,-N$7+2004+1,-'Tech Parameters'!$I16+1)):N131*OFFSET(N457,0,IF(N$7-2004-'Tech Parameters'!$I16&lt;1,-N$7+2004+1,-'Tech Parameters'!$I16+1)):N457)</f>
        <v>0</v>
      </c>
      <c r="O480">
        <f t="array" aca="1" ref="O480" ca="1">SUM(OFFSET(O131,0,IF(O$7-2004-'Tech Parameters'!$I16&lt;1,-O$7+2004+1,-'Tech Parameters'!$I16+1)):O131*OFFSET(O457,0,IF(O$7-2004-'Tech Parameters'!$I16&lt;1,-O$7+2004+1,-'Tech Parameters'!$I16+1)):O457)</f>
        <v>0</v>
      </c>
      <c r="P480">
        <f t="array" aca="1" ref="P480" ca="1">SUM(OFFSET(P131,0,IF(P$7-2004-'Tech Parameters'!$I16&lt;1,-P$7+2004+1,-'Tech Parameters'!$I16+1)):P131*OFFSET(P457,0,IF(P$7-2004-'Tech Parameters'!$I16&lt;1,-P$7+2004+1,-'Tech Parameters'!$I16+1)):P457)</f>
        <v>0</v>
      </c>
      <c r="Q480">
        <f t="array" aca="1" ref="Q480" ca="1">SUM(OFFSET(Q131,0,IF(Q$7-2004-'Tech Parameters'!$I16&lt;1,-Q$7+2004+1,-'Tech Parameters'!$I16+1)):Q131*OFFSET(Q457,0,IF(Q$7-2004-'Tech Parameters'!$I16&lt;1,-Q$7+2004+1,-'Tech Parameters'!$I16+1)):Q457)</f>
        <v>0</v>
      </c>
      <c r="R480">
        <f t="array" aca="1" ref="R480" ca="1">SUM(OFFSET(R131,0,IF(R$7-2004-'Tech Parameters'!$I16&lt;1,-R$7+2004+1,-'Tech Parameters'!$I16+1)):R131*OFFSET(R457,0,IF(R$7-2004-'Tech Parameters'!$I16&lt;1,-R$7+2004+1,-'Tech Parameters'!$I16+1)):R457)</f>
        <v>0</v>
      </c>
      <c r="S480">
        <f t="array" aca="1" ref="S480" ca="1">SUM(OFFSET(S131,0,IF(S$7-2004-'Tech Parameters'!$I16&lt;1,-S$7+2004+1,-'Tech Parameters'!$I16+1)):S131*OFFSET(S457,0,IF(S$7-2004-'Tech Parameters'!$I16&lt;1,-S$7+2004+1,-'Tech Parameters'!$I16+1)):S457)</f>
        <v>0</v>
      </c>
      <c r="T480">
        <f t="array" aca="1" ref="T480" ca="1">SUM(OFFSET(T131,0,IF(T$7-2004-'Tech Parameters'!$I16&lt;1,-T$7+2004+1,-'Tech Parameters'!$I16+1)):T131*OFFSET(T457,0,IF(T$7-2004-'Tech Parameters'!$I16&lt;1,-T$7+2004+1,-'Tech Parameters'!$I16+1)):T457)</f>
        <v>0</v>
      </c>
      <c r="U480">
        <f t="array" aca="1" ref="U480" ca="1">SUM(OFFSET(U131,0,IF(U$7-2004-'Tech Parameters'!$I16&lt;1,-U$7+2004+1,-'Tech Parameters'!$I16+1)):U131*OFFSET(U457,0,IF(U$7-2004-'Tech Parameters'!$I16&lt;1,-U$7+2004+1,-'Tech Parameters'!$I16+1)):U457)</f>
        <v>0</v>
      </c>
      <c r="V480">
        <f t="array" aca="1" ref="V480" ca="1">SUM(OFFSET(V131,0,IF(V$7-2004-'Tech Parameters'!$I16&lt;1,-V$7+2004+1,-'Tech Parameters'!$I16+1)):V131*OFFSET(V457,0,IF(V$7-2004-'Tech Parameters'!$I16&lt;1,-V$7+2004+1,-'Tech Parameters'!$I16+1)):V457)</f>
        <v>0</v>
      </c>
      <c r="W480">
        <f t="array" aca="1" ref="W480" ca="1">SUM(OFFSET(W131,0,IF(W$7-2004-'Tech Parameters'!$I16&lt;1,-W$7+2004+1,-'Tech Parameters'!$I16+1)):W131*OFFSET(W457,0,IF(W$7-2004-'Tech Parameters'!$I16&lt;1,-W$7+2004+1,-'Tech Parameters'!$I16+1)):W457)</f>
        <v>0</v>
      </c>
      <c r="X480">
        <f t="array" aca="1" ref="X480" ca="1">SUM(OFFSET(X131,0,IF(X$7-2004-'Tech Parameters'!$I16&lt;1,-X$7+2004+1,-'Tech Parameters'!$I16+1)):X131*OFFSET(X457,0,IF(X$7-2004-'Tech Parameters'!$I16&lt;1,-X$7+2004+1,-'Tech Parameters'!$I16+1)):X457)</f>
        <v>0</v>
      </c>
      <c r="Y480">
        <f t="array" aca="1" ref="Y480" ca="1">SUM(OFFSET(Y131,0,IF(Y$7-2004-'Tech Parameters'!$I16&lt;1,-Y$7+2004+1,-'Tech Parameters'!$I16+1)):Y131*OFFSET(Y457,0,IF(Y$7-2004-'Tech Parameters'!$I16&lt;1,-Y$7+2004+1,-'Tech Parameters'!$I16+1)):Y457)</f>
        <v>0</v>
      </c>
      <c r="Z480">
        <f t="array" aca="1" ref="Z480" ca="1">SUM(OFFSET(Z131,0,IF(Z$7-2004-'Tech Parameters'!$I16&lt;1,-Z$7+2004+1,-'Tech Parameters'!$I16+1)):Z131*OFFSET(Z457,0,IF(Z$7-2004-'Tech Parameters'!$I16&lt;1,-Z$7+2004+1,-'Tech Parameters'!$I16+1)):Z457)</f>
        <v>0</v>
      </c>
      <c r="AA480">
        <f t="array" aca="1" ref="AA480" ca="1">SUM(OFFSET(AA131,0,IF(AA$7-2004-'Tech Parameters'!$I16&lt;1,-AA$7+2004+1,-'Tech Parameters'!$I16+1)):AA131*OFFSET(AA457,0,IF(AA$7-2004-'Tech Parameters'!$I16&lt;1,-AA$7+2004+1,-'Tech Parameters'!$I16+1)):AA457)</f>
        <v>0</v>
      </c>
      <c r="AB480">
        <f t="array" aca="1" ref="AB480" ca="1">SUM(OFFSET(AB131,0,IF(AB$7-2004-'Tech Parameters'!$I16&lt;1,-AB$7+2004+1,-'Tech Parameters'!$I16+1)):AB131*OFFSET(AB457,0,IF(AB$7-2004-'Tech Parameters'!$I16&lt;1,-AB$7+2004+1,-'Tech Parameters'!$I16+1)):AB457)</f>
        <v>0</v>
      </c>
      <c r="AC480">
        <f t="array" aca="1" ref="AC480" ca="1">SUM(OFFSET(AC131,0,IF(AC$7-2004-'Tech Parameters'!$I16&lt;1,-AC$7+2004+1,-'Tech Parameters'!$I16+1)):AC131*OFFSET(AC457,0,IF(AC$7-2004-'Tech Parameters'!$I16&lt;1,-AC$7+2004+1,-'Tech Parameters'!$I16+1)):AC457)</f>
        <v>0</v>
      </c>
      <c r="AD480" s="76">
        <f t="array" aca="1" ref="AD480" ca="1">SUM(OFFSET(AD131,0,IF(AD$7-2004-'Tech Parameters'!$I16&lt;1,-AD$7+2004+1,-'Tech Parameters'!$I16+1)):AD131*OFFSET(AD457,0,IF(AD$7-2004-'Tech Parameters'!$I16&lt;1,-AD$7+2004+1,-'Tech Parameters'!$I16+1)):AD457)</f>
        <v>0</v>
      </c>
      <c r="AE480" s="76">
        <f t="array" aca="1" ref="AE480" ca="1">SUM(OFFSET(AE131,0,IF(AE$7-2004-'Tech Parameters'!$I16&lt;1,-AE$7+2004+1,-'Tech Parameters'!$I16+1)):AE131*OFFSET(AE457,0,IF(AE$7-2004-'Tech Parameters'!$I16&lt;1,-AE$7+2004+1,-'Tech Parameters'!$I16+1)):AE457)</f>
        <v>0</v>
      </c>
      <c r="AF480" s="76">
        <f t="array" aca="1" ref="AF480" ca="1">SUM(OFFSET(AF131,0,IF(AF$7-2004-'Tech Parameters'!$I16&lt;1,-AF$7+2004+1,-'Tech Parameters'!$I16+1)):AF131*OFFSET(AF457,0,IF(AF$7-2004-'Tech Parameters'!$I16&lt;1,-AF$7+2004+1,-'Tech Parameters'!$I16+1)):AF457)</f>
        <v>0</v>
      </c>
      <c r="AG480" s="76">
        <f t="array" aca="1" ref="AG480" ca="1">SUM(OFFSET(AG131,0,IF(AG$7-2004-'Tech Parameters'!$I16&lt;1,-AG$7+2004+1,-'Tech Parameters'!$I16+1)):AG131*OFFSET(AG457,0,IF(AG$7-2004-'Tech Parameters'!$I16&lt;1,-AG$7+2004+1,-'Tech Parameters'!$I16+1)):AG457)</f>
        <v>0</v>
      </c>
      <c r="AH480" s="76">
        <f t="array" aca="1" ref="AH480" ca="1">SUM(OFFSET(AH131,0,IF(AH$7-2004-'Tech Parameters'!$I16&lt;1,-AH$7+2004+1,-'Tech Parameters'!$I16+1)):AH131*OFFSET(AH457,0,IF(AH$7-2004-'Tech Parameters'!$I16&lt;1,-AH$7+2004+1,-'Tech Parameters'!$I16+1)):AH457)</f>
        <v>0</v>
      </c>
      <c r="AI480" s="76">
        <f t="array" aca="1" ref="AI480" ca="1">SUM(OFFSET(AI131,0,IF(AI$7-2004-'Tech Parameters'!$I16&lt;1,-AI$7+2004+1,-'Tech Parameters'!$I16+1)):AI131*OFFSET(AI457,0,IF(AI$7-2004-'Tech Parameters'!$I16&lt;1,-AI$7+2004+1,-'Tech Parameters'!$I16+1)):AI457)</f>
        <v>0</v>
      </c>
      <c r="AJ480" s="76">
        <f t="array" aca="1" ref="AJ480" ca="1">SUM(OFFSET(AJ131,0,IF(AJ$7-2004-'Tech Parameters'!$I16&lt;1,-AJ$7+2004+1,-'Tech Parameters'!$I16+1)):AJ131*OFFSET(AJ457,0,IF(AJ$7-2004-'Tech Parameters'!$I16&lt;1,-AJ$7+2004+1,-'Tech Parameters'!$I16+1)):AJ457)</f>
        <v>0</v>
      </c>
      <c r="AK480" s="76">
        <f t="array" aca="1" ref="AK480" ca="1">SUM(OFFSET(AK131,0,IF(AK$7-2004-'Tech Parameters'!$I16&lt;1,-AK$7+2004+1,-'Tech Parameters'!$I16+1)):AK131*OFFSET(AK457,0,IF(AK$7-2004-'Tech Parameters'!$I16&lt;1,-AK$7+2004+1,-'Tech Parameters'!$I16+1)):AK457)</f>
        <v>0</v>
      </c>
      <c r="AL480" s="76">
        <f t="array" aca="1" ref="AL480" ca="1">SUM(OFFSET(AL131,0,IF(AL$7-2004-'Tech Parameters'!$I16&lt;1,-AL$7+2004+1,-'Tech Parameters'!$I16+1)):AL131*OFFSET(AL457,0,IF(AL$7-2004-'Tech Parameters'!$I16&lt;1,-AL$7+2004+1,-'Tech Parameters'!$I16+1)):AL457)</f>
        <v>0</v>
      </c>
      <c r="AM480" s="76">
        <f t="array" aca="1" ref="AM480" ca="1">SUM(OFFSET(AM131,0,IF(AM$7-2004-'Tech Parameters'!$I16&lt;1,-AM$7+2004+1,-'Tech Parameters'!$I16+1)):AM131*OFFSET(AM457,0,IF(AM$7-2004-'Tech Parameters'!$I16&lt;1,-AM$7+2004+1,-'Tech Parameters'!$I16+1)):AM457)</f>
        <v>0</v>
      </c>
      <c r="AN480" s="76">
        <f t="array" aca="1" ref="AN480" ca="1">SUM(OFFSET(AN131,0,IF(AN$7-2004-'Tech Parameters'!$I16&lt;1,-AN$7+2004+1,-'Tech Parameters'!$I16+1)):AN131*OFFSET(AN457,0,IF(AN$7-2004-'Tech Parameters'!$I16&lt;1,-AN$7+2004+1,-'Tech Parameters'!$I16+1)):AN457)</f>
        <v>0</v>
      </c>
      <c r="AO480" s="76">
        <f t="array" aca="1" ref="AO480" ca="1">SUM(OFFSET(AO131,0,IF(AO$7-2004-'Tech Parameters'!$I16&lt;1,-AO$7+2004+1,-'Tech Parameters'!$I16+1)):AO131*OFFSET(AO457,0,IF(AO$7-2004-'Tech Parameters'!$I16&lt;1,-AO$7+2004+1,-'Tech Parameters'!$I16+1)):AO457)</f>
        <v>0</v>
      </c>
      <c r="AP480" s="76">
        <f t="array" aca="1" ref="AP480" ca="1">SUM(OFFSET(AP131,0,IF(AP$7-2004-'Tech Parameters'!$I16&lt;1,-AP$7+2004+1,-'Tech Parameters'!$I16+1)):AP131*OFFSET(AP457,0,IF(AP$7-2004-'Tech Parameters'!$I16&lt;1,-AP$7+2004+1,-'Tech Parameters'!$I16+1)):AP457)</f>
        <v>0</v>
      </c>
      <c r="AQ480" s="76">
        <f t="array" aca="1" ref="AQ480" ca="1">SUM(OFFSET(AQ131,0,IF(AQ$7-2004-'Tech Parameters'!$I16&lt;1,-AQ$7+2004+1,-'Tech Parameters'!$I16+1)):AQ131*OFFSET(AQ457,0,IF(AQ$7-2004-'Tech Parameters'!$I16&lt;1,-AQ$7+2004+1,-'Tech Parameters'!$I16+1)):AQ457)</f>
        <v>0</v>
      </c>
      <c r="AR480" s="76">
        <f t="array" aca="1" ref="AR480" ca="1">SUM(OFFSET(AR131,0,IF(AR$7-2004-'Tech Parameters'!$I16&lt;1,-AR$7+2004+1,-'Tech Parameters'!$I16+1)):AR131*OFFSET(AR457,0,IF(AR$7-2004-'Tech Parameters'!$I16&lt;1,-AR$7+2004+1,-'Tech Parameters'!$I16+1)):AR457)</f>
        <v>0</v>
      </c>
      <c r="AS480" s="76">
        <f t="array" aca="1" ref="AS480" ca="1">SUM(OFFSET(AS131,0,IF(AS$7-2004-'Tech Parameters'!$I16&lt;1,-AS$7+2004+1,-'Tech Parameters'!$I16+1)):AS131*OFFSET(AS457,0,IF(AS$7-2004-'Tech Parameters'!$I16&lt;1,-AS$7+2004+1,-'Tech Parameters'!$I16+1)):AS457)</f>
        <v>0</v>
      </c>
      <c r="AT480" s="76">
        <f t="array" aca="1" ref="AT480" ca="1">SUM(OFFSET(AT131,0,IF(AT$7-2004-'Tech Parameters'!$I16&lt;1,-AT$7+2004+1,-'Tech Parameters'!$I16+1)):AT131*OFFSET(AT457,0,IF(AT$7-2004-'Tech Parameters'!$I16&lt;1,-AT$7+2004+1,-'Tech Parameters'!$I16+1)):AT457)</f>
        <v>0</v>
      </c>
      <c r="AU480" s="76">
        <f t="array" aca="1" ref="AU480" ca="1">SUM(OFFSET(AU131,0,IF(AU$7-2004-'Tech Parameters'!$I16&lt;1,-AU$7+2004+1,-'Tech Parameters'!$I16+1)):AU131*OFFSET(AU457,0,IF(AU$7-2004-'Tech Parameters'!$I16&lt;1,-AU$7+2004+1,-'Tech Parameters'!$I16+1)):AU457)</f>
        <v>0</v>
      </c>
      <c r="AV480" s="76">
        <f t="array" aca="1" ref="AV480" ca="1">SUM(OFFSET(AV131,0,IF(AV$7-2004-'Tech Parameters'!$I16&lt;1,-AV$7+2004+1,-'Tech Parameters'!$I16+1)):AV131*OFFSET(AV457,0,IF(AV$7-2004-'Tech Parameters'!$I16&lt;1,-AV$7+2004+1,-'Tech Parameters'!$I16+1)):AV457)</f>
        <v>0</v>
      </c>
      <c r="AW480" s="76">
        <f t="array" aca="1" ref="AW480" ca="1">SUM(OFFSET(AW131,0,IF(AW$7-2004-'Tech Parameters'!$I16&lt;1,-AW$7+2004+1,-'Tech Parameters'!$I16+1)):AW131*OFFSET(AW457,0,IF(AW$7-2004-'Tech Parameters'!$I16&lt;1,-AW$7+2004+1,-'Tech Parameters'!$I16+1)):AW457)</f>
        <v>0</v>
      </c>
    </row>
    <row r="481" spans="3:49">
      <c r="C481" t="str">
        <f t="shared" si="218"/>
        <v>solar thermal trough</v>
      </c>
      <c r="D481">
        <f t="array" aca="1" ref="D481" ca="1">SUM(OFFSET(D132,0,IF(D$7-2004-'Tech Parameters'!$I17&lt;1,-D$7+2004+1,-'Tech Parameters'!$I17+1)):D132*OFFSET(D458,0,IF(D$7-2004-'Tech Parameters'!$I17&lt;1,-D$7+2004+1,-'Tech Parameters'!$I17+1)):D458)</f>
        <v>0</v>
      </c>
      <c r="E481">
        <f t="array" aca="1" ref="E481" ca="1">SUM(OFFSET(E132,0,IF(E$7-2004-'Tech Parameters'!$I17&lt;1,-E$7+2004+1,-'Tech Parameters'!$I17+1)):E132*OFFSET(E458,0,IF(E$7-2004-'Tech Parameters'!$I17&lt;1,-E$7+2004+1,-'Tech Parameters'!$I17+1)):E458)</f>
        <v>0</v>
      </c>
      <c r="F481">
        <f t="array" aca="1" ref="F481" ca="1">SUM(OFFSET(F132,0,IF(F$7-2004-'Tech Parameters'!$I17&lt;1,-F$7+2004+1,-'Tech Parameters'!$I17+1)):F132*OFFSET(F458,0,IF(F$7-2004-'Tech Parameters'!$I17&lt;1,-F$7+2004+1,-'Tech Parameters'!$I17+1)):F458)</f>
        <v>0</v>
      </c>
      <c r="G481">
        <f t="array" aca="1" ref="G481" ca="1">SUM(OFFSET(G132,0,IF(G$7-2004-'Tech Parameters'!$I17&lt;1,-G$7+2004+1,-'Tech Parameters'!$I17+1)):G132*OFFSET(G458,0,IF(G$7-2004-'Tech Parameters'!$I17&lt;1,-G$7+2004+1,-'Tech Parameters'!$I17+1)):G458)</f>
        <v>0</v>
      </c>
      <c r="H481">
        <f t="array" aca="1" ref="H481" ca="1">SUM(OFFSET(H132,0,IF(H$7-2004-'Tech Parameters'!$I17&lt;1,-H$7+2004+1,-'Tech Parameters'!$I17+1)):H132*OFFSET(H458,0,IF(H$7-2004-'Tech Parameters'!$I17&lt;1,-H$7+2004+1,-'Tech Parameters'!$I17+1)):H458)</f>
        <v>0</v>
      </c>
      <c r="I481">
        <f t="array" aca="1" ref="I481" ca="1">SUM(OFFSET(I132,0,IF(I$7-2004-'Tech Parameters'!$I17&lt;1,-I$7+2004+1,-'Tech Parameters'!$I17+1)):I132*OFFSET(I458,0,IF(I$7-2004-'Tech Parameters'!$I17&lt;1,-I$7+2004+1,-'Tech Parameters'!$I17+1)):I458)</f>
        <v>0</v>
      </c>
      <c r="J481">
        <f t="array" aca="1" ref="J481" ca="1">SUM(OFFSET(J132,0,IF(J$7-2004-'Tech Parameters'!$I17&lt;1,-J$7+2004+1,-'Tech Parameters'!$I17+1)):J132*OFFSET(J458,0,IF(J$7-2004-'Tech Parameters'!$I17&lt;1,-J$7+2004+1,-'Tech Parameters'!$I17+1)):J458)</f>
        <v>0</v>
      </c>
      <c r="K481">
        <f t="array" aca="1" ref="K481" ca="1">SUM(OFFSET(K132,0,IF(K$7-2004-'Tech Parameters'!$I17&lt;1,-K$7+2004+1,-'Tech Parameters'!$I17+1)):K132*OFFSET(K458,0,IF(K$7-2004-'Tech Parameters'!$I17&lt;1,-K$7+2004+1,-'Tech Parameters'!$I17+1)):K458)</f>
        <v>0</v>
      </c>
      <c r="L481">
        <f t="array" aca="1" ref="L481" ca="1">SUM(OFFSET(L132,0,IF(L$7-2004-'Tech Parameters'!$I17&lt;1,-L$7+2004+1,-'Tech Parameters'!$I17+1)):L132*OFFSET(L458,0,IF(L$7-2004-'Tech Parameters'!$I17&lt;1,-L$7+2004+1,-'Tech Parameters'!$I17+1)):L458)</f>
        <v>0</v>
      </c>
      <c r="M481">
        <f t="array" aca="1" ref="M481" ca="1">SUM(OFFSET(M132,0,IF(M$7-2004-'Tech Parameters'!$I17&lt;1,-M$7+2004+1,-'Tech Parameters'!$I17+1)):M132*OFFSET(M458,0,IF(M$7-2004-'Tech Parameters'!$I17&lt;1,-M$7+2004+1,-'Tech Parameters'!$I17+1)):M458)</f>
        <v>0</v>
      </c>
      <c r="N481">
        <f t="array" aca="1" ref="N481" ca="1">SUM(OFFSET(N132,0,IF(N$7-2004-'Tech Parameters'!$I17&lt;1,-N$7+2004+1,-'Tech Parameters'!$I17+1)):N132*OFFSET(N458,0,IF(N$7-2004-'Tech Parameters'!$I17&lt;1,-N$7+2004+1,-'Tech Parameters'!$I17+1)):N458)</f>
        <v>0</v>
      </c>
      <c r="O481">
        <f t="array" aca="1" ref="O481" ca="1">SUM(OFFSET(O132,0,IF(O$7-2004-'Tech Parameters'!$I17&lt;1,-O$7+2004+1,-'Tech Parameters'!$I17+1)):O132*OFFSET(O458,0,IF(O$7-2004-'Tech Parameters'!$I17&lt;1,-O$7+2004+1,-'Tech Parameters'!$I17+1)):O458)</f>
        <v>0</v>
      </c>
      <c r="P481">
        <f t="array" aca="1" ref="P481" ca="1">SUM(OFFSET(P132,0,IF(P$7-2004-'Tech Parameters'!$I17&lt;1,-P$7+2004+1,-'Tech Parameters'!$I17+1)):P132*OFFSET(P458,0,IF(P$7-2004-'Tech Parameters'!$I17&lt;1,-P$7+2004+1,-'Tech Parameters'!$I17+1)):P458)</f>
        <v>0</v>
      </c>
      <c r="Q481">
        <f t="array" aca="1" ref="Q481" ca="1">SUM(OFFSET(Q132,0,IF(Q$7-2004-'Tech Parameters'!$I17&lt;1,-Q$7+2004+1,-'Tech Parameters'!$I17+1)):Q132*OFFSET(Q458,0,IF(Q$7-2004-'Tech Parameters'!$I17&lt;1,-Q$7+2004+1,-'Tech Parameters'!$I17+1)):Q458)</f>
        <v>0</v>
      </c>
      <c r="R481">
        <f t="array" aca="1" ref="R481" ca="1">SUM(OFFSET(R132,0,IF(R$7-2004-'Tech Parameters'!$I17&lt;1,-R$7+2004+1,-'Tech Parameters'!$I17+1)):R132*OFFSET(R458,0,IF(R$7-2004-'Tech Parameters'!$I17&lt;1,-R$7+2004+1,-'Tech Parameters'!$I17+1)):R458)</f>
        <v>0</v>
      </c>
      <c r="S481">
        <f t="array" aca="1" ref="S481" ca="1">SUM(OFFSET(S132,0,IF(S$7-2004-'Tech Parameters'!$I17&lt;1,-S$7+2004+1,-'Tech Parameters'!$I17+1)):S132*OFFSET(S458,0,IF(S$7-2004-'Tech Parameters'!$I17&lt;1,-S$7+2004+1,-'Tech Parameters'!$I17+1)):S458)</f>
        <v>0</v>
      </c>
      <c r="T481">
        <f t="array" aca="1" ref="T481" ca="1">SUM(OFFSET(T132,0,IF(T$7-2004-'Tech Parameters'!$I17&lt;1,-T$7+2004+1,-'Tech Parameters'!$I17+1)):T132*OFFSET(T458,0,IF(T$7-2004-'Tech Parameters'!$I17&lt;1,-T$7+2004+1,-'Tech Parameters'!$I17+1)):T458)</f>
        <v>0</v>
      </c>
      <c r="U481">
        <f t="array" aca="1" ref="U481" ca="1">SUM(OFFSET(U132,0,IF(U$7-2004-'Tech Parameters'!$I17&lt;1,-U$7+2004+1,-'Tech Parameters'!$I17+1)):U132*OFFSET(U458,0,IF(U$7-2004-'Tech Parameters'!$I17&lt;1,-U$7+2004+1,-'Tech Parameters'!$I17+1)):U458)</f>
        <v>0</v>
      </c>
      <c r="V481">
        <f t="array" aca="1" ref="V481" ca="1">SUM(OFFSET(V132,0,IF(V$7-2004-'Tech Parameters'!$I17&lt;1,-V$7+2004+1,-'Tech Parameters'!$I17+1)):V132*OFFSET(V458,0,IF(V$7-2004-'Tech Parameters'!$I17&lt;1,-V$7+2004+1,-'Tech Parameters'!$I17+1)):V458)</f>
        <v>0</v>
      </c>
      <c r="W481">
        <f t="array" aca="1" ref="W481" ca="1">SUM(OFFSET(W132,0,IF(W$7-2004-'Tech Parameters'!$I17&lt;1,-W$7+2004+1,-'Tech Parameters'!$I17+1)):W132*OFFSET(W458,0,IF(W$7-2004-'Tech Parameters'!$I17&lt;1,-W$7+2004+1,-'Tech Parameters'!$I17+1)):W458)</f>
        <v>0</v>
      </c>
      <c r="X481">
        <f t="array" aca="1" ref="X481" ca="1">SUM(OFFSET(X132,0,IF(X$7-2004-'Tech Parameters'!$I17&lt;1,-X$7+2004+1,-'Tech Parameters'!$I17+1)):X132*OFFSET(X458,0,IF(X$7-2004-'Tech Parameters'!$I17&lt;1,-X$7+2004+1,-'Tech Parameters'!$I17+1)):X458)</f>
        <v>0</v>
      </c>
      <c r="Y481">
        <f t="array" aca="1" ref="Y481" ca="1">SUM(OFFSET(Y132,0,IF(Y$7-2004-'Tech Parameters'!$I17&lt;1,-Y$7+2004+1,-'Tech Parameters'!$I17+1)):Y132*OFFSET(Y458,0,IF(Y$7-2004-'Tech Parameters'!$I17&lt;1,-Y$7+2004+1,-'Tech Parameters'!$I17+1)):Y458)</f>
        <v>0</v>
      </c>
      <c r="Z481">
        <f t="array" aca="1" ref="Z481" ca="1">SUM(OFFSET(Z132,0,IF(Z$7-2004-'Tech Parameters'!$I17&lt;1,-Z$7+2004+1,-'Tech Parameters'!$I17+1)):Z132*OFFSET(Z458,0,IF(Z$7-2004-'Tech Parameters'!$I17&lt;1,-Z$7+2004+1,-'Tech Parameters'!$I17+1)):Z458)</f>
        <v>0</v>
      </c>
      <c r="AA481">
        <f t="array" aca="1" ref="AA481" ca="1">SUM(OFFSET(AA132,0,IF(AA$7-2004-'Tech Parameters'!$I17&lt;1,-AA$7+2004+1,-'Tech Parameters'!$I17+1)):AA132*OFFSET(AA458,0,IF(AA$7-2004-'Tech Parameters'!$I17&lt;1,-AA$7+2004+1,-'Tech Parameters'!$I17+1)):AA458)</f>
        <v>0</v>
      </c>
      <c r="AB481">
        <f t="array" aca="1" ref="AB481" ca="1">SUM(OFFSET(AB132,0,IF(AB$7-2004-'Tech Parameters'!$I17&lt;1,-AB$7+2004+1,-'Tech Parameters'!$I17+1)):AB132*OFFSET(AB458,0,IF(AB$7-2004-'Tech Parameters'!$I17&lt;1,-AB$7+2004+1,-'Tech Parameters'!$I17+1)):AB458)</f>
        <v>0</v>
      </c>
      <c r="AC481">
        <f t="array" aca="1" ref="AC481" ca="1">SUM(OFFSET(AC132,0,IF(AC$7-2004-'Tech Parameters'!$I17&lt;1,-AC$7+2004+1,-'Tech Parameters'!$I17+1)):AC132*OFFSET(AC458,0,IF(AC$7-2004-'Tech Parameters'!$I17&lt;1,-AC$7+2004+1,-'Tech Parameters'!$I17+1)):AC458)</f>
        <v>0</v>
      </c>
      <c r="AD481" s="76">
        <f t="array" aca="1" ref="AD481" ca="1">SUM(OFFSET(AD132,0,IF(AD$7-2004-'Tech Parameters'!$I17&lt;1,-AD$7+2004+1,-'Tech Parameters'!$I17+1)):AD132*OFFSET(AD458,0,IF(AD$7-2004-'Tech Parameters'!$I17&lt;1,-AD$7+2004+1,-'Tech Parameters'!$I17+1)):AD458)</f>
        <v>0</v>
      </c>
      <c r="AE481" s="76">
        <f t="array" aca="1" ref="AE481" ca="1">SUM(OFFSET(AE132,0,IF(AE$7-2004-'Tech Parameters'!$I17&lt;1,-AE$7+2004+1,-'Tech Parameters'!$I17+1)):AE132*OFFSET(AE458,0,IF(AE$7-2004-'Tech Parameters'!$I17&lt;1,-AE$7+2004+1,-'Tech Parameters'!$I17+1)):AE458)</f>
        <v>0</v>
      </c>
      <c r="AF481" s="76">
        <f t="array" aca="1" ref="AF481" ca="1">SUM(OFFSET(AF132,0,IF(AF$7-2004-'Tech Parameters'!$I17&lt;1,-AF$7+2004+1,-'Tech Parameters'!$I17+1)):AF132*OFFSET(AF458,0,IF(AF$7-2004-'Tech Parameters'!$I17&lt;1,-AF$7+2004+1,-'Tech Parameters'!$I17+1)):AF458)</f>
        <v>0</v>
      </c>
      <c r="AG481" s="76">
        <f t="array" aca="1" ref="AG481" ca="1">SUM(OFFSET(AG132,0,IF(AG$7-2004-'Tech Parameters'!$I17&lt;1,-AG$7+2004+1,-'Tech Parameters'!$I17+1)):AG132*OFFSET(AG458,0,IF(AG$7-2004-'Tech Parameters'!$I17&lt;1,-AG$7+2004+1,-'Tech Parameters'!$I17+1)):AG458)</f>
        <v>0</v>
      </c>
      <c r="AH481" s="76">
        <f t="array" aca="1" ref="AH481" ca="1">SUM(OFFSET(AH132,0,IF(AH$7-2004-'Tech Parameters'!$I17&lt;1,-AH$7+2004+1,-'Tech Parameters'!$I17+1)):AH132*OFFSET(AH458,0,IF(AH$7-2004-'Tech Parameters'!$I17&lt;1,-AH$7+2004+1,-'Tech Parameters'!$I17+1)):AH458)</f>
        <v>0</v>
      </c>
      <c r="AI481" s="76">
        <f t="array" aca="1" ref="AI481" ca="1">SUM(OFFSET(AI132,0,IF(AI$7-2004-'Tech Parameters'!$I17&lt;1,-AI$7+2004+1,-'Tech Parameters'!$I17+1)):AI132*OFFSET(AI458,0,IF(AI$7-2004-'Tech Parameters'!$I17&lt;1,-AI$7+2004+1,-'Tech Parameters'!$I17+1)):AI458)</f>
        <v>0</v>
      </c>
      <c r="AJ481" s="76">
        <f t="array" aca="1" ref="AJ481" ca="1">SUM(OFFSET(AJ132,0,IF(AJ$7-2004-'Tech Parameters'!$I17&lt;1,-AJ$7+2004+1,-'Tech Parameters'!$I17+1)):AJ132*OFFSET(AJ458,0,IF(AJ$7-2004-'Tech Parameters'!$I17&lt;1,-AJ$7+2004+1,-'Tech Parameters'!$I17+1)):AJ458)</f>
        <v>0</v>
      </c>
      <c r="AK481" s="76">
        <f t="array" aca="1" ref="AK481" ca="1">SUM(OFFSET(AK132,0,IF(AK$7-2004-'Tech Parameters'!$I17&lt;1,-AK$7+2004+1,-'Tech Parameters'!$I17+1)):AK132*OFFSET(AK458,0,IF(AK$7-2004-'Tech Parameters'!$I17&lt;1,-AK$7+2004+1,-'Tech Parameters'!$I17+1)):AK458)</f>
        <v>0</v>
      </c>
      <c r="AL481" s="76">
        <f t="array" aca="1" ref="AL481" ca="1">SUM(OFFSET(AL132,0,IF(AL$7-2004-'Tech Parameters'!$I17&lt;1,-AL$7+2004+1,-'Tech Parameters'!$I17+1)):AL132*OFFSET(AL458,0,IF(AL$7-2004-'Tech Parameters'!$I17&lt;1,-AL$7+2004+1,-'Tech Parameters'!$I17+1)):AL458)</f>
        <v>0</v>
      </c>
      <c r="AM481" s="76">
        <f t="array" aca="1" ref="AM481" ca="1">SUM(OFFSET(AM132,0,IF(AM$7-2004-'Tech Parameters'!$I17&lt;1,-AM$7+2004+1,-'Tech Parameters'!$I17+1)):AM132*OFFSET(AM458,0,IF(AM$7-2004-'Tech Parameters'!$I17&lt;1,-AM$7+2004+1,-'Tech Parameters'!$I17+1)):AM458)</f>
        <v>0</v>
      </c>
      <c r="AN481" s="76">
        <f t="array" aca="1" ref="AN481" ca="1">SUM(OFFSET(AN132,0,IF(AN$7-2004-'Tech Parameters'!$I17&lt;1,-AN$7+2004+1,-'Tech Parameters'!$I17+1)):AN132*OFFSET(AN458,0,IF(AN$7-2004-'Tech Parameters'!$I17&lt;1,-AN$7+2004+1,-'Tech Parameters'!$I17+1)):AN458)</f>
        <v>0</v>
      </c>
      <c r="AO481" s="76">
        <f t="array" aca="1" ref="AO481" ca="1">SUM(OFFSET(AO132,0,IF(AO$7-2004-'Tech Parameters'!$I17&lt;1,-AO$7+2004+1,-'Tech Parameters'!$I17+1)):AO132*OFFSET(AO458,0,IF(AO$7-2004-'Tech Parameters'!$I17&lt;1,-AO$7+2004+1,-'Tech Parameters'!$I17+1)):AO458)</f>
        <v>0</v>
      </c>
      <c r="AP481" s="76">
        <f t="array" aca="1" ref="AP481" ca="1">SUM(OFFSET(AP132,0,IF(AP$7-2004-'Tech Parameters'!$I17&lt;1,-AP$7+2004+1,-'Tech Parameters'!$I17+1)):AP132*OFFSET(AP458,0,IF(AP$7-2004-'Tech Parameters'!$I17&lt;1,-AP$7+2004+1,-'Tech Parameters'!$I17+1)):AP458)</f>
        <v>0</v>
      </c>
      <c r="AQ481" s="76">
        <f t="array" aca="1" ref="AQ481" ca="1">SUM(OFFSET(AQ132,0,IF(AQ$7-2004-'Tech Parameters'!$I17&lt;1,-AQ$7+2004+1,-'Tech Parameters'!$I17+1)):AQ132*OFFSET(AQ458,0,IF(AQ$7-2004-'Tech Parameters'!$I17&lt;1,-AQ$7+2004+1,-'Tech Parameters'!$I17+1)):AQ458)</f>
        <v>0</v>
      </c>
      <c r="AR481" s="76">
        <f t="array" aca="1" ref="AR481" ca="1">SUM(OFFSET(AR132,0,IF(AR$7-2004-'Tech Parameters'!$I17&lt;1,-AR$7+2004+1,-'Tech Parameters'!$I17+1)):AR132*OFFSET(AR458,0,IF(AR$7-2004-'Tech Parameters'!$I17&lt;1,-AR$7+2004+1,-'Tech Parameters'!$I17+1)):AR458)</f>
        <v>0</v>
      </c>
      <c r="AS481" s="76">
        <f t="array" aca="1" ref="AS481" ca="1">SUM(OFFSET(AS132,0,IF(AS$7-2004-'Tech Parameters'!$I17&lt;1,-AS$7+2004+1,-'Tech Parameters'!$I17+1)):AS132*OFFSET(AS458,0,IF(AS$7-2004-'Tech Parameters'!$I17&lt;1,-AS$7+2004+1,-'Tech Parameters'!$I17+1)):AS458)</f>
        <v>0</v>
      </c>
      <c r="AT481" s="76">
        <f t="array" aca="1" ref="AT481" ca="1">SUM(OFFSET(AT132,0,IF(AT$7-2004-'Tech Parameters'!$I17&lt;1,-AT$7+2004+1,-'Tech Parameters'!$I17+1)):AT132*OFFSET(AT458,0,IF(AT$7-2004-'Tech Parameters'!$I17&lt;1,-AT$7+2004+1,-'Tech Parameters'!$I17+1)):AT458)</f>
        <v>0</v>
      </c>
      <c r="AU481" s="76">
        <f t="array" aca="1" ref="AU481" ca="1">SUM(OFFSET(AU132,0,IF(AU$7-2004-'Tech Parameters'!$I17&lt;1,-AU$7+2004+1,-'Tech Parameters'!$I17+1)):AU132*OFFSET(AU458,0,IF(AU$7-2004-'Tech Parameters'!$I17&lt;1,-AU$7+2004+1,-'Tech Parameters'!$I17+1)):AU458)</f>
        <v>0</v>
      </c>
      <c r="AV481" s="76">
        <f t="array" aca="1" ref="AV481" ca="1">SUM(OFFSET(AV132,0,IF(AV$7-2004-'Tech Parameters'!$I17&lt;1,-AV$7+2004+1,-'Tech Parameters'!$I17+1)):AV132*OFFSET(AV458,0,IF(AV$7-2004-'Tech Parameters'!$I17&lt;1,-AV$7+2004+1,-'Tech Parameters'!$I17+1)):AV458)</f>
        <v>0</v>
      </c>
      <c r="AW481" s="76">
        <f t="array" aca="1" ref="AW481" ca="1">SUM(OFFSET(AW132,0,IF(AW$7-2004-'Tech Parameters'!$I17&lt;1,-AW$7+2004+1,-'Tech Parameters'!$I17+1)):AW132*OFFSET(AW458,0,IF(AW$7-2004-'Tech Parameters'!$I17&lt;1,-AW$7+2004+1,-'Tech Parameters'!$I17+1)):AW458)</f>
        <v>0</v>
      </c>
    </row>
    <row r="482" spans="3:49">
      <c r="C482" t="str">
        <f t="shared" si="218"/>
        <v>solar PV</v>
      </c>
      <c r="D482">
        <f t="array" aca="1" ref="D482" ca="1">SUM(OFFSET(D133,0,IF(D$7-2004-'Tech Parameters'!$I18&lt;1,-D$7+2004+1,-'Tech Parameters'!$I18+1)):D133*OFFSET(D459,0,IF(D$7-2004-'Tech Parameters'!$I18&lt;1,-D$7+2004+1,-'Tech Parameters'!$I18+1)):D459)</f>
        <v>0</v>
      </c>
      <c r="E482">
        <f t="array" aca="1" ref="E482" ca="1">SUM(OFFSET(E133,0,IF(E$7-2004-'Tech Parameters'!$I18&lt;1,-E$7+2004+1,-'Tech Parameters'!$I18+1)):E133*OFFSET(E459,0,IF(E$7-2004-'Tech Parameters'!$I18&lt;1,-E$7+2004+1,-'Tech Parameters'!$I18+1)):E459)</f>
        <v>0</v>
      </c>
      <c r="F482">
        <f t="array" aca="1" ref="F482" ca="1">SUM(OFFSET(F133,0,IF(F$7-2004-'Tech Parameters'!$I18&lt;1,-F$7+2004+1,-'Tech Parameters'!$I18+1)):F133*OFFSET(F459,0,IF(F$7-2004-'Tech Parameters'!$I18&lt;1,-F$7+2004+1,-'Tech Parameters'!$I18+1)):F459)</f>
        <v>0</v>
      </c>
      <c r="G482">
        <f t="array" aca="1" ref="G482" ca="1">SUM(OFFSET(G133,0,IF(G$7-2004-'Tech Parameters'!$I18&lt;1,-G$7+2004+1,-'Tech Parameters'!$I18+1)):G133*OFFSET(G459,0,IF(G$7-2004-'Tech Parameters'!$I18&lt;1,-G$7+2004+1,-'Tech Parameters'!$I18+1)):G459)</f>
        <v>0</v>
      </c>
      <c r="H482">
        <f t="array" aca="1" ref="H482" ca="1">SUM(OFFSET(H133,0,IF(H$7-2004-'Tech Parameters'!$I18&lt;1,-H$7+2004+1,-'Tech Parameters'!$I18+1)):H133*OFFSET(H459,0,IF(H$7-2004-'Tech Parameters'!$I18&lt;1,-H$7+2004+1,-'Tech Parameters'!$I18+1)):H459)</f>
        <v>0</v>
      </c>
      <c r="I482">
        <f t="array" aca="1" ref="I482" ca="1">SUM(OFFSET(I133,0,IF(I$7-2004-'Tech Parameters'!$I18&lt;1,-I$7+2004+1,-'Tech Parameters'!$I18+1)):I133*OFFSET(I459,0,IF(I$7-2004-'Tech Parameters'!$I18&lt;1,-I$7+2004+1,-'Tech Parameters'!$I18+1)):I459)</f>
        <v>0</v>
      </c>
      <c r="J482">
        <f t="array" aca="1" ref="J482" ca="1">SUM(OFFSET(J133,0,IF(J$7-2004-'Tech Parameters'!$I18&lt;1,-J$7+2004+1,-'Tech Parameters'!$I18+1)):J133*OFFSET(J459,0,IF(J$7-2004-'Tech Parameters'!$I18&lt;1,-J$7+2004+1,-'Tech Parameters'!$I18+1)):J459)</f>
        <v>0</v>
      </c>
      <c r="K482">
        <f t="array" aca="1" ref="K482" ca="1">SUM(OFFSET(K133,0,IF(K$7-2004-'Tech Parameters'!$I18&lt;1,-K$7+2004+1,-'Tech Parameters'!$I18+1)):K133*OFFSET(K459,0,IF(K$7-2004-'Tech Parameters'!$I18&lt;1,-K$7+2004+1,-'Tech Parameters'!$I18+1)):K459)</f>
        <v>0</v>
      </c>
      <c r="L482">
        <f t="array" aca="1" ref="L482" ca="1">SUM(OFFSET(L133,0,IF(L$7-2004-'Tech Parameters'!$I18&lt;1,-L$7+2004+1,-'Tech Parameters'!$I18+1)):L133*OFFSET(L459,0,IF(L$7-2004-'Tech Parameters'!$I18&lt;1,-L$7+2004+1,-'Tech Parameters'!$I18+1)):L459)</f>
        <v>0</v>
      </c>
      <c r="M482">
        <f t="array" aca="1" ref="M482" ca="1">SUM(OFFSET(M133,0,IF(M$7-2004-'Tech Parameters'!$I18&lt;1,-M$7+2004+1,-'Tech Parameters'!$I18+1)):M133*OFFSET(M459,0,IF(M$7-2004-'Tech Parameters'!$I18&lt;1,-M$7+2004+1,-'Tech Parameters'!$I18+1)):M459)</f>
        <v>0</v>
      </c>
      <c r="N482">
        <f t="array" aca="1" ref="N482" ca="1">SUM(OFFSET(N133,0,IF(N$7-2004-'Tech Parameters'!$I18&lt;1,-N$7+2004+1,-'Tech Parameters'!$I18+1)):N133*OFFSET(N459,0,IF(N$7-2004-'Tech Parameters'!$I18&lt;1,-N$7+2004+1,-'Tech Parameters'!$I18+1)):N459)</f>
        <v>0</v>
      </c>
      <c r="O482">
        <f t="array" aca="1" ref="O482" ca="1">SUM(OFFSET(O133,0,IF(O$7-2004-'Tech Parameters'!$I18&lt;1,-O$7+2004+1,-'Tech Parameters'!$I18+1)):O133*OFFSET(O459,0,IF(O$7-2004-'Tech Parameters'!$I18&lt;1,-O$7+2004+1,-'Tech Parameters'!$I18+1)):O459)</f>
        <v>0</v>
      </c>
      <c r="P482">
        <f t="array" aca="1" ref="P482" ca="1">SUM(OFFSET(P133,0,IF(P$7-2004-'Tech Parameters'!$I18&lt;1,-P$7+2004+1,-'Tech Parameters'!$I18+1)):P133*OFFSET(P459,0,IF(P$7-2004-'Tech Parameters'!$I18&lt;1,-P$7+2004+1,-'Tech Parameters'!$I18+1)):P459)</f>
        <v>0</v>
      </c>
      <c r="Q482">
        <f t="array" aca="1" ref="Q482" ca="1">SUM(OFFSET(Q133,0,IF(Q$7-2004-'Tech Parameters'!$I18&lt;1,-Q$7+2004+1,-'Tech Parameters'!$I18+1)):Q133*OFFSET(Q459,0,IF(Q$7-2004-'Tech Parameters'!$I18&lt;1,-Q$7+2004+1,-'Tech Parameters'!$I18+1)):Q459)</f>
        <v>0</v>
      </c>
      <c r="R482">
        <f t="array" aca="1" ref="R482" ca="1">SUM(OFFSET(R133,0,IF(R$7-2004-'Tech Parameters'!$I18&lt;1,-R$7+2004+1,-'Tech Parameters'!$I18+1)):R133*OFFSET(R459,0,IF(R$7-2004-'Tech Parameters'!$I18&lt;1,-R$7+2004+1,-'Tech Parameters'!$I18+1)):R459)</f>
        <v>0</v>
      </c>
      <c r="S482">
        <f t="array" aca="1" ref="S482" ca="1">SUM(OFFSET(S133,0,IF(S$7-2004-'Tech Parameters'!$I18&lt;1,-S$7+2004+1,-'Tech Parameters'!$I18+1)):S133*OFFSET(S459,0,IF(S$7-2004-'Tech Parameters'!$I18&lt;1,-S$7+2004+1,-'Tech Parameters'!$I18+1)):S459)</f>
        <v>0</v>
      </c>
      <c r="T482">
        <f t="array" aca="1" ref="T482" ca="1">SUM(OFFSET(T133,0,IF(T$7-2004-'Tech Parameters'!$I18&lt;1,-T$7+2004+1,-'Tech Parameters'!$I18+1)):T133*OFFSET(T459,0,IF(T$7-2004-'Tech Parameters'!$I18&lt;1,-T$7+2004+1,-'Tech Parameters'!$I18+1)):T459)</f>
        <v>0</v>
      </c>
      <c r="U482">
        <f t="array" aca="1" ref="U482" ca="1">SUM(OFFSET(U133,0,IF(U$7-2004-'Tech Parameters'!$I18&lt;1,-U$7+2004+1,-'Tech Parameters'!$I18+1)):U133*OFFSET(U459,0,IF(U$7-2004-'Tech Parameters'!$I18&lt;1,-U$7+2004+1,-'Tech Parameters'!$I18+1)):U459)</f>
        <v>0</v>
      </c>
      <c r="V482">
        <f t="array" aca="1" ref="V482" ca="1">SUM(OFFSET(V133,0,IF(V$7-2004-'Tech Parameters'!$I18&lt;1,-V$7+2004+1,-'Tech Parameters'!$I18+1)):V133*OFFSET(V459,0,IF(V$7-2004-'Tech Parameters'!$I18&lt;1,-V$7+2004+1,-'Tech Parameters'!$I18+1)):V459)</f>
        <v>0</v>
      </c>
      <c r="W482">
        <f t="array" aca="1" ref="W482" ca="1">SUM(OFFSET(W133,0,IF(W$7-2004-'Tech Parameters'!$I18&lt;1,-W$7+2004+1,-'Tech Parameters'!$I18+1)):W133*OFFSET(W459,0,IF(W$7-2004-'Tech Parameters'!$I18&lt;1,-W$7+2004+1,-'Tech Parameters'!$I18+1)):W459)</f>
        <v>0</v>
      </c>
      <c r="X482">
        <f t="array" aca="1" ref="X482" ca="1">SUM(OFFSET(X133,0,IF(X$7-2004-'Tech Parameters'!$I18&lt;1,-X$7+2004+1,-'Tech Parameters'!$I18+1)):X133*OFFSET(X459,0,IF(X$7-2004-'Tech Parameters'!$I18&lt;1,-X$7+2004+1,-'Tech Parameters'!$I18+1)):X459)</f>
        <v>0</v>
      </c>
      <c r="Y482">
        <f t="array" aca="1" ref="Y482" ca="1">SUM(OFFSET(Y133,0,IF(Y$7-2004-'Tech Parameters'!$I18&lt;1,-Y$7+2004+1,-'Tech Parameters'!$I18+1)):Y133*OFFSET(Y459,0,IF(Y$7-2004-'Tech Parameters'!$I18&lt;1,-Y$7+2004+1,-'Tech Parameters'!$I18+1)):Y459)</f>
        <v>0</v>
      </c>
      <c r="Z482">
        <f t="array" aca="1" ref="Z482" ca="1">SUM(OFFSET(Z133,0,IF(Z$7-2004-'Tech Parameters'!$I18&lt;1,-Z$7+2004+1,-'Tech Parameters'!$I18+1)):Z133*OFFSET(Z459,0,IF(Z$7-2004-'Tech Parameters'!$I18&lt;1,-Z$7+2004+1,-'Tech Parameters'!$I18+1)):Z459)</f>
        <v>0</v>
      </c>
      <c r="AA482">
        <f t="array" aca="1" ref="AA482" ca="1">SUM(OFFSET(AA133,0,IF(AA$7-2004-'Tech Parameters'!$I18&lt;1,-AA$7+2004+1,-'Tech Parameters'!$I18+1)):AA133*OFFSET(AA459,0,IF(AA$7-2004-'Tech Parameters'!$I18&lt;1,-AA$7+2004+1,-'Tech Parameters'!$I18+1)):AA459)</f>
        <v>0</v>
      </c>
      <c r="AB482">
        <f t="array" aca="1" ref="AB482" ca="1">SUM(OFFSET(AB133,0,IF(AB$7-2004-'Tech Parameters'!$I18&lt;1,-AB$7+2004+1,-'Tech Parameters'!$I18+1)):AB133*OFFSET(AB459,0,IF(AB$7-2004-'Tech Parameters'!$I18&lt;1,-AB$7+2004+1,-'Tech Parameters'!$I18+1)):AB459)</f>
        <v>0</v>
      </c>
      <c r="AC482">
        <f t="array" aca="1" ref="AC482" ca="1">SUM(OFFSET(AC133,0,IF(AC$7-2004-'Tech Parameters'!$I18&lt;1,-AC$7+2004+1,-'Tech Parameters'!$I18+1)):AC133*OFFSET(AC459,0,IF(AC$7-2004-'Tech Parameters'!$I18&lt;1,-AC$7+2004+1,-'Tech Parameters'!$I18+1)):AC459)</f>
        <v>0</v>
      </c>
      <c r="AD482" s="76">
        <f t="array" aca="1" ref="AD482" ca="1">SUM(OFFSET(AD133,0,IF(AD$7-2004-'Tech Parameters'!$I18&lt;1,-AD$7+2004+1,-'Tech Parameters'!$I18+1)):AD133*OFFSET(AD459,0,IF(AD$7-2004-'Tech Parameters'!$I18&lt;1,-AD$7+2004+1,-'Tech Parameters'!$I18+1)):AD459)</f>
        <v>0</v>
      </c>
      <c r="AE482" s="76">
        <f t="array" aca="1" ref="AE482" ca="1">SUM(OFFSET(AE133,0,IF(AE$7-2004-'Tech Parameters'!$I18&lt;1,-AE$7+2004+1,-'Tech Parameters'!$I18+1)):AE133*OFFSET(AE459,0,IF(AE$7-2004-'Tech Parameters'!$I18&lt;1,-AE$7+2004+1,-'Tech Parameters'!$I18+1)):AE459)</f>
        <v>0</v>
      </c>
      <c r="AF482" s="76">
        <f t="array" aca="1" ref="AF482" ca="1">SUM(OFFSET(AF133,0,IF(AF$7-2004-'Tech Parameters'!$I18&lt;1,-AF$7+2004+1,-'Tech Parameters'!$I18+1)):AF133*OFFSET(AF459,0,IF(AF$7-2004-'Tech Parameters'!$I18&lt;1,-AF$7+2004+1,-'Tech Parameters'!$I18+1)):AF459)</f>
        <v>0</v>
      </c>
      <c r="AG482" s="76">
        <f t="array" aca="1" ref="AG482" ca="1">SUM(OFFSET(AG133,0,IF(AG$7-2004-'Tech Parameters'!$I18&lt;1,-AG$7+2004+1,-'Tech Parameters'!$I18+1)):AG133*OFFSET(AG459,0,IF(AG$7-2004-'Tech Parameters'!$I18&lt;1,-AG$7+2004+1,-'Tech Parameters'!$I18+1)):AG459)</f>
        <v>0</v>
      </c>
      <c r="AH482" s="76">
        <f t="array" aca="1" ref="AH482" ca="1">SUM(OFFSET(AH133,0,IF(AH$7-2004-'Tech Parameters'!$I18&lt;1,-AH$7+2004+1,-'Tech Parameters'!$I18+1)):AH133*OFFSET(AH459,0,IF(AH$7-2004-'Tech Parameters'!$I18&lt;1,-AH$7+2004+1,-'Tech Parameters'!$I18+1)):AH459)</f>
        <v>0</v>
      </c>
      <c r="AI482" s="76">
        <f t="array" aca="1" ref="AI482" ca="1">SUM(OFFSET(AI133,0,IF(AI$7-2004-'Tech Parameters'!$I18&lt;1,-AI$7+2004+1,-'Tech Parameters'!$I18+1)):AI133*OFFSET(AI459,0,IF(AI$7-2004-'Tech Parameters'!$I18&lt;1,-AI$7+2004+1,-'Tech Parameters'!$I18+1)):AI459)</f>
        <v>0</v>
      </c>
      <c r="AJ482" s="76">
        <f t="array" aca="1" ref="AJ482" ca="1">SUM(OFFSET(AJ133,0,IF(AJ$7-2004-'Tech Parameters'!$I18&lt;1,-AJ$7+2004+1,-'Tech Parameters'!$I18+1)):AJ133*OFFSET(AJ459,0,IF(AJ$7-2004-'Tech Parameters'!$I18&lt;1,-AJ$7+2004+1,-'Tech Parameters'!$I18+1)):AJ459)</f>
        <v>0</v>
      </c>
      <c r="AK482" s="76">
        <f t="array" aca="1" ref="AK482" ca="1">SUM(OFFSET(AK133,0,IF(AK$7-2004-'Tech Parameters'!$I18&lt;1,-AK$7+2004+1,-'Tech Parameters'!$I18+1)):AK133*OFFSET(AK459,0,IF(AK$7-2004-'Tech Parameters'!$I18&lt;1,-AK$7+2004+1,-'Tech Parameters'!$I18+1)):AK459)</f>
        <v>0</v>
      </c>
      <c r="AL482" s="76">
        <f t="array" aca="1" ref="AL482" ca="1">SUM(OFFSET(AL133,0,IF(AL$7-2004-'Tech Parameters'!$I18&lt;1,-AL$7+2004+1,-'Tech Parameters'!$I18+1)):AL133*OFFSET(AL459,0,IF(AL$7-2004-'Tech Parameters'!$I18&lt;1,-AL$7+2004+1,-'Tech Parameters'!$I18+1)):AL459)</f>
        <v>0</v>
      </c>
      <c r="AM482" s="76">
        <f t="array" aca="1" ref="AM482" ca="1">SUM(OFFSET(AM133,0,IF(AM$7-2004-'Tech Parameters'!$I18&lt;1,-AM$7+2004+1,-'Tech Parameters'!$I18+1)):AM133*OFFSET(AM459,0,IF(AM$7-2004-'Tech Parameters'!$I18&lt;1,-AM$7+2004+1,-'Tech Parameters'!$I18+1)):AM459)</f>
        <v>0</v>
      </c>
      <c r="AN482" s="76">
        <f t="array" aca="1" ref="AN482" ca="1">SUM(OFFSET(AN133,0,IF(AN$7-2004-'Tech Parameters'!$I18&lt;1,-AN$7+2004+1,-'Tech Parameters'!$I18+1)):AN133*OFFSET(AN459,0,IF(AN$7-2004-'Tech Parameters'!$I18&lt;1,-AN$7+2004+1,-'Tech Parameters'!$I18+1)):AN459)</f>
        <v>0</v>
      </c>
      <c r="AO482" s="76">
        <f t="array" aca="1" ref="AO482" ca="1">SUM(OFFSET(AO133,0,IF(AO$7-2004-'Tech Parameters'!$I18&lt;1,-AO$7+2004+1,-'Tech Parameters'!$I18+1)):AO133*OFFSET(AO459,0,IF(AO$7-2004-'Tech Parameters'!$I18&lt;1,-AO$7+2004+1,-'Tech Parameters'!$I18+1)):AO459)</f>
        <v>0</v>
      </c>
      <c r="AP482" s="76">
        <f t="array" aca="1" ref="AP482" ca="1">SUM(OFFSET(AP133,0,IF(AP$7-2004-'Tech Parameters'!$I18&lt;1,-AP$7+2004+1,-'Tech Parameters'!$I18+1)):AP133*OFFSET(AP459,0,IF(AP$7-2004-'Tech Parameters'!$I18&lt;1,-AP$7+2004+1,-'Tech Parameters'!$I18+1)):AP459)</f>
        <v>0</v>
      </c>
      <c r="AQ482" s="76">
        <f t="array" aca="1" ref="AQ482" ca="1">SUM(OFFSET(AQ133,0,IF(AQ$7-2004-'Tech Parameters'!$I18&lt;1,-AQ$7+2004+1,-'Tech Parameters'!$I18+1)):AQ133*OFFSET(AQ459,0,IF(AQ$7-2004-'Tech Parameters'!$I18&lt;1,-AQ$7+2004+1,-'Tech Parameters'!$I18+1)):AQ459)</f>
        <v>0</v>
      </c>
      <c r="AR482" s="76">
        <f t="array" aca="1" ref="AR482" ca="1">SUM(OFFSET(AR133,0,IF(AR$7-2004-'Tech Parameters'!$I18&lt;1,-AR$7+2004+1,-'Tech Parameters'!$I18+1)):AR133*OFFSET(AR459,0,IF(AR$7-2004-'Tech Parameters'!$I18&lt;1,-AR$7+2004+1,-'Tech Parameters'!$I18+1)):AR459)</f>
        <v>0</v>
      </c>
      <c r="AS482" s="76">
        <f t="array" aca="1" ref="AS482" ca="1">SUM(OFFSET(AS133,0,IF(AS$7-2004-'Tech Parameters'!$I18&lt;1,-AS$7+2004+1,-'Tech Parameters'!$I18+1)):AS133*OFFSET(AS459,0,IF(AS$7-2004-'Tech Parameters'!$I18&lt;1,-AS$7+2004+1,-'Tech Parameters'!$I18+1)):AS459)</f>
        <v>0</v>
      </c>
      <c r="AT482" s="76">
        <f t="array" aca="1" ref="AT482" ca="1">SUM(OFFSET(AT133,0,IF(AT$7-2004-'Tech Parameters'!$I18&lt;1,-AT$7+2004+1,-'Tech Parameters'!$I18+1)):AT133*OFFSET(AT459,0,IF(AT$7-2004-'Tech Parameters'!$I18&lt;1,-AT$7+2004+1,-'Tech Parameters'!$I18+1)):AT459)</f>
        <v>0</v>
      </c>
      <c r="AU482" s="76">
        <f t="array" aca="1" ref="AU482" ca="1">SUM(OFFSET(AU133,0,IF(AU$7-2004-'Tech Parameters'!$I18&lt;1,-AU$7+2004+1,-'Tech Parameters'!$I18+1)):AU133*OFFSET(AU459,0,IF(AU$7-2004-'Tech Parameters'!$I18&lt;1,-AU$7+2004+1,-'Tech Parameters'!$I18+1)):AU459)</f>
        <v>0</v>
      </c>
      <c r="AV482" s="76">
        <f t="array" aca="1" ref="AV482" ca="1">SUM(OFFSET(AV133,0,IF(AV$7-2004-'Tech Parameters'!$I18&lt;1,-AV$7+2004+1,-'Tech Parameters'!$I18+1)):AV133*OFFSET(AV459,0,IF(AV$7-2004-'Tech Parameters'!$I18&lt;1,-AV$7+2004+1,-'Tech Parameters'!$I18+1)):AV459)</f>
        <v>0</v>
      </c>
      <c r="AW482" s="76">
        <f t="array" aca="1" ref="AW482" ca="1">SUM(OFFSET(AW133,0,IF(AW$7-2004-'Tech Parameters'!$I18&lt;1,-AW$7+2004+1,-'Tech Parameters'!$I18+1)):AW133*OFFSET(AW459,0,IF(AW$7-2004-'Tech Parameters'!$I18&lt;1,-AW$7+2004+1,-'Tech Parameters'!$I18+1)):AW459)</f>
        <v>0</v>
      </c>
    </row>
    <row r="483" spans="3:49">
      <c r="C483" t="str">
        <f t="shared" si="218"/>
        <v>combined cycle gas</v>
      </c>
      <c r="D483">
        <f t="array" aca="1" ref="D483" ca="1">SUM(OFFSET(D134,0,IF(D$7-2004-'Tech Parameters'!$I19&lt;1,-D$7+2004+1,-'Tech Parameters'!$I19+1)):D134*OFFSET(D460,0,IF(D$7-2004-'Tech Parameters'!$I19&lt;1,-D$7+2004+1,-'Tech Parameters'!$I19+1)):D460)</f>
        <v>0</v>
      </c>
      <c r="E483">
        <f t="array" aca="1" ref="E483" ca="1">SUM(OFFSET(E134,0,IF(E$7-2004-'Tech Parameters'!$I19&lt;1,-E$7+2004+1,-'Tech Parameters'!$I19+1)):E134*OFFSET(E460,0,IF(E$7-2004-'Tech Parameters'!$I19&lt;1,-E$7+2004+1,-'Tech Parameters'!$I19+1)):E460)</f>
        <v>0</v>
      </c>
      <c r="F483">
        <f t="array" aca="1" ref="F483" ca="1">SUM(OFFSET(F134,0,IF(F$7-2004-'Tech Parameters'!$I19&lt;1,-F$7+2004+1,-'Tech Parameters'!$I19+1)):F134*OFFSET(F460,0,IF(F$7-2004-'Tech Parameters'!$I19&lt;1,-F$7+2004+1,-'Tech Parameters'!$I19+1)):F460)</f>
        <v>0</v>
      </c>
      <c r="G483">
        <f t="array" aca="1" ref="G483" ca="1">SUM(OFFSET(G134,0,IF(G$7-2004-'Tech Parameters'!$I19&lt;1,-G$7+2004+1,-'Tech Parameters'!$I19+1)):G134*OFFSET(G460,0,IF(G$7-2004-'Tech Parameters'!$I19&lt;1,-G$7+2004+1,-'Tech Parameters'!$I19+1)):G460)</f>
        <v>0</v>
      </c>
      <c r="H483">
        <f t="array" aca="1" ref="H483" ca="1">SUM(OFFSET(H134,0,IF(H$7-2004-'Tech Parameters'!$I19&lt;1,-H$7+2004+1,-'Tech Parameters'!$I19+1)):H134*OFFSET(H460,0,IF(H$7-2004-'Tech Parameters'!$I19&lt;1,-H$7+2004+1,-'Tech Parameters'!$I19+1)):H460)</f>
        <v>0</v>
      </c>
      <c r="I483">
        <f t="array" aca="1" ref="I483" ca="1">SUM(OFFSET(I134,0,IF(I$7-2004-'Tech Parameters'!$I19&lt;1,-I$7+2004+1,-'Tech Parameters'!$I19+1)):I134*OFFSET(I460,0,IF(I$7-2004-'Tech Parameters'!$I19&lt;1,-I$7+2004+1,-'Tech Parameters'!$I19+1)):I460)</f>
        <v>0</v>
      </c>
      <c r="J483">
        <f t="array" aca="1" ref="J483" ca="1">SUM(OFFSET(J134,0,IF(J$7-2004-'Tech Parameters'!$I19&lt;1,-J$7+2004+1,-'Tech Parameters'!$I19+1)):J134*OFFSET(J460,0,IF(J$7-2004-'Tech Parameters'!$I19&lt;1,-J$7+2004+1,-'Tech Parameters'!$I19+1)):J460)</f>
        <v>0</v>
      </c>
      <c r="K483">
        <f t="array" aca="1" ref="K483" ca="1">SUM(OFFSET(K134,0,IF(K$7-2004-'Tech Parameters'!$I19&lt;1,-K$7+2004+1,-'Tech Parameters'!$I19+1)):K134*OFFSET(K460,0,IF(K$7-2004-'Tech Parameters'!$I19&lt;1,-K$7+2004+1,-'Tech Parameters'!$I19+1)):K460)</f>
        <v>0</v>
      </c>
      <c r="L483">
        <f t="array" aca="1" ref="L483" ca="1">SUM(OFFSET(L134,0,IF(L$7-2004-'Tech Parameters'!$I19&lt;1,-L$7+2004+1,-'Tech Parameters'!$I19+1)):L134*OFFSET(L460,0,IF(L$7-2004-'Tech Parameters'!$I19&lt;1,-L$7+2004+1,-'Tech Parameters'!$I19+1)):L460)</f>
        <v>0</v>
      </c>
      <c r="M483">
        <f t="array" aca="1" ref="M483" ca="1">SUM(OFFSET(M134,0,IF(M$7-2004-'Tech Parameters'!$I19&lt;1,-M$7+2004+1,-'Tech Parameters'!$I19+1)):M134*OFFSET(M460,0,IF(M$7-2004-'Tech Parameters'!$I19&lt;1,-M$7+2004+1,-'Tech Parameters'!$I19+1)):M460)</f>
        <v>0</v>
      </c>
      <c r="N483">
        <f t="array" aca="1" ref="N483" ca="1">SUM(OFFSET(N134,0,IF(N$7-2004-'Tech Parameters'!$I19&lt;1,-N$7+2004+1,-'Tech Parameters'!$I19+1)):N134*OFFSET(N460,0,IF(N$7-2004-'Tech Parameters'!$I19&lt;1,-N$7+2004+1,-'Tech Parameters'!$I19+1)):N460)</f>
        <v>0</v>
      </c>
      <c r="O483">
        <f t="array" aca="1" ref="O483" ca="1">SUM(OFFSET(O134,0,IF(O$7-2004-'Tech Parameters'!$I19&lt;1,-O$7+2004+1,-'Tech Parameters'!$I19+1)):O134*OFFSET(O460,0,IF(O$7-2004-'Tech Parameters'!$I19&lt;1,-O$7+2004+1,-'Tech Parameters'!$I19+1)):O460)</f>
        <v>0</v>
      </c>
      <c r="P483">
        <f t="array" aca="1" ref="P483" ca="1">SUM(OFFSET(P134,0,IF(P$7-2004-'Tech Parameters'!$I19&lt;1,-P$7+2004+1,-'Tech Parameters'!$I19+1)):P134*OFFSET(P460,0,IF(P$7-2004-'Tech Parameters'!$I19&lt;1,-P$7+2004+1,-'Tech Parameters'!$I19+1)):P460)</f>
        <v>0</v>
      </c>
      <c r="Q483">
        <f t="array" aca="1" ref="Q483" ca="1">SUM(OFFSET(Q134,0,IF(Q$7-2004-'Tech Parameters'!$I19&lt;1,-Q$7+2004+1,-'Tech Parameters'!$I19+1)):Q134*OFFSET(Q460,0,IF(Q$7-2004-'Tech Parameters'!$I19&lt;1,-Q$7+2004+1,-'Tech Parameters'!$I19+1)):Q460)</f>
        <v>0</v>
      </c>
      <c r="R483">
        <f t="array" aca="1" ref="R483" ca="1">SUM(OFFSET(R134,0,IF(R$7-2004-'Tech Parameters'!$I19&lt;1,-R$7+2004+1,-'Tech Parameters'!$I19+1)):R134*OFFSET(R460,0,IF(R$7-2004-'Tech Parameters'!$I19&lt;1,-R$7+2004+1,-'Tech Parameters'!$I19+1)):R460)</f>
        <v>0</v>
      </c>
      <c r="S483">
        <f t="array" aca="1" ref="S483" ca="1">SUM(OFFSET(S134,0,IF(S$7-2004-'Tech Parameters'!$I19&lt;1,-S$7+2004+1,-'Tech Parameters'!$I19+1)):S134*OFFSET(S460,0,IF(S$7-2004-'Tech Parameters'!$I19&lt;1,-S$7+2004+1,-'Tech Parameters'!$I19+1)):S460)</f>
        <v>0</v>
      </c>
      <c r="T483">
        <f t="array" aca="1" ref="T483" ca="1">SUM(OFFSET(T134,0,IF(T$7-2004-'Tech Parameters'!$I19&lt;1,-T$7+2004+1,-'Tech Parameters'!$I19+1)):T134*OFFSET(T460,0,IF(T$7-2004-'Tech Parameters'!$I19&lt;1,-T$7+2004+1,-'Tech Parameters'!$I19+1)):T460)</f>
        <v>0</v>
      </c>
      <c r="U483">
        <f t="array" aca="1" ref="U483" ca="1">SUM(OFFSET(U134,0,IF(U$7-2004-'Tech Parameters'!$I19&lt;1,-U$7+2004+1,-'Tech Parameters'!$I19+1)):U134*OFFSET(U460,0,IF(U$7-2004-'Tech Parameters'!$I19&lt;1,-U$7+2004+1,-'Tech Parameters'!$I19+1)):U460)</f>
        <v>0</v>
      </c>
      <c r="V483">
        <f t="array" aca="1" ref="V483" ca="1">SUM(OFFSET(V134,0,IF(V$7-2004-'Tech Parameters'!$I19&lt;1,-V$7+2004+1,-'Tech Parameters'!$I19+1)):V134*OFFSET(V460,0,IF(V$7-2004-'Tech Parameters'!$I19&lt;1,-V$7+2004+1,-'Tech Parameters'!$I19+1)):V460)</f>
        <v>0</v>
      </c>
      <c r="W483">
        <f t="array" aca="1" ref="W483" ca="1">SUM(OFFSET(W134,0,IF(W$7-2004-'Tech Parameters'!$I19&lt;1,-W$7+2004+1,-'Tech Parameters'!$I19+1)):W134*OFFSET(W460,0,IF(W$7-2004-'Tech Parameters'!$I19&lt;1,-W$7+2004+1,-'Tech Parameters'!$I19+1)):W460)</f>
        <v>0</v>
      </c>
      <c r="X483">
        <f t="array" aca="1" ref="X483" ca="1">SUM(OFFSET(X134,0,IF(X$7-2004-'Tech Parameters'!$I19&lt;1,-X$7+2004+1,-'Tech Parameters'!$I19+1)):X134*OFFSET(X460,0,IF(X$7-2004-'Tech Parameters'!$I19&lt;1,-X$7+2004+1,-'Tech Parameters'!$I19+1)):X460)</f>
        <v>0</v>
      </c>
      <c r="Y483">
        <f t="array" aca="1" ref="Y483" ca="1">SUM(OFFSET(Y134,0,IF(Y$7-2004-'Tech Parameters'!$I19&lt;1,-Y$7+2004+1,-'Tech Parameters'!$I19+1)):Y134*OFFSET(Y460,0,IF(Y$7-2004-'Tech Parameters'!$I19&lt;1,-Y$7+2004+1,-'Tech Parameters'!$I19+1)):Y460)</f>
        <v>0</v>
      </c>
      <c r="Z483">
        <f t="array" aca="1" ref="Z483" ca="1">SUM(OFFSET(Z134,0,IF(Z$7-2004-'Tech Parameters'!$I19&lt;1,-Z$7+2004+1,-'Tech Parameters'!$I19+1)):Z134*OFFSET(Z460,0,IF(Z$7-2004-'Tech Parameters'!$I19&lt;1,-Z$7+2004+1,-'Tech Parameters'!$I19+1)):Z460)</f>
        <v>0</v>
      </c>
      <c r="AA483">
        <f t="array" aca="1" ref="AA483" ca="1">SUM(OFFSET(AA134,0,IF(AA$7-2004-'Tech Parameters'!$I19&lt;1,-AA$7+2004+1,-'Tech Parameters'!$I19+1)):AA134*OFFSET(AA460,0,IF(AA$7-2004-'Tech Parameters'!$I19&lt;1,-AA$7+2004+1,-'Tech Parameters'!$I19+1)):AA460)</f>
        <v>0</v>
      </c>
      <c r="AB483">
        <f t="array" aca="1" ref="AB483" ca="1">SUM(OFFSET(AB134,0,IF(AB$7-2004-'Tech Parameters'!$I19&lt;1,-AB$7+2004+1,-'Tech Parameters'!$I19+1)):AB134*OFFSET(AB460,0,IF(AB$7-2004-'Tech Parameters'!$I19&lt;1,-AB$7+2004+1,-'Tech Parameters'!$I19+1)):AB460)</f>
        <v>0</v>
      </c>
      <c r="AC483">
        <f t="array" aca="1" ref="AC483" ca="1">SUM(OFFSET(AC134,0,IF(AC$7-2004-'Tech Parameters'!$I19&lt;1,-AC$7+2004+1,-'Tech Parameters'!$I19+1)):AC134*OFFSET(AC460,0,IF(AC$7-2004-'Tech Parameters'!$I19&lt;1,-AC$7+2004+1,-'Tech Parameters'!$I19+1)):AC460)</f>
        <v>0</v>
      </c>
      <c r="AD483" s="76">
        <f t="array" aca="1" ref="AD483" ca="1">SUM(OFFSET(AD134,0,IF(AD$7-2004-'Tech Parameters'!$I19&lt;1,-AD$7+2004+1,-'Tech Parameters'!$I19+1)):AD134*OFFSET(AD460,0,IF(AD$7-2004-'Tech Parameters'!$I19&lt;1,-AD$7+2004+1,-'Tech Parameters'!$I19+1)):AD460)</f>
        <v>0</v>
      </c>
      <c r="AE483" s="76">
        <f t="array" aca="1" ref="AE483" ca="1">SUM(OFFSET(AE134,0,IF(AE$7-2004-'Tech Parameters'!$I19&lt;1,-AE$7+2004+1,-'Tech Parameters'!$I19+1)):AE134*OFFSET(AE460,0,IF(AE$7-2004-'Tech Parameters'!$I19&lt;1,-AE$7+2004+1,-'Tech Parameters'!$I19+1)):AE460)</f>
        <v>0</v>
      </c>
      <c r="AF483" s="76">
        <f t="array" aca="1" ref="AF483" ca="1">SUM(OFFSET(AF134,0,IF(AF$7-2004-'Tech Parameters'!$I19&lt;1,-AF$7+2004+1,-'Tech Parameters'!$I19+1)):AF134*OFFSET(AF460,0,IF(AF$7-2004-'Tech Parameters'!$I19&lt;1,-AF$7+2004+1,-'Tech Parameters'!$I19+1)):AF460)</f>
        <v>0</v>
      </c>
      <c r="AG483" s="76">
        <f t="array" aca="1" ref="AG483" ca="1">SUM(OFFSET(AG134,0,IF(AG$7-2004-'Tech Parameters'!$I19&lt;1,-AG$7+2004+1,-'Tech Parameters'!$I19+1)):AG134*OFFSET(AG460,0,IF(AG$7-2004-'Tech Parameters'!$I19&lt;1,-AG$7+2004+1,-'Tech Parameters'!$I19+1)):AG460)</f>
        <v>0</v>
      </c>
      <c r="AH483" s="76">
        <f t="array" aca="1" ref="AH483" ca="1">SUM(OFFSET(AH134,0,IF(AH$7-2004-'Tech Parameters'!$I19&lt;1,-AH$7+2004+1,-'Tech Parameters'!$I19+1)):AH134*OFFSET(AH460,0,IF(AH$7-2004-'Tech Parameters'!$I19&lt;1,-AH$7+2004+1,-'Tech Parameters'!$I19+1)):AH460)</f>
        <v>0</v>
      </c>
      <c r="AI483" s="76">
        <f t="array" aca="1" ref="AI483" ca="1">SUM(OFFSET(AI134,0,IF(AI$7-2004-'Tech Parameters'!$I19&lt;1,-AI$7+2004+1,-'Tech Parameters'!$I19+1)):AI134*OFFSET(AI460,0,IF(AI$7-2004-'Tech Parameters'!$I19&lt;1,-AI$7+2004+1,-'Tech Parameters'!$I19+1)):AI460)</f>
        <v>0</v>
      </c>
      <c r="AJ483" s="76">
        <f t="array" aca="1" ref="AJ483" ca="1">SUM(OFFSET(AJ134,0,IF(AJ$7-2004-'Tech Parameters'!$I19&lt;1,-AJ$7+2004+1,-'Tech Parameters'!$I19+1)):AJ134*OFFSET(AJ460,0,IF(AJ$7-2004-'Tech Parameters'!$I19&lt;1,-AJ$7+2004+1,-'Tech Parameters'!$I19+1)):AJ460)</f>
        <v>0</v>
      </c>
      <c r="AK483" s="76">
        <f t="array" aca="1" ref="AK483" ca="1">SUM(OFFSET(AK134,0,IF(AK$7-2004-'Tech Parameters'!$I19&lt;1,-AK$7+2004+1,-'Tech Parameters'!$I19+1)):AK134*OFFSET(AK460,0,IF(AK$7-2004-'Tech Parameters'!$I19&lt;1,-AK$7+2004+1,-'Tech Parameters'!$I19+1)):AK460)</f>
        <v>0</v>
      </c>
      <c r="AL483" s="76">
        <f t="array" aca="1" ref="AL483" ca="1">SUM(OFFSET(AL134,0,IF(AL$7-2004-'Tech Parameters'!$I19&lt;1,-AL$7+2004+1,-'Tech Parameters'!$I19+1)):AL134*OFFSET(AL460,0,IF(AL$7-2004-'Tech Parameters'!$I19&lt;1,-AL$7+2004+1,-'Tech Parameters'!$I19+1)):AL460)</f>
        <v>0</v>
      </c>
      <c r="AM483" s="76">
        <f t="array" aca="1" ref="AM483" ca="1">SUM(OFFSET(AM134,0,IF(AM$7-2004-'Tech Parameters'!$I19&lt;1,-AM$7+2004+1,-'Tech Parameters'!$I19+1)):AM134*OFFSET(AM460,0,IF(AM$7-2004-'Tech Parameters'!$I19&lt;1,-AM$7+2004+1,-'Tech Parameters'!$I19+1)):AM460)</f>
        <v>0</v>
      </c>
      <c r="AN483" s="76">
        <f t="array" aca="1" ref="AN483" ca="1">SUM(OFFSET(AN134,0,IF(AN$7-2004-'Tech Parameters'!$I19&lt;1,-AN$7+2004+1,-'Tech Parameters'!$I19+1)):AN134*OFFSET(AN460,0,IF(AN$7-2004-'Tech Parameters'!$I19&lt;1,-AN$7+2004+1,-'Tech Parameters'!$I19+1)):AN460)</f>
        <v>0</v>
      </c>
      <c r="AO483" s="76">
        <f t="array" aca="1" ref="AO483" ca="1">SUM(OFFSET(AO134,0,IF(AO$7-2004-'Tech Parameters'!$I19&lt;1,-AO$7+2004+1,-'Tech Parameters'!$I19+1)):AO134*OFFSET(AO460,0,IF(AO$7-2004-'Tech Parameters'!$I19&lt;1,-AO$7+2004+1,-'Tech Parameters'!$I19+1)):AO460)</f>
        <v>0</v>
      </c>
      <c r="AP483" s="76">
        <f t="array" aca="1" ref="AP483" ca="1">SUM(OFFSET(AP134,0,IF(AP$7-2004-'Tech Parameters'!$I19&lt;1,-AP$7+2004+1,-'Tech Parameters'!$I19+1)):AP134*OFFSET(AP460,0,IF(AP$7-2004-'Tech Parameters'!$I19&lt;1,-AP$7+2004+1,-'Tech Parameters'!$I19+1)):AP460)</f>
        <v>0</v>
      </c>
      <c r="AQ483" s="76">
        <f t="array" aca="1" ref="AQ483" ca="1">SUM(OFFSET(AQ134,0,IF(AQ$7-2004-'Tech Parameters'!$I19&lt;1,-AQ$7+2004+1,-'Tech Parameters'!$I19+1)):AQ134*OFFSET(AQ460,0,IF(AQ$7-2004-'Tech Parameters'!$I19&lt;1,-AQ$7+2004+1,-'Tech Parameters'!$I19+1)):AQ460)</f>
        <v>0</v>
      </c>
      <c r="AR483" s="76">
        <f t="array" aca="1" ref="AR483" ca="1">SUM(OFFSET(AR134,0,IF(AR$7-2004-'Tech Parameters'!$I19&lt;1,-AR$7+2004+1,-'Tech Parameters'!$I19+1)):AR134*OFFSET(AR460,0,IF(AR$7-2004-'Tech Parameters'!$I19&lt;1,-AR$7+2004+1,-'Tech Parameters'!$I19+1)):AR460)</f>
        <v>0</v>
      </c>
      <c r="AS483" s="76">
        <f t="array" aca="1" ref="AS483" ca="1">SUM(OFFSET(AS134,0,IF(AS$7-2004-'Tech Parameters'!$I19&lt;1,-AS$7+2004+1,-'Tech Parameters'!$I19+1)):AS134*OFFSET(AS460,0,IF(AS$7-2004-'Tech Parameters'!$I19&lt;1,-AS$7+2004+1,-'Tech Parameters'!$I19+1)):AS460)</f>
        <v>0</v>
      </c>
      <c r="AT483" s="76">
        <f t="array" aca="1" ref="AT483" ca="1">SUM(OFFSET(AT134,0,IF(AT$7-2004-'Tech Parameters'!$I19&lt;1,-AT$7+2004+1,-'Tech Parameters'!$I19+1)):AT134*OFFSET(AT460,0,IF(AT$7-2004-'Tech Parameters'!$I19&lt;1,-AT$7+2004+1,-'Tech Parameters'!$I19+1)):AT460)</f>
        <v>0</v>
      </c>
      <c r="AU483" s="76">
        <f t="array" aca="1" ref="AU483" ca="1">SUM(OFFSET(AU134,0,IF(AU$7-2004-'Tech Parameters'!$I19&lt;1,-AU$7+2004+1,-'Tech Parameters'!$I19+1)):AU134*OFFSET(AU460,0,IF(AU$7-2004-'Tech Parameters'!$I19&lt;1,-AU$7+2004+1,-'Tech Parameters'!$I19+1)):AU460)</f>
        <v>0</v>
      </c>
      <c r="AV483" s="76">
        <f t="array" aca="1" ref="AV483" ca="1">SUM(OFFSET(AV134,0,IF(AV$7-2004-'Tech Parameters'!$I19&lt;1,-AV$7+2004+1,-'Tech Parameters'!$I19+1)):AV134*OFFSET(AV460,0,IF(AV$7-2004-'Tech Parameters'!$I19&lt;1,-AV$7+2004+1,-'Tech Parameters'!$I19+1)):AV460)</f>
        <v>0</v>
      </c>
      <c r="AW483" s="76">
        <f t="array" aca="1" ref="AW483" ca="1">SUM(OFFSET(AW134,0,IF(AW$7-2004-'Tech Parameters'!$I19&lt;1,-AW$7+2004+1,-'Tech Parameters'!$I19+1)):AW134*OFFSET(AW460,0,IF(AW$7-2004-'Tech Parameters'!$I19&lt;1,-AW$7+2004+1,-'Tech Parameters'!$I19+1)):AW460)</f>
        <v>0</v>
      </c>
    </row>
    <row r="484" spans="3:49">
      <c r="C484" t="str">
        <f t="shared" si="218"/>
        <v>PBMR</v>
      </c>
      <c r="D484">
        <f t="array" aca="1" ref="D484" ca="1">SUM(OFFSET(D135,0,IF(D$7-2004-'Tech Parameters'!$I20&lt;1,-D$7+2004+1,-'Tech Parameters'!$I20+1)):D135*OFFSET(D461,0,IF(D$7-2004-'Tech Parameters'!$I20&lt;1,-D$7+2004+1,-'Tech Parameters'!$I20+1)):D461)</f>
        <v>0</v>
      </c>
      <c r="E484">
        <f t="array" aca="1" ref="E484" ca="1">SUM(OFFSET(E135,0,IF(E$7-2004-'Tech Parameters'!$I20&lt;1,-E$7+2004+1,-'Tech Parameters'!$I20+1)):E135*OFFSET(E461,0,IF(E$7-2004-'Tech Parameters'!$I20&lt;1,-E$7+2004+1,-'Tech Parameters'!$I20+1)):E461)</f>
        <v>0</v>
      </c>
      <c r="F484">
        <f t="array" aca="1" ref="F484" ca="1">SUM(OFFSET(F135,0,IF(F$7-2004-'Tech Parameters'!$I20&lt;1,-F$7+2004+1,-'Tech Parameters'!$I20+1)):F135*OFFSET(F461,0,IF(F$7-2004-'Tech Parameters'!$I20&lt;1,-F$7+2004+1,-'Tech Parameters'!$I20+1)):F461)</f>
        <v>0</v>
      </c>
      <c r="G484">
        <f t="array" aca="1" ref="G484" ca="1">SUM(OFFSET(G135,0,IF(G$7-2004-'Tech Parameters'!$I20&lt;1,-G$7+2004+1,-'Tech Parameters'!$I20+1)):G135*OFFSET(G461,0,IF(G$7-2004-'Tech Parameters'!$I20&lt;1,-G$7+2004+1,-'Tech Parameters'!$I20+1)):G461)</f>
        <v>0</v>
      </c>
      <c r="H484">
        <f t="array" aca="1" ref="H484" ca="1">SUM(OFFSET(H135,0,IF(H$7-2004-'Tech Parameters'!$I20&lt;1,-H$7+2004+1,-'Tech Parameters'!$I20+1)):H135*OFFSET(H461,0,IF(H$7-2004-'Tech Parameters'!$I20&lt;1,-H$7+2004+1,-'Tech Parameters'!$I20+1)):H461)</f>
        <v>0</v>
      </c>
      <c r="I484">
        <f t="array" aca="1" ref="I484" ca="1">SUM(OFFSET(I135,0,IF(I$7-2004-'Tech Parameters'!$I20&lt;1,-I$7+2004+1,-'Tech Parameters'!$I20+1)):I135*OFFSET(I461,0,IF(I$7-2004-'Tech Parameters'!$I20&lt;1,-I$7+2004+1,-'Tech Parameters'!$I20+1)):I461)</f>
        <v>0</v>
      </c>
      <c r="J484">
        <f t="array" aca="1" ref="J484" ca="1">SUM(OFFSET(J135,0,IF(J$7-2004-'Tech Parameters'!$I20&lt;1,-J$7+2004+1,-'Tech Parameters'!$I20+1)):J135*OFFSET(J461,0,IF(J$7-2004-'Tech Parameters'!$I20&lt;1,-J$7+2004+1,-'Tech Parameters'!$I20+1)):J461)</f>
        <v>0</v>
      </c>
      <c r="K484">
        <f t="array" aca="1" ref="K484" ca="1">SUM(OFFSET(K135,0,IF(K$7-2004-'Tech Parameters'!$I20&lt;1,-K$7+2004+1,-'Tech Parameters'!$I20+1)):K135*OFFSET(K461,0,IF(K$7-2004-'Tech Parameters'!$I20&lt;1,-K$7+2004+1,-'Tech Parameters'!$I20+1)):K461)</f>
        <v>0</v>
      </c>
      <c r="L484">
        <f t="array" aca="1" ref="L484" ca="1">SUM(OFFSET(L135,0,IF(L$7-2004-'Tech Parameters'!$I20&lt;1,-L$7+2004+1,-'Tech Parameters'!$I20+1)):L135*OFFSET(L461,0,IF(L$7-2004-'Tech Parameters'!$I20&lt;1,-L$7+2004+1,-'Tech Parameters'!$I20+1)):L461)</f>
        <v>0</v>
      </c>
      <c r="M484">
        <f t="array" aca="1" ref="M484" ca="1">SUM(OFFSET(M135,0,IF(M$7-2004-'Tech Parameters'!$I20&lt;1,-M$7+2004+1,-'Tech Parameters'!$I20+1)):M135*OFFSET(M461,0,IF(M$7-2004-'Tech Parameters'!$I20&lt;1,-M$7+2004+1,-'Tech Parameters'!$I20+1)):M461)</f>
        <v>0</v>
      </c>
      <c r="N484">
        <f t="array" aca="1" ref="N484" ca="1">SUM(OFFSET(N135,0,IF(N$7-2004-'Tech Parameters'!$I20&lt;1,-N$7+2004+1,-'Tech Parameters'!$I20+1)):N135*OFFSET(N461,0,IF(N$7-2004-'Tech Parameters'!$I20&lt;1,-N$7+2004+1,-'Tech Parameters'!$I20+1)):N461)</f>
        <v>0</v>
      </c>
      <c r="O484">
        <f t="array" aca="1" ref="O484" ca="1">SUM(OFFSET(O135,0,IF(O$7-2004-'Tech Parameters'!$I20&lt;1,-O$7+2004+1,-'Tech Parameters'!$I20+1)):O135*OFFSET(O461,0,IF(O$7-2004-'Tech Parameters'!$I20&lt;1,-O$7+2004+1,-'Tech Parameters'!$I20+1)):O461)</f>
        <v>0</v>
      </c>
      <c r="P484">
        <f t="array" aca="1" ref="P484" ca="1">SUM(OFFSET(P135,0,IF(P$7-2004-'Tech Parameters'!$I20&lt;1,-P$7+2004+1,-'Tech Parameters'!$I20+1)):P135*OFFSET(P461,0,IF(P$7-2004-'Tech Parameters'!$I20&lt;1,-P$7+2004+1,-'Tech Parameters'!$I20+1)):P461)</f>
        <v>0</v>
      </c>
      <c r="Q484">
        <f t="array" aca="1" ref="Q484" ca="1">SUM(OFFSET(Q135,0,IF(Q$7-2004-'Tech Parameters'!$I20&lt;1,-Q$7+2004+1,-'Tech Parameters'!$I20+1)):Q135*OFFSET(Q461,0,IF(Q$7-2004-'Tech Parameters'!$I20&lt;1,-Q$7+2004+1,-'Tech Parameters'!$I20+1)):Q461)</f>
        <v>0</v>
      </c>
      <c r="R484">
        <f t="array" aca="1" ref="R484" ca="1">SUM(OFFSET(R135,0,IF(R$7-2004-'Tech Parameters'!$I20&lt;1,-R$7+2004+1,-'Tech Parameters'!$I20+1)):R135*OFFSET(R461,0,IF(R$7-2004-'Tech Parameters'!$I20&lt;1,-R$7+2004+1,-'Tech Parameters'!$I20+1)):R461)</f>
        <v>0</v>
      </c>
      <c r="S484">
        <f t="array" aca="1" ref="S484" ca="1">SUM(OFFSET(S135,0,IF(S$7-2004-'Tech Parameters'!$I20&lt;1,-S$7+2004+1,-'Tech Parameters'!$I20+1)):S135*OFFSET(S461,0,IF(S$7-2004-'Tech Parameters'!$I20&lt;1,-S$7+2004+1,-'Tech Parameters'!$I20+1)):S461)</f>
        <v>0</v>
      </c>
      <c r="T484">
        <f t="array" aca="1" ref="T484" ca="1">SUM(OFFSET(T135,0,IF(T$7-2004-'Tech Parameters'!$I20&lt;1,-T$7+2004+1,-'Tech Parameters'!$I20+1)):T135*OFFSET(T461,0,IF(T$7-2004-'Tech Parameters'!$I20&lt;1,-T$7+2004+1,-'Tech Parameters'!$I20+1)):T461)</f>
        <v>0</v>
      </c>
      <c r="U484">
        <f t="array" aca="1" ref="U484" ca="1">SUM(OFFSET(U135,0,IF(U$7-2004-'Tech Parameters'!$I20&lt;1,-U$7+2004+1,-'Tech Parameters'!$I20+1)):U135*OFFSET(U461,0,IF(U$7-2004-'Tech Parameters'!$I20&lt;1,-U$7+2004+1,-'Tech Parameters'!$I20+1)):U461)</f>
        <v>0</v>
      </c>
      <c r="V484">
        <f t="array" aca="1" ref="V484" ca="1">SUM(OFFSET(V135,0,IF(V$7-2004-'Tech Parameters'!$I20&lt;1,-V$7+2004+1,-'Tech Parameters'!$I20+1)):V135*OFFSET(V461,0,IF(V$7-2004-'Tech Parameters'!$I20&lt;1,-V$7+2004+1,-'Tech Parameters'!$I20+1)):V461)</f>
        <v>0</v>
      </c>
      <c r="W484">
        <f t="array" aca="1" ref="W484" ca="1">SUM(OFFSET(W135,0,IF(W$7-2004-'Tech Parameters'!$I20&lt;1,-W$7+2004+1,-'Tech Parameters'!$I20+1)):W135*OFFSET(W461,0,IF(W$7-2004-'Tech Parameters'!$I20&lt;1,-W$7+2004+1,-'Tech Parameters'!$I20+1)):W461)</f>
        <v>0</v>
      </c>
      <c r="X484">
        <f t="array" aca="1" ref="X484" ca="1">SUM(OFFSET(X135,0,IF(X$7-2004-'Tech Parameters'!$I20&lt;1,-X$7+2004+1,-'Tech Parameters'!$I20+1)):X135*OFFSET(X461,0,IF(X$7-2004-'Tech Parameters'!$I20&lt;1,-X$7+2004+1,-'Tech Parameters'!$I20+1)):X461)</f>
        <v>0</v>
      </c>
      <c r="Y484">
        <f t="array" aca="1" ref="Y484" ca="1">SUM(OFFSET(Y135,0,IF(Y$7-2004-'Tech Parameters'!$I20&lt;1,-Y$7+2004+1,-'Tech Parameters'!$I20+1)):Y135*OFFSET(Y461,0,IF(Y$7-2004-'Tech Parameters'!$I20&lt;1,-Y$7+2004+1,-'Tech Parameters'!$I20+1)):Y461)</f>
        <v>0</v>
      </c>
      <c r="Z484">
        <f t="array" aca="1" ref="Z484" ca="1">SUM(OFFSET(Z135,0,IF(Z$7-2004-'Tech Parameters'!$I20&lt;1,-Z$7+2004+1,-'Tech Parameters'!$I20+1)):Z135*OFFSET(Z461,0,IF(Z$7-2004-'Tech Parameters'!$I20&lt;1,-Z$7+2004+1,-'Tech Parameters'!$I20+1)):Z461)</f>
        <v>0</v>
      </c>
      <c r="AA484">
        <f t="array" aca="1" ref="AA484" ca="1">SUM(OFFSET(AA135,0,IF(AA$7-2004-'Tech Parameters'!$I20&lt;1,-AA$7+2004+1,-'Tech Parameters'!$I20+1)):AA135*OFFSET(AA461,0,IF(AA$7-2004-'Tech Parameters'!$I20&lt;1,-AA$7+2004+1,-'Tech Parameters'!$I20+1)):AA461)</f>
        <v>0</v>
      </c>
      <c r="AB484">
        <f t="array" aca="1" ref="AB484" ca="1">SUM(OFFSET(AB135,0,IF(AB$7-2004-'Tech Parameters'!$I20&lt;1,-AB$7+2004+1,-'Tech Parameters'!$I20+1)):AB135*OFFSET(AB461,0,IF(AB$7-2004-'Tech Parameters'!$I20&lt;1,-AB$7+2004+1,-'Tech Parameters'!$I20+1)):AB461)</f>
        <v>0</v>
      </c>
      <c r="AC484">
        <f t="array" aca="1" ref="AC484" ca="1">SUM(OFFSET(AC135,0,IF(AC$7-2004-'Tech Parameters'!$I20&lt;1,-AC$7+2004+1,-'Tech Parameters'!$I20+1)):AC135*OFFSET(AC461,0,IF(AC$7-2004-'Tech Parameters'!$I20&lt;1,-AC$7+2004+1,-'Tech Parameters'!$I20+1)):AC461)</f>
        <v>0</v>
      </c>
      <c r="AD484" s="76">
        <f t="array" aca="1" ref="AD484" ca="1">SUM(OFFSET(AD135,0,IF(AD$7-2004-'Tech Parameters'!$I20&lt;1,-AD$7+2004+1,-'Tech Parameters'!$I20+1)):AD135*OFFSET(AD461,0,IF(AD$7-2004-'Tech Parameters'!$I20&lt;1,-AD$7+2004+1,-'Tech Parameters'!$I20+1)):AD461)</f>
        <v>0</v>
      </c>
      <c r="AE484" s="76">
        <f t="array" aca="1" ref="AE484" ca="1">SUM(OFFSET(AE135,0,IF(AE$7-2004-'Tech Parameters'!$I20&lt;1,-AE$7+2004+1,-'Tech Parameters'!$I20+1)):AE135*OFFSET(AE461,0,IF(AE$7-2004-'Tech Parameters'!$I20&lt;1,-AE$7+2004+1,-'Tech Parameters'!$I20+1)):AE461)</f>
        <v>0</v>
      </c>
      <c r="AF484" s="76">
        <f t="array" aca="1" ref="AF484" ca="1">SUM(OFFSET(AF135,0,IF(AF$7-2004-'Tech Parameters'!$I20&lt;1,-AF$7+2004+1,-'Tech Parameters'!$I20+1)):AF135*OFFSET(AF461,0,IF(AF$7-2004-'Tech Parameters'!$I20&lt;1,-AF$7+2004+1,-'Tech Parameters'!$I20+1)):AF461)</f>
        <v>0</v>
      </c>
      <c r="AG484" s="76">
        <f t="array" aca="1" ref="AG484" ca="1">SUM(OFFSET(AG135,0,IF(AG$7-2004-'Tech Parameters'!$I20&lt;1,-AG$7+2004+1,-'Tech Parameters'!$I20+1)):AG135*OFFSET(AG461,0,IF(AG$7-2004-'Tech Parameters'!$I20&lt;1,-AG$7+2004+1,-'Tech Parameters'!$I20+1)):AG461)</f>
        <v>0</v>
      </c>
      <c r="AH484" s="76">
        <f t="array" aca="1" ref="AH484" ca="1">SUM(OFFSET(AH135,0,IF(AH$7-2004-'Tech Parameters'!$I20&lt;1,-AH$7+2004+1,-'Tech Parameters'!$I20+1)):AH135*OFFSET(AH461,0,IF(AH$7-2004-'Tech Parameters'!$I20&lt;1,-AH$7+2004+1,-'Tech Parameters'!$I20+1)):AH461)</f>
        <v>0</v>
      </c>
      <c r="AI484" s="76">
        <f t="array" aca="1" ref="AI484" ca="1">SUM(OFFSET(AI135,0,IF(AI$7-2004-'Tech Parameters'!$I20&lt;1,-AI$7+2004+1,-'Tech Parameters'!$I20+1)):AI135*OFFSET(AI461,0,IF(AI$7-2004-'Tech Parameters'!$I20&lt;1,-AI$7+2004+1,-'Tech Parameters'!$I20+1)):AI461)</f>
        <v>0</v>
      </c>
      <c r="AJ484" s="76">
        <f t="array" aca="1" ref="AJ484" ca="1">SUM(OFFSET(AJ135,0,IF(AJ$7-2004-'Tech Parameters'!$I20&lt;1,-AJ$7+2004+1,-'Tech Parameters'!$I20+1)):AJ135*OFFSET(AJ461,0,IF(AJ$7-2004-'Tech Parameters'!$I20&lt;1,-AJ$7+2004+1,-'Tech Parameters'!$I20+1)):AJ461)</f>
        <v>0</v>
      </c>
      <c r="AK484" s="76">
        <f t="array" aca="1" ref="AK484" ca="1">SUM(OFFSET(AK135,0,IF(AK$7-2004-'Tech Parameters'!$I20&lt;1,-AK$7+2004+1,-'Tech Parameters'!$I20+1)):AK135*OFFSET(AK461,0,IF(AK$7-2004-'Tech Parameters'!$I20&lt;1,-AK$7+2004+1,-'Tech Parameters'!$I20+1)):AK461)</f>
        <v>0</v>
      </c>
      <c r="AL484" s="76">
        <f t="array" aca="1" ref="AL484" ca="1">SUM(OFFSET(AL135,0,IF(AL$7-2004-'Tech Parameters'!$I20&lt;1,-AL$7+2004+1,-'Tech Parameters'!$I20+1)):AL135*OFFSET(AL461,0,IF(AL$7-2004-'Tech Parameters'!$I20&lt;1,-AL$7+2004+1,-'Tech Parameters'!$I20+1)):AL461)</f>
        <v>0</v>
      </c>
      <c r="AM484" s="76">
        <f t="array" aca="1" ref="AM484" ca="1">SUM(OFFSET(AM135,0,IF(AM$7-2004-'Tech Parameters'!$I20&lt;1,-AM$7+2004+1,-'Tech Parameters'!$I20+1)):AM135*OFFSET(AM461,0,IF(AM$7-2004-'Tech Parameters'!$I20&lt;1,-AM$7+2004+1,-'Tech Parameters'!$I20+1)):AM461)</f>
        <v>0</v>
      </c>
      <c r="AN484" s="76">
        <f t="array" aca="1" ref="AN484" ca="1">SUM(OFFSET(AN135,0,IF(AN$7-2004-'Tech Parameters'!$I20&lt;1,-AN$7+2004+1,-'Tech Parameters'!$I20+1)):AN135*OFFSET(AN461,0,IF(AN$7-2004-'Tech Parameters'!$I20&lt;1,-AN$7+2004+1,-'Tech Parameters'!$I20+1)):AN461)</f>
        <v>0</v>
      </c>
      <c r="AO484" s="76">
        <f t="array" aca="1" ref="AO484" ca="1">SUM(OFFSET(AO135,0,IF(AO$7-2004-'Tech Parameters'!$I20&lt;1,-AO$7+2004+1,-'Tech Parameters'!$I20+1)):AO135*OFFSET(AO461,0,IF(AO$7-2004-'Tech Parameters'!$I20&lt;1,-AO$7+2004+1,-'Tech Parameters'!$I20+1)):AO461)</f>
        <v>0</v>
      </c>
      <c r="AP484" s="76">
        <f t="array" aca="1" ref="AP484" ca="1">SUM(OFFSET(AP135,0,IF(AP$7-2004-'Tech Parameters'!$I20&lt;1,-AP$7+2004+1,-'Tech Parameters'!$I20+1)):AP135*OFFSET(AP461,0,IF(AP$7-2004-'Tech Parameters'!$I20&lt;1,-AP$7+2004+1,-'Tech Parameters'!$I20+1)):AP461)</f>
        <v>0</v>
      </c>
      <c r="AQ484" s="76">
        <f t="array" aca="1" ref="AQ484" ca="1">SUM(OFFSET(AQ135,0,IF(AQ$7-2004-'Tech Parameters'!$I20&lt;1,-AQ$7+2004+1,-'Tech Parameters'!$I20+1)):AQ135*OFFSET(AQ461,0,IF(AQ$7-2004-'Tech Parameters'!$I20&lt;1,-AQ$7+2004+1,-'Tech Parameters'!$I20+1)):AQ461)</f>
        <v>0</v>
      </c>
      <c r="AR484" s="76">
        <f t="array" aca="1" ref="AR484" ca="1">SUM(OFFSET(AR135,0,IF(AR$7-2004-'Tech Parameters'!$I20&lt;1,-AR$7+2004+1,-'Tech Parameters'!$I20+1)):AR135*OFFSET(AR461,0,IF(AR$7-2004-'Tech Parameters'!$I20&lt;1,-AR$7+2004+1,-'Tech Parameters'!$I20+1)):AR461)</f>
        <v>0</v>
      </c>
      <c r="AS484" s="76">
        <f t="array" aca="1" ref="AS484" ca="1">SUM(OFFSET(AS135,0,IF(AS$7-2004-'Tech Parameters'!$I20&lt;1,-AS$7+2004+1,-'Tech Parameters'!$I20+1)):AS135*OFFSET(AS461,0,IF(AS$7-2004-'Tech Parameters'!$I20&lt;1,-AS$7+2004+1,-'Tech Parameters'!$I20+1)):AS461)</f>
        <v>0</v>
      </c>
      <c r="AT484" s="76">
        <f t="array" aca="1" ref="AT484" ca="1">SUM(OFFSET(AT135,0,IF(AT$7-2004-'Tech Parameters'!$I20&lt;1,-AT$7+2004+1,-'Tech Parameters'!$I20+1)):AT135*OFFSET(AT461,0,IF(AT$7-2004-'Tech Parameters'!$I20&lt;1,-AT$7+2004+1,-'Tech Parameters'!$I20+1)):AT461)</f>
        <v>0</v>
      </c>
      <c r="AU484" s="76">
        <f t="array" aca="1" ref="AU484" ca="1">SUM(OFFSET(AU135,0,IF(AU$7-2004-'Tech Parameters'!$I20&lt;1,-AU$7+2004+1,-'Tech Parameters'!$I20+1)):AU135*OFFSET(AU461,0,IF(AU$7-2004-'Tech Parameters'!$I20&lt;1,-AU$7+2004+1,-'Tech Parameters'!$I20+1)):AU461)</f>
        <v>0</v>
      </c>
      <c r="AV484" s="76">
        <f t="array" aca="1" ref="AV484" ca="1">SUM(OFFSET(AV135,0,IF(AV$7-2004-'Tech Parameters'!$I20&lt;1,-AV$7+2004+1,-'Tech Parameters'!$I20+1)):AV135*OFFSET(AV461,0,IF(AV$7-2004-'Tech Parameters'!$I20&lt;1,-AV$7+2004+1,-'Tech Parameters'!$I20+1)):AV461)</f>
        <v>0</v>
      </c>
      <c r="AW484" s="76">
        <f t="array" aca="1" ref="AW484" ca="1">SUM(OFFSET(AW135,0,IF(AW$7-2004-'Tech Parameters'!$I20&lt;1,-AW$7+2004+1,-'Tech Parameters'!$I20+1)):AW135*OFFSET(AW461,0,IF(AW$7-2004-'Tech Parameters'!$I20&lt;1,-AW$7+2004+1,-'Tech Parameters'!$I20+1)):AW461)</f>
        <v>0</v>
      </c>
    </row>
    <row r="485" spans="3:49">
      <c r="C485" t="str">
        <f t="shared" si="218"/>
        <v>IGCC</v>
      </c>
      <c r="D485">
        <f t="array" aca="1" ref="D485" ca="1">SUM(OFFSET(D136,0,IF(D$7-2004-'Tech Parameters'!$I21&lt;1,-D$7+2004+1,-'Tech Parameters'!$I21+1)):D136*OFFSET(D462,0,IF(D$7-2004-'Tech Parameters'!$I21&lt;1,-D$7+2004+1,-'Tech Parameters'!$I21+1)):D462)</f>
        <v>0</v>
      </c>
      <c r="E485">
        <f t="array" aca="1" ref="E485" ca="1">SUM(OFFSET(E136,0,IF(E$7-2004-'Tech Parameters'!$I21&lt;1,-E$7+2004+1,-'Tech Parameters'!$I21+1)):E136*OFFSET(E462,0,IF(E$7-2004-'Tech Parameters'!$I21&lt;1,-E$7+2004+1,-'Tech Parameters'!$I21+1)):E462)</f>
        <v>0</v>
      </c>
      <c r="F485">
        <f t="array" aca="1" ref="F485" ca="1">SUM(OFFSET(F136,0,IF(F$7-2004-'Tech Parameters'!$I21&lt;1,-F$7+2004+1,-'Tech Parameters'!$I21+1)):F136*OFFSET(F462,0,IF(F$7-2004-'Tech Parameters'!$I21&lt;1,-F$7+2004+1,-'Tech Parameters'!$I21+1)):F462)</f>
        <v>0</v>
      </c>
      <c r="G485">
        <f t="array" aca="1" ref="G485" ca="1">SUM(OFFSET(G136,0,IF(G$7-2004-'Tech Parameters'!$I21&lt;1,-G$7+2004+1,-'Tech Parameters'!$I21+1)):G136*OFFSET(G462,0,IF(G$7-2004-'Tech Parameters'!$I21&lt;1,-G$7+2004+1,-'Tech Parameters'!$I21+1)):G462)</f>
        <v>0</v>
      </c>
      <c r="H485">
        <f t="array" aca="1" ref="H485" ca="1">SUM(OFFSET(H136,0,IF(H$7-2004-'Tech Parameters'!$I21&lt;1,-H$7+2004+1,-'Tech Parameters'!$I21+1)):H136*OFFSET(H462,0,IF(H$7-2004-'Tech Parameters'!$I21&lt;1,-H$7+2004+1,-'Tech Parameters'!$I21+1)):H462)</f>
        <v>0</v>
      </c>
      <c r="I485">
        <f t="array" aca="1" ref="I485" ca="1">SUM(OFFSET(I136,0,IF(I$7-2004-'Tech Parameters'!$I21&lt;1,-I$7+2004+1,-'Tech Parameters'!$I21+1)):I136*OFFSET(I462,0,IF(I$7-2004-'Tech Parameters'!$I21&lt;1,-I$7+2004+1,-'Tech Parameters'!$I21+1)):I462)</f>
        <v>0</v>
      </c>
      <c r="J485">
        <f t="array" aca="1" ref="J485" ca="1">SUM(OFFSET(J136,0,IF(J$7-2004-'Tech Parameters'!$I21&lt;1,-J$7+2004+1,-'Tech Parameters'!$I21+1)):J136*OFFSET(J462,0,IF(J$7-2004-'Tech Parameters'!$I21&lt;1,-J$7+2004+1,-'Tech Parameters'!$I21+1)):J462)</f>
        <v>0</v>
      </c>
      <c r="K485">
        <f t="array" aca="1" ref="K485" ca="1">SUM(OFFSET(K136,0,IF(K$7-2004-'Tech Parameters'!$I21&lt;1,-K$7+2004+1,-'Tech Parameters'!$I21+1)):K136*OFFSET(K462,0,IF(K$7-2004-'Tech Parameters'!$I21&lt;1,-K$7+2004+1,-'Tech Parameters'!$I21+1)):K462)</f>
        <v>0</v>
      </c>
      <c r="L485">
        <f t="array" aca="1" ref="L485" ca="1">SUM(OFFSET(L136,0,IF(L$7-2004-'Tech Parameters'!$I21&lt;1,-L$7+2004+1,-'Tech Parameters'!$I21+1)):L136*OFFSET(L462,0,IF(L$7-2004-'Tech Parameters'!$I21&lt;1,-L$7+2004+1,-'Tech Parameters'!$I21+1)):L462)</f>
        <v>0</v>
      </c>
      <c r="M485">
        <f t="array" aca="1" ref="M485" ca="1">SUM(OFFSET(M136,0,IF(M$7-2004-'Tech Parameters'!$I21&lt;1,-M$7+2004+1,-'Tech Parameters'!$I21+1)):M136*OFFSET(M462,0,IF(M$7-2004-'Tech Parameters'!$I21&lt;1,-M$7+2004+1,-'Tech Parameters'!$I21+1)):M462)</f>
        <v>0</v>
      </c>
      <c r="N485">
        <f t="array" aca="1" ref="N485" ca="1">SUM(OFFSET(N136,0,IF(N$7-2004-'Tech Parameters'!$I21&lt;1,-N$7+2004+1,-'Tech Parameters'!$I21+1)):N136*OFFSET(N462,0,IF(N$7-2004-'Tech Parameters'!$I21&lt;1,-N$7+2004+1,-'Tech Parameters'!$I21+1)):N462)</f>
        <v>0</v>
      </c>
      <c r="O485">
        <f t="array" aca="1" ref="O485" ca="1">SUM(OFFSET(O136,0,IF(O$7-2004-'Tech Parameters'!$I21&lt;1,-O$7+2004+1,-'Tech Parameters'!$I21+1)):O136*OFFSET(O462,0,IF(O$7-2004-'Tech Parameters'!$I21&lt;1,-O$7+2004+1,-'Tech Parameters'!$I21+1)):O462)</f>
        <v>0</v>
      </c>
      <c r="P485">
        <f t="array" aca="1" ref="P485" ca="1">SUM(OFFSET(P136,0,IF(P$7-2004-'Tech Parameters'!$I21&lt;1,-P$7+2004+1,-'Tech Parameters'!$I21+1)):P136*OFFSET(P462,0,IF(P$7-2004-'Tech Parameters'!$I21&lt;1,-P$7+2004+1,-'Tech Parameters'!$I21+1)):P462)</f>
        <v>0</v>
      </c>
      <c r="Q485">
        <f t="array" aca="1" ref="Q485" ca="1">SUM(OFFSET(Q136,0,IF(Q$7-2004-'Tech Parameters'!$I21&lt;1,-Q$7+2004+1,-'Tech Parameters'!$I21+1)):Q136*OFFSET(Q462,0,IF(Q$7-2004-'Tech Parameters'!$I21&lt;1,-Q$7+2004+1,-'Tech Parameters'!$I21+1)):Q462)</f>
        <v>0</v>
      </c>
      <c r="R485">
        <f t="array" aca="1" ref="R485" ca="1">SUM(OFFSET(R136,0,IF(R$7-2004-'Tech Parameters'!$I21&lt;1,-R$7+2004+1,-'Tech Parameters'!$I21+1)):R136*OFFSET(R462,0,IF(R$7-2004-'Tech Parameters'!$I21&lt;1,-R$7+2004+1,-'Tech Parameters'!$I21+1)):R462)</f>
        <v>0</v>
      </c>
      <c r="S485">
        <f t="array" aca="1" ref="S485" ca="1">SUM(OFFSET(S136,0,IF(S$7-2004-'Tech Parameters'!$I21&lt;1,-S$7+2004+1,-'Tech Parameters'!$I21+1)):S136*OFFSET(S462,0,IF(S$7-2004-'Tech Parameters'!$I21&lt;1,-S$7+2004+1,-'Tech Parameters'!$I21+1)):S462)</f>
        <v>0</v>
      </c>
      <c r="T485">
        <f t="array" aca="1" ref="T485" ca="1">SUM(OFFSET(T136,0,IF(T$7-2004-'Tech Parameters'!$I21&lt;1,-T$7+2004+1,-'Tech Parameters'!$I21+1)):T136*OFFSET(T462,0,IF(T$7-2004-'Tech Parameters'!$I21&lt;1,-T$7+2004+1,-'Tech Parameters'!$I21+1)):T462)</f>
        <v>0</v>
      </c>
      <c r="U485">
        <f t="array" aca="1" ref="U485" ca="1">SUM(OFFSET(U136,0,IF(U$7-2004-'Tech Parameters'!$I21&lt;1,-U$7+2004+1,-'Tech Parameters'!$I21+1)):U136*OFFSET(U462,0,IF(U$7-2004-'Tech Parameters'!$I21&lt;1,-U$7+2004+1,-'Tech Parameters'!$I21+1)):U462)</f>
        <v>0</v>
      </c>
      <c r="V485">
        <f t="array" aca="1" ref="V485" ca="1">SUM(OFFSET(V136,0,IF(V$7-2004-'Tech Parameters'!$I21&lt;1,-V$7+2004+1,-'Tech Parameters'!$I21+1)):V136*OFFSET(V462,0,IF(V$7-2004-'Tech Parameters'!$I21&lt;1,-V$7+2004+1,-'Tech Parameters'!$I21+1)):V462)</f>
        <v>0</v>
      </c>
      <c r="W485">
        <f t="array" aca="1" ref="W485" ca="1">SUM(OFFSET(W136,0,IF(W$7-2004-'Tech Parameters'!$I21&lt;1,-W$7+2004+1,-'Tech Parameters'!$I21+1)):W136*OFFSET(W462,0,IF(W$7-2004-'Tech Parameters'!$I21&lt;1,-W$7+2004+1,-'Tech Parameters'!$I21+1)):W462)</f>
        <v>0</v>
      </c>
      <c r="X485">
        <f t="array" aca="1" ref="X485" ca="1">SUM(OFFSET(X136,0,IF(X$7-2004-'Tech Parameters'!$I21&lt;1,-X$7+2004+1,-'Tech Parameters'!$I21+1)):X136*OFFSET(X462,0,IF(X$7-2004-'Tech Parameters'!$I21&lt;1,-X$7+2004+1,-'Tech Parameters'!$I21+1)):X462)</f>
        <v>0</v>
      </c>
      <c r="Y485">
        <f t="array" aca="1" ref="Y485" ca="1">SUM(OFFSET(Y136,0,IF(Y$7-2004-'Tech Parameters'!$I21&lt;1,-Y$7+2004+1,-'Tech Parameters'!$I21+1)):Y136*OFFSET(Y462,0,IF(Y$7-2004-'Tech Parameters'!$I21&lt;1,-Y$7+2004+1,-'Tech Parameters'!$I21+1)):Y462)</f>
        <v>0</v>
      </c>
      <c r="Z485">
        <f t="array" aca="1" ref="Z485" ca="1">SUM(OFFSET(Z136,0,IF(Z$7-2004-'Tech Parameters'!$I21&lt;1,-Z$7+2004+1,-'Tech Parameters'!$I21+1)):Z136*OFFSET(Z462,0,IF(Z$7-2004-'Tech Parameters'!$I21&lt;1,-Z$7+2004+1,-'Tech Parameters'!$I21+1)):Z462)</f>
        <v>0</v>
      </c>
      <c r="AA485">
        <f t="array" aca="1" ref="AA485" ca="1">SUM(OFFSET(AA136,0,IF(AA$7-2004-'Tech Parameters'!$I21&lt;1,-AA$7+2004+1,-'Tech Parameters'!$I21+1)):AA136*OFFSET(AA462,0,IF(AA$7-2004-'Tech Parameters'!$I21&lt;1,-AA$7+2004+1,-'Tech Parameters'!$I21+1)):AA462)</f>
        <v>0</v>
      </c>
      <c r="AB485">
        <f t="array" aca="1" ref="AB485" ca="1">SUM(OFFSET(AB136,0,IF(AB$7-2004-'Tech Parameters'!$I21&lt;1,-AB$7+2004+1,-'Tech Parameters'!$I21+1)):AB136*OFFSET(AB462,0,IF(AB$7-2004-'Tech Parameters'!$I21&lt;1,-AB$7+2004+1,-'Tech Parameters'!$I21+1)):AB462)</f>
        <v>0</v>
      </c>
      <c r="AC485">
        <f t="array" aca="1" ref="AC485" ca="1">SUM(OFFSET(AC136,0,IF(AC$7-2004-'Tech Parameters'!$I21&lt;1,-AC$7+2004+1,-'Tech Parameters'!$I21+1)):AC136*OFFSET(AC462,0,IF(AC$7-2004-'Tech Parameters'!$I21&lt;1,-AC$7+2004+1,-'Tech Parameters'!$I21+1)):AC462)</f>
        <v>0</v>
      </c>
      <c r="AD485" s="76">
        <f t="array" aca="1" ref="AD485" ca="1">SUM(OFFSET(AD136,0,IF(AD$7-2004-'Tech Parameters'!$I21&lt;1,-AD$7+2004+1,-'Tech Parameters'!$I21+1)):AD136*OFFSET(AD462,0,IF(AD$7-2004-'Tech Parameters'!$I21&lt;1,-AD$7+2004+1,-'Tech Parameters'!$I21+1)):AD462)</f>
        <v>0</v>
      </c>
      <c r="AE485" s="76">
        <f t="array" aca="1" ref="AE485" ca="1">SUM(OFFSET(AE136,0,IF(AE$7-2004-'Tech Parameters'!$I21&lt;1,-AE$7+2004+1,-'Tech Parameters'!$I21+1)):AE136*OFFSET(AE462,0,IF(AE$7-2004-'Tech Parameters'!$I21&lt;1,-AE$7+2004+1,-'Tech Parameters'!$I21+1)):AE462)</f>
        <v>0</v>
      </c>
      <c r="AF485" s="76">
        <f t="array" aca="1" ref="AF485" ca="1">SUM(OFFSET(AF136,0,IF(AF$7-2004-'Tech Parameters'!$I21&lt;1,-AF$7+2004+1,-'Tech Parameters'!$I21+1)):AF136*OFFSET(AF462,0,IF(AF$7-2004-'Tech Parameters'!$I21&lt;1,-AF$7+2004+1,-'Tech Parameters'!$I21+1)):AF462)</f>
        <v>0</v>
      </c>
      <c r="AG485" s="76">
        <f t="array" aca="1" ref="AG485" ca="1">SUM(OFFSET(AG136,0,IF(AG$7-2004-'Tech Parameters'!$I21&lt;1,-AG$7+2004+1,-'Tech Parameters'!$I21+1)):AG136*OFFSET(AG462,0,IF(AG$7-2004-'Tech Parameters'!$I21&lt;1,-AG$7+2004+1,-'Tech Parameters'!$I21+1)):AG462)</f>
        <v>0</v>
      </c>
      <c r="AH485" s="76">
        <f t="array" aca="1" ref="AH485" ca="1">SUM(OFFSET(AH136,0,IF(AH$7-2004-'Tech Parameters'!$I21&lt;1,-AH$7+2004+1,-'Tech Parameters'!$I21+1)):AH136*OFFSET(AH462,0,IF(AH$7-2004-'Tech Parameters'!$I21&lt;1,-AH$7+2004+1,-'Tech Parameters'!$I21+1)):AH462)</f>
        <v>0</v>
      </c>
      <c r="AI485" s="76">
        <f t="array" aca="1" ref="AI485" ca="1">SUM(OFFSET(AI136,0,IF(AI$7-2004-'Tech Parameters'!$I21&lt;1,-AI$7+2004+1,-'Tech Parameters'!$I21+1)):AI136*OFFSET(AI462,0,IF(AI$7-2004-'Tech Parameters'!$I21&lt;1,-AI$7+2004+1,-'Tech Parameters'!$I21+1)):AI462)</f>
        <v>0</v>
      </c>
      <c r="AJ485" s="76">
        <f t="array" aca="1" ref="AJ485" ca="1">SUM(OFFSET(AJ136,0,IF(AJ$7-2004-'Tech Parameters'!$I21&lt;1,-AJ$7+2004+1,-'Tech Parameters'!$I21+1)):AJ136*OFFSET(AJ462,0,IF(AJ$7-2004-'Tech Parameters'!$I21&lt;1,-AJ$7+2004+1,-'Tech Parameters'!$I21+1)):AJ462)</f>
        <v>0</v>
      </c>
      <c r="AK485" s="76">
        <f t="array" aca="1" ref="AK485" ca="1">SUM(OFFSET(AK136,0,IF(AK$7-2004-'Tech Parameters'!$I21&lt;1,-AK$7+2004+1,-'Tech Parameters'!$I21+1)):AK136*OFFSET(AK462,0,IF(AK$7-2004-'Tech Parameters'!$I21&lt;1,-AK$7+2004+1,-'Tech Parameters'!$I21+1)):AK462)</f>
        <v>0</v>
      </c>
      <c r="AL485" s="76">
        <f t="array" aca="1" ref="AL485" ca="1">SUM(OFFSET(AL136,0,IF(AL$7-2004-'Tech Parameters'!$I21&lt;1,-AL$7+2004+1,-'Tech Parameters'!$I21+1)):AL136*OFFSET(AL462,0,IF(AL$7-2004-'Tech Parameters'!$I21&lt;1,-AL$7+2004+1,-'Tech Parameters'!$I21+1)):AL462)</f>
        <v>0</v>
      </c>
      <c r="AM485" s="76">
        <f t="array" aca="1" ref="AM485" ca="1">SUM(OFFSET(AM136,0,IF(AM$7-2004-'Tech Parameters'!$I21&lt;1,-AM$7+2004+1,-'Tech Parameters'!$I21+1)):AM136*OFFSET(AM462,0,IF(AM$7-2004-'Tech Parameters'!$I21&lt;1,-AM$7+2004+1,-'Tech Parameters'!$I21+1)):AM462)</f>
        <v>0</v>
      </c>
      <c r="AN485" s="76">
        <f t="array" aca="1" ref="AN485" ca="1">SUM(OFFSET(AN136,0,IF(AN$7-2004-'Tech Parameters'!$I21&lt;1,-AN$7+2004+1,-'Tech Parameters'!$I21+1)):AN136*OFFSET(AN462,0,IF(AN$7-2004-'Tech Parameters'!$I21&lt;1,-AN$7+2004+1,-'Tech Parameters'!$I21+1)):AN462)</f>
        <v>0</v>
      </c>
      <c r="AO485" s="76">
        <f t="array" aca="1" ref="AO485" ca="1">SUM(OFFSET(AO136,0,IF(AO$7-2004-'Tech Parameters'!$I21&lt;1,-AO$7+2004+1,-'Tech Parameters'!$I21+1)):AO136*OFFSET(AO462,0,IF(AO$7-2004-'Tech Parameters'!$I21&lt;1,-AO$7+2004+1,-'Tech Parameters'!$I21+1)):AO462)</f>
        <v>0</v>
      </c>
      <c r="AP485" s="76">
        <f t="array" aca="1" ref="AP485" ca="1">SUM(OFFSET(AP136,0,IF(AP$7-2004-'Tech Parameters'!$I21&lt;1,-AP$7+2004+1,-'Tech Parameters'!$I21+1)):AP136*OFFSET(AP462,0,IF(AP$7-2004-'Tech Parameters'!$I21&lt;1,-AP$7+2004+1,-'Tech Parameters'!$I21+1)):AP462)</f>
        <v>0</v>
      </c>
      <c r="AQ485" s="76">
        <f t="array" aca="1" ref="AQ485" ca="1">SUM(OFFSET(AQ136,0,IF(AQ$7-2004-'Tech Parameters'!$I21&lt;1,-AQ$7+2004+1,-'Tech Parameters'!$I21+1)):AQ136*OFFSET(AQ462,0,IF(AQ$7-2004-'Tech Parameters'!$I21&lt;1,-AQ$7+2004+1,-'Tech Parameters'!$I21+1)):AQ462)</f>
        <v>0</v>
      </c>
      <c r="AR485" s="76">
        <f t="array" aca="1" ref="AR485" ca="1">SUM(OFFSET(AR136,0,IF(AR$7-2004-'Tech Parameters'!$I21&lt;1,-AR$7+2004+1,-'Tech Parameters'!$I21+1)):AR136*OFFSET(AR462,0,IF(AR$7-2004-'Tech Parameters'!$I21&lt;1,-AR$7+2004+1,-'Tech Parameters'!$I21+1)):AR462)</f>
        <v>0</v>
      </c>
      <c r="AS485" s="76">
        <f t="array" aca="1" ref="AS485" ca="1">SUM(OFFSET(AS136,0,IF(AS$7-2004-'Tech Parameters'!$I21&lt;1,-AS$7+2004+1,-'Tech Parameters'!$I21+1)):AS136*OFFSET(AS462,0,IF(AS$7-2004-'Tech Parameters'!$I21&lt;1,-AS$7+2004+1,-'Tech Parameters'!$I21+1)):AS462)</f>
        <v>0</v>
      </c>
      <c r="AT485" s="76">
        <f t="array" aca="1" ref="AT485" ca="1">SUM(OFFSET(AT136,0,IF(AT$7-2004-'Tech Parameters'!$I21&lt;1,-AT$7+2004+1,-'Tech Parameters'!$I21+1)):AT136*OFFSET(AT462,0,IF(AT$7-2004-'Tech Parameters'!$I21&lt;1,-AT$7+2004+1,-'Tech Parameters'!$I21+1)):AT462)</f>
        <v>0</v>
      </c>
      <c r="AU485" s="76">
        <f t="array" aca="1" ref="AU485" ca="1">SUM(OFFSET(AU136,0,IF(AU$7-2004-'Tech Parameters'!$I21&lt;1,-AU$7+2004+1,-'Tech Parameters'!$I21+1)):AU136*OFFSET(AU462,0,IF(AU$7-2004-'Tech Parameters'!$I21&lt;1,-AU$7+2004+1,-'Tech Parameters'!$I21+1)):AU462)</f>
        <v>0</v>
      </c>
      <c r="AV485" s="76">
        <f t="array" aca="1" ref="AV485" ca="1">SUM(OFFSET(AV136,0,IF(AV$7-2004-'Tech Parameters'!$I21&lt;1,-AV$7+2004+1,-'Tech Parameters'!$I21+1)):AV136*OFFSET(AV462,0,IF(AV$7-2004-'Tech Parameters'!$I21&lt;1,-AV$7+2004+1,-'Tech Parameters'!$I21+1)):AV462)</f>
        <v>0</v>
      </c>
      <c r="AW485" s="76">
        <f t="array" aca="1" ref="AW485" ca="1">SUM(OFFSET(AW136,0,IF(AW$7-2004-'Tech Parameters'!$I21&lt;1,-AW$7+2004+1,-'Tech Parameters'!$I21+1)):AW136*OFFSET(AW462,0,IF(AW$7-2004-'Tech Parameters'!$I21&lt;1,-AW$7+2004+1,-'Tech Parameters'!$I21+1)):AW462)</f>
        <v>0</v>
      </c>
    </row>
    <row r="486" spans="3:49">
      <c r="C486" t="str">
        <f t="shared" si="218"/>
        <v>-</v>
      </c>
      <c r="D486">
        <f t="array" aca="1" ref="D486" ca="1">SUM(OFFSET(D137,0,IF(D$7-2004-'Tech Parameters'!$I22&lt;1,-D$7+2004+1,-'Tech Parameters'!$I22+1)):D137*OFFSET(D463,0,IF(D$7-2004-'Tech Parameters'!$I22&lt;1,-D$7+2004+1,-'Tech Parameters'!$I22+1)):D463)</f>
        <v>0</v>
      </c>
      <c r="E486">
        <f t="array" aca="1" ref="E486" ca="1">SUM(OFFSET(E137,0,IF(E$7-2004-'Tech Parameters'!$I22&lt;1,-E$7+2004+1,-'Tech Parameters'!$I22+1)):E137*OFFSET(E463,0,IF(E$7-2004-'Tech Parameters'!$I22&lt;1,-E$7+2004+1,-'Tech Parameters'!$I22+1)):E463)</f>
        <v>0</v>
      </c>
      <c r="F486">
        <f t="array" aca="1" ref="F486" ca="1">SUM(OFFSET(F137,0,IF(F$7-2004-'Tech Parameters'!$I22&lt;1,-F$7+2004+1,-'Tech Parameters'!$I22+1)):F137*OFFSET(F463,0,IF(F$7-2004-'Tech Parameters'!$I22&lt;1,-F$7+2004+1,-'Tech Parameters'!$I22+1)):F463)</f>
        <v>0</v>
      </c>
      <c r="G486">
        <f t="array" aca="1" ref="G486" ca="1">SUM(OFFSET(G137,0,IF(G$7-2004-'Tech Parameters'!$I22&lt;1,-G$7+2004+1,-'Tech Parameters'!$I22+1)):G137*OFFSET(G463,0,IF(G$7-2004-'Tech Parameters'!$I22&lt;1,-G$7+2004+1,-'Tech Parameters'!$I22+1)):G463)</f>
        <v>0</v>
      </c>
      <c r="H486">
        <f t="array" aca="1" ref="H486" ca="1">SUM(OFFSET(H137,0,IF(H$7-2004-'Tech Parameters'!$I22&lt;1,-H$7+2004+1,-'Tech Parameters'!$I22+1)):H137*OFFSET(H463,0,IF(H$7-2004-'Tech Parameters'!$I22&lt;1,-H$7+2004+1,-'Tech Parameters'!$I22+1)):H463)</f>
        <v>0</v>
      </c>
      <c r="I486">
        <f t="array" aca="1" ref="I486" ca="1">SUM(OFFSET(I137,0,IF(I$7-2004-'Tech Parameters'!$I22&lt;1,-I$7+2004+1,-'Tech Parameters'!$I22+1)):I137*OFFSET(I463,0,IF(I$7-2004-'Tech Parameters'!$I22&lt;1,-I$7+2004+1,-'Tech Parameters'!$I22+1)):I463)</f>
        <v>0</v>
      </c>
      <c r="J486">
        <f t="array" aca="1" ref="J486" ca="1">SUM(OFFSET(J137,0,IF(J$7-2004-'Tech Parameters'!$I22&lt;1,-J$7+2004+1,-'Tech Parameters'!$I22+1)):J137*OFFSET(J463,0,IF(J$7-2004-'Tech Parameters'!$I22&lt;1,-J$7+2004+1,-'Tech Parameters'!$I22+1)):J463)</f>
        <v>0</v>
      </c>
      <c r="K486">
        <f t="array" aca="1" ref="K486" ca="1">SUM(OFFSET(K137,0,IF(K$7-2004-'Tech Parameters'!$I22&lt;1,-K$7+2004+1,-'Tech Parameters'!$I22+1)):K137*OFFSET(K463,0,IF(K$7-2004-'Tech Parameters'!$I22&lt;1,-K$7+2004+1,-'Tech Parameters'!$I22+1)):K463)</f>
        <v>0</v>
      </c>
      <c r="L486">
        <f t="array" aca="1" ref="L486" ca="1">SUM(OFFSET(L137,0,IF(L$7-2004-'Tech Parameters'!$I22&lt;1,-L$7+2004+1,-'Tech Parameters'!$I22+1)):L137*OFFSET(L463,0,IF(L$7-2004-'Tech Parameters'!$I22&lt;1,-L$7+2004+1,-'Tech Parameters'!$I22+1)):L463)</f>
        <v>0</v>
      </c>
      <c r="M486">
        <f t="array" aca="1" ref="M486" ca="1">SUM(OFFSET(M137,0,IF(M$7-2004-'Tech Parameters'!$I22&lt;1,-M$7+2004+1,-'Tech Parameters'!$I22+1)):M137*OFFSET(M463,0,IF(M$7-2004-'Tech Parameters'!$I22&lt;1,-M$7+2004+1,-'Tech Parameters'!$I22+1)):M463)</f>
        <v>0</v>
      </c>
      <c r="N486">
        <f t="array" aca="1" ref="N486" ca="1">SUM(OFFSET(N137,0,IF(N$7-2004-'Tech Parameters'!$I22&lt;1,-N$7+2004+1,-'Tech Parameters'!$I22+1)):N137*OFFSET(N463,0,IF(N$7-2004-'Tech Parameters'!$I22&lt;1,-N$7+2004+1,-'Tech Parameters'!$I22+1)):N463)</f>
        <v>0</v>
      </c>
      <c r="O486">
        <f t="array" aca="1" ref="O486" ca="1">SUM(OFFSET(O137,0,IF(O$7-2004-'Tech Parameters'!$I22&lt;1,-O$7+2004+1,-'Tech Parameters'!$I22+1)):O137*OFFSET(O463,0,IF(O$7-2004-'Tech Parameters'!$I22&lt;1,-O$7+2004+1,-'Tech Parameters'!$I22+1)):O463)</f>
        <v>0</v>
      </c>
      <c r="P486">
        <f t="array" aca="1" ref="P486" ca="1">SUM(OFFSET(P137,0,IF(P$7-2004-'Tech Parameters'!$I22&lt;1,-P$7+2004+1,-'Tech Parameters'!$I22+1)):P137*OFFSET(P463,0,IF(P$7-2004-'Tech Parameters'!$I22&lt;1,-P$7+2004+1,-'Tech Parameters'!$I22+1)):P463)</f>
        <v>0</v>
      </c>
      <c r="Q486">
        <f t="array" aca="1" ref="Q486" ca="1">SUM(OFFSET(Q137,0,IF(Q$7-2004-'Tech Parameters'!$I22&lt;1,-Q$7+2004+1,-'Tech Parameters'!$I22+1)):Q137*OFFSET(Q463,0,IF(Q$7-2004-'Tech Parameters'!$I22&lt;1,-Q$7+2004+1,-'Tech Parameters'!$I22+1)):Q463)</f>
        <v>0</v>
      </c>
      <c r="R486">
        <f t="array" aca="1" ref="R486" ca="1">SUM(OFFSET(R137,0,IF(R$7-2004-'Tech Parameters'!$I22&lt;1,-R$7+2004+1,-'Tech Parameters'!$I22+1)):R137*OFFSET(R463,0,IF(R$7-2004-'Tech Parameters'!$I22&lt;1,-R$7+2004+1,-'Tech Parameters'!$I22+1)):R463)</f>
        <v>0</v>
      </c>
      <c r="S486">
        <f t="array" aca="1" ref="S486" ca="1">SUM(OFFSET(S137,0,IF(S$7-2004-'Tech Parameters'!$I22&lt;1,-S$7+2004+1,-'Tech Parameters'!$I22+1)):S137*OFFSET(S463,0,IF(S$7-2004-'Tech Parameters'!$I22&lt;1,-S$7+2004+1,-'Tech Parameters'!$I22+1)):S463)</f>
        <v>0</v>
      </c>
      <c r="T486">
        <f t="array" aca="1" ref="T486" ca="1">SUM(OFFSET(T137,0,IF(T$7-2004-'Tech Parameters'!$I22&lt;1,-T$7+2004+1,-'Tech Parameters'!$I22+1)):T137*OFFSET(T463,0,IF(T$7-2004-'Tech Parameters'!$I22&lt;1,-T$7+2004+1,-'Tech Parameters'!$I22+1)):T463)</f>
        <v>0</v>
      </c>
      <c r="U486">
        <f t="array" aca="1" ref="U486" ca="1">SUM(OFFSET(U137,0,IF(U$7-2004-'Tech Parameters'!$I22&lt;1,-U$7+2004+1,-'Tech Parameters'!$I22+1)):U137*OFFSET(U463,0,IF(U$7-2004-'Tech Parameters'!$I22&lt;1,-U$7+2004+1,-'Tech Parameters'!$I22+1)):U463)</f>
        <v>0</v>
      </c>
      <c r="V486">
        <f t="array" aca="1" ref="V486" ca="1">SUM(OFFSET(V137,0,IF(V$7-2004-'Tech Parameters'!$I22&lt;1,-V$7+2004+1,-'Tech Parameters'!$I22+1)):V137*OFFSET(V463,0,IF(V$7-2004-'Tech Parameters'!$I22&lt;1,-V$7+2004+1,-'Tech Parameters'!$I22+1)):V463)</f>
        <v>0</v>
      </c>
      <c r="W486">
        <f t="array" aca="1" ref="W486" ca="1">SUM(OFFSET(W137,0,IF(W$7-2004-'Tech Parameters'!$I22&lt;1,-W$7+2004+1,-'Tech Parameters'!$I22+1)):W137*OFFSET(W463,0,IF(W$7-2004-'Tech Parameters'!$I22&lt;1,-W$7+2004+1,-'Tech Parameters'!$I22+1)):W463)</f>
        <v>0</v>
      </c>
      <c r="X486">
        <f t="array" aca="1" ref="X486" ca="1">SUM(OFFSET(X137,0,IF(X$7-2004-'Tech Parameters'!$I22&lt;1,-X$7+2004+1,-'Tech Parameters'!$I22+1)):X137*OFFSET(X463,0,IF(X$7-2004-'Tech Parameters'!$I22&lt;1,-X$7+2004+1,-'Tech Parameters'!$I22+1)):X463)</f>
        <v>0</v>
      </c>
      <c r="Y486">
        <f t="array" aca="1" ref="Y486" ca="1">SUM(OFFSET(Y137,0,IF(Y$7-2004-'Tech Parameters'!$I22&lt;1,-Y$7+2004+1,-'Tech Parameters'!$I22+1)):Y137*OFFSET(Y463,0,IF(Y$7-2004-'Tech Parameters'!$I22&lt;1,-Y$7+2004+1,-'Tech Parameters'!$I22+1)):Y463)</f>
        <v>0</v>
      </c>
      <c r="Z486">
        <f t="array" aca="1" ref="Z486" ca="1">SUM(OFFSET(Z137,0,IF(Z$7-2004-'Tech Parameters'!$I22&lt;1,-Z$7+2004+1,-'Tech Parameters'!$I22+1)):Z137*OFFSET(Z463,0,IF(Z$7-2004-'Tech Parameters'!$I22&lt;1,-Z$7+2004+1,-'Tech Parameters'!$I22+1)):Z463)</f>
        <v>0</v>
      </c>
      <c r="AA486">
        <f t="array" aca="1" ref="AA486" ca="1">SUM(OFFSET(AA137,0,IF(AA$7-2004-'Tech Parameters'!$I22&lt;1,-AA$7+2004+1,-'Tech Parameters'!$I22+1)):AA137*OFFSET(AA463,0,IF(AA$7-2004-'Tech Parameters'!$I22&lt;1,-AA$7+2004+1,-'Tech Parameters'!$I22+1)):AA463)</f>
        <v>0</v>
      </c>
      <c r="AB486">
        <f t="array" aca="1" ref="AB486" ca="1">SUM(OFFSET(AB137,0,IF(AB$7-2004-'Tech Parameters'!$I22&lt;1,-AB$7+2004+1,-'Tech Parameters'!$I22+1)):AB137*OFFSET(AB463,0,IF(AB$7-2004-'Tech Parameters'!$I22&lt;1,-AB$7+2004+1,-'Tech Parameters'!$I22+1)):AB463)</f>
        <v>0</v>
      </c>
      <c r="AC486">
        <f t="array" aca="1" ref="AC486" ca="1">SUM(OFFSET(AC137,0,IF(AC$7-2004-'Tech Parameters'!$I22&lt;1,-AC$7+2004+1,-'Tech Parameters'!$I22+1)):AC137*OFFSET(AC463,0,IF(AC$7-2004-'Tech Parameters'!$I22&lt;1,-AC$7+2004+1,-'Tech Parameters'!$I22+1)):AC463)</f>
        <v>0</v>
      </c>
      <c r="AD486" s="76">
        <f t="array" aca="1" ref="AD486" ca="1">SUM(OFFSET(AD137,0,IF(AD$7-2004-'Tech Parameters'!$I22&lt;1,-AD$7+2004+1,-'Tech Parameters'!$I22+1)):AD137*OFFSET(AD463,0,IF(AD$7-2004-'Tech Parameters'!$I22&lt;1,-AD$7+2004+1,-'Tech Parameters'!$I22+1)):AD463)</f>
        <v>0</v>
      </c>
      <c r="AE486" s="76">
        <f t="array" aca="1" ref="AE486" ca="1">SUM(OFFSET(AE137,0,IF(AE$7-2004-'Tech Parameters'!$I22&lt;1,-AE$7+2004+1,-'Tech Parameters'!$I22+1)):AE137*OFFSET(AE463,0,IF(AE$7-2004-'Tech Parameters'!$I22&lt;1,-AE$7+2004+1,-'Tech Parameters'!$I22+1)):AE463)</f>
        <v>0</v>
      </c>
      <c r="AF486" s="76">
        <f t="array" aca="1" ref="AF486" ca="1">SUM(OFFSET(AF137,0,IF(AF$7-2004-'Tech Parameters'!$I22&lt;1,-AF$7+2004+1,-'Tech Parameters'!$I22+1)):AF137*OFFSET(AF463,0,IF(AF$7-2004-'Tech Parameters'!$I22&lt;1,-AF$7+2004+1,-'Tech Parameters'!$I22+1)):AF463)</f>
        <v>0</v>
      </c>
      <c r="AG486" s="76">
        <f t="array" aca="1" ref="AG486" ca="1">SUM(OFFSET(AG137,0,IF(AG$7-2004-'Tech Parameters'!$I22&lt;1,-AG$7+2004+1,-'Tech Parameters'!$I22+1)):AG137*OFFSET(AG463,0,IF(AG$7-2004-'Tech Parameters'!$I22&lt;1,-AG$7+2004+1,-'Tech Parameters'!$I22+1)):AG463)</f>
        <v>0</v>
      </c>
      <c r="AH486" s="76">
        <f t="array" aca="1" ref="AH486" ca="1">SUM(OFFSET(AH137,0,IF(AH$7-2004-'Tech Parameters'!$I22&lt;1,-AH$7+2004+1,-'Tech Parameters'!$I22+1)):AH137*OFFSET(AH463,0,IF(AH$7-2004-'Tech Parameters'!$I22&lt;1,-AH$7+2004+1,-'Tech Parameters'!$I22+1)):AH463)</f>
        <v>0</v>
      </c>
      <c r="AI486" s="76">
        <f t="array" aca="1" ref="AI486" ca="1">SUM(OFFSET(AI137,0,IF(AI$7-2004-'Tech Parameters'!$I22&lt;1,-AI$7+2004+1,-'Tech Parameters'!$I22+1)):AI137*OFFSET(AI463,0,IF(AI$7-2004-'Tech Parameters'!$I22&lt;1,-AI$7+2004+1,-'Tech Parameters'!$I22+1)):AI463)</f>
        <v>0</v>
      </c>
      <c r="AJ486" s="76">
        <f t="array" aca="1" ref="AJ486" ca="1">SUM(OFFSET(AJ137,0,IF(AJ$7-2004-'Tech Parameters'!$I22&lt;1,-AJ$7+2004+1,-'Tech Parameters'!$I22+1)):AJ137*OFFSET(AJ463,0,IF(AJ$7-2004-'Tech Parameters'!$I22&lt;1,-AJ$7+2004+1,-'Tech Parameters'!$I22+1)):AJ463)</f>
        <v>0</v>
      </c>
      <c r="AK486" s="76">
        <f t="array" aca="1" ref="AK486" ca="1">SUM(OFFSET(AK137,0,IF(AK$7-2004-'Tech Parameters'!$I22&lt;1,-AK$7+2004+1,-'Tech Parameters'!$I22+1)):AK137*OFFSET(AK463,0,IF(AK$7-2004-'Tech Parameters'!$I22&lt;1,-AK$7+2004+1,-'Tech Parameters'!$I22+1)):AK463)</f>
        <v>0</v>
      </c>
      <c r="AL486" s="76">
        <f t="array" aca="1" ref="AL486" ca="1">SUM(OFFSET(AL137,0,IF(AL$7-2004-'Tech Parameters'!$I22&lt;1,-AL$7+2004+1,-'Tech Parameters'!$I22+1)):AL137*OFFSET(AL463,0,IF(AL$7-2004-'Tech Parameters'!$I22&lt;1,-AL$7+2004+1,-'Tech Parameters'!$I22+1)):AL463)</f>
        <v>0</v>
      </c>
      <c r="AM486" s="76">
        <f t="array" aca="1" ref="AM486" ca="1">SUM(OFFSET(AM137,0,IF(AM$7-2004-'Tech Parameters'!$I22&lt;1,-AM$7+2004+1,-'Tech Parameters'!$I22+1)):AM137*OFFSET(AM463,0,IF(AM$7-2004-'Tech Parameters'!$I22&lt;1,-AM$7+2004+1,-'Tech Parameters'!$I22+1)):AM463)</f>
        <v>0</v>
      </c>
      <c r="AN486" s="76">
        <f t="array" aca="1" ref="AN486" ca="1">SUM(OFFSET(AN137,0,IF(AN$7-2004-'Tech Parameters'!$I22&lt;1,-AN$7+2004+1,-'Tech Parameters'!$I22+1)):AN137*OFFSET(AN463,0,IF(AN$7-2004-'Tech Parameters'!$I22&lt;1,-AN$7+2004+1,-'Tech Parameters'!$I22+1)):AN463)</f>
        <v>0</v>
      </c>
      <c r="AO486" s="76">
        <f t="array" aca="1" ref="AO486" ca="1">SUM(OFFSET(AO137,0,IF(AO$7-2004-'Tech Parameters'!$I22&lt;1,-AO$7+2004+1,-'Tech Parameters'!$I22+1)):AO137*OFFSET(AO463,0,IF(AO$7-2004-'Tech Parameters'!$I22&lt;1,-AO$7+2004+1,-'Tech Parameters'!$I22+1)):AO463)</f>
        <v>0</v>
      </c>
      <c r="AP486" s="76">
        <f t="array" aca="1" ref="AP486" ca="1">SUM(OFFSET(AP137,0,IF(AP$7-2004-'Tech Parameters'!$I22&lt;1,-AP$7+2004+1,-'Tech Parameters'!$I22+1)):AP137*OFFSET(AP463,0,IF(AP$7-2004-'Tech Parameters'!$I22&lt;1,-AP$7+2004+1,-'Tech Parameters'!$I22+1)):AP463)</f>
        <v>0</v>
      </c>
      <c r="AQ486" s="76">
        <f t="array" aca="1" ref="AQ486" ca="1">SUM(OFFSET(AQ137,0,IF(AQ$7-2004-'Tech Parameters'!$I22&lt;1,-AQ$7+2004+1,-'Tech Parameters'!$I22+1)):AQ137*OFFSET(AQ463,0,IF(AQ$7-2004-'Tech Parameters'!$I22&lt;1,-AQ$7+2004+1,-'Tech Parameters'!$I22+1)):AQ463)</f>
        <v>0</v>
      </c>
      <c r="AR486" s="76">
        <f t="array" aca="1" ref="AR486" ca="1">SUM(OFFSET(AR137,0,IF(AR$7-2004-'Tech Parameters'!$I22&lt;1,-AR$7+2004+1,-'Tech Parameters'!$I22+1)):AR137*OFFSET(AR463,0,IF(AR$7-2004-'Tech Parameters'!$I22&lt;1,-AR$7+2004+1,-'Tech Parameters'!$I22+1)):AR463)</f>
        <v>0</v>
      </c>
      <c r="AS486" s="76">
        <f t="array" aca="1" ref="AS486" ca="1">SUM(OFFSET(AS137,0,IF(AS$7-2004-'Tech Parameters'!$I22&lt;1,-AS$7+2004+1,-'Tech Parameters'!$I22+1)):AS137*OFFSET(AS463,0,IF(AS$7-2004-'Tech Parameters'!$I22&lt;1,-AS$7+2004+1,-'Tech Parameters'!$I22+1)):AS463)</f>
        <v>0</v>
      </c>
      <c r="AT486" s="76">
        <f t="array" aca="1" ref="AT486" ca="1">SUM(OFFSET(AT137,0,IF(AT$7-2004-'Tech Parameters'!$I22&lt;1,-AT$7+2004+1,-'Tech Parameters'!$I22+1)):AT137*OFFSET(AT463,0,IF(AT$7-2004-'Tech Parameters'!$I22&lt;1,-AT$7+2004+1,-'Tech Parameters'!$I22+1)):AT463)</f>
        <v>0</v>
      </c>
      <c r="AU486" s="76">
        <f t="array" aca="1" ref="AU486" ca="1">SUM(OFFSET(AU137,0,IF(AU$7-2004-'Tech Parameters'!$I22&lt;1,-AU$7+2004+1,-'Tech Parameters'!$I22+1)):AU137*OFFSET(AU463,0,IF(AU$7-2004-'Tech Parameters'!$I22&lt;1,-AU$7+2004+1,-'Tech Parameters'!$I22+1)):AU463)</f>
        <v>0</v>
      </c>
      <c r="AV486" s="76">
        <f t="array" aca="1" ref="AV486" ca="1">SUM(OFFSET(AV137,0,IF(AV$7-2004-'Tech Parameters'!$I22&lt;1,-AV$7+2004+1,-'Tech Parameters'!$I22+1)):AV137*OFFSET(AV463,0,IF(AV$7-2004-'Tech Parameters'!$I22&lt;1,-AV$7+2004+1,-'Tech Parameters'!$I22+1)):AV463)</f>
        <v>0</v>
      </c>
      <c r="AW486" s="76">
        <f t="array" aca="1" ref="AW486" ca="1">SUM(OFFSET(AW137,0,IF(AW$7-2004-'Tech Parameters'!$I22&lt;1,-AW$7+2004+1,-'Tech Parameters'!$I22+1)):AW137*OFFSET(AW463,0,IF(AW$7-2004-'Tech Parameters'!$I22&lt;1,-AW$7+2004+1,-'Tech Parameters'!$I22+1)):AW463)</f>
        <v>0</v>
      </c>
    </row>
    <row r="487" spans="3:49">
      <c r="C487" t="str">
        <f t="shared" si="218"/>
        <v>-</v>
      </c>
      <c r="D487">
        <f t="array" aca="1" ref="D487" ca="1">SUM(OFFSET(D138,0,IF(D$7-2004-'Tech Parameters'!$I23&lt;1,-D$7+2004+1,-'Tech Parameters'!$I23+1)):D138*OFFSET(D464,0,IF(D$7-2004-'Tech Parameters'!$I23&lt;1,-D$7+2004+1,-'Tech Parameters'!$I23+1)):D464)</f>
        <v>0</v>
      </c>
      <c r="E487">
        <f t="array" aca="1" ref="E487" ca="1">SUM(OFFSET(E138,0,IF(E$7-2004-'Tech Parameters'!$I23&lt;1,-E$7+2004+1,-'Tech Parameters'!$I23+1)):E138*OFFSET(E464,0,IF(E$7-2004-'Tech Parameters'!$I23&lt;1,-E$7+2004+1,-'Tech Parameters'!$I23+1)):E464)</f>
        <v>0</v>
      </c>
      <c r="F487">
        <f t="array" aca="1" ref="F487" ca="1">SUM(OFFSET(F138,0,IF(F$7-2004-'Tech Parameters'!$I23&lt;1,-F$7+2004+1,-'Tech Parameters'!$I23+1)):F138*OFFSET(F464,0,IF(F$7-2004-'Tech Parameters'!$I23&lt;1,-F$7+2004+1,-'Tech Parameters'!$I23+1)):F464)</f>
        <v>0</v>
      </c>
      <c r="G487">
        <f t="array" aca="1" ref="G487" ca="1">SUM(OFFSET(G138,0,IF(G$7-2004-'Tech Parameters'!$I23&lt;1,-G$7+2004+1,-'Tech Parameters'!$I23+1)):G138*OFFSET(G464,0,IF(G$7-2004-'Tech Parameters'!$I23&lt;1,-G$7+2004+1,-'Tech Parameters'!$I23+1)):G464)</f>
        <v>0</v>
      </c>
      <c r="H487">
        <f t="array" aca="1" ref="H487" ca="1">SUM(OFFSET(H138,0,IF(H$7-2004-'Tech Parameters'!$I23&lt;1,-H$7+2004+1,-'Tech Parameters'!$I23+1)):H138*OFFSET(H464,0,IF(H$7-2004-'Tech Parameters'!$I23&lt;1,-H$7+2004+1,-'Tech Parameters'!$I23+1)):H464)</f>
        <v>0</v>
      </c>
      <c r="I487">
        <f t="array" aca="1" ref="I487" ca="1">SUM(OFFSET(I138,0,IF(I$7-2004-'Tech Parameters'!$I23&lt;1,-I$7+2004+1,-'Tech Parameters'!$I23+1)):I138*OFFSET(I464,0,IF(I$7-2004-'Tech Parameters'!$I23&lt;1,-I$7+2004+1,-'Tech Parameters'!$I23+1)):I464)</f>
        <v>0</v>
      </c>
      <c r="J487">
        <f t="array" aca="1" ref="J487" ca="1">SUM(OFFSET(J138,0,IF(J$7-2004-'Tech Parameters'!$I23&lt;1,-J$7+2004+1,-'Tech Parameters'!$I23+1)):J138*OFFSET(J464,0,IF(J$7-2004-'Tech Parameters'!$I23&lt;1,-J$7+2004+1,-'Tech Parameters'!$I23+1)):J464)</f>
        <v>0</v>
      </c>
      <c r="K487">
        <f t="array" aca="1" ref="K487" ca="1">SUM(OFFSET(K138,0,IF(K$7-2004-'Tech Parameters'!$I23&lt;1,-K$7+2004+1,-'Tech Parameters'!$I23+1)):K138*OFFSET(K464,0,IF(K$7-2004-'Tech Parameters'!$I23&lt;1,-K$7+2004+1,-'Tech Parameters'!$I23+1)):K464)</f>
        <v>0</v>
      </c>
      <c r="L487">
        <f t="array" aca="1" ref="L487" ca="1">SUM(OFFSET(L138,0,IF(L$7-2004-'Tech Parameters'!$I23&lt;1,-L$7+2004+1,-'Tech Parameters'!$I23+1)):L138*OFFSET(L464,0,IF(L$7-2004-'Tech Parameters'!$I23&lt;1,-L$7+2004+1,-'Tech Parameters'!$I23+1)):L464)</f>
        <v>0</v>
      </c>
      <c r="M487">
        <f t="array" aca="1" ref="M487" ca="1">SUM(OFFSET(M138,0,IF(M$7-2004-'Tech Parameters'!$I23&lt;1,-M$7+2004+1,-'Tech Parameters'!$I23+1)):M138*OFFSET(M464,0,IF(M$7-2004-'Tech Parameters'!$I23&lt;1,-M$7+2004+1,-'Tech Parameters'!$I23+1)):M464)</f>
        <v>0</v>
      </c>
      <c r="N487">
        <f t="array" aca="1" ref="N487" ca="1">SUM(OFFSET(N138,0,IF(N$7-2004-'Tech Parameters'!$I23&lt;1,-N$7+2004+1,-'Tech Parameters'!$I23+1)):N138*OFFSET(N464,0,IF(N$7-2004-'Tech Parameters'!$I23&lt;1,-N$7+2004+1,-'Tech Parameters'!$I23+1)):N464)</f>
        <v>0</v>
      </c>
      <c r="O487">
        <f t="array" aca="1" ref="O487" ca="1">SUM(OFFSET(O138,0,IF(O$7-2004-'Tech Parameters'!$I23&lt;1,-O$7+2004+1,-'Tech Parameters'!$I23+1)):O138*OFFSET(O464,0,IF(O$7-2004-'Tech Parameters'!$I23&lt;1,-O$7+2004+1,-'Tech Parameters'!$I23+1)):O464)</f>
        <v>0</v>
      </c>
      <c r="P487">
        <f t="array" aca="1" ref="P487" ca="1">SUM(OFFSET(P138,0,IF(P$7-2004-'Tech Parameters'!$I23&lt;1,-P$7+2004+1,-'Tech Parameters'!$I23+1)):P138*OFFSET(P464,0,IF(P$7-2004-'Tech Parameters'!$I23&lt;1,-P$7+2004+1,-'Tech Parameters'!$I23+1)):P464)</f>
        <v>0</v>
      </c>
      <c r="Q487">
        <f t="array" aca="1" ref="Q487" ca="1">SUM(OFFSET(Q138,0,IF(Q$7-2004-'Tech Parameters'!$I23&lt;1,-Q$7+2004+1,-'Tech Parameters'!$I23+1)):Q138*OFFSET(Q464,0,IF(Q$7-2004-'Tech Parameters'!$I23&lt;1,-Q$7+2004+1,-'Tech Parameters'!$I23+1)):Q464)</f>
        <v>0</v>
      </c>
      <c r="R487">
        <f t="array" aca="1" ref="R487" ca="1">SUM(OFFSET(R138,0,IF(R$7-2004-'Tech Parameters'!$I23&lt;1,-R$7+2004+1,-'Tech Parameters'!$I23+1)):R138*OFFSET(R464,0,IF(R$7-2004-'Tech Parameters'!$I23&lt;1,-R$7+2004+1,-'Tech Parameters'!$I23+1)):R464)</f>
        <v>0</v>
      </c>
      <c r="S487">
        <f t="array" aca="1" ref="S487" ca="1">SUM(OFFSET(S138,0,IF(S$7-2004-'Tech Parameters'!$I23&lt;1,-S$7+2004+1,-'Tech Parameters'!$I23+1)):S138*OFFSET(S464,0,IF(S$7-2004-'Tech Parameters'!$I23&lt;1,-S$7+2004+1,-'Tech Parameters'!$I23+1)):S464)</f>
        <v>0</v>
      </c>
      <c r="T487">
        <f t="array" aca="1" ref="T487" ca="1">SUM(OFFSET(T138,0,IF(T$7-2004-'Tech Parameters'!$I23&lt;1,-T$7+2004+1,-'Tech Parameters'!$I23+1)):T138*OFFSET(T464,0,IF(T$7-2004-'Tech Parameters'!$I23&lt;1,-T$7+2004+1,-'Tech Parameters'!$I23+1)):T464)</f>
        <v>0</v>
      </c>
      <c r="U487">
        <f t="array" aca="1" ref="U487" ca="1">SUM(OFFSET(U138,0,IF(U$7-2004-'Tech Parameters'!$I23&lt;1,-U$7+2004+1,-'Tech Parameters'!$I23+1)):U138*OFFSET(U464,0,IF(U$7-2004-'Tech Parameters'!$I23&lt;1,-U$7+2004+1,-'Tech Parameters'!$I23+1)):U464)</f>
        <v>0</v>
      </c>
      <c r="V487">
        <f t="array" aca="1" ref="V487" ca="1">SUM(OFFSET(V138,0,IF(V$7-2004-'Tech Parameters'!$I23&lt;1,-V$7+2004+1,-'Tech Parameters'!$I23+1)):V138*OFFSET(V464,0,IF(V$7-2004-'Tech Parameters'!$I23&lt;1,-V$7+2004+1,-'Tech Parameters'!$I23+1)):V464)</f>
        <v>0</v>
      </c>
      <c r="W487">
        <f t="array" aca="1" ref="W487" ca="1">SUM(OFFSET(W138,0,IF(W$7-2004-'Tech Parameters'!$I23&lt;1,-W$7+2004+1,-'Tech Parameters'!$I23+1)):W138*OFFSET(W464,0,IF(W$7-2004-'Tech Parameters'!$I23&lt;1,-W$7+2004+1,-'Tech Parameters'!$I23+1)):W464)</f>
        <v>0</v>
      </c>
      <c r="X487">
        <f t="array" aca="1" ref="X487" ca="1">SUM(OFFSET(X138,0,IF(X$7-2004-'Tech Parameters'!$I23&lt;1,-X$7+2004+1,-'Tech Parameters'!$I23+1)):X138*OFFSET(X464,0,IF(X$7-2004-'Tech Parameters'!$I23&lt;1,-X$7+2004+1,-'Tech Parameters'!$I23+1)):X464)</f>
        <v>0</v>
      </c>
      <c r="Y487">
        <f t="array" aca="1" ref="Y487" ca="1">SUM(OFFSET(Y138,0,IF(Y$7-2004-'Tech Parameters'!$I23&lt;1,-Y$7+2004+1,-'Tech Parameters'!$I23+1)):Y138*OFFSET(Y464,0,IF(Y$7-2004-'Tech Parameters'!$I23&lt;1,-Y$7+2004+1,-'Tech Parameters'!$I23+1)):Y464)</f>
        <v>0</v>
      </c>
      <c r="Z487">
        <f t="array" aca="1" ref="Z487" ca="1">SUM(OFFSET(Z138,0,IF(Z$7-2004-'Tech Parameters'!$I23&lt;1,-Z$7+2004+1,-'Tech Parameters'!$I23+1)):Z138*OFFSET(Z464,0,IF(Z$7-2004-'Tech Parameters'!$I23&lt;1,-Z$7+2004+1,-'Tech Parameters'!$I23+1)):Z464)</f>
        <v>0</v>
      </c>
      <c r="AA487">
        <f t="array" aca="1" ref="AA487" ca="1">SUM(OFFSET(AA138,0,IF(AA$7-2004-'Tech Parameters'!$I23&lt;1,-AA$7+2004+1,-'Tech Parameters'!$I23+1)):AA138*OFFSET(AA464,0,IF(AA$7-2004-'Tech Parameters'!$I23&lt;1,-AA$7+2004+1,-'Tech Parameters'!$I23+1)):AA464)</f>
        <v>0</v>
      </c>
      <c r="AB487">
        <f t="array" aca="1" ref="AB487" ca="1">SUM(OFFSET(AB138,0,IF(AB$7-2004-'Tech Parameters'!$I23&lt;1,-AB$7+2004+1,-'Tech Parameters'!$I23+1)):AB138*OFFSET(AB464,0,IF(AB$7-2004-'Tech Parameters'!$I23&lt;1,-AB$7+2004+1,-'Tech Parameters'!$I23+1)):AB464)</f>
        <v>0</v>
      </c>
      <c r="AC487">
        <f t="array" aca="1" ref="AC487" ca="1">SUM(OFFSET(AC138,0,IF(AC$7-2004-'Tech Parameters'!$I23&lt;1,-AC$7+2004+1,-'Tech Parameters'!$I23+1)):AC138*OFFSET(AC464,0,IF(AC$7-2004-'Tech Parameters'!$I23&lt;1,-AC$7+2004+1,-'Tech Parameters'!$I23+1)):AC464)</f>
        <v>0</v>
      </c>
      <c r="AD487" s="76">
        <f t="array" aca="1" ref="AD487" ca="1">SUM(OFFSET(AD138,0,IF(AD$7-2004-'Tech Parameters'!$I23&lt;1,-AD$7+2004+1,-'Tech Parameters'!$I23+1)):AD138*OFFSET(AD464,0,IF(AD$7-2004-'Tech Parameters'!$I23&lt;1,-AD$7+2004+1,-'Tech Parameters'!$I23+1)):AD464)</f>
        <v>0</v>
      </c>
      <c r="AE487" s="76">
        <f t="array" aca="1" ref="AE487" ca="1">SUM(OFFSET(AE138,0,IF(AE$7-2004-'Tech Parameters'!$I23&lt;1,-AE$7+2004+1,-'Tech Parameters'!$I23+1)):AE138*OFFSET(AE464,0,IF(AE$7-2004-'Tech Parameters'!$I23&lt;1,-AE$7+2004+1,-'Tech Parameters'!$I23+1)):AE464)</f>
        <v>0</v>
      </c>
      <c r="AF487" s="76">
        <f t="array" aca="1" ref="AF487" ca="1">SUM(OFFSET(AF138,0,IF(AF$7-2004-'Tech Parameters'!$I23&lt;1,-AF$7+2004+1,-'Tech Parameters'!$I23+1)):AF138*OFFSET(AF464,0,IF(AF$7-2004-'Tech Parameters'!$I23&lt;1,-AF$7+2004+1,-'Tech Parameters'!$I23+1)):AF464)</f>
        <v>0</v>
      </c>
      <c r="AG487" s="76">
        <f t="array" aca="1" ref="AG487" ca="1">SUM(OFFSET(AG138,0,IF(AG$7-2004-'Tech Parameters'!$I23&lt;1,-AG$7+2004+1,-'Tech Parameters'!$I23+1)):AG138*OFFSET(AG464,0,IF(AG$7-2004-'Tech Parameters'!$I23&lt;1,-AG$7+2004+1,-'Tech Parameters'!$I23+1)):AG464)</f>
        <v>0</v>
      </c>
      <c r="AH487" s="76">
        <f t="array" aca="1" ref="AH487" ca="1">SUM(OFFSET(AH138,0,IF(AH$7-2004-'Tech Parameters'!$I23&lt;1,-AH$7+2004+1,-'Tech Parameters'!$I23+1)):AH138*OFFSET(AH464,0,IF(AH$7-2004-'Tech Parameters'!$I23&lt;1,-AH$7+2004+1,-'Tech Parameters'!$I23+1)):AH464)</f>
        <v>0</v>
      </c>
      <c r="AI487" s="76">
        <f t="array" aca="1" ref="AI487" ca="1">SUM(OFFSET(AI138,0,IF(AI$7-2004-'Tech Parameters'!$I23&lt;1,-AI$7+2004+1,-'Tech Parameters'!$I23+1)):AI138*OFFSET(AI464,0,IF(AI$7-2004-'Tech Parameters'!$I23&lt;1,-AI$7+2004+1,-'Tech Parameters'!$I23+1)):AI464)</f>
        <v>0</v>
      </c>
      <c r="AJ487" s="76">
        <f t="array" aca="1" ref="AJ487" ca="1">SUM(OFFSET(AJ138,0,IF(AJ$7-2004-'Tech Parameters'!$I23&lt;1,-AJ$7+2004+1,-'Tech Parameters'!$I23+1)):AJ138*OFFSET(AJ464,0,IF(AJ$7-2004-'Tech Parameters'!$I23&lt;1,-AJ$7+2004+1,-'Tech Parameters'!$I23+1)):AJ464)</f>
        <v>0</v>
      </c>
      <c r="AK487" s="76">
        <f t="array" aca="1" ref="AK487" ca="1">SUM(OFFSET(AK138,0,IF(AK$7-2004-'Tech Parameters'!$I23&lt;1,-AK$7+2004+1,-'Tech Parameters'!$I23+1)):AK138*OFFSET(AK464,0,IF(AK$7-2004-'Tech Parameters'!$I23&lt;1,-AK$7+2004+1,-'Tech Parameters'!$I23+1)):AK464)</f>
        <v>0</v>
      </c>
      <c r="AL487" s="76">
        <f t="array" aca="1" ref="AL487" ca="1">SUM(OFFSET(AL138,0,IF(AL$7-2004-'Tech Parameters'!$I23&lt;1,-AL$7+2004+1,-'Tech Parameters'!$I23+1)):AL138*OFFSET(AL464,0,IF(AL$7-2004-'Tech Parameters'!$I23&lt;1,-AL$7+2004+1,-'Tech Parameters'!$I23+1)):AL464)</f>
        <v>0</v>
      </c>
      <c r="AM487" s="76">
        <f t="array" aca="1" ref="AM487" ca="1">SUM(OFFSET(AM138,0,IF(AM$7-2004-'Tech Parameters'!$I23&lt;1,-AM$7+2004+1,-'Tech Parameters'!$I23+1)):AM138*OFFSET(AM464,0,IF(AM$7-2004-'Tech Parameters'!$I23&lt;1,-AM$7+2004+1,-'Tech Parameters'!$I23+1)):AM464)</f>
        <v>0</v>
      </c>
      <c r="AN487" s="76">
        <f t="array" aca="1" ref="AN487" ca="1">SUM(OFFSET(AN138,0,IF(AN$7-2004-'Tech Parameters'!$I23&lt;1,-AN$7+2004+1,-'Tech Parameters'!$I23+1)):AN138*OFFSET(AN464,0,IF(AN$7-2004-'Tech Parameters'!$I23&lt;1,-AN$7+2004+1,-'Tech Parameters'!$I23+1)):AN464)</f>
        <v>0</v>
      </c>
      <c r="AO487" s="76">
        <f t="array" aca="1" ref="AO487" ca="1">SUM(OFFSET(AO138,0,IF(AO$7-2004-'Tech Parameters'!$I23&lt;1,-AO$7+2004+1,-'Tech Parameters'!$I23+1)):AO138*OFFSET(AO464,0,IF(AO$7-2004-'Tech Parameters'!$I23&lt;1,-AO$7+2004+1,-'Tech Parameters'!$I23+1)):AO464)</f>
        <v>0</v>
      </c>
      <c r="AP487" s="76">
        <f t="array" aca="1" ref="AP487" ca="1">SUM(OFFSET(AP138,0,IF(AP$7-2004-'Tech Parameters'!$I23&lt;1,-AP$7+2004+1,-'Tech Parameters'!$I23+1)):AP138*OFFSET(AP464,0,IF(AP$7-2004-'Tech Parameters'!$I23&lt;1,-AP$7+2004+1,-'Tech Parameters'!$I23+1)):AP464)</f>
        <v>0</v>
      </c>
      <c r="AQ487" s="76">
        <f t="array" aca="1" ref="AQ487" ca="1">SUM(OFFSET(AQ138,0,IF(AQ$7-2004-'Tech Parameters'!$I23&lt;1,-AQ$7+2004+1,-'Tech Parameters'!$I23+1)):AQ138*OFFSET(AQ464,0,IF(AQ$7-2004-'Tech Parameters'!$I23&lt;1,-AQ$7+2004+1,-'Tech Parameters'!$I23+1)):AQ464)</f>
        <v>0</v>
      </c>
      <c r="AR487" s="76">
        <f t="array" aca="1" ref="AR487" ca="1">SUM(OFFSET(AR138,0,IF(AR$7-2004-'Tech Parameters'!$I23&lt;1,-AR$7+2004+1,-'Tech Parameters'!$I23+1)):AR138*OFFSET(AR464,0,IF(AR$7-2004-'Tech Parameters'!$I23&lt;1,-AR$7+2004+1,-'Tech Parameters'!$I23+1)):AR464)</f>
        <v>0</v>
      </c>
      <c r="AS487" s="76">
        <f t="array" aca="1" ref="AS487" ca="1">SUM(OFFSET(AS138,0,IF(AS$7-2004-'Tech Parameters'!$I23&lt;1,-AS$7+2004+1,-'Tech Parameters'!$I23+1)):AS138*OFFSET(AS464,0,IF(AS$7-2004-'Tech Parameters'!$I23&lt;1,-AS$7+2004+1,-'Tech Parameters'!$I23+1)):AS464)</f>
        <v>0</v>
      </c>
      <c r="AT487" s="76">
        <f t="array" aca="1" ref="AT487" ca="1">SUM(OFFSET(AT138,0,IF(AT$7-2004-'Tech Parameters'!$I23&lt;1,-AT$7+2004+1,-'Tech Parameters'!$I23+1)):AT138*OFFSET(AT464,0,IF(AT$7-2004-'Tech Parameters'!$I23&lt;1,-AT$7+2004+1,-'Tech Parameters'!$I23+1)):AT464)</f>
        <v>0</v>
      </c>
      <c r="AU487" s="76">
        <f t="array" aca="1" ref="AU487" ca="1">SUM(OFFSET(AU138,0,IF(AU$7-2004-'Tech Parameters'!$I23&lt;1,-AU$7+2004+1,-'Tech Parameters'!$I23+1)):AU138*OFFSET(AU464,0,IF(AU$7-2004-'Tech Parameters'!$I23&lt;1,-AU$7+2004+1,-'Tech Parameters'!$I23+1)):AU464)</f>
        <v>0</v>
      </c>
      <c r="AV487" s="76">
        <f t="array" aca="1" ref="AV487" ca="1">SUM(OFFSET(AV138,0,IF(AV$7-2004-'Tech Parameters'!$I23&lt;1,-AV$7+2004+1,-'Tech Parameters'!$I23+1)):AV138*OFFSET(AV464,0,IF(AV$7-2004-'Tech Parameters'!$I23&lt;1,-AV$7+2004+1,-'Tech Parameters'!$I23+1)):AV464)</f>
        <v>0</v>
      </c>
      <c r="AW487" s="76">
        <f t="array" aca="1" ref="AW487" ca="1">SUM(OFFSET(AW138,0,IF(AW$7-2004-'Tech Parameters'!$I23&lt;1,-AW$7+2004+1,-'Tech Parameters'!$I23+1)):AW138*OFFSET(AW464,0,IF(AW$7-2004-'Tech Parameters'!$I23&lt;1,-AW$7+2004+1,-'Tech Parameters'!$I23+1)):AW464)</f>
        <v>0</v>
      </c>
    </row>
    <row r="488" spans="3:49">
      <c r="C488" t="str">
        <f t="shared" si="218"/>
        <v>-</v>
      </c>
      <c r="D488">
        <f t="array" aca="1" ref="D488" ca="1">SUM(OFFSET(D139,0,IF(D$7-2004-'Tech Parameters'!$I24&lt;1,-D$7+2004+1,-'Tech Parameters'!$I24+1)):D139*OFFSET(D465,0,IF(D$7-2004-'Tech Parameters'!$I24&lt;1,-D$7+2004+1,-'Tech Parameters'!$I24+1)):D465)</f>
        <v>0</v>
      </c>
      <c r="E488">
        <f t="array" aca="1" ref="E488" ca="1">SUM(OFFSET(E139,0,IF(E$7-2004-'Tech Parameters'!$I24&lt;1,-E$7+2004+1,-'Tech Parameters'!$I24+1)):E139*OFFSET(E465,0,IF(E$7-2004-'Tech Parameters'!$I24&lt;1,-E$7+2004+1,-'Tech Parameters'!$I24+1)):E465)</f>
        <v>0</v>
      </c>
      <c r="F488">
        <f t="array" aca="1" ref="F488" ca="1">SUM(OFFSET(F139,0,IF(F$7-2004-'Tech Parameters'!$I24&lt;1,-F$7+2004+1,-'Tech Parameters'!$I24+1)):F139*OFFSET(F465,0,IF(F$7-2004-'Tech Parameters'!$I24&lt;1,-F$7+2004+1,-'Tech Parameters'!$I24+1)):F465)</f>
        <v>0</v>
      </c>
      <c r="G488">
        <f t="array" aca="1" ref="G488" ca="1">SUM(OFFSET(G139,0,IF(G$7-2004-'Tech Parameters'!$I24&lt;1,-G$7+2004+1,-'Tech Parameters'!$I24+1)):G139*OFFSET(G465,0,IF(G$7-2004-'Tech Parameters'!$I24&lt;1,-G$7+2004+1,-'Tech Parameters'!$I24+1)):G465)</f>
        <v>0</v>
      </c>
      <c r="H488">
        <f t="array" aca="1" ref="H488" ca="1">SUM(OFFSET(H139,0,IF(H$7-2004-'Tech Parameters'!$I24&lt;1,-H$7+2004+1,-'Tech Parameters'!$I24+1)):H139*OFFSET(H465,0,IF(H$7-2004-'Tech Parameters'!$I24&lt;1,-H$7+2004+1,-'Tech Parameters'!$I24+1)):H465)</f>
        <v>0</v>
      </c>
      <c r="I488">
        <f t="array" aca="1" ref="I488" ca="1">SUM(OFFSET(I139,0,IF(I$7-2004-'Tech Parameters'!$I24&lt;1,-I$7+2004+1,-'Tech Parameters'!$I24+1)):I139*OFFSET(I465,0,IF(I$7-2004-'Tech Parameters'!$I24&lt;1,-I$7+2004+1,-'Tech Parameters'!$I24+1)):I465)</f>
        <v>0</v>
      </c>
      <c r="J488">
        <f t="array" aca="1" ref="J488" ca="1">SUM(OFFSET(J139,0,IF(J$7-2004-'Tech Parameters'!$I24&lt;1,-J$7+2004+1,-'Tech Parameters'!$I24+1)):J139*OFFSET(J465,0,IF(J$7-2004-'Tech Parameters'!$I24&lt;1,-J$7+2004+1,-'Tech Parameters'!$I24+1)):J465)</f>
        <v>0</v>
      </c>
      <c r="K488">
        <f t="array" aca="1" ref="K488" ca="1">SUM(OFFSET(K139,0,IF(K$7-2004-'Tech Parameters'!$I24&lt;1,-K$7+2004+1,-'Tech Parameters'!$I24+1)):K139*OFFSET(K465,0,IF(K$7-2004-'Tech Parameters'!$I24&lt;1,-K$7+2004+1,-'Tech Parameters'!$I24+1)):K465)</f>
        <v>0</v>
      </c>
      <c r="L488">
        <f t="array" aca="1" ref="L488" ca="1">SUM(OFFSET(L139,0,IF(L$7-2004-'Tech Parameters'!$I24&lt;1,-L$7+2004+1,-'Tech Parameters'!$I24+1)):L139*OFFSET(L465,0,IF(L$7-2004-'Tech Parameters'!$I24&lt;1,-L$7+2004+1,-'Tech Parameters'!$I24+1)):L465)</f>
        <v>0</v>
      </c>
      <c r="M488">
        <f t="array" aca="1" ref="M488" ca="1">SUM(OFFSET(M139,0,IF(M$7-2004-'Tech Parameters'!$I24&lt;1,-M$7+2004+1,-'Tech Parameters'!$I24+1)):M139*OFFSET(M465,0,IF(M$7-2004-'Tech Parameters'!$I24&lt;1,-M$7+2004+1,-'Tech Parameters'!$I24+1)):M465)</f>
        <v>0</v>
      </c>
      <c r="N488">
        <f t="array" aca="1" ref="N488" ca="1">SUM(OFFSET(N139,0,IF(N$7-2004-'Tech Parameters'!$I24&lt;1,-N$7+2004+1,-'Tech Parameters'!$I24+1)):N139*OFFSET(N465,0,IF(N$7-2004-'Tech Parameters'!$I24&lt;1,-N$7+2004+1,-'Tech Parameters'!$I24+1)):N465)</f>
        <v>0</v>
      </c>
      <c r="O488">
        <f t="array" aca="1" ref="O488" ca="1">SUM(OFFSET(O139,0,IF(O$7-2004-'Tech Parameters'!$I24&lt;1,-O$7+2004+1,-'Tech Parameters'!$I24+1)):O139*OFFSET(O465,0,IF(O$7-2004-'Tech Parameters'!$I24&lt;1,-O$7+2004+1,-'Tech Parameters'!$I24+1)):O465)</f>
        <v>0</v>
      </c>
      <c r="P488">
        <f t="array" aca="1" ref="P488" ca="1">SUM(OFFSET(P139,0,IF(P$7-2004-'Tech Parameters'!$I24&lt;1,-P$7+2004+1,-'Tech Parameters'!$I24+1)):P139*OFFSET(P465,0,IF(P$7-2004-'Tech Parameters'!$I24&lt;1,-P$7+2004+1,-'Tech Parameters'!$I24+1)):P465)</f>
        <v>0</v>
      </c>
      <c r="Q488">
        <f t="array" aca="1" ref="Q488" ca="1">SUM(OFFSET(Q139,0,IF(Q$7-2004-'Tech Parameters'!$I24&lt;1,-Q$7+2004+1,-'Tech Parameters'!$I24+1)):Q139*OFFSET(Q465,0,IF(Q$7-2004-'Tech Parameters'!$I24&lt;1,-Q$7+2004+1,-'Tech Parameters'!$I24+1)):Q465)</f>
        <v>0</v>
      </c>
      <c r="R488">
        <f t="array" aca="1" ref="R488" ca="1">SUM(OFFSET(R139,0,IF(R$7-2004-'Tech Parameters'!$I24&lt;1,-R$7+2004+1,-'Tech Parameters'!$I24+1)):R139*OFFSET(R465,0,IF(R$7-2004-'Tech Parameters'!$I24&lt;1,-R$7+2004+1,-'Tech Parameters'!$I24+1)):R465)</f>
        <v>0</v>
      </c>
      <c r="S488">
        <f t="array" aca="1" ref="S488" ca="1">SUM(OFFSET(S139,0,IF(S$7-2004-'Tech Parameters'!$I24&lt;1,-S$7+2004+1,-'Tech Parameters'!$I24+1)):S139*OFFSET(S465,0,IF(S$7-2004-'Tech Parameters'!$I24&lt;1,-S$7+2004+1,-'Tech Parameters'!$I24+1)):S465)</f>
        <v>0</v>
      </c>
      <c r="T488">
        <f t="array" aca="1" ref="T488" ca="1">SUM(OFFSET(T139,0,IF(T$7-2004-'Tech Parameters'!$I24&lt;1,-T$7+2004+1,-'Tech Parameters'!$I24+1)):T139*OFFSET(T465,0,IF(T$7-2004-'Tech Parameters'!$I24&lt;1,-T$7+2004+1,-'Tech Parameters'!$I24+1)):T465)</f>
        <v>0</v>
      </c>
      <c r="U488">
        <f t="array" aca="1" ref="U488" ca="1">SUM(OFFSET(U139,0,IF(U$7-2004-'Tech Parameters'!$I24&lt;1,-U$7+2004+1,-'Tech Parameters'!$I24+1)):U139*OFFSET(U465,0,IF(U$7-2004-'Tech Parameters'!$I24&lt;1,-U$7+2004+1,-'Tech Parameters'!$I24+1)):U465)</f>
        <v>0</v>
      </c>
      <c r="V488">
        <f t="array" aca="1" ref="V488" ca="1">SUM(OFFSET(V139,0,IF(V$7-2004-'Tech Parameters'!$I24&lt;1,-V$7+2004+1,-'Tech Parameters'!$I24+1)):V139*OFFSET(V465,0,IF(V$7-2004-'Tech Parameters'!$I24&lt;1,-V$7+2004+1,-'Tech Parameters'!$I24+1)):V465)</f>
        <v>0</v>
      </c>
      <c r="W488">
        <f t="array" aca="1" ref="W488" ca="1">SUM(OFFSET(W139,0,IF(W$7-2004-'Tech Parameters'!$I24&lt;1,-W$7+2004+1,-'Tech Parameters'!$I24+1)):W139*OFFSET(W465,0,IF(W$7-2004-'Tech Parameters'!$I24&lt;1,-W$7+2004+1,-'Tech Parameters'!$I24+1)):W465)</f>
        <v>0</v>
      </c>
      <c r="X488">
        <f t="array" aca="1" ref="X488" ca="1">SUM(OFFSET(X139,0,IF(X$7-2004-'Tech Parameters'!$I24&lt;1,-X$7+2004+1,-'Tech Parameters'!$I24+1)):X139*OFFSET(X465,0,IF(X$7-2004-'Tech Parameters'!$I24&lt;1,-X$7+2004+1,-'Tech Parameters'!$I24+1)):X465)</f>
        <v>0</v>
      </c>
      <c r="Y488">
        <f t="array" aca="1" ref="Y488" ca="1">SUM(OFFSET(Y139,0,IF(Y$7-2004-'Tech Parameters'!$I24&lt;1,-Y$7+2004+1,-'Tech Parameters'!$I24+1)):Y139*OFFSET(Y465,0,IF(Y$7-2004-'Tech Parameters'!$I24&lt;1,-Y$7+2004+1,-'Tech Parameters'!$I24+1)):Y465)</f>
        <v>0</v>
      </c>
      <c r="Z488">
        <f t="array" aca="1" ref="Z488" ca="1">SUM(OFFSET(Z139,0,IF(Z$7-2004-'Tech Parameters'!$I24&lt;1,-Z$7+2004+1,-'Tech Parameters'!$I24+1)):Z139*OFFSET(Z465,0,IF(Z$7-2004-'Tech Parameters'!$I24&lt;1,-Z$7+2004+1,-'Tech Parameters'!$I24+1)):Z465)</f>
        <v>0</v>
      </c>
      <c r="AA488">
        <f t="array" aca="1" ref="AA488" ca="1">SUM(OFFSET(AA139,0,IF(AA$7-2004-'Tech Parameters'!$I24&lt;1,-AA$7+2004+1,-'Tech Parameters'!$I24+1)):AA139*OFFSET(AA465,0,IF(AA$7-2004-'Tech Parameters'!$I24&lt;1,-AA$7+2004+1,-'Tech Parameters'!$I24+1)):AA465)</f>
        <v>0</v>
      </c>
      <c r="AB488">
        <f t="array" aca="1" ref="AB488" ca="1">SUM(OFFSET(AB139,0,IF(AB$7-2004-'Tech Parameters'!$I24&lt;1,-AB$7+2004+1,-'Tech Parameters'!$I24+1)):AB139*OFFSET(AB465,0,IF(AB$7-2004-'Tech Parameters'!$I24&lt;1,-AB$7+2004+1,-'Tech Parameters'!$I24+1)):AB465)</f>
        <v>0</v>
      </c>
      <c r="AC488">
        <f t="array" aca="1" ref="AC488" ca="1">SUM(OFFSET(AC139,0,IF(AC$7-2004-'Tech Parameters'!$I24&lt;1,-AC$7+2004+1,-'Tech Parameters'!$I24+1)):AC139*OFFSET(AC465,0,IF(AC$7-2004-'Tech Parameters'!$I24&lt;1,-AC$7+2004+1,-'Tech Parameters'!$I24+1)):AC465)</f>
        <v>0</v>
      </c>
      <c r="AD488" s="76">
        <f t="array" aca="1" ref="AD488" ca="1">SUM(OFFSET(AD139,0,IF(AD$7-2004-'Tech Parameters'!$I24&lt;1,-AD$7+2004+1,-'Tech Parameters'!$I24+1)):AD139*OFFSET(AD465,0,IF(AD$7-2004-'Tech Parameters'!$I24&lt;1,-AD$7+2004+1,-'Tech Parameters'!$I24+1)):AD465)</f>
        <v>0</v>
      </c>
      <c r="AE488" s="76">
        <f t="array" aca="1" ref="AE488" ca="1">SUM(OFFSET(AE139,0,IF(AE$7-2004-'Tech Parameters'!$I24&lt;1,-AE$7+2004+1,-'Tech Parameters'!$I24+1)):AE139*OFFSET(AE465,0,IF(AE$7-2004-'Tech Parameters'!$I24&lt;1,-AE$7+2004+1,-'Tech Parameters'!$I24+1)):AE465)</f>
        <v>0</v>
      </c>
      <c r="AF488" s="76">
        <f t="array" aca="1" ref="AF488" ca="1">SUM(OFFSET(AF139,0,IF(AF$7-2004-'Tech Parameters'!$I24&lt;1,-AF$7+2004+1,-'Tech Parameters'!$I24+1)):AF139*OFFSET(AF465,0,IF(AF$7-2004-'Tech Parameters'!$I24&lt;1,-AF$7+2004+1,-'Tech Parameters'!$I24+1)):AF465)</f>
        <v>0</v>
      </c>
      <c r="AG488" s="76">
        <f t="array" aca="1" ref="AG488" ca="1">SUM(OFFSET(AG139,0,IF(AG$7-2004-'Tech Parameters'!$I24&lt;1,-AG$7+2004+1,-'Tech Parameters'!$I24+1)):AG139*OFFSET(AG465,0,IF(AG$7-2004-'Tech Parameters'!$I24&lt;1,-AG$7+2004+1,-'Tech Parameters'!$I24+1)):AG465)</f>
        <v>0</v>
      </c>
      <c r="AH488" s="76">
        <f t="array" aca="1" ref="AH488" ca="1">SUM(OFFSET(AH139,0,IF(AH$7-2004-'Tech Parameters'!$I24&lt;1,-AH$7+2004+1,-'Tech Parameters'!$I24+1)):AH139*OFFSET(AH465,0,IF(AH$7-2004-'Tech Parameters'!$I24&lt;1,-AH$7+2004+1,-'Tech Parameters'!$I24+1)):AH465)</f>
        <v>0</v>
      </c>
      <c r="AI488" s="76">
        <f t="array" aca="1" ref="AI488" ca="1">SUM(OFFSET(AI139,0,IF(AI$7-2004-'Tech Parameters'!$I24&lt;1,-AI$7+2004+1,-'Tech Parameters'!$I24+1)):AI139*OFFSET(AI465,0,IF(AI$7-2004-'Tech Parameters'!$I24&lt;1,-AI$7+2004+1,-'Tech Parameters'!$I24+1)):AI465)</f>
        <v>0</v>
      </c>
      <c r="AJ488" s="76">
        <f t="array" aca="1" ref="AJ488" ca="1">SUM(OFFSET(AJ139,0,IF(AJ$7-2004-'Tech Parameters'!$I24&lt;1,-AJ$7+2004+1,-'Tech Parameters'!$I24+1)):AJ139*OFFSET(AJ465,0,IF(AJ$7-2004-'Tech Parameters'!$I24&lt;1,-AJ$7+2004+1,-'Tech Parameters'!$I24+1)):AJ465)</f>
        <v>0</v>
      </c>
      <c r="AK488" s="76">
        <f t="array" aca="1" ref="AK488" ca="1">SUM(OFFSET(AK139,0,IF(AK$7-2004-'Tech Parameters'!$I24&lt;1,-AK$7+2004+1,-'Tech Parameters'!$I24+1)):AK139*OFFSET(AK465,0,IF(AK$7-2004-'Tech Parameters'!$I24&lt;1,-AK$7+2004+1,-'Tech Parameters'!$I24+1)):AK465)</f>
        <v>0</v>
      </c>
      <c r="AL488" s="76">
        <f t="array" aca="1" ref="AL488" ca="1">SUM(OFFSET(AL139,0,IF(AL$7-2004-'Tech Parameters'!$I24&lt;1,-AL$7+2004+1,-'Tech Parameters'!$I24+1)):AL139*OFFSET(AL465,0,IF(AL$7-2004-'Tech Parameters'!$I24&lt;1,-AL$7+2004+1,-'Tech Parameters'!$I24+1)):AL465)</f>
        <v>0</v>
      </c>
      <c r="AM488" s="76">
        <f t="array" aca="1" ref="AM488" ca="1">SUM(OFFSET(AM139,0,IF(AM$7-2004-'Tech Parameters'!$I24&lt;1,-AM$7+2004+1,-'Tech Parameters'!$I24+1)):AM139*OFFSET(AM465,0,IF(AM$7-2004-'Tech Parameters'!$I24&lt;1,-AM$7+2004+1,-'Tech Parameters'!$I24+1)):AM465)</f>
        <v>0</v>
      </c>
      <c r="AN488" s="76">
        <f t="array" aca="1" ref="AN488" ca="1">SUM(OFFSET(AN139,0,IF(AN$7-2004-'Tech Parameters'!$I24&lt;1,-AN$7+2004+1,-'Tech Parameters'!$I24+1)):AN139*OFFSET(AN465,0,IF(AN$7-2004-'Tech Parameters'!$I24&lt;1,-AN$7+2004+1,-'Tech Parameters'!$I24+1)):AN465)</f>
        <v>0</v>
      </c>
      <c r="AO488" s="76">
        <f t="array" aca="1" ref="AO488" ca="1">SUM(OFFSET(AO139,0,IF(AO$7-2004-'Tech Parameters'!$I24&lt;1,-AO$7+2004+1,-'Tech Parameters'!$I24+1)):AO139*OFFSET(AO465,0,IF(AO$7-2004-'Tech Parameters'!$I24&lt;1,-AO$7+2004+1,-'Tech Parameters'!$I24+1)):AO465)</f>
        <v>0</v>
      </c>
      <c r="AP488" s="76">
        <f t="array" aca="1" ref="AP488" ca="1">SUM(OFFSET(AP139,0,IF(AP$7-2004-'Tech Parameters'!$I24&lt;1,-AP$7+2004+1,-'Tech Parameters'!$I24+1)):AP139*OFFSET(AP465,0,IF(AP$7-2004-'Tech Parameters'!$I24&lt;1,-AP$7+2004+1,-'Tech Parameters'!$I24+1)):AP465)</f>
        <v>0</v>
      </c>
      <c r="AQ488" s="76">
        <f t="array" aca="1" ref="AQ488" ca="1">SUM(OFFSET(AQ139,0,IF(AQ$7-2004-'Tech Parameters'!$I24&lt;1,-AQ$7+2004+1,-'Tech Parameters'!$I24+1)):AQ139*OFFSET(AQ465,0,IF(AQ$7-2004-'Tech Parameters'!$I24&lt;1,-AQ$7+2004+1,-'Tech Parameters'!$I24+1)):AQ465)</f>
        <v>0</v>
      </c>
      <c r="AR488" s="76">
        <f t="array" aca="1" ref="AR488" ca="1">SUM(OFFSET(AR139,0,IF(AR$7-2004-'Tech Parameters'!$I24&lt;1,-AR$7+2004+1,-'Tech Parameters'!$I24+1)):AR139*OFFSET(AR465,0,IF(AR$7-2004-'Tech Parameters'!$I24&lt;1,-AR$7+2004+1,-'Tech Parameters'!$I24+1)):AR465)</f>
        <v>0</v>
      </c>
      <c r="AS488" s="76">
        <f t="array" aca="1" ref="AS488" ca="1">SUM(OFFSET(AS139,0,IF(AS$7-2004-'Tech Parameters'!$I24&lt;1,-AS$7+2004+1,-'Tech Parameters'!$I24+1)):AS139*OFFSET(AS465,0,IF(AS$7-2004-'Tech Parameters'!$I24&lt;1,-AS$7+2004+1,-'Tech Parameters'!$I24+1)):AS465)</f>
        <v>0</v>
      </c>
      <c r="AT488" s="76">
        <f t="array" aca="1" ref="AT488" ca="1">SUM(OFFSET(AT139,0,IF(AT$7-2004-'Tech Parameters'!$I24&lt;1,-AT$7+2004+1,-'Tech Parameters'!$I24+1)):AT139*OFFSET(AT465,0,IF(AT$7-2004-'Tech Parameters'!$I24&lt;1,-AT$7+2004+1,-'Tech Parameters'!$I24+1)):AT465)</f>
        <v>0</v>
      </c>
      <c r="AU488" s="76">
        <f t="array" aca="1" ref="AU488" ca="1">SUM(OFFSET(AU139,0,IF(AU$7-2004-'Tech Parameters'!$I24&lt;1,-AU$7+2004+1,-'Tech Parameters'!$I24+1)):AU139*OFFSET(AU465,0,IF(AU$7-2004-'Tech Parameters'!$I24&lt;1,-AU$7+2004+1,-'Tech Parameters'!$I24+1)):AU465)</f>
        <v>0</v>
      </c>
      <c r="AV488" s="76">
        <f t="array" aca="1" ref="AV488" ca="1">SUM(OFFSET(AV139,0,IF(AV$7-2004-'Tech Parameters'!$I24&lt;1,-AV$7+2004+1,-'Tech Parameters'!$I24+1)):AV139*OFFSET(AV465,0,IF(AV$7-2004-'Tech Parameters'!$I24&lt;1,-AV$7+2004+1,-'Tech Parameters'!$I24+1)):AV465)</f>
        <v>0</v>
      </c>
      <c r="AW488" s="76">
        <f t="array" aca="1" ref="AW488" ca="1">SUM(OFFSET(AW139,0,IF(AW$7-2004-'Tech Parameters'!$I24&lt;1,-AW$7+2004+1,-'Tech Parameters'!$I24+1)):AW139*OFFSET(AW465,0,IF(AW$7-2004-'Tech Parameters'!$I24&lt;1,-AW$7+2004+1,-'Tech Parameters'!$I24+1)):AW465)</f>
        <v>0</v>
      </c>
    </row>
    <row r="489" spans="3:49">
      <c r="C489" t="str">
        <f>C27</f>
        <v>Pumped storage</v>
      </c>
      <c r="D489">
        <f t="array" aca="1" ref="D489" ca="1">SUM(OFFSET(D140,0,IF(D$7-2004-'Tech Parameters'!$I25&lt;1,-D$7+2004+1,-'Tech Parameters'!$I25+1)):D140*OFFSET(D466,0,IF(D$7-2004-'Tech Parameters'!$I25&lt;1,-D$7+2004+1,-'Tech Parameters'!$I25+1)):D466)</f>
        <v>0</v>
      </c>
      <c r="E489">
        <f t="array" aca="1" ref="E489" ca="1">SUM(OFFSET(E140,0,IF(E$7-2004-'Tech Parameters'!$I25&lt;1,-E$7+2004+1,-'Tech Parameters'!$I25+1)):E140*OFFSET(E466,0,IF(E$7-2004-'Tech Parameters'!$I25&lt;1,-E$7+2004+1,-'Tech Parameters'!$I25+1)):E466)</f>
        <v>0</v>
      </c>
      <c r="F489">
        <f t="array" aca="1" ref="F489" ca="1">SUM(OFFSET(F140,0,IF(F$7-2004-'Tech Parameters'!$I25&lt;1,-F$7+2004+1,-'Tech Parameters'!$I25+1)):F140*OFFSET(F466,0,IF(F$7-2004-'Tech Parameters'!$I25&lt;1,-F$7+2004+1,-'Tech Parameters'!$I25+1)):F466)</f>
        <v>0</v>
      </c>
      <c r="G489">
        <f t="array" aca="1" ref="G489" ca="1">SUM(OFFSET(G140,0,IF(G$7-2004-'Tech Parameters'!$I25&lt;1,-G$7+2004+1,-'Tech Parameters'!$I25+1)):G140*OFFSET(G466,0,IF(G$7-2004-'Tech Parameters'!$I25&lt;1,-G$7+2004+1,-'Tech Parameters'!$I25+1)):G466)</f>
        <v>0</v>
      </c>
      <c r="H489">
        <f t="array" aca="1" ref="H489" ca="1">SUM(OFFSET(H140,0,IF(H$7-2004-'Tech Parameters'!$I25&lt;1,-H$7+2004+1,-'Tech Parameters'!$I25+1)):H140*OFFSET(H466,0,IF(H$7-2004-'Tech Parameters'!$I25&lt;1,-H$7+2004+1,-'Tech Parameters'!$I25+1)):H466)</f>
        <v>0</v>
      </c>
      <c r="I489">
        <f t="array" aca="1" ref="I489" ca="1">SUM(OFFSET(I140,0,IF(I$7-2004-'Tech Parameters'!$I25&lt;1,-I$7+2004+1,-'Tech Parameters'!$I25+1)):I140*OFFSET(I466,0,IF(I$7-2004-'Tech Parameters'!$I25&lt;1,-I$7+2004+1,-'Tech Parameters'!$I25+1)):I466)</f>
        <v>0</v>
      </c>
      <c r="J489">
        <f t="array" aca="1" ref="J489" ca="1">SUM(OFFSET(J140,0,IF(J$7-2004-'Tech Parameters'!$I25&lt;1,-J$7+2004+1,-'Tech Parameters'!$I25+1)):J140*OFFSET(J466,0,IF(J$7-2004-'Tech Parameters'!$I25&lt;1,-J$7+2004+1,-'Tech Parameters'!$I25+1)):J466)</f>
        <v>0</v>
      </c>
      <c r="K489">
        <f t="array" aca="1" ref="K489" ca="1">SUM(OFFSET(K140,0,IF(K$7-2004-'Tech Parameters'!$I25&lt;1,-K$7+2004+1,-'Tech Parameters'!$I25+1)):K140*OFFSET(K466,0,IF(K$7-2004-'Tech Parameters'!$I25&lt;1,-K$7+2004+1,-'Tech Parameters'!$I25+1)):K466)</f>
        <v>0</v>
      </c>
      <c r="L489">
        <f t="array" aca="1" ref="L489" ca="1">SUM(OFFSET(L140,0,IF(L$7-2004-'Tech Parameters'!$I25&lt;1,-L$7+2004+1,-'Tech Parameters'!$I25+1)):L140*OFFSET(L466,0,IF(L$7-2004-'Tech Parameters'!$I25&lt;1,-L$7+2004+1,-'Tech Parameters'!$I25+1)):L466)</f>
        <v>873.88277549131692</v>
      </c>
      <c r="M489">
        <f t="array" aca="1" ref="M489" ca="1">SUM(OFFSET(M140,0,IF(M$7-2004-'Tech Parameters'!$I25&lt;1,-M$7+2004+1,-'Tech Parameters'!$I25+1)):M140*OFFSET(M466,0,IF(M$7-2004-'Tech Parameters'!$I25&lt;1,-M$7+2004+1,-'Tech Parameters'!$I25+1)):M466)</f>
        <v>1747.7655509826338</v>
      </c>
      <c r="N489">
        <f t="array" aca="1" ref="N489" ca="1">SUM(OFFSET(N140,0,IF(N$7-2004-'Tech Parameters'!$I25&lt;1,-N$7+2004+1,-'Tech Parameters'!$I25+1)):N140*OFFSET(N466,0,IF(N$7-2004-'Tech Parameters'!$I25&lt;1,-N$7+2004+1,-'Tech Parameters'!$I25+1)):N466)</f>
        <v>1747.7655509826338</v>
      </c>
      <c r="O489">
        <f t="array" aca="1" ref="O489" ca="1">SUM(OFFSET(O140,0,IF(O$7-2004-'Tech Parameters'!$I25&lt;1,-O$7+2004+1,-'Tech Parameters'!$I25+1)):O140*OFFSET(O466,0,IF(O$7-2004-'Tech Parameters'!$I25&lt;1,-O$7+2004+1,-'Tech Parameters'!$I25+1)):O466)</f>
        <v>1747.7655509826338</v>
      </c>
      <c r="P489">
        <f t="array" aca="1" ref="P489" ca="1">SUM(OFFSET(P140,0,IF(P$7-2004-'Tech Parameters'!$I25&lt;1,-P$7+2004+1,-'Tech Parameters'!$I25+1)):P140*OFFSET(P466,0,IF(P$7-2004-'Tech Parameters'!$I25&lt;1,-P$7+2004+1,-'Tech Parameters'!$I25+1)):P466)</f>
        <v>1747.7655509826338</v>
      </c>
      <c r="Q489">
        <f t="array" aca="1" ref="Q489" ca="1">SUM(OFFSET(Q140,0,IF(Q$7-2004-'Tech Parameters'!$I25&lt;1,-Q$7+2004+1,-'Tech Parameters'!$I25+1)):Q140*OFFSET(Q466,0,IF(Q$7-2004-'Tech Parameters'!$I25&lt;1,-Q$7+2004+1,-'Tech Parameters'!$I25+1)):Q466)</f>
        <v>1747.7655509826338</v>
      </c>
      <c r="R489">
        <f t="array" aca="1" ref="R489" ca="1">SUM(OFFSET(R140,0,IF(R$7-2004-'Tech Parameters'!$I25&lt;1,-R$7+2004+1,-'Tech Parameters'!$I25+1)):R140*OFFSET(R466,0,IF(R$7-2004-'Tech Parameters'!$I25&lt;1,-R$7+2004+1,-'Tech Parameters'!$I25+1)):R466)</f>
        <v>1747.7655509826338</v>
      </c>
      <c r="S489">
        <f t="array" aca="1" ref="S489" ca="1">SUM(OFFSET(S140,0,IF(S$7-2004-'Tech Parameters'!$I25&lt;1,-S$7+2004+1,-'Tech Parameters'!$I25+1)):S140*OFFSET(S466,0,IF(S$7-2004-'Tech Parameters'!$I25&lt;1,-S$7+2004+1,-'Tech Parameters'!$I25+1)):S466)</f>
        <v>1747.7655509826338</v>
      </c>
      <c r="T489">
        <f t="array" aca="1" ref="T489" ca="1">SUM(OFFSET(T140,0,IF(T$7-2004-'Tech Parameters'!$I25&lt;1,-T$7+2004+1,-'Tech Parameters'!$I25+1)):T140*OFFSET(T466,0,IF(T$7-2004-'Tech Parameters'!$I25&lt;1,-T$7+2004+1,-'Tech Parameters'!$I25+1)):T466)</f>
        <v>1747.7655509826338</v>
      </c>
      <c r="U489">
        <f t="array" aca="1" ref="U489" ca="1">SUM(OFFSET(U140,0,IF(U$7-2004-'Tech Parameters'!$I25&lt;1,-U$7+2004+1,-'Tech Parameters'!$I25+1)):U140*OFFSET(U466,0,IF(U$7-2004-'Tech Parameters'!$I25&lt;1,-U$7+2004+1,-'Tech Parameters'!$I25+1)):U466)</f>
        <v>1747.7655509826338</v>
      </c>
      <c r="V489">
        <f t="array" aca="1" ref="V489" ca="1">SUM(OFFSET(V140,0,IF(V$7-2004-'Tech Parameters'!$I25&lt;1,-V$7+2004+1,-'Tech Parameters'!$I25+1)):V140*OFFSET(V466,0,IF(V$7-2004-'Tech Parameters'!$I25&lt;1,-V$7+2004+1,-'Tech Parameters'!$I25+1)):V466)</f>
        <v>1747.7655509826338</v>
      </c>
      <c r="W489">
        <f t="array" aca="1" ref="W489" ca="1">SUM(OFFSET(W140,0,IF(W$7-2004-'Tech Parameters'!$I25&lt;1,-W$7+2004+1,-'Tech Parameters'!$I25+1)):W140*OFFSET(W466,0,IF(W$7-2004-'Tech Parameters'!$I25&lt;1,-W$7+2004+1,-'Tech Parameters'!$I25+1)):W466)</f>
        <v>1747.7655509826338</v>
      </c>
      <c r="X489">
        <f t="array" aca="1" ref="X489" ca="1">SUM(OFFSET(X140,0,IF(X$7-2004-'Tech Parameters'!$I25&lt;1,-X$7+2004+1,-'Tech Parameters'!$I25+1)):X140*OFFSET(X466,0,IF(X$7-2004-'Tech Parameters'!$I25&lt;1,-X$7+2004+1,-'Tech Parameters'!$I25+1)):X466)</f>
        <v>1747.7655509826338</v>
      </c>
      <c r="Y489">
        <f t="array" aca="1" ref="Y489" ca="1">SUM(OFFSET(Y140,0,IF(Y$7-2004-'Tech Parameters'!$I25&lt;1,-Y$7+2004+1,-'Tech Parameters'!$I25+1)):Y140*OFFSET(Y466,0,IF(Y$7-2004-'Tech Parameters'!$I25&lt;1,-Y$7+2004+1,-'Tech Parameters'!$I25+1)):Y466)</f>
        <v>1747.7655509826338</v>
      </c>
      <c r="Z489">
        <f t="array" aca="1" ref="Z489" ca="1">SUM(OFFSET(Z140,0,IF(Z$7-2004-'Tech Parameters'!$I25&lt;1,-Z$7+2004+1,-'Tech Parameters'!$I25+1)):Z140*OFFSET(Z466,0,IF(Z$7-2004-'Tech Parameters'!$I25&lt;1,-Z$7+2004+1,-'Tech Parameters'!$I25+1)):Z466)</f>
        <v>1747.7655509826338</v>
      </c>
      <c r="AA489">
        <f t="array" aca="1" ref="AA489" ca="1">SUM(OFFSET(AA140,0,IF(AA$7-2004-'Tech Parameters'!$I25&lt;1,-AA$7+2004+1,-'Tech Parameters'!$I25+1)):AA140*OFFSET(AA466,0,IF(AA$7-2004-'Tech Parameters'!$I25&lt;1,-AA$7+2004+1,-'Tech Parameters'!$I25+1)):AA466)</f>
        <v>1747.7655509826338</v>
      </c>
      <c r="AB489">
        <f t="array" aca="1" ref="AB489" ca="1">SUM(OFFSET(AB140,0,IF(AB$7-2004-'Tech Parameters'!$I25&lt;1,-AB$7+2004+1,-'Tech Parameters'!$I25+1)):AB140*OFFSET(AB466,0,IF(AB$7-2004-'Tech Parameters'!$I25&lt;1,-AB$7+2004+1,-'Tech Parameters'!$I25+1)):AB466)</f>
        <v>1747.7655509826338</v>
      </c>
      <c r="AC489">
        <f t="array" aca="1" ref="AC489" ca="1">SUM(OFFSET(AC140,0,IF(AC$7-2004-'Tech Parameters'!$I25&lt;1,-AC$7+2004+1,-'Tech Parameters'!$I25+1)):AC140*OFFSET(AC466,0,IF(AC$7-2004-'Tech Parameters'!$I25&lt;1,-AC$7+2004+1,-'Tech Parameters'!$I25+1)):AC466)</f>
        <v>1747.7655509826338</v>
      </c>
      <c r="AD489" s="76">
        <f t="array" aca="1" ref="AD489" ca="1">SUM(OFFSET(AD140,0,IF(AD$7-2004-'Tech Parameters'!$I25&lt;1,-AD$7+2004+1,-'Tech Parameters'!$I25+1)):AD140*OFFSET(AD466,0,IF(AD$7-2004-'Tech Parameters'!$I25&lt;1,-AD$7+2004+1,-'Tech Parameters'!$I25+1)):AD466)</f>
        <v>1747.7655509826338</v>
      </c>
      <c r="AE489" s="76">
        <f t="array" aca="1" ref="AE489" ca="1">SUM(OFFSET(AE140,0,IF(AE$7-2004-'Tech Parameters'!$I25&lt;1,-AE$7+2004+1,-'Tech Parameters'!$I25+1)):AE140*OFFSET(AE466,0,IF(AE$7-2004-'Tech Parameters'!$I25&lt;1,-AE$7+2004+1,-'Tech Parameters'!$I25+1)):AE466)</f>
        <v>1747.7655509826338</v>
      </c>
      <c r="AF489" s="76">
        <f t="array" aca="1" ref="AF489" ca="1">SUM(OFFSET(AF140,0,IF(AF$7-2004-'Tech Parameters'!$I25&lt;1,-AF$7+2004+1,-'Tech Parameters'!$I25+1)):AF140*OFFSET(AF466,0,IF(AF$7-2004-'Tech Parameters'!$I25&lt;1,-AF$7+2004+1,-'Tech Parameters'!$I25+1)):AF466)</f>
        <v>1747.7655509826338</v>
      </c>
      <c r="AG489" s="76">
        <f t="array" aca="1" ref="AG489" ca="1">SUM(OFFSET(AG140,0,IF(AG$7-2004-'Tech Parameters'!$I25&lt;1,-AG$7+2004+1,-'Tech Parameters'!$I25+1)):AG140*OFFSET(AG466,0,IF(AG$7-2004-'Tech Parameters'!$I25&lt;1,-AG$7+2004+1,-'Tech Parameters'!$I25+1)):AG466)</f>
        <v>1747.7655509826338</v>
      </c>
      <c r="AH489" s="76">
        <f t="array" aca="1" ref="AH489" ca="1">SUM(OFFSET(AH140,0,IF(AH$7-2004-'Tech Parameters'!$I25&lt;1,-AH$7+2004+1,-'Tech Parameters'!$I25+1)):AH140*OFFSET(AH466,0,IF(AH$7-2004-'Tech Parameters'!$I25&lt;1,-AH$7+2004+1,-'Tech Parameters'!$I25+1)):AH466)</f>
        <v>1747.7655509826338</v>
      </c>
      <c r="AI489" s="76">
        <f t="array" aca="1" ref="AI489" ca="1">SUM(OFFSET(AI140,0,IF(AI$7-2004-'Tech Parameters'!$I25&lt;1,-AI$7+2004+1,-'Tech Parameters'!$I25+1)):AI140*OFFSET(AI466,0,IF(AI$7-2004-'Tech Parameters'!$I25&lt;1,-AI$7+2004+1,-'Tech Parameters'!$I25+1)):AI466)</f>
        <v>1747.7655509826338</v>
      </c>
      <c r="AJ489" s="76">
        <f t="array" aca="1" ref="AJ489" ca="1">SUM(OFFSET(AJ140,0,IF(AJ$7-2004-'Tech Parameters'!$I25&lt;1,-AJ$7+2004+1,-'Tech Parameters'!$I25+1)):AJ140*OFFSET(AJ466,0,IF(AJ$7-2004-'Tech Parameters'!$I25&lt;1,-AJ$7+2004+1,-'Tech Parameters'!$I25+1)):AJ466)</f>
        <v>1747.7655509826338</v>
      </c>
      <c r="AK489" s="76">
        <f t="array" aca="1" ref="AK489" ca="1">SUM(OFFSET(AK140,0,IF(AK$7-2004-'Tech Parameters'!$I25&lt;1,-AK$7+2004+1,-'Tech Parameters'!$I25+1)):AK140*OFFSET(AK466,0,IF(AK$7-2004-'Tech Parameters'!$I25&lt;1,-AK$7+2004+1,-'Tech Parameters'!$I25+1)):AK466)</f>
        <v>1747.7655509826338</v>
      </c>
      <c r="AL489" s="76">
        <f t="array" aca="1" ref="AL489" ca="1">SUM(OFFSET(AL140,0,IF(AL$7-2004-'Tech Parameters'!$I25&lt;1,-AL$7+2004+1,-'Tech Parameters'!$I25+1)):AL140*OFFSET(AL466,0,IF(AL$7-2004-'Tech Parameters'!$I25&lt;1,-AL$7+2004+1,-'Tech Parameters'!$I25+1)):AL466)</f>
        <v>1747.7655509826338</v>
      </c>
      <c r="AM489" s="76">
        <f t="array" aca="1" ref="AM489" ca="1">SUM(OFFSET(AM140,0,IF(AM$7-2004-'Tech Parameters'!$I25&lt;1,-AM$7+2004+1,-'Tech Parameters'!$I25+1)):AM140*OFFSET(AM466,0,IF(AM$7-2004-'Tech Parameters'!$I25&lt;1,-AM$7+2004+1,-'Tech Parameters'!$I25+1)):AM466)</f>
        <v>1747.7655509826338</v>
      </c>
      <c r="AN489" s="76">
        <f t="array" aca="1" ref="AN489" ca="1">SUM(OFFSET(AN140,0,IF(AN$7-2004-'Tech Parameters'!$I25&lt;1,-AN$7+2004+1,-'Tech Parameters'!$I25+1)):AN140*OFFSET(AN466,0,IF(AN$7-2004-'Tech Parameters'!$I25&lt;1,-AN$7+2004+1,-'Tech Parameters'!$I25+1)):AN466)</f>
        <v>1747.7655509826338</v>
      </c>
      <c r="AO489" s="76">
        <f t="array" aca="1" ref="AO489" ca="1">SUM(OFFSET(AO140,0,IF(AO$7-2004-'Tech Parameters'!$I25&lt;1,-AO$7+2004+1,-'Tech Parameters'!$I25+1)):AO140*OFFSET(AO466,0,IF(AO$7-2004-'Tech Parameters'!$I25&lt;1,-AO$7+2004+1,-'Tech Parameters'!$I25+1)):AO466)</f>
        <v>1747.7655509826338</v>
      </c>
      <c r="AP489" s="76">
        <f t="array" aca="1" ref="AP489" ca="1">SUM(OFFSET(AP140,0,IF(AP$7-2004-'Tech Parameters'!$I25&lt;1,-AP$7+2004+1,-'Tech Parameters'!$I25+1)):AP140*OFFSET(AP466,0,IF(AP$7-2004-'Tech Parameters'!$I25&lt;1,-AP$7+2004+1,-'Tech Parameters'!$I25+1)):AP466)</f>
        <v>1747.7655509826338</v>
      </c>
      <c r="AQ489" s="76">
        <f t="array" aca="1" ref="AQ489" ca="1">SUM(OFFSET(AQ140,0,IF(AQ$7-2004-'Tech Parameters'!$I25&lt;1,-AQ$7+2004+1,-'Tech Parameters'!$I25+1)):AQ140*OFFSET(AQ466,0,IF(AQ$7-2004-'Tech Parameters'!$I25&lt;1,-AQ$7+2004+1,-'Tech Parameters'!$I25+1)):AQ466)</f>
        <v>1747.7655509826338</v>
      </c>
      <c r="AR489" s="76">
        <f t="array" aca="1" ref="AR489" ca="1">SUM(OFFSET(AR140,0,IF(AR$7-2004-'Tech Parameters'!$I25&lt;1,-AR$7+2004+1,-'Tech Parameters'!$I25+1)):AR140*OFFSET(AR466,0,IF(AR$7-2004-'Tech Parameters'!$I25&lt;1,-AR$7+2004+1,-'Tech Parameters'!$I25+1)):AR466)</f>
        <v>1747.7655509826338</v>
      </c>
      <c r="AS489" s="76">
        <f t="array" aca="1" ref="AS489" ca="1">SUM(OFFSET(AS140,0,IF(AS$7-2004-'Tech Parameters'!$I25&lt;1,-AS$7+2004+1,-'Tech Parameters'!$I25+1)):AS140*OFFSET(AS466,0,IF(AS$7-2004-'Tech Parameters'!$I25&lt;1,-AS$7+2004+1,-'Tech Parameters'!$I25+1)):AS466)</f>
        <v>1747.7655509826338</v>
      </c>
      <c r="AT489" s="76">
        <f t="array" aca="1" ref="AT489" ca="1">SUM(OFFSET(AT140,0,IF(AT$7-2004-'Tech Parameters'!$I25&lt;1,-AT$7+2004+1,-'Tech Parameters'!$I25+1)):AT140*OFFSET(AT466,0,IF(AT$7-2004-'Tech Parameters'!$I25&lt;1,-AT$7+2004+1,-'Tech Parameters'!$I25+1)):AT466)</f>
        <v>1747.7655509826338</v>
      </c>
      <c r="AU489" s="76">
        <f t="array" aca="1" ref="AU489" ca="1">SUM(OFFSET(AU140,0,IF(AU$7-2004-'Tech Parameters'!$I25&lt;1,-AU$7+2004+1,-'Tech Parameters'!$I25+1)):AU140*OFFSET(AU466,0,IF(AU$7-2004-'Tech Parameters'!$I25&lt;1,-AU$7+2004+1,-'Tech Parameters'!$I25+1)):AU466)</f>
        <v>1747.7655509826338</v>
      </c>
      <c r="AV489" s="76">
        <f t="array" aca="1" ref="AV489" ca="1">SUM(OFFSET(AV140,0,IF(AV$7-2004-'Tech Parameters'!$I25&lt;1,-AV$7+2004+1,-'Tech Parameters'!$I25+1)):AV140*OFFSET(AV466,0,IF(AV$7-2004-'Tech Parameters'!$I25&lt;1,-AV$7+2004+1,-'Tech Parameters'!$I25+1)):AV466)</f>
        <v>1747.7655509826338</v>
      </c>
      <c r="AW489" s="76">
        <f t="array" aca="1" ref="AW489" ca="1">SUM(OFFSET(AW140,0,IF(AW$7-2004-'Tech Parameters'!$I25&lt;1,-AW$7+2004+1,-'Tech Parameters'!$I25+1)):AW140*OFFSET(AW466,0,IF(AW$7-2004-'Tech Parameters'!$I25&lt;1,-AW$7+2004+1,-'Tech Parameters'!$I25+1)):AW466)</f>
        <v>1747.7655509826338</v>
      </c>
    </row>
    <row r="492" spans="3:49">
      <c r="C492" s="4" t="s">
        <v>131</v>
      </c>
    </row>
    <row r="493" spans="3:49">
      <c r="C493" t="str">
        <f>C8</f>
        <v>Existing coal Large</v>
      </c>
      <c r="D493">
        <f>D8*'Tech Parameters'!$E6</f>
        <v>6048.8582920974877</v>
      </c>
      <c r="E493">
        <f>E8*'Tech Parameters'!$E6</f>
        <v>6048.8582920974877</v>
      </c>
      <c r="F493">
        <f>F8*'Tech Parameters'!$E6</f>
        <v>6048.8582920974877</v>
      </c>
      <c r="G493">
        <f>G8*'Tech Parameters'!$E6</f>
        <v>6048.8582920974877</v>
      </c>
      <c r="H493">
        <f>H8*'Tech Parameters'!$E6</f>
        <v>6048.8582920974877</v>
      </c>
      <c r="I493">
        <f ca="1">I8*'Tech Parameters'!$E6</f>
        <v>6048.8582920974877</v>
      </c>
      <c r="J493">
        <f ca="1">J8*'Tech Parameters'!$E6</f>
        <v>6048.8582920974877</v>
      </c>
      <c r="K493">
        <f ca="1">K8*'Tech Parameters'!$E6</f>
        <v>6048.8582920974877</v>
      </c>
      <c r="L493">
        <f ca="1">L8*'Tech Parameters'!$E6</f>
        <v>6048.8582920974877</v>
      </c>
      <c r="M493">
        <f ca="1">M8*'Tech Parameters'!$E6</f>
        <v>6048.8582920974877</v>
      </c>
      <c r="N493">
        <f ca="1">N8*'Tech Parameters'!$E6</f>
        <v>6048.8582920974877</v>
      </c>
      <c r="O493">
        <f ca="1">O8*'Tech Parameters'!$E6</f>
        <v>6048.8582920974877</v>
      </c>
      <c r="P493">
        <f ca="1">P8*'Tech Parameters'!$E6</f>
        <v>6048.8582920974877</v>
      </c>
      <c r="Q493">
        <f ca="1">Q8*'Tech Parameters'!$E6</f>
        <v>6048.8582920974877</v>
      </c>
      <c r="R493">
        <f ca="1">R8*'Tech Parameters'!$E6</f>
        <v>6048.8582920974877</v>
      </c>
      <c r="S493">
        <f ca="1">S8*'Tech Parameters'!$E6</f>
        <v>6048.8582920974877</v>
      </c>
      <c r="T493">
        <f ca="1">T8*'Tech Parameters'!$E6</f>
        <v>6048.8582920974877</v>
      </c>
      <c r="U493">
        <f ca="1">U8*'Tech Parameters'!$E6</f>
        <v>6048.8582920974877</v>
      </c>
      <c r="V493">
        <f ca="1">V8*'Tech Parameters'!$E6</f>
        <v>6048.8582920974877</v>
      </c>
      <c r="W493">
        <f ca="1">W8*'Tech Parameters'!$E6</f>
        <v>5822.5546442686946</v>
      </c>
      <c r="X493">
        <f ca="1">X8*'Tech Parameters'!$E6</f>
        <v>5596.2509964399023</v>
      </c>
      <c r="Y493">
        <f ca="1">Y8*'Tech Parameters'!$E6</f>
        <v>5313.3714366539116</v>
      </c>
      <c r="Z493">
        <f ca="1">Z8*'Tech Parameters'!$E6</f>
        <v>5030.4918768679208</v>
      </c>
      <c r="AA493">
        <f ca="1">AA8*'Tech Parameters'!$E6</f>
        <v>4688.0587255480368</v>
      </c>
      <c r="AB493">
        <f ca="1">AB8*'Tech Parameters'!$E6</f>
        <v>4003.1924229082706</v>
      </c>
      <c r="AC493">
        <f ca="1">AC8*'Tech Parameters'!$E6</f>
        <v>3660.759271588387</v>
      </c>
      <c r="AD493" s="76">
        <f ca="1">AD8*'Tech Parameters'!$E6</f>
        <v>3660.759271588387</v>
      </c>
      <c r="AE493" s="76">
        <f ca="1">AE8*'Tech Parameters'!$E6</f>
        <v>3660.759271588387</v>
      </c>
      <c r="AF493" s="76">
        <f ca="1">AF8*'Tech Parameters'!$E6</f>
        <v>3660.759271588387</v>
      </c>
      <c r="AG493" s="76">
        <f ca="1">AG8*'Tech Parameters'!$E6</f>
        <v>2959.2179633191304</v>
      </c>
      <c r="AH493" s="76">
        <f ca="1">AH8*'Tech Parameters'!$E6</f>
        <v>2257.6766550498737</v>
      </c>
      <c r="AI493" s="76">
        <f ca="1">AI8*'Tech Parameters'!$E6</f>
        <v>1891.4220671164333</v>
      </c>
      <c r="AJ493" s="76">
        <f ca="1">AJ8*'Tech Parameters'!$E6</f>
        <v>1144.0244933660792</v>
      </c>
      <c r="AK493" s="76">
        <f ca="1">AK8*'Tech Parameters'!$E6</f>
        <v>762.88150754916546</v>
      </c>
      <c r="AL493" s="76">
        <f ca="1">AL8*'Tech Parameters'!$E6</f>
        <v>762.88150754916546</v>
      </c>
      <c r="AM493" s="76">
        <f ca="1">AM8*'Tech Parameters'!$E6</f>
        <v>762.88150754916546</v>
      </c>
      <c r="AN493" s="76">
        <f ca="1">AN8*'Tech Parameters'!$E6</f>
        <v>762.88150754916546</v>
      </c>
      <c r="AO493" s="76">
        <f ca="1">AO8*'Tech Parameters'!$E6</f>
        <v>762.88150754916546</v>
      </c>
      <c r="AP493" s="76">
        <f ca="1">AP8*'Tech Parameters'!$E6</f>
        <v>762.88150754916546</v>
      </c>
      <c r="AQ493" s="76">
        <f ca="1">AQ8*'Tech Parameters'!$E6</f>
        <v>762.88150754916546</v>
      </c>
      <c r="AR493" s="76">
        <f ca="1">AR8*'Tech Parameters'!$E6</f>
        <v>381.44075377458239</v>
      </c>
      <c r="AS493" s="76">
        <f ca="1">AS8*'Tech Parameters'!$E6</f>
        <v>-7.0525619754719501E-13</v>
      </c>
      <c r="AT493" s="76">
        <f ca="1">AT8*'Tech Parameters'!$E6</f>
        <v>-7.0525619754719501E-13</v>
      </c>
      <c r="AU493" s="76">
        <f ca="1">AU8*'Tech Parameters'!$E6</f>
        <v>-7.0525619754719501E-13</v>
      </c>
      <c r="AV493" s="76">
        <f ca="1">AV8*'Tech Parameters'!$E6</f>
        <v>-7.0525619754719501E-13</v>
      </c>
      <c r="AW493" s="76">
        <f ca="1">AW8*'Tech Parameters'!$E6</f>
        <v>-7.0525619754719501E-13</v>
      </c>
    </row>
    <row r="494" spans="3:49">
      <c r="C494" t="str">
        <f t="shared" ref="C494:C512" si="219">C9</f>
        <v>Existing coal Small</v>
      </c>
      <c r="D494">
        <f>D9*'Tech Parameters'!$E7</f>
        <v>1493.6648015951273</v>
      </c>
      <c r="E494">
        <f>E9*'Tech Parameters'!$E7</f>
        <v>1493.6648015951273</v>
      </c>
      <c r="F494">
        <f>F9*'Tech Parameters'!$E7</f>
        <v>1493.6648015951273</v>
      </c>
      <c r="G494">
        <f>G9*'Tech Parameters'!$E7</f>
        <v>1493.6648015951273</v>
      </c>
      <c r="H494">
        <f>H9*'Tech Parameters'!$E7</f>
        <v>1493.6648015951273</v>
      </c>
      <c r="I494">
        <f ca="1">I9*'Tech Parameters'!$E7</f>
        <v>1681.3883251159868</v>
      </c>
      <c r="J494">
        <f ca="1">J9*'Tech Parameters'!$E7</f>
        <v>1792.4283009614148</v>
      </c>
      <c r="K494">
        <f ca="1">K9*'Tech Parameters'!$E7</f>
        <v>1792.4283009614148</v>
      </c>
      <c r="L494">
        <f ca="1">L9*'Tech Parameters'!$E7</f>
        <v>1792.4283009614148</v>
      </c>
      <c r="M494">
        <f ca="1">M9*'Tech Parameters'!$E7</f>
        <v>1792.4283009614148</v>
      </c>
      <c r="N494">
        <f ca="1">N9*'Tech Parameters'!$E7</f>
        <v>1792.4283009614148</v>
      </c>
      <c r="O494">
        <f ca="1">O9*'Tech Parameters'!$E7</f>
        <v>1782.121372510416</v>
      </c>
      <c r="P494">
        <f ca="1">P9*'Tech Parameters'!$E7</f>
        <v>1771.8144440594174</v>
      </c>
      <c r="Q494">
        <f ca="1">Q9*'Tech Parameters'!$E7</f>
        <v>1758.0718727914189</v>
      </c>
      <c r="R494">
        <f ca="1">R9*'Tech Parameters'!$E7</f>
        <v>1744.3293015234203</v>
      </c>
      <c r="S494">
        <f ca="1">S9*'Tech Parameters'!$E7</f>
        <v>1483.2204474314485</v>
      </c>
      <c r="T494">
        <f ca="1">T9*'Tech Parameters'!$E7</f>
        <v>1222.1115933394767</v>
      </c>
      <c r="U494">
        <f ca="1">U9*'Tech Parameters'!$E7</f>
        <v>1222.1115933394767</v>
      </c>
      <c r="V494">
        <f ca="1">V9*'Tech Parameters'!$E7</f>
        <v>1222.1115933394767</v>
      </c>
      <c r="W494">
        <f ca="1">W9*'Tech Parameters'!$E7</f>
        <v>1222.1115933394767</v>
      </c>
      <c r="X494">
        <f ca="1">X9*'Tech Parameters'!$E7</f>
        <v>1101.8030166499655</v>
      </c>
      <c r="Y494">
        <f ca="1">Y9*'Tech Parameters'!$E7</f>
        <v>981.49443996045386</v>
      </c>
      <c r="Z494">
        <f ca="1">Z9*'Tech Parameters'!$E7</f>
        <v>981.49443996045386</v>
      </c>
      <c r="AA494">
        <f ca="1">AA9*'Tech Parameters'!$E7</f>
        <v>981.49443996045386</v>
      </c>
      <c r="AB494">
        <f ca="1">AB9*'Tech Parameters'!$E7</f>
        <v>981.49443996045386</v>
      </c>
      <c r="AC494">
        <f ca="1">AC9*'Tech Parameters'!$E7</f>
        <v>981.49443996045386</v>
      </c>
      <c r="AD494" s="76">
        <f ca="1">AD9*'Tech Parameters'!$E7</f>
        <v>981.49443996045386</v>
      </c>
      <c r="AE494" s="76">
        <f ca="1">AE9*'Tech Parameters'!$E7</f>
        <v>953.45959457373704</v>
      </c>
      <c r="AF494" s="76">
        <f ca="1">AF9*'Tech Parameters'!$E7</f>
        <v>925.4247491870201</v>
      </c>
      <c r="AG494" s="76">
        <f ca="1">AG9*'Tech Parameters'!$E7</f>
        <v>925.4247491870201</v>
      </c>
      <c r="AH494" s="76">
        <f ca="1">AH9*'Tech Parameters'!$E7</f>
        <v>925.4247491870201</v>
      </c>
      <c r="AI494" s="76">
        <f ca="1">AI9*'Tech Parameters'!$E7</f>
        <v>925.4247491870201</v>
      </c>
      <c r="AJ494" s="76">
        <f ca="1">AJ9*'Tech Parameters'!$E7</f>
        <v>925.4247491870201</v>
      </c>
      <c r="AK494" s="76">
        <f ca="1">AK9*'Tech Parameters'!$E7</f>
        <v>820.98120755023137</v>
      </c>
      <c r="AL494" s="76">
        <f ca="1">AL9*'Tech Parameters'!$E7</f>
        <v>716.53766591344265</v>
      </c>
      <c r="AM494" s="76">
        <f ca="1">AM9*'Tech Parameters'!$E7</f>
        <v>716.53766591344265</v>
      </c>
      <c r="AN494" s="76">
        <f ca="1">AN9*'Tech Parameters'!$E7</f>
        <v>716.53766591344265</v>
      </c>
      <c r="AO494" s="76">
        <f ca="1">AO9*'Tech Parameters'!$E7</f>
        <v>716.53766591344265</v>
      </c>
      <c r="AP494" s="76">
        <f ca="1">AP9*'Tech Parameters'!$E7</f>
        <v>716.53766591344265</v>
      </c>
      <c r="AQ494" s="76">
        <f ca="1">AQ9*'Tech Parameters'!$E7</f>
        <v>716.53766591344265</v>
      </c>
      <c r="AR494" s="76">
        <f ca="1">AR9*'Tech Parameters'!$E7</f>
        <v>716.53766591344265</v>
      </c>
      <c r="AS494" s="76">
        <f ca="1">AS9*'Tech Parameters'!$E7</f>
        <v>716.53766591344265</v>
      </c>
      <c r="AT494" s="76">
        <f ca="1">AT9*'Tech Parameters'!$E7</f>
        <v>716.53766591344265</v>
      </c>
      <c r="AU494" s="76">
        <f ca="1">AU9*'Tech Parameters'!$E7</f>
        <v>716.53766591344265</v>
      </c>
      <c r="AV494" s="76">
        <f ca="1">AV9*'Tech Parameters'!$E7</f>
        <v>716.53766591344265</v>
      </c>
      <c r="AW494" s="76">
        <f ca="1">AW9*'Tech Parameters'!$E7</f>
        <v>716.53766591344265</v>
      </c>
    </row>
    <row r="495" spans="3:49">
      <c r="C495" t="str">
        <f t="shared" si="219"/>
        <v>OCGT liquid fuels</v>
      </c>
      <c r="D495">
        <f>D10*'Tech Parameters'!$E8</f>
        <v>242.44125277260486</v>
      </c>
      <c r="E495">
        <f>E10*'Tech Parameters'!$E8</f>
        <v>242.44125277260486</v>
      </c>
      <c r="F495">
        <f>F10*'Tech Parameters'!$E8</f>
        <v>242.44125277260486</v>
      </c>
      <c r="G495">
        <f>G10*'Tech Parameters'!$E8</f>
        <v>242.44125277260486</v>
      </c>
      <c r="H495">
        <f>H10*'Tech Parameters'!$E8</f>
        <v>242.44125277260486</v>
      </c>
      <c r="I495">
        <f ca="1">I10*'Tech Parameters'!$E8</f>
        <v>242.44125277260486</v>
      </c>
      <c r="J495">
        <f ca="1">J10*'Tech Parameters'!$E8</f>
        <v>351.53981652027704</v>
      </c>
      <c r="K495">
        <f ca="1">K10*'Tech Parameters'!$E8</f>
        <v>351.53981652027704</v>
      </c>
      <c r="L495">
        <f ca="1">L10*'Tech Parameters'!$E8</f>
        <v>351.53981652027704</v>
      </c>
      <c r="M495">
        <f ca="1">M10*'Tech Parameters'!$E8</f>
        <v>351.53981652027704</v>
      </c>
      <c r="N495">
        <f ca="1">N10*'Tech Parameters'!$E8</f>
        <v>351.53981652027704</v>
      </c>
      <c r="O495">
        <f ca="1">O10*'Tech Parameters'!$E8</f>
        <v>351.53981652027704</v>
      </c>
      <c r="P495">
        <f ca="1">P10*'Tech Parameters'!$E8</f>
        <v>351.53981652027704</v>
      </c>
      <c r="Q495">
        <f ca="1">Q10*'Tech Parameters'!$E8</f>
        <v>351.53981652027704</v>
      </c>
      <c r="R495">
        <f ca="1">R10*'Tech Parameters'!$E8</f>
        <v>351.53981652027704</v>
      </c>
      <c r="S495">
        <f ca="1">S10*'Tech Parameters'!$E8</f>
        <v>351.53981652027704</v>
      </c>
      <c r="T495">
        <f ca="1">T10*'Tech Parameters'!$E8</f>
        <v>351.53981652027704</v>
      </c>
      <c r="U495">
        <f ca="1">U10*'Tech Parameters'!$E8</f>
        <v>351.53981652027704</v>
      </c>
      <c r="V495">
        <f ca="1">V10*'Tech Parameters'!$E8</f>
        <v>424.27219235205854</v>
      </c>
      <c r="W495">
        <f ca="1">W10*'Tech Parameters'!$E8</f>
        <v>424.27219235205854</v>
      </c>
      <c r="X495">
        <f ca="1">X10*'Tech Parameters'!$E8</f>
        <v>424.27219235205854</v>
      </c>
      <c r="Y495">
        <f ca="1">Y10*'Tech Parameters'!$E8</f>
        <v>497.00456818383998</v>
      </c>
      <c r="Z495">
        <f ca="1">Z10*'Tech Parameters'!$E8</f>
        <v>497.00456818383998</v>
      </c>
      <c r="AA495">
        <f ca="1">AA10*'Tech Parameters'!$E8</f>
        <v>497.00456818383998</v>
      </c>
      <c r="AB495">
        <f ca="1">AB10*'Tech Parameters'!$E8</f>
        <v>569.73694401562136</v>
      </c>
      <c r="AC495">
        <f ca="1">AC10*'Tech Parameters'!$E8</f>
        <v>552.46300475557325</v>
      </c>
      <c r="AD495" s="76">
        <f ca="1">AD10*'Tech Parameters'!$E8</f>
        <v>431.24237836927085</v>
      </c>
      <c r="AE495" s="76">
        <f ca="1">AE10*'Tech Parameters'!$E8</f>
        <v>327.29569124301651</v>
      </c>
      <c r="AF495" s="76">
        <f ca="1">AF10*'Tech Parameters'!$E8</f>
        <v>327.29569124301651</v>
      </c>
      <c r="AG495" s="76">
        <f ca="1">AG10*'Tech Parameters'!$E8</f>
        <v>327.29569124301651</v>
      </c>
      <c r="AH495" s="76">
        <f ca="1">AH10*'Tech Parameters'!$E8</f>
        <v>327.29569124301651</v>
      </c>
      <c r="AI495" s="76">
        <f ca="1">AI10*'Tech Parameters'!$E8</f>
        <v>327.29569124301651</v>
      </c>
      <c r="AJ495" s="76">
        <f ca="1">AJ10*'Tech Parameters'!$E8</f>
        <v>327.29569124301651</v>
      </c>
      <c r="AK495" s="76">
        <f ca="1">AK10*'Tech Parameters'!$E8</f>
        <v>327.29569124301651</v>
      </c>
      <c r="AL495" s="76">
        <f ca="1">AL10*'Tech Parameters'!$E8</f>
        <v>327.29569124301651</v>
      </c>
      <c r="AM495" s="76">
        <f ca="1">AM10*'Tech Parameters'!$E8</f>
        <v>327.29569124301651</v>
      </c>
      <c r="AN495" s="76">
        <f ca="1">AN10*'Tech Parameters'!$E8</f>
        <v>327.29569124301651</v>
      </c>
      <c r="AO495" s="76">
        <f ca="1">AO10*'Tech Parameters'!$E8</f>
        <v>327.29569124301651</v>
      </c>
      <c r="AP495" s="76">
        <f ca="1">AP10*'Tech Parameters'!$E8</f>
        <v>327.29569124301651</v>
      </c>
      <c r="AQ495" s="76">
        <f ca="1">AQ10*'Tech Parameters'!$E8</f>
        <v>327.29569124301651</v>
      </c>
      <c r="AR495" s="76">
        <f ca="1">AR10*'Tech Parameters'!$E8</f>
        <v>327.29569124301651</v>
      </c>
      <c r="AS495" s="76">
        <f ca="1">AS10*'Tech Parameters'!$E8</f>
        <v>327.29569124301651</v>
      </c>
      <c r="AT495" s="76">
        <f ca="1">AT10*'Tech Parameters'!$E8</f>
        <v>327.29569124301651</v>
      </c>
      <c r="AU495" s="76">
        <f ca="1">AU10*'Tech Parameters'!$E8</f>
        <v>327.29569124301651</v>
      </c>
      <c r="AV495" s="76">
        <f ca="1">AV10*'Tech Parameters'!$E8</f>
        <v>327.29569124301651</v>
      </c>
      <c r="AW495" s="76">
        <f ca="1">AW10*'Tech Parameters'!$E8</f>
        <v>327.29569124301651</v>
      </c>
    </row>
    <row r="496" spans="3:49">
      <c r="C496" t="str">
        <f t="shared" si="219"/>
        <v>PWR nuclear</v>
      </c>
      <c r="D496">
        <f>D11*'Tech Parameters'!$E9</f>
        <v>1351.6450190703897</v>
      </c>
      <c r="E496">
        <f>E11*'Tech Parameters'!$E9</f>
        <v>1351.6450190703897</v>
      </c>
      <c r="F496">
        <f>F11*'Tech Parameters'!$E9</f>
        <v>1351.6450190703897</v>
      </c>
      <c r="G496">
        <f>G11*'Tech Parameters'!$E9</f>
        <v>1351.6450190703897</v>
      </c>
      <c r="H496">
        <f>H11*'Tech Parameters'!$E9</f>
        <v>1351.6450190703897</v>
      </c>
      <c r="I496">
        <f ca="1">I11*'Tech Parameters'!$E9</f>
        <v>1351.6450190703897</v>
      </c>
      <c r="J496">
        <f ca="1">J11*'Tech Parameters'!$E9</f>
        <v>1351.6450190703897</v>
      </c>
      <c r="K496">
        <f ca="1">K11*'Tech Parameters'!$E9</f>
        <v>1351.6450190703897</v>
      </c>
      <c r="L496">
        <f ca="1">L11*'Tech Parameters'!$E9</f>
        <v>1351.6450190703897</v>
      </c>
      <c r="M496">
        <f ca="1">M11*'Tech Parameters'!$E9</f>
        <v>1351.6450190703897</v>
      </c>
      <c r="N496">
        <f ca="1">N11*'Tech Parameters'!$E9</f>
        <v>1351.6450190703897</v>
      </c>
      <c r="O496">
        <f ca="1">O11*'Tech Parameters'!$E9</f>
        <v>1351.6450190703897</v>
      </c>
      <c r="P496">
        <f ca="1">P11*'Tech Parameters'!$E9</f>
        <v>1351.6450190703897</v>
      </c>
      <c r="Q496">
        <f ca="1">Q11*'Tech Parameters'!$E9</f>
        <v>1351.6450190703897</v>
      </c>
      <c r="R496">
        <f ca="1">R11*'Tech Parameters'!$E9</f>
        <v>1351.6450190703897</v>
      </c>
      <c r="S496">
        <f ca="1">S11*'Tech Parameters'!$E9</f>
        <v>1351.6450190703897</v>
      </c>
      <c r="T496">
        <f ca="1">T11*'Tech Parameters'!$E9</f>
        <v>1351.6450190703897</v>
      </c>
      <c r="U496">
        <f ca="1">U11*'Tech Parameters'!$E9</f>
        <v>1351.6450190703897</v>
      </c>
      <c r="V496">
        <f ca="1">V11*'Tech Parameters'!$E9</f>
        <v>1351.6450190703897</v>
      </c>
      <c r="W496">
        <f ca="1">W11*'Tech Parameters'!$E9</f>
        <v>1351.6450190703897</v>
      </c>
      <c r="X496">
        <f ca="1">X11*'Tech Parameters'!$E9</f>
        <v>1351.6450190703897</v>
      </c>
      <c r="Y496">
        <f ca="1">Y11*'Tech Parameters'!$E9</f>
        <v>1351.6450190703897</v>
      </c>
      <c r="Z496">
        <f ca="1">Z11*'Tech Parameters'!$E9</f>
        <v>1351.6450190703897</v>
      </c>
      <c r="AA496">
        <f ca="1">AA11*'Tech Parameters'!$E9</f>
        <v>1351.6450190703897</v>
      </c>
      <c r="AB496">
        <f ca="1">AB11*'Tech Parameters'!$E9</f>
        <v>1351.6450190703897</v>
      </c>
      <c r="AC496">
        <f ca="1">AC11*'Tech Parameters'!$E9</f>
        <v>1351.6450190703897</v>
      </c>
      <c r="AD496" s="76">
        <f ca="1">AD11*'Tech Parameters'!$E9</f>
        <v>854.91547456202147</v>
      </c>
      <c r="AE496" s="76">
        <f ca="1">AE11*'Tech Parameters'!$E9</f>
        <v>358.18593005365335</v>
      </c>
      <c r="AF496" s="76">
        <f ca="1">AF11*'Tech Parameters'!$E9</f>
        <v>358.18593005365335</v>
      </c>
      <c r="AG496" s="76">
        <f ca="1">AG11*'Tech Parameters'!$E9</f>
        <v>358.18593005365335</v>
      </c>
      <c r="AH496" s="76">
        <f ca="1">AH11*'Tech Parameters'!$E9</f>
        <v>358.18593005365335</v>
      </c>
      <c r="AI496" s="76">
        <f ca="1">AI11*'Tech Parameters'!$E9</f>
        <v>358.18593005365335</v>
      </c>
      <c r="AJ496" s="76">
        <f ca="1">AJ11*'Tech Parameters'!$E9</f>
        <v>358.18593005365335</v>
      </c>
      <c r="AK496" s="76">
        <f ca="1">AK11*'Tech Parameters'!$E9</f>
        <v>358.18593005365335</v>
      </c>
      <c r="AL496" s="76">
        <f ca="1">AL11*'Tech Parameters'!$E9</f>
        <v>358.18593005365335</v>
      </c>
      <c r="AM496" s="76">
        <f ca="1">AM11*'Tech Parameters'!$E9</f>
        <v>358.18593005365335</v>
      </c>
      <c r="AN496" s="76">
        <f ca="1">AN11*'Tech Parameters'!$E9</f>
        <v>358.18593005365335</v>
      </c>
      <c r="AO496" s="76">
        <f ca="1">AO11*'Tech Parameters'!$E9</f>
        <v>358.18593005365335</v>
      </c>
      <c r="AP496" s="76">
        <f ca="1">AP11*'Tech Parameters'!$E9</f>
        <v>358.18593005365335</v>
      </c>
      <c r="AQ496" s="76">
        <f ca="1">AQ11*'Tech Parameters'!$E9</f>
        <v>358.18593005365335</v>
      </c>
      <c r="AR496" s="76">
        <f ca="1">AR11*'Tech Parameters'!$E9</f>
        <v>358.18593005365335</v>
      </c>
      <c r="AS496" s="76">
        <f ca="1">AS11*'Tech Parameters'!$E9</f>
        <v>358.18593005365335</v>
      </c>
      <c r="AT496" s="76">
        <f ca="1">AT11*'Tech Parameters'!$E9</f>
        <v>358.18593005365335</v>
      </c>
      <c r="AU496" s="76">
        <f ca="1">AU11*'Tech Parameters'!$E9</f>
        <v>358.18593005365335</v>
      </c>
      <c r="AV496" s="76">
        <f ca="1">AV11*'Tech Parameters'!$E9</f>
        <v>358.18593005365335</v>
      </c>
      <c r="AW496" s="76">
        <f ca="1">AW11*'Tech Parameters'!$E9</f>
        <v>358.18593005365335</v>
      </c>
    </row>
    <row r="497" spans="3:49">
      <c r="C497" t="str">
        <f t="shared" si="219"/>
        <v>Hydro</v>
      </c>
      <c r="D497">
        <f>D12*'Tech Parameters'!$E10</f>
        <v>86.627408640520088</v>
      </c>
      <c r="E497">
        <f>E12*'Tech Parameters'!$E10</f>
        <v>86.627408640520088</v>
      </c>
      <c r="F497">
        <f>F12*'Tech Parameters'!$E10</f>
        <v>86.627408640520088</v>
      </c>
      <c r="G497">
        <f>G12*'Tech Parameters'!$E10</f>
        <v>86.627408640520088</v>
      </c>
      <c r="H497">
        <f>H12*'Tech Parameters'!$E10</f>
        <v>86.627408640520088</v>
      </c>
      <c r="I497">
        <f ca="1">I12*'Tech Parameters'!$E10</f>
        <v>86.627408640520088</v>
      </c>
      <c r="J497">
        <f ca="1">J12*'Tech Parameters'!$E10</f>
        <v>86.627408640520088</v>
      </c>
      <c r="K497">
        <f ca="1">K12*'Tech Parameters'!$E10</f>
        <v>86.627408640520088</v>
      </c>
      <c r="L497">
        <f ca="1">L12*'Tech Parameters'!$E10</f>
        <v>86.627408640520088</v>
      </c>
      <c r="M497">
        <f ca="1">M12*'Tech Parameters'!$E10</f>
        <v>86.627408640520088</v>
      </c>
      <c r="N497">
        <f ca="1">N12*'Tech Parameters'!$E10</f>
        <v>86.627408640520088</v>
      </c>
      <c r="O497">
        <f ca="1">O12*'Tech Parameters'!$E10</f>
        <v>86.627408640520088</v>
      </c>
      <c r="P497">
        <f ca="1">P12*'Tech Parameters'!$E10</f>
        <v>86.627408640520088</v>
      </c>
      <c r="Q497">
        <f ca="1">Q12*'Tech Parameters'!$E10</f>
        <v>86.627408640520088</v>
      </c>
      <c r="R497">
        <f ca="1">R12*'Tech Parameters'!$E10</f>
        <v>86.627408640520088</v>
      </c>
      <c r="S497">
        <f ca="1">S12*'Tech Parameters'!$E10</f>
        <v>86.627408640520088</v>
      </c>
      <c r="T497">
        <f ca="1">T12*'Tech Parameters'!$E10</f>
        <v>86.627408640520088</v>
      </c>
      <c r="U497">
        <f ca="1">U12*'Tech Parameters'!$E10</f>
        <v>86.627408640520088</v>
      </c>
      <c r="V497">
        <f ca="1">V12*'Tech Parameters'!$E10</f>
        <v>86.627408640520088</v>
      </c>
      <c r="W497">
        <f ca="1">W12*'Tech Parameters'!$E10</f>
        <v>86.627408640520088</v>
      </c>
      <c r="X497">
        <f ca="1">X12*'Tech Parameters'!$E10</f>
        <v>86.627408640520088</v>
      </c>
      <c r="Y497">
        <f ca="1">Y12*'Tech Parameters'!$E10</f>
        <v>86.627408640520088</v>
      </c>
      <c r="Z497">
        <f ca="1">Z12*'Tech Parameters'!$E10</f>
        <v>86.627408640520088</v>
      </c>
      <c r="AA497">
        <f ca="1">AA12*'Tech Parameters'!$E10</f>
        <v>86.627408640520088</v>
      </c>
      <c r="AB497">
        <f ca="1">AB12*'Tech Parameters'!$E10</f>
        <v>86.627408640520088</v>
      </c>
      <c r="AC497">
        <f ca="1">AC12*'Tech Parameters'!$E10</f>
        <v>86.627408640520088</v>
      </c>
      <c r="AD497" s="76">
        <f ca="1">AD12*'Tech Parameters'!$E10</f>
        <v>86.627408640520088</v>
      </c>
      <c r="AE497" s="76">
        <f ca="1">AE12*'Tech Parameters'!$E10</f>
        <v>86.627408640520088</v>
      </c>
      <c r="AF497" s="76">
        <f ca="1">AF12*'Tech Parameters'!$E10</f>
        <v>86.627408640520088</v>
      </c>
      <c r="AG497" s="76">
        <f ca="1">AG12*'Tech Parameters'!$E10</f>
        <v>86.627408640520088</v>
      </c>
      <c r="AH497" s="76">
        <f ca="1">AH12*'Tech Parameters'!$E10</f>
        <v>86.627408640520088</v>
      </c>
      <c r="AI497" s="76">
        <f ca="1">AI12*'Tech Parameters'!$E10</f>
        <v>86.627408640520088</v>
      </c>
      <c r="AJ497" s="76">
        <f ca="1">AJ12*'Tech Parameters'!$E10</f>
        <v>86.627408640520088</v>
      </c>
      <c r="AK497" s="76">
        <f ca="1">AK12*'Tech Parameters'!$E10</f>
        <v>86.627408640520088</v>
      </c>
      <c r="AL497" s="76">
        <f ca="1">AL12*'Tech Parameters'!$E10</f>
        <v>86.627408640520088</v>
      </c>
      <c r="AM497" s="76">
        <f ca="1">AM12*'Tech Parameters'!$E10</f>
        <v>86.627408640520088</v>
      </c>
      <c r="AN497" s="76">
        <f ca="1">AN12*'Tech Parameters'!$E10</f>
        <v>86.627408640520088</v>
      </c>
      <c r="AO497" s="76">
        <f ca="1">AO12*'Tech Parameters'!$E10</f>
        <v>86.627408640520088</v>
      </c>
      <c r="AP497" s="76">
        <f ca="1">AP12*'Tech Parameters'!$E10</f>
        <v>86.627408640520088</v>
      </c>
      <c r="AQ497" s="76">
        <f ca="1">AQ12*'Tech Parameters'!$E10</f>
        <v>86.627408640520088</v>
      </c>
      <c r="AR497" s="76">
        <f ca="1">AR12*'Tech Parameters'!$E10</f>
        <v>86.627408640520088</v>
      </c>
      <c r="AS497" s="76">
        <f ca="1">AS12*'Tech Parameters'!$E10</f>
        <v>86.627408640520088</v>
      </c>
      <c r="AT497" s="76">
        <f ca="1">AT12*'Tech Parameters'!$E10</f>
        <v>86.627408640520088</v>
      </c>
      <c r="AU497" s="76">
        <f ca="1">AU12*'Tech Parameters'!$E10</f>
        <v>86.627408640520088</v>
      </c>
      <c r="AV497" s="76">
        <f ca="1">AV12*'Tech Parameters'!$E10</f>
        <v>86.627408640520088</v>
      </c>
      <c r="AW497" s="76">
        <f ca="1">AW12*'Tech Parameters'!$E10</f>
        <v>86.627408640520088</v>
      </c>
    </row>
    <row r="498" spans="3:49">
      <c r="C498" t="str">
        <f t="shared" si="219"/>
        <v>Landfill gas</v>
      </c>
      <c r="D498">
        <f>D13*'Tech Parameters'!$E11</f>
        <v>66.712218519436689</v>
      </c>
      <c r="E498">
        <f>E13*'Tech Parameters'!$E11</f>
        <v>66.712218519436689</v>
      </c>
      <c r="F498">
        <f>F13*'Tech Parameters'!$E11</f>
        <v>66.712218519436689</v>
      </c>
      <c r="G498">
        <f>G13*'Tech Parameters'!$E11</f>
        <v>66.712218519436689</v>
      </c>
      <c r="H498">
        <f>H13*'Tech Parameters'!$E11</f>
        <v>66.712218519436689</v>
      </c>
      <c r="I498">
        <f ca="1">I13*'Tech Parameters'!$E11</f>
        <v>66.712218519436689</v>
      </c>
      <c r="J498">
        <f ca="1">J13*'Tech Parameters'!$E11</f>
        <v>66.712218519436689</v>
      </c>
      <c r="K498">
        <f ca="1">K13*'Tech Parameters'!$E11</f>
        <v>66.712218519436689</v>
      </c>
      <c r="L498">
        <f ca="1">L13*'Tech Parameters'!$E11</f>
        <v>66.712218519436689</v>
      </c>
      <c r="M498">
        <f ca="1">M13*'Tech Parameters'!$E11</f>
        <v>66.712218519436689</v>
      </c>
      <c r="N498">
        <f ca="1">N13*'Tech Parameters'!$E11</f>
        <v>66.712218519436689</v>
      </c>
      <c r="O498">
        <f ca="1">O13*'Tech Parameters'!$E11</f>
        <v>66.712218519436689</v>
      </c>
      <c r="P498">
        <f ca="1">P13*'Tech Parameters'!$E11</f>
        <v>66.712218519436689</v>
      </c>
      <c r="Q498">
        <f ca="1">Q13*'Tech Parameters'!$E11</f>
        <v>66.712218519436689</v>
      </c>
      <c r="R498">
        <f ca="1">R13*'Tech Parameters'!$E11</f>
        <v>66.712218519436689</v>
      </c>
      <c r="S498">
        <f ca="1">S13*'Tech Parameters'!$E11</f>
        <v>66.712218519436689</v>
      </c>
      <c r="T498">
        <f ca="1">T13*'Tech Parameters'!$E11</f>
        <v>66.712218519436689</v>
      </c>
      <c r="U498">
        <f ca="1">U13*'Tech Parameters'!$E11</f>
        <v>66.712218519436689</v>
      </c>
      <c r="V498">
        <f ca="1">V13*'Tech Parameters'!$E11</f>
        <v>66.712218519436689</v>
      </c>
      <c r="W498">
        <f ca="1">W13*'Tech Parameters'!$E11</f>
        <v>66.712218519436689</v>
      </c>
      <c r="X498">
        <f ca="1">X13*'Tech Parameters'!$E11</f>
        <v>66.712218519436689</v>
      </c>
      <c r="Y498">
        <f ca="1">Y13*'Tech Parameters'!$E11</f>
        <v>66.712218519436689</v>
      </c>
      <c r="Z498">
        <f ca="1">Z13*'Tech Parameters'!$E11</f>
        <v>66.712218519436689</v>
      </c>
      <c r="AA498">
        <f ca="1">AA13*'Tech Parameters'!$E11</f>
        <v>66.712218519436689</v>
      </c>
      <c r="AB498">
        <f ca="1">AB13*'Tech Parameters'!$E11</f>
        <v>66.712218519436689</v>
      </c>
      <c r="AC498">
        <f ca="1">AC13*'Tech Parameters'!$E11</f>
        <v>66.712218519436689</v>
      </c>
      <c r="AD498" s="76">
        <f ca="1">AD13*'Tech Parameters'!$E11</f>
        <v>66.712218519436689</v>
      </c>
      <c r="AE498" s="76">
        <f ca="1">AE13*'Tech Parameters'!$E11</f>
        <v>66.712218519436689</v>
      </c>
      <c r="AF498" s="76">
        <f ca="1">AF13*'Tech Parameters'!$E11</f>
        <v>66.712218519436689</v>
      </c>
      <c r="AG498" s="76">
        <f ca="1">AG13*'Tech Parameters'!$E11</f>
        <v>66.712218519436689</v>
      </c>
      <c r="AH498" s="76">
        <f ca="1">AH13*'Tech Parameters'!$E11</f>
        <v>66.712218519436689</v>
      </c>
      <c r="AI498" s="76">
        <f ca="1">AI13*'Tech Parameters'!$E11</f>
        <v>66.712218519436689</v>
      </c>
      <c r="AJ498" s="76">
        <f ca="1">AJ13*'Tech Parameters'!$E11</f>
        <v>66.712218519436689</v>
      </c>
      <c r="AK498" s="76">
        <f ca="1">AK13*'Tech Parameters'!$E11</f>
        <v>66.712218519436689</v>
      </c>
      <c r="AL498" s="76">
        <f ca="1">AL13*'Tech Parameters'!$E11</f>
        <v>66.712218519436689</v>
      </c>
      <c r="AM498" s="76">
        <f ca="1">AM13*'Tech Parameters'!$E11</f>
        <v>66.712218519436689</v>
      </c>
      <c r="AN498" s="76">
        <f ca="1">AN13*'Tech Parameters'!$E11</f>
        <v>66.712218519436689</v>
      </c>
      <c r="AO498" s="76">
        <f ca="1">AO13*'Tech Parameters'!$E11</f>
        <v>66.712218519436689</v>
      </c>
      <c r="AP498" s="76">
        <f ca="1">AP13*'Tech Parameters'!$E11</f>
        <v>66.712218519436689</v>
      </c>
      <c r="AQ498" s="76">
        <f ca="1">AQ13*'Tech Parameters'!$E11</f>
        <v>66.712218519436689</v>
      </c>
      <c r="AR498" s="76">
        <f ca="1">AR13*'Tech Parameters'!$E11</f>
        <v>66.712218519436689</v>
      </c>
      <c r="AS498" s="76">
        <f ca="1">AS13*'Tech Parameters'!$E11</f>
        <v>66.712218519436689</v>
      </c>
      <c r="AT498" s="76">
        <f ca="1">AT13*'Tech Parameters'!$E11</f>
        <v>66.712218519436689</v>
      </c>
      <c r="AU498" s="76">
        <f ca="1">AU13*'Tech Parameters'!$E11</f>
        <v>66.712218519436689</v>
      </c>
      <c r="AV498" s="76">
        <f ca="1">AV13*'Tech Parameters'!$E11</f>
        <v>66.712218519436689</v>
      </c>
      <c r="AW498" s="76">
        <f ca="1">AW13*'Tech Parameters'!$E11</f>
        <v>66.712218519436689</v>
      </c>
    </row>
    <row r="499" spans="3:49">
      <c r="C499" t="str">
        <f t="shared" si="219"/>
        <v>Biomass</v>
      </c>
      <c r="D499">
        <f>D14*'Tech Parameters'!$E12</f>
        <v>102.14748007249291</v>
      </c>
      <c r="E499">
        <f>E14*'Tech Parameters'!$E12</f>
        <v>102.14748007249291</v>
      </c>
      <c r="F499">
        <f>F14*'Tech Parameters'!$E12</f>
        <v>102.14748007249291</v>
      </c>
      <c r="G499">
        <f>G14*'Tech Parameters'!$E12</f>
        <v>102.14748007249291</v>
      </c>
      <c r="H499">
        <f>H14*'Tech Parameters'!$E12</f>
        <v>102.14748007249291</v>
      </c>
      <c r="I499">
        <f ca="1">I14*'Tech Parameters'!$E12</f>
        <v>102.14748007249291</v>
      </c>
      <c r="J499">
        <f ca="1">J14*'Tech Parameters'!$E12</f>
        <v>102.14748007249291</v>
      </c>
      <c r="K499">
        <f ca="1">K14*'Tech Parameters'!$E12</f>
        <v>102.14748007249291</v>
      </c>
      <c r="L499">
        <f ca="1">L14*'Tech Parameters'!$E12</f>
        <v>102.14748007249291</v>
      </c>
      <c r="M499">
        <f ca="1">M14*'Tech Parameters'!$E12</f>
        <v>102.14748007249291</v>
      </c>
      <c r="N499">
        <f ca="1">N14*'Tech Parameters'!$E12</f>
        <v>102.14748007249291</v>
      </c>
      <c r="O499">
        <f ca="1">O14*'Tech Parameters'!$E12</f>
        <v>102.14748007249291</v>
      </c>
      <c r="P499">
        <f ca="1">P14*'Tech Parameters'!$E12</f>
        <v>102.14748007249291</v>
      </c>
      <c r="Q499">
        <f ca="1">Q14*'Tech Parameters'!$E12</f>
        <v>102.14748007249291</v>
      </c>
      <c r="R499">
        <f ca="1">R14*'Tech Parameters'!$E12</f>
        <v>102.14748007249291</v>
      </c>
      <c r="S499">
        <f ca="1">S14*'Tech Parameters'!$E12</f>
        <v>102.14748007249291</v>
      </c>
      <c r="T499">
        <f ca="1">T14*'Tech Parameters'!$E12</f>
        <v>102.14748007249291</v>
      </c>
      <c r="U499">
        <f ca="1">U14*'Tech Parameters'!$E12</f>
        <v>102.14748007249291</v>
      </c>
      <c r="V499">
        <f ca="1">V14*'Tech Parameters'!$E12</f>
        <v>102.14748007249291</v>
      </c>
      <c r="W499">
        <f ca="1">W14*'Tech Parameters'!$E12</f>
        <v>102.14748007249291</v>
      </c>
      <c r="X499">
        <f ca="1">X14*'Tech Parameters'!$E12</f>
        <v>102.14748007249291</v>
      </c>
      <c r="Y499">
        <f ca="1">Y14*'Tech Parameters'!$E12</f>
        <v>102.14748007249291</v>
      </c>
      <c r="Z499">
        <f ca="1">Z14*'Tech Parameters'!$E12</f>
        <v>102.14748007249291</v>
      </c>
      <c r="AA499">
        <f ca="1">AA14*'Tech Parameters'!$E12</f>
        <v>102.14748007249291</v>
      </c>
      <c r="AB499">
        <f ca="1">AB14*'Tech Parameters'!$E12</f>
        <v>102.14748007249291</v>
      </c>
      <c r="AC499">
        <f ca="1">AC14*'Tech Parameters'!$E12</f>
        <v>102.14748007249291</v>
      </c>
      <c r="AD499" s="76">
        <f ca="1">AD14*'Tech Parameters'!$E12</f>
        <v>102.14748007249291</v>
      </c>
      <c r="AE499" s="76">
        <f ca="1">AE14*'Tech Parameters'!$E12</f>
        <v>102.14748007249291</v>
      </c>
      <c r="AF499" s="76">
        <f ca="1">AF14*'Tech Parameters'!$E12</f>
        <v>102.14748007249291</v>
      </c>
      <c r="AG499" s="76">
        <f ca="1">AG14*'Tech Parameters'!$E12</f>
        <v>102.14748007249291</v>
      </c>
      <c r="AH499" s="76">
        <f ca="1">AH14*'Tech Parameters'!$E12</f>
        <v>102.14748007249291</v>
      </c>
      <c r="AI499" s="76">
        <f ca="1">AI14*'Tech Parameters'!$E12</f>
        <v>102.14748007249291</v>
      </c>
      <c r="AJ499" s="76">
        <f ca="1">AJ14*'Tech Parameters'!$E12</f>
        <v>102.14748007249291</v>
      </c>
      <c r="AK499" s="76">
        <f ca="1">AK14*'Tech Parameters'!$E12</f>
        <v>102.14748007249291</v>
      </c>
      <c r="AL499" s="76">
        <f ca="1">AL14*'Tech Parameters'!$E12</f>
        <v>102.14748007249291</v>
      </c>
      <c r="AM499" s="76">
        <f ca="1">AM14*'Tech Parameters'!$E12</f>
        <v>102.14748007249291</v>
      </c>
      <c r="AN499" s="76">
        <f ca="1">AN14*'Tech Parameters'!$E12</f>
        <v>102.14748007249291</v>
      </c>
      <c r="AO499" s="76">
        <f ca="1">AO14*'Tech Parameters'!$E12</f>
        <v>102.14748007249291</v>
      </c>
      <c r="AP499" s="76">
        <f ca="1">AP14*'Tech Parameters'!$E12</f>
        <v>102.14748007249291</v>
      </c>
      <c r="AQ499" s="76">
        <f ca="1">AQ14*'Tech Parameters'!$E12</f>
        <v>102.14748007249291</v>
      </c>
      <c r="AR499" s="76">
        <f ca="1">AR14*'Tech Parameters'!$E12</f>
        <v>102.14748007249291</v>
      </c>
      <c r="AS499" s="76">
        <f ca="1">AS14*'Tech Parameters'!$E12</f>
        <v>102.14748007249291</v>
      </c>
      <c r="AT499" s="76">
        <f ca="1">AT14*'Tech Parameters'!$E12</f>
        <v>102.14748007249291</v>
      </c>
      <c r="AU499" s="76">
        <f ca="1">AU14*'Tech Parameters'!$E12</f>
        <v>102.14748007249291</v>
      </c>
      <c r="AV499" s="76">
        <f ca="1">AV14*'Tech Parameters'!$E12</f>
        <v>102.14748007249291</v>
      </c>
      <c r="AW499" s="76">
        <f ca="1">AW14*'Tech Parameters'!$E12</f>
        <v>102.14748007249291</v>
      </c>
    </row>
    <row r="500" spans="3:49">
      <c r="C500" t="str">
        <f t="shared" si="219"/>
        <v>Supercritical coal</v>
      </c>
      <c r="D500">
        <f>D15*'Tech Parameters'!$E13</f>
        <v>0</v>
      </c>
      <c r="E500">
        <f>E15*'Tech Parameters'!$E13</f>
        <v>0</v>
      </c>
      <c r="F500">
        <f>F15*'Tech Parameters'!$E13</f>
        <v>0</v>
      </c>
      <c r="G500">
        <f>G15*'Tech Parameters'!$E13</f>
        <v>0</v>
      </c>
      <c r="H500">
        <f>H15*'Tech Parameters'!$E13</f>
        <v>0</v>
      </c>
      <c r="I500">
        <f ca="1">I15*'Tech Parameters'!$E13</f>
        <v>0</v>
      </c>
      <c r="J500">
        <f ca="1">J15*'Tech Parameters'!$E13</f>
        <v>0</v>
      </c>
      <c r="K500">
        <f ca="1">K15*'Tech Parameters'!$E13</f>
        <v>182.33827776393036</v>
      </c>
      <c r="L500">
        <f ca="1">L15*'Tech Parameters'!$E13</f>
        <v>547.01483329179109</v>
      </c>
      <c r="M500">
        <f ca="1">M15*'Tech Parameters'!$E13</f>
        <v>1094.0296665835822</v>
      </c>
      <c r="N500">
        <f ca="1">N15*'Tech Parameters'!$E13</f>
        <v>1641.0444998753735</v>
      </c>
      <c r="O500">
        <f ca="1">O15*'Tech Parameters'!$E13</f>
        <v>2005.7210554032342</v>
      </c>
      <c r="P500">
        <f ca="1">P15*'Tech Parameters'!$E13</f>
        <v>2370.3976109310952</v>
      </c>
      <c r="Q500">
        <f ca="1">Q15*'Tech Parameters'!$E13</f>
        <v>2917.4124442228863</v>
      </c>
      <c r="R500">
        <f ca="1">R15*'Tech Parameters'!$E13</f>
        <v>3464.4272775146774</v>
      </c>
      <c r="S500">
        <f ca="1">S15*'Tech Parameters'!$E13</f>
        <v>4011.4421108064685</v>
      </c>
      <c r="T500">
        <f ca="1">T15*'Tech Parameters'!$E13</f>
        <v>4740.7952218621904</v>
      </c>
      <c r="U500">
        <f ca="1">U15*'Tech Parameters'!$E13</f>
        <v>5470.1483329179127</v>
      </c>
      <c r="V500">
        <f ca="1">V15*'Tech Parameters'!$E13</f>
        <v>6017.1631662097034</v>
      </c>
      <c r="W500">
        <f ca="1">W15*'Tech Parameters'!$E13</f>
        <v>6746.5162772654248</v>
      </c>
      <c r="X500">
        <f ca="1">X15*'Tech Parameters'!$E13</f>
        <v>7475.8693883211472</v>
      </c>
      <c r="Y500">
        <f ca="1">Y15*'Tech Parameters'!$E13</f>
        <v>8387.5607771407977</v>
      </c>
      <c r="Z500">
        <f ca="1">Z15*'Tech Parameters'!$E13</f>
        <v>9299.2521659604499</v>
      </c>
      <c r="AA500">
        <f ca="1">AA15*'Tech Parameters'!$E13</f>
        <v>10210.943554780102</v>
      </c>
      <c r="AB500">
        <f ca="1">AB15*'Tech Parameters'!$E13</f>
        <v>11304.973221363683</v>
      </c>
      <c r="AC500">
        <f ca="1">AC15*'Tech Parameters'!$E13</f>
        <v>12399.002887947267</v>
      </c>
      <c r="AD500" s="76">
        <f ca="1">AD15*'Tech Parameters'!$E13</f>
        <v>12399.002887947267</v>
      </c>
      <c r="AE500" s="76">
        <f ca="1">AE15*'Tech Parameters'!$E13</f>
        <v>12399.002887947267</v>
      </c>
      <c r="AF500" s="76">
        <f ca="1">AF15*'Tech Parameters'!$E13</f>
        <v>12399.002887947267</v>
      </c>
      <c r="AG500" s="76">
        <f ca="1">AG15*'Tech Parameters'!$E13</f>
        <v>12399.002887947267</v>
      </c>
      <c r="AH500" s="76">
        <f ca="1">AH15*'Tech Parameters'!$E13</f>
        <v>12399.002887947267</v>
      </c>
      <c r="AI500" s="76">
        <f ca="1">AI15*'Tech Parameters'!$E13</f>
        <v>12399.002887947267</v>
      </c>
      <c r="AJ500" s="76">
        <f ca="1">AJ15*'Tech Parameters'!$E13</f>
        <v>12399.002887947267</v>
      </c>
      <c r="AK500" s="76">
        <f ca="1">AK15*'Tech Parameters'!$E13</f>
        <v>12399.002887947267</v>
      </c>
      <c r="AL500" s="76">
        <f ca="1">AL15*'Tech Parameters'!$E13</f>
        <v>12399.002887947267</v>
      </c>
      <c r="AM500" s="76">
        <f ca="1">AM15*'Tech Parameters'!$E13</f>
        <v>12399.002887947267</v>
      </c>
      <c r="AN500" s="76">
        <f ca="1">AN15*'Tech Parameters'!$E13</f>
        <v>12399.002887947267</v>
      </c>
      <c r="AO500" s="76">
        <f ca="1">AO15*'Tech Parameters'!$E13</f>
        <v>12399.002887947267</v>
      </c>
      <c r="AP500" s="76">
        <f ca="1">AP15*'Tech Parameters'!$E13</f>
        <v>12399.002887947267</v>
      </c>
      <c r="AQ500" s="76">
        <f ca="1">AQ15*'Tech Parameters'!$E13</f>
        <v>12399.002887947267</v>
      </c>
      <c r="AR500" s="76">
        <f ca="1">AR15*'Tech Parameters'!$E13</f>
        <v>12399.002887947267</v>
      </c>
      <c r="AS500" s="76">
        <f ca="1">AS15*'Tech Parameters'!$E13</f>
        <v>12399.002887947267</v>
      </c>
      <c r="AT500" s="76">
        <f ca="1">AT15*'Tech Parameters'!$E13</f>
        <v>12399.002887947267</v>
      </c>
      <c r="AU500" s="76">
        <f ca="1">AU15*'Tech Parameters'!$E13</f>
        <v>12399.002887947267</v>
      </c>
      <c r="AV500" s="76">
        <f ca="1">AV15*'Tech Parameters'!$E13</f>
        <v>12399.002887947267</v>
      </c>
      <c r="AW500" s="76">
        <f ca="1">AW15*'Tech Parameters'!$E13</f>
        <v>12399.002887947267</v>
      </c>
    </row>
    <row r="501" spans="3:49">
      <c r="C501" t="str">
        <f t="shared" si="219"/>
        <v xml:space="preserve">Wind 30% </v>
      </c>
      <c r="D501">
        <f>D16*'Tech Parameters'!$E14</f>
        <v>0</v>
      </c>
      <c r="E501">
        <f>E16*'Tech Parameters'!$E14</f>
        <v>0</v>
      </c>
      <c r="F501">
        <f>F16*'Tech Parameters'!$E14</f>
        <v>0</v>
      </c>
      <c r="G501">
        <f>G16*'Tech Parameters'!$E14</f>
        <v>0</v>
      </c>
      <c r="H501">
        <f>H16*'Tech Parameters'!$E14</f>
        <v>0</v>
      </c>
      <c r="I501">
        <f ca="1">I16*'Tech Parameters'!$E14</f>
        <v>25.275151249001961</v>
      </c>
      <c r="J501">
        <f ca="1">J16*'Tech Parameters'!$E14</f>
        <v>25.275151249001961</v>
      </c>
      <c r="K501">
        <f ca="1">K16*'Tech Parameters'!$E14</f>
        <v>25.275151249001961</v>
      </c>
      <c r="L501">
        <f ca="1">L16*'Tech Parameters'!$E14</f>
        <v>25.275151249001961</v>
      </c>
      <c r="M501">
        <f ca="1">M16*'Tech Parameters'!$E14</f>
        <v>25.275151249001961</v>
      </c>
      <c r="N501">
        <f ca="1">N16*'Tech Parameters'!$E14</f>
        <v>25.275151249001961</v>
      </c>
      <c r="O501">
        <f ca="1">O16*'Tech Parameters'!$E14</f>
        <v>25.275151249001961</v>
      </c>
      <c r="P501">
        <f ca="1">P16*'Tech Parameters'!$E14</f>
        <v>25.275151249001961</v>
      </c>
      <c r="Q501">
        <f ca="1">Q16*'Tech Parameters'!$E14</f>
        <v>25.275151249001961</v>
      </c>
      <c r="R501">
        <f ca="1">R16*'Tech Parameters'!$E14</f>
        <v>25.275151249001961</v>
      </c>
      <c r="S501">
        <f ca="1">S16*'Tech Parameters'!$E14</f>
        <v>25.275151249001961</v>
      </c>
      <c r="T501">
        <f ca="1">T16*'Tech Parameters'!$E14</f>
        <v>25.275151249001961</v>
      </c>
      <c r="U501">
        <f ca="1">U16*'Tech Parameters'!$E14</f>
        <v>25.275151249001961</v>
      </c>
      <c r="V501">
        <f ca="1">V16*'Tech Parameters'!$E14</f>
        <v>25.275151249001961</v>
      </c>
      <c r="W501">
        <f ca="1">W16*'Tech Parameters'!$E14</f>
        <v>25.275151249001961</v>
      </c>
      <c r="X501">
        <f ca="1">X16*'Tech Parameters'!$E14</f>
        <v>25.275151249001961</v>
      </c>
      <c r="Y501">
        <f ca="1">Y16*'Tech Parameters'!$E14</f>
        <v>25.275151249001961</v>
      </c>
      <c r="Z501">
        <f ca="1">Z16*'Tech Parameters'!$E14</f>
        <v>25.275151249001961</v>
      </c>
      <c r="AA501">
        <f ca="1">AA16*'Tech Parameters'!$E14</f>
        <v>25.275151249001961</v>
      </c>
      <c r="AB501">
        <f ca="1">AB16*'Tech Parameters'!$E14</f>
        <v>25.275151249001961</v>
      </c>
      <c r="AC501">
        <f ca="1">AC16*'Tech Parameters'!$E14</f>
        <v>0</v>
      </c>
      <c r="AD501" s="76">
        <f ca="1">AD16*'Tech Parameters'!$E14</f>
        <v>0</v>
      </c>
      <c r="AE501" s="76">
        <f ca="1">AE16*'Tech Parameters'!$E14</f>
        <v>0</v>
      </c>
      <c r="AF501" s="76">
        <f ca="1">AF16*'Tech Parameters'!$E14</f>
        <v>0</v>
      </c>
      <c r="AG501" s="76">
        <f ca="1">AG16*'Tech Parameters'!$E14</f>
        <v>0</v>
      </c>
      <c r="AH501" s="76">
        <f ca="1">AH16*'Tech Parameters'!$E14</f>
        <v>0</v>
      </c>
      <c r="AI501" s="76">
        <f ca="1">AI16*'Tech Parameters'!$E14</f>
        <v>0</v>
      </c>
      <c r="AJ501" s="76">
        <f ca="1">AJ16*'Tech Parameters'!$E14</f>
        <v>0</v>
      </c>
      <c r="AK501" s="76">
        <f ca="1">AK16*'Tech Parameters'!$E14</f>
        <v>0</v>
      </c>
      <c r="AL501" s="76">
        <f ca="1">AL16*'Tech Parameters'!$E14</f>
        <v>0</v>
      </c>
      <c r="AM501" s="76">
        <f ca="1">AM16*'Tech Parameters'!$E14</f>
        <v>0</v>
      </c>
      <c r="AN501" s="76">
        <f ca="1">AN16*'Tech Parameters'!$E14</f>
        <v>0</v>
      </c>
      <c r="AO501" s="76">
        <f ca="1">AO16*'Tech Parameters'!$E14</f>
        <v>0</v>
      </c>
      <c r="AP501" s="76">
        <f ca="1">AP16*'Tech Parameters'!$E14</f>
        <v>0</v>
      </c>
      <c r="AQ501" s="76">
        <f ca="1">AQ16*'Tech Parameters'!$E14</f>
        <v>0</v>
      </c>
      <c r="AR501" s="76">
        <f ca="1">AR16*'Tech Parameters'!$E14</f>
        <v>0</v>
      </c>
      <c r="AS501" s="76">
        <f ca="1">AS16*'Tech Parameters'!$E14</f>
        <v>0</v>
      </c>
      <c r="AT501" s="76">
        <f ca="1">AT16*'Tech Parameters'!$E14</f>
        <v>0</v>
      </c>
      <c r="AU501" s="76">
        <f ca="1">AU16*'Tech Parameters'!$E14</f>
        <v>0</v>
      </c>
      <c r="AV501" s="76">
        <f ca="1">AV16*'Tech Parameters'!$E14</f>
        <v>0</v>
      </c>
      <c r="AW501" s="76">
        <f ca="1">AW16*'Tech Parameters'!$E14</f>
        <v>0</v>
      </c>
    </row>
    <row r="502" spans="3:49">
      <c r="C502" t="str">
        <f t="shared" si="219"/>
        <v>Wind 25%</v>
      </c>
      <c r="D502">
        <f>D17*'Tech Parameters'!$E15</f>
        <v>0</v>
      </c>
      <c r="E502">
        <f>E17*'Tech Parameters'!$E15</f>
        <v>0</v>
      </c>
      <c r="F502">
        <f>F17*'Tech Parameters'!$E15</f>
        <v>0</v>
      </c>
      <c r="G502">
        <f>G17*'Tech Parameters'!$E15</f>
        <v>0</v>
      </c>
      <c r="H502">
        <f>H17*'Tech Parameters'!$E15</f>
        <v>0</v>
      </c>
      <c r="I502">
        <f ca="1">I17*'Tech Parameters'!$E15</f>
        <v>0</v>
      </c>
      <c r="J502">
        <f ca="1">J17*'Tech Parameters'!$E15</f>
        <v>0</v>
      </c>
      <c r="K502">
        <f ca="1">K17*'Tech Parameters'!$E15</f>
        <v>0</v>
      </c>
      <c r="L502">
        <f ca="1">L17*'Tech Parameters'!$E15</f>
        <v>0</v>
      </c>
      <c r="M502">
        <f ca="1">M17*'Tech Parameters'!$E15</f>
        <v>0</v>
      </c>
      <c r="N502">
        <f ca="1">N17*'Tech Parameters'!$E15</f>
        <v>0</v>
      </c>
      <c r="O502">
        <f ca="1">O17*'Tech Parameters'!$E15</f>
        <v>0</v>
      </c>
      <c r="P502">
        <f ca="1">P17*'Tech Parameters'!$E15</f>
        <v>0</v>
      </c>
      <c r="Q502">
        <f ca="1">Q17*'Tech Parameters'!$E15</f>
        <v>0</v>
      </c>
      <c r="R502">
        <f ca="1">R17*'Tech Parameters'!$E15</f>
        <v>0</v>
      </c>
      <c r="S502">
        <f ca="1">S17*'Tech Parameters'!$E15</f>
        <v>0</v>
      </c>
      <c r="T502">
        <f ca="1">T17*'Tech Parameters'!$E15</f>
        <v>0</v>
      </c>
      <c r="U502">
        <f ca="1">U17*'Tech Parameters'!$E15</f>
        <v>0</v>
      </c>
      <c r="V502">
        <f ca="1">V17*'Tech Parameters'!$E15</f>
        <v>0</v>
      </c>
      <c r="W502">
        <f ca="1">W17*'Tech Parameters'!$E15</f>
        <v>0</v>
      </c>
      <c r="X502">
        <f ca="1">X17*'Tech Parameters'!$E15</f>
        <v>0</v>
      </c>
      <c r="Y502">
        <f ca="1">Y17*'Tech Parameters'!$E15</f>
        <v>0</v>
      </c>
      <c r="Z502">
        <f ca="1">Z17*'Tech Parameters'!$E15</f>
        <v>0</v>
      </c>
      <c r="AA502">
        <f ca="1">AA17*'Tech Parameters'!$E15</f>
        <v>0</v>
      </c>
      <c r="AB502">
        <f ca="1">AB17*'Tech Parameters'!$E15</f>
        <v>0</v>
      </c>
      <c r="AC502">
        <f ca="1">AC17*'Tech Parameters'!$E15</f>
        <v>0</v>
      </c>
      <c r="AD502" s="76">
        <f ca="1">AD17*'Tech Parameters'!$E15</f>
        <v>0</v>
      </c>
      <c r="AE502" s="76">
        <f ca="1">AE17*'Tech Parameters'!$E15</f>
        <v>0</v>
      </c>
      <c r="AF502" s="76">
        <f ca="1">AF17*'Tech Parameters'!$E15</f>
        <v>0</v>
      </c>
      <c r="AG502" s="76">
        <f ca="1">AG17*'Tech Parameters'!$E15</f>
        <v>0</v>
      </c>
      <c r="AH502" s="76">
        <f ca="1">AH17*'Tech Parameters'!$E15</f>
        <v>0</v>
      </c>
      <c r="AI502" s="76">
        <f ca="1">AI17*'Tech Parameters'!$E15</f>
        <v>0</v>
      </c>
      <c r="AJ502" s="76">
        <f ca="1">AJ17*'Tech Parameters'!$E15</f>
        <v>0</v>
      </c>
      <c r="AK502" s="76">
        <f ca="1">AK17*'Tech Parameters'!$E15</f>
        <v>0</v>
      </c>
      <c r="AL502" s="76">
        <f ca="1">AL17*'Tech Parameters'!$E15</f>
        <v>0</v>
      </c>
      <c r="AM502" s="76">
        <f ca="1">AM17*'Tech Parameters'!$E15</f>
        <v>0</v>
      </c>
      <c r="AN502" s="76">
        <f ca="1">AN17*'Tech Parameters'!$E15</f>
        <v>0</v>
      </c>
      <c r="AO502" s="76">
        <f ca="1">AO17*'Tech Parameters'!$E15</f>
        <v>0</v>
      </c>
      <c r="AP502" s="76">
        <f ca="1">AP17*'Tech Parameters'!$E15</f>
        <v>0</v>
      </c>
      <c r="AQ502" s="76">
        <f ca="1">AQ17*'Tech Parameters'!$E15</f>
        <v>0</v>
      </c>
      <c r="AR502" s="76">
        <f ca="1">AR17*'Tech Parameters'!$E15</f>
        <v>0</v>
      </c>
      <c r="AS502" s="76">
        <f ca="1">AS17*'Tech Parameters'!$E15</f>
        <v>0</v>
      </c>
      <c r="AT502" s="76">
        <f ca="1">AT17*'Tech Parameters'!$E15</f>
        <v>0</v>
      </c>
      <c r="AU502" s="76">
        <f ca="1">AU17*'Tech Parameters'!$E15</f>
        <v>0</v>
      </c>
      <c r="AV502" s="76">
        <f ca="1">AV17*'Tech Parameters'!$E15</f>
        <v>0</v>
      </c>
      <c r="AW502" s="76">
        <f ca="1">AW17*'Tech Parameters'!$E15</f>
        <v>0</v>
      </c>
    </row>
    <row r="503" spans="3:49">
      <c r="C503" t="str">
        <f t="shared" si="219"/>
        <v>solar thermal central reciever</v>
      </c>
      <c r="D503">
        <f>D18*'Tech Parameters'!$E16</f>
        <v>0</v>
      </c>
      <c r="E503">
        <f>E18*'Tech Parameters'!$E16</f>
        <v>0</v>
      </c>
      <c r="F503">
        <f>F18*'Tech Parameters'!$E16</f>
        <v>0</v>
      </c>
      <c r="G503">
        <f>G18*'Tech Parameters'!$E16</f>
        <v>0</v>
      </c>
      <c r="H503">
        <f>H18*'Tech Parameters'!$E16</f>
        <v>0</v>
      </c>
      <c r="I503">
        <f ca="1">I18*'Tech Parameters'!$E16</f>
        <v>0</v>
      </c>
      <c r="J503">
        <f ca="1">J18*'Tech Parameters'!$E16</f>
        <v>0</v>
      </c>
      <c r="K503">
        <f ca="1">K18*'Tech Parameters'!$E16</f>
        <v>0</v>
      </c>
      <c r="L503">
        <f ca="1">L18*'Tech Parameters'!$E16</f>
        <v>0</v>
      </c>
      <c r="M503">
        <f ca="1">M18*'Tech Parameters'!$E16</f>
        <v>0</v>
      </c>
      <c r="N503">
        <f ca="1">N18*'Tech Parameters'!$E16</f>
        <v>0</v>
      </c>
      <c r="O503">
        <f ca="1">O18*'Tech Parameters'!$E16</f>
        <v>0</v>
      </c>
      <c r="P503">
        <f ca="1">P18*'Tech Parameters'!$E16</f>
        <v>0</v>
      </c>
      <c r="Q503">
        <f ca="1">Q18*'Tech Parameters'!$E16</f>
        <v>0</v>
      </c>
      <c r="R503">
        <f ca="1">R18*'Tech Parameters'!$E16</f>
        <v>0</v>
      </c>
      <c r="S503">
        <f ca="1">S18*'Tech Parameters'!$E16</f>
        <v>0</v>
      </c>
      <c r="T503">
        <f ca="1">T18*'Tech Parameters'!$E16</f>
        <v>0</v>
      </c>
      <c r="U503">
        <f ca="1">U18*'Tech Parameters'!$E16</f>
        <v>0</v>
      </c>
      <c r="V503">
        <f ca="1">V18*'Tech Parameters'!$E16</f>
        <v>0</v>
      </c>
      <c r="W503">
        <f ca="1">W18*'Tech Parameters'!$E16</f>
        <v>0</v>
      </c>
      <c r="X503">
        <f ca="1">X18*'Tech Parameters'!$E16</f>
        <v>0</v>
      </c>
      <c r="Y503">
        <f ca="1">Y18*'Tech Parameters'!$E16</f>
        <v>0</v>
      </c>
      <c r="Z503">
        <f ca="1">Z18*'Tech Parameters'!$E16</f>
        <v>0</v>
      </c>
      <c r="AA503">
        <f ca="1">AA18*'Tech Parameters'!$E16</f>
        <v>0</v>
      </c>
      <c r="AB503">
        <f ca="1">AB18*'Tech Parameters'!$E16</f>
        <v>0</v>
      </c>
      <c r="AC503">
        <f ca="1">AC18*'Tech Parameters'!$E16</f>
        <v>0</v>
      </c>
      <c r="AD503" s="76">
        <f ca="1">AD18*'Tech Parameters'!$E16</f>
        <v>0</v>
      </c>
      <c r="AE503" s="76">
        <f ca="1">AE18*'Tech Parameters'!$E16</f>
        <v>0</v>
      </c>
      <c r="AF503" s="76">
        <f ca="1">AF18*'Tech Parameters'!$E16</f>
        <v>0</v>
      </c>
      <c r="AG503" s="76">
        <f ca="1">AG18*'Tech Parameters'!$E16</f>
        <v>0</v>
      </c>
      <c r="AH503" s="76">
        <f ca="1">AH18*'Tech Parameters'!$E16</f>
        <v>0</v>
      </c>
      <c r="AI503" s="76">
        <f ca="1">AI18*'Tech Parameters'!$E16</f>
        <v>0</v>
      </c>
      <c r="AJ503" s="76">
        <f ca="1">AJ18*'Tech Parameters'!$E16</f>
        <v>0</v>
      </c>
      <c r="AK503" s="76">
        <f ca="1">AK18*'Tech Parameters'!$E16</f>
        <v>0</v>
      </c>
      <c r="AL503" s="76">
        <f ca="1">AL18*'Tech Parameters'!$E16</f>
        <v>0</v>
      </c>
      <c r="AM503" s="76">
        <f ca="1">AM18*'Tech Parameters'!$E16</f>
        <v>0</v>
      </c>
      <c r="AN503" s="76">
        <f ca="1">AN18*'Tech Parameters'!$E16</f>
        <v>0</v>
      </c>
      <c r="AO503" s="76">
        <f ca="1">AO18*'Tech Parameters'!$E16</f>
        <v>0</v>
      </c>
      <c r="AP503" s="76">
        <f ca="1">AP18*'Tech Parameters'!$E16</f>
        <v>0</v>
      </c>
      <c r="AQ503" s="76">
        <f ca="1">AQ18*'Tech Parameters'!$E16</f>
        <v>0</v>
      </c>
      <c r="AR503" s="76">
        <f ca="1">AR18*'Tech Parameters'!$E16</f>
        <v>0</v>
      </c>
      <c r="AS503" s="76">
        <f ca="1">AS18*'Tech Parameters'!$E16</f>
        <v>0</v>
      </c>
      <c r="AT503" s="76">
        <f ca="1">AT18*'Tech Parameters'!$E16</f>
        <v>0</v>
      </c>
      <c r="AU503" s="76">
        <f ca="1">AU18*'Tech Parameters'!$E16</f>
        <v>0</v>
      </c>
      <c r="AV503" s="76">
        <f ca="1">AV18*'Tech Parameters'!$E16</f>
        <v>0</v>
      </c>
      <c r="AW503" s="76">
        <f ca="1">AW18*'Tech Parameters'!$E16</f>
        <v>0</v>
      </c>
    </row>
    <row r="504" spans="3:49">
      <c r="C504" t="str">
        <f t="shared" si="219"/>
        <v>solar thermal trough</v>
      </c>
      <c r="D504">
        <f>D19*'Tech Parameters'!$E17</f>
        <v>0</v>
      </c>
      <c r="E504">
        <f>E19*'Tech Parameters'!$E17</f>
        <v>0</v>
      </c>
      <c r="F504">
        <f>F19*'Tech Parameters'!$E17</f>
        <v>0</v>
      </c>
      <c r="G504">
        <f>G19*'Tech Parameters'!$E17</f>
        <v>0</v>
      </c>
      <c r="H504">
        <f>H19*'Tech Parameters'!$E17</f>
        <v>0</v>
      </c>
      <c r="I504">
        <f ca="1">I19*'Tech Parameters'!$E17</f>
        <v>0</v>
      </c>
      <c r="J504">
        <f ca="1">J19*'Tech Parameters'!$E17</f>
        <v>0</v>
      </c>
      <c r="K504">
        <f ca="1">K19*'Tech Parameters'!$E17</f>
        <v>0</v>
      </c>
      <c r="L504">
        <f ca="1">L19*'Tech Parameters'!$E17</f>
        <v>0</v>
      </c>
      <c r="M504">
        <f ca="1">M19*'Tech Parameters'!$E17</f>
        <v>0</v>
      </c>
      <c r="N504">
        <f ca="1">N19*'Tech Parameters'!$E17</f>
        <v>0</v>
      </c>
      <c r="O504">
        <f ca="1">O19*'Tech Parameters'!$E17</f>
        <v>0</v>
      </c>
      <c r="P504">
        <f ca="1">P19*'Tech Parameters'!$E17</f>
        <v>0</v>
      </c>
      <c r="Q504">
        <f ca="1">Q19*'Tech Parameters'!$E17</f>
        <v>0</v>
      </c>
      <c r="R504">
        <f ca="1">R19*'Tech Parameters'!$E17</f>
        <v>0</v>
      </c>
      <c r="S504">
        <f ca="1">S19*'Tech Parameters'!$E17</f>
        <v>0</v>
      </c>
      <c r="T504">
        <f ca="1">T19*'Tech Parameters'!$E17</f>
        <v>0</v>
      </c>
      <c r="U504">
        <f ca="1">U19*'Tech Parameters'!$E17</f>
        <v>0</v>
      </c>
      <c r="V504">
        <f ca="1">V19*'Tech Parameters'!$E17</f>
        <v>0</v>
      </c>
      <c r="W504">
        <f ca="1">W19*'Tech Parameters'!$E17</f>
        <v>0</v>
      </c>
      <c r="X504">
        <f ca="1">X19*'Tech Parameters'!$E17</f>
        <v>0</v>
      </c>
      <c r="Y504">
        <f ca="1">Y19*'Tech Parameters'!$E17</f>
        <v>0</v>
      </c>
      <c r="Z504">
        <f ca="1">Z19*'Tech Parameters'!$E17</f>
        <v>0</v>
      </c>
      <c r="AA504">
        <f ca="1">AA19*'Tech Parameters'!$E17</f>
        <v>0</v>
      </c>
      <c r="AB504">
        <f ca="1">AB19*'Tech Parameters'!$E17</f>
        <v>0</v>
      </c>
      <c r="AC504">
        <f ca="1">AC19*'Tech Parameters'!$E17</f>
        <v>0</v>
      </c>
      <c r="AD504" s="76">
        <f ca="1">AD19*'Tech Parameters'!$E17</f>
        <v>0</v>
      </c>
      <c r="AE504" s="76">
        <f ca="1">AE19*'Tech Parameters'!$E17</f>
        <v>0</v>
      </c>
      <c r="AF504" s="76">
        <f ca="1">AF19*'Tech Parameters'!$E17</f>
        <v>0</v>
      </c>
      <c r="AG504" s="76">
        <f ca="1">AG19*'Tech Parameters'!$E17</f>
        <v>0</v>
      </c>
      <c r="AH504" s="76">
        <f ca="1">AH19*'Tech Parameters'!$E17</f>
        <v>0</v>
      </c>
      <c r="AI504" s="76">
        <f ca="1">AI19*'Tech Parameters'!$E17</f>
        <v>0</v>
      </c>
      <c r="AJ504" s="76">
        <f ca="1">AJ19*'Tech Parameters'!$E17</f>
        <v>0</v>
      </c>
      <c r="AK504" s="76">
        <f ca="1">AK19*'Tech Parameters'!$E17</f>
        <v>0</v>
      </c>
      <c r="AL504" s="76">
        <f ca="1">AL19*'Tech Parameters'!$E17</f>
        <v>0</v>
      </c>
      <c r="AM504" s="76">
        <f ca="1">AM19*'Tech Parameters'!$E17</f>
        <v>0</v>
      </c>
      <c r="AN504" s="76">
        <f ca="1">AN19*'Tech Parameters'!$E17</f>
        <v>0</v>
      </c>
      <c r="AO504" s="76">
        <f ca="1">AO19*'Tech Parameters'!$E17</f>
        <v>0</v>
      </c>
      <c r="AP504" s="76">
        <f ca="1">AP19*'Tech Parameters'!$E17</f>
        <v>0</v>
      </c>
      <c r="AQ504" s="76">
        <f ca="1">AQ19*'Tech Parameters'!$E17</f>
        <v>0</v>
      </c>
      <c r="AR504" s="76">
        <f ca="1">AR19*'Tech Parameters'!$E17</f>
        <v>0</v>
      </c>
      <c r="AS504" s="76">
        <f ca="1">AS19*'Tech Parameters'!$E17</f>
        <v>0</v>
      </c>
      <c r="AT504" s="76">
        <f ca="1">AT19*'Tech Parameters'!$E17</f>
        <v>0</v>
      </c>
      <c r="AU504" s="76">
        <f ca="1">AU19*'Tech Parameters'!$E17</f>
        <v>0</v>
      </c>
      <c r="AV504" s="76">
        <f ca="1">AV19*'Tech Parameters'!$E17</f>
        <v>0</v>
      </c>
      <c r="AW504" s="76">
        <f ca="1">AW19*'Tech Parameters'!$E17</f>
        <v>0</v>
      </c>
    </row>
    <row r="505" spans="3:49">
      <c r="C505" t="str">
        <f t="shared" si="219"/>
        <v>solar PV</v>
      </c>
      <c r="D505">
        <f>D20*'Tech Parameters'!$E18</f>
        <v>0</v>
      </c>
      <c r="E505">
        <f>E20*'Tech Parameters'!$E18</f>
        <v>0</v>
      </c>
      <c r="F505">
        <f>F20*'Tech Parameters'!$E18</f>
        <v>0</v>
      </c>
      <c r="G505">
        <f>G20*'Tech Parameters'!$E18</f>
        <v>0</v>
      </c>
      <c r="H505">
        <f>H20*'Tech Parameters'!$E18</f>
        <v>0</v>
      </c>
      <c r="I505">
        <f ca="1">I20*'Tech Parameters'!$E18</f>
        <v>0</v>
      </c>
      <c r="J505">
        <f ca="1">J20*'Tech Parameters'!$E18</f>
        <v>0</v>
      </c>
      <c r="K505">
        <f ca="1">K20*'Tech Parameters'!$E18</f>
        <v>0</v>
      </c>
      <c r="L505">
        <f ca="1">L20*'Tech Parameters'!$E18</f>
        <v>0</v>
      </c>
      <c r="M505">
        <f ca="1">M20*'Tech Parameters'!$E18</f>
        <v>0</v>
      </c>
      <c r="N505">
        <f ca="1">N20*'Tech Parameters'!$E18</f>
        <v>0</v>
      </c>
      <c r="O505">
        <f ca="1">O20*'Tech Parameters'!$E18</f>
        <v>0</v>
      </c>
      <c r="P505">
        <f ca="1">P20*'Tech Parameters'!$E18</f>
        <v>0</v>
      </c>
      <c r="Q505">
        <f ca="1">Q20*'Tech Parameters'!$E18</f>
        <v>0</v>
      </c>
      <c r="R505">
        <f ca="1">R20*'Tech Parameters'!$E18</f>
        <v>0</v>
      </c>
      <c r="S505">
        <f ca="1">S20*'Tech Parameters'!$E18</f>
        <v>0</v>
      </c>
      <c r="T505">
        <f ca="1">T20*'Tech Parameters'!$E18</f>
        <v>0</v>
      </c>
      <c r="U505">
        <f ca="1">U20*'Tech Parameters'!$E18</f>
        <v>0</v>
      </c>
      <c r="V505">
        <f ca="1">V20*'Tech Parameters'!$E18</f>
        <v>0</v>
      </c>
      <c r="W505">
        <f ca="1">W20*'Tech Parameters'!$E18</f>
        <v>0</v>
      </c>
      <c r="X505">
        <f ca="1">X20*'Tech Parameters'!$E18</f>
        <v>0</v>
      </c>
      <c r="Y505">
        <f ca="1">Y20*'Tech Parameters'!$E18</f>
        <v>0</v>
      </c>
      <c r="Z505">
        <f ca="1">Z20*'Tech Parameters'!$E18</f>
        <v>0</v>
      </c>
      <c r="AA505">
        <f ca="1">AA20*'Tech Parameters'!$E18</f>
        <v>0</v>
      </c>
      <c r="AB505">
        <f ca="1">AB20*'Tech Parameters'!$E18</f>
        <v>0</v>
      </c>
      <c r="AC505">
        <f ca="1">AC20*'Tech Parameters'!$E18</f>
        <v>0</v>
      </c>
      <c r="AD505" s="76">
        <f ca="1">AD20*'Tech Parameters'!$E18</f>
        <v>0</v>
      </c>
      <c r="AE505" s="76">
        <f ca="1">AE20*'Tech Parameters'!$E18</f>
        <v>0</v>
      </c>
      <c r="AF505" s="76">
        <f ca="1">AF20*'Tech Parameters'!$E18</f>
        <v>0</v>
      </c>
      <c r="AG505" s="76">
        <f ca="1">AG20*'Tech Parameters'!$E18</f>
        <v>0</v>
      </c>
      <c r="AH505" s="76">
        <f ca="1">AH20*'Tech Parameters'!$E18</f>
        <v>0</v>
      </c>
      <c r="AI505" s="76">
        <f ca="1">AI20*'Tech Parameters'!$E18</f>
        <v>0</v>
      </c>
      <c r="AJ505" s="76">
        <f ca="1">AJ20*'Tech Parameters'!$E18</f>
        <v>0</v>
      </c>
      <c r="AK505" s="76">
        <f ca="1">AK20*'Tech Parameters'!$E18</f>
        <v>0</v>
      </c>
      <c r="AL505" s="76">
        <f ca="1">AL20*'Tech Parameters'!$E18</f>
        <v>0</v>
      </c>
      <c r="AM505" s="76">
        <f ca="1">AM20*'Tech Parameters'!$E18</f>
        <v>0</v>
      </c>
      <c r="AN505" s="76">
        <f ca="1">AN20*'Tech Parameters'!$E18</f>
        <v>0</v>
      </c>
      <c r="AO505" s="76">
        <f ca="1">AO20*'Tech Parameters'!$E18</f>
        <v>0</v>
      </c>
      <c r="AP505" s="76">
        <f ca="1">AP20*'Tech Parameters'!$E18</f>
        <v>0</v>
      </c>
      <c r="AQ505" s="76">
        <f ca="1">AQ20*'Tech Parameters'!$E18</f>
        <v>0</v>
      </c>
      <c r="AR505" s="76">
        <f ca="1">AR20*'Tech Parameters'!$E18</f>
        <v>0</v>
      </c>
      <c r="AS505" s="76">
        <f ca="1">AS20*'Tech Parameters'!$E18</f>
        <v>0</v>
      </c>
      <c r="AT505" s="76">
        <f ca="1">AT20*'Tech Parameters'!$E18</f>
        <v>0</v>
      </c>
      <c r="AU505" s="76">
        <f ca="1">AU20*'Tech Parameters'!$E18</f>
        <v>0</v>
      </c>
      <c r="AV505" s="76">
        <f ca="1">AV20*'Tech Parameters'!$E18</f>
        <v>0</v>
      </c>
      <c r="AW505" s="76">
        <f ca="1">AW20*'Tech Parameters'!$E18</f>
        <v>0</v>
      </c>
    </row>
    <row r="506" spans="3:49">
      <c r="C506" t="str">
        <f t="shared" si="219"/>
        <v>combined cycle gas</v>
      </c>
      <c r="D506">
        <f>D21*'Tech Parameters'!$E19</f>
        <v>0</v>
      </c>
      <c r="E506">
        <f>E21*'Tech Parameters'!$E19</f>
        <v>0</v>
      </c>
      <c r="F506">
        <f>F21*'Tech Parameters'!$E19</f>
        <v>0</v>
      </c>
      <c r="G506">
        <f>G21*'Tech Parameters'!$E19</f>
        <v>0</v>
      </c>
      <c r="H506">
        <f>H21*'Tech Parameters'!$E19</f>
        <v>0</v>
      </c>
      <c r="I506">
        <f ca="1">I21*'Tech Parameters'!$E19</f>
        <v>0</v>
      </c>
      <c r="J506">
        <f ca="1">J21*'Tech Parameters'!$E19</f>
        <v>0</v>
      </c>
      <c r="K506">
        <f ca="1">K21*'Tech Parameters'!$E19</f>
        <v>0</v>
      </c>
      <c r="L506">
        <f ca="1">L21*'Tech Parameters'!$E19</f>
        <v>0</v>
      </c>
      <c r="M506">
        <f ca="1">M21*'Tech Parameters'!$E19</f>
        <v>0</v>
      </c>
      <c r="N506">
        <f ca="1">N21*'Tech Parameters'!$E19</f>
        <v>0</v>
      </c>
      <c r="O506">
        <f ca="1">O21*'Tech Parameters'!$E19</f>
        <v>0</v>
      </c>
      <c r="P506">
        <f ca="1">P21*'Tech Parameters'!$E19</f>
        <v>0</v>
      </c>
      <c r="Q506">
        <f ca="1">Q21*'Tech Parameters'!$E19</f>
        <v>0</v>
      </c>
      <c r="R506">
        <f ca="1">R21*'Tech Parameters'!$E19</f>
        <v>0</v>
      </c>
      <c r="S506">
        <f ca="1">S21*'Tech Parameters'!$E19</f>
        <v>0</v>
      </c>
      <c r="T506">
        <f ca="1">T21*'Tech Parameters'!$E19</f>
        <v>0</v>
      </c>
      <c r="U506">
        <f ca="1">U21*'Tech Parameters'!$E19</f>
        <v>0</v>
      </c>
      <c r="V506">
        <f ca="1">V21*'Tech Parameters'!$E19</f>
        <v>0</v>
      </c>
      <c r="W506">
        <f ca="1">W21*'Tech Parameters'!$E19</f>
        <v>0</v>
      </c>
      <c r="X506">
        <f ca="1">X21*'Tech Parameters'!$E19</f>
        <v>0</v>
      </c>
      <c r="Y506">
        <f ca="1">Y21*'Tech Parameters'!$E19</f>
        <v>0</v>
      </c>
      <c r="Z506">
        <f ca="1">Z21*'Tech Parameters'!$E19</f>
        <v>0</v>
      </c>
      <c r="AA506">
        <f ca="1">AA21*'Tech Parameters'!$E19</f>
        <v>0</v>
      </c>
      <c r="AB506">
        <f ca="1">AB21*'Tech Parameters'!$E19</f>
        <v>0</v>
      </c>
      <c r="AC506">
        <f ca="1">AC21*'Tech Parameters'!$E19</f>
        <v>0</v>
      </c>
      <c r="AD506" s="76">
        <f ca="1">AD21*'Tech Parameters'!$E19</f>
        <v>0</v>
      </c>
      <c r="AE506" s="76">
        <f ca="1">AE21*'Tech Parameters'!$E19</f>
        <v>0</v>
      </c>
      <c r="AF506" s="76">
        <f ca="1">AF21*'Tech Parameters'!$E19</f>
        <v>0</v>
      </c>
      <c r="AG506" s="76">
        <f ca="1">AG21*'Tech Parameters'!$E19</f>
        <v>0</v>
      </c>
      <c r="AH506" s="76">
        <f ca="1">AH21*'Tech Parameters'!$E19</f>
        <v>0</v>
      </c>
      <c r="AI506" s="76">
        <f ca="1">AI21*'Tech Parameters'!$E19</f>
        <v>0</v>
      </c>
      <c r="AJ506" s="76">
        <f ca="1">AJ21*'Tech Parameters'!$E19</f>
        <v>0</v>
      </c>
      <c r="AK506" s="76">
        <f ca="1">AK21*'Tech Parameters'!$E19</f>
        <v>0</v>
      </c>
      <c r="AL506" s="76">
        <f ca="1">AL21*'Tech Parameters'!$E19</f>
        <v>0</v>
      </c>
      <c r="AM506" s="76">
        <f ca="1">AM21*'Tech Parameters'!$E19</f>
        <v>0</v>
      </c>
      <c r="AN506" s="76">
        <f ca="1">AN21*'Tech Parameters'!$E19</f>
        <v>0</v>
      </c>
      <c r="AO506" s="76">
        <f ca="1">AO21*'Tech Parameters'!$E19</f>
        <v>0</v>
      </c>
      <c r="AP506" s="76">
        <f ca="1">AP21*'Tech Parameters'!$E19</f>
        <v>0</v>
      </c>
      <c r="AQ506" s="76">
        <f ca="1">AQ21*'Tech Parameters'!$E19</f>
        <v>0</v>
      </c>
      <c r="AR506" s="76">
        <f ca="1">AR21*'Tech Parameters'!$E19</f>
        <v>0</v>
      </c>
      <c r="AS506" s="76">
        <f ca="1">AS21*'Tech Parameters'!$E19</f>
        <v>0</v>
      </c>
      <c r="AT506" s="76">
        <f ca="1">AT21*'Tech Parameters'!$E19</f>
        <v>0</v>
      </c>
      <c r="AU506" s="76">
        <f ca="1">AU21*'Tech Parameters'!$E19</f>
        <v>0</v>
      </c>
      <c r="AV506" s="76">
        <f ca="1">AV21*'Tech Parameters'!$E19</f>
        <v>0</v>
      </c>
      <c r="AW506" s="76">
        <f ca="1">AW21*'Tech Parameters'!$E19</f>
        <v>0</v>
      </c>
    </row>
    <row r="507" spans="3:49">
      <c r="C507" t="str">
        <f t="shared" si="219"/>
        <v>PBMR</v>
      </c>
      <c r="D507">
        <f>D22*'Tech Parameters'!$E20</f>
        <v>0</v>
      </c>
      <c r="E507">
        <f>E22*'Tech Parameters'!$E20</f>
        <v>0</v>
      </c>
      <c r="F507">
        <f>F22*'Tech Parameters'!$E20</f>
        <v>0</v>
      </c>
      <c r="G507">
        <f>G22*'Tech Parameters'!$E20</f>
        <v>0</v>
      </c>
      <c r="H507">
        <f>H22*'Tech Parameters'!$E20</f>
        <v>0</v>
      </c>
      <c r="I507">
        <f ca="1">I22*'Tech Parameters'!$E20</f>
        <v>0</v>
      </c>
      <c r="J507">
        <f ca="1">J22*'Tech Parameters'!$E20</f>
        <v>0</v>
      </c>
      <c r="K507">
        <f ca="1">K22*'Tech Parameters'!$E20</f>
        <v>0</v>
      </c>
      <c r="L507">
        <f ca="1">L22*'Tech Parameters'!$E20</f>
        <v>0</v>
      </c>
      <c r="M507">
        <f ca="1">M22*'Tech Parameters'!$E20</f>
        <v>0</v>
      </c>
      <c r="N507">
        <f ca="1">N22*'Tech Parameters'!$E20</f>
        <v>0</v>
      </c>
      <c r="O507">
        <f ca="1">O22*'Tech Parameters'!$E20</f>
        <v>0</v>
      </c>
      <c r="P507">
        <f ca="1">P22*'Tech Parameters'!$E20</f>
        <v>0</v>
      </c>
      <c r="Q507">
        <f ca="1">Q22*'Tech Parameters'!$E20</f>
        <v>0</v>
      </c>
      <c r="R507">
        <f ca="1">R22*'Tech Parameters'!$E20</f>
        <v>0</v>
      </c>
      <c r="S507">
        <f ca="1">S22*'Tech Parameters'!$E20</f>
        <v>0</v>
      </c>
      <c r="T507">
        <f ca="1">T22*'Tech Parameters'!$E20</f>
        <v>0</v>
      </c>
      <c r="U507">
        <f ca="1">U22*'Tech Parameters'!$E20</f>
        <v>0</v>
      </c>
      <c r="V507">
        <f ca="1">V22*'Tech Parameters'!$E20</f>
        <v>0</v>
      </c>
      <c r="W507">
        <f ca="1">W22*'Tech Parameters'!$E20</f>
        <v>0</v>
      </c>
      <c r="X507">
        <f ca="1">X22*'Tech Parameters'!$E20</f>
        <v>0</v>
      </c>
      <c r="Y507">
        <f ca="1">Y22*'Tech Parameters'!$E20</f>
        <v>0</v>
      </c>
      <c r="Z507">
        <f ca="1">Z22*'Tech Parameters'!$E20</f>
        <v>0</v>
      </c>
      <c r="AA507">
        <f ca="1">AA22*'Tech Parameters'!$E20</f>
        <v>0</v>
      </c>
      <c r="AB507">
        <f ca="1">AB22*'Tech Parameters'!$E20</f>
        <v>0</v>
      </c>
      <c r="AC507">
        <f ca="1">AC22*'Tech Parameters'!$E20</f>
        <v>0</v>
      </c>
      <c r="AD507" s="76">
        <f ca="1">AD22*'Tech Parameters'!$E20</f>
        <v>0</v>
      </c>
      <c r="AE507" s="76">
        <f ca="1">AE22*'Tech Parameters'!$E20</f>
        <v>0</v>
      </c>
      <c r="AF507" s="76">
        <f ca="1">AF22*'Tech Parameters'!$E20</f>
        <v>0</v>
      </c>
      <c r="AG507" s="76">
        <f ca="1">AG22*'Tech Parameters'!$E20</f>
        <v>0</v>
      </c>
      <c r="AH507" s="76">
        <f ca="1">AH22*'Tech Parameters'!$E20</f>
        <v>0</v>
      </c>
      <c r="AI507" s="76">
        <f ca="1">AI22*'Tech Parameters'!$E20</f>
        <v>0</v>
      </c>
      <c r="AJ507" s="76">
        <f ca="1">AJ22*'Tech Parameters'!$E20</f>
        <v>0</v>
      </c>
      <c r="AK507" s="76">
        <f ca="1">AK22*'Tech Parameters'!$E20</f>
        <v>0</v>
      </c>
      <c r="AL507" s="76">
        <f ca="1">AL22*'Tech Parameters'!$E20</f>
        <v>0</v>
      </c>
      <c r="AM507" s="76">
        <f ca="1">AM22*'Tech Parameters'!$E20</f>
        <v>0</v>
      </c>
      <c r="AN507" s="76">
        <f ca="1">AN22*'Tech Parameters'!$E20</f>
        <v>0</v>
      </c>
      <c r="AO507" s="76">
        <f ca="1">AO22*'Tech Parameters'!$E20</f>
        <v>0</v>
      </c>
      <c r="AP507" s="76">
        <f ca="1">AP22*'Tech Parameters'!$E20</f>
        <v>0</v>
      </c>
      <c r="AQ507" s="76">
        <f ca="1">AQ22*'Tech Parameters'!$E20</f>
        <v>0</v>
      </c>
      <c r="AR507" s="76">
        <f ca="1">AR22*'Tech Parameters'!$E20</f>
        <v>0</v>
      </c>
      <c r="AS507" s="76">
        <f ca="1">AS22*'Tech Parameters'!$E20</f>
        <v>0</v>
      </c>
      <c r="AT507" s="76">
        <f ca="1">AT22*'Tech Parameters'!$E20</f>
        <v>0</v>
      </c>
      <c r="AU507" s="76">
        <f ca="1">AU22*'Tech Parameters'!$E20</f>
        <v>0</v>
      </c>
      <c r="AV507" s="76">
        <f ca="1">AV22*'Tech Parameters'!$E20</f>
        <v>0</v>
      </c>
      <c r="AW507" s="76">
        <f ca="1">AW22*'Tech Parameters'!$E20</f>
        <v>0</v>
      </c>
    </row>
    <row r="508" spans="3:49">
      <c r="C508" t="str">
        <f t="shared" si="219"/>
        <v>IGCC</v>
      </c>
      <c r="D508">
        <f>D23*'Tech Parameters'!$E21</f>
        <v>0</v>
      </c>
      <c r="E508">
        <f>E23*'Tech Parameters'!$E21</f>
        <v>0</v>
      </c>
      <c r="F508">
        <f>F23*'Tech Parameters'!$E21</f>
        <v>0</v>
      </c>
      <c r="G508">
        <f>G23*'Tech Parameters'!$E21</f>
        <v>0</v>
      </c>
      <c r="H508">
        <f>H23*'Tech Parameters'!$E21</f>
        <v>0</v>
      </c>
      <c r="I508">
        <f ca="1">I23*'Tech Parameters'!$E21</f>
        <v>0</v>
      </c>
      <c r="J508">
        <f ca="1">J23*'Tech Parameters'!$E21</f>
        <v>0</v>
      </c>
      <c r="K508">
        <f ca="1">K23*'Tech Parameters'!$E21</f>
        <v>0</v>
      </c>
      <c r="L508">
        <f ca="1">L23*'Tech Parameters'!$E21</f>
        <v>0</v>
      </c>
      <c r="M508">
        <f ca="1">M23*'Tech Parameters'!$E21</f>
        <v>0</v>
      </c>
      <c r="N508">
        <f ca="1">N23*'Tech Parameters'!$E21</f>
        <v>0</v>
      </c>
      <c r="O508">
        <f ca="1">O23*'Tech Parameters'!$E21</f>
        <v>0</v>
      </c>
      <c r="P508">
        <f ca="1">P23*'Tech Parameters'!$E21</f>
        <v>0</v>
      </c>
      <c r="Q508">
        <f ca="1">Q23*'Tech Parameters'!$E21</f>
        <v>0</v>
      </c>
      <c r="R508">
        <f ca="1">R23*'Tech Parameters'!$E21</f>
        <v>0</v>
      </c>
      <c r="S508">
        <f ca="1">S23*'Tech Parameters'!$E21</f>
        <v>0</v>
      </c>
      <c r="T508">
        <f ca="1">T23*'Tech Parameters'!$E21</f>
        <v>0</v>
      </c>
      <c r="U508">
        <f ca="1">U23*'Tech Parameters'!$E21</f>
        <v>0</v>
      </c>
      <c r="V508">
        <f ca="1">V23*'Tech Parameters'!$E21</f>
        <v>0</v>
      </c>
      <c r="W508">
        <f ca="1">W23*'Tech Parameters'!$E21</f>
        <v>0</v>
      </c>
      <c r="X508">
        <f ca="1">X23*'Tech Parameters'!$E21</f>
        <v>0</v>
      </c>
      <c r="Y508">
        <f ca="1">Y23*'Tech Parameters'!$E21</f>
        <v>0</v>
      </c>
      <c r="Z508">
        <f ca="1">Z23*'Tech Parameters'!$E21</f>
        <v>0</v>
      </c>
      <c r="AA508">
        <f ca="1">AA23*'Tech Parameters'!$E21</f>
        <v>0</v>
      </c>
      <c r="AB508">
        <f ca="1">AB23*'Tech Parameters'!$E21</f>
        <v>0</v>
      </c>
      <c r="AC508">
        <f ca="1">AC23*'Tech Parameters'!$E21</f>
        <v>0</v>
      </c>
      <c r="AD508" s="76">
        <f ca="1">AD23*'Tech Parameters'!$E21</f>
        <v>0</v>
      </c>
      <c r="AE508" s="76">
        <f ca="1">AE23*'Tech Parameters'!$E21</f>
        <v>0</v>
      </c>
      <c r="AF508" s="76">
        <f ca="1">AF23*'Tech Parameters'!$E21</f>
        <v>0</v>
      </c>
      <c r="AG508" s="76">
        <f ca="1">AG23*'Tech Parameters'!$E21</f>
        <v>0</v>
      </c>
      <c r="AH508" s="76">
        <f ca="1">AH23*'Tech Parameters'!$E21</f>
        <v>0</v>
      </c>
      <c r="AI508" s="76">
        <f ca="1">AI23*'Tech Parameters'!$E21</f>
        <v>0</v>
      </c>
      <c r="AJ508" s="76">
        <f ca="1">AJ23*'Tech Parameters'!$E21</f>
        <v>0</v>
      </c>
      <c r="AK508" s="76">
        <f ca="1">AK23*'Tech Parameters'!$E21</f>
        <v>0</v>
      </c>
      <c r="AL508" s="76">
        <f ca="1">AL23*'Tech Parameters'!$E21</f>
        <v>0</v>
      </c>
      <c r="AM508" s="76">
        <f ca="1">AM23*'Tech Parameters'!$E21</f>
        <v>0</v>
      </c>
      <c r="AN508" s="76">
        <f ca="1">AN23*'Tech Parameters'!$E21</f>
        <v>0</v>
      </c>
      <c r="AO508" s="76">
        <f ca="1">AO23*'Tech Parameters'!$E21</f>
        <v>0</v>
      </c>
      <c r="AP508" s="76">
        <f ca="1">AP23*'Tech Parameters'!$E21</f>
        <v>0</v>
      </c>
      <c r="AQ508" s="76">
        <f ca="1">AQ23*'Tech Parameters'!$E21</f>
        <v>0</v>
      </c>
      <c r="AR508" s="76">
        <f ca="1">AR23*'Tech Parameters'!$E21</f>
        <v>0</v>
      </c>
      <c r="AS508" s="76">
        <f ca="1">AS23*'Tech Parameters'!$E21</f>
        <v>0</v>
      </c>
      <c r="AT508" s="76">
        <f ca="1">AT23*'Tech Parameters'!$E21</f>
        <v>0</v>
      </c>
      <c r="AU508" s="76">
        <f ca="1">AU23*'Tech Parameters'!$E21</f>
        <v>0</v>
      </c>
      <c r="AV508" s="76">
        <f ca="1">AV23*'Tech Parameters'!$E21</f>
        <v>0</v>
      </c>
      <c r="AW508" s="76">
        <f ca="1">AW23*'Tech Parameters'!$E21</f>
        <v>0</v>
      </c>
    </row>
    <row r="509" spans="3:49">
      <c r="C509" t="str">
        <f t="shared" si="219"/>
        <v>-</v>
      </c>
      <c r="D509">
        <f>D24*'Tech Parameters'!$E22</f>
        <v>0</v>
      </c>
      <c r="E509">
        <f>E24*'Tech Parameters'!$E22</f>
        <v>0</v>
      </c>
      <c r="F509">
        <f>F24*'Tech Parameters'!$E22</f>
        <v>0</v>
      </c>
      <c r="G509">
        <f>G24*'Tech Parameters'!$E22</f>
        <v>0</v>
      </c>
      <c r="H509">
        <f>H24*'Tech Parameters'!$E22</f>
        <v>0</v>
      </c>
      <c r="I509">
        <f ca="1">I24*'Tech Parameters'!$E22</f>
        <v>0</v>
      </c>
      <c r="J509">
        <f ca="1">J24*'Tech Parameters'!$E22</f>
        <v>0</v>
      </c>
      <c r="K509">
        <f ca="1">K24*'Tech Parameters'!$E22</f>
        <v>0</v>
      </c>
      <c r="L509">
        <f ca="1">L24*'Tech Parameters'!$E22</f>
        <v>0</v>
      </c>
      <c r="M509">
        <f ca="1">M24*'Tech Parameters'!$E22</f>
        <v>0</v>
      </c>
      <c r="N509">
        <f ca="1">N24*'Tech Parameters'!$E22</f>
        <v>0</v>
      </c>
      <c r="O509">
        <f ca="1">O24*'Tech Parameters'!$E22</f>
        <v>0</v>
      </c>
      <c r="P509">
        <f ca="1">P24*'Tech Parameters'!$E22</f>
        <v>0</v>
      </c>
      <c r="Q509">
        <f ca="1">Q24*'Tech Parameters'!$E22</f>
        <v>0</v>
      </c>
      <c r="R509">
        <f ca="1">R24*'Tech Parameters'!$E22</f>
        <v>0</v>
      </c>
      <c r="S509">
        <f ca="1">S24*'Tech Parameters'!$E22</f>
        <v>0</v>
      </c>
      <c r="T509">
        <f ca="1">T24*'Tech Parameters'!$E22</f>
        <v>0</v>
      </c>
      <c r="U509">
        <f ca="1">U24*'Tech Parameters'!$E22</f>
        <v>0</v>
      </c>
      <c r="V509">
        <f ca="1">V24*'Tech Parameters'!$E22</f>
        <v>0</v>
      </c>
      <c r="W509">
        <f ca="1">W24*'Tech Parameters'!$E22</f>
        <v>0</v>
      </c>
      <c r="X509">
        <f ca="1">X24*'Tech Parameters'!$E22</f>
        <v>0</v>
      </c>
      <c r="Y509">
        <f ca="1">Y24*'Tech Parameters'!$E22</f>
        <v>0</v>
      </c>
      <c r="Z509">
        <f ca="1">Z24*'Tech Parameters'!$E22</f>
        <v>0</v>
      </c>
      <c r="AA509">
        <f ca="1">AA24*'Tech Parameters'!$E22</f>
        <v>0</v>
      </c>
      <c r="AB509">
        <f ca="1">AB24*'Tech Parameters'!$E22</f>
        <v>0</v>
      </c>
      <c r="AC509">
        <f ca="1">AC24*'Tech Parameters'!$E22</f>
        <v>0</v>
      </c>
      <c r="AD509" s="76">
        <f ca="1">AD24*'Tech Parameters'!$E22</f>
        <v>0</v>
      </c>
      <c r="AE509" s="76">
        <f ca="1">AE24*'Tech Parameters'!$E22</f>
        <v>0</v>
      </c>
      <c r="AF509" s="76">
        <f ca="1">AF24*'Tech Parameters'!$E22</f>
        <v>0</v>
      </c>
      <c r="AG509" s="76">
        <f ca="1">AG24*'Tech Parameters'!$E22</f>
        <v>0</v>
      </c>
      <c r="AH509" s="76">
        <f ca="1">AH24*'Tech Parameters'!$E22</f>
        <v>0</v>
      </c>
      <c r="AI509" s="76">
        <f ca="1">AI24*'Tech Parameters'!$E22</f>
        <v>0</v>
      </c>
      <c r="AJ509" s="76">
        <f ca="1">AJ24*'Tech Parameters'!$E22</f>
        <v>0</v>
      </c>
      <c r="AK509" s="76">
        <f ca="1">AK24*'Tech Parameters'!$E22</f>
        <v>0</v>
      </c>
      <c r="AL509" s="76">
        <f ca="1">AL24*'Tech Parameters'!$E22</f>
        <v>0</v>
      </c>
      <c r="AM509" s="76">
        <f ca="1">AM24*'Tech Parameters'!$E22</f>
        <v>0</v>
      </c>
      <c r="AN509" s="76">
        <f ca="1">AN24*'Tech Parameters'!$E22</f>
        <v>0</v>
      </c>
      <c r="AO509" s="76">
        <f ca="1">AO24*'Tech Parameters'!$E22</f>
        <v>0</v>
      </c>
      <c r="AP509" s="76">
        <f ca="1">AP24*'Tech Parameters'!$E22</f>
        <v>0</v>
      </c>
      <c r="AQ509" s="76">
        <f ca="1">AQ24*'Tech Parameters'!$E22</f>
        <v>0</v>
      </c>
      <c r="AR509" s="76">
        <f ca="1">AR24*'Tech Parameters'!$E22</f>
        <v>0</v>
      </c>
      <c r="AS509" s="76">
        <f ca="1">AS24*'Tech Parameters'!$E22</f>
        <v>0</v>
      </c>
      <c r="AT509" s="76">
        <f ca="1">AT24*'Tech Parameters'!$E22</f>
        <v>0</v>
      </c>
      <c r="AU509" s="76">
        <f ca="1">AU24*'Tech Parameters'!$E22</f>
        <v>0</v>
      </c>
      <c r="AV509" s="76">
        <f ca="1">AV24*'Tech Parameters'!$E22</f>
        <v>0</v>
      </c>
      <c r="AW509" s="76">
        <f ca="1">AW24*'Tech Parameters'!$E22</f>
        <v>0</v>
      </c>
    </row>
    <row r="510" spans="3:49">
      <c r="C510" t="str">
        <f t="shared" si="219"/>
        <v>-</v>
      </c>
      <c r="AD510" s="76">
        <f ca="1">AD25*'Tech Parameters'!$E23</f>
        <v>0</v>
      </c>
      <c r="AE510" s="76">
        <f ca="1">AE25*'Tech Parameters'!$E23</f>
        <v>0</v>
      </c>
      <c r="AF510" s="76">
        <f ca="1">AF25*'Tech Parameters'!$E23</f>
        <v>0</v>
      </c>
      <c r="AG510" s="76">
        <f ca="1">AG25*'Tech Parameters'!$E23</f>
        <v>0</v>
      </c>
      <c r="AH510" s="76">
        <f ca="1">AH25*'Tech Parameters'!$E23</f>
        <v>0</v>
      </c>
      <c r="AI510" s="76">
        <f ca="1">AI25*'Tech Parameters'!$E23</f>
        <v>0</v>
      </c>
      <c r="AJ510" s="76">
        <f ca="1">AJ25*'Tech Parameters'!$E23</f>
        <v>0</v>
      </c>
      <c r="AK510" s="76">
        <f ca="1">AK25*'Tech Parameters'!$E23</f>
        <v>0</v>
      </c>
      <c r="AL510" s="76">
        <f ca="1">AL25*'Tech Parameters'!$E23</f>
        <v>0</v>
      </c>
      <c r="AM510" s="76">
        <f ca="1">AM25*'Tech Parameters'!$E23</f>
        <v>0</v>
      </c>
      <c r="AN510" s="76">
        <f ca="1">AN25*'Tech Parameters'!$E23</f>
        <v>0</v>
      </c>
      <c r="AO510" s="76">
        <f ca="1">AO25*'Tech Parameters'!$E23</f>
        <v>0</v>
      </c>
      <c r="AP510" s="76">
        <f ca="1">AP25*'Tech Parameters'!$E23</f>
        <v>0</v>
      </c>
      <c r="AQ510" s="76">
        <f ca="1">AQ25*'Tech Parameters'!$E23</f>
        <v>0</v>
      </c>
      <c r="AR510" s="76">
        <f ca="1">AR25*'Tech Parameters'!$E23</f>
        <v>0</v>
      </c>
      <c r="AS510" s="76">
        <f ca="1">AS25*'Tech Parameters'!$E23</f>
        <v>0</v>
      </c>
      <c r="AT510" s="76">
        <f ca="1">AT25*'Tech Parameters'!$E23</f>
        <v>0</v>
      </c>
      <c r="AU510" s="76">
        <f ca="1">AU25*'Tech Parameters'!$E23</f>
        <v>0</v>
      </c>
      <c r="AV510" s="76">
        <f ca="1">AV25*'Tech Parameters'!$E23</f>
        <v>0</v>
      </c>
      <c r="AW510" s="76">
        <f ca="1">AW25*'Tech Parameters'!$E23</f>
        <v>0</v>
      </c>
    </row>
    <row r="511" spans="3:49">
      <c r="C511" t="str">
        <f t="shared" si="219"/>
        <v>-</v>
      </c>
      <c r="AD511" s="76">
        <f ca="1">AD26*'Tech Parameters'!$E24</f>
        <v>0</v>
      </c>
      <c r="AE511" s="76">
        <f ca="1">AE26*'Tech Parameters'!$E24</f>
        <v>0</v>
      </c>
      <c r="AF511" s="76">
        <f ca="1">AF26*'Tech Parameters'!$E24</f>
        <v>0</v>
      </c>
      <c r="AG511" s="76">
        <f ca="1">AG26*'Tech Parameters'!$E24</f>
        <v>0</v>
      </c>
      <c r="AH511" s="76">
        <f ca="1">AH26*'Tech Parameters'!$E24</f>
        <v>0</v>
      </c>
      <c r="AI511" s="76">
        <f ca="1">AI26*'Tech Parameters'!$E24</f>
        <v>0</v>
      </c>
      <c r="AJ511" s="76">
        <f ca="1">AJ26*'Tech Parameters'!$E24</f>
        <v>0</v>
      </c>
      <c r="AK511" s="76">
        <f ca="1">AK26*'Tech Parameters'!$E24</f>
        <v>0</v>
      </c>
      <c r="AL511" s="76">
        <f ca="1">AL26*'Tech Parameters'!$E24</f>
        <v>0</v>
      </c>
      <c r="AM511" s="76">
        <f ca="1">AM26*'Tech Parameters'!$E24</f>
        <v>0</v>
      </c>
      <c r="AN511" s="76">
        <f ca="1">AN26*'Tech Parameters'!$E24</f>
        <v>0</v>
      </c>
      <c r="AO511" s="76">
        <f ca="1">AO26*'Tech Parameters'!$E24</f>
        <v>0</v>
      </c>
      <c r="AP511" s="76">
        <f ca="1">AP26*'Tech Parameters'!$E24</f>
        <v>0</v>
      </c>
      <c r="AQ511" s="76">
        <f ca="1">AQ26*'Tech Parameters'!$E24</f>
        <v>0</v>
      </c>
      <c r="AR511" s="76">
        <f ca="1">AR26*'Tech Parameters'!$E24</f>
        <v>0</v>
      </c>
      <c r="AS511" s="76">
        <f ca="1">AS26*'Tech Parameters'!$E24</f>
        <v>0</v>
      </c>
      <c r="AT511" s="76">
        <f ca="1">AT26*'Tech Parameters'!$E24</f>
        <v>0</v>
      </c>
      <c r="AU511" s="76">
        <f ca="1">AU26*'Tech Parameters'!$E24</f>
        <v>0</v>
      </c>
      <c r="AV511" s="76">
        <f ca="1">AV26*'Tech Parameters'!$E24</f>
        <v>0</v>
      </c>
      <c r="AW511" s="76">
        <f ca="1">AW26*'Tech Parameters'!$E24</f>
        <v>0</v>
      </c>
    </row>
    <row r="512" spans="3:49">
      <c r="C512" t="str">
        <f t="shared" si="219"/>
        <v>Pumped storage</v>
      </c>
      <c r="D512">
        <f>D27*'Tech Parameters'!$E25</f>
        <v>91.355013587921817</v>
      </c>
      <c r="E512">
        <f>E27*'Tech Parameters'!$E25</f>
        <v>91.355013587921817</v>
      </c>
      <c r="F512">
        <f>F27*'Tech Parameters'!$E25</f>
        <v>91.355013587921817</v>
      </c>
      <c r="G512">
        <f>G27*'Tech Parameters'!$E25</f>
        <v>91.355013587921817</v>
      </c>
      <c r="H512">
        <f>H27*'Tech Parameters'!$E25</f>
        <v>91.355013587921817</v>
      </c>
      <c r="I512">
        <f ca="1">I27*'Tech Parameters'!$E25</f>
        <v>91.355013587921817</v>
      </c>
      <c r="J512">
        <f ca="1">J27*'Tech Parameters'!$E25</f>
        <v>91.355013587921817</v>
      </c>
      <c r="K512">
        <f ca="1">K27*'Tech Parameters'!$E25</f>
        <v>91.355013587921817</v>
      </c>
      <c r="L512">
        <f ca="1">L27*'Tech Parameters'!$E25</f>
        <v>129.86288640409649</v>
      </c>
      <c r="M512">
        <f ca="1">M27*'Tech Parameters'!$E25</f>
        <v>168.37075922027111</v>
      </c>
      <c r="N512">
        <f ca="1">N27*'Tech Parameters'!$E25</f>
        <v>168.37075922027111</v>
      </c>
      <c r="O512">
        <f ca="1">O27*'Tech Parameters'!$E25</f>
        <v>168.37075922027111</v>
      </c>
      <c r="P512">
        <f ca="1">P27*'Tech Parameters'!$E25</f>
        <v>168.37075922027111</v>
      </c>
      <c r="Q512">
        <f ca="1">Q27*'Tech Parameters'!$E25</f>
        <v>168.37075922027111</v>
      </c>
      <c r="R512">
        <f ca="1">R27*'Tech Parameters'!$E25</f>
        <v>168.37075922027111</v>
      </c>
      <c r="S512">
        <f ca="1">S27*'Tech Parameters'!$E25</f>
        <v>168.37075922027111</v>
      </c>
      <c r="T512">
        <f ca="1">T27*'Tech Parameters'!$E25</f>
        <v>168.37075922027111</v>
      </c>
      <c r="U512">
        <f ca="1">U27*'Tech Parameters'!$E25</f>
        <v>168.37075922027111</v>
      </c>
      <c r="V512">
        <f ca="1">V27*'Tech Parameters'!$E25</f>
        <v>168.37075922027111</v>
      </c>
      <c r="W512">
        <f ca="1">W27*'Tech Parameters'!$E25</f>
        <v>168.37075922027111</v>
      </c>
      <c r="X512">
        <f ca="1">X27*'Tech Parameters'!$E25</f>
        <v>168.37075922027111</v>
      </c>
      <c r="Y512">
        <f ca="1">Y27*'Tech Parameters'!$E25</f>
        <v>168.37075922027111</v>
      </c>
      <c r="Z512">
        <f ca="1">Z27*'Tech Parameters'!$E25</f>
        <v>168.37075922027111</v>
      </c>
      <c r="AA512">
        <f ca="1">AA27*'Tech Parameters'!$E25</f>
        <v>168.37075922027111</v>
      </c>
      <c r="AB512">
        <f ca="1">AB27*'Tech Parameters'!$E25</f>
        <v>168.37075922027111</v>
      </c>
      <c r="AC512">
        <f ca="1">AC27*'Tech Parameters'!$E25</f>
        <v>168.37075922027111</v>
      </c>
      <c r="AD512" s="76">
        <f ca="1">AD27*'Tech Parameters'!$E25</f>
        <v>168.37075922027111</v>
      </c>
      <c r="AE512" s="76">
        <f ca="1">AE27*'Tech Parameters'!$E25</f>
        <v>168.37075922027111</v>
      </c>
      <c r="AF512" s="76">
        <f ca="1">AF27*'Tech Parameters'!$E25</f>
        <v>168.37075922027111</v>
      </c>
      <c r="AG512" s="76">
        <f ca="1">AG27*'Tech Parameters'!$E25</f>
        <v>168.37075922027111</v>
      </c>
      <c r="AH512" s="76">
        <f ca="1">AH27*'Tech Parameters'!$E25</f>
        <v>168.37075922027111</v>
      </c>
      <c r="AI512" s="76">
        <f ca="1">AI27*'Tech Parameters'!$E25</f>
        <v>168.37075922027111</v>
      </c>
      <c r="AJ512" s="76">
        <f ca="1">AJ27*'Tech Parameters'!$E25</f>
        <v>168.37075922027111</v>
      </c>
      <c r="AK512" s="76">
        <f ca="1">AK27*'Tech Parameters'!$E25</f>
        <v>168.37075922027111</v>
      </c>
      <c r="AL512" s="76">
        <f ca="1">AL27*'Tech Parameters'!$E25</f>
        <v>168.37075922027111</v>
      </c>
      <c r="AM512" s="76">
        <f ca="1">AM27*'Tech Parameters'!$E25</f>
        <v>168.37075922027111</v>
      </c>
      <c r="AN512" s="76">
        <f ca="1">AN27*'Tech Parameters'!$E25</f>
        <v>168.37075922027111</v>
      </c>
      <c r="AO512" s="76">
        <f ca="1">AO27*'Tech Parameters'!$E25</f>
        <v>168.37075922027111</v>
      </c>
      <c r="AP512" s="76">
        <f ca="1">AP27*'Tech Parameters'!$E25</f>
        <v>168.37075922027111</v>
      </c>
      <c r="AQ512" s="76">
        <f ca="1">AQ27*'Tech Parameters'!$E25</f>
        <v>168.37075922027111</v>
      </c>
      <c r="AR512" s="76">
        <f ca="1">AR27*'Tech Parameters'!$E25</f>
        <v>168.37075922027111</v>
      </c>
      <c r="AS512" s="76">
        <f ca="1">AS27*'Tech Parameters'!$E25</f>
        <v>168.37075922027111</v>
      </c>
      <c r="AT512" s="76">
        <f ca="1">AT27*'Tech Parameters'!$E25</f>
        <v>168.37075922027111</v>
      </c>
      <c r="AU512" s="76">
        <f ca="1">AU27*'Tech Parameters'!$E25</f>
        <v>168.37075922027111</v>
      </c>
      <c r="AV512" s="76">
        <f ca="1">AV27*'Tech Parameters'!$E25</f>
        <v>168.37075922027111</v>
      </c>
      <c r="AW512" s="76">
        <f ca="1">AW27*'Tech Parameters'!$E25</f>
        <v>168.37075922027111</v>
      </c>
    </row>
    <row r="513" spans="3:49">
      <c r="AD513" s="76"/>
      <c r="AE513" s="76"/>
      <c r="AF513" s="76"/>
      <c r="AG513" s="76"/>
      <c r="AH513" s="76"/>
      <c r="AI513" s="76"/>
      <c r="AJ513" s="76"/>
      <c r="AK513" s="76"/>
      <c r="AL513" s="76"/>
      <c r="AM513" s="76"/>
      <c r="AN513" s="76"/>
      <c r="AO513" s="76"/>
      <c r="AP513" s="76"/>
      <c r="AQ513" s="76"/>
      <c r="AR513" s="76"/>
      <c r="AS513" s="76"/>
      <c r="AT513" s="76"/>
      <c r="AU513" s="76"/>
      <c r="AV513" s="76"/>
      <c r="AW513" s="76"/>
    </row>
    <row r="514" spans="3:49">
      <c r="AD514" s="76"/>
      <c r="AE514" s="76"/>
      <c r="AF514" s="76"/>
      <c r="AG514" s="76"/>
      <c r="AH514" s="76"/>
      <c r="AI514" s="76"/>
      <c r="AJ514" s="76"/>
      <c r="AK514" s="76"/>
      <c r="AL514" s="76"/>
      <c r="AM514" s="76"/>
      <c r="AN514" s="76"/>
      <c r="AO514" s="76"/>
      <c r="AP514" s="76"/>
      <c r="AQ514" s="76"/>
      <c r="AR514" s="76"/>
      <c r="AS514" s="76"/>
      <c r="AT514" s="76"/>
      <c r="AU514" s="76"/>
      <c r="AV514" s="76"/>
      <c r="AW514" s="76"/>
    </row>
    <row r="515" spans="3:49">
      <c r="C515" s="4" t="s">
        <v>132</v>
      </c>
      <c r="AD515" s="76"/>
      <c r="AE515" s="76"/>
      <c r="AF515" s="76"/>
      <c r="AG515" s="76"/>
      <c r="AH515" s="76"/>
      <c r="AI515" s="76"/>
      <c r="AJ515" s="76"/>
      <c r="AK515" s="76"/>
      <c r="AL515" s="76"/>
      <c r="AM515" s="76"/>
      <c r="AN515" s="76"/>
      <c r="AO515" s="76"/>
      <c r="AP515" s="76"/>
      <c r="AQ515" s="76"/>
      <c r="AR515" s="76"/>
      <c r="AS515" s="76"/>
      <c r="AT515" s="76"/>
      <c r="AU515" s="76"/>
      <c r="AV515" s="76"/>
      <c r="AW515" s="76"/>
    </row>
    <row r="516" spans="3:49">
      <c r="C516" t="str">
        <f>C8</f>
        <v>Existing coal Large</v>
      </c>
      <c r="D516" s="24">
        <f>D367*'Tech Parameters'!$F6/1000</f>
        <v>1683.8151698604067</v>
      </c>
      <c r="E516" s="24">
        <f>E367*'Tech Parameters'!$F6/1000</f>
        <v>1683.8151698604067</v>
      </c>
      <c r="F516" s="24">
        <f>F367*'Tech Parameters'!$F6/1000</f>
        <v>1739.2841301648871</v>
      </c>
      <c r="G516" s="24">
        <f>G367*'Tech Parameters'!$F6/1000</f>
        <v>1758.6063755933469</v>
      </c>
      <c r="H516" s="24">
        <f>H367*'Tech Parameters'!$F6/1000</f>
        <v>1758.6063755933469</v>
      </c>
      <c r="I516" s="24">
        <f ca="1">I367*'Tech Parameters'!$F6/1000</f>
        <v>1800.1237409377582</v>
      </c>
      <c r="J516" s="24">
        <f ca="1">J367*'Tech Parameters'!$F6/1000</f>
        <v>1831.5966703478778</v>
      </c>
      <c r="K516" s="24">
        <f ca="1">K367*'Tech Parameters'!$F6/1000</f>
        <v>1866.5814170003246</v>
      </c>
      <c r="L516" s="24">
        <f ca="1">L367*'Tech Parameters'!$F6/1000</f>
        <v>1899.0774071754693</v>
      </c>
      <c r="M516" s="24">
        <f ca="1">M367*'Tech Parameters'!$F6/1000</f>
        <v>1900.7113850665073</v>
      </c>
      <c r="N516" s="24">
        <f ca="1">N367*'Tech Parameters'!$F6/1000</f>
        <v>1900.7113850665073</v>
      </c>
      <c r="O516" s="24">
        <f ca="1">O367*'Tech Parameters'!$F6/1000</f>
        <v>1900.7113850665073</v>
      </c>
      <c r="P516" s="24">
        <f ca="1">P367*'Tech Parameters'!$F6/1000</f>
        <v>1900.7113850665073</v>
      </c>
      <c r="Q516" s="24">
        <f ca="1">Q367*'Tech Parameters'!$F6/1000</f>
        <v>1900.7113850665073</v>
      </c>
      <c r="R516" s="24">
        <f ca="1">R367*'Tech Parameters'!$F6/1000</f>
        <v>1900.7113850665073</v>
      </c>
      <c r="S516" s="24">
        <f ca="1">S367*'Tech Parameters'!$F6/1000</f>
        <v>1900.7113850665073</v>
      </c>
      <c r="T516" s="24">
        <f ca="1">T367*'Tech Parameters'!$F6/1000</f>
        <v>1900.7113850665073</v>
      </c>
      <c r="U516" s="24">
        <f ca="1">U367*'Tech Parameters'!$F6/1000</f>
        <v>1900.7113850665073</v>
      </c>
      <c r="V516" s="24">
        <f ca="1">V367*'Tech Parameters'!$F6/1000</f>
        <v>1900.7113850665073</v>
      </c>
      <c r="W516" s="24">
        <f ca="1">W367*'Tech Parameters'!$F6/1000</f>
        <v>1829.6007887954358</v>
      </c>
      <c r="X516" s="24">
        <f ca="1">X367*'Tech Parameters'!$F6/1000</f>
        <v>1758.4901925243644</v>
      </c>
      <c r="Y516" s="24">
        <f ca="1">Y367*'Tech Parameters'!$F6/1000</f>
        <v>1669.6019471855252</v>
      </c>
      <c r="Z516" s="24">
        <f ca="1">Z367*'Tech Parameters'!$F6/1000</f>
        <v>1580.7137018466856</v>
      </c>
      <c r="AA516" s="24">
        <f ca="1">AA367*'Tech Parameters'!$F6/1000</f>
        <v>1473.1121416996696</v>
      </c>
      <c r="AB516" s="24">
        <f ca="1">AB367*'Tech Parameters'!$F6/1000</f>
        <v>1257.9090214056378</v>
      </c>
      <c r="AC516" s="24">
        <f ca="1">AC367*'Tech Parameters'!$F6/1000</f>
        <v>1150.3074612586215</v>
      </c>
      <c r="AD516" s="77">
        <f ca="1">AD367*'Tech Parameters'!$F6/1000</f>
        <v>1150.3074612586215</v>
      </c>
      <c r="AE516" s="77">
        <f ca="1">AE367*'Tech Parameters'!$F6/1000</f>
        <v>1150.3074612586215</v>
      </c>
      <c r="AF516" s="77">
        <f ca="1">AF367*'Tech Parameters'!$F6/1000</f>
        <v>1150.3074612586215</v>
      </c>
      <c r="AG516" s="77">
        <f ca="1">AG367*'Tech Parameters'!$F6/1000</f>
        <v>929.86461281829986</v>
      </c>
      <c r="AH516" s="77">
        <f ca="1">AH367*'Tech Parameters'!$F6/1000</f>
        <v>709.42176437797843</v>
      </c>
      <c r="AI516" s="77">
        <f ca="1">AI367*'Tech Parameters'!$F6/1000</f>
        <v>594.33487830769172</v>
      </c>
      <c r="AJ516" s="77">
        <f ca="1">AJ367*'Tech Parameters'!$F6/1000</f>
        <v>359.48277746507415</v>
      </c>
      <c r="AK516" s="77">
        <f ca="1">AK367*'Tech Parameters'!$F6/1000</f>
        <v>239.71756269274329</v>
      </c>
      <c r="AL516" s="77">
        <f ca="1">AL367*'Tech Parameters'!$F6/1000</f>
        <v>239.71756269274329</v>
      </c>
      <c r="AM516" s="77">
        <f ca="1">AM367*'Tech Parameters'!$F6/1000</f>
        <v>239.71756269274329</v>
      </c>
      <c r="AN516" s="77">
        <f ca="1">AN367*'Tech Parameters'!$F6/1000</f>
        <v>239.71756269274329</v>
      </c>
      <c r="AO516" s="77">
        <f ca="1">AO367*'Tech Parameters'!$F6/1000</f>
        <v>239.71756269274329</v>
      </c>
      <c r="AP516" s="77">
        <f ca="1">AP367*'Tech Parameters'!$F6/1000</f>
        <v>239.71756269274329</v>
      </c>
      <c r="AQ516" s="77">
        <f ca="1">AQ367*'Tech Parameters'!$F6/1000</f>
        <v>239.71756269274329</v>
      </c>
      <c r="AR516" s="77">
        <f ca="1">AR367*'Tech Parameters'!$F6/1000</f>
        <v>119.85878134637153</v>
      </c>
      <c r="AS516" s="77">
        <f ca="1">AS367*'Tech Parameters'!$F6/1000</f>
        <v>-2.2161016498236444E-13</v>
      </c>
      <c r="AT516" s="77">
        <f ca="1">AT367*'Tech Parameters'!$F6/1000</f>
        <v>-2.2161016498236444E-13</v>
      </c>
      <c r="AU516" s="77">
        <f ca="1">AU367*'Tech Parameters'!$F6/1000</f>
        <v>-2.2161016498236444E-13</v>
      </c>
      <c r="AV516" s="77">
        <f ca="1">AV367*'Tech Parameters'!$F6/1000</f>
        <v>-2.2161016498236444E-13</v>
      </c>
      <c r="AW516" s="77">
        <f ca="1">AW367*'Tech Parameters'!$F6/1000</f>
        <v>-2.2161016498236444E-13</v>
      </c>
    </row>
    <row r="517" spans="3:49">
      <c r="C517" t="str">
        <f t="shared" ref="C517:C532" si="220">C9</f>
        <v>Existing coal Small</v>
      </c>
      <c r="D517" s="24">
        <f>D368*'Tech Parameters'!$F7/1000</f>
        <v>111.0511073795959</v>
      </c>
      <c r="E517" s="24">
        <f>E368*'Tech Parameters'!$F7/1000</f>
        <v>111.0511073795959</v>
      </c>
      <c r="F517" s="24">
        <f>F368*'Tech Parameters'!$F7/1000</f>
        <v>111.0511073795959</v>
      </c>
      <c r="G517" s="24">
        <f>G368*'Tech Parameters'!$F7/1000</f>
        <v>111.0511073795959</v>
      </c>
      <c r="H517" s="24">
        <f>H368*'Tech Parameters'!$F7/1000</f>
        <v>111.0511073795959</v>
      </c>
      <c r="I517" s="24">
        <f ca="1">I368*'Tech Parameters'!$F7/1000</f>
        <v>125.00799057449215</v>
      </c>
      <c r="J517" s="24">
        <f ca="1">J368*'Tech Parameters'!$F7/1000</f>
        <v>133.26359937498717</v>
      </c>
      <c r="K517" s="24">
        <f ca="1">K368*'Tech Parameters'!$F7/1000</f>
        <v>133.26359937498717</v>
      </c>
      <c r="L517" s="24">
        <f ca="1">L368*'Tech Parameters'!$F7/1000</f>
        <v>133.26359937498717</v>
      </c>
      <c r="M517" s="24">
        <f ca="1">M368*'Tech Parameters'!$F7/1000</f>
        <v>133.26359937498717</v>
      </c>
      <c r="N517" s="24">
        <f ca="1">N368*'Tech Parameters'!$F7/1000</f>
        <v>133.26359937498717</v>
      </c>
      <c r="O517" s="24">
        <f ca="1">O368*'Tech Parameters'!$F7/1000</f>
        <v>132.49729905315905</v>
      </c>
      <c r="P517" s="24">
        <f ca="1">P368*'Tech Parameters'!$F7/1000</f>
        <v>131.73099873133091</v>
      </c>
      <c r="Q517" s="24">
        <f ca="1">Q368*'Tech Parameters'!$F7/1000</f>
        <v>130.70926496889342</v>
      </c>
      <c r="R517" s="24">
        <f ca="1">R368*'Tech Parameters'!$F7/1000</f>
        <v>129.68753120645593</v>
      </c>
      <c r="S517" s="24">
        <f ca="1">S368*'Tech Parameters'!$F7/1000</f>
        <v>110.27458972014341</v>
      </c>
      <c r="T517" s="24">
        <f ca="1">T368*'Tech Parameters'!$F7/1000</f>
        <v>90.861648233830905</v>
      </c>
      <c r="U517" s="24">
        <f ca="1">U368*'Tech Parameters'!$F7/1000</f>
        <v>90.861648233830905</v>
      </c>
      <c r="V517" s="24">
        <f ca="1">V368*'Tech Parameters'!$F7/1000</f>
        <v>90.861648233830905</v>
      </c>
      <c r="W517" s="24">
        <f ca="1">W368*'Tech Parameters'!$F7/1000</f>
        <v>90.861648233830905</v>
      </c>
      <c r="X517" s="24">
        <f ca="1">X368*'Tech Parameters'!$F7/1000</f>
        <v>81.916936773558604</v>
      </c>
      <c r="Y517" s="24">
        <f ca="1">Y368*'Tech Parameters'!$F7/1000</f>
        <v>72.972225313286316</v>
      </c>
      <c r="Z517" s="24">
        <f ca="1">Z368*'Tech Parameters'!$F7/1000</f>
        <v>72.972225313286316</v>
      </c>
      <c r="AA517" s="24">
        <f ca="1">AA368*'Tech Parameters'!$F7/1000</f>
        <v>72.972225313286316</v>
      </c>
      <c r="AB517" s="24">
        <f ca="1">AB368*'Tech Parameters'!$F7/1000</f>
        <v>72.972225313286316</v>
      </c>
      <c r="AC517" s="24">
        <f ca="1">AC368*'Tech Parameters'!$F7/1000</f>
        <v>72.972225313286316</v>
      </c>
      <c r="AD517" s="77">
        <f ca="1">AD368*'Tech Parameters'!$F7/1000</f>
        <v>72.972225313286316</v>
      </c>
      <c r="AE517" s="77">
        <f ca="1">AE368*'Tech Parameters'!$F7/1000</f>
        <v>70.887888437913816</v>
      </c>
      <c r="AF517" s="77">
        <f ca="1">AF368*'Tech Parameters'!$F7/1000</f>
        <v>68.803551562541315</v>
      </c>
      <c r="AG517" s="77">
        <f ca="1">AG368*'Tech Parameters'!$F7/1000</f>
        <v>68.803551562541315</v>
      </c>
      <c r="AH517" s="77">
        <f ca="1">AH368*'Tech Parameters'!$F7/1000</f>
        <v>68.803551562541315</v>
      </c>
      <c r="AI517" s="77">
        <f ca="1">AI368*'Tech Parameters'!$F7/1000</f>
        <v>68.803551562541315</v>
      </c>
      <c r="AJ517" s="77">
        <f ca="1">AJ368*'Tech Parameters'!$F7/1000</f>
        <v>68.803551562541315</v>
      </c>
      <c r="AK517" s="77">
        <f ca="1">AK368*'Tech Parameters'!$F7/1000</f>
        <v>61.038374968016306</v>
      </c>
      <c r="AL517" s="77">
        <f ca="1">AL368*'Tech Parameters'!$F7/1000</f>
        <v>53.273198373491297</v>
      </c>
      <c r="AM517" s="77">
        <f ca="1">AM368*'Tech Parameters'!$F7/1000</f>
        <v>53.273198373491297</v>
      </c>
      <c r="AN517" s="77">
        <f ca="1">AN368*'Tech Parameters'!$F7/1000</f>
        <v>53.273198373491297</v>
      </c>
      <c r="AO517" s="77">
        <f ca="1">AO368*'Tech Parameters'!$F7/1000</f>
        <v>53.273198373491297</v>
      </c>
      <c r="AP517" s="77">
        <f ca="1">AP368*'Tech Parameters'!$F7/1000</f>
        <v>53.273198373491297</v>
      </c>
      <c r="AQ517" s="77">
        <f ca="1">AQ368*'Tech Parameters'!$F7/1000</f>
        <v>53.273198373491297</v>
      </c>
      <c r="AR517" s="77">
        <f ca="1">AR368*'Tech Parameters'!$F7/1000</f>
        <v>53.273198373491297</v>
      </c>
      <c r="AS517" s="77">
        <f ca="1">AS368*'Tech Parameters'!$F7/1000</f>
        <v>53.273198373491297</v>
      </c>
      <c r="AT517" s="77">
        <f ca="1">AT368*'Tech Parameters'!$F7/1000</f>
        <v>53.273198373491297</v>
      </c>
      <c r="AU517" s="77">
        <f ca="1">AU368*'Tech Parameters'!$F7/1000</f>
        <v>53.273198373491297</v>
      </c>
      <c r="AV517" s="77">
        <f ca="1">AV368*'Tech Parameters'!$F7/1000</f>
        <v>53.273198373491297</v>
      </c>
      <c r="AW517" s="77">
        <f ca="1">AW368*'Tech Parameters'!$F7/1000</f>
        <v>53.273198373491297</v>
      </c>
    </row>
    <row r="518" spans="3:49">
      <c r="C518" t="str">
        <f t="shared" si="220"/>
        <v>OCGT liquid fuels</v>
      </c>
      <c r="D518" s="24">
        <f>D369*'Tech Parameters'!$F8/1000</f>
        <v>19.409494770933893</v>
      </c>
      <c r="E518" s="24">
        <f>E369*'Tech Parameters'!$F8/1000</f>
        <v>19.409494770933893</v>
      </c>
      <c r="F518" s="24">
        <f>F369*'Tech Parameters'!$F8/1000</f>
        <v>19.409494770933893</v>
      </c>
      <c r="G518" s="24">
        <f>G369*'Tech Parameters'!$F8/1000</f>
        <v>19.409494770933893</v>
      </c>
      <c r="H518" s="24">
        <f>H369*'Tech Parameters'!$F8/1000</f>
        <v>19.409494770933893</v>
      </c>
      <c r="I518" s="24">
        <f ca="1">I369*'Tech Parameters'!$F8/1000</f>
        <v>19.409494770933893</v>
      </c>
      <c r="J518" s="24">
        <f ca="1">J369*'Tech Parameters'!$F8/1000</f>
        <v>28.143767417854146</v>
      </c>
      <c r="K518" s="24">
        <f ca="1">K369*'Tech Parameters'!$F8/1000</f>
        <v>28.143767417854146</v>
      </c>
      <c r="L518" s="24">
        <f ca="1">L369*'Tech Parameters'!$F8/1000</f>
        <v>28.143767417854146</v>
      </c>
      <c r="M518" s="24">
        <f ca="1">M369*'Tech Parameters'!$F8/1000</f>
        <v>28.143767417854146</v>
      </c>
      <c r="N518" s="24">
        <f ca="1">N369*'Tech Parameters'!$F8/1000</f>
        <v>28.143767417854146</v>
      </c>
      <c r="O518" s="24">
        <f ca="1">O369*'Tech Parameters'!$F8/1000</f>
        <v>28.143767417854146</v>
      </c>
      <c r="P518" s="24">
        <f ca="1">P369*'Tech Parameters'!$F8/1000</f>
        <v>28.143767417854146</v>
      </c>
      <c r="Q518" s="24">
        <f ca="1">Q369*'Tech Parameters'!$F8/1000</f>
        <v>28.143767417854146</v>
      </c>
      <c r="R518" s="24">
        <f ca="1">R369*'Tech Parameters'!$F8/1000</f>
        <v>28.143767417854146</v>
      </c>
      <c r="S518" s="24">
        <f ca="1">S369*'Tech Parameters'!$F8/1000</f>
        <v>28.143767417854146</v>
      </c>
      <c r="T518" s="24">
        <f ca="1">T369*'Tech Parameters'!$F8/1000</f>
        <v>28.143767417854146</v>
      </c>
      <c r="U518" s="24">
        <f ca="1">U369*'Tech Parameters'!$F8/1000</f>
        <v>28.143767417854146</v>
      </c>
      <c r="V518" s="24">
        <f ca="1">V369*'Tech Parameters'!$F8/1000</f>
        <v>33.966615849134321</v>
      </c>
      <c r="W518" s="24">
        <f ca="1">W369*'Tech Parameters'!$F8/1000</f>
        <v>33.966615849134321</v>
      </c>
      <c r="X518" s="24">
        <f ca="1">X369*'Tech Parameters'!$F8/1000</f>
        <v>33.966615849134321</v>
      </c>
      <c r="Y518" s="24">
        <f ca="1">Y369*'Tech Parameters'!$F8/1000</f>
        <v>39.789464280414485</v>
      </c>
      <c r="Z518" s="24">
        <f ca="1">Z369*'Tech Parameters'!$F8/1000</f>
        <v>39.789464280414485</v>
      </c>
      <c r="AA518" s="24">
        <f ca="1">AA369*'Tech Parameters'!$F8/1000</f>
        <v>39.789464280414485</v>
      </c>
      <c r="AB518" s="24">
        <f ca="1">AB369*'Tech Parameters'!$F8/1000</f>
        <v>45.612312711694649</v>
      </c>
      <c r="AC518" s="24">
        <f ca="1">AC369*'Tech Parameters'!$F8/1000</f>
        <v>44.229386209265606</v>
      </c>
      <c r="AD518" s="77">
        <f ca="1">AD369*'Tech Parameters'!$F8/1000</f>
        <v>44.229386209265606</v>
      </c>
      <c r="AE518" s="77">
        <f ca="1">AE369*'Tech Parameters'!$F8/1000</f>
        <v>44.229386209265606</v>
      </c>
      <c r="AF518" s="77">
        <f ca="1">AF369*'Tech Parameters'!$F8/1000</f>
        <v>44.229386209265606</v>
      </c>
      <c r="AG518" s="77">
        <f ca="1">AG369*'Tech Parameters'!$F8/1000</f>
        <v>44.229386209265606</v>
      </c>
      <c r="AH518" s="77">
        <f ca="1">AH369*'Tech Parameters'!$F8/1000</f>
        <v>44.229386209265606</v>
      </c>
      <c r="AI518" s="77">
        <f ca="1">AI369*'Tech Parameters'!$F8/1000</f>
        <v>44.229386209265606</v>
      </c>
      <c r="AJ518" s="77">
        <f ca="1">AJ369*'Tech Parameters'!$F8/1000</f>
        <v>44.229386209265606</v>
      </c>
      <c r="AK518" s="77">
        <f ca="1">AK369*'Tech Parameters'!$F8/1000</f>
        <v>44.229386209265606</v>
      </c>
      <c r="AL518" s="77">
        <f ca="1">AL369*'Tech Parameters'!$F8/1000</f>
        <v>44.229386209265606</v>
      </c>
      <c r="AM518" s="77">
        <f ca="1">AM369*'Tech Parameters'!$F8/1000</f>
        <v>44.229386209265606</v>
      </c>
      <c r="AN518" s="77">
        <f ca="1">AN369*'Tech Parameters'!$F8/1000</f>
        <v>44.229386209265606</v>
      </c>
      <c r="AO518" s="77">
        <f ca="1">AO369*'Tech Parameters'!$F8/1000</f>
        <v>44.229386209265606</v>
      </c>
      <c r="AP518" s="77">
        <f ca="1">AP369*'Tech Parameters'!$F8/1000</f>
        <v>44.229386209265606</v>
      </c>
      <c r="AQ518" s="77">
        <f ca="1">AQ369*'Tech Parameters'!$F8/1000</f>
        <v>44.229386209265606</v>
      </c>
      <c r="AR518" s="77">
        <f ca="1">AR369*'Tech Parameters'!$F8/1000</f>
        <v>44.229386209265606</v>
      </c>
      <c r="AS518" s="77">
        <f ca="1">AS369*'Tech Parameters'!$F8/1000</f>
        <v>44.229386209265606</v>
      </c>
      <c r="AT518" s="77">
        <f ca="1">AT369*'Tech Parameters'!$F8/1000</f>
        <v>44.229386209265606</v>
      </c>
      <c r="AU518" s="77">
        <f ca="1">AU369*'Tech Parameters'!$F8/1000</f>
        <v>44.229386209265606</v>
      </c>
      <c r="AV518" s="77">
        <f ca="1">AV369*'Tech Parameters'!$F8/1000</f>
        <v>44.229386209265606</v>
      </c>
      <c r="AW518" s="77">
        <f ca="1">AW369*'Tech Parameters'!$F8/1000</f>
        <v>44.229386209265606</v>
      </c>
    </row>
    <row r="519" spans="3:49">
      <c r="C519" t="str">
        <f t="shared" si="220"/>
        <v>PWR nuclear</v>
      </c>
      <c r="D519" s="24">
        <f>D370*'Tech Parameters'!$F9/1000</f>
        <v>53.944762317717498</v>
      </c>
      <c r="E519" s="24">
        <f>E370*'Tech Parameters'!$F9/1000</f>
        <v>53.944762317717498</v>
      </c>
      <c r="F519" s="24">
        <f>F370*'Tech Parameters'!$F9/1000</f>
        <v>53.944762317717498</v>
      </c>
      <c r="G519" s="24">
        <f>G370*'Tech Parameters'!$F9/1000</f>
        <v>53.944762317717498</v>
      </c>
      <c r="H519" s="24">
        <f>H370*'Tech Parameters'!$F9/1000</f>
        <v>53.944762317717498</v>
      </c>
      <c r="I519" s="24">
        <f ca="1">I370*'Tech Parameters'!$F9/1000</f>
        <v>53.944762317717498</v>
      </c>
      <c r="J519" s="24">
        <f ca="1">J370*'Tech Parameters'!$F9/1000</f>
        <v>53.944762317717498</v>
      </c>
      <c r="K519" s="24">
        <f ca="1">K370*'Tech Parameters'!$F9/1000</f>
        <v>53.944762317717498</v>
      </c>
      <c r="L519" s="24">
        <f ca="1">L370*'Tech Parameters'!$F9/1000</f>
        <v>53.944762317717498</v>
      </c>
      <c r="M519" s="24">
        <f ca="1">M370*'Tech Parameters'!$F9/1000</f>
        <v>53.944762317717498</v>
      </c>
      <c r="N519" s="24">
        <f ca="1">N370*'Tech Parameters'!$F9/1000</f>
        <v>53.944762317717498</v>
      </c>
      <c r="O519" s="24">
        <f ca="1">O370*'Tech Parameters'!$F9/1000</f>
        <v>53.944762317717498</v>
      </c>
      <c r="P519" s="24">
        <f ca="1">P370*'Tech Parameters'!$F9/1000</f>
        <v>53.944762317717498</v>
      </c>
      <c r="Q519" s="24">
        <f ca="1">Q370*'Tech Parameters'!$F9/1000</f>
        <v>53.944762317717498</v>
      </c>
      <c r="R519" s="24">
        <f ca="1">R370*'Tech Parameters'!$F9/1000</f>
        <v>53.944762317717498</v>
      </c>
      <c r="S519" s="24">
        <f ca="1">S370*'Tech Parameters'!$F9/1000</f>
        <v>53.944762317717498</v>
      </c>
      <c r="T519" s="24">
        <f ca="1">T370*'Tech Parameters'!$F9/1000</f>
        <v>53.944762317717498</v>
      </c>
      <c r="U519" s="24">
        <f ca="1">U370*'Tech Parameters'!$F9/1000</f>
        <v>53.944762317717498</v>
      </c>
      <c r="V519" s="24">
        <f ca="1">V370*'Tech Parameters'!$F9/1000</f>
        <v>53.944762317717498</v>
      </c>
      <c r="W519" s="24">
        <f ca="1">W370*'Tech Parameters'!$F9/1000</f>
        <v>53.944762317717498</v>
      </c>
      <c r="X519" s="24">
        <f ca="1">X370*'Tech Parameters'!$F9/1000</f>
        <v>53.944762317717498</v>
      </c>
      <c r="Y519" s="24">
        <f ca="1">Y370*'Tech Parameters'!$F9/1000</f>
        <v>53.944762317717498</v>
      </c>
      <c r="Z519" s="24">
        <f ca="1">Z370*'Tech Parameters'!$F9/1000</f>
        <v>53.944762317717498</v>
      </c>
      <c r="AA519" s="24">
        <f ca="1">AA370*'Tech Parameters'!$F9/1000</f>
        <v>53.944762317717498</v>
      </c>
      <c r="AB519" s="24">
        <f ca="1">AB370*'Tech Parameters'!$F9/1000</f>
        <v>53.944762317717498</v>
      </c>
      <c r="AC519" s="24">
        <f ca="1">AC370*'Tech Parameters'!$F9/1000</f>
        <v>53.944762317717498</v>
      </c>
      <c r="AD519" s="77">
        <f ca="1">AD370*'Tech Parameters'!$F9/1000</f>
        <v>53.944762317717498</v>
      </c>
      <c r="AE519" s="77">
        <f ca="1">AE370*'Tech Parameters'!$F9/1000</f>
        <v>53.944762317717498</v>
      </c>
      <c r="AF519" s="77">
        <f ca="1">AF370*'Tech Parameters'!$F9/1000</f>
        <v>53.944762317717498</v>
      </c>
      <c r="AG519" s="77">
        <f ca="1">AG370*'Tech Parameters'!$F9/1000</f>
        <v>53.944762317717498</v>
      </c>
      <c r="AH519" s="77">
        <f ca="1">AH370*'Tech Parameters'!$F9/1000</f>
        <v>53.944762317717498</v>
      </c>
      <c r="AI519" s="77">
        <f ca="1">AI370*'Tech Parameters'!$F9/1000</f>
        <v>53.944762317717498</v>
      </c>
      <c r="AJ519" s="77">
        <f ca="1">AJ370*'Tech Parameters'!$F9/1000</f>
        <v>53.944762317717498</v>
      </c>
      <c r="AK519" s="77">
        <f ca="1">AK370*'Tech Parameters'!$F9/1000</f>
        <v>53.944762317717498</v>
      </c>
      <c r="AL519" s="77">
        <f ca="1">AL370*'Tech Parameters'!$F9/1000</f>
        <v>53.944762317717498</v>
      </c>
      <c r="AM519" s="77">
        <f ca="1">AM370*'Tech Parameters'!$F9/1000</f>
        <v>53.944762317717498</v>
      </c>
      <c r="AN519" s="77">
        <f ca="1">AN370*'Tech Parameters'!$F9/1000</f>
        <v>53.944762317717498</v>
      </c>
      <c r="AO519" s="77">
        <f ca="1">AO370*'Tech Parameters'!$F9/1000</f>
        <v>53.944762317717498</v>
      </c>
      <c r="AP519" s="77">
        <f ca="1">AP370*'Tech Parameters'!$F9/1000</f>
        <v>53.944762317717498</v>
      </c>
      <c r="AQ519" s="77">
        <f ca="1">AQ370*'Tech Parameters'!$F9/1000</f>
        <v>53.944762317717498</v>
      </c>
      <c r="AR519" s="77">
        <f ca="1">AR370*'Tech Parameters'!$F9/1000</f>
        <v>53.944762317717498</v>
      </c>
      <c r="AS519" s="77">
        <f ca="1">AS370*'Tech Parameters'!$F9/1000</f>
        <v>53.944762317717498</v>
      </c>
      <c r="AT519" s="77">
        <f ca="1">AT370*'Tech Parameters'!$F9/1000</f>
        <v>53.944762317717498</v>
      </c>
      <c r="AU519" s="77">
        <f ca="1">AU370*'Tech Parameters'!$F9/1000</f>
        <v>53.944762317717498</v>
      </c>
      <c r="AV519" s="77">
        <f ca="1">AV370*'Tech Parameters'!$F9/1000</f>
        <v>53.944762317717498</v>
      </c>
      <c r="AW519" s="77">
        <f ca="1">AW370*'Tech Parameters'!$F9/1000</f>
        <v>53.944762317717498</v>
      </c>
    </row>
    <row r="520" spans="3:49">
      <c r="C520" t="str">
        <f t="shared" si="220"/>
        <v>Hydro</v>
      </c>
      <c r="D520" s="24">
        <f>D371*'Tech Parameters'!$F10/1000</f>
        <v>0</v>
      </c>
      <c r="E520" s="24">
        <f>E371*'Tech Parameters'!$F10/1000</f>
        <v>0</v>
      </c>
      <c r="F520" s="24">
        <f>F371*'Tech Parameters'!$F10/1000</f>
        <v>0</v>
      </c>
      <c r="G520" s="24">
        <f>G371*'Tech Parameters'!$F10/1000</f>
        <v>0</v>
      </c>
      <c r="H520" s="24">
        <f>H371*'Tech Parameters'!$F10/1000</f>
        <v>0</v>
      </c>
      <c r="I520" s="24">
        <f ca="1">I371*'Tech Parameters'!$F10/1000</f>
        <v>0</v>
      </c>
      <c r="J520" s="24">
        <f ca="1">J371*'Tech Parameters'!$F10/1000</f>
        <v>0</v>
      </c>
      <c r="K520" s="24">
        <f ca="1">K371*'Tech Parameters'!$F10/1000</f>
        <v>0</v>
      </c>
      <c r="L520" s="24">
        <f ca="1">L371*'Tech Parameters'!$F10/1000</f>
        <v>0</v>
      </c>
      <c r="M520" s="24">
        <f ca="1">M371*'Tech Parameters'!$F10/1000</f>
        <v>0</v>
      </c>
      <c r="N520" s="24">
        <f ca="1">N371*'Tech Parameters'!$F10/1000</f>
        <v>0</v>
      </c>
      <c r="O520" s="24">
        <f ca="1">O371*'Tech Parameters'!$F10/1000</f>
        <v>0</v>
      </c>
      <c r="P520" s="24">
        <f ca="1">P371*'Tech Parameters'!$F10/1000</f>
        <v>0</v>
      </c>
      <c r="Q520" s="24">
        <f ca="1">Q371*'Tech Parameters'!$F10/1000</f>
        <v>0</v>
      </c>
      <c r="R520" s="24">
        <f ca="1">R371*'Tech Parameters'!$F10/1000</f>
        <v>0</v>
      </c>
      <c r="S520" s="24">
        <f ca="1">S371*'Tech Parameters'!$F10/1000</f>
        <v>0</v>
      </c>
      <c r="T520" s="24">
        <f ca="1">T371*'Tech Parameters'!$F10/1000</f>
        <v>0</v>
      </c>
      <c r="U520" s="24">
        <f ca="1">U371*'Tech Parameters'!$F10/1000</f>
        <v>0</v>
      </c>
      <c r="V520" s="24">
        <f ca="1">V371*'Tech Parameters'!$F10/1000</f>
        <v>0</v>
      </c>
      <c r="W520" s="24">
        <f ca="1">W371*'Tech Parameters'!$F10/1000</f>
        <v>0</v>
      </c>
      <c r="X520" s="24">
        <f ca="1">X371*'Tech Parameters'!$F10/1000</f>
        <v>0</v>
      </c>
      <c r="Y520" s="24">
        <f ca="1">Y371*'Tech Parameters'!$F10/1000</f>
        <v>0</v>
      </c>
      <c r="Z520" s="24">
        <f ca="1">Z371*'Tech Parameters'!$F10/1000</f>
        <v>0</v>
      </c>
      <c r="AA520" s="24">
        <f ca="1">AA371*'Tech Parameters'!$F10/1000</f>
        <v>0</v>
      </c>
      <c r="AB520" s="24">
        <f ca="1">AB371*'Tech Parameters'!$F10/1000</f>
        <v>0</v>
      </c>
      <c r="AC520" s="24">
        <f ca="1">AC371*'Tech Parameters'!$F10/1000</f>
        <v>0</v>
      </c>
      <c r="AD520" s="77">
        <f ca="1">AD371*'Tech Parameters'!$F10/1000</f>
        <v>0</v>
      </c>
      <c r="AE520" s="77">
        <f ca="1">AE371*'Tech Parameters'!$F10/1000</f>
        <v>0</v>
      </c>
      <c r="AF520" s="77">
        <f ca="1">AF371*'Tech Parameters'!$F10/1000</f>
        <v>0</v>
      </c>
      <c r="AG520" s="77">
        <f ca="1">AG371*'Tech Parameters'!$F10/1000</f>
        <v>0</v>
      </c>
      <c r="AH520" s="77">
        <f ca="1">AH371*'Tech Parameters'!$F10/1000</f>
        <v>0</v>
      </c>
      <c r="AI520" s="77">
        <f ca="1">AI371*'Tech Parameters'!$F10/1000</f>
        <v>0</v>
      </c>
      <c r="AJ520" s="77">
        <f ca="1">AJ371*'Tech Parameters'!$F10/1000</f>
        <v>0</v>
      </c>
      <c r="AK520" s="77">
        <f ca="1">AK371*'Tech Parameters'!$F10/1000</f>
        <v>0</v>
      </c>
      <c r="AL520" s="77">
        <f ca="1">AL371*'Tech Parameters'!$F10/1000</f>
        <v>0</v>
      </c>
      <c r="AM520" s="77">
        <f ca="1">AM371*'Tech Parameters'!$F10/1000</f>
        <v>0</v>
      </c>
      <c r="AN520" s="77">
        <f ca="1">AN371*'Tech Parameters'!$F10/1000</f>
        <v>0</v>
      </c>
      <c r="AO520" s="77">
        <f ca="1">AO371*'Tech Parameters'!$F10/1000</f>
        <v>0</v>
      </c>
      <c r="AP520" s="77">
        <f ca="1">AP371*'Tech Parameters'!$F10/1000</f>
        <v>0</v>
      </c>
      <c r="AQ520" s="77">
        <f ca="1">AQ371*'Tech Parameters'!$F10/1000</f>
        <v>0</v>
      </c>
      <c r="AR520" s="77">
        <f ca="1">AR371*'Tech Parameters'!$F10/1000</f>
        <v>0</v>
      </c>
      <c r="AS520" s="77">
        <f ca="1">AS371*'Tech Parameters'!$F10/1000</f>
        <v>0</v>
      </c>
      <c r="AT520" s="77">
        <f ca="1">AT371*'Tech Parameters'!$F10/1000</f>
        <v>0</v>
      </c>
      <c r="AU520" s="77">
        <f ca="1">AU371*'Tech Parameters'!$F10/1000</f>
        <v>0</v>
      </c>
      <c r="AV520" s="77">
        <f ca="1">AV371*'Tech Parameters'!$F10/1000</f>
        <v>0</v>
      </c>
      <c r="AW520" s="77">
        <f ca="1">AW371*'Tech Parameters'!$F10/1000</f>
        <v>0</v>
      </c>
    </row>
    <row r="521" spans="3:49">
      <c r="C521" t="str">
        <f t="shared" si="220"/>
        <v>Landfill gas</v>
      </c>
      <c r="D521" s="24">
        <f>D372*'Tech Parameters'!$F11/1000</f>
        <v>4.37659889420806E-2</v>
      </c>
      <c r="E521" s="24">
        <f>E372*'Tech Parameters'!$F11/1000</f>
        <v>4.37659889420806E-2</v>
      </c>
      <c r="F521" s="24">
        <f>F372*'Tech Parameters'!$F11/1000</f>
        <v>4.37659889420806E-2</v>
      </c>
      <c r="G521" s="24">
        <f>G372*'Tech Parameters'!$F11/1000</f>
        <v>4.37659889420806E-2</v>
      </c>
      <c r="H521" s="24">
        <f>H372*'Tech Parameters'!$F11/1000</f>
        <v>4.37659889420806E-2</v>
      </c>
      <c r="I521" s="24">
        <f ca="1">I372*'Tech Parameters'!$F11/1000</f>
        <v>4.37659889420806E-2</v>
      </c>
      <c r="J521" s="24">
        <f ca="1">J372*'Tech Parameters'!$F11/1000</f>
        <v>4.37659889420806E-2</v>
      </c>
      <c r="K521" s="24">
        <f ca="1">K372*'Tech Parameters'!$F11/1000</f>
        <v>4.37659889420806E-2</v>
      </c>
      <c r="L521" s="24">
        <f ca="1">L372*'Tech Parameters'!$F11/1000</f>
        <v>4.37659889420806E-2</v>
      </c>
      <c r="M521" s="24">
        <f ca="1">M372*'Tech Parameters'!$F11/1000</f>
        <v>4.37659889420806E-2</v>
      </c>
      <c r="N521" s="24">
        <f ca="1">N372*'Tech Parameters'!$F11/1000</f>
        <v>4.37659889420806E-2</v>
      </c>
      <c r="O521" s="24">
        <f ca="1">O372*'Tech Parameters'!$F11/1000</f>
        <v>4.37659889420806E-2</v>
      </c>
      <c r="P521" s="24">
        <f ca="1">P372*'Tech Parameters'!$F11/1000</f>
        <v>4.37659889420806E-2</v>
      </c>
      <c r="Q521" s="24">
        <f ca="1">Q372*'Tech Parameters'!$F11/1000</f>
        <v>4.37659889420806E-2</v>
      </c>
      <c r="R521" s="24">
        <f ca="1">R372*'Tech Parameters'!$F11/1000</f>
        <v>4.37659889420806E-2</v>
      </c>
      <c r="S521" s="24">
        <f ca="1">S372*'Tech Parameters'!$F11/1000</f>
        <v>4.37659889420806E-2</v>
      </c>
      <c r="T521" s="24">
        <f ca="1">T372*'Tech Parameters'!$F11/1000</f>
        <v>4.37659889420806E-2</v>
      </c>
      <c r="U521" s="24">
        <f ca="1">U372*'Tech Parameters'!$F11/1000</f>
        <v>4.37659889420806E-2</v>
      </c>
      <c r="V521" s="24">
        <f ca="1">V372*'Tech Parameters'!$F11/1000</f>
        <v>4.37659889420806E-2</v>
      </c>
      <c r="W521" s="24">
        <f ca="1">W372*'Tech Parameters'!$F11/1000</f>
        <v>4.37659889420806E-2</v>
      </c>
      <c r="X521" s="24">
        <f ca="1">X372*'Tech Parameters'!$F11/1000</f>
        <v>4.37659889420806E-2</v>
      </c>
      <c r="Y521" s="24">
        <f ca="1">Y372*'Tech Parameters'!$F11/1000</f>
        <v>4.37659889420806E-2</v>
      </c>
      <c r="Z521" s="24">
        <f ca="1">Z372*'Tech Parameters'!$F11/1000</f>
        <v>4.37659889420806E-2</v>
      </c>
      <c r="AA521" s="24">
        <f ca="1">AA372*'Tech Parameters'!$F11/1000</f>
        <v>4.37659889420806E-2</v>
      </c>
      <c r="AB521" s="24">
        <f ca="1">AB372*'Tech Parameters'!$F11/1000</f>
        <v>4.37659889420806E-2</v>
      </c>
      <c r="AC521" s="24">
        <f ca="1">AC372*'Tech Parameters'!$F11/1000</f>
        <v>4.37659889420806E-2</v>
      </c>
      <c r="AD521" s="77">
        <f ca="1">AD372*'Tech Parameters'!$F11/1000</f>
        <v>4.37659889420806E-2</v>
      </c>
      <c r="AE521" s="77">
        <f ca="1">AE372*'Tech Parameters'!$F11/1000</f>
        <v>4.37659889420806E-2</v>
      </c>
      <c r="AF521" s="77">
        <f ca="1">AF372*'Tech Parameters'!$F11/1000</f>
        <v>4.37659889420806E-2</v>
      </c>
      <c r="AG521" s="77">
        <f ca="1">AG372*'Tech Parameters'!$F11/1000</f>
        <v>4.37659889420806E-2</v>
      </c>
      <c r="AH521" s="77">
        <f ca="1">AH372*'Tech Parameters'!$F11/1000</f>
        <v>4.37659889420806E-2</v>
      </c>
      <c r="AI521" s="77">
        <f ca="1">AI372*'Tech Parameters'!$F11/1000</f>
        <v>4.37659889420806E-2</v>
      </c>
      <c r="AJ521" s="77">
        <f ca="1">AJ372*'Tech Parameters'!$F11/1000</f>
        <v>4.37659889420806E-2</v>
      </c>
      <c r="AK521" s="77">
        <f ca="1">AK372*'Tech Parameters'!$F11/1000</f>
        <v>4.37659889420806E-2</v>
      </c>
      <c r="AL521" s="77">
        <f ca="1">AL372*'Tech Parameters'!$F11/1000</f>
        <v>4.37659889420806E-2</v>
      </c>
      <c r="AM521" s="77">
        <f ca="1">AM372*'Tech Parameters'!$F11/1000</f>
        <v>4.37659889420806E-2</v>
      </c>
      <c r="AN521" s="77">
        <f ca="1">AN372*'Tech Parameters'!$F11/1000</f>
        <v>4.37659889420806E-2</v>
      </c>
      <c r="AO521" s="77">
        <f ca="1">AO372*'Tech Parameters'!$F11/1000</f>
        <v>4.37659889420806E-2</v>
      </c>
      <c r="AP521" s="77">
        <f ca="1">AP372*'Tech Parameters'!$F11/1000</f>
        <v>4.37659889420806E-2</v>
      </c>
      <c r="AQ521" s="77">
        <f ca="1">AQ372*'Tech Parameters'!$F11/1000</f>
        <v>4.37659889420806E-2</v>
      </c>
      <c r="AR521" s="77">
        <f ca="1">AR372*'Tech Parameters'!$F11/1000</f>
        <v>4.37659889420806E-2</v>
      </c>
      <c r="AS521" s="77">
        <f ca="1">AS372*'Tech Parameters'!$F11/1000</f>
        <v>4.37659889420806E-2</v>
      </c>
      <c r="AT521" s="77">
        <f ca="1">AT372*'Tech Parameters'!$F11/1000</f>
        <v>4.37659889420806E-2</v>
      </c>
      <c r="AU521" s="77">
        <f ca="1">AU372*'Tech Parameters'!$F11/1000</f>
        <v>4.37659889420806E-2</v>
      </c>
      <c r="AV521" s="77">
        <f ca="1">AV372*'Tech Parameters'!$F11/1000</f>
        <v>4.37659889420806E-2</v>
      </c>
      <c r="AW521" s="77">
        <f ca="1">AW372*'Tech Parameters'!$F11/1000</f>
        <v>4.37659889420806E-2</v>
      </c>
    </row>
    <row r="522" spans="3:49">
      <c r="C522" t="str">
        <f t="shared" si="220"/>
        <v>Biomass</v>
      </c>
      <c r="D522" s="24">
        <f>D373*'Tech Parameters'!$F12/1000</f>
        <v>84.077264356112806</v>
      </c>
      <c r="E522" s="24">
        <f>E373*'Tech Parameters'!$F12/1000</f>
        <v>84.077264356111172</v>
      </c>
      <c r="F522" s="24">
        <f>F373*'Tech Parameters'!$F12/1000</f>
        <v>84.077264356111172</v>
      </c>
      <c r="G522" s="24">
        <f>G373*'Tech Parameters'!$F12/1000</f>
        <v>84.077264356111172</v>
      </c>
      <c r="H522" s="24">
        <f>H373*'Tech Parameters'!$F12/1000</f>
        <v>84.077264356111172</v>
      </c>
      <c r="I522" s="24">
        <f ca="1">I373*'Tech Parameters'!$F12/1000</f>
        <v>84.077264356111172</v>
      </c>
      <c r="J522" s="24">
        <f ca="1">J373*'Tech Parameters'!$F12/1000</f>
        <v>84.077264356111172</v>
      </c>
      <c r="K522" s="24">
        <f ca="1">K373*'Tech Parameters'!$F12/1000</f>
        <v>84.077264356111172</v>
      </c>
      <c r="L522" s="24">
        <f ca="1">L373*'Tech Parameters'!$F12/1000</f>
        <v>84.077264356111172</v>
      </c>
      <c r="M522" s="24">
        <f ca="1">M373*'Tech Parameters'!$F12/1000</f>
        <v>84.077264356111172</v>
      </c>
      <c r="N522" s="24">
        <f ca="1">N373*'Tech Parameters'!$F12/1000</f>
        <v>84.077264356111172</v>
      </c>
      <c r="O522" s="24">
        <f ca="1">O373*'Tech Parameters'!$F12/1000</f>
        <v>84.077264356111172</v>
      </c>
      <c r="P522" s="24">
        <f ca="1">P373*'Tech Parameters'!$F12/1000</f>
        <v>84.077264356111172</v>
      </c>
      <c r="Q522" s="24">
        <f ca="1">Q373*'Tech Parameters'!$F12/1000</f>
        <v>84.077264356111172</v>
      </c>
      <c r="R522" s="24">
        <f ca="1">R373*'Tech Parameters'!$F12/1000</f>
        <v>84.077264356111172</v>
      </c>
      <c r="S522" s="24">
        <f ca="1">S373*'Tech Parameters'!$F12/1000</f>
        <v>84.077264356111172</v>
      </c>
      <c r="T522" s="24">
        <f ca="1">T373*'Tech Parameters'!$F12/1000</f>
        <v>84.077264356111172</v>
      </c>
      <c r="U522" s="24">
        <f ca="1">U373*'Tech Parameters'!$F12/1000</f>
        <v>84.077264356111172</v>
      </c>
      <c r="V522" s="24">
        <f ca="1">V373*'Tech Parameters'!$F12/1000</f>
        <v>84.077264356111172</v>
      </c>
      <c r="W522" s="24">
        <f ca="1">W373*'Tech Parameters'!$F12/1000</f>
        <v>84.077264356111172</v>
      </c>
      <c r="X522" s="24">
        <f ca="1">X373*'Tech Parameters'!$F12/1000</f>
        <v>84.077264356111172</v>
      </c>
      <c r="Y522" s="24">
        <f ca="1">Y373*'Tech Parameters'!$F12/1000</f>
        <v>84.077264356111172</v>
      </c>
      <c r="Z522" s="24">
        <f ca="1">Z373*'Tech Parameters'!$F12/1000</f>
        <v>84.077264356111172</v>
      </c>
      <c r="AA522" s="24">
        <f ca="1">AA373*'Tech Parameters'!$F12/1000</f>
        <v>84.077264356111172</v>
      </c>
      <c r="AB522" s="24">
        <f ca="1">AB373*'Tech Parameters'!$F12/1000</f>
        <v>84.077264356111172</v>
      </c>
      <c r="AC522" s="24">
        <f ca="1">AC373*'Tech Parameters'!$F12/1000</f>
        <v>84.077264356111172</v>
      </c>
      <c r="AD522" s="77">
        <f ca="1">AD373*'Tech Parameters'!$F12/1000</f>
        <v>84.077264356111172</v>
      </c>
      <c r="AE522" s="77">
        <f ca="1">AE373*'Tech Parameters'!$F12/1000</f>
        <v>84.077264356111172</v>
      </c>
      <c r="AF522" s="77">
        <f ca="1">AF373*'Tech Parameters'!$F12/1000</f>
        <v>84.077264356111172</v>
      </c>
      <c r="AG522" s="77">
        <f ca="1">AG373*'Tech Parameters'!$F12/1000</f>
        <v>84.077264356111172</v>
      </c>
      <c r="AH522" s="77">
        <f ca="1">AH373*'Tech Parameters'!$F12/1000</f>
        <v>84.077264356111172</v>
      </c>
      <c r="AI522" s="77">
        <f ca="1">AI373*'Tech Parameters'!$F12/1000</f>
        <v>84.077264356111172</v>
      </c>
      <c r="AJ522" s="77">
        <f ca="1">AJ373*'Tech Parameters'!$F12/1000</f>
        <v>84.077264356111172</v>
      </c>
      <c r="AK522" s="77">
        <f ca="1">AK373*'Tech Parameters'!$F12/1000</f>
        <v>84.077264356111172</v>
      </c>
      <c r="AL522" s="77">
        <f ca="1">AL373*'Tech Parameters'!$F12/1000</f>
        <v>84.077264356111172</v>
      </c>
      <c r="AM522" s="77">
        <f ca="1">AM373*'Tech Parameters'!$F12/1000</f>
        <v>84.077264356111172</v>
      </c>
      <c r="AN522" s="77">
        <f ca="1">AN373*'Tech Parameters'!$F12/1000</f>
        <v>84.077264356111172</v>
      </c>
      <c r="AO522" s="77">
        <f ca="1">AO373*'Tech Parameters'!$F12/1000</f>
        <v>84.077264356111172</v>
      </c>
      <c r="AP522" s="77">
        <f ca="1">AP373*'Tech Parameters'!$F12/1000</f>
        <v>84.077264356111172</v>
      </c>
      <c r="AQ522" s="77">
        <f ca="1">AQ373*'Tech Parameters'!$F12/1000</f>
        <v>84.077264356111172</v>
      </c>
      <c r="AR522" s="77">
        <f ca="1">AR373*'Tech Parameters'!$F12/1000</f>
        <v>84.077264356111172</v>
      </c>
      <c r="AS522" s="77">
        <f ca="1">AS373*'Tech Parameters'!$F12/1000</f>
        <v>84.077264356111172</v>
      </c>
      <c r="AT522" s="77">
        <f ca="1">AT373*'Tech Parameters'!$F12/1000</f>
        <v>84.077264356111172</v>
      </c>
      <c r="AU522" s="77">
        <f ca="1">AU373*'Tech Parameters'!$F12/1000</f>
        <v>84.077264356111172</v>
      </c>
      <c r="AV522" s="77">
        <f ca="1">AV373*'Tech Parameters'!$F12/1000</f>
        <v>84.077264356111172</v>
      </c>
      <c r="AW522" s="77">
        <f ca="1">AW373*'Tech Parameters'!$F12/1000</f>
        <v>84.077264356111172</v>
      </c>
    </row>
    <row r="523" spans="3:49">
      <c r="C523" t="str">
        <f t="shared" si="220"/>
        <v>Supercritical coal</v>
      </c>
      <c r="D523" s="24">
        <f>D374*'Tech Parameters'!$F13/1000</f>
        <v>0</v>
      </c>
      <c r="E523" s="24">
        <f>E374*'Tech Parameters'!$F13/1000</f>
        <v>0</v>
      </c>
      <c r="F523" s="24">
        <f>F374*'Tech Parameters'!$F13/1000</f>
        <v>0</v>
      </c>
      <c r="G523" s="24">
        <f>G374*'Tech Parameters'!$F13/1000</f>
        <v>0</v>
      </c>
      <c r="H523" s="24">
        <f>H374*'Tech Parameters'!$F13/1000</f>
        <v>0</v>
      </c>
      <c r="I523" s="24">
        <f ca="1">I374*'Tech Parameters'!$F13/1000</f>
        <v>0</v>
      </c>
      <c r="J523" s="24">
        <f ca="1">J374*'Tech Parameters'!$F13/1000</f>
        <v>0</v>
      </c>
      <c r="K523" s="24">
        <f ca="1">K374*'Tech Parameters'!$F13/1000</f>
        <v>48.637467264562815</v>
      </c>
      <c r="L523" s="24">
        <f ca="1">L374*'Tech Parameters'!$F13/1000</f>
        <v>145.91240179368845</v>
      </c>
      <c r="M523" s="24">
        <f ca="1">M374*'Tech Parameters'!$F13/1000</f>
        <v>395.93259436795495</v>
      </c>
      <c r="N523" s="24">
        <f ca="1">N374*'Tech Parameters'!$F13/1000</f>
        <v>634.90858210113413</v>
      </c>
      <c r="O523" s="24">
        <f ca="1">O374*'Tech Parameters'!$F13/1000</f>
        <v>889.44735295258897</v>
      </c>
      <c r="P523" s="24">
        <f ca="1">P374*'Tech Parameters'!$F13/1000</f>
        <v>1139.8384979675045</v>
      </c>
      <c r="Q523" s="24">
        <f ca="1">Q374*'Tech Parameters'!$F13/1000</f>
        <v>1404.5829784013692</v>
      </c>
      <c r="R523" s="24">
        <f ca="1">R374*'Tech Parameters'!$F13/1000</f>
        <v>1681.6167205731413</v>
      </c>
      <c r="S523" s="24">
        <f ca="1">S374*'Tech Parameters'!$F13/1000</f>
        <v>2014.6601122471457</v>
      </c>
      <c r="T523" s="24">
        <f ca="1">T374*'Tech Parameters'!$F13/1000</f>
        <v>2362.1433864631931</v>
      </c>
      <c r="U523" s="24">
        <f ca="1">U374*'Tech Parameters'!$F13/1000</f>
        <v>2656.2940910619604</v>
      </c>
      <c r="V523" s="24">
        <f ca="1">V374*'Tech Parameters'!$F13/1000</f>
        <v>2965.1839958554015</v>
      </c>
      <c r="W523" s="24">
        <f ca="1">W374*'Tech Parameters'!$F13/1000</f>
        <v>3540.2504699366732</v>
      </c>
      <c r="X523" s="24">
        <f ca="1">X374*'Tech Parameters'!$F13/1000</f>
        <v>4156.2353870160068</v>
      </c>
      <c r="Y523" s="24">
        <f ca="1">Y374*'Tech Parameters'!$F13/1000</f>
        <v>4856.2091461159016</v>
      </c>
      <c r="Z523" s="24">
        <f ca="1">Z374*'Tech Parameters'!$F13/1000</f>
        <v>5550.8344272626282</v>
      </c>
      <c r="AA523" s="24">
        <f ca="1">AA374*'Tech Parameters'!$F13/1000</f>
        <v>6323.1404122713675</v>
      </c>
      <c r="AB523" s="24">
        <f ca="1">AB374*'Tech Parameters'!$F13/1000</f>
        <v>7475.9709408687568</v>
      </c>
      <c r="AC523" s="24">
        <f ca="1">AC374*'Tech Parameters'!$F13/1000</f>
        <v>8156.0010610577383</v>
      </c>
      <c r="AD523" s="77">
        <f ca="1">AD374*'Tech Parameters'!$F13/1000</f>
        <v>8156.0010610577383</v>
      </c>
      <c r="AE523" s="77">
        <f ca="1">AE374*'Tech Parameters'!$F13/1000</f>
        <v>8162.189112368269</v>
      </c>
      <c r="AF523" s="77">
        <f ca="1">AF374*'Tech Parameters'!$F13/1000</f>
        <v>8168.3771636788024</v>
      </c>
      <c r="AG523" s="77">
        <f ca="1">AG374*'Tech Parameters'!$F13/1000</f>
        <v>8942.3075394825883</v>
      </c>
      <c r="AH523" s="77">
        <f ca="1">AH374*'Tech Parameters'!$F13/1000</f>
        <v>9716.2379152863723</v>
      </c>
      <c r="AI523" s="77">
        <f ca="1">AI374*'Tech Parameters'!$F13/1000</f>
        <v>10120.284758341828</v>
      </c>
      <c r="AJ523" s="77">
        <f ca="1">AJ374*'Tech Parameters'!$F13/1000</f>
        <v>10944.803112869629</v>
      </c>
      <c r="AK523" s="77">
        <f ca="1">AK374*'Tech Parameters'!$F13/1000</f>
        <v>11388.328148832194</v>
      </c>
      <c r="AL523" s="77">
        <f ca="1">AL374*'Tech Parameters'!$F13/1000</f>
        <v>11411.381673322416</v>
      </c>
      <c r="AM523" s="77">
        <f ca="1">AM374*'Tech Parameters'!$F13/1000</f>
        <v>11411.381673322416</v>
      </c>
      <c r="AN523" s="77">
        <f ca="1">AN374*'Tech Parameters'!$F13/1000</f>
        <v>11411.381673322416</v>
      </c>
      <c r="AO523" s="77">
        <f ca="1">AO374*'Tech Parameters'!$F13/1000</f>
        <v>11411.381673322416</v>
      </c>
      <c r="AP523" s="77">
        <f ca="1">AP374*'Tech Parameters'!$F13/1000</f>
        <v>11411.381673322416</v>
      </c>
      <c r="AQ523" s="77">
        <f ca="1">AQ374*'Tech Parameters'!$F13/1000</f>
        <v>11411.381673322416</v>
      </c>
      <c r="AR523" s="77">
        <f ca="1">AR374*'Tech Parameters'!$F13/1000</f>
        <v>11832.181678163099</v>
      </c>
      <c r="AS523" s="77">
        <f ca="1">AS374*'Tech Parameters'!$F13/1000</f>
        <v>12252.98168300378</v>
      </c>
      <c r="AT523" s="77">
        <f ca="1">AT374*'Tech Parameters'!$F13/1000</f>
        <v>12252.98168300378</v>
      </c>
      <c r="AU523" s="77">
        <f ca="1">AU374*'Tech Parameters'!$F13/1000</f>
        <v>12252.98168300378</v>
      </c>
      <c r="AV523" s="77">
        <f ca="1">AV374*'Tech Parameters'!$F13/1000</f>
        <v>12252.98168300378</v>
      </c>
      <c r="AW523" s="77">
        <f ca="1">AW374*'Tech Parameters'!$F13/1000</f>
        <v>12252.98168300378</v>
      </c>
    </row>
    <row r="524" spans="3:49">
      <c r="C524" t="str">
        <f t="shared" si="220"/>
        <v xml:space="preserve">Wind 30% </v>
      </c>
      <c r="D524" s="24">
        <f>D375*'Tech Parameters'!$F14/1000</f>
        <v>0</v>
      </c>
      <c r="E524" s="24">
        <f>E375*'Tech Parameters'!$F14/1000</f>
        <v>0</v>
      </c>
      <c r="F524" s="24">
        <f>F375*'Tech Parameters'!$F14/1000</f>
        <v>0</v>
      </c>
      <c r="G524" s="24">
        <f>G375*'Tech Parameters'!$F14/1000</f>
        <v>0</v>
      </c>
      <c r="H524" s="24">
        <f>H375*'Tech Parameters'!$F14/1000</f>
        <v>0</v>
      </c>
      <c r="I524" s="24">
        <f ca="1">I375*'Tech Parameters'!$F14/1000</f>
        <v>0</v>
      </c>
      <c r="J524" s="24">
        <f ca="1">J375*'Tech Parameters'!$F14/1000</f>
        <v>0</v>
      </c>
      <c r="K524" s="24">
        <f ca="1">K375*'Tech Parameters'!$F14/1000</f>
        <v>0</v>
      </c>
      <c r="L524" s="24">
        <f ca="1">L375*'Tech Parameters'!$F14/1000</f>
        <v>0</v>
      </c>
      <c r="M524" s="24">
        <f ca="1">M375*'Tech Parameters'!$F14/1000</f>
        <v>0</v>
      </c>
      <c r="N524" s="24">
        <f ca="1">N375*'Tech Parameters'!$F14/1000</f>
        <v>0</v>
      </c>
      <c r="O524" s="24">
        <f ca="1">O375*'Tech Parameters'!$F14/1000</f>
        <v>0</v>
      </c>
      <c r="P524" s="24">
        <f ca="1">P375*'Tech Parameters'!$F14/1000</f>
        <v>0</v>
      </c>
      <c r="Q524" s="24">
        <f ca="1">Q375*'Tech Parameters'!$F14/1000</f>
        <v>0</v>
      </c>
      <c r="R524" s="24">
        <f ca="1">R375*'Tech Parameters'!$F14/1000</f>
        <v>0</v>
      </c>
      <c r="S524" s="24">
        <f ca="1">S375*'Tech Parameters'!$F14/1000</f>
        <v>0</v>
      </c>
      <c r="T524" s="24">
        <f ca="1">T375*'Tech Parameters'!$F14/1000</f>
        <v>0</v>
      </c>
      <c r="U524" s="24">
        <f ca="1">U375*'Tech Parameters'!$F14/1000</f>
        <v>0</v>
      </c>
      <c r="V524" s="24">
        <f ca="1">V375*'Tech Parameters'!$F14/1000</f>
        <v>0</v>
      </c>
      <c r="W524" s="24">
        <f ca="1">W375*'Tech Parameters'!$F14/1000</f>
        <v>0</v>
      </c>
      <c r="X524" s="24">
        <f ca="1">X375*'Tech Parameters'!$F14/1000</f>
        <v>0</v>
      </c>
      <c r="Y524" s="24">
        <f ca="1">Y375*'Tech Parameters'!$F14/1000</f>
        <v>0</v>
      </c>
      <c r="Z524" s="24">
        <f ca="1">Z375*'Tech Parameters'!$F14/1000</f>
        <v>0</v>
      </c>
      <c r="AA524" s="24">
        <f ca="1">AA375*'Tech Parameters'!$F14/1000</f>
        <v>0</v>
      </c>
      <c r="AB524" s="24">
        <f ca="1">AB375*'Tech Parameters'!$F14/1000</f>
        <v>0</v>
      </c>
      <c r="AC524" s="24">
        <f ca="1">AC375*'Tech Parameters'!$F14/1000</f>
        <v>0</v>
      </c>
      <c r="AD524" s="77">
        <f ca="1">AD375*'Tech Parameters'!$F14/1000</f>
        <v>0</v>
      </c>
      <c r="AE524" s="77">
        <f ca="1">AE375*'Tech Parameters'!$F14/1000</f>
        <v>0</v>
      </c>
      <c r="AF524" s="77">
        <f ca="1">AF375*'Tech Parameters'!$F14/1000</f>
        <v>0</v>
      </c>
      <c r="AG524" s="77">
        <f ca="1">AG375*'Tech Parameters'!$F14/1000</f>
        <v>0</v>
      </c>
      <c r="AH524" s="77">
        <f ca="1">AH375*'Tech Parameters'!$F14/1000</f>
        <v>0</v>
      </c>
      <c r="AI524" s="77">
        <f ca="1">AI375*'Tech Parameters'!$F14/1000</f>
        <v>0</v>
      </c>
      <c r="AJ524" s="77">
        <f ca="1">AJ375*'Tech Parameters'!$F14/1000</f>
        <v>0</v>
      </c>
      <c r="AK524" s="77">
        <f ca="1">AK375*'Tech Parameters'!$F14/1000</f>
        <v>0</v>
      </c>
      <c r="AL524" s="77">
        <f ca="1">AL375*'Tech Parameters'!$F14/1000</f>
        <v>0</v>
      </c>
      <c r="AM524" s="77">
        <f ca="1">AM375*'Tech Parameters'!$F14/1000</f>
        <v>0</v>
      </c>
      <c r="AN524" s="77">
        <f ca="1">AN375*'Tech Parameters'!$F14/1000</f>
        <v>0</v>
      </c>
      <c r="AO524" s="77">
        <f ca="1">AO375*'Tech Parameters'!$F14/1000</f>
        <v>0</v>
      </c>
      <c r="AP524" s="77">
        <f ca="1">AP375*'Tech Parameters'!$F14/1000</f>
        <v>0</v>
      </c>
      <c r="AQ524" s="77">
        <f ca="1">AQ375*'Tech Parameters'!$F14/1000</f>
        <v>0</v>
      </c>
      <c r="AR524" s="77">
        <f ca="1">AR375*'Tech Parameters'!$F14/1000</f>
        <v>0</v>
      </c>
      <c r="AS524" s="77">
        <f ca="1">AS375*'Tech Parameters'!$F14/1000</f>
        <v>0</v>
      </c>
      <c r="AT524" s="77">
        <f ca="1">AT375*'Tech Parameters'!$F14/1000</f>
        <v>0</v>
      </c>
      <c r="AU524" s="77">
        <f ca="1">AU375*'Tech Parameters'!$F14/1000</f>
        <v>0</v>
      </c>
      <c r="AV524" s="77">
        <f ca="1">AV375*'Tech Parameters'!$F14/1000</f>
        <v>0</v>
      </c>
      <c r="AW524" s="77">
        <f ca="1">AW375*'Tech Parameters'!$F14/1000</f>
        <v>0</v>
      </c>
    </row>
    <row r="525" spans="3:49">
      <c r="C525" t="str">
        <f t="shared" si="220"/>
        <v>Wind 25%</v>
      </c>
      <c r="D525" s="24">
        <f>D376*'Tech Parameters'!$F15/1000</f>
        <v>0</v>
      </c>
      <c r="E525" s="24">
        <f>E376*'Tech Parameters'!$F15/1000</f>
        <v>0</v>
      </c>
      <c r="F525" s="24">
        <f>F376*'Tech Parameters'!$F15/1000</f>
        <v>0</v>
      </c>
      <c r="G525" s="24">
        <f>G376*'Tech Parameters'!$F15/1000</f>
        <v>0</v>
      </c>
      <c r="H525" s="24">
        <f>H376*'Tech Parameters'!$F15/1000</f>
        <v>0</v>
      </c>
      <c r="I525" s="24">
        <f ca="1">I376*'Tech Parameters'!$F15/1000</f>
        <v>0</v>
      </c>
      <c r="J525" s="24">
        <f ca="1">J376*'Tech Parameters'!$F15/1000</f>
        <v>0</v>
      </c>
      <c r="K525" s="24">
        <f ca="1">K376*'Tech Parameters'!$F15/1000</f>
        <v>0</v>
      </c>
      <c r="L525" s="24">
        <f ca="1">L376*'Tech Parameters'!$F15/1000</f>
        <v>0</v>
      </c>
      <c r="M525" s="24">
        <f ca="1">M376*'Tech Parameters'!$F15/1000</f>
        <v>0</v>
      </c>
      <c r="N525" s="24">
        <f ca="1">N376*'Tech Parameters'!$F15/1000</f>
        <v>0</v>
      </c>
      <c r="O525" s="24">
        <f ca="1">O376*'Tech Parameters'!$F15/1000</f>
        <v>0</v>
      </c>
      <c r="P525" s="24">
        <f ca="1">P376*'Tech Parameters'!$F15/1000</f>
        <v>0</v>
      </c>
      <c r="Q525" s="24">
        <f ca="1">Q376*'Tech Parameters'!$F15/1000</f>
        <v>0</v>
      </c>
      <c r="R525" s="24">
        <f ca="1">R376*'Tech Parameters'!$F15/1000</f>
        <v>0</v>
      </c>
      <c r="S525" s="24">
        <f ca="1">S376*'Tech Parameters'!$F15/1000</f>
        <v>0</v>
      </c>
      <c r="T525" s="24">
        <f ca="1">T376*'Tech Parameters'!$F15/1000</f>
        <v>0</v>
      </c>
      <c r="U525" s="24">
        <f ca="1">U376*'Tech Parameters'!$F15/1000</f>
        <v>0</v>
      </c>
      <c r="V525" s="24">
        <f ca="1">V376*'Tech Parameters'!$F15/1000</f>
        <v>0</v>
      </c>
      <c r="W525" s="24">
        <f ca="1">W376*'Tech Parameters'!$F15/1000</f>
        <v>0</v>
      </c>
      <c r="X525" s="24">
        <f ca="1">X376*'Tech Parameters'!$F15/1000</f>
        <v>0</v>
      </c>
      <c r="Y525" s="24">
        <f ca="1">Y376*'Tech Parameters'!$F15/1000</f>
        <v>0</v>
      </c>
      <c r="Z525" s="24">
        <f ca="1">Z376*'Tech Parameters'!$F15/1000</f>
        <v>0</v>
      </c>
      <c r="AA525" s="24">
        <f ca="1">AA376*'Tech Parameters'!$F15/1000</f>
        <v>0</v>
      </c>
      <c r="AB525" s="24">
        <f ca="1">AB376*'Tech Parameters'!$F15/1000</f>
        <v>0</v>
      </c>
      <c r="AC525" s="24">
        <f ca="1">AC376*'Tech Parameters'!$F15/1000</f>
        <v>0</v>
      </c>
      <c r="AD525" s="77">
        <f ca="1">AD376*'Tech Parameters'!$F15/1000</f>
        <v>0</v>
      </c>
      <c r="AE525" s="77">
        <f ca="1">AE376*'Tech Parameters'!$F15/1000</f>
        <v>0</v>
      </c>
      <c r="AF525" s="77">
        <f ca="1">AF376*'Tech Parameters'!$F15/1000</f>
        <v>0</v>
      </c>
      <c r="AG525" s="77">
        <f ca="1">AG376*'Tech Parameters'!$F15/1000</f>
        <v>0</v>
      </c>
      <c r="AH525" s="77">
        <f ca="1">AH376*'Tech Parameters'!$F15/1000</f>
        <v>0</v>
      </c>
      <c r="AI525" s="77">
        <f ca="1">AI376*'Tech Parameters'!$F15/1000</f>
        <v>0</v>
      </c>
      <c r="AJ525" s="77">
        <f ca="1">AJ376*'Tech Parameters'!$F15/1000</f>
        <v>0</v>
      </c>
      <c r="AK525" s="77">
        <f ca="1">AK376*'Tech Parameters'!$F15/1000</f>
        <v>0</v>
      </c>
      <c r="AL525" s="77">
        <f ca="1">AL376*'Tech Parameters'!$F15/1000</f>
        <v>0</v>
      </c>
      <c r="AM525" s="77">
        <f ca="1">AM376*'Tech Parameters'!$F15/1000</f>
        <v>0</v>
      </c>
      <c r="AN525" s="77">
        <f ca="1">AN376*'Tech Parameters'!$F15/1000</f>
        <v>0</v>
      </c>
      <c r="AO525" s="77">
        <f ca="1">AO376*'Tech Parameters'!$F15/1000</f>
        <v>0</v>
      </c>
      <c r="AP525" s="77">
        <f ca="1">AP376*'Tech Parameters'!$F15/1000</f>
        <v>0</v>
      </c>
      <c r="AQ525" s="77">
        <f ca="1">AQ376*'Tech Parameters'!$F15/1000</f>
        <v>0</v>
      </c>
      <c r="AR525" s="77">
        <f ca="1">AR376*'Tech Parameters'!$F15/1000</f>
        <v>0</v>
      </c>
      <c r="AS525" s="77">
        <f ca="1">AS376*'Tech Parameters'!$F15/1000</f>
        <v>0</v>
      </c>
      <c r="AT525" s="77">
        <f ca="1">AT376*'Tech Parameters'!$F15/1000</f>
        <v>0</v>
      </c>
      <c r="AU525" s="77">
        <f ca="1">AU376*'Tech Parameters'!$F15/1000</f>
        <v>0</v>
      </c>
      <c r="AV525" s="77">
        <f ca="1">AV376*'Tech Parameters'!$F15/1000</f>
        <v>0</v>
      </c>
      <c r="AW525" s="77">
        <f ca="1">AW376*'Tech Parameters'!$F15/1000</f>
        <v>0</v>
      </c>
    </row>
    <row r="526" spans="3:49">
      <c r="C526" t="str">
        <f t="shared" si="220"/>
        <v>solar thermal central reciever</v>
      </c>
      <c r="D526" s="24">
        <f>D377*'Tech Parameters'!$F16/1000</f>
        <v>0</v>
      </c>
      <c r="E526" s="24">
        <f>E377*'Tech Parameters'!$F16/1000</f>
        <v>0</v>
      </c>
      <c r="F526" s="24">
        <f>F377*'Tech Parameters'!$F16/1000</f>
        <v>0</v>
      </c>
      <c r="G526" s="24">
        <f>G377*'Tech Parameters'!$F16/1000</f>
        <v>0</v>
      </c>
      <c r="H526" s="24">
        <f>H377*'Tech Parameters'!$F16/1000</f>
        <v>0</v>
      </c>
      <c r="I526" s="24">
        <f ca="1">I377*'Tech Parameters'!$F16/1000</f>
        <v>0</v>
      </c>
      <c r="J526" s="24">
        <f ca="1">J377*'Tech Parameters'!$F16/1000</f>
        <v>0</v>
      </c>
      <c r="K526" s="24">
        <f ca="1">K377*'Tech Parameters'!$F16/1000</f>
        <v>0</v>
      </c>
      <c r="L526" s="24">
        <f ca="1">L377*'Tech Parameters'!$F16/1000</f>
        <v>0</v>
      </c>
      <c r="M526" s="24">
        <f ca="1">M377*'Tech Parameters'!$F16/1000</f>
        <v>0</v>
      </c>
      <c r="N526" s="24">
        <f ca="1">N377*'Tech Parameters'!$F16/1000</f>
        <v>0</v>
      </c>
      <c r="O526" s="24">
        <f ca="1">O377*'Tech Parameters'!$F16/1000</f>
        <v>0</v>
      </c>
      <c r="P526" s="24">
        <f ca="1">P377*'Tech Parameters'!$F16/1000</f>
        <v>0</v>
      </c>
      <c r="Q526" s="24">
        <f ca="1">Q377*'Tech Parameters'!$F16/1000</f>
        <v>0</v>
      </c>
      <c r="R526" s="24">
        <f ca="1">R377*'Tech Parameters'!$F16/1000</f>
        <v>0</v>
      </c>
      <c r="S526" s="24">
        <f ca="1">S377*'Tech Parameters'!$F16/1000</f>
        <v>0</v>
      </c>
      <c r="T526" s="24">
        <f ca="1">T377*'Tech Parameters'!$F16/1000</f>
        <v>0</v>
      </c>
      <c r="U526" s="24">
        <f ca="1">U377*'Tech Parameters'!$F16/1000</f>
        <v>0</v>
      </c>
      <c r="V526" s="24">
        <f ca="1">V377*'Tech Parameters'!$F16/1000</f>
        <v>0</v>
      </c>
      <c r="W526" s="24">
        <f ca="1">W377*'Tech Parameters'!$F16/1000</f>
        <v>0</v>
      </c>
      <c r="X526" s="24">
        <f ca="1">X377*'Tech Parameters'!$F16/1000</f>
        <v>0</v>
      </c>
      <c r="Y526" s="24">
        <f ca="1">Y377*'Tech Parameters'!$F16/1000</f>
        <v>0</v>
      </c>
      <c r="Z526" s="24">
        <f ca="1">Z377*'Tech Parameters'!$F16/1000</f>
        <v>0</v>
      </c>
      <c r="AA526" s="24">
        <f ca="1">AA377*'Tech Parameters'!$F16/1000</f>
        <v>0</v>
      </c>
      <c r="AB526" s="24">
        <f ca="1">AB377*'Tech Parameters'!$F16/1000</f>
        <v>0</v>
      </c>
      <c r="AC526" s="24">
        <f ca="1">AC377*'Tech Parameters'!$F16/1000</f>
        <v>0</v>
      </c>
      <c r="AD526" s="77">
        <f ca="1">AD377*'Tech Parameters'!$F16/1000</f>
        <v>0</v>
      </c>
      <c r="AE526" s="77">
        <f ca="1">AE377*'Tech Parameters'!$F16/1000</f>
        <v>0</v>
      </c>
      <c r="AF526" s="77">
        <f ca="1">AF377*'Tech Parameters'!$F16/1000</f>
        <v>0</v>
      </c>
      <c r="AG526" s="77">
        <f ca="1">AG377*'Tech Parameters'!$F16/1000</f>
        <v>0</v>
      </c>
      <c r="AH526" s="77">
        <f ca="1">AH377*'Tech Parameters'!$F16/1000</f>
        <v>0</v>
      </c>
      <c r="AI526" s="77">
        <f ca="1">AI377*'Tech Parameters'!$F16/1000</f>
        <v>0</v>
      </c>
      <c r="AJ526" s="77">
        <f ca="1">AJ377*'Tech Parameters'!$F16/1000</f>
        <v>0</v>
      </c>
      <c r="AK526" s="77">
        <f ca="1">AK377*'Tech Parameters'!$F16/1000</f>
        <v>0</v>
      </c>
      <c r="AL526" s="77">
        <f ca="1">AL377*'Tech Parameters'!$F16/1000</f>
        <v>0</v>
      </c>
      <c r="AM526" s="77">
        <f ca="1">AM377*'Tech Parameters'!$F16/1000</f>
        <v>0</v>
      </c>
      <c r="AN526" s="77">
        <f ca="1">AN377*'Tech Parameters'!$F16/1000</f>
        <v>0</v>
      </c>
      <c r="AO526" s="77">
        <f ca="1">AO377*'Tech Parameters'!$F16/1000</f>
        <v>0</v>
      </c>
      <c r="AP526" s="77">
        <f ca="1">AP377*'Tech Parameters'!$F16/1000</f>
        <v>0</v>
      </c>
      <c r="AQ526" s="77">
        <f ca="1">AQ377*'Tech Parameters'!$F16/1000</f>
        <v>0</v>
      </c>
      <c r="AR526" s="77">
        <f ca="1">AR377*'Tech Parameters'!$F16/1000</f>
        <v>0</v>
      </c>
      <c r="AS526" s="77">
        <f ca="1">AS377*'Tech Parameters'!$F16/1000</f>
        <v>0</v>
      </c>
      <c r="AT526" s="77">
        <f ca="1">AT377*'Tech Parameters'!$F16/1000</f>
        <v>0</v>
      </c>
      <c r="AU526" s="77">
        <f ca="1">AU377*'Tech Parameters'!$F16/1000</f>
        <v>0</v>
      </c>
      <c r="AV526" s="77">
        <f ca="1">AV377*'Tech Parameters'!$F16/1000</f>
        <v>0</v>
      </c>
      <c r="AW526" s="77">
        <f ca="1">AW377*'Tech Parameters'!$F16/1000</f>
        <v>0</v>
      </c>
    </row>
    <row r="527" spans="3:49">
      <c r="C527" t="str">
        <f t="shared" si="220"/>
        <v>solar thermal trough</v>
      </c>
      <c r="D527" s="24">
        <f>D378*'Tech Parameters'!$F17/1000</f>
        <v>0</v>
      </c>
      <c r="E527" s="24">
        <f>E378*'Tech Parameters'!$F17/1000</f>
        <v>0</v>
      </c>
      <c r="F527" s="24">
        <f>F378*'Tech Parameters'!$F17/1000</f>
        <v>0</v>
      </c>
      <c r="G527" s="24">
        <f>G378*'Tech Parameters'!$F17/1000</f>
        <v>0</v>
      </c>
      <c r="H527" s="24">
        <f>H378*'Tech Parameters'!$F17/1000</f>
        <v>0</v>
      </c>
      <c r="I527" s="24">
        <f ca="1">I378*'Tech Parameters'!$F17/1000</f>
        <v>0</v>
      </c>
      <c r="J527" s="24">
        <f ca="1">J378*'Tech Parameters'!$F17/1000</f>
        <v>0</v>
      </c>
      <c r="K527" s="24">
        <f ca="1">K378*'Tech Parameters'!$F17/1000</f>
        <v>0</v>
      </c>
      <c r="L527" s="24">
        <f ca="1">L378*'Tech Parameters'!$F17/1000</f>
        <v>0</v>
      </c>
      <c r="M527" s="24">
        <f ca="1">M378*'Tech Parameters'!$F17/1000</f>
        <v>0</v>
      </c>
      <c r="N527" s="24">
        <f ca="1">N378*'Tech Parameters'!$F17/1000</f>
        <v>0</v>
      </c>
      <c r="O527" s="24">
        <f ca="1">O378*'Tech Parameters'!$F17/1000</f>
        <v>0</v>
      </c>
      <c r="P527" s="24">
        <f ca="1">P378*'Tech Parameters'!$F17/1000</f>
        <v>0</v>
      </c>
      <c r="Q527" s="24">
        <f ca="1">Q378*'Tech Parameters'!$F17/1000</f>
        <v>0</v>
      </c>
      <c r="R527" s="24">
        <f ca="1">R378*'Tech Parameters'!$F17/1000</f>
        <v>0</v>
      </c>
      <c r="S527" s="24">
        <f ca="1">S378*'Tech Parameters'!$F17/1000</f>
        <v>0</v>
      </c>
      <c r="T527" s="24">
        <f ca="1">T378*'Tech Parameters'!$F17/1000</f>
        <v>0</v>
      </c>
      <c r="U527" s="24">
        <f ca="1">U378*'Tech Parameters'!$F17/1000</f>
        <v>0</v>
      </c>
      <c r="V527" s="24">
        <f ca="1">V378*'Tech Parameters'!$F17/1000</f>
        <v>0</v>
      </c>
      <c r="W527" s="24">
        <f ca="1">W378*'Tech Parameters'!$F17/1000</f>
        <v>0</v>
      </c>
      <c r="X527" s="24">
        <f ca="1">X378*'Tech Parameters'!$F17/1000</f>
        <v>0</v>
      </c>
      <c r="Y527" s="24">
        <f ca="1">Y378*'Tech Parameters'!$F17/1000</f>
        <v>0</v>
      </c>
      <c r="Z527" s="24">
        <f ca="1">Z378*'Tech Parameters'!$F17/1000</f>
        <v>0</v>
      </c>
      <c r="AA527" s="24">
        <f ca="1">AA378*'Tech Parameters'!$F17/1000</f>
        <v>0</v>
      </c>
      <c r="AB527" s="24">
        <f ca="1">AB378*'Tech Parameters'!$F17/1000</f>
        <v>0</v>
      </c>
      <c r="AC527" s="24">
        <f ca="1">AC378*'Tech Parameters'!$F17/1000</f>
        <v>0</v>
      </c>
      <c r="AD527" s="77">
        <f ca="1">AD378*'Tech Parameters'!$F17/1000</f>
        <v>0</v>
      </c>
      <c r="AE527" s="77">
        <f ca="1">AE378*'Tech Parameters'!$F17/1000</f>
        <v>0</v>
      </c>
      <c r="AF527" s="77">
        <f ca="1">AF378*'Tech Parameters'!$F17/1000</f>
        <v>0</v>
      </c>
      <c r="AG527" s="77">
        <f ca="1">AG378*'Tech Parameters'!$F17/1000</f>
        <v>0</v>
      </c>
      <c r="AH527" s="77">
        <f ca="1">AH378*'Tech Parameters'!$F17/1000</f>
        <v>0</v>
      </c>
      <c r="AI527" s="77">
        <f ca="1">AI378*'Tech Parameters'!$F17/1000</f>
        <v>0</v>
      </c>
      <c r="AJ527" s="77">
        <f ca="1">AJ378*'Tech Parameters'!$F17/1000</f>
        <v>0</v>
      </c>
      <c r="AK527" s="77">
        <f ca="1">AK378*'Tech Parameters'!$F17/1000</f>
        <v>0</v>
      </c>
      <c r="AL527" s="77">
        <f ca="1">AL378*'Tech Parameters'!$F17/1000</f>
        <v>0</v>
      </c>
      <c r="AM527" s="77">
        <f ca="1">AM378*'Tech Parameters'!$F17/1000</f>
        <v>0</v>
      </c>
      <c r="AN527" s="77">
        <f ca="1">AN378*'Tech Parameters'!$F17/1000</f>
        <v>0</v>
      </c>
      <c r="AO527" s="77">
        <f ca="1">AO378*'Tech Parameters'!$F17/1000</f>
        <v>0</v>
      </c>
      <c r="AP527" s="77">
        <f ca="1">AP378*'Tech Parameters'!$F17/1000</f>
        <v>0</v>
      </c>
      <c r="AQ527" s="77">
        <f ca="1">AQ378*'Tech Parameters'!$F17/1000</f>
        <v>0</v>
      </c>
      <c r="AR527" s="77">
        <f ca="1">AR378*'Tech Parameters'!$F17/1000</f>
        <v>0</v>
      </c>
      <c r="AS527" s="77">
        <f ca="1">AS378*'Tech Parameters'!$F17/1000</f>
        <v>0</v>
      </c>
      <c r="AT527" s="77">
        <f ca="1">AT378*'Tech Parameters'!$F17/1000</f>
        <v>0</v>
      </c>
      <c r="AU527" s="77">
        <f ca="1">AU378*'Tech Parameters'!$F17/1000</f>
        <v>0</v>
      </c>
      <c r="AV527" s="77">
        <f ca="1">AV378*'Tech Parameters'!$F17/1000</f>
        <v>0</v>
      </c>
      <c r="AW527" s="77">
        <f ca="1">AW378*'Tech Parameters'!$F17/1000</f>
        <v>0</v>
      </c>
    </row>
    <row r="528" spans="3:49">
      <c r="C528" t="str">
        <f t="shared" si="220"/>
        <v>solar PV</v>
      </c>
      <c r="D528" s="24">
        <f>D379*'Tech Parameters'!$F18/1000</f>
        <v>0</v>
      </c>
      <c r="E528" s="24">
        <f>E379*'Tech Parameters'!$F18/1000</f>
        <v>0</v>
      </c>
      <c r="F528" s="24">
        <f>F379*'Tech Parameters'!$F18/1000</f>
        <v>0</v>
      </c>
      <c r="G528" s="24">
        <f>G379*'Tech Parameters'!$F18/1000</f>
        <v>0</v>
      </c>
      <c r="H528" s="24">
        <f>H379*'Tech Parameters'!$F18/1000</f>
        <v>0</v>
      </c>
      <c r="I528" s="24">
        <f ca="1">I379*'Tech Parameters'!$F18/1000</f>
        <v>0</v>
      </c>
      <c r="J528" s="24">
        <f ca="1">J379*'Tech Parameters'!$F18/1000</f>
        <v>0</v>
      </c>
      <c r="K528" s="24">
        <f ca="1">K379*'Tech Parameters'!$F18/1000</f>
        <v>0</v>
      </c>
      <c r="L528" s="24">
        <f ca="1">L379*'Tech Parameters'!$F18/1000</f>
        <v>0</v>
      </c>
      <c r="M528" s="24">
        <f ca="1">M379*'Tech Parameters'!$F18/1000</f>
        <v>0</v>
      </c>
      <c r="N528" s="24">
        <f ca="1">N379*'Tech Parameters'!$F18/1000</f>
        <v>0</v>
      </c>
      <c r="O528" s="24">
        <f ca="1">O379*'Tech Parameters'!$F18/1000</f>
        <v>0</v>
      </c>
      <c r="P528" s="24">
        <f ca="1">P379*'Tech Parameters'!$F18/1000</f>
        <v>0</v>
      </c>
      <c r="Q528" s="24">
        <f ca="1">Q379*'Tech Parameters'!$F18/1000</f>
        <v>0</v>
      </c>
      <c r="R528" s="24">
        <f ca="1">R379*'Tech Parameters'!$F18/1000</f>
        <v>0</v>
      </c>
      <c r="S528" s="24">
        <f ca="1">S379*'Tech Parameters'!$F18/1000</f>
        <v>0</v>
      </c>
      <c r="T528" s="24">
        <f ca="1">T379*'Tech Parameters'!$F18/1000</f>
        <v>0</v>
      </c>
      <c r="U528" s="24">
        <f ca="1">U379*'Tech Parameters'!$F18/1000</f>
        <v>0</v>
      </c>
      <c r="V528" s="24">
        <f ca="1">V379*'Tech Parameters'!$F18/1000</f>
        <v>0</v>
      </c>
      <c r="W528" s="24">
        <f ca="1">W379*'Tech Parameters'!$F18/1000</f>
        <v>0</v>
      </c>
      <c r="X528" s="24">
        <f ca="1">X379*'Tech Parameters'!$F18/1000</f>
        <v>0</v>
      </c>
      <c r="Y528" s="24">
        <f ca="1">Y379*'Tech Parameters'!$F18/1000</f>
        <v>0</v>
      </c>
      <c r="Z528" s="24">
        <f ca="1">Z379*'Tech Parameters'!$F18/1000</f>
        <v>0</v>
      </c>
      <c r="AA528" s="24">
        <f ca="1">AA379*'Tech Parameters'!$F18/1000</f>
        <v>0</v>
      </c>
      <c r="AB528" s="24">
        <f ca="1">AB379*'Tech Parameters'!$F18/1000</f>
        <v>0</v>
      </c>
      <c r="AC528" s="24">
        <f ca="1">AC379*'Tech Parameters'!$F18/1000</f>
        <v>0</v>
      </c>
      <c r="AD528" s="77">
        <f ca="1">AD379*'Tech Parameters'!$F18/1000</f>
        <v>0</v>
      </c>
      <c r="AE528" s="77">
        <f ca="1">AE379*'Tech Parameters'!$F18/1000</f>
        <v>0</v>
      </c>
      <c r="AF528" s="77">
        <f ca="1">AF379*'Tech Parameters'!$F18/1000</f>
        <v>0</v>
      </c>
      <c r="AG528" s="77">
        <f ca="1">AG379*'Tech Parameters'!$F18/1000</f>
        <v>0</v>
      </c>
      <c r="AH528" s="77">
        <f ca="1">AH379*'Tech Parameters'!$F18/1000</f>
        <v>0</v>
      </c>
      <c r="AI528" s="77">
        <f ca="1">AI379*'Tech Parameters'!$F18/1000</f>
        <v>0</v>
      </c>
      <c r="AJ528" s="77">
        <f ca="1">AJ379*'Tech Parameters'!$F18/1000</f>
        <v>0</v>
      </c>
      <c r="AK528" s="77">
        <f ca="1">AK379*'Tech Parameters'!$F18/1000</f>
        <v>0</v>
      </c>
      <c r="AL528" s="77">
        <f ca="1">AL379*'Tech Parameters'!$F18/1000</f>
        <v>0</v>
      </c>
      <c r="AM528" s="77">
        <f ca="1">AM379*'Tech Parameters'!$F18/1000</f>
        <v>0</v>
      </c>
      <c r="AN528" s="77">
        <f ca="1">AN379*'Tech Parameters'!$F18/1000</f>
        <v>0</v>
      </c>
      <c r="AO528" s="77">
        <f ca="1">AO379*'Tech Parameters'!$F18/1000</f>
        <v>0</v>
      </c>
      <c r="AP528" s="77">
        <f ca="1">AP379*'Tech Parameters'!$F18/1000</f>
        <v>0</v>
      </c>
      <c r="AQ528" s="77">
        <f ca="1">AQ379*'Tech Parameters'!$F18/1000</f>
        <v>0</v>
      </c>
      <c r="AR528" s="77">
        <f ca="1">AR379*'Tech Parameters'!$F18/1000</f>
        <v>0</v>
      </c>
      <c r="AS528" s="77">
        <f ca="1">AS379*'Tech Parameters'!$F18/1000</f>
        <v>0</v>
      </c>
      <c r="AT528" s="77">
        <f ca="1">AT379*'Tech Parameters'!$F18/1000</f>
        <v>0</v>
      </c>
      <c r="AU528" s="77">
        <f ca="1">AU379*'Tech Parameters'!$F18/1000</f>
        <v>0</v>
      </c>
      <c r="AV528" s="77">
        <f ca="1">AV379*'Tech Parameters'!$F18/1000</f>
        <v>0</v>
      </c>
      <c r="AW528" s="77">
        <f ca="1">AW379*'Tech Parameters'!$F18/1000</f>
        <v>0</v>
      </c>
    </row>
    <row r="529" spans="3:49">
      <c r="C529" t="str">
        <f t="shared" si="220"/>
        <v>combined cycle gas</v>
      </c>
      <c r="D529" s="24">
        <f>D380*'Tech Parameters'!$F19/1000</f>
        <v>0</v>
      </c>
      <c r="E529" s="24">
        <f>E380*'Tech Parameters'!$F19/1000</f>
        <v>0</v>
      </c>
      <c r="F529" s="24">
        <f>F380*'Tech Parameters'!$F19/1000</f>
        <v>0</v>
      </c>
      <c r="G529" s="24">
        <f>G380*'Tech Parameters'!$F19/1000</f>
        <v>0</v>
      </c>
      <c r="H529" s="24">
        <f>H380*'Tech Parameters'!$F19/1000</f>
        <v>0</v>
      </c>
      <c r="I529" s="24">
        <f ca="1">I380*'Tech Parameters'!$F19/1000</f>
        <v>0</v>
      </c>
      <c r="J529" s="24">
        <f ca="1">J380*'Tech Parameters'!$F19/1000</f>
        <v>0</v>
      </c>
      <c r="K529" s="24">
        <f ca="1">K380*'Tech Parameters'!$F19/1000</f>
        <v>0</v>
      </c>
      <c r="L529" s="24">
        <f ca="1">L380*'Tech Parameters'!$F19/1000</f>
        <v>0</v>
      </c>
      <c r="M529" s="24">
        <f ca="1">M380*'Tech Parameters'!$F19/1000</f>
        <v>0</v>
      </c>
      <c r="N529" s="24">
        <f ca="1">N380*'Tech Parameters'!$F19/1000</f>
        <v>0</v>
      </c>
      <c r="O529" s="24">
        <f ca="1">O380*'Tech Parameters'!$F19/1000</f>
        <v>0</v>
      </c>
      <c r="P529" s="24">
        <f ca="1">P380*'Tech Parameters'!$F19/1000</f>
        <v>0</v>
      </c>
      <c r="Q529" s="24">
        <f ca="1">Q380*'Tech Parameters'!$F19/1000</f>
        <v>0</v>
      </c>
      <c r="R529" s="24">
        <f ca="1">R380*'Tech Parameters'!$F19/1000</f>
        <v>0</v>
      </c>
      <c r="S529" s="24">
        <f ca="1">S380*'Tech Parameters'!$F19/1000</f>
        <v>0</v>
      </c>
      <c r="T529" s="24">
        <f ca="1">T380*'Tech Parameters'!$F19/1000</f>
        <v>0</v>
      </c>
      <c r="U529" s="24">
        <f ca="1">U380*'Tech Parameters'!$F19/1000</f>
        <v>0</v>
      </c>
      <c r="V529" s="24">
        <f ca="1">V380*'Tech Parameters'!$F19/1000</f>
        <v>0</v>
      </c>
      <c r="W529" s="24">
        <f ca="1">W380*'Tech Parameters'!$F19/1000</f>
        <v>0</v>
      </c>
      <c r="X529" s="24">
        <f ca="1">X380*'Tech Parameters'!$F19/1000</f>
        <v>0</v>
      </c>
      <c r="Y529" s="24">
        <f ca="1">Y380*'Tech Parameters'!$F19/1000</f>
        <v>0</v>
      </c>
      <c r="Z529" s="24">
        <f ca="1">Z380*'Tech Parameters'!$F19/1000</f>
        <v>0</v>
      </c>
      <c r="AA529" s="24">
        <f ca="1">AA380*'Tech Parameters'!$F19/1000</f>
        <v>0</v>
      </c>
      <c r="AB529" s="24">
        <f ca="1">AB380*'Tech Parameters'!$F19/1000</f>
        <v>0</v>
      </c>
      <c r="AC529" s="24">
        <f ca="1">AC380*'Tech Parameters'!$F19/1000</f>
        <v>0</v>
      </c>
      <c r="AD529" s="77">
        <f ca="1">AD380*'Tech Parameters'!$F19/1000</f>
        <v>0</v>
      </c>
      <c r="AE529" s="77">
        <f ca="1">AE380*'Tech Parameters'!$F19/1000</f>
        <v>0</v>
      </c>
      <c r="AF529" s="77">
        <f ca="1">AF380*'Tech Parameters'!$F19/1000</f>
        <v>0</v>
      </c>
      <c r="AG529" s="77">
        <f ca="1">AG380*'Tech Parameters'!$F19/1000</f>
        <v>0</v>
      </c>
      <c r="AH529" s="77">
        <f ca="1">AH380*'Tech Parameters'!$F19/1000</f>
        <v>0</v>
      </c>
      <c r="AI529" s="77">
        <f ca="1">AI380*'Tech Parameters'!$F19/1000</f>
        <v>0</v>
      </c>
      <c r="AJ529" s="77">
        <f ca="1">AJ380*'Tech Parameters'!$F19/1000</f>
        <v>0</v>
      </c>
      <c r="AK529" s="77">
        <f ca="1">AK380*'Tech Parameters'!$F19/1000</f>
        <v>0</v>
      </c>
      <c r="AL529" s="77">
        <f ca="1">AL380*'Tech Parameters'!$F19/1000</f>
        <v>0</v>
      </c>
      <c r="AM529" s="77">
        <f ca="1">AM380*'Tech Parameters'!$F19/1000</f>
        <v>0</v>
      </c>
      <c r="AN529" s="77">
        <f ca="1">AN380*'Tech Parameters'!$F19/1000</f>
        <v>0</v>
      </c>
      <c r="AO529" s="77">
        <f ca="1">AO380*'Tech Parameters'!$F19/1000</f>
        <v>0</v>
      </c>
      <c r="AP529" s="77">
        <f ca="1">AP380*'Tech Parameters'!$F19/1000</f>
        <v>0</v>
      </c>
      <c r="AQ529" s="77">
        <f ca="1">AQ380*'Tech Parameters'!$F19/1000</f>
        <v>0</v>
      </c>
      <c r="AR529" s="77">
        <f ca="1">AR380*'Tech Parameters'!$F19/1000</f>
        <v>0</v>
      </c>
      <c r="AS529" s="77">
        <f ca="1">AS380*'Tech Parameters'!$F19/1000</f>
        <v>0</v>
      </c>
      <c r="AT529" s="77">
        <f ca="1">AT380*'Tech Parameters'!$F19/1000</f>
        <v>0</v>
      </c>
      <c r="AU529" s="77">
        <f ca="1">AU380*'Tech Parameters'!$F19/1000</f>
        <v>0</v>
      </c>
      <c r="AV529" s="77">
        <f ca="1">AV380*'Tech Parameters'!$F19/1000</f>
        <v>0</v>
      </c>
      <c r="AW529" s="77">
        <f ca="1">AW380*'Tech Parameters'!$F19/1000</f>
        <v>0</v>
      </c>
    </row>
    <row r="530" spans="3:49">
      <c r="C530" t="str">
        <f t="shared" si="220"/>
        <v>PBMR</v>
      </c>
      <c r="D530" s="24">
        <f>D381*'Tech Parameters'!$F20/1000</f>
        <v>0</v>
      </c>
      <c r="E530" s="24">
        <f>E381*'Tech Parameters'!$F20/1000</f>
        <v>0</v>
      </c>
      <c r="F530" s="24">
        <f>F381*'Tech Parameters'!$F20/1000</f>
        <v>0</v>
      </c>
      <c r="G530" s="24">
        <f>G381*'Tech Parameters'!$F20/1000</f>
        <v>0</v>
      </c>
      <c r="H530" s="24">
        <f>H381*'Tech Parameters'!$F20/1000</f>
        <v>0</v>
      </c>
      <c r="I530" s="24">
        <f ca="1">I381*'Tech Parameters'!$F20/1000</f>
        <v>0</v>
      </c>
      <c r="J530" s="24">
        <f ca="1">J381*'Tech Parameters'!$F20/1000</f>
        <v>0</v>
      </c>
      <c r="K530" s="24">
        <f ca="1">K381*'Tech Parameters'!$F20/1000</f>
        <v>0</v>
      </c>
      <c r="L530" s="24">
        <f ca="1">L381*'Tech Parameters'!$F20/1000</f>
        <v>0</v>
      </c>
      <c r="M530" s="24">
        <f ca="1">M381*'Tech Parameters'!$F20/1000</f>
        <v>0</v>
      </c>
      <c r="N530" s="24">
        <f ca="1">N381*'Tech Parameters'!$F20/1000</f>
        <v>0</v>
      </c>
      <c r="O530" s="24">
        <f ca="1">O381*'Tech Parameters'!$F20/1000</f>
        <v>0</v>
      </c>
      <c r="P530" s="24">
        <f ca="1">P381*'Tech Parameters'!$F20/1000</f>
        <v>0</v>
      </c>
      <c r="Q530" s="24">
        <f ca="1">Q381*'Tech Parameters'!$F20/1000</f>
        <v>0</v>
      </c>
      <c r="R530" s="24">
        <f ca="1">R381*'Tech Parameters'!$F20/1000</f>
        <v>0</v>
      </c>
      <c r="S530" s="24">
        <f ca="1">S381*'Tech Parameters'!$F20/1000</f>
        <v>0</v>
      </c>
      <c r="T530" s="24">
        <f ca="1">T381*'Tech Parameters'!$F20/1000</f>
        <v>0</v>
      </c>
      <c r="U530" s="24">
        <f ca="1">U381*'Tech Parameters'!$F20/1000</f>
        <v>0</v>
      </c>
      <c r="V530" s="24">
        <f ca="1">V381*'Tech Parameters'!$F20/1000</f>
        <v>0</v>
      </c>
      <c r="W530" s="24">
        <f ca="1">W381*'Tech Parameters'!$F20/1000</f>
        <v>0</v>
      </c>
      <c r="X530" s="24">
        <f ca="1">X381*'Tech Parameters'!$F20/1000</f>
        <v>0</v>
      </c>
      <c r="Y530" s="24">
        <f ca="1">Y381*'Tech Parameters'!$F20/1000</f>
        <v>0</v>
      </c>
      <c r="Z530" s="24">
        <f ca="1">Z381*'Tech Parameters'!$F20/1000</f>
        <v>0</v>
      </c>
      <c r="AA530" s="24">
        <f ca="1">AA381*'Tech Parameters'!$F20/1000</f>
        <v>0</v>
      </c>
      <c r="AB530" s="24">
        <f ca="1">AB381*'Tech Parameters'!$F20/1000</f>
        <v>0</v>
      </c>
      <c r="AC530" s="24">
        <f ca="1">AC381*'Tech Parameters'!$F20/1000</f>
        <v>0</v>
      </c>
      <c r="AD530" s="77">
        <f ca="1">AD381*'Tech Parameters'!$F20/1000</f>
        <v>0</v>
      </c>
      <c r="AE530" s="77">
        <f ca="1">AE381*'Tech Parameters'!$F20/1000</f>
        <v>0</v>
      </c>
      <c r="AF530" s="77">
        <f ca="1">AF381*'Tech Parameters'!$F20/1000</f>
        <v>0</v>
      </c>
      <c r="AG530" s="77">
        <f ca="1">AG381*'Tech Parameters'!$F20/1000</f>
        <v>0</v>
      </c>
      <c r="AH530" s="77">
        <f ca="1">AH381*'Tech Parameters'!$F20/1000</f>
        <v>0</v>
      </c>
      <c r="AI530" s="77">
        <f ca="1">AI381*'Tech Parameters'!$F20/1000</f>
        <v>0</v>
      </c>
      <c r="AJ530" s="77">
        <f ca="1">AJ381*'Tech Parameters'!$F20/1000</f>
        <v>0</v>
      </c>
      <c r="AK530" s="77">
        <f ca="1">AK381*'Tech Parameters'!$F20/1000</f>
        <v>0</v>
      </c>
      <c r="AL530" s="77">
        <f ca="1">AL381*'Tech Parameters'!$F20/1000</f>
        <v>0</v>
      </c>
      <c r="AM530" s="77">
        <f ca="1">AM381*'Tech Parameters'!$F20/1000</f>
        <v>0</v>
      </c>
      <c r="AN530" s="77">
        <f ca="1">AN381*'Tech Parameters'!$F20/1000</f>
        <v>0</v>
      </c>
      <c r="AO530" s="77">
        <f ca="1">AO381*'Tech Parameters'!$F20/1000</f>
        <v>0</v>
      </c>
      <c r="AP530" s="77">
        <f ca="1">AP381*'Tech Parameters'!$F20/1000</f>
        <v>0</v>
      </c>
      <c r="AQ530" s="77">
        <f ca="1">AQ381*'Tech Parameters'!$F20/1000</f>
        <v>0</v>
      </c>
      <c r="AR530" s="77">
        <f ca="1">AR381*'Tech Parameters'!$F20/1000</f>
        <v>0</v>
      </c>
      <c r="AS530" s="77">
        <f ca="1">AS381*'Tech Parameters'!$F20/1000</f>
        <v>0</v>
      </c>
      <c r="AT530" s="77">
        <f ca="1">AT381*'Tech Parameters'!$F20/1000</f>
        <v>0</v>
      </c>
      <c r="AU530" s="77">
        <f ca="1">AU381*'Tech Parameters'!$F20/1000</f>
        <v>0</v>
      </c>
      <c r="AV530" s="77">
        <f ca="1">AV381*'Tech Parameters'!$F20/1000</f>
        <v>0</v>
      </c>
      <c r="AW530" s="77">
        <f ca="1">AW381*'Tech Parameters'!$F20/1000</f>
        <v>0</v>
      </c>
    </row>
    <row r="531" spans="3:49">
      <c r="C531" t="str">
        <f t="shared" si="220"/>
        <v>IGCC</v>
      </c>
      <c r="D531" s="24">
        <f>D382*'Tech Parameters'!$F21/1000</f>
        <v>0</v>
      </c>
      <c r="E531" s="24">
        <f>E382*'Tech Parameters'!$F21/1000</f>
        <v>7.0889863129380246E-13</v>
      </c>
      <c r="F531" s="24">
        <f>F382*'Tech Parameters'!$F21/1000</f>
        <v>0</v>
      </c>
      <c r="G531" s="24">
        <f>G382*'Tech Parameters'!$F21/1000</f>
        <v>7.0889863129380246E-13</v>
      </c>
      <c r="H531" s="24">
        <f>H382*'Tech Parameters'!$F21/1000</f>
        <v>7.0889863129380246E-13</v>
      </c>
      <c r="I531" s="24">
        <f ca="1">I382*'Tech Parameters'!$F21/1000</f>
        <v>0</v>
      </c>
      <c r="J531" s="24">
        <f ca="1">J382*'Tech Parameters'!$F21/1000</f>
        <v>0</v>
      </c>
      <c r="K531" s="24">
        <f ca="1">K382*'Tech Parameters'!$F21/1000</f>
        <v>0</v>
      </c>
      <c r="L531" s="24">
        <f ca="1">L382*'Tech Parameters'!$F21/1000</f>
        <v>0</v>
      </c>
      <c r="M531" s="24">
        <f ca="1">M382*'Tech Parameters'!$F21/1000</f>
        <v>0</v>
      </c>
      <c r="N531" s="24">
        <f ca="1">N382*'Tech Parameters'!$F21/1000</f>
        <v>0</v>
      </c>
      <c r="O531" s="24">
        <f ca="1">O382*'Tech Parameters'!$F21/1000</f>
        <v>0</v>
      </c>
      <c r="P531" s="24">
        <f ca="1">P382*'Tech Parameters'!$F21/1000</f>
        <v>0</v>
      </c>
      <c r="Q531" s="24">
        <f ca="1">Q382*'Tech Parameters'!$F21/1000</f>
        <v>0</v>
      </c>
      <c r="R531" s="24">
        <f ca="1">R382*'Tech Parameters'!$F21/1000</f>
        <v>0</v>
      </c>
      <c r="S531" s="24">
        <f ca="1">S382*'Tech Parameters'!$F21/1000</f>
        <v>0</v>
      </c>
      <c r="T531" s="24">
        <f ca="1">T382*'Tech Parameters'!$F21/1000</f>
        <v>0</v>
      </c>
      <c r="U531" s="24">
        <f ca="1">U382*'Tech Parameters'!$F21/1000</f>
        <v>0</v>
      </c>
      <c r="V531" s="24">
        <f ca="1">V382*'Tech Parameters'!$F21/1000</f>
        <v>0</v>
      </c>
      <c r="W531" s="24">
        <f ca="1">W382*'Tech Parameters'!$F21/1000</f>
        <v>0</v>
      </c>
      <c r="X531" s="24">
        <f ca="1">X382*'Tech Parameters'!$F21/1000</f>
        <v>0</v>
      </c>
      <c r="Y531" s="24">
        <f ca="1">Y382*'Tech Parameters'!$F21/1000</f>
        <v>0</v>
      </c>
      <c r="Z531" s="24">
        <f ca="1">Z382*'Tech Parameters'!$F21/1000</f>
        <v>0</v>
      </c>
      <c r="AA531" s="24">
        <f ca="1">AA382*'Tech Parameters'!$F21/1000</f>
        <v>0</v>
      </c>
      <c r="AB531" s="24">
        <f ca="1">AB382*'Tech Parameters'!$F21/1000</f>
        <v>0</v>
      </c>
      <c r="AC531" s="24">
        <f ca="1">AC382*'Tech Parameters'!$F21/1000</f>
        <v>0</v>
      </c>
      <c r="AD531" s="77">
        <f ca="1">AD382*'Tech Parameters'!$F21/1000</f>
        <v>0</v>
      </c>
      <c r="AE531" s="77">
        <f ca="1">AE382*'Tech Parameters'!$F21/1000</f>
        <v>0</v>
      </c>
      <c r="AF531" s="77">
        <f ca="1">AF382*'Tech Parameters'!$F21/1000</f>
        <v>0</v>
      </c>
      <c r="AG531" s="77">
        <f ca="1">AG382*'Tech Parameters'!$F21/1000</f>
        <v>0</v>
      </c>
      <c r="AH531" s="77">
        <f ca="1">AH382*'Tech Parameters'!$F21/1000</f>
        <v>0</v>
      </c>
      <c r="AI531" s="77">
        <f ca="1">AI382*'Tech Parameters'!$F21/1000</f>
        <v>0</v>
      </c>
      <c r="AJ531" s="77">
        <f ca="1">AJ382*'Tech Parameters'!$F21/1000</f>
        <v>0</v>
      </c>
      <c r="AK531" s="77">
        <f ca="1">AK382*'Tech Parameters'!$F21/1000</f>
        <v>0</v>
      </c>
      <c r="AL531" s="77">
        <f ca="1">AL382*'Tech Parameters'!$F21/1000</f>
        <v>0</v>
      </c>
      <c r="AM531" s="77">
        <f ca="1">AM382*'Tech Parameters'!$F21/1000</f>
        <v>0</v>
      </c>
      <c r="AN531" s="77">
        <f ca="1">AN382*'Tech Parameters'!$F21/1000</f>
        <v>0</v>
      </c>
      <c r="AO531" s="77">
        <f ca="1">AO382*'Tech Parameters'!$F21/1000</f>
        <v>0</v>
      </c>
      <c r="AP531" s="77">
        <f ca="1">AP382*'Tech Parameters'!$F21/1000</f>
        <v>0</v>
      </c>
      <c r="AQ531" s="77">
        <f ca="1">AQ382*'Tech Parameters'!$F21/1000</f>
        <v>0</v>
      </c>
      <c r="AR531" s="77">
        <f ca="1">AR382*'Tech Parameters'!$F21/1000</f>
        <v>0</v>
      </c>
      <c r="AS531" s="77">
        <f ca="1">AS382*'Tech Parameters'!$F21/1000</f>
        <v>0</v>
      </c>
      <c r="AT531" s="77">
        <f ca="1">AT382*'Tech Parameters'!$F21/1000</f>
        <v>0</v>
      </c>
      <c r="AU531" s="77">
        <f ca="1">AU382*'Tech Parameters'!$F21/1000</f>
        <v>0</v>
      </c>
      <c r="AV531" s="77">
        <f ca="1">AV382*'Tech Parameters'!$F21/1000</f>
        <v>0</v>
      </c>
      <c r="AW531" s="77">
        <f ca="1">AW382*'Tech Parameters'!$F21/1000</f>
        <v>0</v>
      </c>
    </row>
    <row r="532" spans="3:49">
      <c r="C532" t="str">
        <f t="shared" si="220"/>
        <v>-</v>
      </c>
      <c r="D532" s="24">
        <f>D383*'Tech Parameters'!$F22/1000</f>
        <v>0</v>
      </c>
      <c r="E532" s="24">
        <f>E383*'Tech Parameters'!$F22/1000</f>
        <v>0</v>
      </c>
      <c r="F532" s="24">
        <f>F383*'Tech Parameters'!$F22/1000</f>
        <v>0</v>
      </c>
      <c r="G532" s="24">
        <f>G383*'Tech Parameters'!$F22/1000</f>
        <v>0</v>
      </c>
      <c r="H532" s="24">
        <f>H383*'Tech Parameters'!$F22/1000</f>
        <v>0</v>
      </c>
      <c r="I532" s="24">
        <f ca="1">I383*'Tech Parameters'!$F22/1000</f>
        <v>0</v>
      </c>
      <c r="J532" s="24">
        <f ca="1">J383*'Tech Parameters'!$F22/1000</f>
        <v>0</v>
      </c>
      <c r="K532" s="24">
        <f ca="1">K383*'Tech Parameters'!$F22/1000</f>
        <v>0</v>
      </c>
      <c r="L532" s="24">
        <f ca="1">L383*'Tech Parameters'!$F22/1000</f>
        <v>0</v>
      </c>
      <c r="M532" s="24">
        <f ca="1">M383*'Tech Parameters'!$F22/1000</f>
        <v>0</v>
      </c>
      <c r="N532" s="24">
        <f ca="1">N383*'Tech Parameters'!$F22/1000</f>
        <v>0</v>
      </c>
      <c r="O532" s="24">
        <f ca="1">O383*'Tech Parameters'!$F22/1000</f>
        <v>0</v>
      </c>
      <c r="P532" s="24">
        <f ca="1">P383*'Tech Parameters'!$F22/1000</f>
        <v>0</v>
      </c>
      <c r="Q532" s="24">
        <f ca="1">Q383*'Tech Parameters'!$F22/1000</f>
        <v>0</v>
      </c>
      <c r="R532" s="24">
        <f ca="1">R383*'Tech Parameters'!$F22/1000</f>
        <v>0</v>
      </c>
      <c r="S532" s="24">
        <f ca="1">S383*'Tech Parameters'!$F22/1000</f>
        <v>0</v>
      </c>
      <c r="T532" s="24">
        <f ca="1">T383*'Tech Parameters'!$F22/1000</f>
        <v>0</v>
      </c>
      <c r="U532" s="24">
        <f ca="1">U383*'Tech Parameters'!$F22/1000</f>
        <v>0</v>
      </c>
      <c r="V532" s="24">
        <f ca="1">V383*'Tech Parameters'!$F22/1000</f>
        <v>0</v>
      </c>
      <c r="W532" s="24">
        <f ca="1">W383*'Tech Parameters'!$F22/1000</f>
        <v>0</v>
      </c>
      <c r="X532" s="24">
        <f ca="1">X383*'Tech Parameters'!$F22/1000</f>
        <v>0</v>
      </c>
      <c r="Y532" s="24">
        <f ca="1">Y383*'Tech Parameters'!$F22/1000</f>
        <v>0</v>
      </c>
      <c r="Z532" s="24">
        <f ca="1">Z383*'Tech Parameters'!$F22/1000</f>
        <v>0</v>
      </c>
      <c r="AA532" s="24">
        <f ca="1">AA383*'Tech Parameters'!$F22/1000</f>
        <v>0</v>
      </c>
      <c r="AB532" s="24">
        <f ca="1">AB383*'Tech Parameters'!$F22/1000</f>
        <v>0</v>
      </c>
      <c r="AC532" s="24">
        <f ca="1">AC383*'Tech Parameters'!$F22/1000</f>
        <v>0</v>
      </c>
      <c r="AD532" s="77">
        <f ca="1">AD383*'Tech Parameters'!$F22/1000</f>
        <v>0</v>
      </c>
      <c r="AE532" s="77">
        <f ca="1">AE383*'Tech Parameters'!$F22/1000</f>
        <v>0</v>
      </c>
      <c r="AF532" s="77">
        <f ca="1">AF383*'Tech Parameters'!$F22/1000</f>
        <v>0</v>
      </c>
      <c r="AG532" s="77">
        <f ca="1">AG383*'Tech Parameters'!$F22/1000</f>
        <v>0</v>
      </c>
      <c r="AH532" s="77">
        <f ca="1">AH383*'Tech Parameters'!$F22/1000</f>
        <v>0</v>
      </c>
      <c r="AI532" s="77">
        <f ca="1">AI383*'Tech Parameters'!$F22/1000</f>
        <v>0</v>
      </c>
      <c r="AJ532" s="77">
        <f ca="1">AJ383*'Tech Parameters'!$F22/1000</f>
        <v>0</v>
      </c>
      <c r="AK532" s="77">
        <f ca="1">AK383*'Tech Parameters'!$F22/1000</f>
        <v>0</v>
      </c>
      <c r="AL532" s="77">
        <f ca="1">AL383*'Tech Parameters'!$F22/1000</f>
        <v>0</v>
      </c>
      <c r="AM532" s="77">
        <f ca="1">AM383*'Tech Parameters'!$F22/1000</f>
        <v>0</v>
      </c>
      <c r="AN532" s="77">
        <f ca="1">AN383*'Tech Parameters'!$F22/1000</f>
        <v>0</v>
      </c>
      <c r="AO532" s="77">
        <f ca="1">AO383*'Tech Parameters'!$F22/1000</f>
        <v>0</v>
      </c>
      <c r="AP532" s="77">
        <f ca="1">AP383*'Tech Parameters'!$F22/1000</f>
        <v>0</v>
      </c>
      <c r="AQ532" s="77">
        <f ca="1">AQ383*'Tech Parameters'!$F22/1000</f>
        <v>0</v>
      </c>
      <c r="AR532" s="77">
        <f ca="1">AR383*'Tech Parameters'!$F22/1000</f>
        <v>0</v>
      </c>
      <c r="AS532" s="77">
        <f ca="1">AS383*'Tech Parameters'!$F22/1000</f>
        <v>0</v>
      </c>
      <c r="AT532" s="77">
        <f ca="1">AT383*'Tech Parameters'!$F22/1000</f>
        <v>0</v>
      </c>
      <c r="AU532" s="77">
        <f ca="1">AU383*'Tech Parameters'!$F22/1000</f>
        <v>0</v>
      </c>
      <c r="AV532" s="77">
        <f ca="1">AV383*'Tech Parameters'!$F22/1000</f>
        <v>0</v>
      </c>
      <c r="AW532" s="77">
        <f ca="1">AW383*'Tech Parameters'!$F22/1000</f>
        <v>0</v>
      </c>
    </row>
    <row r="533" spans="3:49">
      <c r="C533" t="str">
        <f>C25</f>
        <v>-</v>
      </c>
      <c r="D533" s="24">
        <f>D384*'Tech Parameters'!$F23/1000</f>
        <v>0</v>
      </c>
      <c r="E533" s="24">
        <f>E384*'Tech Parameters'!$F23/1000</f>
        <v>0</v>
      </c>
      <c r="F533" s="24">
        <f>F384*'Tech Parameters'!$F23/1000</f>
        <v>0</v>
      </c>
      <c r="G533" s="24">
        <f>G384*'Tech Parameters'!$F23/1000</f>
        <v>0</v>
      </c>
      <c r="H533" s="24">
        <f>H384*'Tech Parameters'!$F23/1000</f>
        <v>0</v>
      </c>
      <c r="I533" s="24">
        <f ca="1">I384*'Tech Parameters'!$F23/1000</f>
        <v>0</v>
      </c>
      <c r="J533" s="24">
        <f ca="1">J384*'Tech Parameters'!$F23/1000</f>
        <v>0</v>
      </c>
      <c r="K533" s="24">
        <f ca="1">K384*'Tech Parameters'!$F23/1000</f>
        <v>0</v>
      </c>
      <c r="L533" s="24">
        <f ca="1">L384*'Tech Parameters'!$F23/1000</f>
        <v>0</v>
      </c>
      <c r="M533" s="24">
        <f ca="1">M384*'Tech Parameters'!$F23/1000</f>
        <v>0</v>
      </c>
      <c r="N533" s="24">
        <f ca="1">N384*'Tech Parameters'!$F23/1000</f>
        <v>0</v>
      </c>
      <c r="O533" s="24">
        <f ca="1">O384*'Tech Parameters'!$F23/1000</f>
        <v>0</v>
      </c>
      <c r="P533" s="24">
        <f ca="1">P384*'Tech Parameters'!$F23/1000</f>
        <v>0</v>
      </c>
      <c r="Q533" s="24">
        <f ca="1">Q384*'Tech Parameters'!$F23/1000</f>
        <v>0</v>
      </c>
      <c r="R533" s="24">
        <f ca="1">R384*'Tech Parameters'!$F23/1000</f>
        <v>0</v>
      </c>
      <c r="S533" s="24">
        <f ca="1">S384*'Tech Parameters'!$F23/1000</f>
        <v>0</v>
      </c>
      <c r="T533" s="24">
        <f ca="1">T384*'Tech Parameters'!$F23/1000</f>
        <v>0</v>
      </c>
      <c r="U533" s="24">
        <f ca="1">U384*'Tech Parameters'!$F23/1000</f>
        <v>0</v>
      </c>
      <c r="V533" s="24">
        <f ca="1">V384*'Tech Parameters'!$F23/1000</f>
        <v>0</v>
      </c>
      <c r="W533" s="24">
        <f ca="1">W384*'Tech Parameters'!$F23/1000</f>
        <v>0</v>
      </c>
      <c r="X533" s="24">
        <f ca="1">X384*'Tech Parameters'!$F23/1000</f>
        <v>0</v>
      </c>
      <c r="Y533" s="24">
        <f ca="1">Y384*'Tech Parameters'!$F23/1000</f>
        <v>0</v>
      </c>
      <c r="Z533" s="24">
        <f ca="1">Z384*'Tech Parameters'!$F23/1000</f>
        <v>0</v>
      </c>
      <c r="AA533" s="24">
        <f ca="1">AA384*'Tech Parameters'!$F23/1000</f>
        <v>0</v>
      </c>
      <c r="AB533" s="24">
        <f ca="1">AB384*'Tech Parameters'!$F23/1000</f>
        <v>0</v>
      </c>
      <c r="AC533" s="24">
        <f ca="1">AC384*'Tech Parameters'!$F23/1000</f>
        <v>0</v>
      </c>
      <c r="AD533" s="77">
        <f ca="1">AD384*'Tech Parameters'!$F23/1000</f>
        <v>0</v>
      </c>
      <c r="AE533" s="77">
        <f ca="1">AE384*'Tech Parameters'!$F23/1000</f>
        <v>0</v>
      </c>
      <c r="AF533" s="77">
        <f ca="1">AF384*'Tech Parameters'!$F23/1000</f>
        <v>0</v>
      </c>
      <c r="AG533" s="77">
        <f ca="1">AG384*'Tech Parameters'!$F23/1000</f>
        <v>0</v>
      </c>
      <c r="AH533" s="77">
        <f ca="1">AH384*'Tech Parameters'!$F23/1000</f>
        <v>0</v>
      </c>
      <c r="AI533" s="77">
        <f ca="1">AI384*'Tech Parameters'!$F23/1000</f>
        <v>0</v>
      </c>
      <c r="AJ533" s="77">
        <f ca="1">AJ384*'Tech Parameters'!$F23/1000</f>
        <v>0</v>
      </c>
      <c r="AK533" s="77">
        <f ca="1">AK384*'Tech Parameters'!$F23/1000</f>
        <v>0</v>
      </c>
      <c r="AL533" s="77">
        <f ca="1">AL384*'Tech Parameters'!$F23/1000</f>
        <v>0</v>
      </c>
      <c r="AM533" s="77">
        <f ca="1">AM384*'Tech Parameters'!$F23/1000</f>
        <v>0</v>
      </c>
      <c r="AN533" s="77">
        <f ca="1">AN384*'Tech Parameters'!$F23/1000</f>
        <v>0</v>
      </c>
      <c r="AO533" s="77">
        <f ca="1">AO384*'Tech Parameters'!$F23/1000</f>
        <v>0</v>
      </c>
      <c r="AP533" s="77">
        <f ca="1">AP384*'Tech Parameters'!$F23/1000</f>
        <v>0</v>
      </c>
      <c r="AQ533" s="77">
        <f ca="1">AQ384*'Tech Parameters'!$F23/1000</f>
        <v>0</v>
      </c>
      <c r="AR533" s="77">
        <f ca="1">AR384*'Tech Parameters'!$F23/1000</f>
        <v>0</v>
      </c>
      <c r="AS533" s="77">
        <f ca="1">AS384*'Tech Parameters'!$F23/1000</f>
        <v>0</v>
      </c>
      <c r="AT533" s="77">
        <f ca="1">AT384*'Tech Parameters'!$F23/1000</f>
        <v>0</v>
      </c>
      <c r="AU533" s="77">
        <f ca="1">AU384*'Tech Parameters'!$F23/1000</f>
        <v>0</v>
      </c>
      <c r="AV533" s="77">
        <f ca="1">AV384*'Tech Parameters'!$F23/1000</f>
        <v>0</v>
      </c>
      <c r="AW533" s="77">
        <f ca="1">AW384*'Tech Parameters'!$F23/1000</f>
        <v>0</v>
      </c>
    </row>
    <row r="534" spans="3:49">
      <c r="C534" t="str">
        <f>C26</f>
        <v>-</v>
      </c>
      <c r="D534" s="24">
        <f>D385*'Tech Parameters'!$F24/1000</f>
        <v>0</v>
      </c>
      <c r="E534" s="24">
        <f>E385*'Tech Parameters'!$F24/1000</f>
        <v>0</v>
      </c>
      <c r="F534" s="24">
        <f>F385*'Tech Parameters'!$F24/1000</f>
        <v>0</v>
      </c>
      <c r="G534" s="24">
        <f>G385*'Tech Parameters'!$F24/1000</f>
        <v>0</v>
      </c>
      <c r="H534" s="24">
        <f>H385*'Tech Parameters'!$F24/1000</f>
        <v>0</v>
      </c>
      <c r="I534" s="24">
        <f ca="1">I385*'Tech Parameters'!$F24/1000</f>
        <v>0</v>
      </c>
      <c r="J534" s="24">
        <f ca="1">J385*'Tech Parameters'!$F24/1000</f>
        <v>0</v>
      </c>
      <c r="K534" s="24">
        <f ca="1">K385*'Tech Parameters'!$F24/1000</f>
        <v>0</v>
      </c>
      <c r="L534" s="24">
        <f ca="1">L385*'Tech Parameters'!$F24/1000</f>
        <v>0</v>
      </c>
      <c r="M534" s="24">
        <f ca="1">M385*'Tech Parameters'!$F24/1000</f>
        <v>0</v>
      </c>
      <c r="N534" s="24">
        <f ca="1">N385*'Tech Parameters'!$F24/1000</f>
        <v>0</v>
      </c>
      <c r="O534" s="24">
        <f ca="1">O385*'Tech Parameters'!$F24/1000</f>
        <v>0</v>
      </c>
      <c r="P534" s="24">
        <f ca="1">P385*'Tech Parameters'!$F24/1000</f>
        <v>0</v>
      </c>
      <c r="Q534" s="24">
        <f ca="1">Q385*'Tech Parameters'!$F24/1000</f>
        <v>0</v>
      </c>
      <c r="R534" s="24">
        <f ca="1">R385*'Tech Parameters'!$F24/1000</f>
        <v>0</v>
      </c>
      <c r="S534" s="24">
        <f ca="1">S385*'Tech Parameters'!$F24/1000</f>
        <v>0</v>
      </c>
      <c r="T534" s="24">
        <f ca="1">T385*'Tech Parameters'!$F24/1000</f>
        <v>0</v>
      </c>
      <c r="U534" s="24">
        <f ca="1">U385*'Tech Parameters'!$F24/1000</f>
        <v>0</v>
      </c>
      <c r="V534" s="24">
        <f ca="1">V385*'Tech Parameters'!$F24/1000</f>
        <v>0</v>
      </c>
      <c r="W534" s="24">
        <f ca="1">W385*'Tech Parameters'!$F24/1000</f>
        <v>0</v>
      </c>
      <c r="X534" s="24">
        <f ca="1">X385*'Tech Parameters'!$F24/1000</f>
        <v>0</v>
      </c>
      <c r="Y534" s="24">
        <f ca="1">Y385*'Tech Parameters'!$F24/1000</f>
        <v>0</v>
      </c>
      <c r="Z534" s="24">
        <f ca="1">Z385*'Tech Parameters'!$F24/1000</f>
        <v>0</v>
      </c>
      <c r="AA534" s="24">
        <f ca="1">AA385*'Tech Parameters'!$F24/1000</f>
        <v>0</v>
      </c>
      <c r="AB534" s="24">
        <f ca="1">AB385*'Tech Parameters'!$F24/1000</f>
        <v>0</v>
      </c>
      <c r="AC534" s="24">
        <f ca="1">AC385*'Tech Parameters'!$F24/1000</f>
        <v>0</v>
      </c>
      <c r="AD534" s="77">
        <f ca="1">AD385*'Tech Parameters'!$F24/1000</f>
        <v>0</v>
      </c>
      <c r="AE534" s="77">
        <f ca="1">AE385*'Tech Parameters'!$F24/1000</f>
        <v>0</v>
      </c>
      <c r="AF534" s="77">
        <f ca="1">AF385*'Tech Parameters'!$F24/1000</f>
        <v>0</v>
      </c>
      <c r="AG534" s="77">
        <f ca="1">AG385*'Tech Parameters'!$F24/1000</f>
        <v>0</v>
      </c>
      <c r="AH534" s="77">
        <f ca="1">AH385*'Tech Parameters'!$F24/1000</f>
        <v>0</v>
      </c>
      <c r="AI534" s="77">
        <f ca="1">AI385*'Tech Parameters'!$F24/1000</f>
        <v>0</v>
      </c>
      <c r="AJ534" s="77">
        <f ca="1">AJ385*'Tech Parameters'!$F24/1000</f>
        <v>0</v>
      </c>
      <c r="AK534" s="77">
        <f ca="1">AK385*'Tech Parameters'!$F24/1000</f>
        <v>0</v>
      </c>
      <c r="AL534" s="77">
        <f ca="1">AL385*'Tech Parameters'!$F24/1000</f>
        <v>0</v>
      </c>
      <c r="AM534" s="77">
        <f ca="1">AM385*'Tech Parameters'!$F24/1000</f>
        <v>0</v>
      </c>
      <c r="AN534" s="77">
        <f ca="1">AN385*'Tech Parameters'!$F24/1000</f>
        <v>0</v>
      </c>
      <c r="AO534" s="77">
        <f ca="1">AO385*'Tech Parameters'!$F24/1000</f>
        <v>0</v>
      </c>
      <c r="AP534" s="77">
        <f ca="1">AP385*'Tech Parameters'!$F24/1000</f>
        <v>0</v>
      </c>
      <c r="AQ534" s="77">
        <f ca="1">AQ385*'Tech Parameters'!$F24/1000</f>
        <v>0</v>
      </c>
      <c r="AR534" s="77">
        <f ca="1">AR385*'Tech Parameters'!$F24/1000</f>
        <v>0</v>
      </c>
      <c r="AS534" s="77">
        <f ca="1">AS385*'Tech Parameters'!$F24/1000</f>
        <v>0</v>
      </c>
      <c r="AT534" s="77">
        <f ca="1">AT385*'Tech Parameters'!$F24/1000</f>
        <v>0</v>
      </c>
      <c r="AU534" s="77">
        <f ca="1">AU385*'Tech Parameters'!$F24/1000</f>
        <v>0</v>
      </c>
      <c r="AV534" s="77">
        <f ca="1">AV385*'Tech Parameters'!$F24/1000</f>
        <v>0</v>
      </c>
      <c r="AW534" s="77">
        <f ca="1">AW385*'Tech Parameters'!$F24/1000</f>
        <v>0</v>
      </c>
    </row>
    <row r="535" spans="3:49">
      <c r="C535" t="str">
        <f>C27</f>
        <v>Pumped storage</v>
      </c>
      <c r="D535" s="24">
        <f>D386*'Tech Parameters'!$F25/1000</f>
        <v>0</v>
      </c>
      <c r="E535" s="24">
        <f>E386*'Tech Parameters'!$F25/1000</f>
        <v>0</v>
      </c>
      <c r="F535" s="24">
        <f>F386*'Tech Parameters'!$F25/1000</f>
        <v>0</v>
      </c>
      <c r="G535" s="24">
        <f>G386*'Tech Parameters'!$F25/1000</f>
        <v>0</v>
      </c>
      <c r="H535" s="24">
        <f>H386*'Tech Parameters'!$F25/1000</f>
        <v>0</v>
      </c>
      <c r="I535" s="24">
        <f ca="1">I386*'Tech Parameters'!$F25/1000</f>
        <v>0</v>
      </c>
      <c r="J535" s="24">
        <f ca="1">J386*'Tech Parameters'!$F25/1000</f>
        <v>0</v>
      </c>
      <c r="K535" s="24">
        <f ca="1">K386*'Tech Parameters'!$F25/1000</f>
        <v>0</v>
      </c>
      <c r="L535" s="24">
        <f ca="1">L386*'Tech Parameters'!$F25/1000</f>
        <v>0</v>
      </c>
      <c r="M535" s="24">
        <f ca="1">M386*'Tech Parameters'!$F25/1000</f>
        <v>0</v>
      </c>
      <c r="N535" s="24">
        <f ca="1">N386*'Tech Parameters'!$F25/1000</f>
        <v>0</v>
      </c>
      <c r="O535" s="24">
        <f ca="1">O386*'Tech Parameters'!$F25/1000</f>
        <v>0</v>
      </c>
      <c r="P535" s="24">
        <f ca="1">P386*'Tech Parameters'!$F25/1000</f>
        <v>0</v>
      </c>
      <c r="Q535" s="24">
        <f ca="1">Q386*'Tech Parameters'!$F25/1000</f>
        <v>0</v>
      </c>
      <c r="R535" s="24">
        <f ca="1">R386*'Tech Parameters'!$F25/1000</f>
        <v>0</v>
      </c>
      <c r="S535" s="24">
        <f ca="1">S386*'Tech Parameters'!$F25/1000</f>
        <v>0</v>
      </c>
      <c r="T535" s="24">
        <f ca="1">T386*'Tech Parameters'!$F25/1000</f>
        <v>0</v>
      </c>
      <c r="U535" s="24">
        <f ca="1">U386*'Tech Parameters'!$F25/1000</f>
        <v>0</v>
      </c>
      <c r="V535" s="24">
        <f ca="1">V386*'Tech Parameters'!$F25/1000</f>
        <v>0</v>
      </c>
      <c r="W535" s="24">
        <f ca="1">W386*'Tech Parameters'!$F25/1000</f>
        <v>0</v>
      </c>
      <c r="X535" s="24">
        <f ca="1">X386*'Tech Parameters'!$F25/1000</f>
        <v>0</v>
      </c>
      <c r="Y535" s="24">
        <f ca="1">Y386*'Tech Parameters'!$F25/1000</f>
        <v>0</v>
      </c>
      <c r="Z535" s="24">
        <f ca="1">Z386*'Tech Parameters'!$F25/1000</f>
        <v>0</v>
      </c>
      <c r="AA535" s="24">
        <f ca="1">AA386*'Tech Parameters'!$F25/1000</f>
        <v>0</v>
      </c>
      <c r="AB535" s="24">
        <f ca="1">AB386*'Tech Parameters'!$F25/1000</f>
        <v>0</v>
      </c>
      <c r="AC535" s="24">
        <f ca="1">AC386*'Tech Parameters'!$F25/1000</f>
        <v>0</v>
      </c>
      <c r="AD535" s="77">
        <f ca="1">AD386*'Tech Parameters'!$F25/1000</f>
        <v>0</v>
      </c>
      <c r="AE535" s="77">
        <f ca="1">AE386*'Tech Parameters'!$F25/1000</f>
        <v>0</v>
      </c>
      <c r="AF535" s="77">
        <f ca="1">AF386*'Tech Parameters'!$F25/1000</f>
        <v>0</v>
      </c>
      <c r="AG535" s="77">
        <f ca="1">AG386*'Tech Parameters'!$F25/1000</f>
        <v>0</v>
      </c>
      <c r="AH535" s="77">
        <f ca="1">AH386*'Tech Parameters'!$F25/1000</f>
        <v>0</v>
      </c>
      <c r="AI535" s="77">
        <f ca="1">AI386*'Tech Parameters'!$F25/1000</f>
        <v>0</v>
      </c>
      <c r="AJ535" s="77">
        <f ca="1">AJ386*'Tech Parameters'!$F25/1000</f>
        <v>0</v>
      </c>
      <c r="AK535" s="77">
        <f ca="1">AK386*'Tech Parameters'!$F25/1000</f>
        <v>0</v>
      </c>
      <c r="AL535" s="77">
        <f ca="1">AL386*'Tech Parameters'!$F25/1000</f>
        <v>0</v>
      </c>
      <c r="AM535" s="77">
        <f ca="1">AM386*'Tech Parameters'!$F25/1000</f>
        <v>0</v>
      </c>
      <c r="AN535" s="77">
        <f ca="1">AN386*'Tech Parameters'!$F25/1000</f>
        <v>0</v>
      </c>
      <c r="AO535" s="77">
        <f ca="1">AO386*'Tech Parameters'!$F25/1000</f>
        <v>0</v>
      </c>
      <c r="AP535" s="77">
        <f ca="1">AP386*'Tech Parameters'!$F25/1000</f>
        <v>0</v>
      </c>
      <c r="AQ535" s="77">
        <f ca="1">AQ386*'Tech Parameters'!$F25/1000</f>
        <v>0</v>
      </c>
      <c r="AR535" s="77">
        <f ca="1">AR386*'Tech Parameters'!$F25/1000</f>
        <v>0</v>
      </c>
      <c r="AS535" s="77">
        <f ca="1">AS386*'Tech Parameters'!$F25/1000</f>
        <v>0</v>
      </c>
      <c r="AT535" s="77">
        <f ca="1">AT386*'Tech Parameters'!$F25/1000</f>
        <v>0</v>
      </c>
      <c r="AU535" s="77">
        <f ca="1">AU386*'Tech Parameters'!$F25/1000</f>
        <v>0</v>
      </c>
      <c r="AV535" s="77">
        <f ca="1">AV386*'Tech Parameters'!$F25/1000</f>
        <v>0</v>
      </c>
      <c r="AW535" s="77">
        <f ca="1">AW386*'Tech Parameters'!$F25/1000</f>
        <v>0</v>
      </c>
    </row>
    <row r="536" spans="3:49">
      <c r="AD536" s="76"/>
      <c r="AE536" s="76"/>
      <c r="AF536" s="76"/>
      <c r="AG536" s="76"/>
      <c r="AH536" s="76"/>
      <c r="AI536" s="76"/>
      <c r="AJ536" s="76"/>
      <c r="AK536" s="76"/>
      <c r="AL536" s="76"/>
      <c r="AM536" s="76"/>
      <c r="AN536" s="76"/>
      <c r="AO536" s="76"/>
      <c r="AP536" s="76"/>
      <c r="AQ536" s="76"/>
      <c r="AR536" s="76"/>
      <c r="AS536" s="76"/>
      <c r="AT536" s="76"/>
      <c r="AU536" s="76"/>
      <c r="AV536" s="76"/>
      <c r="AW536" s="76"/>
    </row>
    <row r="537" spans="3:49">
      <c r="AD537" s="76"/>
      <c r="AE537" s="76"/>
      <c r="AF537" s="76"/>
      <c r="AG537" s="76"/>
      <c r="AH537" s="76"/>
      <c r="AI537" s="76"/>
      <c r="AJ537" s="76"/>
      <c r="AK537" s="76"/>
      <c r="AL537" s="76"/>
      <c r="AM537" s="76"/>
      <c r="AN537" s="76"/>
      <c r="AO537" s="76"/>
      <c r="AP537" s="76"/>
      <c r="AQ537" s="76"/>
      <c r="AR537" s="76"/>
      <c r="AS537" s="76"/>
      <c r="AT537" s="76"/>
      <c r="AU537" s="76"/>
      <c r="AV537" s="76"/>
      <c r="AW537" s="76"/>
    </row>
    <row r="538" spans="3:49">
      <c r="C538" s="4" t="s">
        <v>133</v>
      </c>
      <c r="AD538" s="76"/>
      <c r="AE538" s="76"/>
      <c r="AF538" s="76"/>
      <c r="AG538" s="76"/>
      <c r="AH538" s="76"/>
      <c r="AI538" s="76"/>
      <c r="AJ538" s="76"/>
      <c r="AK538" s="76"/>
      <c r="AL538" s="76"/>
      <c r="AM538" s="76"/>
      <c r="AN538" s="76"/>
      <c r="AO538" s="76"/>
      <c r="AP538" s="76"/>
      <c r="AQ538" s="76"/>
      <c r="AR538" s="76"/>
      <c r="AS538" s="76"/>
      <c r="AT538" s="76"/>
      <c r="AU538" s="76"/>
      <c r="AV538" s="76"/>
      <c r="AW538" s="76"/>
    </row>
    <row r="539" spans="3:49">
      <c r="C539" t="str">
        <f>C8</f>
        <v>Existing coal Large</v>
      </c>
      <c r="D539">
        <f>D367*'Fuel Costs'!F102/1000</f>
        <v>8523.1750722774159</v>
      </c>
      <c r="E539">
        <f>E367*'Fuel Costs'!G102/1000</f>
        <v>10115.401768211486</v>
      </c>
      <c r="F539">
        <f>F367*'Fuel Costs'!H102/1000</f>
        <v>12093.306174004372</v>
      </c>
      <c r="G539">
        <f>G367*'Fuel Costs'!I102/1000</f>
        <v>12971.008064332525</v>
      </c>
      <c r="H539">
        <f>H367*'Fuel Costs'!J102/1000</f>
        <v>12971.008064332525</v>
      </c>
      <c r="I539">
        <f ca="1">I367*'Fuel Costs'!K102/1000</f>
        <v>13353.098874788571</v>
      </c>
      <c r="J539">
        <f ca="1">J367*'Fuel Costs'!L102/1000</f>
        <v>13663.757606245945</v>
      </c>
      <c r="K539">
        <f ca="1">K367*'Fuel Costs'!M102/1000</f>
        <v>14003.415577443595</v>
      </c>
      <c r="L539">
        <f ca="1">L367*'Fuel Costs'!N102/1000</f>
        <v>14327.24658154128</v>
      </c>
      <c r="M539">
        <f ca="1">M367*'Fuel Costs'!O102/1000</f>
        <v>14419.683183713039</v>
      </c>
      <c r="N539">
        <f ca="1">N367*'Fuel Costs'!P102/1000</f>
        <v>14499.792534733666</v>
      </c>
      <c r="O539">
        <f ca="1">O367*'Fuel Costs'!Q102/1000</f>
        <v>14579.901885754294</v>
      </c>
      <c r="P539">
        <f ca="1">P367*'Fuel Costs'!R102/1000</f>
        <v>14660.011236774921</v>
      </c>
      <c r="Q539">
        <f ca="1">Q367*'Fuel Costs'!S102/1000</f>
        <v>14740.120587795551</v>
      </c>
      <c r="R539">
        <f ca="1">R367*'Fuel Costs'!T102/1000</f>
        <v>14820.229938816179</v>
      </c>
      <c r="S539">
        <f ca="1">S367*'Fuel Costs'!U102/1000</f>
        <v>14900.339289836807</v>
      </c>
      <c r="T539">
        <f ca="1">T367*'Fuel Costs'!V102/1000</f>
        <v>14980.448640857434</v>
      </c>
      <c r="U539">
        <f ca="1">U367*'Fuel Costs'!W102/1000</f>
        <v>15060.557991878062</v>
      </c>
      <c r="V539">
        <f ca="1">V367*'Fuel Costs'!X102/1000</f>
        <v>15140.667342898691</v>
      </c>
      <c r="W539">
        <f ca="1">W367*'Fuel Costs'!Y102/1000</f>
        <v>14651.327531401908</v>
      </c>
      <c r="X539">
        <f ca="1">X367*'Fuel Costs'!Z102/1000</f>
        <v>14155.993518194417</v>
      </c>
      <c r="Y539">
        <f ca="1">Y367*'Fuel Costs'!AA102/1000</f>
        <v>13510.804462219186</v>
      </c>
      <c r="Z539">
        <f ca="1">Z367*'Fuel Costs'!AB102/1000</f>
        <v>12858.122654105562</v>
      </c>
      <c r="AA539">
        <f ca="1">AA367*'Fuel Costs'!AC102/1000</f>
        <v>12044.938208080182</v>
      </c>
      <c r="AB539">
        <f ca="1">AB367*'Fuel Costs'!AD102/1000</f>
        <v>10338.341658396081</v>
      </c>
      <c r="AC539">
        <f ca="1">AC367*'Fuel Costs'!AE102/1000</f>
        <v>9502.4817782676801</v>
      </c>
      <c r="AD539" s="76">
        <f ca="1">AD367*'Fuel Costs'!AF102/1000</f>
        <v>9502.4817782676801</v>
      </c>
      <c r="AE539" s="76">
        <f ca="1">AE367*'Fuel Costs'!AG102/1000</f>
        <v>9502.4817782676801</v>
      </c>
      <c r="AF539" s="76">
        <f ca="1">AF367*'Fuel Costs'!AH102/1000</f>
        <v>9502.4817782676801</v>
      </c>
      <c r="AG539" s="76">
        <f ca="1">AG367*'Fuel Costs'!AI102/1000</f>
        <v>7681.443298554108</v>
      </c>
      <c r="AH539" s="76">
        <f ca="1">AH367*'Fuel Costs'!AJ102/1000</f>
        <v>5860.4048188405359</v>
      </c>
      <c r="AI539" s="76">
        <f ca="1">AI367*'Fuel Costs'!AK102/1000</f>
        <v>4909.6928790919392</v>
      </c>
      <c r="AJ539" s="76">
        <f ca="1">AJ367*'Fuel Costs'!AL102/1000</f>
        <v>2969.6221727756965</v>
      </c>
      <c r="AK539" s="76">
        <f ca="1">AK367*'Fuel Costs'!AM102/1000</f>
        <v>1980.263406208051</v>
      </c>
      <c r="AL539" s="76">
        <f ca="1">AL367*'Fuel Costs'!AN102/1000</f>
        <v>1980.263406208051</v>
      </c>
      <c r="AM539" s="76">
        <f ca="1">AM367*'Fuel Costs'!AO102/1000</f>
        <v>1980.263406208051</v>
      </c>
      <c r="AN539" s="76">
        <f ca="1">AN367*'Fuel Costs'!AP102/1000</f>
        <v>1980.263406208051</v>
      </c>
      <c r="AO539" s="76">
        <f ca="1">AO367*'Fuel Costs'!AQ102/1000</f>
        <v>1980.263406208051</v>
      </c>
      <c r="AP539" s="76">
        <f ca="1">AP367*'Fuel Costs'!AR102/1000</f>
        <v>1980.263406208051</v>
      </c>
      <c r="AQ539" s="76">
        <f ca="1">AQ367*'Fuel Costs'!AS102/1000</f>
        <v>1980.263406208051</v>
      </c>
      <c r="AR539" s="76">
        <f ca="1">AR367*'Fuel Costs'!AT102/1000</f>
        <v>990.13170310402461</v>
      </c>
      <c r="AS539" s="76">
        <f ca="1">AS367*'Fuel Costs'!AU102/1000</f>
        <v>-1.8306814704302428E-12</v>
      </c>
      <c r="AT539" s="76">
        <f ca="1">AT367*'Fuel Costs'!AV102/1000</f>
        <v>-1.8306814704302428E-12</v>
      </c>
      <c r="AU539" s="76">
        <f ca="1">AU367*'Fuel Costs'!AW102/1000</f>
        <v>-1.8306814704302428E-12</v>
      </c>
      <c r="AV539" s="76">
        <f ca="1">AV367*'Fuel Costs'!AX102/1000</f>
        <v>-1.8306814704302428E-12</v>
      </c>
      <c r="AW539" s="76">
        <f ca="1">AW367*'Fuel Costs'!AY102/1000</f>
        <v>-1.8306814704302428E-12</v>
      </c>
    </row>
    <row r="540" spans="3:49">
      <c r="C540" t="str">
        <f t="shared" ref="C540:C558" si="221">C9</f>
        <v>Existing coal Small</v>
      </c>
      <c r="D540">
        <f>D368*'Fuel Costs'!F103/1000</f>
        <v>741.9842757023797</v>
      </c>
      <c r="E540">
        <f>E368*'Fuel Costs'!G103/1000</f>
        <v>851.8270806323203</v>
      </c>
      <c r="F540">
        <f>F368*'Fuel Costs'!H103/1000</f>
        <v>961.6698855622609</v>
      </c>
      <c r="G540">
        <f>G368*'Fuel Costs'!I103/1000</f>
        <v>1076.250263923074</v>
      </c>
      <c r="H540">
        <f>H368*'Fuel Costs'!J103/1000</f>
        <v>1076.250263923074</v>
      </c>
      <c r="I540">
        <f ca="1">I368*'Fuel Costs'!K103/1000</f>
        <v>1218.4361360426481</v>
      </c>
      <c r="J540">
        <f ca="1">J368*'Fuel Costs'!L103/1000</f>
        <v>1306.2825765174923</v>
      </c>
      <c r="K540">
        <f ca="1">K368*'Fuel Costs'!M103/1000</f>
        <v>1313.6627040684386</v>
      </c>
      <c r="L540">
        <f ca="1">L368*'Fuel Costs'!N103/1000</f>
        <v>1321.0428316193847</v>
      </c>
      <c r="M540">
        <f ca="1">M368*'Fuel Costs'!O103/1000</f>
        <v>1328.4229591703313</v>
      </c>
      <c r="N540">
        <f ca="1">N368*'Fuel Costs'!P103/1000</f>
        <v>1335.8030867212774</v>
      </c>
      <c r="O540">
        <f ca="1">O368*'Fuel Costs'!Q103/1000</f>
        <v>1335.4595617954913</v>
      </c>
      <c r="P540">
        <f ca="1">P368*'Fuel Costs'!R103/1000</f>
        <v>1335.0311615677624</v>
      </c>
      <c r="Q540">
        <f ca="1">Q368*'Fuel Costs'!S103/1000</f>
        <v>1331.9150434452004</v>
      </c>
      <c r="R540">
        <f ca="1">R368*'Fuel Costs'!T103/1000</f>
        <v>1328.6857582533819</v>
      </c>
      <c r="S540">
        <f ca="1">S368*'Fuel Costs'!U103/1000</f>
        <v>1135.9016320574995</v>
      </c>
      <c r="T540">
        <f ca="1">T368*'Fuel Costs'!V103/1000</f>
        <v>940.96733154574986</v>
      </c>
      <c r="U540">
        <f ca="1">U368*'Fuel Costs'!W103/1000</f>
        <v>945.99924240963105</v>
      </c>
      <c r="V540">
        <f ca="1">V368*'Fuel Costs'!X103/1000</f>
        <v>951.0311532735119</v>
      </c>
      <c r="W540">
        <f ca="1">W368*'Fuel Costs'!Y103/1000</f>
        <v>956.06306413739298</v>
      </c>
      <c r="X540">
        <f ca="1">X368*'Fuel Costs'!Z103/1000</f>
        <v>866.48170962025745</v>
      </c>
      <c r="Y540">
        <f ca="1">Y368*'Fuel Costs'!AA103/1000</f>
        <v>775.9096402823784</v>
      </c>
      <c r="Z540">
        <f ca="1">Z368*'Fuel Costs'!AB103/1000</f>
        <v>779.95083632551564</v>
      </c>
      <c r="AA540">
        <f ca="1">AA368*'Fuel Costs'!AC103/1000</f>
        <v>783.99203236865299</v>
      </c>
      <c r="AB540">
        <f ca="1">AB368*'Fuel Costs'!AD103/1000</f>
        <v>788.03322841179056</v>
      </c>
      <c r="AC540">
        <f ca="1">AC368*'Fuel Costs'!AE103/1000</f>
        <v>792.07442445492791</v>
      </c>
      <c r="AD540" s="76">
        <f ca="1">AD368*'Fuel Costs'!AF103/1000</f>
        <v>792.07442445492791</v>
      </c>
      <c r="AE540" s="76">
        <f ca="1">AE368*'Fuel Costs'!AG103/1000</f>
        <v>769.45006396923702</v>
      </c>
      <c r="AF540" s="76">
        <f ca="1">AF368*'Fuel Costs'!AH103/1000</f>
        <v>746.82570348354591</v>
      </c>
      <c r="AG540" s="76">
        <f ca="1">AG368*'Fuel Costs'!AI103/1000</f>
        <v>746.82570348354591</v>
      </c>
      <c r="AH540" s="76">
        <f ca="1">AH368*'Fuel Costs'!AJ103/1000</f>
        <v>746.82570348354591</v>
      </c>
      <c r="AI540" s="76">
        <f ca="1">AI368*'Fuel Costs'!AK103/1000</f>
        <v>746.82570348354591</v>
      </c>
      <c r="AJ540" s="76">
        <f ca="1">AJ368*'Fuel Costs'!AL103/1000</f>
        <v>746.82570348354591</v>
      </c>
      <c r="AK540" s="76">
        <f ca="1">AK368*'Fuel Costs'!AM103/1000</f>
        <v>662.53887030155977</v>
      </c>
      <c r="AL540" s="76">
        <f ca="1">AL368*'Fuel Costs'!AN103/1000</f>
        <v>578.25203711957352</v>
      </c>
      <c r="AM540" s="76">
        <f ca="1">AM368*'Fuel Costs'!AO103/1000</f>
        <v>578.25203711957352</v>
      </c>
      <c r="AN540" s="76">
        <f ca="1">AN368*'Fuel Costs'!AP103/1000</f>
        <v>578.25203711957352</v>
      </c>
      <c r="AO540" s="76">
        <f ca="1">AO368*'Fuel Costs'!AQ103/1000</f>
        <v>578.25203711957352</v>
      </c>
      <c r="AP540" s="76">
        <f ca="1">AP368*'Fuel Costs'!AR103/1000</f>
        <v>578.25203711957352</v>
      </c>
      <c r="AQ540" s="76">
        <f ca="1">AQ368*'Fuel Costs'!AS103/1000</f>
        <v>578.25203711957352</v>
      </c>
      <c r="AR540" s="76">
        <f ca="1">AR368*'Fuel Costs'!AT103/1000</f>
        <v>578.25203711957352</v>
      </c>
      <c r="AS540" s="76">
        <f ca="1">AS368*'Fuel Costs'!AU103/1000</f>
        <v>578.25203711957352</v>
      </c>
      <c r="AT540" s="76">
        <f ca="1">AT368*'Fuel Costs'!AV103/1000</f>
        <v>578.25203711957352</v>
      </c>
      <c r="AU540" s="76">
        <f ca="1">AU368*'Fuel Costs'!AW103/1000</f>
        <v>578.25203711957352</v>
      </c>
      <c r="AV540" s="76">
        <f ca="1">AV368*'Fuel Costs'!AX103/1000</f>
        <v>578.25203711957352</v>
      </c>
      <c r="AW540" s="76">
        <f ca="1">AW368*'Fuel Costs'!AY103/1000</f>
        <v>578.25203711957352</v>
      </c>
    </row>
    <row r="541" spans="3:49">
      <c r="C541" t="str">
        <f t="shared" si="221"/>
        <v>OCGT liquid fuels</v>
      </c>
      <c r="D541">
        <f>D369*'Fuel Costs'!F104/1000</f>
        <v>941.57897531544415</v>
      </c>
      <c r="E541">
        <f>E369*'Fuel Costs'!G104/1000</f>
        <v>1071.5791999469895</v>
      </c>
      <c r="F541">
        <f>F369*'Fuel Costs'!H104/1000</f>
        <v>1071.2710763732807</v>
      </c>
      <c r="G541">
        <f>G369*'Fuel Costs'!I104/1000</f>
        <v>1509.2687650843718</v>
      </c>
      <c r="H541">
        <f>H369*'Fuel Costs'!J104/1000</f>
        <v>1029.7186585286734</v>
      </c>
      <c r="I541">
        <f ca="1">I369*'Fuel Costs'!K104/1000</f>
        <v>1082.6136785408951</v>
      </c>
      <c r="J541">
        <f ca="1">J369*'Fuel Costs'!L104/1000</f>
        <v>1646.487612902019</v>
      </c>
      <c r="K541">
        <f ca="1">K369*'Fuel Costs'!M104/1000</f>
        <v>1723.1853919197401</v>
      </c>
      <c r="L541">
        <f ca="1">L369*'Fuel Costs'!N104/1000</f>
        <v>1799.8831709374622</v>
      </c>
      <c r="M541">
        <f ca="1">M369*'Fuel Costs'!O104/1000</f>
        <v>1876.5809499551833</v>
      </c>
      <c r="N541">
        <f ca="1">N369*'Fuel Costs'!P104/1000</f>
        <v>1953.2787289729049</v>
      </c>
      <c r="O541">
        <f ca="1">O369*'Fuel Costs'!Q104/1000</f>
        <v>2029.9765079906256</v>
      </c>
      <c r="P541">
        <f ca="1">P369*'Fuel Costs'!R104/1000</f>
        <v>2106.6742870083472</v>
      </c>
      <c r="Q541">
        <f ca="1">Q369*'Fuel Costs'!S104/1000</f>
        <v>2183.3720660260683</v>
      </c>
      <c r="R541">
        <f ca="1">R369*'Fuel Costs'!T104/1000</f>
        <v>2260.0698450437899</v>
      </c>
      <c r="S541">
        <f ca="1">S369*'Fuel Costs'!U104/1000</f>
        <v>2336.7676240615115</v>
      </c>
      <c r="T541">
        <f ca="1">T369*'Fuel Costs'!V104/1000</f>
        <v>2413.4654030792321</v>
      </c>
      <c r="U541">
        <f ca="1">U369*'Fuel Costs'!W104/1000</f>
        <v>2490.1631820969533</v>
      </c>
      <c r="V541">
        <f ca="1">V369*'Fuel Costs'!X104/1000</f>
        <v>3097.9356427246084</v>
      </c>
      <c r="W541">
        <f ca="1">W369*'Fuel Costs'!Y104/1000</f>
        <v>3190.5019277459969</v>
      </c>
      <c r="X541">
        <f ca="1">X369*'Fuel Costs'!Z104/1000</f>
        <v>3283.068212767384</v>
      </c>
      <c r="Y541">
        <f ca="1">Y369*'Fuel Costs'!AA104/1000</f>
        <v>3954.3146974097044</v>
      </c>
      <c r="Z541">
        <f ca="1">Z369*'Fuel Costs'!AB104/1000</f>
        <v>4062.749488434758</v>
      </c>
      <c r="AA541">
        <f ca="1">AA369*'Fuel Costs'!AC104/1000</f>
        <v>4171.1842794598115</v>
      </c>
      <c r="AB541">
        <f ca="1">AB369*'Fuel Costs'!AD104/1000</f>
        <v>4905.904788116798</v>
      </c>
      <c r="AC541">
        <f ca="1">AC369*'Fuel Costs'!AE104/1000</f>
        <v>4877.6964570320642</v>
      </c>
      <c r="AD541" s="76">
        <f ca="1">AD369*'Fuel Costs'!AF104/1000</f>
        <v>4877.6964570320642</v>
      </c>
      <c r="AE541" s="76">
        <f ca="1">AE369*'Fuel Costs'!AG104/1000</f>
        <v>4877.6964570320642</v>
      </c>
      <c r="AF541" s="76">
        <f ca="1">AF369*'Fuel Costs'!AH104/1000</f>
        <v>4877.6964570320642</v>
      </c>
      <c r="AG541" s="76">
        <f ca="1">AG369*'Fuel Costs'!AI104/1000</f>
        <v>4877.6964570320642</v>
      </c>
      <c r="AH541" s="76">
        <f ca="1">AH369*'Fuel Costs'!AJ104/1000</f>
        <v>4877.6964570320642</v>
      </c>
      <c r="AI541" s="76">
        <f ca="1">AI369*'Fuel Costs'!AK104/1000</f>
        <v>4877.6964570320642</v>
      </c>
      <c r="AJ541" s="76">
        <f ca="1">AJ369*'Fuel Costs'!AL104/1000</f>
        <v>4877.6964570320642</v>
      </c>
      <c r="AK541" s="76">
        <f ca="1">AK369*'Fuel Costs'!AM104/1000</f>
        <v>4877.6964570320642</v>
      </c>
      <c r="AL541" s="76">
        <f ca="1">AL369*'Fuel Costs'!AN104/1000</f>
        <v>4877.6964570320642</v>
      </c>
      <c r="AM541" s="76">
        <f ca="1">AM369*'Fuel Costs'!AO104/1000</f>
        <v>4877.6964570320642</v>
      </c>
      <c r="AN541" s="76">
        <f ca="1">AN369*'Fuel Costs'!AP104/1000</f>
        <v>4877.6964570320642</v>
      </c>
      <c r="AO541" s="76">
        <f ca="1">AO369*'Fuel Costs'!AQ104/1000</f>
        <v>4877.6964570320642</v>
      </c>
      <c r="AP541" s="76">
        <f ca="1">AP369*'Fuel Costs'!AR104/1000</f>
        <v>4877.6964570320642</v>
      </c>
      <c r="AQ541" s="76">
        <f ca="1">AQ369*'Fuel Costs'!AS104/1000</f>
        <v>4877.6964570320642</v>
      </c>
      <c r="AR541" s="76">
        <f ca="1">AR369*'Fuel Costs'!AT104/1000</f>
        <v>4877.6964570320642</v>
      </c>
      <c r="AS541" s="76">
        <f ca="1">AS369*'Fuel Costs'!AU104/1000</f>
        <v>4877.6964570320642</v>
      </c>
      <c r="AT541" s="76">
        <f ca="1">AT369*'Fuel Costs'!AV104/1000</f>
        <v>4877.6964570320642</v>
      </c>
      <c r="AU541" s="76">
        <f ca="1">AU369*'Fuel Costs'!AW104/1000</f>
        <v>4877.6964570320642</v>
      </c>
      <c r="AV541" s="76">
        <f ca="1">AV369*'Fuel Costs'!AX104/1000</f>
        <v>4877.6964570320642</v>
      </c>
      <c r="AW541" s="76">
        <f ca="1">AW369*'Fuel Costs'!AY104/1000</f>
        <v>4877.6964570320642</v>
      </c>
    </row>
    <row r="542" spans="3:49">
      <c r="C542" t="str">
        <f t="shared" si="221"/>
        <v>PWR nuclear</v>
      </c>
      <c r="D542">
        <f>D370*'Fuel Costs'!F105/1000</f>
        <v>435.80466406263491</v>
      </c>
      <c r="E542">
        <f>E370*'Fuel Costs'!G105/1000</f>
        <v>508.43877473974067</v>
      </c>
      <c r="F542">
        <f>F370*'Fuel Costs'!H105/1000</f>
        <v>581.07288541684647</v>
      </c>
      <c r="G542">
        <f>G370*'Fuel Costs'!I105/1000</f>
        <v>653.70699609395228</v>
      </c>
      <c r="H542">
        <f>H370*'Fuel Costs'!J105/1000</f>
        <v>763.28704004687131</v>
      </c>
      <c r="I542">
        <f ca="1">I370*'Fuel Costs'!K105/1000</f>
        <v>767.10347524710562</v>
      </c>
      <c r="J542">
        <f ca="1">J370*'Fuel Costs'!L105/1000</f>
        <v>770.93899262334105</v>
      </c>
      <c r="K542">
        <f ca="1">K370*'Fuel Costs'!M105/1000</f>
        <v>774.79368758645774</v>
      </c>
      <c r="L542">
        <f ca="1">L370*'Fuel Costs'!N105/1000</f>
        <v>778.66765602438988</v>
      </c>
      <c r="M542">
        <f ca="1">M370*'Fuel Costs'!O105/1000</f>
        <v>782.56099430451184</v>
      </c>
      <c r="N542">
        <f ca="1">N370*'Fuel Costs'!P105/1000</f>
        <v>786.47379927603413</v>
      </c>
      <c r="O542">
        <f ca="1">O370*'Fuel Costs'!Q105/1000</f>
        <v>790.40616827241433</v>
      </c>
      <c r="P542">
        <f ca="1">P370*'Fuel Costs'!R105/1000</f>
        <v>794.35819911377632</v>
      </c>
      <c r="Q542">
        <f ca="1">Q370*'Fuel Costs'!S105/1000</f>
        <v>798.32999010934509</v>
      </c>
      <c r="R542">
        <f ca="1">R370*'Fuel Costs'!T105/1000</f>
        <v>802.32164005989171</v>
      </c>
      <c r="S542">
        <f ca="1">S370*'Fuel Costs'!U105/1000</f>
        <v>806.33324826019111</v>
      </c>
      <c r="T542">
        <f ca="1">T370*'Fuel Costs'!V105/1000</f>
        <v>810.36491450149208</v>
      </c>
      <c r="U542">
        <f ca="1">U370*'Fuel Costs'!W105/1000</f>
        <v>814.41673907399934</v>
      </c>
      <c r="V542">
        <f ca="1">V370*'Fuel Costs'!X105/1000</f>
        <v>818.48882276936911</v>
      </c>
      <c r="W542">
        <f ca="1">W370*'Fuel Costs'!Y105/1000</f>
        <v>822.58126688321602</v>
      </c>
      <c r="X542">
        <f ca="1">X370*'Fuel Costs'!Z105/1000</f>
        <v>826.69417321763194</v>
      </c>
      <c r="Y542">
        <f ca="1">Y370*'Fuel Costs'!AA105/1000</f>
        <v>830.82764408371997</v>
      </c>
      <c r="Z542">
        <f ca="1">Z370*'Fuel Costs'!AB105/1000</f>
        <v>834.98178230413839</v>
      </c>
      <c r="AA542">
        <f ca="1">AA370*'Fuel Costs'!AC105/1000</f>
        <v>839.15669121565907</v>
      </c>
      <c r="AB542">
        <f ca="1">AB370*'Fuel Costs'!AD105/1000</f>
        <v>843.35247467173724</v>
      </c>
      <c r="AC542">
        <f ca="1">AC370*'Fuel Costs'!AE105/1000</f>
        <v>847.56923704509597</v>
      </c>
      <c r="AD542" s="76">
        <f ca="1">AD370*'Fuel Costs'!AF105/1000</f>
        <v>847.56923704509597</v>
      </c>
      <c r="AE542" s="76">
        <f ca="1">AE370*'Fuel Costs'!AG105/1000</f>
        <v>847.56923704509597</v>
      </c>
      <c r="AF542" s="76">
        <f ca="1">AF370*'Fuel Costs'!AH105/1000</f>
        <v>847.56923704509597</v>
      </c>
      <c r="AG542" s="76">
        <f ca="1">AG370*'Fuel Costs'!AI105/1000</f>
        <v>847.56923704509597</v>
      </c>
      <c r="AH542" s="76">
        <f ca="1">AH370*'Fuel Costs'!AJ105/1000</f>
        <v>847.56923704509597</v>
      </c>
      <c r="AI542" s="76">
        <f ca="1">AI370*'Fuel Costs'!AK105/1000</f>
        <v>847.56923704509597</v>
      </c>
      <c r="AJ542" s="76">
        <f ca="1">AJ370*'Fuel Costs'!AL105/1000</f>
        <v>847.56923704509597</v>
      </c>
      <c r="AK542" s="76">
        <f ca="1">AK370*'Fuel Costs'!AM105/1000</f>
        <v>847.56923704509597</v>
      </c>
      <c r="AL542" s="76">
        <f ca="1">AL370*'Fuel Costs'!AN105/1000</f>
        <v>847.56923704509597</v>
      </c>
      <c r="AM542" s="76">
        <f ca="1">AM370*'Fuel Costs'!AO105/1000</f>
        <v>847.56923704509597</v>
      </c>
      <c r="AN542" s="76">
        <f ca="1">AN370*'Fuel Costs'!AP105/1000</f>
        <v>847.56923704509597</v>
      </c>
      <c r="AO542" s="76">
        <f ca="1">AO370*'Fuel Costs'!AQ105/1000</f>
        <v>847.56923704509597</v>
      </c>
      <c r="AP542" s="76">
        <f ca="1">AP370*'Fuel Costs'!AR105/1000</f>
        <v>847.56923704509597</v>
      </c>
      <c r="AQ542" s="76">
        <f ca="1">AQ370*'Fuel Costs'!AS105/1000</f>
        <v>847.56923704509597</v>
      </c>
      <c r="AR542" s="76">
        <f ca="1">AR370*'Fuel Costs'!AT105/1000</f>
        <v>847.56923704509597</v>
      </c>
      <c r="AS542" s="76">
        <f ca="1">AS370*'Fuel Costs'!AU105/1000</f>
        <v>847.56923704509597</v>
      </c>
      <c r="AT542" s="76">
        <f ca="1">AT370*'Fuel Costs'!AV105/1000</f>
        <v>847.56923704509597</v>
      </c>
      <c r="AU542" s="76">
        <f ca="1">AU370*'Fuel Costs'!AW105/1000</f>
        <v>847.56923704509597</v>
      </c>
      <c r="AV542" s="76">
        <f ca="1">AV370*'Fuel Costs'!AX105/1000</f>
        <v>847.56923704509597</v>
      </c>
      <c r="AW542" s="76">
        <f ca="1">AW370*'Fuel Costs'!AY105/1000</f>
        <v>847.56923704509597</v>
      </c>
    </row>
    <row r="543" spans="3:49">
      <c r="C543" t="str">
        <f t="shared" si="221"/>
        <v>Hydro</v>
      </c>
      <c r="D543">
        <f>D371*'Fuel Costs'!F106/1000</f>
        <v>0</v>
      </c>
      <c r="E543">
        <f>E371*'Fuel Costs'!G106/1000</f>
        <v>0</v>
      </c>
      <c r="F543">
        <f>F371*'Fuel Costs'!H106/1000</f>
        <v>0</v>
      </c>
      <c r="G543">
        <f>G371*'Fuel Costs'!I106/1000</f>
        <v>0</v>
      </c>
      <c r="H543">
        <f>H371*'Fuel Costs'!J106/1000</f>
        <v>0</v>
      </c>
      <c r="I543">
        <f ca="1">I371*'Fuel Costs'!K106/1000</f>
        <v>0</v>
      </c>
      <c r="J543">
        <f ca="1">J371*'Fuel Costs'!L106/1000</f>
        <v>0</v>
      </c>
      <c r="K543">
        <f ca="1">K371*'Fuel Costs'!M106/1000</f>
        <v>0</v>
      </c>
      <c r="L543">
        <f ca="1">L371*'Fuel Costs'!N106/1000</f>
        <v>0</v>
      </c>
      <c r="M543">
        <f ca="1">M371*'Fuel Costs'!O106/1000</f>
        <v>0</v>
      </c>
      <c r="N543">
        <f ca="1">N371*'Fuel Costs'!P106/1000</f>
        <v>0</v>
      </c>
      <c r="O543">
        <f ca="1">O371*'Fuel Costs'!Q106/1000</f>
        <v>0</v>
      </c>
      <c r="P543">
        <f ca="1">P371*'Fuel Costs'!R106/1000</f>
        <v>0</v>
      </c>
      <c r="Q543">
        <f ca="1">Q371*'Fuel Costs'!S106/1000</f>
        <v>0</v>
      </c>
      <c r="R543">
        <f ca="1">R371*'Fuel Costs'!T106/1000</f>
        <v>0</v>
      </c>
      <c r="S543">
        <f ca="1">S371*'Fuel Costs'!U106/1000</f>
        <v>0</v>
      </c>
      <c r="T543">
        <f ca="1">T371*'Fuel Costs'!V106/1000</f>
        <v>0</v>
      </c>
      <c r="U543">
        <f ca="1">U371*'Fuel Costs'!W106/1000</f>
        <v>0</v>
      </c>
      <c r="V543">
        <f ca="1">V371*'Fuel Costs'!X106/1000</f>
        <v>0</v>
      </c>
      <c r="W543">
        <f ca="1">W371*'Fuel Costs'!Y106/1000</f>
        <v>0</v>
      </c>
      <c r="X543">
        <f ca="1">X371*'Fuel Costs'!Z106/1000</f>
        <v>0</v>
      </c>
      <c r="Y543">
        <f ca="1">Y371*'Fuel Costs'!AA106/1000</f>
        <v>0</v>
      </c>
      <c r="Z543">
        <f ca="1">Z371*'Fuel Costs'!AB106/1000</f>
        <v>0</v>
      </c>
      <c r="AA543">
        <f ca="1">AA371*'Fuel Costs'!AC106/1000</f>
        <v>0</v>
      </c>
      <c r="AB543">
        <f ca="1">AB371*'Fuel Costs'!AD106/1000</f>
        <v>0</v>
      </c>
      <c r="AC543">
        <f ca="1">AC371*'Fuel Costs'!AE106/1000</f>
        <v>0</v>
      </c>
      <c r="AD543" s="76">
        <f ca="1">AD371*'Fuel Costs'!AF106/1000</f>
        <v>0</v>
      </c>
      <c r="AE543" s="76">
        <f ca="1">AE371*'Fuel Costs'!AG106/1000</f>
        <v>0</v>
      </c>
      <c r="AF543" s="76">
        <f ca="1">AF371*'Fuel Costs'!AH106/1000</f>
        <v>0</v>
      </c>
      <c r="AG543" s="76">
        <f ca="1">AG371*'Fuel Costs'!AI106/1000</f>
        <v>0</v>
      </c>
      <c r="AH543" s="76">
        <f ca="1">AH371*'Fuel Costs'!AJ106/1000</f>
        <v>0</v>
      </c>
      <c r="AI543" s="76">
        <f ca="1">AI371*'Fuel Costs'!AK106/1000</f>
        <v>0</v>
      </c>
      <c r="AJ543" s="76">
        <f ca="1">AJ371*'Fuel Costs'!AL106/1000</f>
        <v>0</v>
      </c>
      <c r="AK543" s="76">
        <f ca="1">AK371*'Fuel Costs'!AM106/1000</f>
        <v>0</v>
      </c>
      <c r="AL543" s="76">
        <f ca="1">AL371*'Fuel Costs'!AN106/1000</f>
        <v>0</v>
      </c>
      <c r="AM543" s="76">
        <f ca="1">AM371*'Fuel Costs'!AO106/1000</f>
        <v>0</v>
      </c>
      <c r="AN543" s="76">
        <f ca="1">AN371*'Fuel Costs'!AP106/1000</f>
        <v>0</v>
      </c>
      <c r="AO543" s="76">
        <f ca="1">AO371*'Fuel Costs'!AQ106/1000</f>
        <v>0</v>
      </c>
      <c r="AP543" s="76">
        <f ca="1">AP371*'Fuel Costs'!AR106/1000</f>
        <v>0</v>
      </c>
      <c r="AQ543" s="76">
        <f ca="1">AQ371*'Fuel Costs'!AS106/1000</f>
        <v>0</v>
      </c>
      <c r="AR543" s="76">
        <f ca="1">AR371*'Fuel Costs'!AT106/1000</f>
        <v>0</v>
      </c>
      <c r="AS543" s="76">
        <f ca="1">AS371*'Fuel Costs'!AU106/1000</f>
        <v>0</v>
      </c>
      <c r="AT543" s="76">
        <f ca="1">AT371*'Fuel Costs'!AV106/1000</f>
        <v>0</v>
      </c>
      <c r="AU543" s="76">
        <f ca="1">AU371*'Fuel Costs'!AW106/1000</f>
        <v>0</v>
      </c>
      <c r="AV543" s="76">
        <f ca="1">AV371*'Fuel Costs'!AX106/1000</f>
        <v>0</v>
      </c>
      <c r="AW543" s="76">
        <f ca="1">AW371*'Fuel Costs'!AY106/1000</f>
        <v>0</v>
      </c>
    </row>
    <row r="544" spans="3:49">
      <c r="C544" t="str">
        <f t="shared" si="221"/>
        <v>Landfill gas</v>
      </c>
      <c r="D544">
        <f>D372*'Fuel Costs'!F107/1000</f>
        <v>0</v>
      </c>
      <c r="E544">
        <f>E372*'Fuel Costs'!G107/1000</f>
        <v>0</v>
      </c>
      <c r="F544">
        <f>F372*'Fuel Costs'!H107/1000</f>
        <v>0</v>
      </c>
      <c r="G544">
        <f>G372*'Fuel Costs'!I107/1000</f>
        <v>0</v>
      </c>
      <c r="H544">
        <f>H372*'Fuel Costs'!J107/1000</f>
        <v>0</v>
      </c>
      <c r="I544">
        <f ca="1">I372*'Fuel Costs'!K107/1000</f>
        <v>0</v>
      </c>
      <c r="J544">
        <f ca="1">J372*'Fuel Costs'!L107/1000</f>
        <v>0</v>
      </c>
      <c r="K544">
        <f ca="1">K372*'Fuel Costs'!M107/1000</f>
        <v>0</v>
      </c>
      <c r="L544">
        <f ca="1">L372*'Fuel Costs'!N107/1000</f>
        <v>0</v>
      </c>
      <c r="M544">
        <f ca="1">M372*'Fuel Costs'!O107/1000</f>
        <v>0</v>
      </c>
      <c r="N544">
        <f ca="1">N372*'Fuel Costs'!P107/1000</f>
        <v>0</v>
      </c>
      <c r="O544">
        <f ca="1">O372*'Fuel Costs'!Q107/1000</f>
        <v>0</v>
      </c>
      <c r="P544">
        <f ca="1">P372*'Fuel Costs'!R107/1000</f>
        <v>0</v>
      </c>
      <c r="Q544">
        <f ca="1">Q372*'Fuel Costs'!S107/1000</f>
        <v>0</v>
      </c>
      <c r="R544">
        <f ca="1">R372*'Fuel Costs'!T107/1000</f>
        <v>0</v>
      </c>
      <c r="S544">
        <f ca="1">S372*'Fuel Costs'!U107/1000</f>
        <v>0</v>
      </c>
      <c r="T544">
        <f ca="1">T372*'Fuel Costs'!V107/1000</f>
        <v>0</v>
      </c>
      <c r="U544">
        <f ca="1">U372*'Fuel Costs'!W107/1000</f>
        <v>0</v>
      </c>
      <c r="V544">
        <f ca="1">V372*'Fuel Costs'!X107/1000</f>
        <v>0</v>
      </c>
      <c r="W544">
        <f ca="1">W372*'Fuel Costs'!Y107/1000</f>
        <v>0</v>
      </c>
      <c r="X544">
        <f ca="1">X372*'Fuel Costs'!Z107/1000</f>
        <v>0</v>
      </c>
      <c r="Y544">
        <f ca="1">Y372*'Fuel Costs'!AA107/1000</f>
        <v>0</v>
      </c>
      <c r="Z544">
        <f ca="1">Z372*'Fuel Costs'!AB107/1000</f>
        <v>0</v>
      </c>
      <c r="AA544">
        <f ca="1">AA372*'Fuel Costs'!AC107/1000</f>
        <v>0</v>
      </c>
      <c r="AB544">
        <f ca="1">AB372*'Fuel Costs'!AD107/1000</f>
        <v>0</v>
      </c>
      <c r="AC544">
        <f ca="1">AC372*'Fuel Costs'!AE107/1000</f>
        <v>0</v>
      </c>
      <c r="AD544" s="76">
        <f ca="1">AD372*'Fuel Costs'!AF107/1000</f>
        <v>0</v>
      </c>
      <c r="AE544" s="76">
        <f ca="1">AE372*'Fuel Costs'!AG107/1000</f>
        <v>0</v>
      </c>
      <c r="AF544" s="76">
        <f ca="1">AF372*'Fuel Costs'!AH107/1000</f>
        <v>0</v>
      </c>
      <c r="AG544" s="76">
        <f ca="1">AG372*'Fuel Costs'!AI107/1000</f>
        <v>0</v>
      </c>
      <c r="AH544" s="76">
        <f ca="1">AH372*'Fuel Costs'!AJ107/1000</f>
        <v>0</v>
      </c>
      <c r="AI544" s="76">
        <f ca="1">AI372*'Fuel Costs'!AK107/1000</f>
        <v>0</v>
      </c>
      <c r="AJ544" s="76">
        <f ca="1">AJ372*'Fuel Costs'!AL107/1000</f>
        <v>0</v>
      </c>
      <c r="AK544" s="76">
        <f ca="1">AK372*'Fuel Costs'!AM107/1000</f>
        <v>0</v>
      </c>
      <c r="AL544" s="76">
        <f ca="1">AL372*'Fuel Costs'!AN107/1000</f>
        <v>0</v>
      </c>
      <c r="AM544" s="76">
        <f ca="1">AM372*'Fuel Costs'!AO107/1000</f>
        <v>0</v>
      </c>
      <c r="AN544" s="76">
        <f ca="1">AN372*'Fuel Costs'!AP107/1000</f>
        <v>0</v>
      </c>
      <c r="AO544" s="76">
        <f ca="1">AO372*'Fuel Costs'!AQ107/1000</f>
        <v>0</v>
      </c>
      <c r="AP544" s="76">
        <f ca="1">AP372*'Fuel Costs'!AR107/1000</f>
        <v>0</v>
      </c>
      <c r="AQ544" s="76">
        <f ca="1">AQ372*'Fuel Costs'!AS107/1000</f>
        <v>0</v>
      </c>
      <c r="AR544" s="76">
        <f ca="1">AR372*'Fuel Costs'!AT107/1000</f>
        <v>0</v>
      </c>
      <c r="AS544" s="76">
        <f ca="1">AS372*'Fuel Costs'!AU107/1000</f>
        <v>0</v>
      </c>
      <c r="AT544" s="76">
        <f ca="1">AT372*'Fuel Costs'!AV107/1000</f>
        <v>0</v>
      </c>
      <c r="AU544" s="76">
        <f ca="1">AU372*'Fuel Costs'!AW107/1000</f>
        <v>0</v>
      </c>
      <c r="AV544" s="76">
        <f ca="1">AV372*'Fuel Costs'!AX107/1000</f>
        <v>0</v>
      </c>
      <c r="AW544" s="76">
        <f ca="1">AW372*'Fuel Costs'!AY107/1000</f>
        <v>0</v>
      </c>
    </row>
    <row r="545" spans="3:57">
      <c r="C545" t="str">
        <f t="shared" si="221"/>
        <v>Biomass</v>
      </c>
      <c r="D545">
        <f>D373*'Fuel Costs'!F108/1000</f>
        <v>0</v>
      </c>
      <c r="E545">
        <f>E373*'Fuel Costs'!G108/1000</f>
        <v>0</v>
      </c>
      <c r="F545">
        <f>F373*'Fuel Costs'!H108/1000</f>
        <v>0</v>
      </c>
      <c r="G545">
        <f>G373*'Fuel Costs'!I108/1000</f>
        <v>0</v>
      </c>
      <c r="H545">
        <f>H373*'Fuel Costs'!J108/1000</f>
        <v>0</v>
      </c>
      <c r="I545">
        <f ca="1">I373*'Fuel Costs'!K108/1000</f>
        <v>0</v>
      </c>
      <c r="J545">
        <f ca="1">J373*'Fuel Costs'!L108/1000</f>
        <v>0</v>
      </c>
      <c r="K545">
        <f ca="1">K373*'Fuel Costs'!M108/1000</f>
        <v>0</v>
      </c>
      <c r="L545">
        <f ca="1">L373*'Fuel Costs'!N108/1000</f>
        <v>0</v>
      </c>
      <c r="M545">
        <f ca="1">M373*'Fuel Costs'!O108/1000</f>
        <v>0</v>
      </c>
      <c r="N545">
        <f ca="1">N373*'Fuel Costs'!P108/1000</f>
        <v>0</v>
      </c>
      <c r="O545">
        <f ca="1">O373*'Fuel Costs'!Q108/1000</f>
        <v>0</v>
      </c>
      <c r="P545">
        <f ca="1">P373*'Fuel Costs'!R108/1000</f>
        <v>0</v>
      </c>
      <c r="Q545">
        <f ca="1">Q373*'Fuel Costs'!S108/1000</f>
        <v>0</v>
      </c>
      <c r="R545">
        <f ca="1">R373*'Fuel Costs'!T108/1000</f>
        <v>0</v>
      </c>
      <c r="S545">
        <f ca="1">S373*'Fuel Costs'!U108/1000</f>
        <v>0</v>
      </c>
      <c r="T545">
        <f ca="1">T373*'Fuel Costs'!V108/1000</f>
        <v>0</v>
      </c>
      <c r="U545">
        <f ca="1">U373*'Fuel Costs'!W108/1000</f>
        <v>0</v>
      </c>
      <c r="V545">
        <f ca="1">V373*'Fuel Costs'!X108/1000</f>
        <v>0</v>
      </c>
      <c r="W545">
        <f ca="1">W373*'Fuel Costs'!Y108/1000</f>
        <v>0</v>
      </c>
      <c r="X545">
        <f ca="1">X373*'Fuel Costs'!Z108/1000</f>
        <v>0</v>
      </c>
      <c r="Y545">
        <f ca="1">Y373*'Fuel Costs'!AA108/1000</f>
        <v>0</v>
      </c>
      <c r="Z545">
        <f ca="1">Z373*'Fuel Costs'!AB108/1000</f>
        <v>0</v>
      </c>
      <c r="AA545">
        <f ca="1">AA373*'Fuel Costs'!AC108/1000</f>
        <v>0</v>
      </c>
      <c r="AB545">
        <f ca="1">AB373*'Fuel Costs'!AD108/1000</f>
        <v>0</v>
      </c>
      <c r="AC545">
        <f ca="1">AC373*'Fuel Costs'!AE108/1000</f>
        <v>0</v>
      </c>
      <c r="AD545" s="76">
        <f ca="1">AD373*'Fuel Costs'!AF108/1000</f>
        <v>0</v>
      </c>
      <c r="AE545" s="76">
        <f ca="1">AE373*'Fuel Costs'!AG108/1000</f>
        <v>0</v>
      </c>
      <c r="AF545" s="76">
        <f ca="1">AF373*'Fuel Costs'!AH108/1000</f>
        <v>0</v>
      </c>
      <c r="AG545" s="76">
        <f ca="1">AG373*'Fuel Costs'!AI108/1000</f>
        <v>0</v>
      </c>
      <c r="AH545" s="76">
        <f ca="1">AH373*'Fuel Costs'!AJ108/1000</f>
        <v>0</v>
      </c>
      <c r="AI545" s="76">
        <f ca="1">AI373*'Fuel Costs'!AK108/1000</f>
        <v>0</v>
      </c>
      <c r="AJ545" s="76">
        <f ca="1">AJ373*'Fuel Costs'!AL108/1000</f>
        <v>0</v>
      </c>
      <c r="AK545" s="76">
        <f ca="1">AK373*'Fuel Costs'!AM108/1000</f>
        <v>0</v>
      </c>
      <c r="AL545" s="76">
        <f ca="1">AL373*'Fuel Costs'!AN108/1000</f>
        <v>0</v>
      </c>
      <c r="AM545" s="76">
        <f ca="1">AM373*'Fuel Costs'!AO108/1000</f>
        <v>0</v>
      </c>
      <c r="AN545" s="76">
        <f ca="1">AN373*'Fuel Costs'!AP108/1000</f>
        <v>0</v>
      </c>
      <c r="AO545" s="76">
        <f ca="1">AO373*'Fuel Costs'!AQ108/1000</f>
        <v>0</v>
      </c>
      <c r="AP545" s="76">
        <f ca="1">AP373*'Fuel Costs'!AR108/1000</f>
        <v>0</v>
      </c>
      <c r="AQ545" s="76">
        <f ca="1">AQ373*'Fuel Costs'!AS108/1000</f>
        <v>0</v>
      </c>
      <c r="AR545" s="76">
        <f ca="1">AR373*'Fuel Costs'!AT108/1000</f>
        <v>0</v>
      </c>
      <c r="AS545" s="76">
        <f ca="1">AS373*'Fuel Costs'!AU108/1000</f>
        <v>0</v>
      </c>
      <c r="AT545" s="76">
        <f ca="1">AT373*'Fuel Costs'!AV108/1000</f>
        <v>0</v>
      </c>
      <c r="AU545" s="76">
        <f ca="1">AU373*'Fuel Costs'!AW108/1000</f>
        <v>0</v>
      </c>
      <c r="AV545" s="76">
        <f ca="1">AV373*'Fuel Costs'!AX108/1000</f>
        <v>0</v>
      </c>
      <c r="AW545" s="76">
        <f ca="1">AW373*'Fuel Costs'!AY108/1000</f>
        <v>0</v>
      </c>
    </row>
    <row r="546" spans="3:57">
      <c r="C546" t="str">
        <f t="shared" si="221"/>
        <v>Supercritical coal</v>
      </c>
      <c r="D546">
        <f>D374*'Fuel Costs'!F109/1000</f>
        <v>0</v>
      </c>
      <c r="E546">
        <f>E374*'Fuel Costs'!G109/1000</f>
        <v>0</v>
      </c>
      <c r="F546">
        <f>F374*'Fuel Costs'!H109/1000</f>
        <v>0</v>
      </c>
      <c r="G546">
        <f>G374*'Fuel Costs'!I109/1000</f>
        <v>0</v>
      </c>
      <c r="H546">
        <f>H374*'Fuel Costs'!J109/1000</f>
        <v>0</v>
      </c>
      <c r="I546">
        <f ca="1">I374*'Fuel Costs'!K109/1000</f>
        <v>0</v>
      </c>
      <c r="J546">
        <f ca="1">J374*'Fuel Costs'!L109/1000</f>
        <v>0</v>
      </c>
      <c r="K546">
        <f ca="1">K374*'Fuel Costs'!M109/1000</f>
        <v>122.86729193627549</v>
      </c>
      <c r="L546">
        <f ca="1">L374*'Fuel Costs'!N109/1000</f>
        <v>370.67267286393223</v>
      </c>
      <c r="M546">
        <f ca="1">M374*'Fuel Costs'!O109/1000</f>
        <v>1011.4375972470781</v>
      </c>
      <c r="N546">
        <f ca="1">N374*'Fuel Costs'!P109/1000</f>
        <v>1630.9291867617192</v>
      </c>
      <c r="O546">
        <f ca="1">O374*'Fuel Costs'!Q109/1000</f>
        <v>2297.4018551360937</v>
      </c>
      <c r="P546">
        <f ca="1">P374*'Fuel Costs'!R109/1000</f>
        <v>2960.3273894779927</v>
      </c>
      <c r="Q546">
        <f ca="1">Q374*'Fuel Costs'!S109/1000</f>
        <v>3667.8414703676976</v>
      </c>
      <c r="R546">
        <f ca="1">R374*'Fuel Costs'!T109/1000</f>
        <v>4415.1359195299719</v>
      </c>
      <c r="S546">
        <f ca="1">S374*'Fuel Costs'!U109/1000</f>
        <v>5318.143658607969</v>
      </c>
      <c r="T546">
        <f ca="1">T374*'Fuel Costs'!V109/1000</f>
        <v>6268.9267536622992</v>
      </c>
      <c r="U546">
        <f ca="1">U374*'Fuel Costs'!W109/1000</f>
        <v>7087.2758707665353</v>
      </c>
      <c r="V546">
        <f ca="1">V374*'Fuel Costs'!X109/1000</f>
        <v>7953.509132024421</v>
      </c>
      <c r="W546">
        <f ca="1">W374*'Fuel Costs'!Y109/1000</f>
        <v>9546.2526138869216</v>
      </c>
      <c r="X546">
        <f ca="1">X374*'Fuel Costs'!Z109/1000</f>
        <v>11266.235767116954</v>
      </c>
      <c r="Y546">
        <f ca="1">Y374*'Fuel Costs'!AA109/1000</f>
        <v>13232.562189545028</v>
      </c>
      <c r="Z546">
        <f ca="1">Z374*'Fuel Costs'!AB109/1000</f>
        <v>15204.106907309551</v>
      </c>
      <c r="AA546">
        <f ca="1">AA374*'Fuel Costs'!AC109/1000</f>
        <v>17409.243042093018</v>
      </c>
      <c r="AB546">
        <f ca="1">AB374*'Fuel Costs'!AD109/1000</f>
        <v>20689.383435054984</v>
      </c>
      <c r="AC546">
        <f ca="1">AC374*'Fuel Costs'!AE109/1000</f>
        <v>22687.083915604861</v>
      </c>
      <c r="AD546" s="76">
        <f ca="1">AD374*'Fuel Costs'!AF109/1000</f>
        <v>22687.083915604861</v>
      </c>
      <c r="AE546" s="76">
        <f ca="1">AE374*'Fuel Costs'!AG109/1000</f>
        <v>22704.296865714245</v>
      </c>
      <c r="AF546" s="76">
        <f ca="1">AF374*'Fuel Costs'!AH109/1000</f>
        <v>22721.509815823636</v>
      </c>
      <c r="AG546" s="76">
        <f ca="1">AG374*'Fuel Costs'!AI109/1000</f>
        <v>24874.307890425527</v>
      </c>
      <c r="AH546" s="76">
        <f ca="1">AH374*'Fuel Costs'!AJ109/1000</f>
        <v>27027.105965027415</v>
      </c>
      <c r="AI546" s="76">
        <f ca="1">AI374*'Fuel Costs'!AK109/1000</f>
        <v>28151.020070188846</v>
      </c>
      <c r="AJ546" s="76">
        <f ca="1">AJ374*'Fuel Costs'!AL109/1000</f>
        <v>30444.535845762166</v>
      </c>
      <c r="AK546" s="76">
        <f ca="1">AK374*'Fuel Costs'!AM109/1000</f>
        <v>31678.264193052179</v>
      </c>
      <c r="AL546" s="76">
        <f ca="1">AL374*'Fuel Costs'!AN109/1000</f>
        <v>31742.390869930303</v>
      </c>
      <c r="AM546" s="76">
        <f ca="1">AM374*'Fuel Costs'!AO109/1000</f>
        <v>31742.390869930303</v>
      </c>
      <c r="AN546" s="76">
        <f ca="1">AN374*'Fuel Costs'!AP109/1000</f>
        <v>31742.390869930303</v>
      </c>
      <c r="AO546" s="76">
        <f ca="1">AO374*'Fuel Costs'!AQ109/1000</f>
        <v>31742.390869930303</v>
      </c>
      <c r="AP546" s="76">
        <f ca="1">AP374*'Fuel Costs'!AR109/1000</f>
        <v>31742.390869930303</v>
      </c>
      <c r="AQ546" s="76">
        <f ca="1">AQ374*'Fuel Costs'!AS109/1000</f>
        <v>31742.390869930303</v>
      </c>
      <c r="AR546" s="76">
        <f ca="1">AR374*'Fuel Costs'!AT109/1000</f>
        <v>32912.90629164721</v>
      </c>
      <c r="AS546" s="76">
        <f ca="1">AS374*'Fuel Costs'!AU109/1000</f>
        <v>34083.421713364107</v>
      </c>
      <c r="AT546" s="76">
        <f ca="1">AT374*'Fuel Costs'!AV109/1000</f>
        <v>34083.421713364107</v>
      </c>
      <c r="AU546" s="76">
        <f ca="1">AU374*'Fuel Costs'!AW109/1000</f>
        <v>34083.421713364107</v>
      </c>
      <c r="AV546" s="76">
        <f ca="1">AV374*'Fuel Costs'!AX109/1000</f>
        <v>34083.421713364107</v>
      </c>
      <c r="AW546" s="76">
        <f ca="1">AW374*'Fuel Costs'!AY109/1000</f>
        <v>34083.421713364107</v>
      </c>
    </row>
    <row r="547" spans="3:57">
      <c r="C547" t="str">
        <f t="shared" si="221"/>
        <v xml:space="preserve">Wind 30% </v>
      </c>
      <c r="D547">
        <f>D375*'Fuel Costs'!F110/1000</f>
        <v>0</v>
      </c>
      <c r="E547">
        <f>E375*'Fuel Costs'!G110/1000</f>
        <v>0</v>
      </c>
      <c r="F547">
        <f>F375*'Fuel Costs'!H110/1000</f>
        <v>0</v>
      </c>
      <c r="G547">
        <f>G375*'Fuel Costs'!I110/1000</f>
        <v>0</v>
      </c>
      <c r="H547">
        <f>H375*'Fuel Costs'!J110/1000</f>
        <v>0</v>
      </c>
      <c r="I547">
        <f ca="1">I375*'Fuel Costs'!K110/1000</f>
        <v>0</v>
      </c>
      <c r="J547">
        <f ca="1">J375*'Fuel Costs'!L110/1000</f>
        <v>0</v>
      </c>
      <c r="K547">
        <f ca="1">K375*'Fuel Costs'!M110/1000</f>
        <v>0</v>
      </c>
      <c r="L547">
        <f ca="1">L375*'Fuel Costs'!N110/1000</f>
        <v>0</v>
      </c>
      <c r="M547">
        <f ca="1">M375*'Fuel Costs'!O110/1000</f>
        <v>0</v>
      </c>
      <c r="N547">
        <f ca="1">N375*'Fuel Costs'!P110/1000</f>
        <v>0</v>
      </c>
      <c r="O547">
        <f ca="1">O375*'Fuel Costs'!Q110/1000</f>
        <v>0</v>
      </c>
      <c r="P547">
        <f ca="1">P375*'Fuel Costs'!R110/1000</f>
        <v>0</v>
      </c>
      <c r="Q547">
        <f ca="1">Q375*'Fuel Costs'!S110/1000</f>
        <v>0</v>
      </c>
      <c r="R547">
        <f ca="1">R375*'Fuel Costs'!T110/1000</f>
        <v>0</v>
      </c>
      <c r="S547">
        <f ca="1">S375*'Fuel Costs'!U110/1000</f>
        <v>0</v>
      </c>
      <c r="T547">
        <f ca="1">T375*'Fuel Costs'!V110/1000</f>
        <v>0</v>
      </c>
      <c r="U547">
        <f ca="1">U375*'Fuel Costs'!W110/1000</f>
        <v>0</v>
      </c>
      <c r="V547">
        <f ca="1">V375*'Fuel Costs'!X110/1000</f>
        <v>0</v>
      </c>
      <c r="W547">
        <f ca="1">W375*'Fuel Costs'!Y110/1000</f>
        <v>0</v>
      </c>
      <c r="X547">
        <f ca="1">X375*'Fuel Costs'!Z110/1000</f>
        <v>0</v>
      </c>
      <c r="Y547">
        <f ca="1">Y375*'Fuel Costs'!AA110/1000</f>
        <v>0</v>
      </c>
      <c r="Z547">
        <f ca="1">Z375*'Fuel Costs'!AB110/1000</f>
        <v>0</v>
      </c>
      <c r="AA547">
        <f ca="1">AA375*'Fuel Costs'!AC110/1000</f>
        <v>0</v>
      </c>
      <c r="AB547">
        <f ca="1">AB375*'Fuel Costs'!AD110/1000</f>
        <v>0</v>
      </c>
      <c r="AC547">
        <f ca="1">AC375*'Fuel Costs'!AE110/1000</f>
        <v>0</v>
      </c>
      <c r="AD547" s="76">
        <f ca="1">AD375*'Fuel Costs'!AF110/1000</f>
        <v>0</v>
      </c>
      <c r="AE547" s="76">
        <f ca="1">AE375*'Fuel Costs'!AG110/1000</f>
        <v>0</v>
      </c>
      <c r="AF547" s="76">
        <f ca="1">AF375*'Fuel Costs'!AH110/1000</f>
        <v>0</v>
      </c>
      <c r="AG547" s="76">
        <f ca="1">AG375*'Fuel Costs'!AI110/1000</f>
        <v>0</v>
      </c>
      <c r="AH547" s="76">
        <f ca="1">AH375*'Fuel Costs'!AJ110/1000</f>
        <v>0</v>
      </c>
      <c r="AI547" s="76">
        <f ca="1">AI375*'Fuel Costs'!AK110/1000</f>
        <v>0</v>
      </c>
      <c r="AJ547" s="76">
        <f ca="1">AJ375*'Fuel Costs'!AL110/1000</f>
        <v>0</v>
      </c>
      <c r="AK547" s="76">
        <f ca="1">AK375*'Fuel Costs'!AM110/1000</f>
        <v>0</v>
      </c>
      <c r="AL547" s="76">
        <f ca="1">AL375*'Fuel Costs'!AN110/1000</f>
        <v>0</v>
      </c>
      <c r="AM547" s="76">
        <f ca="1">AM375*'Fuel Costs'!AO110/1000</f>
        <v>0</v>
      </c>
      <c r="AN547" s="76">
        <f ca="1">AN375*'Fuel Costs'!AP110/1000</f>
        <v>0</v>
      </c>
      <c r="AO547" s="76">
        <f ca="1">AO375*'Fuel Costs'!AQ110/1000</f>
        <v>0</v>
      </c>
      <c r="AP547" s="76">
        <f ca="1">AP375*'Fuel Costs'!AR110/1000</f>
        <v>0</v>
      </c>
      <c r="AQ547" s="76">
        <f ca="1">AQ375*'Fuel Costs'!AS110/1000</f>
        <v>0</v>
      </c>
      <c r="AR547" s="76">
        <f ca="1">AR375*'Fuel Costs'!AT110/1000</f>
        <v>0</v>
      </c>
      <c r="AS547" s="76">
        <f ca="1">AS375*'Fuel Costs'!AU110/1000</f>
        <v>0</v>
      </c>
      <c r="AT547" s="76">
        <f ca="1">AT375*'Fuel Costs'!AV110/1000</f>
        <v>0</v>
      </c>
      <c r="AU547" s="76">
        <f ca="1">AU375*'Fuel Costs'!AW110/1000</f>
        <v>0</v>
      </c>
      <c r="AV547" s="76">
        <f ca="1">AV375*'Fuel Costs'!AX110/1000</f>
        <v>0</v>
      </c>
      <c r="AW547" s="76">
        <f ca="1">AW375*'Fuel Costs'!AY110/1000</f>
        <v>0</v>
      </c>
    </row>
    <row r="548" spans="3:57">
      <c r="C548" t="str">
        <f t="shared" si="221"/>
        <v>Wind 25%</v>
      </c>
      <c r="D548">
        <f>D376*'Fuel Costs'!F111/1000</f>
        <v>0</v>
      </c>
      <c r="E548">
        <f>E376*'Fuel Costs'!G111/1000</f>
        <v>0</v>
      </c>
      <c r="F548">
        <f>F376*'Fuel Costs'!H111/1000</f>
        <v>0</v>
      </c>
      <c r="G548">
        <f>G376*'Fuel Costs'!I111/1000</f>
        <v>0</v>
      </c>
      <c r="H548">
        <f>H376*'Fuel Costs'!J111/1000</f>
        <v>0</v>
      </c>
      <c r="I548">
        <f ca="1">I376*'Fuel Costs'!K111/1000</f>
        <v>0</v>
      </c>
      <c r="J548">
        <f ca="1">J376*'Fuel Costs'!L111/1000</f>
        <v>0</v>
      </c>
      <c r="K548">
        <f ca="1">K376*'Fuel Costs'!M111/1000</f>
        <v>0</v>
      </c>
      <c r="L548">
        <f ca="1">L376*'Fuel Costs'!N111/1000</f>
        <v>0</v>
      </c>
      <c r="M548">
        <f ca="1">M376*'Fuel Costs'!O111/1000</f>
        <v>0</v>
      </c>
      <c r="N548">
        <f ca="1">N376*'Fuel Costs'!P111/1000</f>
        <v>0</v>
      </c>
      <c r="O548">
        <f ca="1">O376*'Fuel Costs'!Q111/1000</f>
        <v>0</v>
      </c>
      <c r="P548">
        <f ca="1">P376*'Fuel Costs'!R111/1000</f>
        <v>0</v>
      </c>
      <c r="Q548">
        <f ca="1">Q376*'Fuel Costs'!S111/1000</f>
        <v>0</v>
      </c>
      <c r="R548">
        <f ca="1">R376*'Fuel Costs'!T111/1000</f>
        <v>0</v>
      </c>
      <c r="S548">
        <f ca="1">S376*'Fuel Costs'!U111/1000</f>
        <v>0</v>
      </c>
      <c r="T548">
        <f ca="1">T376*'Fuel Costs'!V111/1000</f>
        <v>0</v>
      </c>
      <c r="U548">
        <f ca="1">U376*'Fuel Costs'!W111/1000</f>
        <v>0</v>
      </c>
      <c r="V548">
        <f ca="1">V376*'Fuel Costs'!X111/1000</f>
        <v>0</v>
      </c>
      <c r="W548">
        <f ca="1">W376*'Fuel Costs'!Y111/1000</f>
        <v>0</v>
      </c>
      <c r="X548">
        <f ca="1">X376*'Fuel Costs'!Z111/1000</f>
        <v>0</v>
      </c>
      <c r="Y548">
        <f ca="1">Y376*'Fuel Costs'!AA111/1000</f>
        <v>0</v>
      </c>
      <c r="Z548">
        <f ca="1">Z376*'Fuel Costs'!AB111/1000</f>
        <v>0</v>
      </c>
      <c r="AA548">
        <f ca="1">AA376*'Fuel Costs'!AC111/1000</f>
        <v>0</v>
      </c>
      <c r="AB548">
        <f ca="1">AB376*'Fuel Costs'!AD111/1000</f>
        <v>0</v>
      </c>
      <c r="AC548">
        <f ca="1">AC376*'Fuel Costs'!AE111/1000</f>
        <v>0</v>
      </c>
      <c r="AD548" s="76">
        <f ca="1">AD376*'Fuel Costs'!AF111/1000</f>
        <v>0</v>
      </c>
      <c r="AE548" s="76">
        <f ca="1">AE376*'Fuel Costs'!AG111/1000</f>
        <v>0</v>
      </c>
      <c r="AF548" s="76">
        <f ca="1">AF376*'Fuel Costs'!AH111/1000</f>
        <v>0</v>
      </c>
      <c r="AG548" s="76">
        <f ca="1">AG376*'Fuel Costs'!AI111/1000</f>
        <v>0</v>
      </c>
      <c r="AH548" s="76">
        <f ca="1">AH376*'Fuel Costs'!AJ111/1000</f>
        <v>0</v>
      </c>
      <c r="AI548" s="76">
        <f ca="1">AI376*'Fuel Costs'!AK111/1000</f>
        <v>0</v>
      </c>
      <c r="AJ548" s="76">
        <f ca="1">AJ376*'Fuel Costs'!AL111/1000</f>
        <v>0</v>
      </c>
      <c r="AK548" s="76">
        <f ca="1">AK376*'Fuel Costs'!AM111/1000</f>
        <v>0</v>
      </c>
      <c r="AL548" s="76">
        <f ca="1">AL376*'Fuel Costs'!AN111/1000</f>
        <v>0</v>
      </c>
      <c r="AM548" s="76">
        <f ca="1">AM376*'Fuel Costs'!AO111/1000</f>
        <v>0</v>
      </c>
      <c r="AN548" s="76">
        <f ca="1">AN376*'Fuel Costs'!AP111/1000</f>
        <v>0</v>
      </c>
      <c r="AO548" s="76">
        <f ca="1">AO376*'Fuel Costs'!AQ111/1000</f>
        <v>0</v>
      </c>
      <c r="AP548" s="76">
        <f ca="1">AP376*'Fuel Costs'!AR111/1000</f>
        <v>0</v>
      </c>
      <c r="AQ548" s="76">
        <f ca="1">AQ376*'Fuel Costs'!AS111/1000</f>
        <v>0</v>
      </c>
      <c r="AR548" s="76">
        <f ca="1">AR376*'Fuel Costs'!AT111/1000</f>
        <v>0</v>
      </c>
      <c r="AS548" s="76">
        <f ca="1">AS376*'Fuel Costs'!AU111/1000</f>
        <v>0</v>
      </c>
      <c r="AT548" s="76">
        <f ca="1">AT376*'Fuel Costs'!AV111/1000</f>
        <v>0</v>
      </c>
      <c r="AU548" s="76">
        <f ca="1">AU376*'Fuel Costs'!AW111/1000</f>
        <v>0</v>
      </c>
      <c r="AV548" s="76">
        <f ca="1">AV376*'Fuel Costs'!AX111/1000</f>
        <v>0</v>
      </c>
      <c r="AW548" s="76">
        <f ca="1">AW376*'Fuel Costs'!AY111/1000</f>
        <v>0</v>
      </c>
    </row>
    <row r="549" spans="3:57">
      <c r="C549" t="str">
        <f t="shared" si="221"/>
        <v>solar thermal central reciever</v>
      </c>
      <c r="D549">
        <f>D377*'Fuel Costs'!F112/1000</f>
        <v>0</v>
      </c>
      <c r="E549">
        <f>E377*'Fuel Costs'!G112/1000</f>
        <v>0</v>
      </c>
      <c r="F549">
        <f>F377*'Fuel Costs'!H112/1000</f>
        <v>0</v>
      </c>
      <c r="G549">
        <f>G377*'Fuel Costs'!I112/1000</f>
        <v>0</v>
      </c>
      <c r="H549">
        <f>H377*'Fuel Costs'!J112/1000</f>
        <v>0</v>
      </c>
      <c r="I549">
        <f ca="1">I377*'Fuel Costs'!K112/1000</f>
        <v>0</v>
      </c>
      <c r="J549">
        <f ca="1">J377*'Fuel Costs'!L112/1000</f>
        <v>0</v>
      </c>
      <c r="K549">
        <f ca="1">K377*'Fuel Costs'!M112/1000</f>
        <v>0</v>
      </c>
      <c r="L549">
        <f ca="1">L377*'Fuel Costs'!N112/1000</f>
        <v>0</v>
      </c>
      <c r="M549">
        <f ca="1">M377*'Fuel Costs'!O112/1000</f>
        <v>0</v>
      </c>
      <c r="N549">
        <f ca="1">N377*'Fuel Costs'!P112/1000</f>
        <v>0</v>
      </c>
      <c r="O549">
        <f ca="1">O377*'Fuel Costs'!Q112/1000</f>
        <v>0</v>
      </c>
      <c r="P549">
        <f ca="1">P377*'Fuel Costs'!R112/1000</f>
        <v>0</v>
      </c>
      <c r="Q549">
        <f ca="1">Q377*'Fuel Costs'!S112/1000</f>
        <v>0</v>
      </c>
      <c r="R549">
        <f ca="1">R377*'Fuel Costs'!T112/1000</f>
        <v>0</v>
      </c>
      <c r="S549">
        <f ca="1">S377*'Fuel Costs'!U112/1000</f>
        <v>0</v>
      </c>
      <c r="T549">
        <f ca="1">T377*'Fuel Costs'!V112/1000</f>
        <v>0</v>
      </c>
      <c r="U549">
        <f ca="1">U377*'Fuel Costs'!W112/1000</f>
        <v>0</v>
      </c>
      <c r="V549">
        <f ca="1">V377*'Fuel Costs'!X112/1000</f>
        <v>0</v>
      </c>
      <c r="W549">
        <f ca="1">W377*'Fuel Costs'!Y112/1000</f>
        <v>0</v>
      </c>
      <c r="X549">
        <f ca="1">X377*'Fuel Costs'!Z112/1000</f>
        <v>0</v>
      </c>
      <c r="Y549">
        <f ca="1">Y377*'Fuel Costs'!AA112/1000</f>
        <v>0</v>
      </c>
      <c r="Z549">
        <f ca="1">Z377*'Fuel Costs'!AB112/1000</f>
        <v>0</v>
      </c>
      <c r="AA549">
        <f ca="1">AA377*'Fuel Costs'!AC112/1000</f>
        <v>0</v>
      </c>
      <c r="AB549">
        <f ca="1">AB377*'Fuel Costs'!AD112/1000</f>
        <v>0</v>
      </c>
      <c r="AC549">
        <f ca="1">AC377*'Fuel Costs'!AE112/1000</f>
        <v>0</v>
      </c>
      <c r="AD549" s="76">
        <f ca="1">AD377*'Fuel Costs'!AF112/1000</f>
        <v>0</v>
      </c>
      <c r="AE549" s="76">
        <f ca="1">AE377*'Fuel Costs'!AG112/1000</f>
        <v>0</v>
      </c>
      <c r="AF549" s="76">
        <f ca="1">AF377*'Fuel Costs'!AH112/1000</f>
        <v>0</v>
      </c>
      <c r="AG549" s="76">
        <f ca="1">AG377*'Fuel Costs'!AI112/1000</f>
        <v>0</v>
      </c>
      <c r="AH549" s="76">
        <f ca="1">AH377*'Fuel Costs'!AJ112/1000</f>
        <v>0</v>
      </c>
      <c r="AI549" s="76">
        <f ca="1">AI377*'Fuel Costs'!AK112/1000</f>
        <v>0</v>
      </c>
      <c r="AJ549" s="76">
        <f ca="1">AJ377*'Fuel Costs'!AL112/1000</f>
        <v>0</v>
      </c>
      <c r="AK549" s="76">
        <f ca="1">AK377*'Fuel Costs'!AM112/1000</f>
        <v>0</v>
      </c>
      <c r="AL549" s="76">
        <f ca="1">AL377*'Fuel Costs'!AN112/1000</f>
        <v>0</v>
      </c>
      <c r="AM549" s="76">
        <f ca="1">AM377*'Fuel Costs'!AO112/1000</f>
        <v>0</v>
      </c>
      <c r="AN549" s="76">
        <f ca="1">AN377*'Fuel Costs'!AP112/1000</f>
        <v>0</v>
      </c>
      <c r="AO549" s="76">
        <f ca="1">AO377*'Fuel Costs'!AQ112/1000</f>
        <v>0</v>
      </c>
      <c r="AP549" s="76">
        <f ca="1">AP377*'Fuel Costs'!AR112/1000</f>
        <v>0</v>
      </c>
      <c r="AQ549" s="76">
        <f ca="1">AQ377*'Fuel Costs'!AS112/1000</f>
        <v>0</v>
      </c>
      <c r="AR549" s="76">
        <f ca="1">AR377*'Fuel Costs'!AT112/1000</f>
        <v>0</v>
      </c>
      <c r="AS549" s="76">
        <f ca="1">AS377*'Fuel Costs'!AU112/1000</f>
        <v>0</v>
      </c>
      <c r="AT549" s="76">
        <f ca="1">AT377*'Fuel Costs'!AV112/1000</f>
        <v>0</v>
      </c>
      <c r="AU549" s="76">
        <f ca="1">AU377*'Fuel Costs'!AW112/1000</f>
        <v>0</v>
      </c>
      <c r="AV549" s="76">
        <f ca="1">AV377*'Fuel Costs'!AX112/1000</f>
        <v>0</v>
      </c>
      <c r="AW549" s="76">
        <f ca="1">AW377*'Fuel Costs'!AY112/1000</f>
        <v>0</v>
      </c>
    </row>
    <row r="550" spans="3:57">
      <c r="C550" t="str">
        <f t="shared" si="221"/>
        <v>solar thermal trough</v>
      </c>
      <c r="D550">
        <f>D378*'Fuel Costs'!F113/1000</f>
        <v>0</v>
      </c>
      <c r="E550">
        <f>E378*'Fuel Costs'!G113/1000</f>
        <v>0</v>
      </c>
      <c r="F550">
        <f>F378*'Fuel Costs'!H113/1000</f>
        <v>0</v>
      </c>
      <c r="G550">
        <f>G378*'Fuel Costs'!I113/1000</f>
        <v>0</v>
      </c>
      <c r="H550">
        <f>H378*'Fuel Costs'!J113/1000</f>
        <v>0</v>
      </c>
      <c r="I550">
        <f ca="1">I378*'Fuel Costs'!K113/1000</f>
        <v>0</v>
      </c>
      <c r="J550">
        <f ca="1">J378*'Fuel Costs'!L113/1000</f>
        <v>0</v>
      </c>
      <c r="K550">
        <f ca="1">K378*'Fuel Costs'!M113/1000</f>
        <v>0</v>
      </c>
      <c r="L550">
        <f ca="1">L378*'Fuel Costs'!N113/1000</f>
        <v>0</v>
      </c>
      <c r="M550">
        <f ca="1">M378*'Fuel Costs'!O113/1000</f>
        <v>0</v>
      </c>
      <c r="N550">
        <f ca="1">N378*'Fuel Costs'!P113/1000</f>
        <v>0</v>
      </c>
      <c r="O550">
        <f ca="1">O378*'Fuel Costs'!Q113/1000</f>
        <v>0</v>
      </c>
      <c r="P550">
        <f ca="1">P378*'Fuel Costs'!R113/1000</f>
        <v>0</v>
      </c>
      <c r="Q550">
        <f ca="1">Q378*'Fuel Costs'!S113/1000</f>
        <v>0</v>
      </c>
      <c r="R550">
        <f ca="1">R378*'Fuel Costs'!T113/1000</f>
        <v>0</v>
      </c>
      <c r="S550">
        <f ca="1">S378*'Fuel Costs'!U113/1000</f>
        <v>0</v>
      </c>
      <c r="T550">
        <f ca="1">T378*'Fuel Costs'!V113/1000</f>
        <v>0</v>
      </c>
      <c r="U550">
        <f ca="1">U378*'Fuel Costs'!W113/1000</f>
        <v>0</v>
      </c>
      <c r="V550">
        <f ca="1">V378*'Fuel Costs'!X113/1000</f>
        <v>0</v>
      </c>
      <c r="W550">
        <f ca="1">W378*'Fuel Costs'!Y113/1000</f>
        <v>0</v>
      </c>
      <c r="X550">
        <f ca="1">X378*'Fuel Costs'!Z113/1000</f>
        <v>0</v>
      </c>
      <c r="Y550">
        <f ca="1">Y378*'Fuel Costs'!AA113/1000</f>
        <v>0</v>
      </c>
      <c r="Z550">
        <f ca="1">Z378*'Fuel Costs'!AB113/1000</f>
        <v>0</v>
      </c>
      <c r="AA550">
        <f ca="1">AA378*'Fuel Costs'!AC113/1000</f>
        <v>0</v>
      </c>
      <c r="AB550">
        <f ca="1">AB378*'Fuel Costs'!AD113/1000</f>
        <v>0</v>
      </c>
      <c r="AC550">
        <f ca="1">AC378*'Fuel Costs'!AE113/1000</f>
        <v>0</v>
      </c>
      <c r="AD550" s="76">
        <f ca="1">AD378*'Fuel Costs'!AF113/1000</f>
        <v>0</v>
      </c>
      <c r="AE550" s="76">
        <f ca="1">AE378*'Fuel Costs'!AG113/1000</f>
        <v>0</v>
      </c>
      <c r="AF550" s="76">
        <f ca="1">AF378*'Fuel Costs'!AH113/1000</f>
        <v>0</v>
      </c>
      <c r="AG550" s="76">
        <f ca="1">AG378*'Fuel Costs'!AI113/1000</f>
        <v>0</v>
      </c>
      <c r="AH550" s="76">
        <f ca="1">AH378*'Fuel Costs'!AJ113/1000</f>
        <v>0</v>
      </c>
      <c r="AI550" s="76">
        <f ca="1">AI378*'Fuel Costs'!AK113/1000</f>
        <v>0</v>
      </c>
      <c r="AJ550" s="76">
        <f ca="1">AJ378*'Fuel Costs'!AL113/1000</f>
        <v>0</v>
      </c>
      <c r="AK550" s="76">
        <f ca="1">AK378*'Fuel Costs'!AM113/1000</f>
        <v>0</v>
      </c>
      <c r="AL550" s="76">
        <f ca="1">AL378*'Fuel Costs'!AN113/1000</f>
        <v>0</v>
      </c>
      <c r="AM550" s="76">
        <f ca="1">AM378*'Fuel Costs'!AO113/1000</f>
        <v>0</v>
      </c>
      <c r="AN550" s="76">
        <f ca="1">AN378*'Fuel Costs'!AP113/1000</f>
        <v>0</v>
      </c>
      <c r="AO550" s="76">
        <f ca="1">AO378*'Fuel Costs'!AQ113/1000</f>
        <v>0</v>
      </c>
      <c r="AP550" s="76">
        <f ca="1">AP378*'Fuel Costs'!AR113/1000</f>
        <v>0</v>
      </c>
      <c r="AQ550" s="76">
        <f ca="1">AQ378*'Fuel Costs'!AS113/1000</f>
        <v>0</v>
      </c>
      <c r="AR550" s="76">
        <f ca="1">AR378*'Fuel Costs'!AT113/1000</f>
        <v>0</v>
      </c>
      <c r="AS550" s="76">
        <f ca="1">AS378*'Fuel Costs'!AU113/1000</f>
        <v>0</v>
      </c>
      <c r="AT550" s="76">
        <f ca="1">AT378*'Fuel Costs'!AV113/1000</f>
        <v>0</v>
      </c>
      <c r="AU550" s="76">
        <f ca="1">AU378*'Fuel Costs'!AW113/1000</f>
        <v>0</v>
      </c>
      <c r="AV550" s="76">
        <f ca="1">AV378*'Fuel Costs'!AX113/1000</f>
        <v>0</v>
      </c>
      <c r="AW550" s="76">
        <f ca="1">AW378*'Fuel Costs'!AY113/1000</f>
        <v>0</v>
      </c>
    </row>
    <row r="551" spans="3:57">
      <c r="C551" t="str">
        <f t="shared" si="221"/>
        <v>solar PV</v>
      </c>
      <c r="D551">
        <f>D379*'Fuel Costs'!F114/1000</f>
        <v>0</v>
      </c>
      <c r="E551">
        <f>E379*'Fuel Costs'!G114/1000</f>
        <v>0</v>
      </c>
      <c r="F551">
        <f>F379*'Fuel Costs'!H114/1000</f>
        <v>0</v>
      </c>
      <c r="G551">
        <f>G379*'Fuel Costs'!I114/1000</f>
        <v>0</v>
      </c>
      <c r="H551">
        <f>H379*'Fuel Costs'!J114/1000</f>
        <v>0</v>
      </c>
      <c r="I551">
        <f ca="1">I379*'Fuel Costs'!K114/1000</f>
        <v>0</v>
      </c>
      <c r="J551">
        <f ca="1">J379*'Fuel Costs'!L114/1000</f>
        <v>0</v>
      </c>
      <c r="K551">
        <f ca="1">K379*'Fuel Costs'!M114/1000</f>
        <v>0</v>
      </c>
      <c r="L551">
        <f ca="1">L379*'Fuel Costs'!N114/1000</f>
        <v>0</v>
      </c>
      <c r="M551">
        <f ca="1">M379*'Fuel Costs'!O114/1000</f>
        <v>0</v>
      </c>
      <c r="N551">
        <f ca="1">N379*'Fuel Costs'!P114/1000</f>
        <v>0</v>
      </c>
      <c r="O551">
        <f ca="1">O379*'Fuel Costs'!Q114/1000</f>
        <v>0</v>
      </c>
      <c r="P551">
        <f ca="1">P379*'Fuel Costs'!R114/1000</f>
        <v>0</v>
      </c>
      <c r="Q551">
        <f ca="1">Q379*'Fuel Costs'!S114/1000</f>
        <v>0</v>
      </c>
      <c r="R551">
        <f ca="1">R379*'Fuel Costs'!T114/1000</f>
        <v>0</v>
      </c>
      <c r="S551">
        <f ca="1">S379*'Fuel Costs'!U114/1000</f>
        <v>0</v>
      </c>
      <c r="T551">
        <f ca="1">T379*'Fuel Costs'!V114/1000</f>
        <v>0</v>
      </c>
      <c r="U551">
        <f ca="1">U379*'Fuel Costs'!W114/1000</f>
        <v>0</v>
      </c>
      <c r="V551">
        <f ca="1">V379*'Fuel Costs'!X114/1000</f>
        <v>0</v>
      </c>
      <c r="W551">
        <f ca="1">W379*'Fuel Costs'!Y114/1000</f>
        <v>0</v>
      </c>
      <c r="X551">
        <f ca="1">X379*'Fuel Costs'!Z114/1000</f>
        <v>0</v>
      </c>
      <c r="Y551">
        <f ca="1">Y379*'Fuel Costs'!AA114/1000</f>
        <v>0</v>
      </c>
      <c r="Z551">
        <f ca="1">Z379*'Fuel Costs'!AB114/1000</f>
        <v>0</v>
      </c>
      <c r="AA551">
        <f ca="1">AA379*'Fuel Costs'!AC114/1000</f>
        <v>0</v>
      </c>
      <c r="AB551">
        <f ca="1">AB379*'Fuel Costs'!AD114/1000</f>
        <v>0</v>
      </c>
      <c r="AC551">
        <f ca="1">AC379*'Fuel Costs'!AE114/1000</f>
        <v>0</v>
      </c>
      <c r="AD551" s="76">
        <f ca="1">AD379*'Fuel Costs'!AF114/1000</f>
        <v>0</v>
      </c>
      <c r="AE551" s="76">
        <f ca="1">AE379*'Fuel Costs'!AG114/1000</f>
        <v>0</v>
      </c>
      <c r="AF551" s="76">
        <f ca="1">AF379*'Fuel Costs'!AH114/1000</f>
        <v>0</v>
      </c>
      <c r="AG551" s="76">
        <f ca="1">AG379*'Fuel Costs'!AI114/1000</f>
        <v>0</v>
      </c>
      <c r="AH551" s="76">
        <f ca="1">AH379*'Fuel Costs'!AJ114/1000</f>
        <v>0</v>
      </c>
      <c r="AI551" s="76">
        <f ca="1">AI379*'Fuel Costs'!AK114/1000</f>
        <v>0</v>
      </c>
      <c r="AJ551" s="76">
        <f ca="1">AJ379*'Fuel Costs'!AL114/1000</f>
        <v>0</v>
      </c>
      <c r="AK551" s="76">
        <f ca="1">AK379*'Fuel Costs'!AM114/1000</f>
        <v>0</v>
      </c>
      <c r="AL551" s="76">
        <f ca="1">AL379*'Fuel Costs'!AN114/1000</f>
        <v>0</v>
      </c>
      <c r="AM551" s="76">
        <f ca="1">AM379*'Fuel Costs'!AO114/1000</f>
        <v>0</v>
      </c>
      <c r="AN551" s="76">
        <f ca="1">AN379*'Fuel Costs'!AP114/1000</f>
        <v>0</v>
      </c>
      <c r="AO551" s="76">
        <f ca="1">AO379*'Fuel Costs'!AQ114/1000</f>
        <v>0</v>
      </c>
      <c r="AP551" s="76">
        <f ca="1">AP379*'Fuel Costs'!AR114/1000</f>
        <v>0</v>
      </c>
      <c r="AQ551" s="76">
        <f ca="1">AQ379*'Fuel Costs'!AS114/1000</f>
        <v>0</v>
      </c>
      <c r="AR551" s="76">
        <f ca="1">AR379*'Fuel Costs'!AT114/1000</f>
        <v>0</v>
      </c>
      <c r="AS551" s="76">
        <f ca="1">AS379*'Fuel Costs'!AU114/1000</f>
        <v>0</v>
      </c>
      <c r="AT551" s="76">
        <f ca="1">AT379*'Fuel Costs'!AV114/1000</f>
        <v>0</v>
      </c>
      <c r="AU551" s="76">
        <f ca="1">AU379*'Fuel Costs'!AW114/1000</f>
        <v>0</v>
      </c>
      <c r="AV551" s="76">
        <f ca="1">AV379*'Fuel Costs'!AX114/1000</f>
        <v>0</v>
      </c>
      <c r="AW551" s="76">
        <f ca="1">AW379*'Fuel Costs'!AY114/1000</f>
        <v>0</v>
      </c>
    </row>
    <row r="552" spans="3:57">
      <c r="C552" t="str">
        <f t="shared" si="221"/>
        <v>combined cycle gas</v>
      </c>
      <c r="D552">
        <f>D380*'Fuel Costs'!F115/1000</f>
        <v>0</v>
      </c>
      <c r="E552">
        <f>E380*'Fuel Costs'!G115/1000</f>
        <v>0</v>
      </c>
      <c r="F552">
        <f>F380*'Fuel Costs'!H115/1000</f>
        <v>0</v>
      </c>
      <c r="G552">
        <f>G380*'Fuel Costs'!I115/1000</f>
        <v>0</v>
      </c>
      <c r="H552">
        <f>H380*'Fuel Costs'!J115/1000</f>
        <v>0</v>
      </c>
      <c r="I552">
        <f ca="1">I380*'Fuel Costs'!K115/1000</f>
        <v>0</v>
      </c>
      <c r="J552">
        <f ca="1">J380*'Fuel Costs'!L115/1000</f>
        <v>0</v>
      </c>
      <c r="K552">
        <f ca="1">K380*'Fuel Costs'!M115/1000</f>
        <v>0</v>
      </c>
      <c r="L552">
        <f ca="1">L380*'Fuel Costs'!N115/1000</f>
        <v>0</v>
      </c>
      <c r="M552">
        <f ca="1">M380*'Fuel Costs'!O115/1000</f>
        <v>0</v>
      </c>
      <c r="N552">
        <f ca="1">N380*'Fuel Costs'!P115/1000</f>
        <v>0</v>
      </c>
      <c r="O552">
        <f ca="1">O380*'Fuel Costs'!Q115/1000</f>
        <v>0</v>
      </c>
      <c r="P552">
        <f ca="1">P380*'Fuel Costs'!R115/1000</f>
        <v>0</v>
      </c>
      <c r="Q552">
        <f ca="1">Q380*'Fuel Costs'!S115/1000</f>
        <v>0</v>
      </c>
      <c r="R552">
        <f ca="1">R380*'Fuel Costs'!T115/1000</f>
        <v>0</v>
      </c>
      <c r="S552">
        <f ca="1">S380*'Fuel Costs'!U115/1000</f>
        <v>0</v>
      </c>
      <c r="T552">
        <f ca="1">T380*'Fuel Costs'!V115/1000</f>
        <v>0</v>
      </c>
      <c r="U552">
        <f ca="1">U380*'Fuel Costs'!W115/1000</f>
        <v>0</v>
      </c>
      <c r="V552">
        <f ca="1">V380*'Fuel Costs'!X115/1000</f>
        <v>0</v>
      </c>
      <c r="W552">
        <f ca="1">W380*'Fuel Costs'!Y115/1000</f>
        <v>0</v>
      </c>
      <c r="X552">
        <f ca="1">X380*'Fuel Costs'!Z115/1000</f>
        <v>0</v>
      </c>
      <c r="Y552">
        <f ca="1">Y380*'Fuel Costs'!AA115/1000</f>
        <v>0</v>
      </c>
      <c r="Z552">
        <f ca="1">Z380*'Fuel Costs'!AB115/1000</f>
        <v>0</v>
      </c>
      <c r="AA552">
        <f ca="1">AA380*'Fuel Costs'!AC115/1000</f>
        <v>0</v>
      </c>
      <c r="AB552">
        <f ca="1">AB380*'Fuel Costs'!AD115/1000</f>
        <v>0</v>
      </c>
      <c r="AC552">
        <f ca="1">AC380*'Fuel Costs'!AE115/1000</f>
        <v>0</v>
      </c>
      <c r="AD552" s="76">
        <f ca="1">AD380*'Fuel Costs'!AF115/1000</f>
        <v>0</v>
      </c>
      <c r="AE552" s="76">
        <f ca="1">AE380*'Fuel Costs'!AG115/1000</f>
        <v>0</v>
      </c>
      <c r="AF552" s="76">
        <f ca="1">AF380*'Fuel Costs'!AH115/1000</f>
        <v>0</v>
      </c>
      <c r="AG552" s="76">
        <f ca="1">AG380*'Fuel Costs'!AI115/1000</f>
        <v>0</v>
      </c>
      <c r="AH552" s="76">
        <f ca="1">AH380*'Fuel Costs'!AJ115/1000</f>
        <v>0</v>
      </c>
      <c r="AI552" s="76">
        <f ca="1">AI380*'Fuel Costs'!AK115/1000</f>
        <v>0</v>
      </c>
      <c r="AJ552" s="76">
        <f ca="1">AJ380*'Fuel Costs'!AL115/1000</f>
        <v>0</v>
      </c>
      <c r="AK552" s="76">
        <f ca="1">AK380*'Fuel Costs'!AM115/1000</f>
        <v>0</v>
      </c>
      <c r="AL552" s="76">
        <f ca="1">AL380*'Fuel Costs'!AN115/1000</f>
        <v>0</v>
      </c>
      <c r="AM552" s="76">
        <f ca="1">AM380*'Fuel Costs'!AO115/1000</f>
        <v>0</v>
      </c>
      <c r="AN552" s="76">
        <f ca="1">AN380*'Fuel Costs'!AP115/1000</f>
        <v>0</v>
      </c>
      <c r="AO552" s="76">
        <f ca="1">AO380*'Fuel Costs'!AQ115/1000</f>
        <v>0</v>
      </c>
      <c r="AP552" s="76">
        <f ca="1">AP380*'Fuel Costs'!AR115/1000</f>
        <v>0</v>
      </c>
      <c r="AQ552" s="76">
        <f ca="1">AQ380*'Fuel Costs'!AS115/1000</f>
        <v>0</v>
      </c>
      <c r="AR552" s="76">
        <f ca="1">AR380*'Fuel Costs'!AT115/1000</f>
        <v>0</v>
      </c>
      <c r="AS552" s="76">
        <f ca="1">AS380*'Fuel Costs'!AU115/1000</f>
        <v>0</v>
      </c>
      <c r="AT552" s="76">
        <f ca="1">AT380*'Fuel Costs'!AV115/1000</f>
        <v>0</v>
      </c>
      <c r="AU552" s="76">
        <f ca="1">AU380*'Fuel Costs'!AW115/1000</f>
        <v>0</v>
      </c>
      <c r="AV552" s="76">
        <f ca="1">AV380*'Fuel Costs'!AX115/1000</f>
        <v>0</v>
      </c>
      <c r="AW552" s="76">
        <f ca="1">AW380*'Fuel Costs'!AY115/1000</f>
        <v>0</v>
      </c>
    </row>
    <row r="553" spans="3:57">
      <c r="C553" t="str">
        <f t="shared" si="221"/>
        <v>PBMR</v>
      </c>
      <c r="D553">
        <f>D381*'Fuel Costs'!F116/1000</f>
        <v>0</v>
      </c>
      <c r="E553">
        <f>E381*'Fuel Costs'!G116/1000</f>
        <v>0</v>
      </c>
      <c r="F553">
        <f>F381*'Fuel Costs'!H116/1000</f>
        <v>0</v>
      </c>
      <c r="G553">
        <f>G381*'Fuel Costs'!I116/1000</f>
        <v>0</v>
      </c>
      <c r="H553">
        <f>H381*'Fuel Costs'!J116/1000</f>
        <v>0</v>
      </c>
      <c r="I553">
        <f ca="1">I381*'Fuel Costs'!K116/1000</f>
        <v>0</v>
      </c>
      <c r="J553">
        <f ca="1">J381*'Fuel Costs'!L116/1000</f>
        <v>0</v>
      </c>
      <c r="K553">
        <f ca="1">K381*'Fuel Costs'!M116/1000</f>
        <v>0</v>
      </c>
      <c r="L553">
        <f ca="1">L381*'Fuel Costs'!N116/1000</f>
        <v>0</v>
      </c>
      <c r="M553">
        <f ca="1">M381*'Fuel Costs'!O116/1000</f>
        <v>0</v>
      </c>
      <c r="N553">
        <f ca="1">N381*'Fuel Costs'!P116/1000</f>
        <v>0</v>
      </c>
      <c r="O553">
        <f ca="1">O381*'Fuel Costs'!Q116/1000</f>
        <v>0</v>
      </c>
      <c r="P553">
        <f ca="1">P381*'Fuel Costs'!R116/1000</f>
        <v>0</v>
      </c>
      <c r="Q553">
        <f ca="1">Q381*'Fuel Costs'!S116/1000</f>
        <v>0</v>
      </c>
      <c r="R553">
        <f ca="1">R381*'Fuel Costs'!T116/1000</f>
        <v>0</v>
      </c>
      <c r="S553">
        <f ca="1">S381*'Fuel Costs'!U116/1000</f>
        <v>0</v>
      </c>
      <c r="T553">
        <f ca="1">T381*'Fuel Costs'!V116/1000</f>
        <v>0</v>
      </c>
      <c r="U553">
        <f ca="1">U381*'Fuel Costs'!W116/1000</f>
        <v>0</v>
      </c>
      <c r="V553">
        <f ca="1">V381*'Fuel Costs'!X116/1000</f>
        <v>0</v>
      </c>
      <c r="W553">
        <f ca="1">W381*'Fuel Costs'!Y116/1000</f>
        <v>0</v>
      </c>
      <c r="X553">
        <f ca="1">X381*'Fuel Costs'!Z116/1000</f>
        <v>0</v>
      </c>
      <c r="Y553">
        <f ca="1">Y381*'Fuel Costs'!AA116/1000</f>
        <v>0</v>
      </c>
      <c r="Z553">
        <f ca="1">Z381*'Fuel Costs'!AB116/1000</f>
        <v>0</v>
      </c>
      <c r="AA553">
        <f ca="1">AA381*'Fuel Costs'!AC116/1000</f>
        <v>0</v>
      </c>
      <c r="AB553">
        <f ca="1">AB381*'Fuel Costs'!AD116/1000</f>
        <v>0</v>
      </c>
      <c r="AC553">
        <f ca="1">AC381*'Fuel Costs'!AE116/1000</f>
        <v>0</v>
      </c>
      <c r="AD553" s="76">
        <f ca="1">AD381*'Fuel Costs'!AF116/1000</f>
        <v>0</v>
      </c>
      <c r="AE553" s="76">
        <f ca="1">AE381*'Fuel Costs'!AG116/1000</f>
        <v>0</v>
      </c>
      <c r="AF553" s="76">
        <f ca="1">AF381*'Fuel Costs'!AH116/1000</f>
        <v>0</v>
      </c>
      <c r="AG553" s="76">
        <f ca="1">AG381*'Fuel Costs'!AI116/1000</f>
        <v>0</v>
      </c>
      <c r="AH553" s="76">
        <f ca="1">AH381*'Fuel Costs'!AJ116/1000</f>
        <v>0</v>
      </c>
      <c r="AI553" s="76">
        <f ca="1">AI381*'Fuel Costs'!AK116/1000</f>
        <v>0</v>
      </c>
      <c r="AJ553" s="76">
        <f ca="1">AJ381*'Fuel Costs'!AL116/1000</f>
        <v>0</v>
      </c>
      <c r="AK553" s="76">
        <f ca="1">AK381*'Fuel Costs'!AM116/1000</f>
        <v>0</v>
      </c>
      <c r="AL553" s="76">
        <f ca="1">AL381*'Fuel Costs'!AN116/1000</f>
        <v>0</v>
      </c>
      <c r="AM553" s="76">
        <f ca="1">AM381*'Fuel Costs'!AO116/1000</f>
        <v>0</v>
      </c>
      <c r="AN553" s="76">
        <f ca="1">AN381*'Fuel Costs'!AP116/1000</f>
        <v>0</v>
      </c>
      <c r="AO553" s="76">
        <f ca="1">AO381*'Fuel Costs'!AQ116/1000</f>
        <v>0</v>
      </c>
      <c r="AP553" s="76">
        <f ca="1">AP381*'Fuel Costs'!AR116/1000</f>
        <v>0</v>
      </c>
      <c r="AQ553" s="76">
        <f ca="1">AQ381*'Fuel Costs'!AS116/1000</f>
        <v>0</v>
      </c>
      <c r="AR553" s="76">
        <f ca="1">AR381*'Fuel Costs'!AT116/1000</f>
        <v>0</v>
      </c>
      <c r="AS553" s="76">
        <f ca="1">AS381*'Fuel Costs'!AU116/1000</f>
        <v>0</v>
      </c>
      <c r="AT553" s="76">
        <f ca="1">AT381*'Fuel Costs'!AV116/1000</f>
        <v>0</v>
      </c>
      <c r="AU553" s="76">
        <f ca="1">AU381*'Fuel Costs'!AW116/1000</f>
        <v>0</v>
      </c>
      <c r="AV553" s="76">
        <f ca="1">AV381*'Fuel Costs'!AX116/1000</f>
        <v>0</v>
      </c>
      <c r="AW553" s="76">
        <f ca="1">AW381*'Fuel Costs'!AY116/1000</f>
        <v>0</v>
      </c>
    </row>
    <row r="554" spans="3:57">
      <c r="C554" t="str">
        <f t="shared" si="221"/>
        <v>IGCC</v>
      </c>
      <c r="D554">
        <f>D382*'Fuel Costs'!F117/1000</f>
        <v>0</v>
      </c>
      <c r="E554">
        <f>E382*'Fuel Costs'!G117/1000</f>
        <v>1.5651677159372947E-12</v>
      </c>
      <c r="F554">
        <f>F382*'Fuel Costs'!H117/1000</f>
        <v>0</v>
      </c>
      <c r="G554">
        <f>G382*'Fuel Costs'!I117/1000</f>
        <v>1.9775283102187326E-12</v>
      </c>
      <c r="H554">
        <f>H382*'Fuel Costs'!J117/1000</f>
        <v>1.9775283102187326E-12</v>
      </c>
      <c r="I554">
        <f ca="1">I382*'Fuel Costs'!K117/1000</f>
        <v>0</v>
      </c>
      <c r="J554">
        <f ca="1">J382*'Fuel Costs'!L117/1000</f>
        <v>0</v>
      </c>
      <c r="K554">
        <f ca="1">K382*'Fuel Costs'!M117/1000</f>
        <v>0</v>
      </c>
      <c r="L554">
        <f ca="1">L382*'Fuel Costs'!N117/1000</f>
        <v>0</v>
      </c>
      <c r="M554">
        <f ca="1">M382*'Fuel Costs'!O117/1000</f>
        <v>0</v>
      </c>
      <c r="N554">
        <f ca="1">N382*'Fuel Costs'!P117/1000</f>
        <v>0</v>
      </c>
      <c r="O554">
        <f ca="1">O382*'Fuel Costs'!Q117/1000</f>
        <v>0</v>
      </c>
      <c r="P554">
        <f ca="1">P382*'Fuel Costs'!R117/1000</f>
        <v>0</v>
      </c>
      <c r="Q554">
        <f ca="1">Q382*'Fuel Costs'!S117/1000</f>
        <v>0</v>
      </c>
      <c r="R554">
        <f ca="1">R382*'Fuel Costs'!T117/1000</f>
        <v>0</v>
      </c>
      <c r="S554">
        <f ca="1">S382*'Fuel Costs'!U117/1000</f>
        <v>0</v>
      </c>
      <c r="T554">
        <f ca="1">T382*'Fuel Costs'!V117/1000</f>
        <v>0</v>
      </c>
      <c r="U554">
        <f ca="1">U382*'Fuel Costs'!W117/1000</f>
        <v>0</v>
      </c>
      <c r="V554">
        <f ca="1">V382*'Fuel Costs'!X117/1000</f>
        <v>0</v>
      </c>
      <c r="W554">
        <f ca="1">W382*'Fuel Costs'!Y117/1000</f>
        <v>0</v>
      </c>
      <c r="X554">
        <f ca="1">X382*'Fuel Costs'!Z117/1000</f>
        <v>0</v>
      </c>
      <c r="Y554">
        <f ca="1">Y382*'Fuel Costs'!AA117/1000</f>
        <v>0</v>
      </c>
      <c r="Z554">
        <f ca="1">Z382*'Fuel Costs'!AB117/1000</f>
        <v>0</v>
      </c>
      <c r="AA554">
        <f ca="1">AA382*'Fuel Costs'!AC117/1000</f>
        <v>0</v>
      </c>
      <c r="AB554">
        <f ca="1">AB382*'Fuel Costs'!AD117/1000</f>
        <v>0</v>
      </c>
      <c r="AC554">
        <f ca="1">AC382*'Fuel Costs'!AE117/1000</f>
        <v>0</v>
      </c>
      <c r="AD554" s="76">
        <f ca="1">AD382*'Fuel Costs'!AF117/1000</f>
        <v>0</v>
      </c>
      <c r="AE554" s="76">
        <f ca="1">AE382*'Fuel Costs'!AG117/1000</f>
        <v>0</v>
      </c>
      <c r="AF554" s="76">
        <f ca="1">AF382*'Fuel Costs'!AH117/1000</f>
        <v>0</v>
      </c>
      <c r="AG554" s="76">
        <f ca="1">AG382*'Fuel Costs'!AI117/1000</f>
        <v>0</v>
      </c>
      <c r="AH554" s="76">
        <f ca="1">AH382*'Fuel Costs'!AJ117/1000</f>
        <v>0</v>
      </c>
      <c r="AI554" s="76">
        <f ca="1">AI382*'Fuel Costs'!AK117/1000</f>
        <v>0</v>
      </c>
      <c r="AJ554" s="76">
        <f ca="1">AJ382*'Fuel Costs'!AL117/1000</f>
        <v>0</v>
      </c>
      <c r="AK554" s="76">
        <f ca="1">AK382*'Fuel Costs'!AM117/1000</f>
        <v>0</v>
      </c>
      <c r="AL554" s="76">
        <f ca="1">AL382*'Fuel Costs'!AN117/1000</f>
        <v>0</v>
      </c>
      <c r="AM554" s="76">
        <f ca="1">AM382*'Fuel Costs'!AO117/1000</f>
        <v>0</v>
      </c>
      <c r="AN554" s="76">
        <f ca="1">AN382*'Fuel Costs'!AP117/1000</f>
        <v>0</v>
      </c>
      <c r="AO554" s="76">
        <f ca="1">AO382*'Fuel Costs'!AQ117/1000</f>
        <v>0</v>
      </c>
      <c r="AP554" s="76">
        <f ca="1">AP382*'Fuel Costs'!AR117/1000</f>
        <v>0</v>
      </c>
      <c r="AQ554" s="76">
        <f ca="1">AQ382*'Fuel Costs'!AS117/1000</f>
        <v>0</v>
      </c>
      <c r="AR554" s="76">
        <f ca="1">AR382*'Fuel Costs'!AT117/1000</f>
        <v>0</v>
      </c>
      <c r="AS554" s="76">
        <f ca="1">AS382*'Fuel Costs'!AU117/1000</f>
        <v>0</v>
      </c>
      <c r="AT554" s="76">
        <f ca="1">AT382*'Fuel Costs'!AV117/1000</f>
        <v>0</v>
      </c>
      <c r="AU554" s="76">
        <f ca="1">AU382*'Fuel Costs'!AW117/1000</f>
        <v>0</v>
      </c>
      <c r="AV554" s="76">
        <f ca="1">AV382*'Fuel Costs'!AX117/1000</f>
        <v>0</v>
      </c>
      <c r="AW554" s="76">
        <f ca="1">AW382*'Fuel Costs'!AY117/1000</f>
        <v>0</v>
      </c>
    </row>
    <row r="555" spans="3:57">
      <c r="C555" t="str">
        <f t="shared" si="221"/>
        <v>-</v>
      </c>
      <c r="D555">
        <f>D383*'Fuel Costs'!F118/1000</f>
        <v>0</v>
      </c>
      <c r="E555">
        <f>E383*'Fuel Costs'!G118/1000</f>
        <v>0</v>
      </c>
      <c r="F555">
        <f>F383*'Fuel Costs'!H118/1000</f>
        <v>0</v>
      </c>
      <c r="G555">
        <f>G383*'Fuel Costs'!I118/1000</f>
        <v>0</v>
      </c>
      <c r="H555">
        <f>H383*'Fuel Costs'!J118/1000</f>
        <v>0</v>
      </c>
      <c r="I555">
        <f ca="1">I383*'Fuel Costs'!K118/1000</f>
        <v>0</v>
      </c>
      <c r="J555">
        <f ca="1">J383*'Fuel Costs'!L118/1000</f>
        <v>0</v>
      </c>
      <c r="K555">
        <f ca="1">K383*'Fuel Costs'!M118/1000</f>
        <v>0</v>
      </c>
      <c r="L555">
        <f ca="1">L383*'Fuel Costs'!N118/1000</f>
        <v>0</v>
      </c>
      <c r="M555">
        <f ca="1">M383*'Fuel Costs'!O118/1000</f>
        <v>0</v>
      </c>
      <c r="N555">
        <f ca="1">N383*'Fuel Costs'!P118/1000</f>
        <v>0</v>
      </c>
      <c r="O555">
        <f ca="1">O383*'Fuel Costs'!Q118/1000</f>
        <v>0</v>
      </c>
      <c r="P555">
        <f ca="1">P383*'Fuel Costs'!R118/1000</f>
        <v>0</v>
      </c>
      <c r="Q555">
        <f ca="1">Q383*'Fuel Costs'!S118/1000</f>
        <v>0</v>
      </c>
      <c r="R555">
        <f ca="1">R383*'Fuel Costs'!T118/1000</f>
        <v>0</v>
      </c>
      <c r="S555">
        <f ca="1">S383*'Fuel Costs'!U118/1000</f>
        <v>0</v>
      </c>
      <c r="T555">
        <f ca="1">T383*'Fuel Costs'!V118/1000</f>
        <v>0</v>
      </c>
      <c r="U555">
        <f ca="1">U383*'Fuel Costs'!W118/1000</f>
        <v>0</v>
      </c>
      <c r="V555">
        <f ca="1">V383*'Fuel Costs'!X118/1000</f>
        <v>0</v>
      </c>
      <c r="W555">
        <f ca="1">W383*'Fuel Costs'!Y118/1000</f>
        <v>0</v>
      </c>
      <c r="X555">
        <f ca="1">X383*'Fuel Costs'!Z118/1000</f>
        <v>0</v>
      </c>
      <c r="Y555">
        <f ca="1">Y383*'Fuel Costs'!AA118/1000</f>
        <v>0</v>
      </c>
      <c r="Z555">
        <f ca="1">Z383*'Fuel Costs'!AB118/1000</f>
        <v>0</v>
      </c>
      <c r="AA555">
        <f ca="1">AA383*'Fuel Costs'!AC118/1000</f>
        <v>0</v>
      </c>
      <c r="AB555">
        <f ca="1">AB383*'Fuel Costs'!AD118/1000</f>
        <v>0</v>
      </c>
      <c r="AC555">
        <f ca="1">AC383*'Fuel Costs'!AE118/1000</f>
        <v>0</v>
      </c>
      <c r="AD555" s="76">
        <f ca="1">AD383*'Fuel Costs'!AF118/1000</f>
        <v>0</v>
      </c>
      <c r="AE555" s="76">
        <f ca="1">AE383*'Fuel Costs'!AG118/1000</f>
        <v>0</v>
      </c>
      <c r="AF555" s="76">
        <f ca="1">AF383*'Fuel Costs'!AH118/1000</f>
        <v>0</v>
      </c>
      <c r="AG555" s="76">
        <f ca="1">AG383*'Fuel Costs'!AI118/1000</f>
        <v>0</v>
      </c>
      <c r="AH555" s="76">
        <f ca="1">AH383*'Fuel Costs'!AJ118/1000</f>
        <v>0</v>
      </c>
      <c r="AI555" s="76">
        <f ca="1">AI383*'Fuel Costs'!AK118/1000</f>
        <v>0</v>
      </c>
      <c r="AJ555" s="76">
        <f ca="1">AJ383*'Fuel Costs'!AL118/1000</f>
        <v>0</v>
      </c>
      <c r="AK555" s="76">
        <f ca="1">AK383*'Fuel Costs'!AM118/1000</f>
        <v>0</v>
      </c>
      <c r="AL555" s="76">
        <f ca="1">AL383*'Fuel Costs'!AN118/1000</f>
        <v>0</v>
      </c>
      <c r="AM555" s="76">
        <f ca="1">AM383*'Fuel Costs'!AO118/1000</f>
        <v>0</v>
      </c>
      <c r="AN555" s="76">
        <f ca="1">AN383*'Fuel Costs'!AP118/1000</f>
        <v>0</v>
      </c>
      <c r="AO555" s="76">
        <f ca="1">AO383*'Fuel Costs'!AQ118/1000</f>
        <v>0</v>
      </c>
      <c r="AP555" s="76">
        <f ca="1">AP383*'Fuel Costs'!AR118/1000</f>
        <v>0</v>
      </c>
      <c r="AQ555" s="76">
        <f ca="1">AQ383*'Fuel Costs'!AS118/1000</f>
        <v>0</v>
      </c>
      <c r="AR555" s="76">
        <f ca="1">AR383*'Fuel Costs'!AT118/1000</f>
        <v>0</v>
      </c>
      <c r="AS555" s="76">
        <f ca="1">AS383*'Fuel Costs'!AU118/1000</f>
        <v>0</v>
      </c>
      <c r="AT555" s="76">
        <f ca="1">AT383*'Fuel Costs'!AV118/1000</f>
        <v>0</v>
      </c>
      <c r="AU555" s="76">
        <f ca="1">AU383*'Fuel Costs'!AW118/1000</f>
        <v>0</v>
      </c>
      <c r="AV555" s="76">
        <f ca="1">AV383*'Fuel Costs'!AX118/1000</f>
        <v>0</v>
      </c>
      <c r="AW555" s="76">
        <f ca="1">AW383*'Fuel Costs'!AY118/1000</f>
        <v>0</v>
      </c>
    </row>
    <row r="556" spans="3:57">
      <c r="C556" t="str">
        <f t="shared" si="221"/>
        <v>-</v>
      </c>
      <c r="D556">
        <f>D384*'Fuel Costs'!F119/1000</f>
        <v>0</v>
      </c>
      <c r="E556">
        <f>E384*'Fuel Costs'!G119/1000</f>
        <v>0</v>
      </c>
      <c r="F556">
        <f>F384*'Fuel Costs'!H119/1000</f>
        <v>0</v>
      </c>
      <c r="G556">
        <f>G384*'Fuel Costs'!I119/1000</f>
        <v>0</v>
      </c>
      <c r="H556">
        <f>H384*'Fuel Costs'!J119/1000</f>
        <v>0</v>
      </c>
      <c r="I556">
        <f ca="1">I384*'Fuel Costs'!K119/1000</f>
        <v>0</v>
      </c>
      <c r="J556">
        <f ca="1">J384*'Fuel Costs'!L119/1000</f>
        <v>0</v>
      </c>
      <c r="K556">
        <f ca="1">K384*'Fuel Costs'!M119/1000</f>
        <v>0</v>
      </c>
      <c r="L556">
        <f ca="1">L384*'Fuel Costs'!N119/1000</f>
        <v>0</v>
      </c>
      <c r="M556">
        <f ca="1">M384*'Fuel Costs'!O119/1000</f>
        <v>0</v>
      </c>
      <c r="N556">
        <f ca="1">N384*'Fuel Costs'!P119/1000</f>
        <v>0</v>
      </c>
      <c r="O556">
        <f ca="1">O384*'Fuel Costs'!Q119/1000</f>
        <v>0</v>
      </c>
      <c r="P556">
        <f ca="1">P384*'Fuel Costs'!R119/1000</f>
        <v>0</v>
      </c>
      <c r="Q556">
        <f ca="1">Q384*'Fuel Costs'!S119/1000</f>
        <v>0</v>
      </c>
      <c r="R556">
        <f ca="1">R384*'Fuel Costs'!T119/1000</f>
        <v>0</v>
      </c>
      <c r="S556">
        <f ca="1">S384*'Fuel Costs'!U119/1000</f>
        <v>0</v>
      </c>
      <c r="T556">
        <f ca="1">T384*'Fuel Costs'!V119/1000</f>
        <v>0</v>
      </c>
      <c r="U556">
        <f ca="1">U384*'Fuel Costs'!W119/1000</f>
        <v>0</v>
      </c>
      <c r="V556">
        <f ca="1">V384*'Fuel Costs'!X119/1000</f>
        <v>0</v>
      </c>
      <c r="W556">
        <f ca="1">W384*'Fuel Costs'!Y119/1000</f>
        <v>0</v>
      </c>
      <c r="X556">
        <f ca="1">X384*'Fuel Costs'!Z119/1000</f>
        <v>0</v>
      </c>
      <c r="Y556">
        <f ca="1">Y384*'Fuel Costs'!AA119/1000</f>
        <v>0</v>
      </c>
      <c r="Z556">
        <f ca="1">Z384*'Fuel Costs'!AB119/1000</f>
        <v>0</v>
      </c>
      <c r="AA556">
        <f ca="1">AA384*'Fuel Costs'!AC119/1000</f>
        <v>0</v>
      </c>
      <c r="AB556">
        <f ca="1">AB384*'Fuel Costs'!AD119/1000</f>
        <v>0</v>
      </c>
      <c r="AC556">
        <f ca="1">AC384*'Fuel Costs'!AE119/1000</f>
        <v>0</v>
      </c>
      <c r="AD556" s="76">
        <f ca="1">AD384*'Fuel Costs'!AF119/1000</f>
        <v>0</v>
      </c>
      <c r="AE556" s="76">
        <f ca="1">AE384*'Fuel Costs'!AG119/1000</f>
        <v>0</v>
      </c>
      <c r="AF556" s="76">
        <f ca="1">AF384*'Fuel Costs'!AH119/1000</f>
        <v>0</v>
      </c>
      <c r="AG556" s="76">
        <f ca="1">AG384*'Fuel Costs'!AI119/1000</f>
        <v>0</v>
      </c>
      <c r="AH556" s="76">
        <f ca="1">AH384*'Fuel Costs'!AJ119/1000</f>
        <v>0</v>
      </c>
      <c r="AI556" s="76">
        <f ca="1">AI384*'Fuel Costs'!AK119/1000</f>
        <v>0</v>
      </c>
      <c r="AJ556" s="76">
        <f ca="1">AJ384*'Fuel Costs'!AL119/1000</f>
        <v>0</v>
      </c>
      <c r="AK556" s="76">
        <f ca="1">AK384*'Fuel Costs'!AM119/1000</f>
        <v>0</v>
      </c>
      <c r="AL556" s="76">
        <f ca="1">AL384*'Fuel Costs'!AN119/1000</f>
        <v>0</v>
      </c>
      <c r="AM556" s="76">
        <f ca="1">AM384*'Fuel Costs'!AO119/1000</f>
        <v>0</v>
      </c>
      <c r="AN556" s="76">
        <f ca="1">AN384*'Fuel Costs'!AP119/1000</f>
        <v>0</v>
      </c>
      <c r="AO556" s="76">
        <f ca="1">AO384*'Fuel Costs'!AQ119/1000</f>
        <v>0</v>
      </c>
      <c r="AP556" s="76">
        <f ca="1">AP384*'Fuel Costs'!AR119/1000</f>
        <v>0</v>
      </c>
      <c r="AQ556" s="76">
        <f ca="1">AQ384*'Fuel Costs'!AS119/1000</f>
        <v>0</v>
      </c>
      <c r="AR556" s="76">
        <f ca="1">AR384*'Fuel Costs'!AT119/1000</f>
        <v>0</v>
      </c>
      <c r="AS556" s="76">
        <f ca="1">AS384*'Fuel Costs'!AU119/1000</f>
        <v>0</v>
      </c>
      <c r="AT556" s="76">
        <f ca="1">AT384*'Fuel Costs'!AV119/1000</f>
        <v>0</v>
      </c>
      <c r="AU556" s="76">
        <f ca="1">AU384*'Fuel Costs'!AW119/1000</f>
        <v>0</v>
      </c>
      <c r="AV556" s="76">
        <f ca="1">AV384*'Fuel Costs'!AX119/1000</f>
        <v>0</v>
      </c>
      <c r="AW556" s="76">
        <f ca="1">AW384*'Fuel Costs'!AY119/1000</f>
        <v>0</v>
      </c>
    </row>
    <row r="557" spans="3:57">
      <c r="C557" t="str">
        <f t="shared" si="221"/>
        <v>-</v>
      </c>
      <c r="D557">
        <f>D385*'Fuel Costs'!F120/1000</f>
        <v>0</v>
      </c>
      <c r="E557">
        <f>E385*'Fuel Costs'!G120/1000</f>
        <v>0</v>
      </c>
      <c r="F557">
        <f>F385*'Fuel Costs'!H120/1000</f>
        <v>0</v>
      </c>
      <c r="G557">
        <f>G385*'Fuel Costs'!I120/1000</f>
        <v>0</v>
      </c>
      <c r="H557">
        <f>H385*'Fuel Costs'!J120/1000</f>
        <v>0</v>
      </c>
      <c r="I557">
        <f ca="1">I385*'Fuel Costs'!K120/1000</f>
        <v>0</v>
      </c>
      <c r="J557">
        <f ca="1">J385*'Fuel Costs'!L120/1000</f>
        <v>0</v>
      </c>
      <c r="K557">
        <f ca="1">K385*'Fuel Costs'!M120/1000</f>
        <v>0</v>
      </c>
      <c r="L557">
        <f ca="1">L385*'Fuel Costs'!N120/1000</f>
        <v>0</v>
      </c>
      <c r="M557">
        <f ca="1">M385*'Fuel Costs'!O120/1000</f>
        <v>0</v>
      </c>
      <c r="N557">
        <f ca="1">N385*'Fuel Costs'!P120/1000</f>
        <v>0</v>
      </c>
      <c r="O557">
        <f ca="1">O385*'Fuel Costs'!Q120/1000</f>
        <v>0</v>
      </c>
      <c r="P557">
        <f ca="1">P385*'Fuel Costs'!R120/1000</f>
        <v>0</v>
      </c>
      <c r="Q557">
        <f ca="1">Q385*'Fuel Costs'!S120/1000</f>
        <v>0</v>
      </c>
      <c r="R557">
        <f ca="1">R385*'Fuel Costs'!T120/1000</f>
        <v>0</v>
      </c>
      <c r="S557">
        <f ca="1">S385*'Fuel Costs'!U120/1000</f>
        <v>0</v>
      </c>
      <c r="T557">
        <f ca="1">T385*'Fuel Costs'!V120/1000</f>
        <v>0</v>
      </c>
      <c r="U557">
        <f ca="1">U385*'Fuel Costs'!W120/1000</f>
        <v>0</v>
      </c>
      <c r="V557">
        <f ca="1">V385*'Fuel Costs'!X120/1000</f>
        <v>0</v>
      </c>
      <c r="W557">
        <f ca="1">W385*'Fuel Costs'!Y120/1000</f>
        <v>0</v>
      </c>
      <c r="X557">
        <f ca="1">X385*'Fuel Costs'!Z120/1000</f>
        <v>0</v>
      </c>
      <c r="Y557">
        <f ca="1">Y385*'Fuel Costs'!AA120/1000</f>
        <v>0</v>
      </c>
      <c r="Z557">
        <f ca="1">Z385*'Fuel Costs'!AB120/1000</f>
        <v>0</v>
      </c>
      <c r="AA557">
        <f ca="1">AA385*'Fuel Costs'!AC120/1000</f>
        <v>0</v>
      </c>
      <c r="AB557">
        <f ca="1">AB385*'Fuel Costs'!AD120/1000</f>
        <v>0</v>
      </c>
      <c r="AC557">
        <f ca="1">AC385*'Fuel Costs'!AE120/1000</f>
        <v>0</v>
      </c>
      <c r="AD557" s="76">
        <f ca="1">AD385*'Fuel Costs'!AF120/1000</f>
        <v>0</v>
      </c>
      <c r="AE557" s="76">
        <f ca="1">AE385*'Fuel Costs'!AG120/1000</f>
        <v>0</v>
      </c>
      <c r="AF557" s="76">
        <f ca="1">AF385*'Fuel Costs'!AH120/1000</f>
        <v>0</v>
      </c>
      <c r="AG557" s="76">
        <f ca="1">AG385*'Fuel Costs'!AI120/1000</f>
        <v>0</v>
      </c>
      <c r="AH557" s="76">
        <f ca="1">AH385*'Fuel Costs'!AJ120/1000</f>
        <v>0</v>
      </c>
      <c r="AI557" s="76">
        <f ca="1">AI385*'Fuel Costs'!AK120/1000</f>
        <v>0</v>
      </c>
      <c r="AJ557" s="76">
        <f ca="1">AJ385*'Fuel Costs'!AL120/1000</f>
        <v>0</v>
      </c>
      <c r="AK557" s="76">
        <f ca="1">AK385*'Fuel Costs'!AM120/1000</f>
        <v>0</v>
      </c>
      <c r="AL557" s="76">
        <f ca="1">AL385*'Fuel Costs'!AN120/1000</f>
        <v>0</v>
      </c>
      <c r="AM557" s="76">
        <f ca="1">AM385*'Fuel Costs'!AO120/1000</f>
        <v>0</v>
      </c>
      <c r="AN557" s="76">
        <f ca="1">AN385*'Fuel Costs'!AP120/1000</f>
        <v>0</v>
      </c>
      <c r="AO557" s="76">
        <f ca="1">AO385*'Fuel Costs'!AQ120/1000</f>
        <v>0</v>
      </c>
      <c r="AP557" s="76">
        <f ca="1">AP385*'Fuel Costs'!AR120/1000</f>
        <v>0</v>
      </c>
      <c r="AQ557" s="76">
        <f ca="1">AQ385*'Fuel Costs'!AS120/1000</f>
        <v>0</v>
      </c>
      <c r="AR557" s="76">
        <f ca="1">AR385*'Fuel Costs'!AT120/1000</f>
        <v>0</v>
      </c>
      <c r="AS557" s="76">
        <f ca="1">AS385*'Fuel Costs'!AU120/1000</f>
        <v>0</v>
      </c>
      <c r="AT557" s="76">
        <f ca="1">AT385*'Fuel Costs'!AV120/1000</f>
        <v>0</v>
      </c>
      <c r="AU557" s="76">
        <f ca="1">AU385*'Fuel Costs'!AW120/1000</f>
        <v>0</v>
      </c>
      <c r="AV557" s="76">
        <f ca="1">AV385*'Fuel Costs'!AX120/1000</f>
        <v>0</v>
      </c>
      <c r="AW557" s="76">
        <f ca="1">AW385*'Fuel Costs'!AY120/1000</f>
        <v>0</v>
      </c>
    </row>
    <row r="558" spans="3:57">
      <c r="C558" t="str">
        <f t="shared" si="221"/>
        <v>Pumped storage</v>
      </c>
      <c r="D558">
        <f>D386*'Fuel Costs'!F121/1000</f>
        <v>0</v>
      </c>
      <c r="E558">
        <f>E386*'Fuel Costs'!G121/1000</f>
        <v>0</v>
      </c>
      <c r="F558">
        <f>F386*'Fuel Costs'!H121/1000</f>
        <v>0</v>
      </c>
      <c r="G558">
        <f>G386*'Fuel Costs'!I121/1000</f>
        <v>0</v>
      </c>
      <c r="H558">
        <f>H386*'Fuel Costs'!J121/1000</f>
        <v>0</v>
      </c>
      <c r="I558">
        <f ca="1">I386*'Fuel Costs'!K121/1000</f>
        <v>0</v>
      </c>
      <c r="J558">
        <f ca="1">J386*'Fuel Costs'!L121/1000</f>
        <v>0</v>
      </c>
      <c r="K558">
        <f ca="1">K386*'Fuel Costs'!M121/1000</f>
        <v>0</v>
      </c>
      <c r="L558">
        <f ca="1">L386*'Fuel Costs'!N121/1000</f>
        <v>0</v>
      </c>
      <c r="M558">
        <f ca="1">M386*'Fuel Costs'!O121/1000</f>
        <v>0</v>
      </c>
      <c r="N558">
        <f ca="1">N386*'Fuel Costs'!P121/1000</f>
        <v>0</v>
      </c>
      <c r="O558">
        <f ca="1">O386*'Fuel Costs'!Q121/1000</f>
        <v>0</v>
      </c>
      <c r="P558">
        <f ca="1">P386*'Fuel Costs'!R121/1000</f>
        <v>0</v>
      </c>
      <c r="Q558">
        <f ca="1">Q386*'Fuel Costs'!S121/1000</f>
        <v>0</v>
      </c>
      <c r="R558">
        <f ca="1">R386*'Fuel Costs'!T121/1000</f>
        <v>0</v>
      </c>
      <c r="S558">
        <f ca="1">S386*'Fuel Costs'!U121/1000</f>
        <v>0</v>
      </c>
      <c r="T558">
        <f ca="1">T386*'Fuel Costs'!V121/1000</f>
        <v>0</v>
      </c>
      <c r="U558">
        <f ca="1">U386*'Fuel Costs'!W121/1000</f>
        <v>0</v>
      </c>
      <c r="V558">
        <f ca="1">V386*'Fuel Costs'!X121/1000</f>
        <v>0</v>
      </c>
      <c r="W558">
        <f ca="1">W386*'Fuel Costs'!Y121/1000</f>
        <v>0</v>
      </c>
      <c r="X558">
        <f ca="1">X386*'Fuel Costs'!Z121/1000</f>
        <v>0</v>
      </c>
      <c r="Y558">
        <f ca="1">Y386*'Fuel Costs'!AA121/1000</f>
        <v>0</v>
      </c>
      <c r="Z558">
        <f ca="1">Z386*'Fuel Costs'!AB121/1000</f>
        <v>0</v>
      </c>
      <c r="AA558">
        <f ca="1">AA386*'Fuel Costs'!AC121/1000</f>
        <v>0</v>
      </c>
      <c r="AB558">
        <f ca="1">AB386*'Fuel Costs'!AD121/1000</f>
        <v>0</v>
      </c>
      <c r="AC558">
        <f ca="1">AC386*'Fuel Costs'!AE121/1000</f>
        <v>0</v>
      </c>
      <c r="AD558" s="76">
        <f ca="1">AD386*'Fuel Costs'!AF121/1000</f>
        <v>0</v>
      </c>
      <c r="AE558" s="76">
        <f ca="1">AE386*'Fuel Costs'!AG121/1000</f>
        <v>0</v>
      </c>
      <c r="AF558" s="76">
        <f ca="1">AF386*'Fuel Costs'!AH121/1000</f>
        <v>0</v>
      </c>
      <c r="AG558" s="76">
        <f ca="1">AG386*'Fuel Costs'!AI121/1000</f>
        <v>0</v>
      </c>
      <c r="AH558" s="76">
        <f ca="1">AH386*'Fuel Costs'!AJ121/1000</f>
        <v>0</v>
      </c>
      <c r="AI558" s="76">
        <f ca="1">AI386*'Fuel Costs'!AK121/1000</f>
        <v>0</v>
      </c>
      <c r="AJ558" s="76">
        <f ca="1">AJ386*'Fuel Costs'!AL121/1000</f>
        <v>0</v>
      </c>
      <c r="AK558" s="76">
        <f ca="1">AK386*'Fuel Costs'!AM121/1000</f>
        <v>0</v>
      </c>
      <c r="AL558" s="76">
        <f ca="1">AL386*'Fuel Costs'!AN121/1000</f>
        <v>0</v>
      </c>
      <c r="AM558" s="76">
        <f ca="1">AM386*'Fuel Costs'!AO121/1000</f>
        <v>0</v>
      </c>
      <c r="AN558" s="76">
        <f ca="1">AN386*'Fuel Costs'!AP121/1000</f>
        <v>0</v>
      </c>
      <c r="AO558" s="76">
        <f ca="1">AO386*'Fuel Costs'!AQ121/1000</f>
        <v>0</v>
      </c>
      <c r="AP558" s="76">
        <f ca="1">AP386*'Fuel Costs'!AR121/1000</f>
        <v>0</v>
      </c>
      <c r="AQ558" s="76">
        <f ca="1">AQ386*'Fuel Costs'!AS121/1000</f>
        <v>0</v>
      </c>
      <c r="AR558" s="76">
        <f ca="1">AR386*'Fuel Costs'!AT121/1000</f>
        <v>0</v>
      </c>
      <c r="AS558" s="76">
        <f ca="1">AS386*'Fuel Costs'!AU121/1000</f>
        <v>0</v>
      </c>
      <c r="AT558" s="76">
        <f ca="1">AT386*'Fuel Costs'!AV121/1000</f>
        <v>0</v>
      </c>
      <c r="AU558" s="76">
        <f ca="1">AU386*'Fuel Costs'!AW121/1000</f>
        <v>0</v>
      </c>
      <c r="AV558" s="76">
        <f ca="1">AV386*'Fuel Costs'!AX121/1000</f>
        <v>0</v>
      </c>
      <c r="AW558" s="76">
        <f ca="1">AW386*'Fuel Costs'!AY121/1000</f>
        <v>0</v>
      </c>
    </row>
    <row r="559" spans="3:57">
      <c r="AD559" s="76"/>
      <c r="AE559" s="76"/>
      <c r="AF559" s="76"/>
      <c r="AG559" s="76"/>
      <c r="AH559" s="76"/>
      <c r="AI559" s="76"/>
      <c r="AJ559" s="76"/>
      <c r="AK559" s="76"/>
      <c r="AL559" s="76"/>
      <c r="AM559" s="76"/>
      <c r="AN559" s="76"/>
      <c r="AO559" s="76"/>
      <c r="AP559" s="76"/>
      <c r="AQ559" s="76"/>
      <c r="AR559" s="76"/>
      <c r="AS559" s="76"/>
      <c r="AT559" s="76"/>
      <c r="AU559" s="76"/>
      <c r="AV559" s="76"/>
      <c r="AW559" s="76"/>
      <c r="BA559" s="11" t="s">
        <v>322</v>
      </c>
      <c r="BC559" s="11" t="s">
        <v>323</v>
      </c>
      <c r="BE559" s="11" t="s">
        <v>323</v>
      </c>
    </row>
    <row r="560" spans="3:57">
      <c r="C560" s="4" t="s">
        <v>136</v>
      </c>
      <c r="AD560" s="76"/>
      <c r="AE560" s="76"/>
      <c r="AF560" s="76"/>
      <c r="AG560" s="76"/>
      <c r="AH560" s="76"/>
      <c r="AI560" s="76"/>
      <c r="AJ560" s="76"/>
      <c r="AK560" s="76"/>
      <c r="AL560" s="76"/>
      <c r="AM560" s="76"/>
      <c r="AN560" s="76"/>
      <c r="AO560" s="76"/>
      <c r="AP560" s="76"/>
      <c r="AQ560" s="76"/>
      <c r="AR560" s="76"/>
      <c r="AS560" s="76"/>
      <c r="AT560" s="76"/>
      <c r="AU560" s="76"/>
      <c r="AV560" s="76"/>
      <c r="AW560" s="76"/>
      <c r="AY560" s="4" t="s">
        <v>320</v>
      </c>
      <c r="BA560" s="4" t="s">
        <v>321</v>
      </c>
      <c r="BC560" s="4" t="s">
        <v>324</v>
      </c>
      <c r="BE560" s="4" t="s">
        <v>325</v>
      </c>
    </row>
    <row r="561" spans="3:57">
      <c r="C561" t="str">
        <f>C8</f>
        <v>Existing coal Large</v>
      </c>
      <c r="D561" s="24">
        <f t="shared" ref="D561:F576" ca="1" si="222">D470+D493+D516+D539</f>
        <v>16255.848534235311</v>
      </c>
      <c r="E561" s="24">
        <f t="shared" ca="1" si="222"/>
        <v>17848.075230169379</v>
      </c>
      <c r="F561" s="24">
        <f t="shared" ca="1" si="222"/>
        <v>19881.448596266746</v>
      </c>
      <c r="G561" s="24">
        <f t="shared" ref="G561:G578" ca="1" si="223">G470+G493+G516+G539</f>
        <v>20778.472732023358</v>
      </c>
      <c r="H561" s="24">
        <f t="shared" ref="H561:AC573" ca="1" si="224">H470+H493+H516+H539</f>
        <v>20778.472732023358</v>
      </c>
      <c r="I561" s="24">
        <f t="shared" ca="1" si="224"/>
        <v>21202.080907823816</v>
      </c>
      <c r="J561" s="24">
        <f t="shared" ca="1" si="224"/>
        <v>21544.21256869131</v>
      </c>
      <c r="K561" s="24">
        <f t="shared" ca="1" si="224"/>
        <v>21918.855286541409</v>
      </c>
      <c r="L561" s="24">
        <f t="shared" ca="1" si="224"/>
        <v>22275.182280814239</v>
      </c>
      <c r="M561" s="24">
        <f t="shared" ca="1" si="224"/>
        <v>22369.252860877034</v>
      </c>
      <c r="N561" s="24">
        <f t="shared" ca="1" si="224"/>
        <v>22449.36221189766</v>
      </c>
      <c r="O561" s="24">
        <f t="shared" ca="1" si="224"/>
        <v>22529.47156291829</v>
      </c>
      <c r="P561" s="24">
        <f t="shared" ca="1" si="224"/>
        <v>22609.580913938917</v>
      </c>
      <c r="Q561" s="24">
        <f t="shared" ca="1" si="224"/>
        <v>22689.690264959547</v>
      </c>
      <c r="R561" s="24">
        <f t="shared" ca="1" si="224"/>
        <v>22769.799615980173</v>
      </c>
      <c r="S561" s="24">
        <f t="shared" ca="1" si="224"/>
        <v>22849.908967000803</v>
      </c>
      <c r="T561" s="24">
        <f t="shared" ca="1" si="224"/>
        <v>22930.01831802143</v>
      </c>
      <c r="U561" s="24">
        <f t="shared" ca="1" si="224"/>
        <v>23010.127669042056</v>
      </c>
      <c r="V561" s="24">
        <f t="shared" ca="1" si="224"/>
        <v>23090.237020062686</v>
      </c>
      <c r="W561" s="24">
        <f t="shared" ca="1" si="224"/>
        <v>22303.482964466039</v>
      </c>
      <c r="X561" s="24">
        <f t="shared" ca="1" si="224"/>
        <v>21510.734707158685</v>
      </c>
      <c r="Y561" s="24">
        <f t="shared" ca="1" si="224"/>
        <v>20493.777846058623</v>
      </c>
      <c r="Z561" s="24">
        <f t="shared" ca="1" si="224"/>
        <v>19469.328232820168</v>
      </c>
      <c r="AA561" s="24">
        <f t="shared" ca="1" si="224"/>
        <v>18206.109075327888</v>
      </c>
      <c r="AB561" s="24">
        <f t="shared" ca="1" si="224"/>
        <v>15599.443102709989</v>
      </c>
      <c r="AC561" s="24">
        <f t="shared" ca="1" si="224"/>
        <v>14313.548511114688</v>
      </c>
      <c r="AD561" s="77">
        <f t="shared" ref="AD561:AS561" ca="1" si="225">AD470+AD493+AD516+AD539</f>
        <v>14313.548511114688</v>
      </c>
      <c r="AE561" s="77">
        <f t="shared" ca="1" si="225"/>
        <v>14313.548511114688</v>
      </c>
      <c r="AF561" s="77">
        <f t="shared" ca="1" si="225"/>
        <v>14313.548511114688</v>
      </c>
      <c r="AG561" s="77">
        <f t="shared" ca="1" si="225"/>
        <v>11570.525874691539</v>
      </c>
      <c r="AH561" s="77">
        <f t="shared" ca="1" si="225"/>
        <v>8827.5032382683876</v>
      </c>
      <c r="AI561" s="77">
        <f t="shared" ca="1" si="225"/>
        <v>7395.4498245160639</v>
      </c>
      <c r="AJ561" s="77">
        <f t="shared" ca="1" si="225"/>
        <v>4473.1294436068501</v>
      </c>
      <c r="AK561" s="77">
        <f t="shared" ca="1" si="225"/>
        <v>2982.86247644996</v>
      </c>
      <c r="AL561" s="77">
        <f t="shared" ca="1" si="225"/>
        <v>2982.86247644996</v>
      </c>
      <c r="AM561" s="77">
        <f t="shared" ca="1" si="225"/>
        <v>2982.86247644996</v>
      </c>
      <c r="AN561" s="77">
        <f t="shared" ca="1" si="225"/>
        <v>2982.86247644996</v>
      </c>
      <c r="AO561" s="77">
        <f t="shared" ca="1" si="225"/>
        <v>2982.86247644996</v>
      </c>
      <c r="AP561" s="77">
        <f t="shared" ca="1" si="225"/>
        <v>2982.86247644996</v>
      </c>
      <c r="AQ561" s="77">
        <f t="shared" ca="1" si="225"/>
        <v>2982.86247644996</v>
      </c>
      <c r="AR561" s="77">
        <f t="shared" ca="1" si="225"/>
        <v>1491.4312382249786</v>
      </c>
      <c r="AS561" s="77">
        <f t="shared" ca="1" si="225"/>
        <v>-2.7575478329598024E-12</v>
      </c>
      <c r="AT561" s="77">
        <f t="shared" ref="AE561:AW575" ca="1" si="226">AT470+AT493+AT516+AT539</f>
        <v>-2.7575478329598024E-12</v>
      </c>
      <c r="AU561" s="77">
        <f t="shared" ca="1" si="226"/>
        <v>-2.7575478329598024E-12</v>
      </c>
      <c r="AV561" s="77">
        <f t="shared" ca="1" si="226"/>
        <v>-2.7575478329598024E-12</v>
      </c>
      <c r="AW561" s="77">
        <f t="shared" ca="1" si="226"/>
        <v>-2.7575478329598024E-12</v>
      </c>
      <c r="BA561" s="49">
        <f t="shared" ref="BA561:BA581" ca="1" si="227">NPV(discount_rate,AD561:AW561)</f>
        <v>63258.676336548429</v>
      </c>
      <c r="BB561" s="49"/>
      <c r="BC561" s="49">
        <f t="shared" ref="BC561:BC581" ca="1" si="228">NPV(discount_rate,I561:AB561,AC561+BA561)</f>
        <v>197249.1878039758</v>
      </c>
      <c r="BD561" s="49"/>
      <c r="BE561" s="49">
        <f t="shared" ref="BE561:BE581" ca="1" si="229">NPV(discount_rate,I561:AC561)</f>
        <v>188701.00675427614</v>
      </c>
    </row>
    <row r="562" spans="3:57">
      <c r="C562" t="str">
        <f t="shared" ref="C562:C579" si="230">C9</f>
        <v>Existing coal Small</v>
      </c>
      <c r="D562" s="24">
        <f t="shared" ca="1" si="222"/>
        <v>2346.7001846771027</v>
      </c>
      <c r="E562" s="24">
        <f t="shared" ca="1" si="222"/>
        <v>2456.5429896070436</v>
      </c>
      <c r="F562" s="24">
        <f t="shared" ca="1" si="222"/>
        <v>2566.3857945369841</v>
      </c>
      <c r="G562" s="24">
        <f t="shared" ca="1" si="223"/>
        <v>2680.9661728977972</v>
      </c>
      <c r="H562" s="24">
        <f t="shared" ref="H562:V562" ca="1" si="231">H471+H494+H517+H540</f>
        <v>2680.9661728977972</v>
      </c>
      <c r="I562" s="24">
        <f t="shared" ca="1" si="231"/>
        <v>3024.8324517331271</v>
      </c>
      <c r="J562" s="24">
        <f t="shared" ca="1" si="231"/>
        <v>3231.974476853894</v>
      </c>
      <c r="K562" s="24">
        <f t="shared" ca="1" si="231"/>
        <v>3239.3546044048408</v>
      </c>
      <c r="L562" s="24">
        <f t="shared" ca="1" si="231"/>
        <v>3246.7347319557866</v>
      </c>
      <c r="M562" s="24">
        <f t="shared" ca="1" si="231"/>
        <v>3254.1148595067334</v>
      </c>
      <c r="N562" s="24">
        <f t="shared" ca="1" si="231"/>
        <v>3261.4949870576793</v>
      </c>
      <c r="O562" s="24">
        <f t="shared" ca="1" si="231"/>
        <v>3250.078233359066</v>
      </c>
      <c r="P562" s="24">
        <f t="shared" ca="1" si="231"/>
        <v>3238.5766043585108</v>
      </c>
      <c r="Q562" s="24">
        <f t="shared" ca="1" si="231"/>
        <v>3220.6961812055124</v>
      </c>
      <c r="R562" s="24">
        <f t="shared" ca="1" si="231"/>
        <v>3202.7025909832582</v>
      </c>
      <c r="S562" s="24">
        <f t="shared" ca="1" si="231"/>
        <v>2729.3966692090917</v>
      </c>
      <c r="T562" s="24">
        <f t="shared" ca="1" si="231"/>
        <v>2253.9405731190573</v>
      </c>
      <c r="U562" s="24">
        <f t="shared" ca="1" si="231"/>
        <v>2258.9724839829387</v>
      </c>
      <c r="V562" s="24">
        <f t="shared" ca="1" si="231"/>
        <v>2264.0043948468197</v>
      </c>
      <c r="W562" s="24">
        <f t="shared" ca="1" si="224"/>
        <v>2269.0363057107006</v>
      </c>
      <c r="X562" s="24">
        <f t="shared" ca="1" si="224"/>
        <v>2050.2016630437815</v>
      </c>
      <c r="Y562" s="24">
        <f t="shared" ca="1" si="224"/>
        <v>1830.3763055561185</v>
      </c>
      <c r="Z562" s="24">
        <f t="shared" ca="1" si="224"/>
        <v>1834.4175015992557</v>
      </c>
      <c r="AA562" s="24">
        <f t="shared" ca="1" si="224"/>
        <v>1838.458697642393</v>
      </c>
      <c r="AB562" s="24">
        <f t="shared" ca="1" si="224"/>
        <v>1842.4998936855307</v>
      </c>
      <c r="AC562" s="24">
        <f t="shared" ca="1" si="224"/>
        <v>1846.5410897286679</v>
      </c>
      <c r="AD562" s="77">
        <f t="shared" ref="AD562:AD580" ca="1" si="232">AD471+AD494+AD517+AD540</f>
        <v>1846.5410897286679</v>
      </c>
      <c r="AE562" s="77">
        <f t="shared" ca="1" si="226"/>
        <v>1793.797546980888</v>
      </c>
      <c r="AF562" s="77">
        <f t="shared" ca="1" si="226"/>
        <v>1741.0540042331072</v>
      </c>
      <c r="AG562" s="77">
        <f t="shared" ca="1" si="226"/>
        <v>1741.0540042331072</v>
      </c>
      <c r="AH562" s="77">
        <f t="shared" ca="1" si="226"/>
        <v>1741.0540042331072</v>
      </c>
      <c r="AI562" s="77">
        <f t="shared" ca="1" si="226"/>
        <v>1741.0540042331072</v>
      </c>
      <c r="AJ562" s="77">
        <f t="shared" ca="1" si="226"/>
        <v>1741.0540042331072</v>
      </c>
      <c r="AK562" s="77">
        <f t="shared" ca="1" si="226"/>
        <v>1544.5584528198074</v>
      </c>
      <c r="AL562" s="77">
        <f t="shared" ca="1" si="226"/>
        <v>1348.0629014065075</v>
      </c>
      <c r="AM562" s="77">
        <f t="shared" ca="1" si="226"/>
        <v>1348.0629014065075</v>
      </c>
      <c r="AN562" s="77">
        <f t="shared" ca="1" si="226"/>
        <v>1348.0629014065075</v>
      </c>
      <c r="AO562" s="77">
        <f t="shared" ca="1" si="226"/>
        <v>1348.0629014065075</v>
      </c>
      <c r="AP562" s="77">
        <f t="shared" ca="1" si="226"/>
        <v>1348.0629014065075</v>
      </c>
      <c r="AQ562" s="77">
        <f t="shared" ca="1" si="226"/>
        <v>1348.0629014065075</v>
      </c>
      <c r="AR562" s="77">
        <f t="shared" ca="1" si="226"/>
        <v>1348.0629014065075</v>
      </c>
      <c r="AS562" s="77">
        <f t="shared" ca="1" si="226"/>
        <v>1348.0629014065075</v>
      </c>
      <c r="AT562" s="77">
        <f t="shared" ca="1" si="226"/>
        <v>1348.0629014065075</v>
      </c>
      <c r="AU562" s="77">
        <f t="shared" ca="1" si="226"/>
        <v>1348.0629014065075</v>
      </c>
      <c r="AV562" s="77">
        <f t="shared" ca="1" si="226"/>
        <v>1348.0629014065075</v>
      </c>
      <c r="AW562" s="77">
        <f t="shared" ca="1" si="226"/>
        <v>1348.0629014065075</v>
      </c>
      <c r="BA562" s="49">
        <f t="shared" ca="1" si="227"/>
        <v>13621.218369667238</v>
      </c>
      <c r="BB562" s="49"/>
      <c r="BC562" s="49">
        <f t="shared" ca="1" si="228"/>
        <v>26984.535411610766</v>
      </c>
      <c r="BD562" s="49"/>
      <c r="BE562" s="49">
        <f t="shared" ca="1" si="229"/>
        <v>25143.892396541265</v>
      </c>
    </row>
    <row r="563" spans="3:57">
      <c r="C563" t="str">
        <f t="shared" si="230"/>
        <v>OCGT liquid fuels</v>
      </c>
      <c r="D563" s="24">
        <f t="shared" ca="1" si="222"/>
        <v>1203.429722858983</v>
      </c>
      <c r="E563" s="24">
        <f t="shared" ca="1" si="222"/>
        <v>1333.4299474905283</v>
      </c>
      <c r="F563" s="24">
        <f t="shared" ca="1" si="222"/>
        <v>1333.1218239168195</v>
      </c>
      <c r="G563" s="24">
        <f t="shared" ca="1" si="223"/>
        <v>1771.1195126279106</v>
      </c>
      <c r="H563" s="24">
        <f t="shared" ca="1" si="224"/>
        <v>1291.5694060722121</v>
      </c>
      <c r="I563" s="24">
        <f t="shared" ca="1" si="224"/>
        <v>1344.4644260844339</v>
      </c>
      <c r="J563" s="24">
        <f t="shared" ca="1" si="224"/>
        <v>2707.0090326218919</v>
      </c>
      <c r="K563" s="24">
        <f t="shared" ca="1" si="224"/>
        <v>2783.7068116396131</v>
      </c>
      <c r="L563" s="24">
        <f t="shared" ca="1" si="224"/>
        <v>2860.4045906573351</v>
      </c>
      <c r="M563" s="24">
        <f t="shared" ca="1" si="224"/>
        <v>2937.1023696750563</v>
      </c>
      <c r="N563" s="24">
        <f t="shared" ca="1" si="224"/>
        <v>3013.8001486927778</v>
      </c>
      <c r="O563" s="24">
        <f t="shared" ca="1" si="224"/>
        <v>3090.4979277104985</v>
      </c>
      <c r="P563" s="24">
        <f t="shared" ca="1" si="224"/>
        <v>3167.1957067282201</v>
      </c>
      <c r="Q563" s="24">
        <f t="shared" ca="1" si="224"/>
        <v>3243.8934857459412</v>
      </c>
      <c r="R563" s="24">
        <f t="shared" ca="1" si="224"/>
        <v>3320.5912647636628</v>
      </c>
      <c r="S563" s="24">
        <f t="shared" ca="1" si="224"/>
        <v>3397.2890437813844</v>
      </c>
      <c r="T563" s="24">
        <f t="shared" ca="1" si="224"/>
        <v>3473.9868227991051</v>
      </c>
      <c r="U563" s="24">
        <f t="shared" ca="1" si="224"/>
        <v>3550.6846018168262</v>
      </c>
      <c r="V563" s="24">
        <f t="shared" ca="1" si="224"/>
        <v>4690.9041772287037</v>
      </c>
      <c r="W563" s="24">
        <f t="shared" ca="1" si="224"/>
        <v>4783.4704622500922</v>
      </c>
      <c r="X563" s="24">
        <f t="shared" ca="1" si="224"/>
        <v>4876.0367472714797</v>
      </c>
      <c r="Y563" s="24">
        <f t="shared" ca="1" si="224"/>
        <v>6079.7303466980229</v>
      </c>
      <c r="Z563" s="24">
        <f t="shared" ca="1" si="224"/>
        <v>6188.1651377230755</v>
      </c>
      <c r="AA563" s="24">
        <f t="shared" ca="1" si="224"/>
        <v>6296.59992874813</v>
      </c>
      <c r="AB563" s="24">
        <f t="shared" ca="1" si="224"/>
        <v>7563.7675521893389</v>
      </c>
      <c r="AC563" s="24">
        <f t="shared" ca="1" si="224"/>
        <v>7516.9023553421284</v>
      </c>
      <c r="AD563" s="77">
        <f t="shared" ca="1" si="232"/>
        <v>7395.6817289558257</v>
      </c>
      <c r="AE563" s="77">
        <f t="shared" ca="1" si="226"/>
        <v>7291.7350418295709</v>
      </c>
      <c r="AF563" s="77">
        <f t="shared" ca="1" si="226"/>
        <v>7291.7350418295709</v>
      </c>
      <c r="AG563" s="77">
        <f t="shared" ca="1" si="226"/>
        <v>7291.7350418295709</v>
      </c>
      <c r="AH563" s="77">
        <f t="shared" ca="1" si="226"/>
        <v>7291.7350418295709</v>
      </c>
      <c r="AI563" s="77">
        <f t="shared" ca="1" si="226"/>
        <v>7291.7350418295709</v>
      </c>
      <c r="AJ563" s="77">
        <f t="shared" ca="1" si="226"/>
        <v>7291.7350418295709</v>
      </c>
      <c r="AK563" s="77">
        <f t="shared" ca="1" si="226"/>
        <v>7291.7350418295709</v>
      </c>
      <c r="AL563" s="77">
        <f t="shared" ca="1" si="226"/>
        <v>7291.7350418295709</v>
      </c>
      <c r="AM563" s="77">
        <f t="shared" ca="1" si="226"/>
        <v>7291.7350418295709</v>
      </c>
      <c r="AN563" s="77">
        <f t="shared" ca="1" si="226"/>
        <v>7291.7350418295709</v>
      </c>
      <c r="AO563" s="77">
        <f t="shared" ca="1" si="226"/>
        <v>7291.7350418295709</v>
      </c>
      <c r="AP563" s="77">
        <f t="shared" ca="1" si="226"/>
        <v>7291.7350418295709</v>
      </c>
      <c r="AQ563" s="77">
        <f t="shared" ca="1" si="226"/>
        <v>7291.7350418295709</v>
      </c>
      <c r="AR563" s="77">
        <f t="shared" ca="1" si="226"/>
        <v>7291.7350418295709</v>
      </c>
      <c r="AS563" s="77">
        <f t="shared" ca="1" si="226"/>
        <v>7291.7350418295709</v>
      </c>
      <c r="AT563" s="77">
        <f t="shared" ca="1" si="226"/>
        <v>7291.7350418295709</v>
      </c>
      <c r="AU563" s="77">
        <f t="shared" ca="1" si="226"/>
        <v>7291.7350418295709</v>
      </c>
      <c r="AV563" s="77">
        <f t="shared" ca="1" si="226"/>
        <v>7291.7350418295709</v>
      </c>
      <c r="AW563" s="77">
        <f t="shared" ca="1" si="226"/>
        <v>7291.7350418295709</v>
      </c>
      <c r="BA563" s="49">
        <f t="shared" ca="1" si="227"/>
        <v>62173.147894508977</v>
      </c>
      <c r="BB563" s="49"/>
      <c r="BC563" s="49">
        <f t="shared" ca="1" si="228"/>
        <v>37403.541448164848</v>
      </c>
      <c r="BD563" s="49"/>
      <c r="BE563" s="49">
        <f t="shared" ca="1" si="229"/>
        <v>29002.048476599899</v>
      </c>
    </row>
    <row r="564" spans="3:57">
      <c r="C564" t="str">
        <f t="shared" si="230"/>
        <v>PWR nuclear</v>
      </c>
      <c r="D564" s="24">
        <f t="shared" ca="1" si="222"/>
        <v>1841.3944454507421</v>
      </c>
      <c r="E564" s="24">
        <f t="shared" ca="1" si="222"/>
        <v>1914.0285561278479</v>
      </c>
      <c r="F564" s="24">
        <f t="shared" ca="1" si="222"/>
        <v>1986.6626668049537</v>
      </c>
      <c r="G564" s="24">
        <f t="shared" ca="1" si="223"/>
        <v>2059.2967774820595</v>
      </c>
      <c r="H564" s="24">
        <f t="shared" ca="1" si="224"/>
        <v>2168.8768214349784</v>
      </c>
      <c r="I564" s="24">
        <f t="shared" ca="1" si="224"/>
        <v>2172.6932566352129</v>
      </c>
      <c r="J564" s="24">
        <f t="shared" ca="1" si="224"/>
        <v>2176.5287740114481</v>
      </c>
      <c r="K564" s="24">
        <f t="shared" ca="1" si="224"/>
        <v>2180.3834689745649</v>
      </c>
      <c r="L564" s="24">
        <f t="shared" ca="1" si="224"/>
        <v>2184.257437412497</v>
      </c>
      <c r="M564" s="24">
        <f t="shared" ca="1" si="224"/>
        <v>2188.1507756926189</v>
      </c>
      <c r="N564" s="24">
        <f t="shared" ca="1" si="224"/>
        <v>2192.0635806641412</v>
      </c>
      <c r="O564" s="24">
        <f t="shared" ca="1" si="224"/>
        <v>2195.9959496605215</v>
      </c>
      <c r="P564" s="24">
        <f t="shared" ca="1" si="224"/>
        <v>2199.9479805018836</v>
      </c>
      <c r="Q564" s="24">
        <f t="shared" ca="1" si="224"/>
        <v>2203.9197714974525</v>
      </c>
      <c r="R564" s="24">
        <f t="shared" ca="1" si="224"/>
        <v>2207.9114214479987</v>
      </c>
      <c r="S564" s="24">
        <f t="shared" ca="1" si="224"/>
        <v>2211.9230296482983</v>
      </c>
      <c r="T564" s="24">
        <f t="shared" ca="1" si="224"/>
        <v>2215.9546958895994</v>
      </c>
      <c r="U564" s="24">
        <f t="shared" ca="1" si="224"/>
        <v>2220.0065204621064</v>
      </c>
      <c r="V564" s="24">
        <f t="shared" ca="1" si="224"/>
        <v>2224.0786041574765</v>
      </c>
      <c r="W564" s="24">
        <f t="shared" ca="1" si="224"/>
        <v>2228.1710482713233</v>
      </c>
      <c r="X564" s="24">
        <f t="shared" ca="1" si="224"/>
        <v>2232.2839546057394</v>
      </c>
      <c r="Y564" s="24">
        <f t="shared" ca="1" si="224"/>
        <v>2236.4174254718273</v>
      </c>
      <c r="Z564" s="24">
        <f t="shared" ca="1" si="224"/>
        <v>2240.5715636922455</v>
      </c>
      <c r="AA564" s="24">
        <f t="shared" ca="1" si="224"/>
        <v>2244.7464726037661</v>
      </c>
      <c r="AB564" s="24">
        <f t="shared" ca="1" si="224"/>
        <v>2248.9422560598446</v>
      </c>
      <c r="AC564" s="24">
        <f t="shared" ca="1" si="224"/>
        <v>2253.1590184332031</v>
      </c>
      <c r="AD564" s="77">
        <f t="shared" ca="1" si="232"/>
        <v>1756.4294739248348</v>
      </c>
      <c r="AE564" s="77">
        <f t="shared" ca="1" si="226"/>
        <v>1259.6999294164668</v>
      </c>
      <c r="AF564" s="77">
        <f t="shared" ca="1" si="226"/>
        <v>1259.6999294164668</v>
      </c>
      <c r="AG564" s="77">
        <f t="shared" ca="1" si="226"/>
        <v>1259.6999294164668</v>
      </c>
      <c r="AH564" s="77">
        <f t="shared" ca="1" si="226"/>
        <v>1259.6999294164668</v>
      </c>
      <c r="AI564" s="77">
        <f t="shared" ca="1" si="226"/>
        <v>1259.6999294164668</v>
      </c>
      <c r="AJ564" s="77">
        <f t="shared" ca="1" si="226"/>
        <v>1259.6999294164668</v>
      </c>
      <c r="AK564" s="77">
        <f t="shared" ca="1" si="226"/>
        <v>1259.6999294164668</v>
      </c>
      <c r="AL564" s="77">
        <f t="shared" ca="1" si="226"/>
        <v>1259.6999294164668</v>
      </c>
      <c r="AM564" s="77">
        <f t="shared" ca="1" si="226"/>
        <v>1259.6999294164668</v>
      </c>
      <c r="AN564" s="77">
        <f t="shared" ca="1" si="226"/>
        <v>1259.6999294164668</v>
      </c>
      <c r="AO564" s="77">
        <f t="shared" ca="1" si="226"/>
        <v>1259.6999294164668</v>
      </c>
      <c r="AP564" s="77">
        <f t="shared" ca="1" si="226"/>
        <v>1259.6999294164668</v>
      </c>
      <c r="AQ564" s="77">
        <f t="shared" ca="1" si="226"/>
        <v>1259.6999294164668</v>
      </c>
      <c r="AR564" s="77">
        <f t="shared" ca="1" si="226"/>
        <v>1259.6999294164668</v>
      </c>
      <c r="AS564" s="77">
        <f t="shared" ca="1" si="226"/>
        <v>1259.6999294164668</v>
      </c>
      <c r="AT564" s="77">
        <f t="shared" ca="1" si="226"/>
        <v>1259.6999294164668</v>
      </c>
      <c r="AU564" s="77">
        <f t="shared" ca="1" si="226"/>
        <v>1259.6999294164668</v>
      </c>
      <c r="AV564" s="77">
        <f t="shared" ca="1" si="226"/>
        <v>1259.6999294164668</v>
      </c>
      <c r="AW564" s="77">
        <f t="shared" ca="1" si="226"/>
        <v>1259.6999294164668</v>
      </c>
      <c r="BA564" s="49">
        <f t="shared" ca="1" si="227"/>
        <v>11176.107930051872</v>
      </c>
      <c r="BB564" s="49"/>
      <c r="BC564" s="49">
        <f t="shared" ca="1" si="228"/>
        <v>20529.89013921345</v>
      </c>
      <c r="BD564" s="49"/>
      <c r="BE564" s="49">
        <f t="shared" ca="1" si="229"/>
        <v>19019.656293838623</v>
      </c>
    </row>
    <row r="565" spans="3:57">
      <c r="C565" t="str">
        <f t="shared" si="230"/>
        <v>Hydro</v>
      </c>
      <c r="D565" s="24">
        <f t="shared" ca="1" si="222"/>
        <v>86.627408640520088</v>
      </c>
      <c r="E565" s="24">
        <f t="shared" ca="1" si="222"/>
        <v>86.627408640520088</v>
      </c>
      <c r="F565" s="24">
        <f t="shared" ca="1" si="222"/>
        <v>86.627408640520088</v>
      </c>
      <c r="G565" s="24">
        <f t="shared" ca="1" si="223"/>
        <v>86.627408640520088</v>
      </c>
      <c r="H565" s="24">
        <f t="shared" ca="1" si="224"/>
        <v>86.627408640520088</v>
      </c>
      <c r="I565" s="24">
        <f t="shared" ca="1" si="224"/>
        <v>86.627408640520088</v>
      </c>
      <c r="J565" s="24">
        <f t="shared" ca="1" si="224"/>
        <v>86.627408640520088</v>
      </c>
      <c r="K565" s="24">
        <f t="shared" ca="1" si="224"/>
        <v>86.627408640520088</v>
      </c>
      <c r="L565" s="24">
        <f t="shared" ca="1" si="224"/>
        <v>86.627408640520088</v>
      </c>
      <c r="M565" s="24">
        <f t="shared" ca="1" si="224"/>
        <v>86.627408640520088</v>
      </c>
      <c r="N565" s="24">
        <f t="shared" ca="1" si="224"/>
        <v>86.627408640520088</v>
      </c>
      <c r="O565" s="24">
        <f t="shared" ca="1" si="224"/>
        <v>86.627408640520088</v>
      </c>
      <c r="P565" s="24">
        <f t="shared" ca="1" si="224"/>
        <v>86.627408640520088</v>
      </c>
      <c r="Q565" s="24">
        <f t="shared" ca="1" si="224"/>
        <v>86.627408640520088</v>
      </c>
      <c r="R565" s="24">
        <f t="shared" ca="1" si="224"/>
        <v>86.627408640520088</v>
      </c>
      <c r="S565" s="24">
        <f t="shared" ca="1" si="224"/>
        <v>86.627408640520088</v>
      </c>
      <c r="T565" s="24">
        <f t="shared" ca="1" si="224"/>
        <v>86.627408640520088</v>
      </c>
      <c r="U565" s="24">
        <f t="shared" ca="1" si="224"/>
        <v>86.627408640520088</v>
      </c>
      <c r="V565" s="24">
        <f t="shared" ca="1" si="224"/>
        <v>86.627408640520088</v>
      </c>
      <c r="W565" s="24">
        <f t="shared" ca="1" si="224"/>
        <v>86.627408640520088</v>
      </c>
      <c r="X565" s="24">
        <f t="shared" ca="1" si="224"/>
        <v>86.627408640520088</v>
      </c>
      <c r="Y565" s="24">
        <f t="shared" ca="1" si="224"/>
        <v>86.627408640520088</v>
      </c>
      <c r="Z565" s="24">
        <f t="shared" ca="1" si="224"/>
        <v>86.627408640520088</v>
      </c>
      <c r="AA565" s="24">
        <f t="shared" ca="1" si="224"/>
        <v>86.627408640520088</v>
      </c>
      <c r="AB565" s="24">
        <f t="shared" ca="1" si="224"/>
        <v>86.627408640520088</v>
      </c>
      <c r="AC565" s="24">
        <f t="shared" ca="1" si="224"/>
        <v>86.627408640520088</v>
      </c>
      <c r="AD565" s="77">
        <f t="shared" ca="1" si="232"/>
        <v>86.627408640520088</v>
      </c>
      <c r="AE565" s="77">
        <f t="shared" ca="1" si="226"/>
        <v>86.627408640520088</v>
      </c>
      <c r="AF565" s="77">
        <f t="shared" ca="1" si="226"/>
        <v>86.627408640520088</v>
      </c>
      <c r="AG565" s="77">
        <f t="shared" ca="1" si="226"/>
        <v>86.627408640520088</v>
      </c>
      <c r="AH565" s="77">
        <f t="shared" ca="1" si="226"/>
        <v>86.627408640520088</v>
      </c>
      <c r="AI565" s="77">
        <f t="shared" ca="1" si="226"/>
        <v>86.627408640520088</v>
      </c>
      <c r="AJ565" s="77">
        <f t="shared" ca="1" si="226"/>
        <v>86.627408640520088</v>
      </c>
      <c r="AK565" s="77">
        <f t="shared" ca="1" si="226"/>
        <v>86.627408640520088</v>
      </c>
      <c r="AL565" s="77">
        <f t="shared" ca="1" si="226"/>
        <v>86.627408640520088</v>
      </c>
      <c r="AM565" s="77">
        <f t="shared" ca="1" si="226"/>
        <v>86.627408640520088</v>
      </c>
      <c r="AN565" s="77">
        <f t="shared" ca="1" si="226"/>
        <v>86.627408640520088</v>
      </c>
      <c r="AO565" s="77">
        <f t="shared" ca="1" si="226"/>
        <v>86.627408640520088</v>
      </c>
      <c r="AP565" s="77">
        <f t="shared" ca="1" si="226"/>
        <v>86.627408640520088</v>
      </c>
      <c r="AQ565" s="77">
        <f t="shared" ca="1" si="226"/>
        <v>86.627408640520088</v>
      </c>
      <c r="AR565" s="77">
        <f t="shared" ca="1" si="226"/>
        <v>86.627408640520088</v>
      </c>
      <c r="AS565" s="77">
        <f t="shared" ca="1" si="226"/>
        <v>86.627408640520088</v>
      </c>
      <c r="AT565" s="77">
        <f t="shared" ca="1" si="226"/>
        <v>86.627408640520088</v>
      </c>
      <c r="AU565" s="77">
        <f t="shared" ca="1" si="226"/>
        <v>86.627408640520088</v>
      </c>
      <c r="AV565" s="77">
        <f t="shared" ca="1" si="226"/>
        <v>86.627408640520088</v>
      </c>
      <c r="AW565" s="77">
        <f t="shared" ca="1" si="226"/>
        <v>86.627408640520088</v>
      </c>
      <c r="BA565" s="49">
        <f t="shared" ca="1" si="227"/>
        <v>737.50796333863093</v>
      </c>
      <c r="BB565" s="49"/>
      <c r="BC565" s="49">
        <f t="shared" ca="1" si="228"/>
        <v>848.87384667863819</v>
      </c>
      <c r="BD565" s="49"/>
      <c r="BE565" s="49">
        <f t="shared" ca="1" si="229"/>
        <v>749.21397452650092</v>
      </c>
    </row>
    <row r="566" spans="3:57">
      <c r="C566" t="str">
        <f t="shared" si="230"/>
        <v>Landfill gas</v>
      </c>
      <c r="D566" s="24">
        <f t="shared" ca="1" si="222"/>
        <v>66.755984508378774</v>
      </c>
      <c r="E566" s="24">
        <f t="shared" ca="1" si="222"/>
        <v>66.755984508378774</v>
      </c>
      <c r="F566" s="24">
        <f t="shared" ca="1" si="222"/>
        <v>66.755984508378774</v>
      </c>
      <c r="G566" s="24">
        <f t="shared" ca="1" si="223"/>
        <v>66.755984508378774</v>
      </c>
      <c r="H566" s="24">
        <f t="shared" ca="1" si="224"/>
        <v>66.755984508378774</v>
      </c>
      <c r="I566" s="24">
        <f t="shared" ca="1" si="224"/>
        <v>66.755984508378774</v>
      </c>
      <c r="J566" s="24">
        <f t="shared" ca="1" si="224"/>
        <v>66.755984508378774</v>
      </c>
      <c r="K566" s="24">
        <f t="shared" ca="1" si="224"/>
        <v>66.755984508378774</v>
      </c>
      <c r="L566" s="24">
        <f t="shared" ca="1" si="224"/>
        <v>66.755984508378774</v>
      </c>
      <c r="M566" s="24">
        <f t="shared" ca="1" si="224"/>
        <v>66.755984508378774</v>
      </c>
      <c r="N566" s="24">
        <f t="shared" ca="1" si="224"/>
        <v>66.755984508378774</v>
      </c>
      <c r="O566" s="24">
        <f t="shared" ca="1" si="224"/>
        <v>66.755984508378774</v>
      </c>
      <c r="P566" s="24">
        <f t="shared" ca="1" si="224"/>
        <v>66.755984508378774</v>
      </c>
      <c r="Q566" s="24">
        <f t="shared" ca="1" si="224"/>
        <v>66.755984508378774</v>
      </c>
      <c r="R566" s="24">
        <f t="shared" ca="1" si="224"/>
        <v>66.755984508378774</v>
      </c>
      <c r="S566" s="24">
        <f t="shared" ca="1" si="224"/>
        <v>66.755984508378774</v>
      </c>
      <c r="T566" s="24">
        <f t="shared" ca="1" si="224"/>
        <v>66.755984508378774</v>
      </c>
      <c r="U566" s="24">
        <f t="shared" ca="1" si="224"/>
        <v>66.755984508378774</v>
      </c>
      <c r="V566" s="24">
        <f t="shared" ca="1" si="224"/>
        <v>66.755984508378774</v>
      </c>
      <c r="W566" s="24">
        <f t="shared" ca="1" si="224"/>
        <v>66.755984508378774</v>
      </c>
      <c r="X566" s="24">
        <f t="shared" ca="1" si="224"/>
        <v>66.755984508378774</v>
      </c>
      <c r="Y566" s="24">
        <f t="shared" ca="1" si="224"/>
        <v>66.755984508378774</v>
      </c>
      <c r="Z566" s="24">
        <f t="shared" ca="1" si="224"/>
        <v>66.755984508378774</v>
      </c>
      <c r="AA566" s="24">
        <f t="shared" ca="1" si="224"/>
        <v>66.755984508378774</v>
      </c>
      <c r="AB566" s="24">
        <f t="shared" ca="1" si="224"/>
        <v>66.755984508378774</v>
      </c>
      <c r="AC566" s="24">
        <f t="shared" ca="1" si="224"/>
        <v>66.755984508378774</v>
      </c>
      <c r="AD566" s="77">
        <f t="shared" ca="1" si="232"/>
        <v>66.755984508378774</v>
      </c>
      <c r="AE566" s="77">
        <f t="shared" ca="1" si="226"/>
        <v>66.755984508378774</v>
      </c>
      <c r="AF566" s="77">
        <f t="shared" ca="1" si="226"/>
        <v>66.755984508378774</v>
      </c>
      <c r="AG566" s="77">
        <f t="shared" ca="1" si="226"/>
        <v>66.755984508378774</v>
      </c>
      <c r="AH566" s="77">
        <f t="shared" ca="1" si="226"/>
        <v>66.755984508378774</v>
      </c>
      <c r="AI566" s="77">
        <f t="shared" ca="1" si="226"/>
        <v>66.755984508378774</v>
      </c>
      <c r="AJ566" s="77">
        <f t="shared" ca="1" si="226"/>
        <v>66.755984508378774</v>
      </c>
      <c r="AK566" s="77">
        <f t="shared" ca="1" si="226"/>
        <v>66.755984508378774</v>
      </c>
      <c r="AL566" s="77">
        <f t="shared" ca="1" si="226"/>
        <v>66.755984508378774</v>
      </c>
      <c r="AM566" s="77">
        <f t="shared" ca="1" si="226"/>
        <v>66.755984508378774</v>
      </c>
      <c r="AN566" s="77">
        <f t="shared" ca="1" si="226"/>
        <v>66.755984508378774</v>
      </c>
      <c r="AO566" s="77">
        <f t="shared" ca="1" si="226"/>
        <v>66.755984508378774</v>
      </c>
      <c r="AP566" s="77">
        <f t="shared" ca="1" si="226"/>
        <v>66.755984508378774</v>
      </c>
      <c r="AQ566" s="77">
        <f t="shared" ca="1" si="226"/>
        <v>66.755984508378774</v>
      </c>
      <c r="AR566" s="77">
        <f t="shared" ca="1" si="226"/>
        <v>66.755984508378774</v>
      </c>
      <c r="AS566" s="77">
        <f t="shared" ca="1" si="226"/>
        <v>66.755984508378774</v>
      </c>
      <c r="AT566" s="77">
        <f t="shared" ca="1" si="226"/>
        <v>66.755984508378774</v>
      </c>
      <c r="AU566" s="77">
        <f t="shared" ca="1" si="226"/>
        <v>66.755984508378774</v>
      </c>
      <c r="AV566" s="77">
        <f t="shared" ca="1" si="226"/>
        <v>66.755984508378774</v>
      </c>
      <c r="AW566" s="77">
        <f t="shared" ca="1" si="226"/>
        <v>66.755984508378774</v>
      </c>
      <c r="BA566" s="49">
        <f t="shared" ca="1" si="227"/>
        <v>568.33132778729782</v>
      </c>
      <c r="BB566" s="49"/>
      <c r="BC566" s="49">
        <f t="shared" ca="1" si="228"/>
        <v>654.15103888887188</v>
      </c>
      <c r="BD566" s="49"/>
      <c r="BE566" s="49">
        <f t="shared" ca="1" si="229"/>
        <v>577.35210208697868</v>
      </c>
    </row>
    <row r="567" spans="3:57">
      <c r="C567" t="str">
        <f t="shared" si="230"/>
        <v>Biomass</v>
      </c>
      <c r="D567" s="24">
        <f t="shared" ca="1" si="222"/>
        <v>186.22474442860573</v>
      </c>
      <c r="E567" s="24">
        <f t="shared" ca="1" si="222"/>
        <v>186.22474442860408</v>
      </c>
      <c r="F567" s="24">
        <f t="shared" ca="1" si="222"/>
        <v>186.22474442860408</v>
      </c>
      <c r="G567" s="24">
        <f t="shared" ca="1" si="223"/>
        <v>186.22474442860408</v>
      </c>
      <c r="H567" s="24">
        <f t="shared" ca="1" si="224"/>
        <v>186.22474442860408</v>
      </c>
      <c r="I567" s="24">
        <f t="shared" ca="1" si="224"/>
        <v>186.22474442860408</v>
      </c>
      <c r="J567" s="24">
        <f t="shared" ca="1" si="224"/>
        <v>186.22474442860408</v>
      </c>
      <c r="K567" s="24">
        <f t="shared" ca="1" si="224"/>
        <v>186.22474442860408</v>
      </c>
      <c r="L567" s="24">
        <f t="shared" ca="1" si="224"/>
        <v>186.22474442860408</v>
      </c>
      <c r="M567" s="24">
        <f t="shared" ca="1" si="224"/>
        <v>186.22474442860408</v>
      </c>
      <c r="N567" s="24">
        <f t="shared" ca="1" si="224"/>
        <v>186.22474442860408</v>
      </c>
      <c r="O567" s="24">
        <f t="shared" ca="1" si="224"/>
        <v>186.22474442860408</v>
      </c>
      <c r="P567" s="24">
        <f t="shared" ca="1" si="224"/>
        <v>186.22474442860408</v>
      </c>
      <c r="Q567" s="24">
        <f t="shared" ca="1" si="224"/>
        <v>186.22474442860408</v>
      </c>
      <c r="R567" s="24">
        <f t="shared" ca="1" si="224"/>
        <v>186.22474442860408</v>
      </c>
      <c r="S567" s="24">
        <f t="shared" ca="1" si="224"/>
        <v>186.22474442860408</v>
      </c>
      <c r="T567" s="24">
        <f t="shared" ca="1" si="224"/>
        <v>186.22474442860408</v>
      </c>
      <c r="U567" s="24">
        <f t="shared" ca="1" si="224"/>
        <v>186.22474442860408</v>
      </c>
      <c r="V567" s="24">
        <f t="shared" ca="1" si="224"/>
        <v>186.22474442860408</v>
      </c>
      <c r="W567" s="24">
        <f t="shared" ca="1" si="224"/>
        <v>186.22474442860408</v>
      </c>
      <c r="X567" s="24">
        <f t="shared" ca="1" si="224"/>
        <v>186.22474442860408</v>
      </c>
      <c r="Y567" s="24">
        <f t="shared" ca="1" si="224"/>
        <v>186.22474442860408</v>
      </c>
      <c r="Z567" s="24">
        <f t="shared" ca="1" si="224"/>
        <v>186.22474442860408</v>
      </c>
      <c r="AA567" s="24">
        <f t="shared" ca="1" si="224"/>
        <v>186.22474442860408</v>
      </c>
      <c r="AB567" s="24">
        <f t="shared" ca="1" si="224"/>
        <v>186.22474442860408</v>
      </c>
      <c r="AC567" s="24">
        <f t="shared" ca="1" si="224"/>
        <v>186.22474442860408</v>
      </c>
      <c r="AD567" s="77">
        <f t="shared" ca="1" si="232"/>
        <v>186.22474442860408</v>
      </c>
      <c r="AE567" s="77">
        <f t="shared" ca="1" si="226"/>
        <v>186.22474442860408</v>
      </c>
      <c r="AF567" s="77">
        <f t="shared" ca="1" si="226"/>
        <v>186.22474442860408</v>
      </c>
      <c r="AG567" s="77">
        <f t="shared" ca="1" si="226"/>
        <v>186.22474442860408</v>
      </c>
      <c r="AH567" s="77">
        <f t="shared" ca="1" si="226"/>
        <v>186.22474442860408</v>
      </c>
      <c r="AI567" s="77">
        <f t="shared" ca="1" si="226"/>
        <v>186.22474442860408</v>
      </c>
      <c r="AJ567" s="77">
        <f t="shared" ca="1" si="226"/>
        <v>186.22474442860408</v>
      </c>
      <c r="AK567" s="77">
        <f t="shared" ca="1" si="226"/>
        <v>186.22474442860408</v>
      </c>
      <c r="AL567" s="77">
        <f t="shared" ca="1" si="226"/>
        <v>186.22474442860408</v>
      </c>
      <c r="AM567" s="77">
        <f t="shared" ca="1" si="226"/>
        <v>186.22474442860408</v>
      </c>
      <c r="AN567" s="77">
        <f t="shared" ca="1" si="226"/>
        <v>186.22474442860408</v>
      </c>
      <c r="AO567" s="77">
        <f t="shared" ca="1" si="226"/>
        <v>186.22474442860408</v>
      </c>
      <c r="AP567" s="77">
        <f t="shared" ca="1" si="226"/>
        <v>186.22474442860408</v>
      </c>
      <c r="AQ567" s="77">
        <f t="shared" ca="1" si="226"/>
        <v>186.22474442860408</v>
      </c>
      <c r="AR567" s="77">
        <f t="shared" ca="1" si="226"/>
        <v>186.22474442860408</v>
      </c>
      <c r="AS567" s="77">
        <f t="shared" ca="1" si="226"/>
        <v>186.22474442860408</v>
      </c>
      <c r="AT567" s="77">
        <f t="shared" ca="1" si="226"/>
        <v>186.22474442860408</v>
      </c>
      <c r="AU567" s="77">
        <f t="shared" ca="1" si="226"/>
        <v>186.22474442860408</v>
      </c>
      <c r="AV567" s="77">
        <f t="shared" ca="1" si="226"/>
        <v>186.22474442860408</v>
      </c>
      <c r="AW567" s="77">
        <f t="shared" ca="1" si="226"/>
        <v>186.22474442860408</v>
      </c>
      <c r="BA567" s="49">
        <f t="shared" ca="1" si="227"/>
        <v>1585.4362278886736</v>
      </c>
      <c r="BB567" s="49"/>
      <c r="BC567" s="49">
        <f t="shared" ca="1" si="228"/>
        <v>1824.8417865741478</v>
      </c>
      <c r="BD567" s="49"/>
      <c r="BE567" s="49">
        <f t="shared" ca="1" si="229"/>
        <v>1610.6008839247977</v>
      </c>
    </row>
    <row r="568" spans="3:57">
      <c r="C568" t="str">
        <f t="shared" si="230"/>
        <v>Supercritical coal</v>
      </c>
      <c r="D568" s="24">
        <f t="shared" ca="1" si="222"/>
        <v>0</v>
      </c>
      <c r="E568" s="24">
        <f t="shared" ca="1" si="222"/>
        <v>0</v>
      </c>
      <c r="F568" s="24">
        <f t="shared" ca="1" si="222"/>
        <v>0</v>
      </c>
      <c r="G568" s="24">
        <f t="shared" ca="1" si="223"/>
        <v>0</v>
      </c>
      <c r="H568" s="24">
        <f t="shared" ca="1" si="224"/>
        <v>0</v>
      </c>
      <c r="I568" s="24">
        <f t="shared" ca="1" si="224"/>
        <v>0</v>
      </c>
      <c r="J568" s="24">
        <f t="shared" ca="1" si="224"/>
        <v>0</v>
      </c>
      <c r="K568" s="24">
        <f t="shared" ca="1" si="224"/>
        <v>2017.0741489649656</v>
      </c>
      <c r="L568" s="24">
        <f t="shared" ca="1" si="224"/>
        <v>6042.9945992936546</v>
      </c>
      <c r="M568" s="24">
        <f t="shared" ca="1" si="224"/>
        <v>12439.591951574404</v>
      </c>
      <c r="N568" s="24">
        <f t="shared" ca="1" si="224"/>
        <v>18788.423797161042</v>
      </c>
      <c r="O568" s="24">
        <f t="shared" ca="1" si="224"/>
        <v>23359.379437289736</v>
      </c>
      <c r="P568" s="24">
        <f t="shared" ca="1" si="224"/>
        <v>27912.341672893061</v>
      </c>
      <c r="Q568" s="24">
        <f t="shared" ca="1" si="224"/>
        <v>34328.620601601884</v>
      </c>
      <c r="R568" s="24">
        <f t="shared" ca="1" si="224"/>
        <v>40781.521193336659</v>
      </c>
      <c r="S568" s="24">
        <f t="shared" ca="1" si="224"/>
        <v>47430.696757504877</v>
      </c>
      <c r="T568" s="24">
        <f t="shared" ca="1" si="224"/>
        <v>55925.865082017495</v>
      </c>
      <c r="U568" s="24">
        <f t="shared" ca="1" si="224"/>
        <v>64214.669569650039</v>
      </c>
      <c r="V568" s="24">
        <f t="shared" ca="1" si="224"/>
        <v>70756.573268164022</v>
      </c>
      <c r="W568" s="24">
        <f t="shared" ca="1" si="224"/>
        <v>80061.729588537331</v>
      </c>
      <c r="X568" s="24">
        <f t="shared" ca="1" si="224"/>
        <v>89516.683011088913</v>
      </c>
      <c r="Y568" s="24">
        <f t="shared" ca="1" si="224"/>
        <v>101058.7636176855</v>
      </c>
      <c r="Z568" s="24">
        <f t="shared" ca="1" si="224"/>
        <v>112577.76277643123</v>
      </c>
      <c r="AA568" s="24">
        <f t="shared" ca="1" si="224"/>
        <v>124385.08279082377</v>
      </c>
      <c r="AB568" s="24">
        <f t="shared" ca="1" si="224"/>
        <v>139386.36566762257</v>
      </c>
      <c r="AC568" s="24">
        <f t="shared" ca="1" si="224"/>
        <v>152604.86670531984</v>
      </c>
      <c r="AD568" s="77">
        <f t="shared" ca="1" si="232"/>
        <v>152604.86670531984</v>
      </c>
      <c r="AE568" s="77">
        <f t="shared" ca="1" si="226"/>
        <v>152628.26770673977</v>
      </c>
      <c r="AF568" s="77">
        <f t="shared" ca="1" si="226"/>
        <v>152651.6687081597</v>
      </c>
      <c r="AG568" s="77">
        <f t="shared" ca="1" si="226"/>
        <v>155578.39715856538</v>
      </c>
      <c r="AH568" s="77">
        <f t="shared" ca="1" si="226"/>
        <v>158505.12560897105</v>
      </c>
      <c r="AI568" s="77">
        <f t="shared" ca="1" si="226"/>
        <v>160033.08655718793</v>
      </c>
      <c r="AJ568" s="77">
        <f t="shared" ca="1" si="226"/>
        <v>163151.12068728905</v>
      </c>
      <c r="AK568" s="77">
        <f t="shared" ca="1" si="226"/>
        <v>164828.37407054164</v>
      </c>
      <c r="AL568" s="77">
        <f t="shared" ca="1" si="226"/>
        <v>164915.55427190996</v>
      </c>
      <c r="AM568" s="77">
        <f t="shared" ca="1" si="226"/>
        <v>164915.55427190996</v>
      </c>
      <c r="AN568" s="77">
        <f t="shared" ca="1" si="226"/>
        <v>164915.55427190996</v>
      </c>
      <c r="AO568" s="77">
        <f t="shared" ca="1" si="226"/>
        <v>164780.62704706506</v>
      </c>
      <c r="AP568" s="77">
        <f t="shared" ca="1" si="226"/>
        <v>164515.46278739977</v>
      </c>
      <c r="AQ568" s="77">
        <f t="shared" ca="1" si="226"/>
        <v>164124.75168293875</v>
      </c>
      <c r="AR568" s="77">
        <f t="shared" ca="1" si="226"/>
        <v>165332.39129007218</v>
      </c>
      <c r="AS568" s="77">
        <f t="shared" ca="1" si="226"/>
        <v>166672.61302703823</v>
      </c>
      <c r="AT568" s="77">
        <f t="shared" ca="1" si="226"/>
        <v>166426.20952747131</v>
      </c>
      <c r="AU568" s="77">
        <f t="shared" ca="1" si="226"/>
        <v>166063.63956315778</v>
      </c>
      <c r="AV568" s="77">
        <f t="shared" ca="1" si="226"/>
        <v>165708.10488388114</v>
      </c>
      <c r="AW568" s="77">
        <f t="shared" ca="1" si="226"/>
        <v>165359.60548964137</v>
      </c>
      <c r="BA568" s="49">
        <f t="shared" ca="1" si="227"/>
        <v>1360214.8287885594</v>
      </c>
      <c r="BB568" s="49"/>
      <c r="BC568" s="49">
        <f t="shared" ca="1" si="228"/>
        <v>475314.23478358303</v>
      </c>
      <c r="BD568" s="49"/>
      <c r="BE568" s="49">
        <f t="shared" ca="1" si="229"/>
        <v>291507.62838051887</v>
      </c>
    </row>
    <row r="569" spans="3:57">
      <c r="C569" t="str">
        <f t="shared" si="230"/>
        <v xml:space="preserve">Wind 30% </v>
      </c>
      <c r="D569" s="24">
        <f t="shared" ca="1" si="222"/>
        <v>0</v>
      </c>
      <c r="E569" s="24">
        <f t="shared" ca="1" si="222"/>
        <v>0</v>
      </c>
      <c r="F569" s="24">
        <f t="shared" ca="1" si="222"/>
        <v>0</v>
      </c>
      <c r="G569" s="24">
        <f t="shared" ca="1" si="223"/>
        <v>0</v>
      </c>
      <c r="H569" s="24">
        <f t="shared" ca="1" si="224"/>
        <v>0</v>
      </c>
      <c r="I569" s="24">
        <f t="shared" ca="1" si="224"/>
        <v>208.54071752916499</v>
      </c>
      <c r="J569" s="24">
        <f t="shared" ca="1" si="224"/>
        <v>208.54071752916499</v>
      </c>
      <c r="K569" s="24">
        <f t="shared" ca="1" si="224"/>
        <v>208.54071752916499</v>
      </c>
      <c r="L569" s="24">
        <f t="shared" ca="1" si="224"/>
        <v>208.54071752916499</v>
      </c>
      <c r="M569" s="24">
        <f t="shared" ca="1" si="224"/>
        <v>208.54071752916499</v>
      </c>
      <c r="N569" s="24">
        <f t="shared" ca="1" si="224"/>
        <v>208.54071752916499</v>
      </c>
      <c r="O569" s="24">
        <f t="shared" ca="1" si="224"/>
        <v>208.54071752916499</v>
      </c>
      <c r="P569" s="24">
        <f t="shared" ca="1" si="224"/>
        <v>208.54071752916499</v>
      </c>
      <c r="Q569" s="24">
        <f t="shared" ca="1" si="224"/>
        <v>208.54071752916499</v>
      </c>
      <c r="R569" s="24">
        <f t="shared" ca="1" si="224"/>
        <v>208.54071752916499</v>
      </c>
      <c r="S569" s="24">
        <f t="shared" ca="1" si="224"/>
        <v>208.54071752916499</v>
      </c>
      <c r="T569" s="24">
        <f t="shared" ca="1" si="224"/>
        <v>208.54071752916499</v>
      </c>
      <c r="U569" s="24">
        <f t="shared" ca="1" si="224"/>
        <v>208.54071752916499</v>
      </c>
      <c r="V569" s="24">
        <f t="shared" ca="1" si="224"/>
        <v>208.54071752916499</v>
      </c>
      <c r="W569" s="24">
        <f t="shared" ca="1" si="224"/>
        <v>208.54071752916499</v>
      </c>
      <c r="X569" s="24">
        <f t="shared" ca="1" si="224"/>
        <v>208.54071752916499</v>
      </c>
      <c r="Y569" s="24">
        <f t="shared" ca="1" si="224"/>
        <v>208.54071752916499</v>
      </c>
      <c r="Z569" s="24">
        <f t="shared" ca="1" si="224"/>
        <v>208.54071752916499</v>
      </c>
      <c r="AA569" s="24">
        <f t="shared" ca="1" si="224"/>
        <v>208.54071752916499</v>
      </c>
      <c r="AB569" s="24">
        <f t="shared" ca="1" si="224"/>
        <v>208.54071752916499</v>
      </c>
      <c r="AC569" s="24">
        <f t="shared" ca="1" si="224"/>
        <v>0</v>
      </c>
      <c r="AD569" s="77">
        <f t="shared" ca="1" si="232"/>
        <v>0</v>
      </c>
      <c r="AE569" s="77">
        <f t="shared" ca="1" si="226"/>
        <v>0</v>
      </c>
      <c r="AF569" s="77">
        <f t="shared" ca="1" si="226"/>
        <v>0</v>
      </c>
      <c r="AG569" s="77">
        <f t="shared" ca="1" si="226"/>
        <v>0</v>
      </c>
      <c r="AH569" s="77">
        <f t="shared" ca="1" si="226"/>
        <v>0</v>
      </c>
      <c r="AI569" s="77">
        <f t="shared" ca="1" si="226"/>
        <v>0</v>
      </c>
      <c r="AJ569" s="77">
        <f t="shared" ca="1" si="226"/>
        <v>0</v>
      </c>
      <c r="AK569" s="77">
        <f t="shared" ca="1" si="226"/>
        <v>0</v>
      </c>
      <c r="AL569" s="77">
        <f t="shared" ca="1" si="226"/>
        <v>0</v>
      </c>
      <c r="AM569" s="77">
        <f t="shared" ca="1" si="226"/>
        <v>0</v>
      </c>
      <c r="AN569" s="77">
        <f t="shared" ca="1" si="226"/>
        <v>0</v>
      </c>
      <c r="AO569" s="77">
        <f t="shared" ca="1" si="226"/>
        <v>0</v>
      </c>
      <c r="AP569" s="77">
        <f t="shared" ca="1" si="226"/>
        <v>0</v>
      </c>
      <c r="AQ569" s="77">
        <f t="shared" ca="1" si="226"/>
        <v>0</v>
      </c>
      <c r="AR569" s="77">
        <f t="shared" ca="1" si="226"/>
        <v>0</v>
      </c>
      <c r="AS569" s="77">
        <f t="shared" ca="1" si="226"/>
        <v>0</v>
      </c>
      <c r="AT569" s="77">
        <f t="shared" ca="1" si="226"/>
        <v>0</v>
      </c>
      <c r="AU569" s="77">
        <f t="shared" ca="1" si="226"/>
        <v>0</v>
      </c>
      <c r="AV569" s="77">
        <f t="shared" ca="1" si="226"/>
        <v>0</v>
      </c>
      <c r="AW569" s="77">
        <f t="shared" ca="1" si="226"/>
        <v>0</v>
      </c>
      <c r="BA569" s="49">
        <f t="shared" ca="1" si="227"/>
        <v>0</v>
      </c>
      <c r="BB569" s="49"/>
      <c r="BC569" s="49">
        <f t="shared" ca="1" si="228"/>
        <v>1775.4246868487164</v>
      </c>
      <c r="BD569" s="49"/>
      <c r="BE569" s="49">
        <f t="shared" ca="1" si="229"/>
        <v>1775.4246868487164</v>
      </c>
    </row>
    <row r="570" spans="3:57">
      <c r="C570" t="str">
        <f t="shared" si="230"/>
        <v>Wind 25%</v>
      </c>
      <c r="D570" s="24">
        <f t="shared" ca="1" si="222"/>
        <v>0</v>
      </c>
      <c r="E570" s="24">
        <f t="shared" ca="1" si="222"/>
        <v>0</v>
      </c>
      <c r="F570" s="24">
        <f t="shared" ca="1" si="222"/>
        <v>0</v>
      </c>
      <c r="G570" s="24">
        <f t="shared" ca="1" si="223"/>
        <v>0</v>
      </c>
      <c r="H570" s="24">
        <f t="shared" ca="1" si="224"/>
        <v>0</v>
      </c>
      <c r="I570" s="24">
        <f t="shared" ca="1" si="224"/>
        <v>0</v>
      </c>
      <c r="J570" s="24">
        <f t="shared" ca="1" si="224"/>
        <v>0</v>
      </c>
      <c r="K570" s="24">
        <f t="shared" ca="1" si="224"/>
        <v>0</v>
      </c>
      <c r="L570" s="24">
        <f t="shared" ca="1" si="224"/>
        <v>0</v>
      </c>
      <c r="M570" s="24">
        <f t="shared" ca="1" si="224"/>
        <v>0</v>
      </c>
      <c r="N570" s="24">
        <f t="shared" ca="1" si="224"/>
        <v>0</v>
      </c>
      <c r="O570" s="24">
        <f t="shared" ca="1" si="224"/>
        <v>0</v>
      </c>
      <c r="P570" s="24">
        <f t="shared" ca="1" si="224"/>
        <v>0</v>
      </c>
      <c r="Q570" s="24">
        <f t="shared" ca="1" si="224"/>
        <v>0</v>
      </c>
      <c r="R570" s="24">
        <f t="shared" ca="1" si="224"/>
        <v>0</v>
      </c>
      <c r="S570" s="24">
        <f t="shared" ca="1" si="224"/>
        <v>0</v>
      </c>
      <c r="T570" s="24">
        <f t="shared" ca="1" si="224"/>
        <v>0</v>
      </c>
      <c r="U570" s="24">
        <f t="shared" ca="1" si="224"/>
        <v>0</v>
      </c>
      <c r="V570" s="24">
        <f t="shared" ca="1" si="224"/>
        <v>0</v>
      </c>
      <c r="W570" s="24">
        <f t="shared" ca="1" si="224"/>
        <v>0</v>
      </c>
      <c r="X570" s="24">
        <f t="shared" ca="1" si="224"/>
        <v>0</v>
      </c>
      <c r="Y570" s="24">
        <f t="shared" ca="1" si="224"/>
        <v>0</v>
      </c>
      <c r="Z570" s="24">
        <f t="shared" ca="1" si="224"/>
        <v>0</v>
      </c>
      <c r="AA570" s="24">
        <f t="shared" ca="1" si="224"/>
        <v>0</v>
      </c>
      <c r="AB570" s="24">
        <f t="shared" ca="1" si="224"/>
        <v>0</v>
      </c>
      <c r="AC570" s="24">
        <f t="shared" ca="1" si="224"/>
        <v>0</v>
      </c>
      <c r="AD570" s="77">
        <f t="shared" ca="1" si="232"/>
        <v>0</v>
      </c>
      <c r="AE570" s="77">
        <f t="shared" ca="1" si="226"/>
        <v>0</v>
      </c>
      <c r="AF570" s="77">
        <f t="shared" ca="1" si="226"/>
        <v>0</v>
      </c>
      <c r="AG570" s="77">
        <f t="shared" ca="1" si="226"/>
        <v>0</v>
      </c>
      <c r="AH570" s="77">
        <f t="shared" ca="1" si="226"/>
        <v>0</v>
      </c>
      <c r="AI570" s="77">
        <f t="shared" ca="1" si="226"/>
        <v>0</v>
      </c>
      <c r="AJ570" s="77">
        <f t="shared" ca="1" si="226"/>
        <v>0</v>
      </c>
      <c r="AK570" s="77">
        <f t="shared" ca="1" si="226"/>
        <v>0</v>
      </c>
      <c r="AL570" s="77">
        <f t="shared" ca="1" si="226"/>
        <v>0</v>
      </c>
      <c r="AM570" s="77">
        <f t="shared" ca="1" si="226"/>
        <v>0</v>
      </c>
      <c r="AN570" s="77">
        <f t="shared" ca="1" si="226"/>
        <v>0</v>
      </c>
      <c r="AO570" s="77">
        <f t="shared" ca="1" si="226"/>
        <v>0</v>
      </c>
      <c r="AP570" s="77">
        <f t="shared" ca="1" si="226"/>
        <v>0</v>
      </c>
      <c r="AQ570" s="77">
        <f t="shared" ca="1" si="226"/>
        <v>0</v>
      </c>
      <c r="AR570" s="77">
        <f t="shared" ca="1" si="226"/>
        <v>0</v>
      </c>
      <c r="AS570" s="77">
        <f t="shared" ca="1" si="226"/>
        <v>0</v>
      </c>
      <c r="AT570" s="77">
        <f t="shared" ca="1" si="226"/>
        <v>0</v>
      </c>
      <c r="AU570" s="77">
        <f t="shared" ca="1" si="226"/>
        <v>0</v>
      </c>
      <c r="AV570" s="77">
        <f t="shared" ca="1" si="226"/>
        <v>0</v>
      </c>
      <c r="AW570" s="77">
        <f t="shared" ca="1" si="226"/>
        <v>0</v>
      </c>
      <c r="BA570" s="49">
        <f t="shared" ca="1" si="227"/>
        <v>0</v>
      </c>
      <c r="BB570" s="49"/>
      <c r="BC570" s="49">
        <f t="shared" ca="1" si="228"/>
        <v>0</v>
      </c>
      <c r="BD570" s="49"/>
      <c r="BE570" s="49">
        <f t="shared" ca="1" si="229"/>
        <v>0</v>
      </c>
    </row>
    <row r="571" spans="3:57">
      <c r="C571" t="str">
        <f t="shared" si="230"/>
        <v>solar thermal central reciever</v>
      </c>
      <c r="D571" s="24">
        <f t="shared" ca="1" si="222"/>
        <v>0</v>
      </c>
      <c r="E571" s="24">
        <f t="shared" ca="1" si="222"/>
        <v>0</v>
      </c>
      <c r="F571" s="24">
        <f t="shared" ca="1" si="222"/>
        <v>0</v>
      </c>
      <c r="G571" s="24">
        <f t="shared" ca="1" si="223"/>
        <v>0</v>
      </c>
      <c r="H571" s="24">
        <f t="shared" ca="1" si="224"/>
        <v>0</v>
      </c>
      <c r="I571" s="24">
        <f t="shared" ca="1" si="224"/>
        <v>0</v>
      </c>
      <c r="J571" s="24">
        <f t="shared" ca="1" si="224"/>
        <v>0</v>
      </c>
      <c r="K571" s="24">
        <f t="shared" ca="1" si="224"/>
        <v>0</v>
      </c>
      <c r="L571" s="24">
        <f t="shared" ca="1" si="224"/>
        <v>0</v>
      </c>
      <c r="M571" s="24">
        <f t="shared" ca="1" si="224"/>
        <v>0</v>
      </c>
      <c r="N571" s="24">
        <f t="shared" ca="1" si="224"/>
        <v>0</v>
      </c>
      <c r="O571" s="24">
        <f t="shared" ca="1" si="224"/>
        <v>0</v>
      </c>
      <c r="P571" s="24">
        <f t="shared" ca="1" si="224"/>
        <v>0</v>
      </c>
      <c r="Q571" s="24">
        <f t="shared" ca="1" si="224"/>
        <v>0</v>
      </c>
      <c r="R571" s="24">
        <f t="shared" ca="1" si="224"/>
        <v>0</v>
      </c>
      <c r="S571" s="24">
        <f t="shared" ca="1" si="224"/>
        <v>0</v>
      </c>
      <c r="T571" s="24">
        <f t="shared" ca="1" si="224"/>
        <v>0</v>
      </c>
      <c r="U571" s="24">
        <f t="shared" ca="1" si="224"/>
        <v>0</v>
      </c>
      <c r="V571" s="24">
        <f t="shared" ca="1" si="224"/>
        <v>0</v>
      </c>
      <c r="W571" s="24">
        <f t="shared" ca="1" si="224"/>
        <v>0</v>
      </c>
      <c r="X571" s="24">
        <f t="shared" ca="1" si="224"/>
        <v>0</v>
      </c>
      <c r="Y571" s="24">
        <f t="shared" ca="1" si="224"/>
        <v>0</v>
      </c>
      <c r="Z571" s="24">
        <f t="shared" ca="1" si="224"/>
        <v>0</v>
      </c>
      <c r="AA571" s="24">
        <f t="shared" ca="1" si="224"/>
        <v>0</v>
      </c>
      <c r="AB571" s="24">
        <f t="shared" ca="1" si="224"/>
        <v>0</v>
      </c>
      <c r="AC571" s="24">
        <f t="shared" ca="1" si="224"/>
        <v>0</v>
      </c>
      <c r="AD571" s="77">
        <f t="shared" ca="1" si="232"/>
        <v>0</v>
      </c>
      <c r="AE571" s="77">
        <f t="shared" ca="1" si="226"/>
        <v>0</v>
      </c>
      <c r="AF571" s="77">
        <f t="shared" ca="1" si="226"/>
        <v>0</v>
      </c>
      <c r="AG571" s="77">
        <f t="shared" ca="1" si="226"/>
        <v>0</v>
      </c>
      <c r="AH571" s="77">
        <f t="shared" ca="1" si="226"/>
        <v>0</v>
      </c>
      <c r="AI571" s="77">
        <f t="shared" ca="1" si="226"/>
        <v>0</v>
      </c>
      <c r="AJ571" s="77">
        <f t="shared" ca="1" si="226"/>
        <v>0</v>
      </c>
      <c r="AK571" s="77">
        <f t="shared" ca="1" si="226"/>
        <v>0</v>
      </c>
      <c r="AL571" s="77">
        <f t="shared" ca="1" si="226"/>
        <v>0</v>
      </c>
      <c r="AM571" s="77">
        <f t="shared" ca="1" si="226"/>
        <v>0</v>
      </c>
      <c r="AN571" s="77">
        <f t="shared" ca="1" si="226"/>
        <v>0</v>
      </c>
      <c r="AO571" s="77">
        <f t="shared" ca="1" si="226"/>
        <v>0</v>
      </c>
      <c r="AP571" s="77">
        <f t="shared" ca="1" si="226"/>
        <v>0</v>
      </c>
      <c r="AQ571" s="77">
        <f t="shared" ca="1" si="226"/>
        <v>0</v>
      </c>
      <c r="AR571" s="77">
        <f t="shared" ca="1" si="226"/>
        <v>0</v>
      </c>
      <c r="AS571" s="77">
        <f t="shared" ca="1" si="226"/>
        <v>0</v>
      </c>
      <c r="AT571" s="77">
        <f t="shared" ca="1" si="226"/>
        <v>0</v>
      </c>
      <c r="AU571" s="77">
        <f t="shared" ca="1" si="226"/>
        <v>0</v>
      </c>
      <c r="AV571" s="77">
        <f t="shared" ca="1" si="226"/>
        <v>0</v>
      </c>
      <c r="AW571" s="77">
        <f t="shared" ca="1" si="226"/>
        <v>0</v>
      </c>
      <c r="BA571" s="49">
        <f t="shared" ca="1" si="227"/>
        <v>0</v>
      </c>
      <c r="BB571" s="49"/>
      <c r="BC571" s="49">
        <f t="shared" ca="1" si="228"/>
        <v>0</v>
      </c>
      <c r="BD571" s="49"/>
      <c r="BE571" s="49">
        <f t="shared" ca="1" si="229"/>
        <v>0</v>
      </c>
    </row>
    <row r="572" spans="3:57">
      <c r="C572" t="str">
        <f t="shared" si="230"/>
        <v>solar thermal trough</v>
      </c>
      <c r="D572" s="24">
        <f t="shared" ca="1" si="222"/>
        <v>0</v>
      </c>
      <c r="E572" s="24">
        <f t="shared" ca="1" si="222"/>
        <v>0</v>
      </c>
      <c r="F572" s="24">
        <f t="shared" ca="1" si="222"/>
        <v>0</v>
      </c>
      <c r="G572" s="24">
        <f t="shared" ca="1" si="223"/>
        <v>0</v>
      </c>
      <c r="H572" s="24">
        <f t="shared" ca="1" si="224"/>
        <v>0</v>
      </c>
      <c r="I572" s="24">
        <f t="shared" ca="1" si="224"/>
        <v>0</v>
      </c>
      <c r="J572" s="24">
        <f t="shared" ca="1" si="224"/>
        <v>0</v>
      </c>
      <c r="K572" s="24">
        <f t="shared" ca="1" si="224"/>
        <v>0</v>
      </c>
      <c r="L572" s="24">
        <f t="shared" ca="1" si="224"/>
        <v>0</v>
      </c>
      <c r="M572" s="24">
        <f t="shared" ca="1" si="224"/>
        <v>0</v>
      </c>
      <c r="N572" s="24">
        <f t="shared" ca="1" si="224"/>
        <v>0</v>
      </c>
      <c r="O572" s="24">
        <f t="shared" ca="1" si="224"/>
        <v>0</v>
      </c>
      <c r="P572" s="24">
        <f t="shared" ca="1" si="224"/>
        <v>0</v>
      </c>
      <c r="Q572" s="24">
        <f t="shared" ca="1" si="224"/>
        <v>0</v>
      </c>
      <c r="R572" s="24">
        <f t="shared" ca="1" si="224"/>
        <v>0</v>
      </c>
      <c r="S572" s="24">
        <f t="shared" ca="1" si="224"/>
        <v>0</v>
      </c>
      <c r="T572" s="24">
        <f t="shared" ca="1" si="224"/>
        <v>0</v>
      </c>
      <c r="U572" s="24">
        <f t="shared" ca="1" si="224"/>
        <v>0</v>
      </c>
      <c r="V572" s="24">
        <f t="shared" ca="1" si="224"/>
        <v>0</v>
      </c>
      <c r="W572" s="24">
        <f t="shared" ca="1" si="224"/>
        <v>0</v>
      </c>
      <c r="X572" s="24">
        <f t="shared" ca="1" si="224"/>
        <v>0</v>
      </c>
      <c r="Y572" s="24">
        <f t="shared" ca="1" si="224"/>
        <v>0</v>
      </c>
      <c r="Z572" s="24">
        <f t="shared" ca="1" si="224"/>
        <v>0</v>
      </c>
      <c r="AA572" s="24">
        <f t="shared" ca="1" si="224"/>
        <v>0</v>
      </c>
      <c r="AB572" s="24">
        <f t="shared" ca="1" si="224"/>
        <v>0</v>
      </c>
      <c r="AC572" s="24">
        <f t="shared" ca="1" si="224"/>
        <v>0</v>
      </c>
      <c r="AD572" s="77">
        <f t="shared" ca="1" si="232"/>
        <v>0</v>
      </c>
      <c r="AE572" s="77">
        <f t="shared" ca="1" si="226"/>
        <v>0</v>
      </c>
      <c r="AF572" s="77">
        <f t="shared" ca="1" si="226"/>
        <v>0</v>
      </c>
      <c r="AG572" s="77">
        <f t="shared" ca="1" si="226"/>
        <v>0</v>
      </c>
      <c r="AH572" s="77">
        <f t="shared" ca="1" si="226"/>
        <v>0</v>
      </c>
      <c r="AI572" s="77">
        <f t="shared" ca="1" si="226"/>
        <v>0</v>
      </c>
      <c r="AJ572" s="77">
        <f t="shared" ca="1" si="226"/>
        <v>0</v>
      </c>
      <c r="AK572" s="77">
        <f t="shared" ca="1" si="226"/>
        <v>0</v>
      </c>
      <c r="AL572" s="77">
        <f t="shared" ca="1" si="226"/>
        <v>0</v>
      </c>
      <c r="AM572" s="77">
        <f t="shared" ca="1" si="226"/>
        <v>0</v>
      </c>
      <c r="AN572" s="77">
        <f t="shared" ca="1" si="226"/>
        <v>0</v>
      </c>
      <c r="AO572" s="77">
        <f t="shared" ca="1" si="226"/>
        <v>0</v>
      </c>
      <c r="AP572" s="77">
        <f t="shared" ca="1" si="226"/>
        <v>0</v>
      </c>
      <c r="AQ572" s="77">
        <f t="shared" ca="1" si="226"/>
        <v>0</v>
      </c>
      <c r="AR572" s="77">
        <f t="shared" ca="1" si="226"/>
        <v>0</v>
      </c>
      <c r="AS572" s="77">
        <f t="shared" ca="1" si="226"/>
        <v>0</v>
      </c>
      <c r="AT572" s="77">
        <f t="shared" ca="1" si="226"/>
        <v>0</v>
      </c>
      <c r="AU572" s="77">
        <f t="shared" ca="1" si="226"/>
        <v>0</v>
      </c>
      <c r="AV572" s="77">
        <f t="shared" ca="1" si="226"/>
        <v>0</v>
      </c>
      <c r="AW572" s="77">
        <f t="shared" ca="1" si="226"/>
        <v>0</v>
      </c>
      <c r="BA572" s="49">
        <f t="shared" ca="1" si="227"/>
        <v>0</v>
      </c>
      <c r="BB572" s="49"/>
      <c r="BC572" s="49">
        <f t="shared" ca="1" si="228"/>
        <v>0</v>
      </c>
      <c r="BD572" s="49"/>
      <c r="BE572" s="49">
        <f t="shared" ca="1" si="229"/>
        <v>0</v>
      </c>
    </row>
    <row r="573" spans="3:57">
      <c r="C573" t="str">
        <f t="shared" si="230"/>
        <v>solar PV</v>
      </c>
      <c r="D573" s="24">
        <f t="shared" ca="1" si="222"/>
        <v>0</v>
      </c>
      <c r="E573" s="24">
        <f t="shared" ca="1" si="222"/>
        <v>0</v>
      </c>
      <c r="F573" s="24">
        <f t="shared" ca="1" si="222"/>
        <v>0</v>
      </c>
      <c r="G573" s="24">
        <f t="shared" ca="1" si="223"/>
        <v>0</v>
      </c>
      <c r="H573" s="24">
        <f t="shared" ca="1" si="224"/>
        <v>0</v>
      </c>
      <c r="I573" s="24">
        <f t="shared" ca="1" si="224"/>
        <v>0</v>
      </c>
      <c r="J573" s="24">
        <f t="shared" ca="1" si="224"/>
        <v>0</v>
      </c>
      <c r="K573" s="24">
        <f t="shared" ca="1" si="224"/>
        <v>0</v>
      </c>
      <c r="L573" s="24">
        <f t="shared" ca="1" si="224"/>
        <v>0</v>
      </c>
      <c r="M573" s="24">
        <f t="shared" ca="1" si="224"/>
        <v>0</v>
      </c>
      <c r="N573" s="24">
        <f t="shared" ref="H573:AC580" ca="1" si="233">N482+N505+N528+N551</f>
        <v>0</v>
      </c>
      <c r="O573" s="24">
        <f t="shared" ca="1" si="233"/>
        <v>0</v>
      </c>
      <c r="P573" s="24">
        <f t="shared" ca="1" si="233"/>
        <v>0</v>
      </c>
      <c r="Q573" s="24">
        <f t="shared" ca="1" si="233"/>
        <v>0</v>
      </c>
      <c r="R573" s="24">
        <f t="shared" ca="1" si="233"/>
        <v>0</v>
      </c>
      <c r="S573" s="24">
        <f t="shared" ca="1" si="233"/>
        <v>0</v>
      </c>
      <c r="T573" s="24">
        <f t="shared" ca="1" si="233"/>
        <v>0</v>
      </c>
      <c r="U573" s="24">
        <f t="shared" ca="1" si="233"/>
        <v>0</v>
      </c>
      <c r="V573" s="24">
        <f t="shared" ca="1" si="233"/>
        <v>0</v>
      </c>
      <c r="W573" s="24">
        <f t="shared" ca="1" si="233"/>
        <v>0</v>
      </c>
      <c r="X573" s="24">
        <f t="shared" ca="1" si="233"/>
        <v>0</v>
      </c>
      <c r="Y573" s="24">
        <f t="shared" ca="1" si="233"/>
        <v>0</v>
      </c>
      <c r="Z573" s="24">
        <f t="shared" ca="1" si="233"/>
        <v>0</v>
      </c>
      <c r="AA573" s="24">
        <f t="shared" ca="1" si="233"/>
        <v>0</v>
      </c>
      <c r="AB573" s="24">
        <f t="shared" ca="1" si="233"/>
        <v>0</v>
      </c>
      <c r="AC573" s="24">
        <f t="shared" ca="1" si="233"/>
        <v>0</v>
      </c>
      <c r="AD573" s="77">
        <f t="shared" ca="1" si="232"/>
        <v>0</v>
      </c>
      <c r="AE573" s="77">
        <f t="shared" ca="1" si="226"/>
        <v>0</v>
      </c>
      <c r="AF573" s="77">
        <f t="shared" ca="1" si="226"/>
        <v>0</v>
      </c>
      <c r="AG573" s="77">
        <f t="shared" ca="1" si="226"/>
        <v>0</v>
      </c>
      <c r="AH573" s="77">
        <f t="shared" ca="1" si="226"/>
        <v>0</v>
      </c>
      <c r="AI573" s="77">
        <f t="shared" ca="1" si="226"/>
        <v>0</v>
      </c>
      <c r="AJ573" s="77">
        <f t="shared" ca="1" si="226"/>
        <v>0</v>
      </c>
      <c r="AK573" s="77">
        <f t="shared" ca="1" si="226"/>
        <v>0</v>
      </c>
      <c r="AL573" s="77">
        <f t="shared" ca="1" si="226"/>
        <v>0</v>
      </c>
      <c r="AM573" s="77">
        <f t="shared" ca="1" si="226"/>
        <v>0</v>
      </c>
      <c r="AN573" s="77">
        <f t="shared" ca="1" si="226"/>
        <v>0</v>
      </c>
      <c r="AO573" s="77">
        <f t="shared" ca="1" si="226"/>
        <v>0</v>
      </c>
      <c r="AP573" s="77">
        <f t="shared" ca="1" si="226"/>
        <v>0</v>
      </c>
      <c r="AQ573" s="77">
        <f t="shared" ca="1" si="226"/>
        <v>0</v>
      </c>
      <c r="AR573" s="77">
        <f t="shared" ca="1" si="226"/>
        <v>0</v>
      </c>
      <c r="AS573" s="77">
        <f t="shared" ca="1" si="226"/>
        <v>0</v>
      </c>
      <c r="AT573" s="77">
        <f t="shared" ca="1" si="226"/>
        <v>0</v>
      </c>
      <c r="AU573" s="77">
        <f t="shared" ca="1" si="226"/>
        <v>0</v>
      </c>
      <c r="AV573" s="77">
        <f t="shared" ca="1" si="226"/>
        <v>0</v>
      </c>
      <c r="AW573" s="77">
        <f t="shared" ca="1" si="226"/>
        <v>0</v>
      </c>
      <c r="BA573" s="49">
        <f t="shared" ca="1" si="227"/>
        <v>0</v>
      </c>
      <c r="BB573" s="49"/>
      <c r="BC573" s="49">
        <f t="shared" ca="1" si="228"/>
        <v>0</v>
      </c>
      <c r="BD573" s="49"/>
      <c r="BE573" s="49">
        <f t="shared" ca="1" si="229"/>
        <v>0</v>
      </c>
    </row>
    <row r="574" spans="3:57">
      <c r="C574" t="str">
        <f t="shared" si="230"/>
        <v>combined cycle gas</v>
      </c>
      <c r="D574" s="24">
        <f t="shared" ca="1" si="222"/>
        <v>0</v>
      </c>
      <c r="E574" s="24">
        <f t="shared" ca="1" si="222"/>
        <v>0</v>
      </c>
      <c r="F574" s="24">
        <f t="shared" ca="1" si="222"/>
        <v>0</v>
      </c>
      <c r="G574" s="24">
        <f t="shared" ca="1" si="223"/>
        <v>0</v>
      </c>
      <c r="H574" s="24">
        <f t="shared" ca="1" si="233"/>
        <v>0</v>
      </c>
      <c r="I574" s="24">
        <f t="shared" ca="1" si="233"/>
        <v>0</v>
      </c>
      <c r="J574" s="24">
        <f t="shared" ca="1" si="233"/>
        <v>0</v>
      </c>
      <c r="K574" s="24">
        <f t="shared" ca="1" si="233"/>
        <v>0</v>
      </c>
      <c r="L574" s="24">
        <f t="shared" ca="1" si="233"/>
        <v>0</v>
      </c>
      <c r="M574" s="24">
        <f t="shared" ca="1" si="233"/>
        <v>0</v>
      </c>
      <c r="N574" s="24">
        <f t="shared" ca="1" si="233"/>
        <v>0</v>
      </c>
      <c r="O574" s="24">
        <f t="shared" ca="1" si="233"/>
        <v>0</v>
      </c>
      <c r="P574" s="24">
        <f t="shared" ca="1" si="233"/>
        <v>0</v>
      </c>
      <c r="Q574" s="24">
        <f t="shared" ca="1" si="233"/>
        <v>0</v>
      </c>
      <c r="R574" s="24">
        <f t="shared" ca="1" si="233"/>
        <v>0</v>
      </c>
      <c r="S574" s="24">
        <f t="shared" ca="1" si="233"/>
        <v>0</v>
      </c>
      <c r="T574" s="24">
        <f t="shared" ca="1" si="233"/>
        <v>0</v>
      </c>
      <c r="U574" s="24">
        <f t="shared" ca="1" si="233"/>
        <v>0</v>
      </c>
      <c r="V574" s="24">
        <f t="shared" ca="1" si="233"/>
        <v>0</v>
      </c>
      <c r="W574" s="24">
        <f t="shared" ca="1" si="233"/>
        <v>0</v>
      </c>
      <c r="X574" s="24">
        <f t="shared" ca="1" si="233"/>
        <v>0</v>
      </c>
      <c r="Y574" s="24">
        <f t="shared" ca="1" si="233"/>
        <v>0</v>
      </c>
      <c r="Z574" s="24">
        <f t="shared" ca="1" si="233"/>
        <v>0</v>
      </c>
      <c r="AA574" s="24">
        <f t="shared" ca="1" si="233"/>
        <v>0</v>
      </c>
      <c r="AB574" s="24">
        <f t="shared" ca="1" si="233"/>
        <v>0</v>
      </c>
      <c r="AC574" s="24">
        <f t="shared" ca="1" si="233"/>
        <v>0</v>
      </c>
      <c r="AD574" s="77">
        <f t="shared" ca="1" si="232"/>
        <v>0</v>
      </c>
      <c r="AE574" s="77">
        <f t="shared" ca="1" si="226"/>
        <v>0</v>
      </c>
      <c r="AF574" s="77">
        <f t="shared" ca="1" si="226"/>
        <v>0</v>
      </c>
      <c r="AG574" s="77">
        <f t="shared" ca="1" si="226"/>
        <v>0</v>
      </c>
      <c r="AH574" s="77">
        <f t="shared" ca="1" si="226"/>
        <v>0</v>
      </c>
      <c r="AI574" s="77">
        <f t="shared" ca="1" si="226"/>
        <v>0</v>
      </c>
      <c r="AJ574" s="77">
        <f t="shared" ca="1" si="226"/>
        <v>0</v>
      </c>
      <c r="AK574" s="77">
        <f t="shared" ca="1" si="226"/>
        <v>0</v>
      </c>
      <c r="AL574" s="77">
        <f t="shared" ca="1" si="226"/>
        <v>0</v>
      </c>
      <c r="AM574" s="77">
        <f t="shared" ca="1" si="226"/>
        <v>0</v>
      </c>
      <c r="AN574" s="77">
        <f t="shared" ca="1" si="226"/>
        <v>0</v>
      </c>
      <c r="AO574" s="77">
        <f t="shared" ca="1" si="226"/>
        <v>0</v>
      </c>
      <c r="AP574" s="77">
        <f t="shared" ca="1" si="226"/>
        <v>0</v>
      </c>
      <c r="AQ574" s="77">
        <f t="shared" ca="1" si="226"/>
        <v>0</v>
      </c>
      <c r="AR574" s="77">
        <f t="shared" ca="1" si="226"/>
        <v>0</v>
      </c>
      <c r="AS574" s="77">
        <f t="shared" ca="1" si="226"/>
        <v>0</v>
      </c>
      <c r="AT574" s="77">
        <f t="shared" ca="1" si="226"/>
        <v>0</v>
      </c>
      <c r="AU574" s="77">
        <f t="shared" ca="1" si="226"/>
        <v>0</v>
      </c>
      <c r="AV574" s="77">
        <f t="shared" ca="1" si="226"/>
        <v>0</v>
      </c>
      <c r="AW574" s="77">
        <f t="shared" ca="1" si="226"/>
        <v>0</v>
      </c>
      <c r="BA574" s="49">
        <f t="shared" ca="1" si="227"/>
        <v>0</v>
      </c>
      <c r="BB574" s="49"/>
      <c r="BC574" s="49">
        <f t="shared" ca="1" si="228"/>
        <v>0</v>
      </c>
      <c r="BD574" s="49"/>
      <c r="BE574" s="49">
        <f t="shared" ca="1" si="229"/>
        <v>0</v>
      </c>
    </row>
    <row r="575" spans="3:57">
      <c r="C575" t="str">
        <f t="shared" si="230"/>
        <v>PBMR</v>
      </c>
      <c r="D575" s="24">
        <f t="shared" ca="1" si="222"/>
        <v>0</v>
      </c>
      <c r="E575" s="24">
        <f t="shared" ca="1" si="222"/>
        <v>0</v>
      </c>
      <c r="F575" s="24">
        <f t="shared" ca="1" si="222"/>
        <v>0</v>
      </c>
      <c r="G575" s="24">
        <f t="shared" ca="1" si="223"/>
        <v>0</v>
      </c>
      <c r="H575" s="24">
        <f t="shared" ca="1" si="233"/>
        <v>0</v>
      </c>
      <c r="I575" s="24">
        <f t="shared" ca="1" si="233"/>
        <v>0</v>
      </c>
      <c r="J575" s="24">
        <f t="shared" ca="1" si="233"/>
        <v>0</v>
      </c>
      <c r="K575" s="24">
        <f t="shared" ca="1" si="233"/>
        <v>0</v>
      </c>
      <c r="L575" s="24">
        <f t="shared" ca="1" si="233"/>
        <v>0</v>
      </c>
      <c r="M575" s="24">
        <f t="shared" ca="1" si="233"/>
        <v>0</v>
      </c>
      <c r="N575" s="24">
        <f t="shared" ca="1" si="233"/>
        <v>0</v>
      </c>
      <c r="O575" s="24">
        <f t="shared" ca="1" si="233"/>
        <v>0</v>
      </c>
      <c r="P575" s="24">
        <f t="shared" ca="1" si="233"/>
        <v>0</v>
      </c>
      <c r="Q575" s="24">
        <f t="shared" ca="1" si="233"/>
        <v>0</v>
      </c>
      <c r="R575" s="24">
        <f t="shared" ca="1" si="233"/>
        <v>0</v>
      </c>
      <c r="S575" s="24">
        <f t="shared" ca="1" si="233"/>
        <v>0</v>
      </c>
      <c r="T575" s="24">
        <f t="shared" ca="1" si="233"/>
        <v>0</v>
      </c>
      <c r="U575" s="24">
        <f t="shared" ca="1" si="233"/>
        <v>0</v>
      </c>
      <c r="V575" s="24">
        <f t="shared" ca="1" si="233"/>
        <v>0</v>
      </c>
      <c r="W575" s="24">
        <f t="shared" ca="1" si="233"/>
        <v>0</v>
      </c>
      <c r="X575" s="24">
        <f t="shared" ca="1" si="233"/>
        <v>0</v>
      </c>
      <c r="Y575" s="24">
        <f t="shared" ca="1" si="233"/>
        <v>0</v>
      </c>
      <c r="Z575" s="24">
        <f t="shared" ca="1" si="233"/>
        <v>0</v>
      </c>
      <c r="AA575" s="24">
        <f t="shared" ca="1" si="233"/>
        <v>0</v>
      </c>
      <c r="AB575" s="24">
        <f t="shared" ca="1" si="233"/>
        <v>0</v>
      </c>
      <c r="AC575" s="24">
        <f t="shared" ca="1" si="233"/>
        <v>0</v>
      </c>
      <c r="AD575" s="77">
        <f t="shared" ca="1" si="232"/>
        <v>0</v>
      </c>
      <c r="AE575" s="77">
        <f t="shared" ca="1" si="226"/>
        <v>0</v>
      </c>
      <c r="AF575" s="77">
        <f t="shared" ca="1" si="226"/>
        <v>0</v>
      </c>
      <c r="AG575" s="77">
        <f t="shared" ca="1" si="226"/>
        <v>0</v>
      </c>
      <c r="AH575" s="77">
        <f t="shared" ca="1" si="226"/>
        <v>0</v>
      </c>
      <c r="AI575" s="77">
        <f t="shared" ref="AE575:AW580" ca="1" si="234">AI484+AI507+AI530+AI553</f>
        <v>0</v>
      </c>
      <c r="AJ575" s="77">
        <f t="shared" ca="1" si="234"/>
        <v>0</v>
      </c>
      <c r="AK575" s="77">
        <f t="shared" ca="1" si="234"/>
        <v>0</v>
      </c>
      <c r="AL575" s="77">
        <f t="shared" ca="1" si="234"/>
        <v>0</v>
      </c>
      <c r="AM575" s="77">
        <f t="shared" ca="1" si="234"/>
        <v>0</v>
      </c>
      <c r="AN575" s="77">
        <f t="shared" ca="1" si="234"/>
        <v>0</v>
      </c>
      <c r="AO575" s="77">
        <f t="shared" ca="1" si="234"/>
        <v>0</v>
      </c>
      <c r="AP575" s="77">
        <f t="shared" ca="1" si="234"/>
        <v>0</v>
      </c>
      <c r="AQ575" s="77">
        <f t="shared" ca="1" si="234"/>
        <v>0</v>
      </c>
      <c r="AR575" s="77">
        <f t="shared" ca="1" si="234"/>
        <v>0</v>
      </c>
      <c r="AS575" s="77">
        <f t="shared" ca="1" si="234"/>
        <v>0</v>
      </c>
      <c r="AT575" s="77">
        <f t="shared" ca="1" si="234"/>
        <v>0</v>
      </c>
      <c r="AU575" s="77">
        <f t="shared" ca="1" si="234"/>
        <v>0</v>
      </c>
      <c r="AV575" s="77">
        <f t="shared" ca="1" si="234"/>
        <v>0</v>
      </c>
      <c r="AW575" s="77">
        <f t="shared" ca="1" si="234"/>
        <v>0</v>
      </c>
      <c r="BA575" s="49">
        <f t="shared" ca="1" si="227"/>
        <v>0</v>
      </c>
      <c r="BB575" s="49"/>
      <c r="BC575" s="49">
        <f t="shared" ca="1" si="228"/>
        <v>0</v>
      </c>
      <c r="BD575" s="49"/>
      <c r="BE575" s="49">
        <f t="shared" ca="1" si="229"/>
        <v>0</v>
      </c>
    </row>
    <row r="576" spans="3:57">
      <c r="C576" t="str">
        <f t="shared" si="230"/>
        <v>IGCC</v>
      </c>
      <c r="D576" s="24">
        <f ca="1">D485+D508+D531+D554</f>
        <v>0</v>
      </c>
      <c r="E576" s="24">
        <f t="shared" ca="1" si="222"/>
        <v>2.274066347231097E-12</v>
      </c>
      <c r="F576" s="24">
        <f t="shared" ca="1" si="222"/>
        <v>0</v>
      </c>
      <c r="G576" s="24">
        <f t="shared" ca="1" si="223"/>
        <v>2.686426941512535E-12</v>
      </c>
      <c r="H576" s="24">
        <f t="shared" ca="1" si="233"/>
        <v>2.686426941512535E-12</v>
      </c>
      <c r="I576" s="24">
        <f t="shared" ca="1" si="233"/>
        <v>0</v>
      </c>
      <c r="J576" s="24">
        <f t="shared" ca="1" si="233"/>
        <v>0</v>
      </c>
      <c r="K576" s="24">
        <f t="shared" ca="1" si="233"/>
        <v>0</v>
      </c>
      <c r="L576" s="24">
        <f t="shared" ca="1" si="233"/>
        <v>0</v>
      </c>
      <c r="M576" s="24">
        <f t="shared" ca="1" si="233"/>
        <v>0</v>
      </c>
      <c r="N576" s="24">
        <f t="shared" ca="1" si="233"/>
        <v>0</v>
      </c>
      <c r="O576" s="24">
        <f t="shared" ca="1" si="233"/>
        <v>0</v>
      </c>
      <c r="P576" s="24">
        <f t="shared" ca="1" si="233"/>
        <v>0</v>
      </c>
      <c r="Q576" s="24">
        <f t="shared" ca="1" si="233"/>
        <v>0</v>
      </c>
      <c r="R576" s="24">
        <f t="shared" ca="1" si="233"/>
        <v>0</v>
      </c>
      <c r="S576" s="24">
        <f t="shared" ca="1" si="233"/>
        <v>0</v>
      </c>
      <c r="T576" s="24">
        <f t="shared" ca="1" si="233"/>
        <v>0</v>
      </c>
      <c r="U576" s="24">
        <f t="shared" ca="1" si="233"/>
        <v>0</v>
      </c>
      <c r="V576" s="24">
        <f t="shared" ca="1" si="233"/>
        <v>0</v>
      </c>
      <c r="W576" s="24">
        <f t="shared" ca="1" si="233"/>
        <v>0</v>
      </c>
      <c r="X576" s="24">
        <f t="shared" ca="1" si="233"/>
        <v>0</v>
      </c>
      <c r="Y576" s="24">
        <f t="shared" ca="1" si="233"/>
        <v>0</v>
      </c>
      <c r="Z576" s="24">
        <f t="shared" ca="1" si="233"/>
        <v>0</v>
      </c>
      <c r="AA576" s="24">
        <f t="shared" ca="1" si="233"/>
        <v>0</v>
      </c>
      <c r="AB576" s="24">
        <f t="shared" ca="1" si="233"/>
        <v>0</v>
      </c>
      <c r="AC576" s="24">
        <f t="shared" ca="1" si="233"/>
        <v>0</v>
      </c>
      <c r="AD576" s="77">
        <f t="shared" ca="1" si="232"/>
        <v>0</v>
      </c>
      <c r="AE576" s="77">
        <f t="shared" ca="1" si="234"/>
        <v>0</v>
      </c>
      <c r="AF576" s="77">
        <f t="shared" ca="1" si="234"/>
        <v>0</v>
      </c>
      <c r="AG576" s="77">
        <f t="shared" ca="1" si="234"/>
        <v>0</v>
      </c>
      <c r="AH576" s="77">
        <f t="shared" ca="1" si="234"/>
        <v>0</v>
      </c>
      <c r="AI576" s="77">
        <f t="shared" ca="1" si="234"/>
        <v>0</v>
      </c>
      <c r="AJ576" s="77">
        <f t="shared" ca="1" si="234"/>
        <v>0</v>
      </c>
      <c r="AK576" s="77">
        <f t="shared" ca="1" si="234"/>
        <v>0</v>
      </c>
      <c r="AL576" s="77">
        <f t="shared" ca="1" si="234"/>
        <v>0</v>
      </c>
      <c r="AM576" s="77">
        <f t="shared" ca="1" si="234"/>
        <v>0</v>
      </c>
      <c r="AN576" s="77">
        <f t="shared" ca="1" si="234"/>
        <v>0</v>
      </c>
      <c r="AO576" s="77">
        <f t="shared" ca="1" si="234"/>
        <v>0</v>
      </c>
      <c r="AP576" s="77">
        <f t="shared" ca="1" si="234"/>
        <v>0</v>
      </c>
      <c r="AQ576" s="77">
        <f t="shared" ca="1" si="234"/>
        <v>0</v>
      </c>
      <c r="AR576" s="77">
        <f t="shared" ca="1" si="234"/>
        <v>0</v>
      </c>
      <c r="AS576" s="77">
        <f t="shared" ca="1" si="234"/>
        <v>0</v>
      </c>
      <c r="AT576" s="77">
        <f t="shared" ca="1" si="234"/>
        <v>0</v>
      </c>
      <c r="AU576" s="77">
        <f t="shared" ca="1" si="234"/>
        <v>0</v>
      </c>
      <c r="AV576" s="77">
        <f t="shared" ca="1" si="234"/>
        <v>0</v>
      </c>
      <c r="AW576" s="77">
        <f t="shared" ca="1" si="234"/>
        <v>0</v>
      </c>
      <c r="BA576" s="49">
        <f t="shared" ca="1" si="227"/>
        <v>0</v>
      </c>
      <c r="BB576" s="49"/>
      <c r="BC576" s="49">
        <f t="shared" ca="1" si="228"/>
        <v>0</v>
      </c>
      <c r="BD576" s="49"/>
      <c r="BE576" s="49">
        <f t="shared" ca="1" si="229"/>
        <v>0</v>
      </c>
    </row>
    <row r="577" spans="3:57">
      <c r="C577" t="str">
        <f t="shared" si="230"/>
        <v>-</v>
      </c>
      <c r="D577" s="24">
        <f ca="1">D486+D509+D532+D555</f>
        <v>0</v>
      </c>
      <c r="E577" s="24">
        <f ca="1">E486+E509+E532+E555</f>
        <v>0</v>
      </c>
      <c r="F577" s="24">
        <f ca="1">F486+F509+F532+F555</f>
        <v>0</v>
      </c>
      <c r="G577" s="24">
        <f t="shared" ca="1" si="223"/>
        <v>0</v>
      </c>
      <c r="H577" s="24">
        <f t="shared" ca="1" si="233"/>
        <v>0</v>
      </c>
      <c r="I577" s="24">
        <f t="shared" ca="1" si="233"/>
        <v>0</v>
      </c>
      <c r="J577" s="24">
        <f t="shared" ca="1" si="233"/>
        <v>0</v>
      </c>
      <c r="K577" s="24">
        <f t="shared" ca="1" si="233"/>
        <v>0</v>
      </c>
      <c r="L577" s="24">
        <f t="shared" ca="1" si="233"/>
        <v>0</v>
      </c>
      <c r="M577" s="24">
        <f t="shared" ca="1" si="233"/>
        <v>0</v>
      </c>
      <c r="N577" s="24">
        <f t="shared" ca="1" si="233"/>
        <v>0</v>
      </c>
      <c r="O577" s="24">
        <f t="shared" ca="1" si="233"/>
        <v>0</v>
      </c>
      <c r="P577" s="24">
        <f t="shared" ca="1" si="233"/>
        <v>0</v>
      </c>
      <c r="Q577" s="24">
        <f t="shared" ca="1" si="233"/>
        <v>0</v>
      </c>
      <c r="R577" s="24">
        <f t="shared" ca="1" si="233"/>
        <v>0</v>
      </c>
      <c r="S577" s="24">
        <f t="shared" ca="1" si="233"/>
        <v>0</v>
      </c>
      <c r="T577" s="24">
        <f t="shared" ca="1" si="233"/>
        <v>0</v>
      </c>
      <c r="U577" s="24">
        <f t="shared" ca="1" si="233"/>
        <v>0</v>
      </c>
      <c r="V577" s="24">
        <f t="shared" ca="1" si="233"/>
        <v>0</v>
      </c>
      <c r="W577" s="24">
        <f t="shared" ca="1" si="233"/>
        <v>0</v>
      </c>
      <c r="X577" s="24">
        <f t="shared" ca="1" si="233"/>
        <v>0</v>
      </c>
      <c r="Y577" s="24">
        <f t="shared" ca="1" si="233"/>
        <v>0</v>
      </c>
      <c r="Z577" s="24">
        <f t="shared" ca="1" si="233"/>
        <v>0</v>
      </c>
      <c r="AA577" s="24">
        <f t="shared" ca="1" si="233"/>
        <v>0</v>
      </c>
      <c r="AB577" s="24">
        <f t="shared" ca="1" si="233"/>
        <v>0</v>
      </c>
      <c r="AC577" s="24">
        <f t="shared" ca="1" si="233"/>
        <v>0</v>
      </c>
      <c r="AD577" s="77">
        <f t="shared" ca="1" si="232"/>
        <v>0</v>
      </c>
      <c r="AE577" s="77">
        <f t="shared" ca="1" si="234"/>
        <v>0</v>
      </c>
      <c r="AF577" s="77">
        <f t="shared" ca="1" si="234"/>
        <v>0</v>
      </c>
      <c r="AG577" s="77">
        <f t="shared" ca="1" si="234"/>
        <v>0</v>
      </c>
      <c r="AH577" s="77">
        <f t="shared" ca="1" si="234"/>
        <v>0</v>
      </c>
      <c r="AI577" s="77">
        <f t="shared" ca="1" si="234"/>
        <v>0</v>
      </c>
      <c r="AJ577" s="77">
        <f t="shared" ca="1" si="234"/>
        <v>0</v>
      </c>
      <c r="AK577" s="77">
        <f t="shared" ca="1" si="234"/>
        <v>0</v>
      </c>
      <c r="AL577" s="77">
        <f t="shared" ca="1" si="234"/>
        <v>0</v>
      </c>
      <c r="AM577" s="77">
        <f t="shared" ca="1" si="234"/>
        <v>0</v>
      </c>
      <c r="AN577" s="77">
        <f t="shared" ca="1" si="234"/>
        <v>0</v>
      </c>
      <c r="AO577" s="77">
        <f t="shared" ca="1" si="234"/>
        <v>0</v>
      </c>
      <c r="AP577" s="77">
        <f t="shared" ca="1" si="234"/>
        <v>0</v>
      </c>
      <c r="AQ577" s="77">
        <f t="shared" ca="1" si="234"/>
        <v>0</v>
      </c>
      <c r="AR577" s="77">
        <f t="shared" ca="1" si="234"/>
        <v>0</v>
      </c>
      <c r="AS577" s="77">
        <f t="shared" ca="1" si="234"/>
        <v>0</v>
      </c>
      <c r="AT577" s="77">
        <f t="shared" ca="1" si="234"/>
        <v>0</v>
      </c>
      <c r="AU577" s="77">
        <f t="shared" ca="1" si="234"/>
        <v>0</v>
      </c>
      <c r="AV577" s="77">
        <f t="shared" ca="1" si="234"/>
        <v>0</v>
      </c>
      <c r="AW577" s="77">
        <f t="shared" ca="1" si="234"/>
        <v>0</v>
      </c>
      <c r="BA577" s="49">
        <f t="shared" ca="1" si="227"/>
        <v>0</v>
      </c>
      <c r="BB577" s="49"/>
      <c r="BC577" s="49">
        <f t="shared" ca="1" si="228"/>
        <v>0</v>
      </c>
      <c r="BD577" s="49"/>
      <c r="BE577" s="49">
        <f t="shared" ca="1" si="229"/>
        <v>0</v>
      </c>
    </row>
    <row r="578" spans="3:57" s="21" customFormat="1">
      <c r="C578" s="21" t="str">
        <f t="shared" si="230"/>
        <v>-</v>
      </c>
      <c r="D578" s="24">
        <f ca="1">D487+D510+D533+D556</f>
        <v>0</v>
      </c>
      <c r="E578" s="24">
        <f ca="1">E487+E510+E533+E556</f>
        <v>0</v>
      </c>
      <c r="F578" s="24">
        <f ca="1">F487+F510+F533+F556</f>
        <v>0</v>
      </c>
      <c r="G578" s="24">
        <f t="shared" ca="1" si="223"/>
        <v>0</v>
      </c>
      <c r="H578" s="24">
        <f t="shared" ref="H578:V578" ca="1" si="235">H487+H510+H533+H556</f>
        <v>0</v>
      </c>
      <c r="I578" s="24">
        <f t="shared" ca="1" si="235"/>
        <v>0</v>
      </c>
      <c r="J578" s="24">
        <f t="shared" ca="1" si="235"/>
        <v>0</v>
      </c>
      <c r="K578" s="24">
        <f t="shared" ca="1" si="235"/>
        <v>0</v>
      </c>
      <c r="L578" s="24">
        <f t="shared" ca="1" si="235"/>
        <v>0</v>
      </c>
      <c r="M578" s="24">
        <f t="shared" ca="1" si="235"/>
        <v>0</v>
      </c>
      <c r="N578" s="24">
        <f t="shared" ca="1" si="235"/>
        <v>0</v>
      </c>
      <c r="O578" s="24">
        <f t="shared" ca="1" si="235"/>
        <v>0</v>
      </c>
      <c r="P578" s="24">
        <f t="shared" ca="1" si="235"/>
        <v>0</v>
      </c>
      <c r="Q578" s="24">
        <f t="shared" ca="1" si="235"/>
        <v>0</v>
      </c>
      <c r="R578" s="24">
        <f t="shared" ca="1" si="235"/>
        <v>0</v>
      </c>
      <c r="S578" s="24">
        <f t="shared" ca="1" si="235"/>
        <v>0</v>
      </c>
      <c r="T578" s="24">
        <f t="shared" ca="1" si="235"/>
        <v>0</v>
      </c>
      <c r="U578" s="24">
        <f t="shared" ca="1" si="235"/>
        <v>0</v>
      </c>
      <c r="V578" s="24">
        <f t="shared" ca="1" si="235"/>
        <v>0</v>
      </c>
      <c r="W578" s="24">
        <f t="shared" ref="W578:AC578" ca="1" si="236">W487+W510+W533+W556</f>
        <v>0</v>
      </c>
      <c r="X578" s="24">
        <f t="shared" ca="1" si="236"/>
        <v>0</v>
      </c>
      <c r="Y578" s="24">
        <f t="shared" ca="1" si="236"/>
        <v>0</v>
      </c>
      <c r="Z578" s="24">
        <f t="shared" ca="1" si="236"/>
        <v>0</v>
      </c>
      <c r="AA578" s="24">
        <f t="shared" ca="1" si="236"/>
        <v>0</v>
      </c>
      <c r="AB578" s="24">
        <f t="shared" ca="1" si="236"/>
        <v>0</v>
      </c>
      <c r="AC578" s="24">
        <f t="shared" ca="1" si="236"/>
        <v>0</v>
      </c>
      <c r="AD578" s="77">
        <f t="shared" ca="1" si="232"/>
        <v>0</v>
      </c>
      <c r="AE578" s="77">
        <f t="shared" ca="1" si="234"/>
        <v>0</v>
      </c>
      <c r="AF578" s="77">
        <f t="shared" ca="1" si="234"/>
        <v>0</v>
      </c>
      <c r="AG578" s="77">
        <f t="shared" ca="1" si="234"/>
        <v>0</v>
      </c>
      <c r="AH578" s="77">
        <f t="shared" ca="1" si="234"/>
        <v>0</v>
      </c>
      <c r="AI578" s="77">
        <f t="shared" ca="1" si="234"/>
        <v>0</v>
      </c>
      <c r="AJ578" s="77">
        <f t="shared" ca="1" si="234"/>
        <v>0</v>
      </c>
      <c r="AK578" s="77">
        <f t="shared" ca="1" si="234"/>
        <v>0</v>
      </c>
      <c r="AL578" s="77">
        <f t="shared" ca="1" si="234"/>
        <v>0</v>
      </c>
      <c r="AM578" s="77">
        <f t="shared" ca="1" si="234"/>
        <v>0</v>
      </c>
      <c r="AN578" s="77">
        <f t="shared" ca="1" si="234"/>
        <v>0</v>
      </c>
      <c r="AO578" s="77">
        <f t="shared" ca="1" si="234"/>
        <v>0</v>
      </c>
      <c r="AP578" s="77">
        <f t="shared" ca="1" si="234"/>
        <v>0</v>
      </c>
      <c r="AQ578" s="77">
        <f t="shared" ca="1" si="234"/>
        <v>0</v>
      </c>
      <c r="AR578" s="77">
        <f t="shared" ca="1" si="234"/>
        <v>0</v>
      </c>
      <c r="AS578" s="77">
        <f t="shared" ca="1" si="234"/>
        <v>0</v>
      </c>
      <c r="AT578" s="77">
        <f t="shared" ca="1" si="234"/>
        <v>0</v>
      </c>
      <c r="AU578" s="77">
        <f t="shared" ca="1" si="234"/>
        <v>0</v>
      </c>
      <c r="AV578" s="77">
        <f t="shared" ca="1" si="234"/>
        <v>0</v>
      </c>
      <c r="AW578" s="77">
        <f t="shared" ca="1" si="234"/>
        <v>0</v>
      </c>
      <c r="BA578" s="49">
        <f t="shared" ca="1" si="227"/>
        <v>0</v>
      </c>
      <c r="BB578" s="78"/>
      <c r="BC578" s="49">
        <f t="shared" ca="1" si="228"/>
        <v>0</v>
      </c>
      <c r="BD578" s="78"/>
      <c r="BE578" s="49">
        <f t="shared" ca="1" si="229"/>
        <v>0</v>
      </c>
    </row>
    <row r="579" spans="3:57" s="21" customFormat="1">
      <c r="C579" s="21" t="str">
        <f t="shared" si="230"/>
        <v>-</v>
      </c>
      <c r="D579" s="24">
        <f t="shared" ref="D579:AC579" ca="1" si="237">D488+D511+D534+D557</f>
        <v>0</v>
      </c>
      <c r="E579" s="24">
        <f t="shared" ca="1" si="237"/>
        <v>0</v>
      </c>
      <c r="F579" s="24">
        <f t="shared" ca="1" si="237"/>
        <v>0</v>
      </c>
      <c r="G579" s="24">
        <f t="shared" ca="1" si="237"/>
        <v>0</v>
      </c>
      <c r="H579" s="24">
        <f t="shared" ca="1" si="237"/>
        <v>0</v>
      </c>
      <c r="I579" s="24">
        <f t="shared" ca="1" si="237"/>
        <v>0</v>
      </c>
      <c r="J579" s="24">
        <f t="shared" ca="1" si="237"/>
        <v>0</v>
      </c>
      <c r="K579" s="24">
        <f t="shared" ca="1" si="237"/>
        <v>0</v>
      </c>
      <c r="L579" s="24">
        <f t="shared" ca="1" si="237"/>
        <v>0</v>
      </c>
      <c r="M579" s="24">
        <f t="shared" ca="1" si="237"/>
        <v>0</v>
      </c>
      <c r="N579" s="24">
        <f t="shared" ca="1" si="237"/>
        <v>0</v>
      </c>
      <c r="O579" s="24">
        <f t="shared" ca="1" si="237"/>
        <v>0</v>
      </c>
      <c r="P579" s="24">
        <f t="shared" ca="1" si="237"/>
        <v>0</v>
      </c>
      <c r="Q579" s="24">
        <f t="shared" ca="1" si="237"/>
        <v>0</v>
      </c>
      <c r="R579" s="24">
        <f t="shared" ca="1" si="237"/>
        <v>0</v>
      </c>
      <c r="S579" s="24">
        <f t="shared" ca="1" si="237"/>
        <v>0</v>
      </c>
      <c r="T579" s="24">
        <f t="shared" ca="1" si="237"/>
        <v>0</v>
      </c>
      <c r="U579" s="24">
        <f t="shared" ca="1" si="237"/>
        <v>0</v>
      </c>
      <c r="V579" s="24">
        <f t="shared" ca="1" si="237"/>
        <v>0</v>
      </c>
      <c r="W579" s="24">
        <f t="shared" ca="1" si="237"/>
        <v>0</v>
      </c>
      <c r="X579" s="24">
        <f t="shared" ca="1" si="237"/>
        <v>0</v>
      </c>
      <c r="Y579" s="24">
        <f t="shared" ca="1" si="237"/>
        <v>0</v>
      </c>
      <c r="Z579" s="24">
        <f t="shared" ca="1" si="237"/>
        <v>0</v>
      </c>
      <c r="AA579" s="24">
        <f t="shared" ca="1" si="237"/>
        <v>0</v>
      </c>
      <c r="AB579" s="24">
        <f t="shared" ca="1" si="237"/>
        <v>0</v>
      </c>
      <c r="AC579" s="24">
        <f t="shared" ca="1" si="237"/>
        <v>0</v>
      </c>
      <c r="AD579" s="77">
        <f t="shared" ca="1" si="232"/>
        <v>0</v>
      </c>
      <c r="AE579" s="77">
        <f t="shared" ca="1" si="234"/>
        <v>0</v>
      </c>
      <c r="AF579" s="77">
        <f t="shared" ca="1" si="234"/>
        <v>0</v>
      </c>
      <c r="AG579" s="77">
        <f t="shared" ca="1" si="234"/>
        <v>0</v>
      </c>
      <c r="AH579" s="77">
        <f t="shared" ca="1" si="234"/>
        <v>0</v>
      </c>
      <c r="AI579" s="77">
        <f t="shared" ca="1" si="234"/>
        <v>0</v>
      </c>
      <c r="AJ579" s="77">
        <f t="shared" ca="1" si="234"/>
        <v>0</v>
      </c>
      <c r="AK579" s="77">
        <f t="shared" ca="1" si="234"/>
        <v>0</v>
      </c>
      <c r="AL579" s="77">
        <f t="shared" ca="1" si="234"/>
        <v>0</v>
      </c>
      <c r="AM579" s="77">
        <f t="shared" ca="1" si="234"/>
        <v>0</v>
      </c>
      <c r="AN579" s="77">
        <f t="shared" ca="1" si="234"/>
        <v>0</v>
      </c>
      <c r="AO579" s="77">
        <f t="shared" ca="1" si="234"/>
        <v>0</v>
      </c>
      <c r="AP579" s="77">
        <f t="shared" ca="1" si="234"/>
        <v>0</v>
      </c>
      <c r="AQ579" s="77">
        <f t="shared" ca="1" si="234"/>
        <v>0</v>
      </c>
      <c r="AR579" s="77">
        <f t="shared" ca="1" si="234"/>
        <v>0</v>
      </c>
      <c r="AS579" s="77">
        <f t="shared" ca="1" si="234"/>
        <v>0</v>
      </c>
      <c r="AT579" s="77">
        <f t="shared" ca="1" si="234"/>
        <v>0</v>
      </c>
      <c r="AU579" s="77">
        <f t="shared" ca="1" si="234"/>
        <v>0</v>
      </c>
      <c r="AV579" s="77">
        <f t="shared" ca="1" si="234"/>
        <v>0</v>
      </c>
      <c r="AW579" s="77">
        <f t="shared" ca="1" si="234"/>
        <v>0</v>
      </c>
      <c r="BA579" s="49">
        <f t="shared" ca="1" si="227"/>
        <v>0</v>
      </c>
      <c r="BB579" s="78"/>
      <c r="BC579" s="49">
        <f t="shared" ca="1" si="228"/>
        <v>0</v>
      </c>
      <c r="BD579" s="78"/>
      <c r="BE579" s="49">
        <f t="shared" ca="1" si="229"/>
        <v>0</v>
      </c>
    </row>
    <row r="580" spans="3:57">
      <c r="C580" t="str">
        <f>C27</f>
        <v>Pumped storage</v>
      </c>
      <c r="D580" s="24">
        <f ca="1">D489+D512+D535+D558</f>
        <v>91.355013587921817</v>
      </c>
      <c r="E580" s="24">
        <f ca="1">E489+E512+E535+E558</f>
        <v>91.355013587921817</v>
      </c>
      <c r="F580" s="24">
        <f ca="1">F489+F512+F535+F558</f>
        <v>91.355013587921817</v>
      </c>
      <c r="G580" s="24">
        <f ca="1">G489+G512+G535+G558</f>
        <v>91.355013587921817</v>
      </c>
      <c r="H580" s="24">
        <f t="shared" ca="1" si="233"/>
        <v>91.355013587921817</v>
      </c>
      <c r="I580" s="24">
        <f t="shared" ca="1" si="233"/>
        <v>91.355013587921817</v>
      </c>
      <c r="J580" s="24">
        <f t="shared" ca="1" si="233"/>
        <v>91.355013587921817</v>
      </c>
      <c r="K580" s="24">
        <f t="shared" ca="1" si="233"/>
        <v>91.355013587921817</v>
      </c>
      <c r="L580" s="24">
        <f t="shared" ca="1" si="233"/>
        <v>1003.7456618954134</v>
      </c>
      <c r="M580" s="24">
        <f t="shared" ca="1" si="233"/>
        <v>1916.136310202905</v>
      </c>
      <c r="N580" s="24">
        <f t="shared" ca="1" si="233"/>
        <v>1916.136310202905</v>
      </c>
      <c r="O580" s="24">
        <f t="shared" ca="1" si="233"/>
        <v>1916.136310202905</v>
      </c>
      <c r="P580" s="24">
        <f t="shared" ca="1" si="233"/>
        <v>1916.136310202905</v>
      </c>
      <c r="Q580" s="24">
        <f t="shared" ca="1" si="233"/>
        <v>1916.136310202905</v>
      </c>
      <c r="R580" s="24">
        <f t="shared" ca="1" si="233"/>
        <v>1916.136310202905</v>
      </c>
      <c r="S580" s="24">
        <f t="shared" ca="1" si="233"/>
        <v>1916.136310202905</v>
      </c>
      <c r="T580" s="24">
        <f t="shared" ca="1" si="233"/>
        <v>1916.136310202905</v>
      </c>
      <c r="U580" s="24">
        <f t="shared" ca="1" si="233"/>
        <v>1916.136310202905</v>
      </c>
      <c r="V580" s="24">
        <f t="shared" ca="1" si="233"/>
        <v>1916.136310202905</v>
      </c>
      <c r="W580" s="24">
        <f t="shared" ca="1" si="233"/>
        <v>1916.136310202905</v>
      </c>
      <c r="X580" s="24">
        <f t="shared" ca="1" si="233"/>
        <v>1916.136310202905</v>
      </c>
      <c r="Y580" s="24">
        <f t="shared" ca="1" si="233"/>
        <v>1916.136310202905</v>
      </c>
      <c r="Z580" s="24">
        <f t="shared" ca="1" si="233"/>
        <v>1916.136310202905</v>
      </c>
      <c r="AA580" s="24">
        <f t="shared" ca="1" si="233"/>
        <v>1916.136310202905</v>
      </c>
      <c r="AB580" s="24">
        <f t="shared" ca="1" si="233"/>
        <v>1916.136310202905</v>
      </c>
      <c r="AC580" s="24">
        <f t="shared" ca="1" si="233"/>
        <v>1916.136310202905</v>
      </c>
      <c r="AD580" s="77">
        <f t="shared" ca="1" si="232"/>
        <v>1916.136310202905</v>
      </c>
      <c r="AE580" s="77">
        <f t="shared" ca="1" si="234"/>
        <v>1916.136310202905</v>
      </c>
      <c r="AF580" s="77">
        <f t="shared" ca="1" si="234"/>
        <v>1916.136310202905</v>
      </c>
      <c r="AG580" s="77">
        <f t="shared" ca="1" si="234"/>
        <v>1916.136310202905</v>
      </c>
      <c r="AH580" s="77">
        <f t="shared" ca="1" si="234"/>
        <v>1916.136310202905</v>
      </c>
      <c r="AI580" s="77">
        <f t="shared" ca="1" si="234"/>
        <v>1916.136310202905</v>
      </c>
      <c r="AJ580" s="77">
        <f t="shared" ca="1" si="234"/>
        <v>1916.136310202905</v>
      </c>
      <c r="AK580" s="77">
        <f t="shared" ca="1" si="234"/>
        <v>1916.136310202905</v>
      </c>
      <c r="AL580" s="77">
        <f t="shared" ca="1" si="234"/>
        <v>1916.136310202905</v>
      </c>
      <c r="AM580" s="77">
        <f t="shared" ca="1" si="234"/>
        <v>1916.136310202905</v>
      </c>
      <c r="AN580" s="77">
        <f t="shared" ca="1" si="234"/>
        <v>1916.136310202905</v>
      </c>
      <c r="AO580" s="77">
        <f t="shared" ca="1" si="234"/>
        <v>1916.136310202905</v>
      </c>
      <c r="AP580" s="77">
        <f t="shared" ca="1" si="234"/>
        <v>1916.136310202905</v>
      </c>
      <c r="AQ580" s="77">
        <f t="shared" ca="1" si="234"/>
        <v>1916.136310202905</v>
      </c>
      <c r="AR580" s="77">
        <f t="shared" ca="1" si="234"/>
        <v>1916.136310202905</v>
      </c>
      <c r="AS580" s="77">
        <f t="shared" ca="1" si="234"/>
        <v>1916.136310202905</v>
      </c>
      <c r="AT580" s="77">
        <f t="shared" ca="1" si="234"/>
        <v>1916.136310202905</v>
      </c>
      <c r="AU580" s="77">
        <f t="shared" ca="1" si="234"/>
        <v>1916.136310202905</v>
      </c>
      <c r="AV580" s="77">
        <f t="shared" ca="1" si="234"/>
        <v>1916.136310202905</v>
      </c>
      <c r="AW580" s="77">
        <f t="shared" ca="1" si="234"/>
        <v>1916.136310202905</v>
      </c>
      <c r="BA580" s="49">
        <f t="shared" ca="1" si="227"/>
        <v>16313.148572655477</v>
      </c>
      <c r="BB580" s="49"/>
      <c r="BC580" s="49">
        <f t="shared" ca="1" si="228"/>
        <v>13615.346156599688</v>
      </c>
      <c r="BD580" s="49"/>
      <c r="BE580" s="49">
        <f t="shared" ca="1" si="229"/>
        <v>11410.941076293879</v>
      </c>
    </row>
    <row r="581" spans="3:57">
      <c r="C581" s="4" t="s">
        <v>5</v>
      </c>
      <c r="D581" s="20">
        <f ca="1">SUM(D561:D580)</f>
        <v>22078.336038387566</v>
      </c>
      <c r="E581" s="20">
        <f ca="1">SUM(E561:E580)</f>
        <v>23983.039874560225</v>
      </c>
      <c r="F581" s="20">
        <f ca="1">SUM(F561:F580)</f>
        <v>26198.582032690931</v>
      </c>
      <c r="G581" s="20">
        <f ca="1">SUM(G561:G580)</f>
        <v>27720.818346196553</v>
      </c>
      <c r="H581" s="20">
        <f t="shared" ref="H581:AD581" ca="1" si="238">SUM(H561:H580)</f>
        <v>27350.848283593776</v>
      </c>
      <c r="I581" s="20">
        <f t="shared" ca="1" si="238"/>
        <v>28383.57491097118</v>
      </c>
      <c r="J581" s="20">
        <f t="shared" ca="1" si="238"/>
        <v>30299.228720873136</v>
      </c>
      <c r="K581" s="20">
        <f t="shared" ca="1" si="238"/>
        <v>32778.878189219984</v>
      </c>
      <c r="L581" s="20">
        <f t="shared" ca="1" si="238"/>
        <v>38161.46815713559</v>
      </c>
      <c r="M581" s="20">
        <f t="shared" ca="1" si="238"/>
        <v>45652.497982635417</v>
      </c>
      <c r="N581" s="20">
        <f t="shared" ca="1" si="238"/>
        <v>52169.429890782871</v>
      </c>
      <c r="O581" s="20">
        <f t="shared" ca="1" si="238"/>
        <v>56889.708276247686</v>
      </c>
      <c r="P581" s="20">
        <f t="shared" ca="1" si="238"/>
        <v>61591.928043730164</v>
      </c>
      <c r="Q581" s="20">
        <f t="shared" ca="1" si="238"/>
        <v>68151.105470319904</v>
      </c>
      <c r="R581" s="20">
        <f t="shared" ca="1" si="238"/>
        <v>74746.811251821317</v>
      </c>
      <c r="S581" s="20">
        <f t="shared" ca="1" si="238"/>
        <v>81083.499632454026</v>
      </c>
      <c r="T581" s="20">
        <f t="shared" ca="1" si="238"/>
        <v>89264.050657156258</v>
      </c>
      <c r="U581" s="20">
        <f t="shared" ca="1" si="238"/>
        <v>97718.746010263523</v>
      </c>
      <c r="V581" s="20">
        <f t="shared" ca="1" si="238"/>
        <v>105490.08262976927</v>
      </c>
      <c r="W581" s="20">
        <f t="shared" ca="1" si="238"/>
        <v>114110.17553454505</v>
      </c>
      <c r="X581" s="20">
        <f t="shared" ca="1" si="238"/>
        <v>122650.22524847816</v>
      </c>
      <c r="Y581" s="20">
        <f t="shared" ca="1" si="238"/>
        <v>134163.35070677966</v>
      </c>
      <c r="Z581" s="20">
        <f t="shared" ca="1" si="238"/>
        <v>144774.53037757555</v>
      </c>
      <c r="AA581" s="20">
        <f t="shared" ca="1" si="238"/>
        <v>155435.28213045554</v>
      </c>
      <c r="AB581" s="20">
        <f t="shared" ca="1" si="238"/>
        <v>169105.30363757684</v>
      </c>
      <c r="AC581" s="20">
        <f t="shared" ca="1" si="238"/>
        <v>180790.76212771895</v>
      </c>
      <c r="AD581" s="74">
        <f t="shared" ca="1" si="238"/>
        <v>180172.81195682427</v>
      </c>
      <c r="AE581" s="74">
        <f t="shared" ref="AE581:AW581" ca="1" si="239">SUM(AE561:AE580)</f>
        <v>179542.7931838618</v>
      </c>
      <c r="AF581" s="74">
        <f t="shared" ca="1" si="239"/>
        <v>179513.45064253395</v>
      </c>
      <c r="AG581" s="74">
        <f t="shared" ca="1" si="239"/>
        <v>179697.15645651647</v>
      </c>
      <c r="AH581" s="74">
        <f t="shared" ca="1" si="239"/>
        <v>179880.862270499</v>
      </c>
      <c r="AI581" s="74">
        <f t="shared" ca="1" si="239"/>
        <v>179976.76980496355</v>
      </c>
      <c r="AJ581" s="74">
        <f t="shared" ca="1" si="239"/>
        <v>180172.48355415545</v>
      </c>
      <c r="AK581" s="74">
        <f t="shared" ca="1" si="239"/>
        <v>180162.97441883787</v>
      </c>
      <c r="AL581" s="74">
        <f t="shared" ca="1" si="239"/>
        <v>180053.65906879288</v>
      </c>
      <c r="AM581" s="74">
        <f t="shared" ca="1" si="239"/>
        <v>180053.65906879288</v>
      </c>
      <c r="AN581" s="74">
        <f t="shared" ca="1" si="239"/>
        <v>180053.65906879288</v>
      </c>
      <c r="AO581" s="74">
        <f t="shared" ca="1" si="239"/>
        <v>179918.73184394799</v>
      </c>
      <c r="AP581" s="74">
        <f t="shared" ca="1" si="239"/>
        <v>179653.56758428269</v>
      </c>
      <c r="AQ581" s="74">
        <f t="shared" ca="1" si="239"/>
        <v>179262.85647982167</v>
      </c>
      <c r="AR581" s="74">
        <f t="shared" ca="1" si="239"/>
        <v>178979.06484873011</v>
      </c>
      <c r="AS581" s="74">
        <f t="shared" ca="1" si="239"/>
        <v>178827.8553474712</v>
      </c>
      <c r="AT581" s="74">
        <f t="shared" ca="1" si="239"/>
        <v>178581.45184790427</v>
      </c>
      <c r="AU581" s="74">
        <f t="shared" ca="1" si="239"/>
        <v>178218.88188359074</v>
      </c>
      <c r="AV581" s="74">
        <f t="shared" ca="1" si="239"/>
        <v>177863.34720431411</v>
      </c>
      <c r="AW581" s="74">
        <f t="shared" ca="1" si="239"/>
        <v>177514.84781007434</v>
      </c>
      <c r="AY581" s="11" t="s">
        <v>647</v>
      </c>
      <c r="BA581" s="79">
        <f t="shared" ca="1" si="227"/>
        <v>1529648.4034110063</v>
      </c>
      <c r="BB581" s="49"/>
      <c r="BC581" s="79">
        <f t="shared" ca="1" si="228"/>
        <v>776200.02710213792</v>
      </c>
      <c r="BD581" s="49"/>
      <c r="BE581" s="79">
        <f t="shared" ca="1" si="229"/>
        <v>569497.76502545562</v>
      </c>
    </row>
    <row r="582" spans="3:57">
      <c r="C582" s="11" t="s">
        <v>651</v>
      </c>
      <c r="D582" s="24">
        <f ca="1">D581+D970</f>
        <v>22078.336038387566</v>
      </c>
      <c r="E582" s="24">
        <f t="shared" ref="E582:AC582" ca="1" si="240">E581+E970</f>
        <v>23983.039874560225</v>
      </c>
      <c r="F582" s="24">
        <f t="shared" ca="1" si="240"/>
        <v>26198.582032690931</v>
      </c>
      <c r="G582" s="24">
        <f t="shared" ca="1" si="240"/>
        <v>27720.818346196553</v>
      </c>
      <c r="H582" s="24">
        <f t="shared" ca="1" si="240"/>
        <v>27350.848283593776</v>
      </c>
      <c r="I582" s="24">
        <f t="shared" ca="1" si="240"/>
        <v>28383.57491097118</v>
      </c>
      <c r="J582" s="24">
        <f t="shared" ca="1" si="240"/>
        <v>30299.228720873136</v>
      </c>
      <c r="K582" s="24">
        <f t="shared" ca="1" si="240"/>
        <v>57361.988879581724</v>
      </c>
      <c r="L582" s="24">
        <f t="shared" ca="1" si="240"/>
        <v>63455.417067394694</v>
      </c>
      <c r="M582" s="24">
        <f t="shared" ca="1" si="240"/>
        <v>71779.652653652156</v>
      </c>
      <c r="N582" s="24">
        <f t="shared" ca="1" si="240"/>
        <v>79074.030514311278</v>
      </c>
      <c r="O582" s="24">
        <f t="shared" ca="1" si="240"/>
        <v>140058.55246200549</v>
      </c>
      <c r="P582" s="24">
        <f t="shared" ca="1" si="240"/>
        <v>147175.3348929215</v>
      </c>
      <c r="Q582" s="24">
        <f t="shared" ca="1" si="240"/>
        <v>156279.43150167965</v>
      </c>
      <c r="R582" s="24">
        <f t="shared" ca="1" si="240"/>
        <v>165539.99617420623</v>
      </c>
      <c r="S582" s="24">
        <f t="shared" ca="1" si="240"/>
        <v>236590.61415341817</v>
      </c>
      <c r="T582" s="24">
        <f t="shared" ca="1" si="240"/>
        <v>249191.18675828754</v>
      </c>
      <c r="U582" s="24">
        <f t="shared" ca="1" si="240"/>
        <v>262430.59451886261</v>
      </c>
      <c r="V582" s="24">
        <f t="shared" ca="1" si="240"/>
        <v>275308.97659434559</v>
      </c>
      <c r="W582" s="24">
        <f t="shared" ca="1" si="240"/>
        <v>288968.13057257049</v>
      </c>
      <c r="X582" s="24">
        <f t="shared" ca="1" si="240"/>
        <v>302645.07589844882</v>
      </c>
      <c r="Y582" s="24">
        <f t="shared" ca="1" si="240"/>
        <v>319665.08769111772</v>
      </c>
      <c r="Z582" s="24">
        <f t="shared" ca="1" si="240"/>
        <v>336181.32474782976</v>
      </c>
      <c r="AA582" s="24">
        <f t="shared" ca="1" si="240"/>
        <v>352875.15545965161</v>
      </c>
      <c r="AB582" s="24">
        <f t="shared" ca="1" si="240"/>
        <v>372321.12433759973</v>
      </c>
      <c r="AC582" s="24">
        <f t="shared" ca="1" si="240"/>
        <v>388519.07136347302</v>
      </c>
      <c r="AY582" s="11" t="s">
        <v>648</v>
      </c>
      <c r="BA582" s="49">
        <f ca="1">BA581+BA970</f>
        <v>3298156.6004873086</v>
      </c>
      <c r="BC582" s="49">
        <f ca="1">BC581+BC970</f>
        <v>1677929.3577086409</v>
      </c>
      <c r="BE582" s="49">
        <f ca="1">BE581+BE970</f>
        <v>1232247.5732648144</v>
      </c>
    </row>
    <row r="584" spans="3:57">
      <c r="C584" s="4" t="s">
        <v>135</v>
      </c>
    </row>
    <row r="585" spans="3:57">
      <c r="C585" t="str">
        <f>C8</f>
        <v>Existing coal Large</v>
      </c>
      <c r="D585" s="66">
        <f t="shared" ref="D585:AC585" ca="1" si="241">IF(D367=0,0,D561/D367)</f>
        <v>7.8964962111381362E-2</v>
      </c>
      <c r="E585" s="66">
        <f t="shared" ca="1" si="241"/>
        <v>8.6699416603398319E-2</v>
      </c>
      <c r="F585" s="66">
        <f t="shared" ca="1" si="241"/>
        <v>9.349678889441039E-2</v>
      </c>
      <c r="G585" s="66">
        <f t="shared" ca="1" si="241"/>
        <v>9.6641616249601645E-2</v>
      </c>
      <c r="H585" s="66">
        <f t="shared" ca="1" si="241"/>
        <v>9.6641616249601645E-2</v>
      </c>
      <c r="I585" s="66">
        <f t="shared" ca="1" si="241"/>
        <v>9.6337491343764611E-2</v>
      </c>
      <c r="J585" s="66">
        <f t="shared" ca="1" si="241"/>
        <v>9.6209949178968218E-2</v>
      </c>
      <c r="K585" s="66">
        <f t="shared" ca="1" si="241"/>
        <v>9.6048400441905671E-2</v>
      </c>
      <c r="L585" s="66">
        <f t="shared" ca="1" si="241"/>
        <v>9.5939578176196028E-2</v>
      </c>
      <c r="M585" s="66">
        <f t="shared" ca="1" si="241"/>
        <v>9.6261917372768624E-2</v>
      </c>
      <c r="N585" s="66">
        <f t="shared" ca="1" si="241"/>
        <v>9.6606653058698519E-2</v>
      </c>
      <c r="O585" s="66">
        <f t="shared" ca="1" si="241"/>
        <v>9.6951388744628428E-2</v>
      </c>
      <c r="P585" s="66">
        <f t="shared" ca="1" si="241"/>
        <v>9.7296124430558323E-2</v>
      </c>
      <c r="Q585" s="66">
        <f t="shared" ca="1" si="241"/>
        <v>9.7640860116488232E-2</v>
      </c>
      <c r="R585" s="66">
        <f t="shared" ca="1" si="241"/>
        <v>9.7985595802418127E-2</v>
      </c>
      <c r="S585" s="66">
        <f t="shared" ca="1" si="241"/>
        <v>9.8330331488348036E-2</v>
      </c>
      <c r="T585" s="66">
        <f t="shared" ca="1" si="241"/>
        <v>9.8675067174277931E-2</v>
      </c>
      <c r="U585" s="66">
        <f t="shared" ca="1" si="241"/>
        <v>9.9019802860207812E-2</v>
      </c>
      <c r="V585" s="66">
        <f t="shared" ca="1" si="241"/>
        <v>9.9364538546137721E-2</v>
      </c>
      <c r="W585" s="66">
        <f t="shared" ca="1" si="241"/>
        <v>9.9709274232067616E-2</v>
      </c>
      <c r="X585" s="66">
        <f t="shared" ca="1" si="241"/>
        <v>0.10005400991799752</v>
      </c>
      <c r="Y585" s="66">
        <f t="shared" ca="1" si="241"/>
        <v>0.10039874560392742</v>
      </c>
      <c r="Z585" s="66">
        <f t="shared" ca="1" si="241"/>
        <v>0.10074348128985731</v>
      </c>
      <c r="AA585" s="66">
        <f t="shared" ca="1" si="241"/>
        <v>0.10108821697578721</v>
      </c>
      <c r="AB585" s="66">
        <f t="shared" ca="1" si="241"/>
        <v>0.10143295266171713</v>
      </c>
      <c r="AC585" s="66">
        <f t="shared" ca="1" si="241"/>
        <v>0.10177768834764701</v>
      </c>
    </row>
    <row r="586" spans="3:57">
      <c r="C586" t="str">
        <f t="shared" ref="C586:C604" si="242">C9</f>
        <v>Existing coal Small</v>
      </c>
      <c r="D586" s="66">
        <f t="shared" ref="D586:AC586" ca="1" si="243">IF(D368=0,0,D562/D368)</f>
        <v>0.20439666399182957</v>
      </c>
      <c r="E586" s="66">
        <f t="shared" ca="1" si="243"/>
        <v>0.21396392914047679</v>
      </c>
      <c r="F586" s="66">
        <f t="shared" ca="1" si="243"/>
        <v>0.22353119428912396</v>
      </c>
      <c r="G586" s="66">
        <f t="shared" ca="1" si="243"/>
        <v>0.23351110022205604</v>
      </c>
      <c r="H586" s="66">
        <f t="shared" ca="1" si="243"/>
        <v>0.23351110022205604</v>
      </c>
      <c r="I586" s="66">
        <f t="shared" ca="1" si="243"/>
        <v>0.23404676293688209</v>
      </c>
      <c r="J586" s="66">
        <f t="shared" ca="1" si="243"/>
        <v>0.23458242565170809</v>
      </c>
      <c r="K586" s="66">
        <f t="shared" ca="1" si="243"/>
        <v>0.23511808836653417</v>
      </c>
      <c r="L586" s="66">
        <f t="shared" ca="1" si="243"/>
        <v>0.23565375108136016</v>
      </c>
      <c r="M586" s="66">
        <f t="shared" ca="1" si="243"/>
        <v>0.23618941379618622</v>
      </c>
      <c r="N586" s="66">
        <f t="shared" ca="1" si="243"/>
        <v>0.23672507651101221</v>
      </c>
      <c r="O586" s="66">
        <f t="shared" ca="1" si="243"/>
        <v>0.23726073922583821</v>
      </c>
      <c r="P586" s="66">
        <f t="shared" ca="1" si="243"/>
        <v>0.23779640194066426</v>
      </c>
      <c r="Q586" s="66">
        <f t="shared" ca="1" si="243"/>
        <v>0.23833206465549026</v>
      </c>
      <c r="R586" s="66">
        <f t="shared" ca="1" si="243"/>
        <v>0.23886772737031634</v>
      </c>
      <c r="S586" s="66">
        <f t="shared" ca="1" si="243"/>
        <v>0.23940339008514236</v>
      </c>
      <c r="T586" s="66">
        <f t="shared" ca="1" si="243"/>
        <v>0.2399390527999683</v>
      </c>
      <c r="U586" s="66">
        <f t="shared" ca="1" si="243"/>
        <v>0.24047471551479438</v>
      </c>
      <c r="V586" s="66">
        <f t="shared" ca="1" si="243"/>
        <v>0.2410103782296204</v>
      </c>
      <c r="W586" s="66">
        <f t="shared" ca="1" si="243"/>
        <v>0.2415460409444464</v>
      </c>
      <c r="X586" s="66">
        <f t="shared" ca="1" si="243"/>
        <v>0.24208170365927248</v>
      </c>
      <c r="Y586" s="66">
        <f t="shared" ca="1" si="243"/>
        <v>0.24261736637409848</v>
      </c>
      <c r="Z586" s="66">
        <f t="shared" ca="1" si="243"/>
        <v>0.24315302908892447</v>
      </c>
      <c r="AA586" s="66">
        <f t="shared" ca="1" si="243"/>
        <v>0.24368869180375047</v>
      </c>
      <c r="AB586" s="66">
        <f t="shared" ca="1" si="243"/>
        <v>0.24422435451857655</v>
      </c>
      <c r="AC586" s="66">
        <f t="shared" ca="1" si="243"/>
        <v>0.24476001723340254</v>
      </c>
    </row>
    <row r="587" spans="3:57">
      <c r="C587" t="str">
        <f t="shared" si="242"/>
        <v>OCGT liquid fuels</v>
      </c>
      <c r="D587" s="66">
        <f t="shared" ref="D587:AC587" ca="1" si="244">IF(D369=0,0,D563/D369)</f>
        <v>1.8464002640452857</v>
      </c>
      <c r="E587" s="66">
        <f t="shared" ca="1" si="244"/>
        <v>2.0458572365017975</v>
      </c>
      <c r="F587" s="66">
        <f t="shared" ca="1" si="244"/>
        <v>2.0453844881251801</v>
      </c>
      <c r="G587" s="66">
        <f t="shared" ca="1" si="244"/>
        <v>2.717396349495957</v>
      </c>
      <c r="H587" s="66">
        <f t="shared" ca="1" si="244"/>
        <v>1.9816313716592397</v>
      </c>
      <c r="I587" s="66">
        <f t="shared" ca="1" si="244"/>
        <v>2.0627872356553723</v>
      </c>
      <c r="J587" s="66">
        <f t="shared" ca="1" si="244"/>
        <v>2.8643548705237394</v>
      </c>
      <c r="K587" s="66">
        <f t="shared" ca="1" si="244"/>
        <v>2.9455107345198712</v>
      </c>
      <c r="L587" s="66">
        <f t="shared" ca="1" si="244"/>
        <v>3.0266665985160039</v>
      </c>
      <c r="M587" s="66">
        <f t="shared" ca="1" si="244"/>
        <v>3.1078224625121362</v>
      </c>
      <c r="N587" s="66">
        <f t="shared" ca="1" si="244"/>
        <v>3.1889783265082685</v>
      </c>
      <c r="O587" s="66">
        <f t="shared" ca="1" si="244"/>
        <v>3.2701341905043999</v>
      </c>
      <c r="P587" s="66">
        <f t="shared" ca="1" si="244"/>
        <v>3.3512900545005322</v>
      </c>
      <c r="Q587" s="66">
        <f t="shared" ca="1" si="244"/>
        <v>3.4324459184966645</v>
      </c>
      <c r="R587" s="66">
        <f t="shared" ca="1" si="244"/>
        <v>3.5136017824927968</v>
      </c>
      <c r="S587" s="66">
        <f t="shared" ca="1" si="244"/>
        <v>3.594757646488929</v>
      </c>
      <c r="T587" s="66">
        <f t="shared" ca="1" si="244"/>
        <v>3.6759135104850604</v>
      </c>
      <c r="U587" s="66">
        <f t="shared" ca="1" si="244"/>
        <v>3.7570693744811927</v>
      </c>
      <c r="V587" s="66">
        <f t="shared" ca="1" si="244"/>
        <v>4.1126678178572238</v>
      </c>
      <c r="W587" s="66">
        <f t="shared" ca="1" si="244"/>
        <v>4.1938236818533561</v>
      </c>
      <c r="X587" s="66">
        <f t="shared" ca="1" si="244"/>
        <v>4.2749795458494884</v>
      </c>
      <c r="Y587" s="66">
        <f t="shared" ca="1" si="244"/>
        <v>4.5502533318460383</v>
      </c>
      <c r="Z587" s="66">
        <f t="shared" ca="1" si="244"/>
        <v>4.6314091958421688</v>
      </c>
      <c r="AA587" s="66">
        <f t="shared" ca="1" si="244"/>
        <v>4.7125650598383011</v>
      </c>
      <c r="AB587" s="66">
        <f t="shared" ca="1" si="244"/>
        <v>4.9382768231964462</v>
      </c>
      <c r="AC587" s="66">
        <f t="shared" ca="1" si="244"/>
        <v>5.061128301993473</v>
      </c>
    </row>
    <row r="588" spans="3:57">
      <c r="C588" t="str">
        <f t="shared" si="242"/>
        <v>PWR nuclear</v>
      </c>
      <c r="D588" s="66">
        <f t="shared" ref="D588:AC588" ca="1" si="245">IF(D370=0,0,D564/D370)</f>
        <v>0.13952266385974332</v>
      </c>
      <c r="E588" s="66">
        <f t="shared" ca="1" si="245"/>
        <v>0.14502615858016568</v>
      </c>
      <c r="F588" s="66">
        <f t="shared" ca="1" si="245"/>
        <v>0.15052965330058807</v>
      </c>
      <c r="G588" s="66">
        <f t="shared" ca="1" si="245"/>
        <v>0.15603314802101043</v>
      </c>
      <c r="H588" s="66">
        <f t="shared" ca="1" si="245"/>
        <v>0.16433604025355245</v>
      </c>
      <c r="I588" s="66">
        <f t="shared" ca="1" si="245"/>
        <v>0.16462521197713417</v>
      </c>
      <c r="J588" s="66">
        <f t="shared" ca="1" si="245"/>
        <v>0.16491582955933379</v>
      </c>
      <c r="K588" s="66">
        <f t="shared" ca="1" si="245"/>
        <v>0.1652079002294444</v>
      </c>
      <c r="L588" s="66">
        <f t="shared" ca="1" si="245"/>
        <v>0.16550143125290556</v>
      </c>
      <c r="M588" s="66">
        <f t="shared" ca="1" si="245"/>
        <v>0.16579642993148405</v>
      </c>
      <c r="N588" s="66">
        <f t="shared" ca="1" si="245"/>
        <v>0.16609290360345541</v>
      </c>
      <c r="O588" s="66">
        <f t="shared" ca="1" si="245"/>
        <v>0.16639085964378664</v>
      </c>
      <c r="P588" s="66">
        <f t="shared" ca="1" si="245"/>
        <v>0.16669030546431954</v>
      </c>
      <c r="Q588" s="66">
        <f t="shared" ca="1" si="245"/>
        <v>0.16699124851395508</v>
      </c>
      <c r="R588" s="66">
        <f t="shared" ca="1" si="245"/>
        <v>0.16729369627883878</v>
      </c>
      <c r="S588" s="66">
        <f t="shared" ca="1" si="245"/>
        <v>0.16759765628254694</v>
      </c>
      <c r="T588" s="66">
        <f t="shared" ca="1" si="245"/>
        <v>0.16790313608627364</v>
      </c>
      <c r="U588" s="66">
        <f t="shared" ca="1" si="245"/>
        <v>0.16821014328901893</v>
      </c>
      <c r="V588" s="66">
        <f t="shared" ca="1" si="245"/>
        <v>0.16851868552777799</v>
      </c>
      <c r="W588" s="66">
        <f t="shared" ca="1" si="245"/>
        <v>0.16882877047773082</v>
      </c>
      <c r="X588" s="66">
        <f t="shared" ca="1" si="245"/>
        <v>0.16914040585243342</v>
      </c>
      <c r="Y588" s="66">
        <f t="shared" ca="1" si="245"/>
        <v>0.16945359940400953</v>
      </c>
      <c r="Z588" s="66">
        <f t="shared" ca="1" si="245"/>
        <v>0.16976835892334349</v>
      </c>
      <c r="AA588" s="66">
        <f t="shared" ca="1" si="245"/>
        <v>0.17008469224027417</v>
      </c>
      <c r="AB588" s="66">
        <f t="shared" ca="1" si="245"/>
        <v>0.1704026072237895</v>
      </c>
      <c r="AC588" s="66">
        <f t="shared" ca="1" si="245"/>
        <v>0.17072211178222241</v>
      </c>
    </row>
    <row r="589" spans="3:57">
      <c r="C589" t="str">
        <f t="shared" si="242"/>
        <v>Hydro</v>
      </c>
      <c r="D589" s="66">
        <f t="shared" ref="D589:AC589" ca="1" si="246">IF(D371=0,0,D565/D371)</f>
        <v>9.8616567997651144E-2</v>
      </c>
      <c r="E589" s="66">
        <f t="shared" ca="1" si="246"/>
        <v>9.8616567997651144E-2</v>
      </c>
      <c r="F589" s="66">
        <f t="shared" ca="1" si="246"/>
        <v>9.8616567997651144E-2</v>
      </c>
      <c r="G589" s="66">
        <f t="shared" ca="1" si="246"/>
        <v>9.8616567997651144E-2</v>
      </c>
      <c r="H589" s="66">
        <f t="shared" ca="1" si="246"/>
        <v>9.8616567997651144E-2</v>
      </c>
      <c r="I589" s="66">
        <f t="shared" ca="1" si="246"/>
        <v>9.8616567997651144E-2</v>
      </c>
      <c r="J589" s="66">
        <f t="shared" ca="1" si="246"/>
        <v>9.8616567997651144E-2</v>
      </c>
      <c r="K589" s="66">
        <f t="shared" ca="1" si="246"/>
        <v>9.8616567997651144E-2</v>
      </c>
      <c r="L589" s="66">
        <f t="shared" ca="1" si="246"/>
        <v>9.8616567997651144E-2</v>
      </c>
      <c r="M589" s="66">
        <f t="shared" ca="1" si="246"/>
        <v>9.8616567997651144E-2</v>
      </c>
      <c r="N589" s="66">
        <f t="shared" ca="1" si="246"/>
        <v>9.8616567997651144E-2</v>
      </c>
      <c r="O589" s="66">
        <f t="shared" ca="1" si="246"/>
        <v>9.8616567997651144E-2</v>
      </c>
      <c r="P589" s="66">
        <f t="shared" ca="1" si="246"/>
        <v>9.8616567997651144E-2</v>
      </c>
      <c r="Q589" s="66">
        <f t="shared" ca="1" si="246"/>
        <v>9.8616567997651144E-2</v>
      </c>
      <c r="R589" s="66">
        <f t="shared" ca="1" si="246"/>
        <v>9.8616567997651144E-2</v>
      </c>
      <c r="S589" s="66">
        <f t="shared" ca="1" si="246"/>
        <v>9.8616567997651144E-2</v>
      </c>
      <c r="T589" s="66">
        <f t="shared" ca="1" si="246"/>
        <v>9.8616567997651144E-2</v>
      </c>
      <c r="U589" s="66">
        <f t="shared" ca="1" si="246"/>
        <v>9.8616567997651144E-2</v>
      </c>
      <c r="V589" s="66">
        <f t="shared" ca="1" si="246"/>
        <v>9.8616567997651144E-2</v>
      </c>
      <c r="W589" s="66">
        <f t="shared" ca="1" si="246"/>
        <v>9.8616567997651144E-2</v>
      </c>
      <c r="X589" s="66">
        <f t="shared" ca="1" si="246"/>
        <v>9.8616567997651144E-2</v>
      </c>
      <c r="Y589" s="66">
        <f t="shared" ca="1" si="246"/>
        <v>9.8616567997651144E-2</v>
      </c>
      <c r="Z589" s="66">
        <f t="shared" ca="1" si="246"/>
        <v>9.8616567997651144E-2</v>
      </c>
      <c r="AA589" s="66">
        <f t="shared" ca="1" si="246"/>
        <v>9.8616567997651144E-2</v>
      </c>
      <c r="AB589" s="66">
        <f t="shared" ca="1" si="246"/>
        <v>9.8616567997651144E-2</v>
      </c>
      <c r="AC589" s="66">
        <f t="shared" ca="1" si="246"/>
        <v>9.8616567997651144E-2</v>
      </c>
    </row>
    <row r="590" spans="3:57">
      <c r="C590" t="str">
        <f t="shared" si="242"/>
        <v>Landfill gas</v>
      </c>
      <c r="D590" s="66">
        <f t="shared" ref="D590:AC590" ca="1" si="247">IF(D372=0,0,D566/D372)</f>
        <v>0.12723441388718468</v>
      </c>
      <c r="E590" s="66">
        <f t="shared" ca="1" si="247"/>
        <v>0.12723441388718468</v>
      </c>
      <c r="F590" s="66">
        <f t="shared" ca="1" si="247"/>
        <v>0.12723441388718468</v>
      </c>
      <c r="G590" s="66">
        <f t="shared" ca="1" si="247"/>
        <v>0.12723441388718468</v>
      </c>
      <c r="H590" s="66">
        <f t="shared" ca="1" si="247"/>
        <v>0.12723441388718468</v>
      </c>
      <c r="I590" s="66">
        <f t="shared" ca="1" si="247"/>
        <v>0.12723441388718468</v>
      </c>
      <c r="J590" s="66">
        <f t="shared" ca="1" si="247"/>
        <v>0.12723441388718468</v>
      </c>
      <c r="K590" s="66">
        <f t="shared" ca="1" si="247"/>
        <v>0.12723441388718468</v>
      </c>
      <c r="L590" s="66">
        <f t="shared" ca="1" si="247"/>
        <v>0.12723441388718468</v>
      </c>
      <c r="M590" s="66">
        <f t="shared" ca="1" si="247"/>
        <v>0.12723441388718468</v>
      </c>
      <c r="N590" s="66">
        <f t="shared" ca="1" si="247"/>
        <v>0.12723441388718468</v>
      </c>
      <c r="O590" s="66">
        <f t="shared" ca="1" si="247"/>
        <v>0.12723441388718468</v>
      </c>
      <c r="P590" s="66">
        <f t="shared" ca="1" si="247"/>
        <v>0.12723441388718468</v>
      </c>
      <c r="Q590" s="66">
        <f t="shared" ca="1" si="247"/>
        <v>0.12723441388718468</v>
      </c>
      <c r="R590" s="66">
        <f t="shared" ca="1" si="247"/>
        <v>0.12723441388718468</v>
      </c>
      <c r="S590" s="66">
        <f t="shared" ca="1" si="247"/>
        <v>0.12723441388718468</v>
      </c>
      <c r="T590" s="66">
        <f t="shared" ca="1" si="247"/>
        <v>0.12723441388718468</v>
      </c>
      <c r="U590" s="66">
        <f t="shared" ca="1" si="247"/>
        <v>0.12723441388718468</v>
      </c>
      <c r="V590" s="66">
        <f t="shared" ca="1" si="247"/>
        <v>0.12723441388718468</v>
      </c>
      <c r="W590" s="66">
        <f t="shared" ca="1" si="247"/>
        <v>0.12723441388718468</v>
      </c>
      <c r="X590" s="66">
        <f t="shared" ca="1" si="247"/>
        <v>0.12723441388718468</v>
      </c>
      <c r="Y590" s="66">
        <f t="shared" ca="1" si="247"/>
        <v>0.12723441388718468</v>
      </c>
      <c r="Z590" s="66">
        <f t="shared" ca="1" si="247"/>
        <v>0.12723441388718468</v>
      </c>
      <c r="AA590" s="66">
        <f t="shared" ca="1" si="247"/>
        <v>0.12723441388718468</v>
      </c>
      <c r="AB590" s="66">
        <f t="shared" ca="1" si="247"/>
        <v>0.12723441388718468</v>
      </c>
      <c r="AC590" s="66">
        <f t="shared" ca="1" si="247"/>
        <v>0.12723441388718468</v>
      </c>
    </row>
    <row r="591" spans="3:57">
      <c r="C591" t="str">
        <f t="shared" si="242"/>
        <v>Biomass</v>
      </c>
      <c r="D591" s="66">
        <f t="shared" ref="D591:AC591" ca="1" si="248">IF(D373=0,0,D567/D373)</f>
        <v>0.12397452963416539</v>
      </c>
      <c r="E591" s="66">
        <f t="shared" ca="1" si="248"/>
        <v>0.12397452963416669</v>
      </c>
      <c r="F591" s="66">
        <f t="shared" ca="1" si="248"/>
        <v>0.12397452963416669</v>
      </c>
      <c r="G591" s="66">
        <f t="shared" ca="1" si="248"/>
        <v>0.12397452963416669</v>
      </c>
      <c r="H591" s="66">
        <f t="shared" ca="1" si="248"/>
        <v>0.12397452963416669</v>
      </c>
      <c r="I591" s="66">
        <f t="shared" ca="1" si="248"/>
        <v>0.12397452963416669</v>
      </c>
      <c r="J591" s="66">
        <f t="shared" ca="1" si="248"/>
        <v>0.12397452963416669</v>
      </c>
      <c r="K591" s="66">
        <f t="shared" ca="1" si="248"/>
        <v>0.12397452963416669</v>
      </c>
      <c r="L591" s="66">
        <f t="shared" ca="1" si="248"/>
        <v>0.12397452963416669</v>
      </c>
      <c r="M591" s="66">
        <f t="shared" ca="1" si="248"/>
        <v>0.12397452963416669</v>
      </c>
      <c r="N591" s="66">
        <f t="shared" ca="1" si="248"/>
        <v>0.12397452963416669</v>
      </c>
      <c r="O591" s="66">
        <f t="shared" ca="1" si="248"/>
        <v>0.12397452963416669</v>
      </c>
      <c r="P591" s="66">
        <f t="shared" ca="1" si="248"/>
        <v>0.12397452963416669</v>
      </c>
      <c r="Q591" s="66">
        <f t="shared" ca="1" si="248"/>
        <v>0.12397452963416669</v>
      </c>
      <c r="R591" s="66">
        <f t="shared" ca="1" si="248"/>
        <v>0.12397452963416669</v>
      </c>
      <c r="S591" s="66">
        <f t="shared" ca="1" si="248"/>
        <v>0.12397452963416669</v>
      </c>
      <c r="T591" s="66">
        <f t="shared" ca="1" si="248"/>
        <v>0.12397452963416669</v>
      </c>
      <c r="U591" s="66">
        <f t="shared" ca="1" si="248"/>
        <v>0.12397452963416669</v>
      </c>
      <c r="V591" s="66">
        <f t="shared" ca="1" si="248"/>
        <v>0.12397452963416669</v>
      </c>
      <c r="W591" s="66">
        <f t="shared" ca="1" si="248"/>
        <v>0.12397452963416669</v>
      </c>
      <c r="X591" s="66">
        <f t="shared" ca="1" si="248"/>
        <v>0.12397452963416669</v>
      </c>
      <c r="Y591" s="66">
        <f t="shared" ca="1" si="248"/>
        <v>0.12397452963416669</v>
      </c>
      <c r="Z591" s="66">
        <f t="shared" ca="1" si="248"/>
        <v>0.12397452963416669</v>
      </c>
      <c r="AA591" s="66">
        <f t="shared" ca="1" si="248"/>
        <v>0.12397452963416669</v>
      </c>
      <c r="AB591" s="66">
        <f t="shared" ca="1" si="248"/>
        <v>0.12397452963416669</v>
      </c>
      <c r="AC591" s="66">
        <f t="shared" ca="1" si="248"/>
        <v>0.12397452963416669</v>
      </c>
    </row>
    <row r="592" spans="3:57">
      <c r="C592" t="str">
        <f t="shared" si="242"/>
        <v>Supercritical coal</v>
      </c>
      <c r="D592" s="66">
        <f t="shared" ref="D592:AC592" si="249">IF(D374=0,0,D568/D374)</f>
        <v>0</v>
      </c>
      <c r="E592" s="66">
        <f t="shared" si="249"/>
        <v>0</v>
      </c>
      <c r="F592" s="66">
        <f t="shared" si="249"/>
        <v>0</v>
      </c>
      <c r="G592" s="66">
        <f t="shared" si="249"/>
        <v>0</v>
      </c>
      <c r="H592" s="66">
        <f t="shared" si="249"/>
        <v>0</v>
      </c>
      <c r="I592" s="66">
        <f t="shared" ca="1" si="249"/>
        <v>0</v>
      </c>
      <c r="J592" s="66">
        <f t="shared" ca="1" si="249"/>
        <v>0</v>
      </c>
      <c r="K592" s="66">
        <f t="shared" ca="1" si="249"/>
        <v>1.1909019201747768</v>
      </c>
      <c r="L592" s="66">
        <f t="shared" ca="1" si="249"/>
        <v>1.1892826507472822</v>
      </c>
      <c r="M592" s="66">
        <f t="shared" ca="1" si="249"/>
        <v>0.90221483234371425</v>
      </c>
      <c r="N592" s="66">
        <f t="shared" ca="1" si="249"/>
        <v>0.84977555483559808</v>
      </c>
      <c r="O592" s="66">
        <f t="shared" ca="1" si="249"/>
        <v>0.75416459082901277</v>
      </c>
      <c r="P592" s="66">
        <f t="shared" ca="1" si="249"/>
        <v>0.7031986609084554</v>
      </c>
      <c r="Q592" s="66">
        <f t="shared" ca="1" si="249"/>
        <v>0.70183340498719116</v>
      </c>
      <c r="R592" s="66">
        <f t="shared" ca="1" si="249"/>
        <v>0.69640437046108139</v>
      </c>
      <c r="S592" s="66">
        <f t="shared" ca="1" si="249"/>
        <v>0.67605620004377487</v>
      </c>
      <c r="T592" s="66">
        <f t="shared" ca="1" si="249"/>
        <v>0.67987886019359622</v>
      </c>
      <c r="U592" s="66">
        <f t="shared" ca="1" si="249"/>
        <v>0.69419771450155199</v>
      </c>
      <c r="V592" s="66">
        <f t="shared" ca="1" si="249"/>
        <v>0.68523608961365257</v>
      </c>
      <c r="W592" s="66">
        <f t="shared" ca="1" si="249"/>
        <v>0.64940564952975144</v>
      </c>
      <c r="X592" s="66">
        <f t="shared" ca="1" si="249"/>
        <v>0.61848465523549856</v>
      </c>
      <c r="Y592" s="66">
        <f t="shared" ca="1" si="249"/>
        <v>0.59758774364459266</v>
      </c>
      <c r="Z592" s="66">
        <f t="shared" ca="1" si="249"/>
        <v>0.58239739555169867</v>
      </c>
      <c r="AA592" s="66">
        <f t="shared" ca="1" si="249"/>
        <v>0.56488566936299112</v>
      </c>
      <c r="AB592" s="66">
        <f t="shared" ca="1" si="249"/>
        <v>0.53539926849439978</v>
      </c>
      <c r="AC592" s="66">
        <f t="shared" ca="1" si="249"/>
        <v>0.53729919987017372</v>
      </c>
    </row>
    <row r="593" spans="1:29">
      <c r="C593" t="str">
        <f t="shared" si="242"/>
        <v xml:space="preserve">Wind 30% </v>
      </c>
      <c r="D593" s="66">
        <f t="shared" ref="D593:AC593" si="250">IF(D375=0,0,D569/D375)</f>
        <v>0</v>
      </c>
      <c r="E593" s="66">
        <f t="shared" si="250"/>
        <v>0</v>
      </c>
      <c r="F593" s="66">
        <f t="shared" si="250"/>
        <v>0</v>
      </c>
      <c r="G593" s="66">
        <f t="shared" si="250"/>
        <v>0</v>
      </c>
      <c r="H593" s="66">
        <f t="shared" si="250"/>
        <v>0</v>
      </c>
      <c r="I593" s="66">
        <f t="shared" ca="1" si="250"/>
        <v>0.79353393275937967</v>
      </c>
      <c r="J593" s="66">
        <f t="shared" ca="1" si="250"/>
        <v>0.79353393275937967</v>
      </c>
      <c r="K593" s="66">
        <f t="shared" ca="1" si="250"/>
        <v>0.79353393275937967</v>
      </c>
      <c r="L593" s="66">
        <f t="shared" ca="1" si="250"/>
        <v>0.79353393275937967</v>
      </c>
      <c r="M593" s="66">
        <f t="shared" ca="1" si="250"/>
        <v>0.79353393275937967</v>
      </c>
      <c r="N593" s="66">
        <f t="shared" ca="1" si="250"/>
        <v>0.79353393275937967</v>
      </c>
      <c r="O593" s="66">
        <f t="shared" ca="1" si="250"/>
        <v>0.79353393275937967</v>
      </c>
      <c r="P593" s="66">
        <f t="shared" ca="1" si="250"/>
        <v>0.79353393275937967</v>
      </c>
      <c r="Q593" s="66">
        <f t="shared" ca="1" si="250"/>
        <v>0.79353393275937967</v>
      </c>
      <c r="R593" s="66">
        <f t="shared" ca="1" si="250"/>
        <v>0.79353393275937967</v>
      </c>
      <c r="S593" s="66">
        <f t="shared" ca="1" si="250"/>
        <v>0.79353393275937967</v>
      </c>
      <c r="T593" s="66">
        <f t="shared" ca="1" si="250"/>
        <v>0.79353393275937967</v>
      </c>
      <c r="U593" s="66">
        <f t="shared" ca="1" si="250"/>
        <v>0.79353393275937967</v>
      </c>
      <c r="V593" s="66">
        <f t="shared" ca="1" si="250"/>
        <v>0.79353393275937967</v>
      </c>
      <c r="W593" s="66">
        <f t="shared" ca="1" si="250"/>
        <v>0.79353393275937967</v>
      </c>
      <c r="X593" s="66">
        <f t="shared" ca="1" si="250"/>
        <v>0.79353393275937967</v>
      </c>
      <c r="Y593" s="66">
        <f t="shared" ca="1" si="250"/>
        <v>0.79353393275937967</v>
      </c>
      <c r="Z593" s="66">
        <f t="shared" ca="1" si="250"/>
        <v>0.79353393275937967</v>
      </c>
      <c r="AA593" s="66">
        <f t="shared" ca="1" si="250"/>
        <v>0.79353393275937967</v>
      </c>
      <c r="AB593" s="66">
        <f t="shared" ca="1" si="250"/>
        <v>0.79353393275937967</v>
      </c>
      <c r="AC593" s="66">
        <f t="shared" ca="1" si="250"/>
        <v>0</v>
      </c>
    </row>
    <row r="594" spans="1:29">
      <c r="C594" t="str">
        <f t="shared" si="242"/>
        <v>Wind 25%</v>
      </c>
      <c r="D594" s="66">
        <f t="shared" ref="D594:AC594" si="251">IF(D376=0,0,D570/D376)</f>
        <v>0</v>
      </c>
      <c r="E594" s="66">
        <f t="shared" si="251"/>
        <v>0</v>
      </c>
      <c r="F594" s="66">
        <f t="shared" si="251"/>
        <v>0</v>
      </c>
      <c r="G594" s="66">
        <f t="shared" si="251"/>
        <v>0</v>
      </c>
      <c r="H594" s="66">
        <f t="shared" si="251"/>
        <v>0</v>
      </c>
      <c r="I594" s="66">
        <f t="shared" ca="1" si="251"/>
        <v>0</v>
      </c>
      <c r="J594" s="66">
        <f t="shared" ca="1" si="251"/>
        <v>0</v>
      </c>
      <c r="K594" s="66">
        <f t="shared" ca="1" si="251"/>
        <v>0</v>
      </c>
      <c r="L594" s="66">
        <f t="shared" ca="1" si="251"/>
        <v>0</v>
      </c>
      <c r="M594" s="66">
        <f t="shared" ca="1" si="251"/>
        <v>0</v>
      </c>
      <c r="N594" s="66">
        <f t="shared" ca="1" si="251"/>
        <v>0</v>
      </c>
      <c r="O594" s="66">
        <f t="shared" ca="1" si="251"/>
        <v>0</v>
      </c>
      <c r="P594" s="66">
        <f t="shared" ca="1" si="251"/>
        <v>0</v>
      </c>
      <c r="Q594" s="66">
        <f t="shared" ca="1" si="251"/>
        <v>0</v>
      </c>
      <c r="R594" s="66">
        <f t="shared" ca="1" si="251"/>
        <v>0</v>
      </c>
      <c r="S594" s="66">
        <f t="shared" ca="1" si="251"/>
        <v>0</v>
      </c>
      <c r="T594" s="66">
        <f t="shared" ca="1" si="251"/>
        <v>0</v>
      </c>
      <c r="U594" s="66">
        <f t="shared" ca="1" si="251"/>
        <v>0</v>
      </c>
      <c r="V594" s="66">
        <f t="shared" ca="1" si="251"/>
        <v>0</v>
      </c>
      <c r="W594" s="66">
        <f t="shared" ca="1" si="251"/>
        <v>0</v>
      </c>
      <c r="X594" s="66">
        <f t="shared" ca="1" si="251"/>
        <v>0</v>
      </c>
      <c r="Y594" s="66">
        <f t="shared" ca="1" si="251"/>
        <v>0</v>
      </c>
      <c r="Z594" s="66">
        <f t="shared" ca="1" si="251"/>
        <v>0</v>
      </c>
      <c r="AA594" s="66">
        <f t="shared" ca="1" si="251"/>
        <v>0</v>
      </c>
      <c r="AB594" s="66">
        <f t="shared" ca="1" si="251"/>
        <v>0</v>
      </c>
      <c r="AC594" s="66">
        <f t="shared" ca="1" si="251"/>
        <v>0</v>
      </c>
    </row>
    <row r="595" spans="1:29">
      <c r="C595" t="str">
        <f t="shared" si="242"/>
        <v>solar thermal central reciever</v>
      </c>
      <c r="D595" s="66">
        <f t="shared" ref="D595:AC595" si="252">IF(D377=0,0,D571/D377)</f>
        <v>0</v>
      </c>
      <c r="E595" s="66">
        <f t="shared" si="252"/>
        <v>0</v>
      </c>
      <c r="F595" s="66">
        <f t="shared" si="252"/>
        <v>0</v>
      </c>
      <c r="G595" s="66">
        <f t="shared" si="252"/>
        <v>0</v>
      </c>
      <c r="H595" s="66">
        <f t="shared" si="252"/>
        <v>0</v>
      </c>
      <c r="I595" s="66">
        <f t="shared" ca="1" si="252"/>
        <v>0</v>
      </c>
      <c r="J595" s="66">
        <f t="shared" ca="1" si="252"/>
        <v>0</v>
      </c>
      <c r="K595" s="66">
        <f t="shared" ca="1" si="252"/>
        <v>0</v>
      </c>
      <c r="L595" s="66">
        <f t="shared" ca="1" si="252"/>
        <v>0</v>
      </c>
      <c r="M595" s="66">
        <f t="shared" ca="1" si="252"/>
        <v>0</v>
      </c>
      <c r="N595" s="66">
        <f t="shared" ca="1" si="252"/>
        <v>0</v>
      </c>
      <c r="O595" s="66">
        <f t="shared" ca="1" si="252"/>
        <v>0</v>
      </c>
      <c r="P595" s="66">
        <f t="shared" ca="1" si="252"/>
        <v>0</v>
      </c>
      <c r="Q595" s="66">
        <f t="shared" ca="1" si="252"/>
        <v>0</v>
      </c>
      <c r="R595" s="66">
        <f t="shared" ca="1" si="252"/>
        <v>0</v>
      </c>
      <c r="S595" s="66">
        <f t="shared" ca="1" si="252"/>
        <v>0</v>
      </c>
      <c r="T595" s="66">
        <f t="shared" ca="1" si="252"/>
        <v>0</v>
      </c>
      <c r="U595" s="66">
        <f t="shared" ca="1" si="252"/>
        <v>0</v>
      </c>
      <c r="V595" s="66">
        <f t="shared" ca="1" si="252"/>
        <v>0</v>
      </c>
      <c r="W595" s="66">
        <f t="shared" ca="1" si="252"/>
        <v>0</v>
      </c>
      <c r="X595" s="66">
        <f t="shared" ca="1" si="252"/>
        <v>0</v>
      </c>
      <c r="Y595" s="66">
        <f t="shared" ca="1" si="252"/>
        <v>0</v>
      </c>
      <c r="Z595" s="66">
        <f t="shared" ca="1" si="252"/>
        <v>0</v>
      </c>
      <c r="AA595" s="66">
        <f t="shared" ca="1" si="252"/>
        <v>0</v>
      </c>
      <c r="AB595" s="66">
        <f t="shared" ca="1" si="252"/>
        <v>0</v>
      </c>
      <c r="AC595" s="66">
        <f t="shared" ca="1" si="252"/>
        <v>0</v>
      </c>
    </row>
    <row r="596" spans="1:29">
      <c r="C596" t="str">
        <f t="shared" si="242"/>
        <v>solar thermal trough</v>
      </c>
      <c r="D596" s="66">
        <f t="shared" ref="D596:AC596" si="253">IF(D378=0,0,D572/D378)</f>
        <v>0</v>
      </c>
      <c r="E596" s="66">
        <f t="shared" si="253"/>
        <v>0</v>
      </c>
      <c r="F596" s="66">
        <f t="shared" si="253"/>
        <v>0</v>
      </c>
      <c r="G596" s="66">
        <f t="shared" si="253"/>
        <v>0</v>
      </c>
      <c r="H596" s="66">
        <f t="shared" si="253"/>
        <v>0</v>
      </c>
      <c r="I596" s="66">
        <f t="shared" ca="1" si="253"/>
        <v>0</v>
      </c>
      <c r="J596" s="66">
        <f t="shared" ca="1" si="253"/>
        <v>0</v>
      </c>
      <c r="K596" s="66">
        <f t="shared" ca="1" si="253"/>
        <v>0</v>
      </c>
      <c r="L596" s="66">
        <f t="shared" ca="1" si="253"/>
        <v>0</v>
      </c>
      <c r="M596" s="66">
        <f t="shared" ca="1" si="253"/>
        <v>0</v>
      </c>
      <c r="N596" s="66">
        <f t="shared" ca="1" si="253"/>
        <v>0</v>
      </c>
      <c r="O596" s="66">
        <f t="shared" ca="1" si="253"/>
        <v>0</v>
      </c>
      <c r="P596" s="66">
        <f t="shared" ca="1" si="253"/>
        <v>0</v>
      </c>
      <c r="Q596" s="66">
        <f t="shared" ca="1" si="253"/>
        <v>0</v>
      </c>
      <c r="R596" s="66">
        <f t="shared" ca="1" si="253"/>
        <v>0</v>
      </c>
      <c r="S596" s="66">
        <f t="shared" ca="1" si="253"/>
        <v>0</v>
      </c>
      <c r="T596" s="66">
        <f t="shared" ca="1" si="253"/>
        <v>0</v>
      </c>
      <c r="U596" s="66">
        <f t="shared" ca="1" si="253"/>
        <v>0</v>
      </c>
      <c r="V596" s="66">
        <f t="shared" ca="1" si="253"/>
        <v>0</v>
      </c>
      <c r="W596" s="66">
        <f t="shared" ca="1" si="253"/>
        <v>0</v>
      </c>
      <c r="X596" s="66">
        <f t="shared" ca="1" si="253"/>
        <v>0</v>
      </c>
      <c r="Y596" s="66">
        <f t="shared" ca="1" si="253"/>
        <v>0</v>
      </c>
      <c r="Z596" s="66">
        <f t="shared" ca="1" si="253"/>
        <v>0</v>
      </c>
      <c r="AA596" s="66">
        <f t="shared" ca="1" si="253"/>
        <v>0</v>
      </c>
      <c r="AB596" s="66">
        <f t="shared" ca="1" si="253"/>
        <v>0</v>
      </c>
      <c r="AC596" s="66">
        <f t="shared" ca="1" si="253"/>
        <v>0</v>
      </c>
    </row>
    <row r="597" spans="1:29">
      <c r="C597" t="str">
        <f t="shared" si="242"/>
        <v>solar PV</v>
      </c>
      <c r="D597" s="66">
        <f t="shared" ref="D597:AC597" si="254">IF(D379=0,0,D573/D379)</f>
        <v>0</v>
      </c>
      <c r="E597" s="66">
        <f t="shared" si="254"/>
        <v>0</v>
      </c>
      <c r="F597" s="66">
        <f t="shared" si="254"/>
        <v>0</v>
      </c>
      <c r="G597" s="66">
        <f t="shared" si="254"/>
        <v>0</v>
      </c>
      <c r="H597" s="66">
        <f t="shared" si="254"/>
        <v>0</v>
      </c>
      <c r="I597" s="66">
        <f t="shared" ca="1" si="254"/>
        <v>0</v>
      </c>
      <c r="J597" s="66">
        <f t="shared" ca="1" si="254"/>
        <v>0</v>
      </c>
      <c r="K597" s="66">
        <f t="shared" ca="1" si="254"/>
        <v>0</v>
      </c>
      <c r="L597" s="66">
        <f t="shared" ca="1" si="254"/>
        <v>0</v>
      </c>
      <c r="M597" s="66">
        <f t="shared" ca="1" si="254"/>
        <v>0</v>
      </c>
      <c r="N597" s="66">
        <f t="shared" ca="1" si="254"/>
        <v>0</v>
      </c>
      <c r="O597" s="66">
        <f t="shared" ca="1" si="254"/>
        <v>0</v>
      </c>
      <c r="P597" s="66">
        <f t="shared" ca="1" si="254"/>
        <v>0</v>
      </c>
      <c r="Q597" s="66">
        <f t="shared" ca="1" si="254"/>
        <v>0</v>
      </c>
      <c r="R597" s="66">
        <f t="shared" ca="1" si="254"/>
        <v>0</v>
      </c>
      <c r="S597" s="66">
        <f t="shared" ca="1" si="254"/>
        <v>0</v>
      </c>
      <c r="T597" s="66">
        <f t="shared" ca="1" si="254"/>
        <v>0</v>
      </c>
      <c r="U597" s="66">
        <f t="shared" ca="1" si="254"/>
        <v>0</v>
      </c>
      <c r="V597" s="66">
        <f t="shared" ca="1" si="254"/>
        <v>0</v>
      </c>
      <c r="W597" s="66">
        <f t="shared" ca="1" si="254"/>
        <v>0</v>
      </c>
      <c r="X597" s="66">
        <f t="shared" ca="1" si="254"/>
        <v>0</v>
      </c>
      <c r="Y597" s="66">
        <f t="shared" ca="1" si="254"/>
        <v>0</v>
      </c>
      <c r="Z597" s="66">
        <f t="shared" ca="1" si="254"/>
        <v>0</v>
      </c>
      <c r="AA597" s="66">
        <f t="shared" ca="1" si="254"/>
        <v>0</v>
      </c>
      <c r="AB597" s="66">
        <f t="shared" ca="1" si="254"/>
        <v>0</v>
      </c>
      <c r="AC597" s="66">
        <f t="shared" ca="1" si="254"/>
        <v>0</v>
      </c>
    </row>
    <row r="598" spans="1:29">
      <c r="C598" t="str">
        <f t="shared" si="242"/>
        <v>combined cycle gas</v>
      </c>
      <c r="D598" s="66">
        <f t="shared" ref="D598:AC598" si="255">IF(D380=0,0,D574/D380)</f>
        <v>0</v>
      </c>
      <c r="E598" s="66">
        <f t="shared" si="255"/>
        <v>0</v>
      </c>
      <c r="F598" s="66">
        <f t="shared" si="255"/>
        <v>0</v>
      </c>
      <c r="G598" s="66">
        <f t="shared" si="255"/>
        <v>0</v>
      </c>
      <c r="H598" s="66">
        <f t="shared" si="255"/>
        <v>0</v>
      </c>
      <c r="I598" s="66">
        <f t="shared" ca="1" si="255"/>
        <v>0</v>
      </c>
      <c r="J598" s="66">
        <f t="shared" ca="1" si="255"/>
        <v>0</v>
      </c>
      <c r="K598" s="66">
        <f t="shared" ca="1" si="255"/>
        <v>0</v>
      </c>
      <c r="L598" s="66">
        <f t="shared" ca="1" si="255"/>
        <v>0</v>
      </c>
      <c r="M598" s="66">
        <f t="shared" ca="1" si="255"/>
        <v>0</v>
      </c>
      <c r="N598" s="66">
        <f t="shared" ca="1" si="255"/>
        <v>0</v>
      </c>
      <c r="O598" s="66">
        <f t="shared" ca="1" si="255"/>
        <v>0</v>
      </c>
      <c r="P598" s="66">
        <f t="shared" ca="1" si="255"/>
        <v>0</v>
      </c>
      <c r="Q598" s="66">
        <f t="shared" ca="1" si="255"/>
        <v>0</v>
      </c>
      <c r="R598" s="66">
        <f t="shared" ca="1" si="255"/>
        <v>0</v>
      </c>
      <c r="S598" s="66">
        <f t="shared" ca="1" si="255"/>
        <v>0</v>
      </c>
      <c r="T598" s="66">
        <f t="shared" ca="1" si="255"/>
        <v>0</v>
      </c>
      <c r="U598" s="66">
        <f t="shared" ca="1" si="255"/>
        <v>0</v>
      </c>
      <c r="V598" s="66">
        <f t="shared" ca="1" si="255"/>
        <v>0</v>
      </c>
      <c r="W598" s="66">
        <f t="shared" ca="1" si="255"/>
        <v>0</v>
      </c>
      <c r="X598" s="66">
        <f t="shared" ca="1" si="255"/>
        <v>0</v>
      </c>
      <c r="Y598" s="66">
        <f t="shared" ca="1" si="255"/>
        <v>0</v>
      </c>
      <c r="Z598" s="66">
        <f t="shared" ca="1" si="255"/>
        <v>0</v>
      </c>
      <c r="AA598" s="66">
        <f t="shared" ca="1" si="255"/>
        <v>0</v>
      </c>
      <c r="AB598" s="66">
        <f t="shared" ca="1" si="255"/>
        <v>0</v>
      </c>
      <c r="AC598" s="66">
        <f t="shared" ca="1" si="255"/>
        <v>0</v>
      </c>
    </row>
    <row r="599" spans="1:29">
      <c r="C599" t="str">
        <f t="shared" si="242"/>
        <v>PBMR</v>
      </c>
      <c r="D599" s="66">
        <f t="shared" ref="D599:AC599" si="256">IF(D381=0,0,D575/D381)</f>
        <v>0</v>
      </c>
      <c r="E599" s="66">
        <f t="shared" si="256"/>
        <v>0</v>
      </c>
      <c r="F599" s="66">
        <f t="shared" si="256"/>
        <v>0</v>
      </c>
      <c r="G599" s="66">
        <f t="shared" si="256"/>
        <v>0</v>
      </c>
      <c r="H599" s="66">
        <f t="shared" si="256"/>
        <v>0</v>
      </c>
      <c r="I599" s="66">
        <f t="shared" ca="1" si="256"/>
        <v>0</v>
      </c>
      <c r="J599" s="66">
        <f t="shared" ca="1" si="256"/>
        <v>0</v>
      </c>
      <c r="K599" s="66">
        <f t="shared" ca="1" si="256"/>
        <v>0</v>
      </c>
      <c r="L599" s="66">
        <f t="shared" ca="1" si="256"/>
        <v>0</v>
      </c>
      <c r="M599" s="66">
        <f t="shared" ca="1" si="256"/>
        <v>0</v>
      </c>
      <c r="N599" s="66">
        <f t="shared" ca="1" si="256"/>
        <v>0</v>
      </c>
      <c r="O599" s="66">
        <f t="shared" ca="1" si="256"/>
        <v>0</v>
      </c>
      <c r="P599" s="66">
        <f t="shared" ca="1" si="256"/>
        <v>0</v>
      </c>
      <c r="Q599" s="66">
        <f t="shared" ca="1" si="256"/>
        <v>0</v>
      </c>
      <c r="R599" s="66">
        <f t="shared" ca="1" si="256"/>
        <v>0</v>
      </c>
      <c r="S599" s="66">
        <f t="shared" ca="1" si="256"/>
        <v>0</v>
      </c>
      <c r="T599" s="66">
        <f t="shared" ca="1" si="256"/>
        <v>0</v>
      </c>
      <c r="U599" s="66">
        <f t="shared" ca="1" si="256"/>
        <v>0</v>
      </c>
      <c r="V599" s="66">
        <f t="shared" ca="1" si="256"/>
        <v>0</v>
      </c>
      <c r="W599" s="66">
        <f t="shared" ca="1" si="256"/>
        <v>0</v>
      </c>
      <c r="X599" s="66">
        <f t="shared" ca="1" si="256"/>
        <v>0</v>
      </c>
      <c r="Y599" s="66">
        <f t="shared" ca="1" si="256"/>
        <v>0</v>
      </c>
      <c r="Z599" s="66">
        <f t="shared" ca="1" si="256"/>
        <v>0</v>
      </c>
      <c r="AA599" s="66">
        <f t="shared" ca="1" si="256"/>
        <v>0</v>
      </c>
      <c r="AB599" s="66">
        <f t="shared" ca="1" si="256"/>
        <v>0</v>
      </c>
      <c r="AC599" s="66">
        <f t="shared" ca="1" si="256"/>
        <v>0</v>
      </c>
    </row>
    <row r="600" spans="1:29">
      <c r="C600" t="str">
        <f t="shared" si="242"/>
        <v>IGCC</v>
      </c>
      <c r="D600" s="66">
        <f t="shared" ref="D600:AC600" si="257">IF(D382=0,0,D576/D382)</f>
        <v>0</v>
      </c>
      <c r="E600" s="66">
        <f t="shared" ca="1" si="257"/>
        <v>7.8136324722333936E-2</v>
      </c>
      <c r="F600" s="66">
        <f t="shared" si="257"/>
        <v>0</v>
      </c>
      <c r="G600" s="66">
        <f t="shared" ca="1" si="257"/>
        <v>9.2304926855117139E-2</v>
      </c>
      <c r="H600" s="66">
        <f t="shared" ca="1" si="257"/>
        <v>9.2304926855117139E-2</v>
      </c>
      <c r="I600" s="66">
        <f t="shared" ca="1" si="257"/>
        <v>0</v>
      </c>
      <c r="J600" s="66">
        <f t="shared" ca="1" si="257"/>
        <v>0</v>
      </c>
      <c r="K600" s="66">
        <f t="shared" ca="1" si="257"/>
        <v>0</v>
      </c>
      <c r="L600" s="66">
        <f t="shared" ca="1" si="257"/>
        <v>0</v>
      </c>
      <c r="M600" s="66">
        <f t="shared" ca="1" si="257"/>
        <v>0</v>
      </c>
      <c r="N600" s="66">
        <f t="shared" ca="1" si="257"/>
        <v>0</v>
      </c>
      <c r="O600" s="66">
        <f t="shared" ca="1" si="257"/>
        <v>0</v>
      </c>
      <c r="P600" s="66">
        <f t="shared" ca="1" si="257"/>
        <v>0</v>
      </c>
      <c r="Q600" s="66">
        <f t="shared" ca="1" si="257"/>
        <v>0</v>
      </c>
      <c r="R600" s="66">
        <f t="shared" ca="1" si="257"/>
        <v>0</v>
      </c>
      <c r="S600" s="66">
        <f t="shared" ca="1" si="257"/>
        <v>0</v>
      </c>
      <c r="T600" s="66">
        <f t="shared" ca="1" si="257"/>
        <v>0</v>
      </c>
      <c r="U600" s="66">
        <f t="shared" ca="1" si="257"/>
        <v>0</v>
      </c>
      <c r="V600" s="66">
        <f t="shared" ca="1" si="257"/>
        <v>0</v>
      </c>
      <c r="W600" s="66">
        <f t="shared" ca="1" si="257"/>
        <v>0</v>
      </c>
      <c r="X600" s="66">
        <f t="shared" ca="1" si="257"/>
        <v>0</v>
      </c>
      <c r="Y600" s="66">
        <f t="shared" ca="1" si="257"/>
        <v>0</v>
      </c>
      <c r="Z600" s="66">
        <f t="shared" ca="1" si="257"/>
        <v>0</v>
      </c>
      <c r="AA600" s="66">
        <f t="shared" ca="1" si="257"/>
        <v>0</v>
      </c>
      <c r="AB600" s="66">
        <f t="shared" ca="1" si="257"/>
        <v>0</v>
      </c>
      <c r="AC600" s="66">
        <f t="shared" ca="1" si="257"/>
        <v>0</v>
      </c>
    </row>
    <row r="601" spans="1:29">
      <c r="C601" t="str">
        <f t="shared" si="242"/>
        <v>-</v>
      </c>
      <c r="D601" s="66">
        <f t="shared" ref="D601:AC601" si="258">IF(D383=0,0,D577/D383)</f>
        <v>0</v>
      </c>
      <c r="E601" s="66">
        <f t="shared" si="258"/>
        <v>0</v>
      </c>
      <c r="F601" s="66">
        <f t="shared" si="258"/>
        <v>0</v>
      </c>
      <c r="G601" s="66">
        <f t="shared" si="258"/>
        <v>0</v>
      </c>
      <c r="H601" s="66">
        <f t="shared" si="258"/>
        <v>0</v>
      </c>
      <c r="I601" s="66">
        <f t="shared" ca="1" si="258"/>
        <v>0</v>
      </c>
      <c r="J601" s="66">
        <f t="shared" ca="1" si="258"/>
        <v>0</v>
      </c>
      <c r="K601" s="66">
        <f t="shared" ca="1" si="258"/>
        <v>0</v>
      </c>
      <c r="L601" s="66">
        <f t="shared" ca="1" si="258"/>
        <v>0</v>
      </c>
      <c r="M601" s="66">
        <f t="shared" ca="1" si="258"/>
        <v>0</v>
      </c>
      <c r="N601" s="66">
        <f t="shared" ca="1" si="258"/>
        <v>0</v>
      </c>
      <c r="O601" s="66">
        <f t="shared" ca="1" si="258"/>
        <v>0</v>
      </c>
      <c r="P601" s="66">
        <f t="shared" ca="1" si="258"/>
        <v>0</v>
      </c>
      <c r="Q601" s="66">
        <f t="shared" ca="1" si="258"/>
        <v>0</v>
      </c>
      <c r="R601" s="66">
        <f t="shared" ca="1" si="258"/>
        <v>0</v>
      </c>
      <c r="S601" s="66">
        <f t="shared" ca="1" si="258"/>
        <v>0</v>
      </c>
      <c r="T601" s="66">
        <f t="shared" ca="1" si="258"/>
        <v>0</v>
      </c>
      <c r="U601" s="66">
        <f t="shared" ca="1" si="258"/>
        <v>0</v>
      </c>
      <c r="V601" s="66">
        <f t="shared" ca="1" si="258"/>
        <v>0</v>
      </c>
      <c r="W601" s="66">
        <f t="shared" ca="1" si="258"/>
        <v>0</v>
      </c>
      <c r="X601" s="66">
        <f t="shared" ca="1" si="258"/>
        <v>0</v>
      </c>
      <c r="Y601" s="66">
        <f t="shared" ca="1" si="258"/>
        <v>0</v>
      </c>
      <c r="Z601" s="66">
        <f t="shared" ca="1" si="258"/>
        <v>0</v>
      </c>
      <c r="AA601" s="66">
        <f t="shared" ca="1" si="258"/>
        <v>0</v>
      </c>
      <c r="AB601" s="66">
        <f t="shared" ca="1" si="258"/>
        <v>0</v>
      </c>
      <c r="AC601" s="66">
        <f t="shared" ca="1" si="258"/>
        <v>0</v>
      </c>
    </row>
    <row r="602" spans="1:29">
      <c r="C602" t="str">
        <f t="shared" si="242"/>
        <v>-</v>
      </c>
      <c r="D602" s="66">
        <f t="shared" ref="D602:AC602" si="259">IF(D384=0,0,D578/D384)</f>
        <v>0</v>
      </c>
      <c r="E602" s="66">
        <f t="shared" si="259"/>
        <v>0</v>
      </c>
      <c r="F602" s="66">
        <f t="shared" si="259"/>
        <v>0</v>
      </c>
      <c r="G602" s="66">
        <f t="shared" si="259"/>
        <v>0</v>
      </c>
      <c r="H602" s="66">
        <f t="shared" si="259"/>
        <v>0</v>
      </c>
      <c r="I602" s="66">
        <f t="shared" ca="1" si="259"/>
        <v>0</v>
      </c>
      <c r="J602" s="66">
        <f t="shared" ca="1" si="259"/>
        <v>0</v>
      </c>
      <c r="K602" s="66">
        <f t="shared" ca="1" si="259"/>
        <v>0</v>
      </c>
      <c r="L602" s="66">
        <f t="shared" ca="1" si="259"/>
        <v>0</v>
      </c>
      <c r="M602" s="66">
        <f t="shared" ca="1" si="259"/>
        <v>0</v>
      </c>
      <c r="N602" s="66">
        <f t="shared" ca="1" si="259"/>
        <v>0</v>
      </c>
      <c r="O602" s="66">
        <f t="shared" ca="1" si="259"/>
        <v>0</v>
      </c>
      <c r="P602" s="66">
        <f t="shared" ca="1" si="259"/>
        <v>0</v>
      </c>
      <c r="Q602" s="66">
        <f t="shared" ca="1" si="259"/>
        <v>0</v>
      </c>
      <c r="R602" s="66">
        <f t="shared" ca="1" si="259"/>
        <v>0</v>
      </c>
      <c r="S602" s="66">
        <f t="shared" ca="1" si="259"/>
        <v>0</v>
      </c>
      <c r="T602" s="66">
        <f t="shared" ca="1" si="259"/>
        <v>0</v>
      </c>
      <c r="U602" s="66">
        <f t="shared" ca="1" si="259"/>
        <v>0</v>
      </c>
      <c r="V602" s="66">
        <f t="shared" ca="1" si="259"/>
        <v>0</v>
      </c>
      <c r="W602" s="66">
        <f t="shared" ca="1" si="259"/>
        <v>0</v>
      </c>
      <c r="X602" s="66">
        <f t="shared" ca="1" si="259"/>
        <v>0</v>
      </c>
      <c r="Y602" s="66">
        <f t="shared" ca="1" si="259"/>
        <v>0</v>
      </c>
      <c r="Z602" s="66">
        <f t="shared" ca="1" si="259"/>
        <v>0</v>
      </c>
      <c r="AA602" s="66">
        <f t="shared" ca="1" si="259"/>
        <v>0</v>
      </c>
      <c r="AB602" s="66">
        <f t="shared" ca="1" si="259"/>
        <v>0</v>
      </c>
      <c r="AC602" s="66">
        <f t="shared" ca="1" si="259"/>
        <v>0</v>
      </c>
    </row>
    <row r="603" spans="1:29">
      <c r="C603" t="str">
        <f>C26</f>
        <v>-</v>
      </c>
      <c r="D603" s="66">
        <f t="shared" ref="D603:AC603" si="260">IF(D385=0,0,D579/D385)</f>
        <v>0</v>
      </c>
      <c r="E603" s="66">
        <f t="shared" si="260"/>
        <v>0</v>
      </c>
      <c r="F603" s="66">
        <f t="shared" si="260"/>
        <v>0</v>
      </c>
      <c r="G603" s="66">
        <f t="shared" si="260"/>
        <v>0</v>
      </c>
      <c r="H603" s="66">
        <f t="shared" si="260"/>
        <v>0</v>
      </c>
      <c r="I603" s="66">
        <f t="shared" ca="1" si="260"/>
        <v>0</v>
      </c>
      <c r="J603" s="66">
        <f t="shared" ca="1" si="260"/>
        <v>0</v>
      </c>
      <c r="K603" s="66">
        <f t="shared" ca="1" si="260"/>
        <v>0</v>
      </c>
      <c r="L603" s="66">
        <f t="shared" ca="1" si="260"/>
        <v>0</v>
      </c>
      <c r="M603" s="66">
        <f t="shared" ca="1" si="260"/>
        <v>0</v>
      </c>
      <c r="N603" s="66">
        <f t="shared" ca="1" si="260"/>
        <v>0</v>
      </c>
      <c r="O603" s="66">
        <f t="shared" ca="1" si="260"/>
        <v>0</v>
      </c>
      <c r="P603" s="66">
        <f t="shared" ca="1" si="260"/>
        <v>0</v>
      </c>
      <c r="Q603" s="66">
        <f t="shared" ca="1" si="260"/>
        <v>0</v>
      </c>
      <c r="R603" s="66">
        <f t="shared" ca="1" si="260"/>
        <v>0</v>
      </c>
      <c r="S603" s="66">
        <f t="shared" ca="1" si="260"/>
        <v>0</v>
      </c>
      <c r="T603" s="66">
        <f t="shared" ca="1" si="260"/>
        <v>0</v>
      </c>
      <c r="U603" s="66">
        <f t="shared" ca="1" si="260"/>
        <v>0</v>
      </c>
      <c r="V603" s="66">
        <f t="shared" ca="1" si="260"/>
        <v>0</v>
      </c>
      <c r="W603" s="66">
        <f t="shared" ca="1" si="260"/>
        <v>0</v>
      </c>
      <c r="X603" s="66">
        <f t="shared" ca="1" si="260"/>
        <v>0</v>
      </c>
      <c r="Y603" s="66">
        <f t="shared" ca="1" si="260"/>
        <v>0</v>
      </c>
      <c r="Z603" s="66">
        <f t="shared" ca="1" si="260"/>
        <v>0</v>
      </c>
      <c r="AA603" s="66">
        <f t="shared" ca="1" si="260"/>
        <v>0</v>
      </c>
      <c r="AB603" s="66">
        <f t="shared" ca="1" si="260"/>
        <v>0</v>
      </c>
      <c r="AC603" s="66">
        <f t="shared" ca="1" si="260"/>
        <v>0</v>
      </c>
    </row>
    <row r="604" spans="1:29">
      <c r="A604" s="67" t="s">
        <v>250</v>
      </c>
      <c r="C604" t="str">
        <f t="shared" si="242"/>
        <v>Pumped storage</v>
      </c>
      <c r="D604" s="66">
        <f t="shared" ref="D604:AC604" ca="1" si="261">IF(D386=0,0,D580/D386)</f>
        <v>2.9507433329432106E-2</v>
      </c>
      <c r="E604" s="66">
        <f t="shared" ca="1" si="261"/>
        <v>2.9507433329432106E-2</v>
      </c>
      <c r="F604" s="66">
        <f t="shared" ca="1" si="261"/>
        <v>2.9507433329432106E-2</v>
      </c>
      <c r="G604" s="66">
        <f t="shared" ca="1" si="261"/>
        <v>2.9507433329432106E-2</v>
      </c>
      <c r="H604" s="66">
        <f t="shared" ca="1" si="261"/>
        <v>2.9507433329432106E-2</v>
      </c>
      <c r="I604" s="66">
        <f t="shared" ca="1" si="261"/>
        <v>2.9507433329432106E-2</v>
      </c>
      <c r="J604" s="66">
        <f t="shared" ca="1" si="261"/>
        <v>2.9507433329432106E-2</v>
      </c>
      <c r="K604" s="66">
        <f t="shared" ca="1" si="261"/>
        <v>2.9507433329432106E-2</v>
      </c>
      <c r="L604" s="66">
        <f t="shared" ca="1" si="261"/>
        <v>0.22807099871415862</v>
      </c>
      <c r="M604" s="66">
        <f t="shared" ca="1" si="261"/>
        <v>0.33580809806438799</v>
      </c>
      <c r="N604" s="66">
        <f t="shared" ca="1" si="261"/>
        <v>0.33580809806438799</v>
      </c>
      <c r="O604" s="66">
        <f t="shared" ca="1" si="261"/>
        <v>0.33580809806438799</v>
      </c>
      <c r="P604" s="66">
        <f t="shared" ca="1" si="261"/>
        <v>0.33580809806438799</v>
      </c>
      <c r="Q604" s="66">
        <f t="shared" ca="1" si="261"/>
        <v>0.33580809806438799</v>
      </c>
      <c r="R604" s="66">
        <f t="shared" ca="1" si="261"/>
        <v>0.33580809806438799</v>
      </c>
      <c r="S604" s="66">
        <f t="shared" ca="1" si="261"/>
        <v>0.33580809806438799</v>
      </c>
      <c r="T604" s="66">
        <f t="shared" ca="1" si="261"/>
        <v>0.33580809806438799</v>
      </c>
      <c r="U604" s="66">
        <f t="shared" ca="1" si="261"/>
        <v>0.33580809806438799</v>
      </c>
      <c r="V604" s="66">
        <f t="shared" ca="1" si="261"/>
        <v>0.33580809806438799</v>
      </c>
      <c r="W604" s="66">
        <f t="shared" ca="1" si="261"/>
        <v>0.33580809806438799</v>
      </c>
      <c r="X604" s="66">
        <f t="shared" ca="1" si="261"/>
        <v>0.33580809806438799</v>
      </c>
      <c r="Y604" s="66">
        <f t="shared" ca="1" si="261"/>
        <v>0.33580809806438799</v>
      </c>
      <c r="Z604" s="66">
        <f t="shared" ca="1" si="261"/>
        <v>0.33580809806438799</v>
      </c>
      <c r="AA604" s="66">
        <f t="shared" ca="1" si="261"/>
        <v>0.33580809806438799</v>
      </c>
      <c r="AB604" s="66">
        <f t="shared" ca="1" si="261"/>
        <v>0.33580809806438799</v>
      </c>
      <c r="AC604" s="66">
        <f t="shared" ca="1" si="261"/>
        <v>0.33580809806438799</v>
      </c>
    </row>
    <row r="605" spans="1:29">
      <c r="A605" s="11" t="s">
        <v>137</v>
      </c>
      <c r="C605" s="4" t="s">
        <v>134</v>
      </c>
      <c r="D605" s="68">
        <f t="shared" ref="D605:AC605" ca="1" si="262">D581/D387</f>
        <v>9.3081558925848837E-2</v>
      </c>
      <c r="E605" s="68">
        <f t="shared" ca="1" si="262"/>
        <v>0.10111172940856715</v>
      </c>
      <c r="F605" s="68">
        <f t="shared" ca="1" si="262"/>
        <v>0.1073822276448695</v>
      </c>
      <c r="G605" s="68">
        <f t="shared" ca="1" si="262"/>
        <v>0.11253193533162395</v>
      </c>
      <c r="H605" s="68">
        <f t="shared" ca="1" si="262"/>
        <v>0.11103005156183383</v>
      </c>
      <c r="I605" s="68">
        <f t="shared" ca="1" si="262"/>
        <v>0.11213531685831545</v>
      </c>
      <c r="J605" s="68">
        <f t="shared" ca="1" si="262"/>
        <v>0.11738717550437631</v>
      </c>
      <c r="K605" s="68">
        <f t="shared" ca="1" si="262"/>
        <v>0.12412266262515818</v>
      </c>
      <c r="L605" s="68">
        <f t="shared" ca="1" si="262"/>
        <v>0.13991373488358169</v>
      </c>
      <c r="M605" s="68">
        <f t="shared" ca="1" si="262"/>
        <v>0.16133825436935464</v>
      </c>
      <c r="N605" s="68">
        <f t="shared" ca="1" si="262"/>
        <v>0.17910195098757228</v>
      </c>
      <c r="O605" s="68">
        <f t="shared" ca="1" si="262"/>
        <v>0.18958927150392835</v>
      </c>
      <c r="P605" s="68">
        <f t="shared" ca="1" si="262"/>
        <v>0.19951484024610688</v>
      </c>
      <c r="Q605" s="68">
        <f t="shared" ca="1" si="262"/>
        <v>0.21443150843935896</v>
      </c>
      <c r="R605" s="68">
        <f t="shared" ca="1" si="262"/>
        <v>0.22832938247221654</v>
      </c>
      <c r="S605" s="68">
        <f t="shared" ca="1" si="262"/>
        <v>0.24063617274836691</v>
      </c>
      <c r="T605" s="68">
        <f t="shared" ca="1" si="262"/>
        <v>0.25720924663182743</v>
      </c>
      <c r="U605" s="68">
        <f t="shared" ca="1" si="262"/>
        <v>0.27349843720432687</v>
      </c>
      <c r="V605" s="68">
        <f t="shared" ca="1" si="262"/>
        <v>0.2864678847559835</v>
      </c>
      <c r="W605" s="68">
        <f t="shared" ca="1" si="262"/>
        <v>0.30062533612241965</v>
      </c>
      <c r="X605" s="68">
        <f t="shared" ca="1" si="262"/>
        <v>0.31335625851087034</v>
      </c>
      <c r="Y605" s="68">
        <f t="shared" ca="1" si="262"/>
        <v>0.33193359951048179</v>
      </c>
      <c r="Z605" s="68">
        <f t="shared" ca="1" si="262"/>
        <v>0.34675757500063115</v>
      </c>
      <c r="AA605" s="68">
        <f t="shared" ca="1" si="262"/>
        <v>0.3604307712213598</v>
      </c>
      <c r="AB605" s="68">
        <f t="shared" ca="1" si="262"/>
        <v>0.37977339786638209</v>
      </c>
      <c r="AC605" s="68">
        <f t="shared" ca="1" si="262"/>
        <v>0.39690952391183165</v>
      </c>
    </row>
    <row r="606" spans="1:29">
      <c r="C606" s="4" t="s">
        <v>652</v>
      </c>
      <c r="D606">
        <f ca="1">D582/D387</f>
        <v>9.3081558925848837E-2</v>
      </c>
      <c r="E606">
        <f t="shared" ref="E606:AC606" ca="1" si="263">E582/E387</f>
        <v>0.10111172940856715</v>
      </c>
      <c r="F606">
        <f t="shared" ca="1" si="263"/>
        <v>0.1073822276448695</v>
      </c>
      <c r="G606">
        <f t="shared" ca="1" si="263"/>
        <v>0.11253193533162395</v>
      </c>
      <c r="H606">
        <f t="shared" ca="1" si="263"/>
        <v>0.11103005156183383</v>
      </c>
      <c r="I606">
        <f t="shared" ca="1" si="263"/>
        <v>0.11213531685831545</v>
      </c>
      <c r="J606">
        <f t="shared" ca="1" si="263"/>
        <v>0.11738717550437631</v>
      </c>
      <c r="K606">
        <f t="shared" ca="1" si="263"/>
        <v>0.21721069135154028</v>
      </c>
      <c r="L606">
        <f t="shared" ca="1" si="263"/>
        <v>0.23265049352757847</v>
      </c>
      <c r="M606">
        <f t="shared" ca="1" si="263"/>
        <v>0.25367295044367077</v>
      </c>
      <c r="N606">
        <f t="shared" ca="1" si="263"/>
        <v>0.27146766156373364</v>
      </c>
      <c r="O606">
        <f t="shared" ca="1" si="263"/>
        <v>0.46675575835661087</v>
      </c>
      <c r="P606">
        <f t="shared" ca="1" si="263"/>
        <v>0.47674531975164608</v>
      </c>
      <c r="Q606">
        <f t="shared" ca="1" si="263"/>
        <v>0.49171959873115961</v>
      </c>
      <c r="R606">
        <f t="shared" ca="1" si="263"/>
        <v>0.50567568659978923</v>
      </c>
      <c r="S606">
        <f t="shared" ca="1" si="263"/>
        <v>0.70214359464174836</v>
      </c>
      <c r="T606">
        <f t="shared" ca="1" si="263"/>
        <v>0.71803012457458693</v>
      </c>
      <c r="U606">
        <f t="shared" ca="1" si="263"/>
        <v>0.73449937095972107</v>
      </c>
      <c r="V606">
        <f t="shared" ca="1" si="263"/>
        <v>0.74762648974416923</v>
      </c>
      <c r="W606">
        <f t="shared" ca="1" si="263"/>
        <v>0.76129180395264029</v>
      </c>
      <c r="X606">
        <f t="shared" ca="1" si="263"/>
        <v>0.77322099040705206</v>
      </c>
      <c r="Y606">
        <f t="shared" ca="1" si="263"/>
        <v>0.79088352099262671</v>
      </c>
      <c r="Z606">
        <f t="shared" ca="1" si="263"/>
        <v>0.80520669364998632</v>
      </c>
      <c r="AA606">
        <f t="shared" ca="1" si="263"/>
        <v>0.81826379882292377</v>
      </c>
      <c r="AB606">
        <f t="shared" ca="1" si="263"/>
        <v>0.83615153070635007</v>
      </c>
      <c r="AC606">
        <f t="shared" ca="1" si="263"/>
        <v>0.85295795996813228</v>
      </c>
    </row>
    <row r="608" spans="1:29">
      <c r="C608" s="4" t="s">
        <v>190</v>
      </c>
    </row>
    <row r="610" spans="3:29">
      <c r="C610" t="str">
        <f t="shared" ref="C610:C629" si="264">C8</f>
        <v>Existing coal Large</v>
      </c>
    </row>
    <row r="611" spans="3:29">
      <c r="C611" t="str">
        <f t="shared" si="264"/>
        <v>Existing coal Small</v>
      </c>
    </row>
    <row r="612" spans="3:29">
      <c r="C612" t="str">
        <f t="shared" si="264"/>
        <v>OCGT liquid fuels</v>
      </c>
      <c r="D612">
        <f t="array" ref="D612">SUM(E123:N123*'Tech Parameters'!$BL342:$BU342*'Tech Parameters'!H70:Q70)</f>
        <v>0</v>
      </c>
      <c r="E612">
        <f t="array" ref="E612">SUM(F123:O123*'Tech Parameters'!$BL342:$BU342*'Tech Parameters'!I70:R70)</f>
        <v>0</v>
      </c>
      <c r="F612">
        <f t="array" ref="F612">SUM(G123:P123*'Tech Parameters'!$BL342:$BU342*'Tech Parameters'!J70:S70)</f>
        <v>0</v>
      </c>
      <c r="G612">
        <f t="array" ref="G612">SUM(H123:Q123*'Tech Parameters'!$BL342:$BU342*'Tech Parameters'!K70:T70)</f>
        <v>299.85406508081212</v>
      </c>
      <c r="H612">
        <f t="array" ref="H612">SUM(I123:R123*'Tech Parameters'!$BL342:$BU342*'Tech Parameters'!L70:U70)</f>
        <v>1229.4016668313295</v>
      </c>
      <c r="I612">
        <f t="array" ref="I612">SUM(J123:S123*'Tech Parameters'!$BL342:$BU342*'Tech Parameters'!M70:V70)</f>
        <v>4650.7365494033957</v>
      </c>
      <c r="J612">
        <f t="array" ref="J612">SUM(K123:T123*'Tech Parameters'!$BL342:$BU342*'Tech Parameters'!N70:W70)</f>
        <v>0</v>
      </c>
      <c r="K612">
        <f t="array" ref="K612">SUM(L123:U123*'Tech Parameters'!$BL342:$BU342*'Tech Parameters'!O70:X70)</f>
        <v>0</v>
      </c>
      <c r="L612">
        <f t="array" ref="L612">SUM(M123:V123*'Tech Parameters'!$BL342:$BU342*'Tech Parameters'!P70:Y70)</f>
        <v>0</v>
      </c>
      <c r="M612">
        <f t="array" ref="M612">SUM(N123:W123*'Tech Parameters'!$BL342:$BU342*'Tech Parameters'!Q70:Z70)</f>
        <v>0</v>
      </c>
      <c r="N612">
        <f t="array" ref="N612">SUM(O123:X123*'Tech Parameters'!$BL342:$BU342*'Tech Parameters'!R70:AA70)</f>
        <v>0</v>
      </c>
      <c r="O612">
        <f t="array" ref="O612">SUM(P123:Y123*'Tech Parameters'!$BL342:$BU342*'Tech Parameters'!S70:AB70)</f>
        <v>0</v>
      </c>
      <c r="P612">
        <f t="array" ref="P612">SUM(Q123:Z123*'Tech Parameters'!$BL342:$BU342*'Tech Parameters'!T70:AC70)</f>
        <v>0</v>
      </c>
      <c r="Q612">
        <f t="array" ref="Q612">SUM(R123:AA123*'Tech Parameters'!$BL342:$BU342*'Tech Parameters'!U70:AD70)</f>
        <v>0</v>
      </c>
      <c r="R612">
        <f t="array" ref="R612">SUM(S123:AB123*'Tech Parameters'!$BL342:$BU342*'Tech Parameters'!V70:AE70)</f>
        <v>0</v>
      </c>
      <c r="S612">
        <f t="array" ref="S612">SUM(T123:AC123*'Tech Parameters'!$BL342:$BU342*'Tech Parameters'!W70:AF70)</f>
        <v>199.90271005387473</v>
      </c>
      <c r="T612">
        <f t="array" aca="1" ref="T612" ca="1">SUM(U123:AD123*'Tech Parameters'!$BL342:$BU342*'Tech Parameters'!X70:AG70)</f>
        <v>819.6011112208862</v>
      </c>
      <c r="U612">
        <f t="array" aca="1" ref="U612" ca="1">SUM(V123:AE123*'Tech Parameters'!$BL342:$BU342*'Tech Parameters'!Y70:AH70)</f>
        <v>3100.4910329355966</v>
      </c>
      <c r="V612">
        <f t="array" aca="1" ref="V612" ca="1">SUM(W123:AF123*'Tech Parameters'!$BL342:$BU342*'Tech Parameters'!Z70:AI70)</f>
        <v>199.90271005387473</v>
      </c>
      <c r="W612">
        <f t="array" aca="1" ref="W612" ca="1">SUM(X123:AG123*'Tech Parameters'!$BL342:$BU342*'Tech Parameters'!AA70:AJ70)</f>
        <v>819.6011112208862</v>
      </c>
      <c r="X612">
        <f t="array" aca="1" ref="X612" ca="1">SUM(Y123:AH123*'Tech Parameters'!$BL342:$BU342*'Tech Parameters'!AB70:AK70)</f>
        <v>3100.4910329355966</v>
      </c>
      <c r="Y612">
        <f t="array" aca="1" ref="Y612" ca="1">SUM(Z123:AI123*'Tech Parameters'!$BL342:$BU342*'Tech Parameters'!AC70:AL70)</f>
        <v>199.90271005387473</v>
      </c>
      <c r="Z612">
        <f t="array" aca="1" ref="Z612" ca="1">SUM(AA123:AJ123*'Tech Parameters'!$BL342:$BU342*'Tech Parameters'!AD70:AM70)</f>
        <v>819.6011112208862</v>
      </c>
      <c r="AA612">
        <f t="array" aca="1" ref="AA612" ca="1">SUM(AB123:AK123*'Tech Parameters'!$BL342:$BU342*'Tech Parameters'!AE70:AN70)</f>
        <v>3100.4910329355966</v>
      </c>
      <c r="AB612">
        <f t="array" aca="1" ref="AB612" ca="1">SUM(AC123:AL123*'Tech Parameters'!$BL342:$BU342*'Tech Parameters'!AF70:AO70)</f>
        <v>0</v>
      </c>
      <c r="AC612">
        <f t="array" aca="1" ref="AC612" ca="1">SUM(AD123:AM123*'Tech Parameters'!$BL342:$BU342*'Tech Parameters'!AG70:AP70)</f>
        <v>0</v>
      </c>
    </row>
    <row r="613" spans="3:29">
      <c r="C613" t="str">
        <f t="shared" si="264"/>
        <v>PWR nuclear</v>
      </c>
      <c r="D613">
        <f t="array" ref="D613">SUM(E124:N124*'Tech Parameters'!$BL343:$BU343*'Tech Parameters'!H71:Q71)</f>
        <v>0</v>
      </c>
      <c r="E613">
        <f t="array" ref="E613">SUM(F124:O124*'Tech Parameters'!$BL343:$BU343*'Tech Parameters'!I71:R71)</f>
        <v>0</v>
      </c>
      <c r="F613">
        <f t="array" ref="F613">SUM(G124:P124*'Tech Parameters'!$BL343:$BU343*'Tech Parameters'!J71:S71)</f>
        <v>0</v>
      </c>
      <c r="G613">
        <f t="array" ref="G613">SUM(H124:Q124*'Tech Parameters'!$BL343:$BU343*'Tech Parameters'!K71:T71)</f>
        <v>0</v>
      </c>
      <c r="H613">
        <f t="array" ref="H613">SUM(I124:R124*'Tech Parameters'!$BL343:$BU343*'Tech Parameters'!L71:U71)</f>
        <v>0</v>
      </c>
      <c r="I613">
        <f t="array" ref="I613">SUM(J124:S124*'Tech Parameters'!$BL343:$BU343*'Tech Parameters'!M71:V71)</f>
        <v>0</v>
      </c>
      <c r="J613">
        <f t="array" ref="J613">SUM(K124:T124*'Tech Parameters'!$BL343:$BU343*'Tech Parameters'!N71:W71)</f>
        <v>0</v>
      </c>
      <c r="K613">
        <f t="array" ref="K613">SUM(L124:U124*'Tech Parameters'!$BL343:$BU343*'Tech Parameters'!O71:X71)</f>
        <v>0</v>
      </c>
      <c r="L613">
        <f t="array" ref="L613">SUM(M124:V124*'Tech Parameters'!$BL343:$BU343*'Tech Parameters'!P71:Y71)</f>
        <v>0</v>
      </c>
      <c r="M613">
        <f t="array" ref="M613">SUM(N124:W124*'Tech Parameters'!$BL343:$BU343*'Tech Parameters'!Q71:Z71)</f>
        <v>0</v>
      </c>
      <c r="N613">
        <f t="array" ref="N613">SUM(O124:X124*'Tech Parameters'!$BL343:$BU343*'Tech Parameters'!R71:AA71)</f>
        <v>0</v>
      </c>
      <c r="O613">
        <f t="array" ref="O613">SUM(P124:Y124*'Tech Parameters'!$BL343:$BU343*'Tech Parameters'!S71:AB71)</f>
        <v>0</v>
      </c>
      <c r="P613">
        <f t="array" ref="P613">SUM(Q124:Z124*'Tech Parameters'!$BL343:$BU343*'Tech Parameters'!T71:AC71)</f>
        <v>0</v>
      </c>
      <c r="Q613">
        <f t="array" ref="Q613">SUM(R124:AA124*'Tech Parameters'!$BL343:$BU343*'Tech Parameters'!U71:AD71)</f>
        <v>0</v>
      </c>
      <c r="R613">
        <f t="array" ref="R613">SUM(S124:AB124*'Tech Parameters'!$BL343:$BU343*'Tech Parameters'!V71:AE71)</f>
        <v>0</v>
      </c>
      <c r="S613">
        <f t="array" ref="S613">SUM(T124:AC124*'Tech Parameters'!$BL343:$BU343*'Tech Parameters'!W71:AF71)</f>
        <v>0</v>
      </c>
      <c r="T613">
        <f t="array" aca="1" ref="T613" ca="1">SUM(U124:AD124*'Tech Parameters'!$BL343:$BU343*'Tech Parameters'!X71:AG71)</f>
        <v>0</v>
      </c>
      <c r="U613">
        <f t="array" aca="1" ref="U613" ca="1">SUM(V124:AE124*'Tech Parameters'!$BL343:$BU343*'Tech Parameters'!Y71:AH71)</f>
        <v>0</v>
      </c>
      <c r="V613">
        <f t="array" aca="1" ref="V613" ca="1">SUM(W124:AF124*'Tech Parameters'!$BL343:$BU343*'Tech Parameters'!Z71:AI71)</f>
        <v>0</v>
      </c>
      <c r="W613">
        <f t="array" aca="1" ref="W613" ca="1">SUM(X124:AG124*'Tech Parameters'!$BL343:$BU343*'Tech Parameters'!AA71:AJ71)</f>
        <v>0</v>
      </c>
      <c r="X613">
        <f t="array" aca="1" ref="X613" ca="1">SUM(Y124:AH124*'Tech Parameters'!$BL343:$BU343*'Tech Parameters'!AB71:AK71)</f>
        <v>0</v>
      </c>
      <c r="Y613">
        <f t="array" aca="1" ref="Y613" ca="1">SUM(Z124:AI124*'Tech Parameters'!$BL343:$BU343*'Tech Parameters'!AC71:AL71)</f>
        <v>0</v>
      </c>
      <c r="Z613">
        <f t="array" aca="1" ref="Z613" ca="1">SUM(AA124:AJ124*'Tech Parameters'!$BL343:$BU343*'Tech Parameters'!AD71:AM71)</f>
        <v>0</v>
      </c>
      <c r="AA613">
        <f t="array" aca="1" ref="AA613" ca="1">SUM(AB124:AK124*'Tech Parameters'!$BL343:$BU343*'Tech Parameters'!AE71:AN71)</f>
        <v>0</v>
      </c>
      <c r="AB613">
        <f t="array" aca="1" ref="AB613" ca="1">SUM(AC124:AL124*'Tech Parameters'!$BL343:$BU343*'Tech Parameters'!AF71:AO71)</f>
        <v>0</v>
      </c>
      <c r="AC613">
        <f t="array" aca="1" ref="AC613" ca="1">SUM(AD124:AM124*'Tech Parameters'!$BL343:$BU343*'Tech Parameters'!AG71:AP71)</f>
        <v>0</v>
      </c>
    </row>
    <row r="614" spans="3:29">
      <c r="C614" t="str">
        <f t="shared" si="264"/>
        <v>Hydro</v>
      </c>
      <c r="D614">
        <f t="array" ref="D614">SUM(E125:N125*'Tech Parameters'!$BL344:$BU344*'Tech Parameters'!H72:Q72)</f>
        <v>0</v>
      </c>
      <c r="E614">
        <f t="array" ref="E614">SUM(F125:O125*'Tech Parameters'!$BL344:$BU344*'Tech Parameters'!I72:R72)</f>
        <v>0</v>
      </c>
      <c r="F614">
        <f t="array" ref="F614">SUM(G125:P125*'Tech Parameters'!$BL344:$BU344*'Tech Parameters'!J72:S72)</f>
        <v>0</v>
      </c>
      <c r="G614">
        <f t="array" ref="G614">SUM(H125:Q125*'Tech Parameters'!$BL344:$BU344*'Tech Parameters'!K72:T72)</f>
        <v>0</v>
      </c>
      <c r="H614">
        <f t="array" ref="H614">SUM(I125:R125*'Tech Parameters'!$BL344:$BU344*'Tech Parameters'!L72:U72)</f>
        <v>0</v>
      </c>
      <c r="I614">
        <f t="array" ref="I614">SUM(J125:S125*'Tech Parameters'!$BL344:$BU344*'Tech Parameters'!M72:V72)</f>
        <v>0</v>
      </c>
      <c r="J614">
        <f t="array" ref="J614">SUM(K125:T125*'Tech Parameters'!$BL344:$BU344*'Tech Parameters'!N72:W72)</f>
        <v>0</v>
      </c>
      <c r="K614">
        <f t="array" ref="K614">SUM(L125:U125*'Tech Parameters'!$BL344:$BU344*'Tech Parameters'!O72:X72)</f>
        <v>0</v>
      </c>
      <c r="L614">
        <f t="array" ref="L614">SUM(M125:V125*'Tech Parameters'!$BL344:$BU344*'Tech Parameters'!P72:Y72)</f>
        <v>0</v>
      </c>
      <c r="M614">
        <f t="array" ref="M614">SUM(N125:W125*'Tech Parameters'!$BL344:$BU344*'Tech Parameters'!Q72:Z72)</f>
        <v>0</v>
      </c>
      <c r="N614">
        <f t="array" ref="N614">SUM(O125:X125*'Tech Parameters'!$BL344:$BU344*'Tech Parameters'!R72:AA72)</f>
        <v>0</v>
      </c>
      <c r="O614">
        <f t="array" ref="O614">SUM(P125:Y125*'Tech Parameters'!$BL344:$BU344*'Tech Parameters'!S72:AB72)</f>
        <v>0</v>
      </c>
      <c r="P614">
        <f t="array" ref="P614">SUM(Q125:Z125*'Tech Parameters'!$BL344:$BU344*'Tech Parameters'!T72:AC72)</f>
        <v>0</v>
      </c>
      <c r="Q614">
        <f t="array" ref="Q614">SUM(R125:AA125*'Tech Parameters'!$BL344:$BU344*'Tech Parameters'!U72:AD72)</f>
        <v>0</v>
      </c>
      <c r="R614">
        <f t="array" ref="R614">SUM(S125:AB125*'Tech Parameters'!$BL344:$BU344*'Tech Parameters'!V72:AE72)</f>
        <v>0</v>
      </c>
      <c r="S614">
        <f t="array" ref="S614">SUM(T125:AC125*'Tech Parameters'!$BL344:$BU344*'Tech Parameters'!W72:AF72)</f>
        <v>0</v>
      </c>
      <c r="T614">
        <f t="array" aca="1" ref="T614" ca="1">SUM(U125:AD125*'Tech Parameters'!$BL344:$BU344*'Tech Parameters'!X72:AG72)</f>
        <v>0</v>
      </c>
      <c r="U614">
        <f t="array" aca="1" ref="U614" ca="1">SUM(V125:AE125*'Tech Parameters'!$BL344:$BU344*'Tech Parameters'!Y72:AH72)</f>
        <v>0</v>
      </c>
      <c r="V614">
        <f t="array" aca="1" ref="V614" ca="1">SUM(W125:AF125*'Tech Parameters'!$BL344:$BU344*'Tech Parameters'!Z72:AI72)</f>
        <v>0</v>
      </c>
      <c r="W614">
        <f t="array" aca="1" ref="W614" ca="1">SUM(X125:AG125*'Tech Parameters'!$BL344:$BU344*'Tech Parameters'!AA72:AJ72)</f>
        <v>0</v>
      </c>
      <c r="X614">
        <f t="array" aca="1" ref="X614" ca="1">SUM(Y125:AH125*'Tech Parameters'!$BL344:$BU344*'Tech Parameters'!AB72:AK72)</f>
        <v>0</v>
      </c>
      <c r="Y614">
        <f t="array" aca="1" ref="Y614" ca="1">SUM(Z125:AI125*'Tech Parameters'!$BL344:$BU344*'Tech Parameters'!AC72:AL72)</f>
        <v>0</v>
      </c>
      <c r="Z614">
        <f t="array" aca="1" ref="Z614" ca="1">SUM(AA125:AJ125*'Tech Parameters'!$BL344:$BU344*'Tech Parameters'!AD72:AM72)</f>
        <v>0</v>
      </c>
      <c r="AA614">
        <f t="array" aca="1" ref="AA614" ca="1">SUM(AB125:AK125*'Tech Parameters'!$BL344:$BU344*'Tech Parameters'!AE72:AN72)</f>
        <v>0</v>
      </c>
      <c r="AB614">
        <f t="array" aca="1" ref="AB614" ca="1">SUM(AC125:AL125*'Tech Parameters'!$BL344:$BU344*'Tech Parameters'!AF72:AO72)</f>
        <v>0</v>
      </c>
      <c r="AC614">
        <f t="array" aca="1" ref="AC614" ca="1">SUM(AD125:AM125*'Tech Parameters'!$BL344:$BU344*'Tech Parameters'!AG72:AP72)</f>
        <v>0</v>
      </c>
    </row>
    <row r="615" spans="3:29">
      <c r="C615" t="str">
        <f t="shared" si="264"/>
        <v>Landfill gas</v>
      </c>
      <c r="D615">
        <f t="array" ref="D615">SUM(E126:N126*'Tech Parameters'!$BL345:$BU345*'Tech Parameters'!H73:Q73)</f>
        <v>0</v>
      </c>
      <c r="E615">
        <f t="array" ref="E615">SUM(F126:O126*'Tech Parameters'!$BL345:$BU345*'Tech Parameters'!I73:R73)</f>
        <v>0</v>
      </c>
      <c r="F615">
        <f t="array" ref="F615">SUM(G126:P126*'Tech Parameters'!$BL345:$BU345*'Tech Parameters'!J73:S73)</f>
        <v>0</v>
      </c>
      <c r="G615">
        <f t="array" ref="G615">SUM(H126:Q126*'Tech Parameters'!$BL345:$BU345*'Tech Parameters'!K73:T73)</f>
        <v>0</v>
      </c>
      <c r="H615">
        <f t="array" ref="H615">SUM(I126:R126*'Tech Parameters'!$BL345:$BU345*'Tech Parameters'!L73:U73)</f>
        <v>0</v>
      </c>
      <c r="I615">
        <f t="array" ref="I615">SUM(J126:S126*'Tech Parameters'!$BL345:$BU345*'Tech Parameters'!M73:V73)</f>
        <v>0</v>
      </c>
      <c r="J615">
        <f t="array" ref="J615">SUM(K126:T126*'Tech Parameters'!$BL345:$BU345*'Tech Parameters'!N73:W73)</f>
        <v>0</v>
      </c>
      <c r="K615">
        <f t="array" ref="K615">SUM(L126:U126*'Tech Parameters'!$BL345:$BU345*'Tech Parameters'!O73:X73)</f>
        <v>0</v>
      </c>
      <c r="L615">
        <f t="array" ref="L615">SUM(M126:V126*'Tech Parameters'!$BL345:$BU345*'Tech Parameters'!P73:Y73)</f>
        <v>0</v>
      </c>
      <c r="M615">
        <f t="array" ref="M615">SUM(N126:W126*'Tech Parameters'!$BL345:$BU345*'Tech Parameters'!Q73:Z73)</f>
        <v>0</v>
      </c>
      <c r="N615">
        <f t="array" ref="N615">SUM(O126:X126*'Tech Parameters'!$BL345:$BU345*'Tech Parameters'!R73:AA73)</f>
        <v>0</v>
      </c>
      <c r="O615">
        <f t="array" ref="O615">SUM(P126:Y126*'Tech Parameters'!$BL345:$BU345*'Tech Parameters'!S73:AB73)</f>
        <v>0</v>
      </c>
      <c r="P615">
        <f t="array" ref="P615">SUM(Q126:Z126*'Tech Parameters'!$BL345:$BU345*'Tech Parameters'!T73:AC73)</f>
        <v>0</v>
      </c>
      <c r="Q615">
        <f t="array" ref="Q615">SUM(R126:AA126*'Tech Parameters'!$BL345:$BU345*'Tech Parameters'!U73:AD73)</f>
        <v>0</v>
      </c>
      <c r="R615">
        <f t="array" ref="R615">SUM(S126:AB126*'Tech Parameters'!$BL345:$BU345*'Tech Parameters'!V73:AE73)</f>
        <v>0</v>
      </c>
      <c r="S615">
        <f t="array" ref="S615">SUM(T126:AC126*'Tech Parameters'!$BL345:$BU345*'Tech Parameters'!W73:AF73)</f>
        <v>0</v>
      </c>
      <c r="T615">
        <f t="array" aca="1" ref="T615" ca="1">SUM(U126:AD126*'Tech Parameters'!$BL345:$BU345*'Tech Parameters'!X73:AG73)</f>
        <v>0</v>
      </c>
      <c r="U615">
        <f t="array" aca="1" ref="U615" ca="1">SUM(V126:AE126*'Tech Parameters'!$BL345:$BU345*'Tech Parameters'!Y73:AH73)</f>
        <v>0</v>
      </c>
      <c r="V615">
        <f t="array" aca="1" ref="V615" ca="1">SUM(W126:AF126*'Tech Parameters'!$BL345:$BU345*'Tech Parameters'!Z73:AI73)</f>
        <v>0</v>
      </c>
      <c r="W615">
        <f t="array" aca="1" ref="W615" ca="1">SUM(X126:AG126*'Tech Parameters'!$BL345:$BU345*'Tech Parameters'!AA73:AJ73)</f>
        <v>0</v>
      </c>
      <c r="X615">
        <f t="array" aca="1" ref="X615" ca="1">SUM(Y126:AH126*'Tech Parameters'!$BL345:$BU345*'Tech Parameters'!AB73:AK73)</f>
        <v>0</v>
      </c>
      <c r="Y615">
        <f t="array" aca="1" ref="Y615" ca="1">SUM(Z126:AI126*'Tech Parameters'!$BL345:$BU345*'Tech Parameters'!AC73:AL73)</f>
        <v>0</v>
      </c>
      <c r="Z615">
        <f t="array" aca="1" ref="Z615" ca="1">SUM(AA126:AJ126*'Tech Parameters'!$BL345:$BU345*'Tech Parameters'!AD73:AM73)</f>
        <v>0</v>
      </c>
      <c r="AA615">
        <f t="array" aca="1" ref="AA615" ca="1">SUM(AB126:AK126*'Tech Parameters'!$BL345:$BU345*'Tech Parameters'!AE73:AN73)</f>
        <v>0</v>
      </c>
      <c r="AB615">
        <f t="array" aca="1" ref="AB615" ca="1">SUM(AC126:AL126*'Tech Parameters'!$BL345:$BU345*'Tech Parameters'!AF73:AO73)</f>
        <v>0</v>
      </c>
      <c r="AC615">
        <f t="array" aca="1" ref="AC615" ca="1">SUM(AD126:AM126*'Tech Parameters'!$BL345:$BU345*'Tech Parameters'!AG73:AP73)</f>
        <v>0</v>
      </c>
    </row>
    <row r="616" spans="3:29">
      <c r="C616" t="str">
        <f t="shared" si="264"/>
        <v>Biomass</v>
      </c>
      <c r="D616">
        <f t="array" ref="D616">SUM(E127:N127*'Tech Parameters'!$BL346:$BU346*'Tech Parameters'!H74:Q74)</f>
        <v>0</v>
      </c>
      <c r="E616">
        <f t="array" ref="E616">SUM(F127:O127*'Tech Parameters'!$BL346:$BU346*'Tech Parameters'!I74:R74)</f>
        <v>0</v>
      </c>
      <c r="F616">
        <f t="array" ref="F616">SUM(G127:P127*'Tech Parameters'!$BL346:$BU346*'Tech Parameters'!J74:S74)</f>
        <v>0</v>
      </c>
      <c r="G616">
        <f t="array" ref="G616">SUM(H127:Q127*'Tech Parameters'!$BL346:$BU346*'Tech Parameters'!K74:T74)</f>
        <v>0</v>
      </c>
      <c r="H616">
        <f t="array" ref="H616">SUM(I127:R127*'Tech Parameters'!$BL346:$BU346*'Tech Parameters'!L74:U74)</f>
        <v>0</v>
      </c>
      <c r="I616">
        <f t="array" ref="I616">SUM(J127:S127*'Tech Parameters'!$BL346:$BU346*'Tech Parameters'!M74:V74)</f>
        <v>0</v>
      </c>
      <c r="J616">
        <f t="array" ref="J616">SUM(K127:T127*'Tech Parameters'!$BL346:$BU346*'Tech Parameters'!N74:W74)</f>
        <v>0</v>
      </c>
      <c r="K616">
        <f t="array" ref="K616">SUM(L127:U127*'Tech Parameters'!$BL346:$BU346*'Tech Parameters'!O74:X74)</f>
        <v>0</v>
      </c>
      <c r="L616">
        <f t="array" ref="L616">SUM(M127:V127*'Tech Parameters'!$BL346:$BU346*'Tech Parameters'!P74:Y74)</f>
        <v>0</v>
      </c>
      <c r="M616">
        <f t="array" ref="M616">SUM(N127:W127*'Tech Parameters'!$BL346:$BU346*'Tech Parameters'!Q74:Z74)</f>
        <v>0</v>
      </c>
      <c r="N616">
        <f t="array" ref="N616">SUM(O127:X127*'Tech Parameters'!$BL346:$BU346*'Tech Parameters'!R74:AA74)</f>
        <v>0</v>
      </c>
      <c r="O616">
        <f t="array" ref="O616">SUM(P127:Y127*'Tech Parameters'!$BL346:$BU346*'Tech Parameters'!S74:AB74)</f>
        <v>0</v>
      </c>
      <c r="P616">
        <f t="array" ref="P616">SUM(Q127:Z127*'Tech Parameters'!$BL346:$BU346*'Tech Parameters'!T74:AC74)</f>
        <v>0</v>
      </c>
      <c r="Q616">
        <f t="array" ref="Q616">SUM(R127:AA127*'Tech Parameters'!$BL346:$BU346*'Tech Parameters'!U74:AD74)</f>
        <v>0</v>
      </c>
      <c r="R616">
        <f t="array" ref="R616">SUM(S127:AB127*'Tech Parameters'!$BL346:$BU346*'Tech Parameters'!V74:AE74)</f>
        <v>0</v>
      </c>
      <c r="S616">
        <f t="array" ref="S616">SUM(T127:AC127*'Tech Parameters'!$BL346:$BU346*'Tech Parameters'!W74:AF74)</f>
        <v>0</v>
      </c>
      <c r="T616">
        <f t="array" aca="1" ref="T616" ca="1">SUM(U127:AD127*'Tech Parameters'!$BL346:$BU346*'Tech Parameters'!X74:AG74)</f>
        <v>0</v>
      </c>
      <c r="U616">
        <f t="array" aca="1" ref="U616" ca="1">SUM(V127:AE127*'Tech Parameters'!$BL346:$BU346*'Tech Parameters'!Y74:AH74)</f>
        <v>0</v>
      </c>
      <c r="V616">
        <f t="array" aca="1" ref="V616" ca="1">SUM(W127:AF127*'Tech Parameters'!$BL346:$BU346*'Tech Parameters'!Z74:AI74)</f>
        <v>0</v>
      </c>
      <c r="W616">
        <f t="array" aca="1" ref="W616" ca="1">SUM(X127:AG127*'Tech Parameters'!$BL346:$BU346*'Tech Parameters'!AA74:AJ74)</f>
        <v>0</v>
      </c>
      <c r="X616">
        <f t="array" aca="1" ref="X616" ca="1">SUM(Y127:AH127*'Tech Parameters'!$BL346:$BU346*'Tech Parameters'!AB74:AK74)</f>
        <v>0</v>
      </c>
      <c r="Y616">
        <f t="array" aca="1" ref="Y616" ca="1">SUM(Z127:AI127*'Tech Parameters'!$BL346:$BU346*'Tech Parameters'!AC74:AL74)</f>
        <v>0</v>
      </c>
      <c r="Z616">
        <f t="array" aca="1" ref="Z616" ca="1">SUM(AA127:AJ127*'Tech Parameters'!$BL346:$BU346*'Tech Parameters'!AD74:AM74)</f>
        <v>0</v>
      </c>
      <c r="AA616">
        <f t="array" aca="1" ref="AA616" ca="1">SUM(AB127:AK127*'Tech Parameters'!$BL346:$BU346*'Tech Parameters'!AE74:AN74)</f>
        <v>0</v>
      </c>
      <c r="AB616">
        <f t="array" aca="1" ref="AB616" ca="1">SUM(AC127:AL127*'Tech Parameters'!$BL346:$BU346*'Tech Parameters'!AF74:AO74)</f>
        <v>0</v>
      </c>
      <c r="AC616">
        <f t="array" aca="1" ref="AC616" ca="1">SUM(AD127:AM127*'Tech Parameters'!$BL346:$BU346*'Tech Parameters'!AG74:AP74)</f>
        <v>0</v>
      </c>
    </row>
    <row r="617" spans="3:29">
      <c r="C617" t="str">
        <f t="shared" si="264"/>
        <v>Supercritical coal</v>
      </c>
      <c r="D617">
        <f t="array" ref="D617">SUM(E128:N128*'Tech Parameters'!$BL347:$BU347*'Tech Parameters'!H75:Q75)</f>
        <v>0</v>
      </c>
      <c r="E617">
        <f t="array" ref="E617">SUM(F128:O128*'Tech Parameters'!$BL347:$BU347*'Tech Parameters'!I75:R75)</f>
        <v>663.75232174368716</v>
      </c>
      <c r="F617">
        <f t="array" ref="F617">SUM(G128:P128*'Tech Parameters'!$BL347:$BU347*'Tech Parameters'!J75:S75)</f>
        <v>2053.5222759085655</v>
      </c>
      <c r="G617">
        <f t="array" ref="G617">SUM(H128:Q128*'Tech Parameters'!$BL347:$BU347*'Tech Parameters'!K75:T75)</f>
        <v>3813.0002183239285</v>
      </c>
      <c r="H617">
        <f t="array" ref="H617">SUM(I128:R128*'Tech Parameters'!$BL347:$BU347*'Tech Parameters'!L75:U75)</f>
        <v>9740.6803993905232</v>
      </c>
      <c r="I617">
        <f t="array" ref="I617">SUM(J128:S128*'Tech Parameters'!$BL347:$BU347*'Tech Parameters'!M75:V75)</f>
        <v>21245.764687606472</v>
      </c>
      <c r="J617">
        <f t="array" ref="J617">SUM(K128:T128*'Tech Parameters'!$BL347:$BU347*'Tech Parameters'!N75:W75)</f>
        <v>34313.993522929261</v>
      </c>
      <c r="K617">
        <f t="array" ref="K617">SUM(L128:U128*'Tech Parameters'!$BL347:$BU347*'Tech Parameters'!O75:X75)</f>
        <v>43505.386962536453</v>
      </c>
      <c r="L617">
        <f t="array" ref="L617">SUM(M128:V128*'Tech Parameters'!$BL347:$BU347*'Tech Parameters'!P75:Y75)</f>
        <v>41373.521424703482</v>
      </c>
      <c r="M617">
        <f t="array" ref="M617">SUM(N128:W128*'Tech Parameters'!$BL347:$BU347*'Tech Parameters'!Q75:Z75)</f>
        <v>34708.857909120299</v>
      </c>
      <c r="N617">
        <f t="array" ref="N617">SUM(O128:X128*'Tech Parameters'!$BL347:$BU347*'Tech Parameters'!R75:AA75)</f>
        <v>37940.691924532643</v>
      </c>
      <c r="O617">
        <f t="array" ref="O617">SUM(P128:Y128*'Tech Parameters'!$BL347:$BU347*'Tech Parameters'!S75:AB75)</f>
        <v>45394.067356270752</v>
      </c>
      <c r="P617">
        <f t="array" ref="P617">SUM(Q128:Z128*'Tech Parameters'!$BL347:$BU347*'Tech Parameters'!T75:AC75)</f>
        <v>47015.681989247241</v>
      </c>
      <c r="Q617">
        <f t="array" ref="Q617">SUM(R128:AA128*'Tech Parameters'!$BL347:$BU347*'Tech Parameters'!U75:AD75)</f>
        <v>51503.338923124145</v>
      </c>
      <c r="R617">
        <f t="array" ref="R617">SUM(S128:AB128*'Tech Parameters'!$BL347:$BU347*'Tech Parameters'!V75:AE75)</f>
        <v>58477.174735643042</v>
      </c>
      <c r="S617">
        <f t="array" ref="S617">SUM(T128:AC128*'Tech Parameters'!$BL347:$BU347*'Tech Parameters'!W75:AF75)</f>
        <v>56640.067418795952</v>
      </c>
      <c r="T617">
        <f t="array" aca="1" ref="T617" ca="1">SUM(U128:AD128*'Tech Parameters'!$BL347:$BU347*'Tech Parameters'!X75:AG75)</f>
        <v>55069.273424150328</v>
      </c>
      <c r="U617">
        <f t="array" aca="1" ref="U617" ca="1">SUM(V128:AE128*'Tech Parameters'!$BL347:$BU347*'Tech Parameters'!Y75:AH75)</f>
        <v>60000.483870990036</v>
      </c>
      <c r="V617">
        <f t="array" aca="1" ref="V617" ca="1">SUM(W128:AF128*'Tech Parameters'!$BL347:$BU347*'Tech Parameters'!Z75:AI75)</f>
        <v>67090.983809082973</v>
      </c>
      <c r="W617">
        <f t="array" aca="1" ref="W617" ca="1">SUM(X128:AG128*'Tech Parameters'!$BL347:$BU347*'Tech Parameters'!AA75:AJ75)</f>
        <v>74288.037740997534</v>
      </c>
      <c r="X617">
        <f t="array" aca="1" ref="X617" ca="1">SUM(Y128:AH128*'Tech Parameters'!$BL347:$BU347*'Tech Parameters'!AB75:AK75)</f>
        <v>72662.922563527696</v>
      </c>
      <c r="Y617">
        <f t="array" aca="1" ref="Y617" ca="1">SUM(Z128:AI128*'Tech Parameters'!$BL347:$BU347*'Tech Parameters'!AC75:AL75)</f>
        <v>72909.761059705561</v>
      </c>
      <c r="Z617">
        <f t="array" aca="1" ref="Z617" ca="1">SUM(AA128:AJ128*'Tech Parameters'!$BL347:$BU347*'Tech Parameters'!AD75:AM75)</f>
        <v>77194.778554316377</v>
      </c>
      <c r="AA617">
        <f t="array" aca="1" ref="AA617" ca="1">SUM(AB128:AK128*'Tech Parameters'!$BL347:$BU347*'Tech Parameters'!AE75:AN75)</f>
        <v>51550.631258786714</v>
      </c>
      <c r="AB617">
        <f t="array" aca="1" ref="AB617" ca="1">SUM(AC128:AL128*'Tech Parameters'!$BL347:$BU347*'Tech Parameters'!AF75:AO75)</f>
        <v>11797.18765209939</v>
      </c>
      <c r="AC617">
        <f t="array" aca="1" ref="AC617" ca="1">SUM(AD128:AM128*'Tech Parameters'!$BL347:$BU347*'Tech Parameters'!AG75:AP75)</f>
        <v>0</v>
      </c>
    </row>
    <row r="618" spans="3:29">
      <c r="C618" t="str">
        <f t="shared" si="264"/>
        <v xml:space="preserve">Wind 30% </v>
      </c>
      <c r="D618">
        <f t="array" ref="D618">SUM(E129:N129*'Tech Parameters'!$BL348:$BU348*'Tech Parameters'!H76:Q76)</f>
        <v>0</v>
      </c>
      <c r="E618">
        <f t="array" ref="E618">SUM(F129:O129*'Tech Parameters'!$BL348:$BU348*'Tech Parameters'!I76:R76)</f>
        <v>0</v>
      </c>
      <c r="F618">
        <f t="array" ref="F618">SUM(G129:P129*'Tech Parameters'!$BL348:$BU348*'Tech Parameters'!J76:S76)</f>
        <v>75.703206024444654</v>
      </c>
      <c r="G618">
        <f t="array" ref="G618">SUM(H129:Q129*'Tech Parameters'!$BL348:$BU348*'Tech Parameters'!K76:T76)</f>
        <v>310.38314470022311</v>
      </c>
      <c r="H618">
        <f t="array" ref="H618">SUM(I129:R129*'Tech Parameters'!$BL348:$BU348*'Tech Parameters'!L76:U76)</f>
        <v>1174.1567254391368</v>
      </c>
      <c r="I618">
        <f t="array" ref="I618">SUM(J129:S129*'Tech Parameters'!$BL348:$BU348*'Tech Parameters'!M76:V76)</f>
        <v>0</v>
      </c>
      <c r="J618">
        <f t="array" ref="J618">SUM(K129:T129*'Tech Parameters'!$BL348:$BU348*'Tech Parameters'!N76:W76)</f>
        <v>0</v>
      </c>
      <c r="K618">
        <f t="array" ref="K618">SUM(L129:U129*'Tech Parameters'!$BL348:$BU348*'Tech Parameters'!O76:X76)</f>
        <v>0</v>
      </c>
      <c r="L618">
        <f t="array" ref="L618">SUM(M129:V129*'Tech Parameters'!$BL348:$BU348*'Tech Parameters'!P76:Y76)</f>
        <v>0</v>
      </c>
      <c r="M618">
        <f t="array" ref="M618">SUM(N129:W129*'Tech Parameters'!$BL348:$BU348*'Tech Parameters'!Q76:Z76)</f>
        <v>0</v>
      </c>
      <c r="N618">
        <f t="array" ref="N618">SUM(O129:X129*'Tech Parameters'!$BL348:$BU348*'Tech Parameters'!R76:AA76)</f>
        <v>0</v>
      </c>
      <c r="O618">
        <f t="array" ref="O618">SUM(P129:Y129*'Tech Parameters'!$BL348:$BU348*'Tech Parameters'!S76:AB76)</f>
        <v>0</v>
      </c>
      <c r="P618">
        <f t="array" ref="P618">SUM(Q129:Z129*'Tech Parameters'!$BL348:$BU348*'Tech Parameters'!T76:AC76)</f>
        <v>0</v>
      </c>
      <c r="Q618">
        <f t="array" ref="Q618">SUM(R129:AA129*'Tech Parameters'!$BL348:$BU348*'Tech Parameters'!U76:AD76)</f>
        <v>0</v>
      </c>
      <c r="R618">
        <f t="array" ref="R618">SUM(S129:AB129*'Tech Parameters'!$BL348:$BU348*'Tech Parameters'!V76:AE76)</f>
        <v>0</v>
      </c>
      <c r="S618">
        <f t="array" ref="S618">SUM(T129:AC129*'Tech Parameters'!$BL348:$BU348*'Tech Parameters'!W76:AF76)</f>
        <v>0</v>
      </c>
      <c r="T618">
        <f t="array" aca="1" ref="T618" ca="1">SUM(U129:AD129*'Tech Parameters'!$BL348:$BU348*'Tech Parameters'!X76:AG76)</f>
        <v>0</v>
      </c>
      <c r="U618">
        <f t="array" aca="1" ref="U618" ca="1">SUM(V129:AE129*'Tech Parameters'!$BL348:$BU348*'Tech Parameters'!Y76:AH76)</f>
        <v>0</v>
      </c>
      <c r="V618">
        <f t="array" aca="1" ref="V618" ca="1">SUM(W129:AF129*'Tech Parameters'!$BL348:$BU348*'Tech Parameters'!Z76:AI76)</f>
        <v>0</v>
      </c>
      <c r="W618">
        <f t="array" aca="1" ref="W618" ca="1">SUM(X129:AG129*'Tech Parameters'!$BL348:$BU348*'Tech Parameters'!AA76:AJ76)</f>
        <v>0</v>
      </c>
      <c r="X618">
        <f t="array" aca="1" ref="X618" ca="1">SUM(Y129:AH129*'Tech Parameters'!$BL348:$BU348*'Tech Parameters'!AB76:AK76)</f>
        <v>0</v>
      </c>
      <c r="Y618">
        <f t="array" aca="1" ref="Y618" ca="1">SUM(Z129:AI129*'Tech Parameters'!$BL348:$BU348*'Tech Parameters'!AC76:AL76)</f>
        <v>0</v>
      </c>
      <c r="Z618">
        <f t="array" aca="1" ref="Z618" ca="1">SUM(AA129:AJ129*'Tech Parameters'!$BL348:$BU348*'Tech Parameters'!AD76:AM76)</f>
        <v>0</v>
      </c>
      <c r="AA618">
        <f t="array" aca="1" ref="AA618" ca="1">SUM(AB129:AK129*'Tech Parameters'!$BL348:$BU348*'Tech Parameters'!AE76:AN76)</f>
        <v>0</v>
      </c>
      <c r="AB618">
        <f t="array" aca="1" ref="AB618" ca="1">SUM(AC129:AL129*'Tech Parameters'!$BL348:$BU348*'Tech Parameters'!AF76:AO76)</f>
        <v>0</v>
      </c>
      <c r="AC618">
        <f t="array" aca="1" ref="AC618" ca="1">SUM(AD129:AM129*'Tech Parameters'!$BL348:$BU348*'Tech Parameters'!AG76:AP76)</f>
        <v>0</v>
      </c>
    </row>
    <row r="619" spans="3:29">
      <c r="C619" t="str">
        <f t="shared" si="264"/>
        <v>Wind 25%</v>
      </c>
      <c r="D619">
        <f t="array" ref="D619">SUM(E130:N130*'Tech Parameters'!$BL349:$BU349*'Tech Parameters'!H77:Q77)</f>
        <v>0</v>
      </c>
      <c r="E619">
        <f t="array" ref="E619">SUM(F130:O130*'Tech Parameters'!$BL349:$BU349*'Tech Parameters'!I77:R77)</f>
        <v>0</v>
      </c>
      <c r="F619">
        <f t="array" ref="F619">SUM(G130:P130*'Tech Parameters'!$BL349:$BU349*'Tech Parameters'!J77:S77)</f>
        <v>0</v>
      </c>
      <c r="G619">
        <f t="array" ref="G619">SUM(H130:Q130*'Tech Parameters'!$BL349:$BU349*'Tech Parameters'!K77:T77)</f>
        <v>0</v>
      </c>
      <c r="H619">
        <f t="array" ref="H619">SUM(I130:R130*'Tech Parameters'!$BL349:$BU349*'Tech Parameters'!L77:U77)</f>
        <v>0</v>
      </c>
      <c r="I619">
        <f t="array" ref="I619">SUM(J130:S130*'Tech Parameters'!$BL349:$BU349*'Tech Parameters'!M77:V77)</f>
        <v>0</v>
      </c>
      <c r="J619">
        <f t="array" ref="J619">SUM(K130:T130*'Tech Parameters'!$BL349:$BU349*'Tech Parameters'!N77:W77)</f>
        <v>0</v>
      </c>
      <c r="K619">
        <f t="array" ref="K619">SUM(L130:U130*'Tech Parameters'!$BL349:$BU349*'Tech Parameters'!O77:X77)</f>
        <v>0</v>
      </c>
      <c r="L619">
        <f t="array" ref="L619">SUM(M130:V130*'Tech Parameters'!$BL349:$BU349*'Tech Parameters'!P77:Y77)</f>
        <v>0</v>
      </c>
      <c r="M619">
        <f t="array" ref="M619">SUM(N130:W130*'Tech Parameters'!$BL349:$BU349*'Tech Parameters'!Q77:Z77)</f>
        <v>0</v>
      </c>
      <c r="N619">
        <f t="array" ref="N619">SUM(O130:X130*'Tech Parameters'!$BL349:$BU349*'Tech Parameters'!R77:AA77)</f>
        <v>0</v>
      </c>
      <c r="O619">
        <f t="array" ref="O619">SUM(P130:Y130*'Tech Parameters'!$BL349:$BU349*'Tech Parameters'!S77:AB77)</f>
        <v>0</v>
      </c>
      <c r="P619">
        <f t="array" ref="P619">SUM(Q130:Z130*'Tech Parameters'!$BL349:$BU349*'Tech Parameters'!T77:AC77)</f>
        <v>0</v>
      </c>
      <c r="Q619">
        <f t="array" ref="Q619">SUM(R130:AA130*'Tech Parameters'!$BL349:$BU349*'Tech Parameters'!U77:AD77)</f>
        <v>0</v>
      </c>
      <c r="R619">
        <f t="array" ref="R619">SUM(S130:AB130*'Tech Parameters'!$BL349:$BU349*'Tech Parameters'!V77:AE77)</f>
        <v>0</v>
      </c>
      <c r="S619">
        <f t="array" ref="S619">SUM(T130:AC130*'Tech Parameters'!$BL349:$BU349*'Tech Parameters'!W77:AF77)</f>
        <v>0</v>
      </c>
      <c r="T619">
        <f t="array" aca="1" ref="T619" ca="1">SUM(U130:AD130*'Tech Parameters'!$BL349:$BU349*'Tech Parameters'!X77:AG77)</f>
        <v>0</v>
      </c>
      <c r="U619">
        <f t="array" aca="1" ref="U619" ca="1">SUM(V130:AE130*'Tech Parameters'!$BL349:$BU349*'Tech Parameters'!Y77:AH77)</f>
        <v>0</v>
      </c>
      <c r="V619">
        <f t="array" aca="1" ref="V619" ca="1">SUM(W130:AF130*'Tech Parameters'!$BL349:$BU349*'Tech Parameters'!Z77:AI77)</f>
        <v>0</v>
      </c>
      <c r="W619">
        <f t="array" aca="1" ref="W619" ca="1">SUM(X130:AG130*'Tech Parameters'!$BL349:$BU349*'Tech Parameters'!AA77:AJ77)</f>
        <v>0</v>
      </c>
      <c r="X619">
        <f t="array" aca="1" ref="X619" ca="1">SUM(Y130:AH130*'Tech Parameters'!$BL349:$BU349*'Tech Parameters'!AB77:AK77)</f>
        <v>0</v>
      </c>
      <c r="Y619">
        <f t="array" aca="1" ref="Y619" ca="1">SUM(Z130:AI130*'Tech Parameters'!$BL349:$BU349*'Tech Parameters'!AC77:AL77)</f>
        <v>0</v>
      </c>
      <c r="Z619">
        <f t="array" aca="1" ref="Z619" ca="1">SUM(AA130:AJ130*'Tech Parameters'!$BL349:$BU349*'Tech Parameters'!AD77:AM77)</f>
        <v>0</v>
      </c>
      <c r="AA619">
        <f t="array" aca="1" ref="AA619" ca="1">SUM(AB130:AK130*'Tech Parameters'!$BL349:$BU349*'Tech Parameters'!AE77:AN77)</f>
        <v>0</v>
      </c>
      <c r="AB619">
        <f t="array" aca="1" ref="AB619" ca="1">SUM(AC130:AL130*'Tech Parameters'!$BL349:$BU349*'Tech Parameters'!AF77:AO77)</f>
        <v>0</v>
      </c>
      <c r="AC619">
        <f t="array" aca="1" ref="AC619" ca="1">SUM(AD130:AM130*'Tech Parameters'!$BL349:$BU349*'Tech Parameters'!AG77:AP77)</f>
        <v>0</v>
      </c>
    </row>
    <row r="620" spans="3:29">
      <c r="C620" t="str">
        <f t="shared" si="264"/>
        <v>solar thermal central reciever</v>
      </c>
      <c r="D620">
        <f t="array" ref="D620">SUM(E131:N131*'Tech Parameters'!$BL350:$BU350*'Tech Parameters'!H78:Q78)</f>
        <v>0</v>
      </c>
      <c r="E620">
        <f t="array" ref="E620">SUM(F131:O131*'Tech Parameters'!$BL350:$BU350*'Tech Parameters'!I78:R78)</f>
        <v>0</v>
      </c>
      <c r="F620">
        <f t="array" ref="F620">SUM(G131:P131*'Tech Parameters'!$BL350:$BU350*'Tech Parameters'!J78:S78)</f>
        <v>0</v>
      </c>
      <c r="G620">
        <f t="array" ref="G620">SUM(H131:Q131*'Tech Parameters'!$BL350:$BU350*'Tech Parameters'!K78:T78)</f>
        <v>0</v>
      </c>
      <c r="H620">
        <f t="array" ref="H620">SUM(I131:R131*'Tech Parameters'!$BL350:$BU350*'Tech Parameters'!L78:U78)</f>
        <v>0</v>
      </c>
      <c r="I620">
        <f t="array" ref="I620">SUM(J131:S131*'Tech Parameters'!$BL350:$BU350*'Tech Parameters'!M78:V78)</f>
        <v>0</v>
      </c>
      <c r="J620">
        <f t="array" ref="J620">SUM(K131:T131*'Tech Parameters'!$BL350:$BU350*'Tech Parameters'!N78:W78)</f>
        <v>0</v>
      </c>
      <c r="K620">
        <f t="array" ref="K620">SUM(L131:U131*'Tech Parameters'!$BL350:$BU350*'Tech Parameters'!O78:X78)</f>
        <v>0</v>
      </c>
      <c r="L620">
        <f t="array" ref="L620">SUM(M131:V131*'Tech Parameters'!$BL350:$BU350*'Tech Parameters'!P78:Y78)</f>
        <v>0</v>
      </c>
      <c r="M620">
        <f t="array" ref="M620">SUM(N131:W131*'Tech Parameters'!$BL350:$BU350*'Tech Parameters'!Q78:Z78)</f>
        <v>0</v>
      </c>
      <c r="N620">
        <f t="array" ref="N620">SUM(O131:X131*'Tech Parameters'!$BL350:$BU350*'Tech Parameters'!R78:AA78)</f>
        <v>0</v>
      </c>
      <c r="O620">
        <f t="array" ref="O620">SUM(P131:Y131*'Tech Parameters'!$BL350:$BU350*'Tech Parameters'!S78:AB78)</f>
        <v>0</v>
      </c>
      <c r="P620">
        <f t="array" ref="P620">SUM(Q131:Z131*'Tech Parameters'!$BL350:$BU350*'Tech Parameters'!T78:AC78)</f>
        <v>0</v>
      </c>
      <c r="Q620">
        <f t="array" ref="Q620">SUM(R131:AA131*'Tech Parameters'!$BL350:$BU350*'Tech Parameters'!U78:AD78)</f>
        <v>0</v>
      </c>
      <c r="R620">
        <f t="array" ref="R620">SUM(S131:AB131*'Tech Parameters'!$BL350:$BU350*'Tech Parameters'!V78:AE78)</f>
        <v>0</v>
      </c>
      <c r="S620">
        <f t="array" ref="S620">SUM(T131:AC131*'Tech Parameters'!$BL350:$BU350*'Tech Parameters'!W78:AF78)</f>
        <v>0</v>
      </c>
      <c r="T620">
        <f t="array" aca="1" ref="T620" ca="1">SUM(U131:AD131*'Tech Parameters'!$BL350:$BU350*'Tech Parameters'!X78:AG78)</f>
        <v>0</v>
      </c>
      <c r="U620">
        <f t="array" aca="1" ref="U620" ca="1">SUM(V131:AE131*'Tech Parameters'!$BL350:$BU350*'Tech Parameters'!Y78:AH78)</f>
        <v>0</v>
      </c>
      <c r="V620">
        <f t="array" aca="1" ref="V620" ca="1">SUM(W131:AF131*'Tech Parameters'!$BL350:$BU350*'Tech Parameters'!Z78:AI78)</f>
        <v>0</v>
      </c>
      <c r="W620">
        <f t="array" aca="1" ref="W620" ca="1">SUM(X131:AG131*'Tech Parameters'!$BL350:$BU350*'Tech Parameters'!AA78:AJ78)</f>
        <v>0</v>
      </c>
      <c r="X620">
        <f t="array" aca="1" ref="X620" ca="1">SUM(Y131:AH131*'Tech Parameters'!$BL350:$BU350*'Tech Parameters'!AB78:AK78)</f>
        <v>0</v>
      </c>
      <c r="Y620">
        <f t="array" aca="1" ref="Y620" ca="1">SUM(Z131:AI131*'Tech Parameters'!$BL350:$BU350*'Tech Parameters'!AC78:AL78)</f>
        <v>0</v>
      </c>
      <c r="Z620">
        <f t="array" aca="1" ref="Z620" ca="1">SUM(AA131:AJ131*'Tech Parameters'!$BL350:$BU350*'Tech Parameters'!AD78:AM78)</f>
        <v>0</v>
      </c>
      <c r="AA620">
        <f t="array" aca="1" ref="AA620" ca="1">SUM(AB131:AK131*'Tech Parameters'!$BL350:$BU350*'Tech Parameters'!AE78:AN78)</f>
        <v>0</v>
      </c>
      <c r="AB620">
        <f t="array" aca="1" ref="AB620" ca="1">SUM(AC131:AL131*'Tech Parameters'!$BL350:$BU350*'Tech Parameters'!AF78:AO78)</f>
        <v>0</v>
      </c>
      <c r="AC620">
        <f t="array" aca="1" ref="AC620" ca="1">SUM(AD131:AM131*'Tech Parameters'!$BL350:$BU350*'Tech Parameters'!AG78:AP78)</f>
        <v>0</v>
      </c>
    </row>
    <row r="621" spans="3:29">
      <c r="C621" t="str">
        <f t="shared" si="264"/>
        <v>solar thermal trough</v>
      </c>
      <c r="D621">
        <f t="array" ref="D621">SUM(E132:N132*'Tech Parameters'!$BL351:$BU351*'Tech Parameters'!H79:Q79)</f>
        <v>0</v>
      </c>
      <c r="E621">
        <f t="array" ref="E621">SUM(F132:O132*'Tech Parameters'!$BL351:$BU351*'Tech Parameters'!I79:R79)</f>
        <v>0</v>
      </c>
      <c r="F621">
        <f t="array" ref="F621">SUM(G132:P132*'Tech Parameters'!$BL351:$BU351*'Tech Parameters'!J79:S79)</f>
        <v>0</v>
      </c>
      <c r="G621">
        <f t="array" ref="G621">SUM(H132:Q132*'Tech Parameters'!$BL351:$BU351*'Tech Parameters'!K79:T79)</f>
        <v>0</v>
      </c>
      <c r="H621">
        <f t="array" ref="H621">SUM(I132:R132*'Tech Parameters'!$BL351:$BU351*'Tech Parameters'!L79:U79)</f>
        <v>0</v>
      </c>
      <c r="I621">
        <f t="array" ref="I621">SUM(J132:S132*'Tech Parameters'!$BL351:$BU351*'Tech Parameters'!M79:V79)</f>
        <v>0</v>
      </c>
      <c r="J621">
        <f t="array" ref="J621">SUM(K132:T132*'Tech Parameters'!$BL351:$BU351*'Tech Parameters'!N79:W79)</f>
        <v>0</v>
      </c>
      <c r="K621">
        <f t="array" ref="K621">SUM(L132:U132*'Tech Parameters'!$BL351:$BU351*'Tech Parameters'!O79:X79)</f>
        <v>0</v>
      </c>
      <c r="L621">
        <f t="array" ref="L621">SUM(M132:V132*'Tech Parameters'!$BL351:$BU351*'Tech Parameters'!P79:Y79)</f>
        <v>0</v>
      </c>
      <c r="M621">
        <f t="array" ref="M621">SUM(N132:W132*'Tech Parameters'!$BL351:$BU351*'Tech Parameters'!Q79:Z79)</f>
        <v>0</v>
      </c>
      <c r="N621">
        <f t="array" ref="N621">SUM(O132:X132*'Tech Parameters'!$BL351:$BU351*'Tech Parameters'!R79:AA79)</f>
        <v>0</v>
      </c>
      <c r="O621">
        <f t="array" ref="O621">SUM(P132:Y132*'Tech Parameters'!$BL351:$BU351*'Tech Parameters'!S79:AB79)</f>
        <v>0</v>
      </c>
      <c r="P621">
        <f t="array" ref="P621">SUM(Q132:Z132*'Tech Parameters'!$BL351:$BU351*'Tech Parameters'!T79:AC79)</f>
        <v>0</v>
      </c>
      <c r="Q621">
        <f t="array" ref="Q621">SUM(R132:AA132*'Tech Parameters'!$BL351:$BU351*'Tech Parameters'!U79:AD79)</f>
        <v>0</v>
      </c>
      <c r="R621">
        <f t="array" ref="R621">SUM(S132:AB132*'Tech Parameters'!$BL351:$BU351*'Tech Parameters'!V79:AE79)</f>
        <v>0</v>
      </c>
      <c r="S621">
        <f t="array" ref="S621">SUM(T132:AC132*'Tech Parameters'!$BL351:$BU351*'Tech Parameters'!W79:AF79)</f>
        <v>0</v>
      </c>
      <c r="T621">
        <f t="array" aca="1" ref="T621" ca="1">SUM(U132:AD132*'Tech Parameters'!$BL351:$BU351*'Tech Parameters'!X79:AG79)</f>
        <v>0</v>
      </c>
      <c r="U621">
        <f t="array" aca="1" ref="U621" ca="1">SUM(V132:AE132*'Tech Parameters'!$BL351:$BU351*'Tech Parameters'!Y79:AH79)</f>
        <v>0</v>
      </c>
      <c r="V621">
        <f t="array" aca="1" ref="V621" ca="1">SUM(W132:AF132*'Tech Parameters'!$BL351:$BU351*'Tech Parameters'!Z79:AI79)</f>
        <v>0</v>
      </c>
      <c r="W621">
        <f t="array" aca="1" ref="W621" ca="1">SUM(X132:AG132*'Tech Parameters'!$BL351:$BU351*'Tech Parameters'!AA79:AJ79)</f>
        <v>0</v>
      </c>
      <c r="X621">
        <f t="array" aca="1" ref="X621" ca="1">SUM(Y132:AH132*'Tech Parameters'!$BL351:$BU351*'Tech Parameters'!AB79:AK79)</f>
        <v>0</v>
      </c>
      <c r="Y621">
        <f t="array" aca="1" ref="Y621" ca="1">SUM(Z132:AI132*'Tech Parameters'!$BL351:$BU351*'Tech Parameters'!AC79:AL79)</f>
        <v>0</v>
      </c>
      <c r="Z621">
        <f t="array" aca="1" ref="Z621" ca="1">SUM(AA132:AJ132*'Tech Parameters'!$BL351:$BU351*'Tech Parameters'!AD79:AM79)</f>
        <v>0</v>
      </c>
      <c r="AA621">
        <f t="array" aca="1" ref="AA621" ca="1">SUM(AB132:AK132*'Tech Parameters'!$BL351:$BU351*'Tech Parameters'!AE79:AN79)</f>
        <v>0</v>
      </c>
      <c r="AB621">
        <f t="array" aca="1" ref="AB621" ca="1">SUM(AC132:AL132*'Tech Parameters'!$BL351:$BU351*'Tech Parameters'!AF79:AO79)</f>
        <v>0</v>
      </c>
      <c r="AC621">
        <f t="array" aca="1" ref="AC621" ca="1">SUM(AD132:AM132*'Tech Parameters'!$BL351:$BU351*'Tech Parameters'!AG79:AP79)</f>
        <v>0</v>
      </c>
    </row>
    <row r="622" spans="3:29">
      <c r="C622" t="str">
        <f t="shared" si="264"/>
        <v>solar PV</v>
      </c>
      <c r="D622">
        <f t="array" ref="D622">SUM(E133:N133*'Tech Parameters'!$BL352:$BU352*'Tech Parameters'!H80:Q80)</f>
        <v>0</v>
      </c>
      <c r="E622">
        <f t="array" ref="E622">SUM(F133:O133*'Tech Parameters'!$BL352:$BU352*'Tech Parameters'!I80:R80)</f>
        <v>0</v>
      </c>
      <c r="F622">
        <f t="array" ref="F622">SUM(G133:P133*'Tech Parameters'!$BL352:$BU352*'Tech Parameters'!J80:S80)</f>
        <v>0</v>
      </c>
      <c r="G622">
        <f t="array" ref="G622">SUM(H133:Q133*'Tech Parameters'!$BL352:$BU352*'Tech Parameters'!K80:T80)</f>
        <v>0</v>
      </c>
      <c r="H622">
        <f t="array" ref="H622">SUM(I133:R133*'Tech Parameters'!$BL352:$BU352*'Tech Parameters'!L80:U80)</f>
        <v>0</v>
      </c>
      <c r="I622">
        <f t="array" ref="I622">SUM(J133:S133*'Tech Parameters'!$BL352:$BU352*'Tech Parameters'!M80:V80)</f>
        <v>0</v>
      </c>
      <c r="J622">
        <f t="array" ref="J622">SUM(K133:T133*'Tech Parameters'!$BL352:$BU352*'Tech Parameters'!N80:W80)</f>
        <v>0</v>
      </c>
      <c r="K622">
        <f t="array" ref="K622">SUM(L133:U133*'Tech Parameters'!$BL352:$BU352*'Tech Parameters'!O80:X80)</f>
        <v>0</v>
      </c>
      <c r="L622">
        <f t="array" ref="L622">SUM(M133:V133*'Tech Parameters'!$BL352:$BU352*'Tech Parameters'!P80:Y80)</f>
        <v>0</v>
      </c>
      <c r="M622">
        <f t="array" ref="M622">SUM(N133:W133*'Tech Parameters'!$BL352:$BU352*'Tech Parameters'!Q80:Z80)</f>
        <v>0</v>
      </c>
      <c r="N622">
        <f t="array" ref="N622">SUM(O133:X133*'Tech Parameters'!$BL352:$BU352*'Tech Parameters'!R80:AA80)</f>
        <v>0</v>
      </c>
      <c r="O622">
        <f t="array" ref="O622">SUM(P133:Y133*'Tech Parameters'!$BL352:$BU352*'Tech Parameters'!S80:AB80)</f>
        <v>0</v>
      </c>
      <c r="P622">
        <f t="array" ref="P622">SUM(Q133:Z133*'Tech Parameters'!$BL352:$BU352*'Tech Parameters'!T80:AC80)</f>
        <v>0</v>
      </c>
      <c r="Q622">
        <f t="array" ref="Q622">SUM(R133:AA133*'Tech Parameters'!$BL352:$BU352*'Tech Parameters'!U80:AD80)</f>
        <v>0</v>
      </c>
      <c r="R622">
        <f t="array" ref="R622">SUM(S133:AB133*'Tech Parameters'!$BL352:$BU352*'Tech Parameters'!V80:AE80)</f>
        <v>0</v>
      </c>
      <c r="S622">
        <f t="array" ref="S622">SUM(T133:AC133*'Tech Parameters'!$BL352:$BU352*'Tech Parameters'!W80:AF80)</f>
        <v>0</v>
      </c>
      <c r="T622">
        <f t="array" aca="1" ref="T622" ca="1">SUM(U133:AD133*'Tech Parameters'!$BL352:$BU352*'Tech Parameters'!X80:AG80)</f>
        <v>0</v>
      </c>
      <c r="U622">
        <f t="array" aca="1" ref="U622" ca="1">SUM(V133:AE133*'Tech Parameters'!$BL352:$BU352*'Tech Parameters'!Y80:AH80)</f>
        <v>0</v>
      </c>
      <c r="V622">
        <f t="array" aca="1" ref="V622" ca="1">SUM(W133:AF133*'Tech Parameters'!$BL352:$BU352*'Tech Parameters'!Z80:AI80)</f>
        <v>0</v>
      </c>
      <c r="W622">
        <f t="array" aca="1" ref="W622" ca="1">SUM(X133:AG133*'Tech Parameters'!$BL352:$BU352*'Tech Parameters'!AA80:AJ80)</f>
        <v>0</v>
      </c>
      <c r="X622">
        <f t="array" aca="1" ref="X622" ca="1">SUM(Y133:AH133*'Tech Parameters'!$BL352:$BU352*'Tech Parameters'!AB80:AK80)</f>
        <v>0</v>
      </c>
      <c r="Y622">
        <f t="array" aca="1" ref="Y622" ca="1">SUM(Z133:AI133*'Tech Parameters'!$BL352:$BU352*'Tech Parameters'!AC80:AL80)</f>
        <v>0</v>
      </c>
      <c r="Z622">
        <f t="array" aca="1" ref="Z622" ca="1">SUM(AA133:AJ133*'Tech Parameters'!$BL352:$BU352*'Tech Parameters'!AD80:AM80)</f>
        <v>0</v>
      </c>
      <c r="AA622">
        <f t="array" aca="1" ref="AA622" ca="1">SUM(AB133:AK133*'Tech Parameters'!$BL352:$BU352*'Tech Parameters'!AE80:AN80)</f>
        <v>0</v>
      </c>
      <c r="AB622">
        <f t="array" aca="1" ref="AB622" ca="1">SUM(AC133:AL133*'Tech Parameters'!$BL352:$BU352*'Tech Parameters'!AF80:AO80)</f>
        <v>0</v>
      </c>
      <c r="AC622">
        <f t="array" aca="1" ref="AC622" ca="1">SUM(AD133:AM133*'Tech Parameters'!$BL352:$BU352*'Tech Parameters'!AG80:AP80)</f>
        <v>0</v>
      </c>
    </row>
    <row r="623" spans="3:29">
      <c r="C623" t="str">
        <f t="shared" si="264"/>
        <v>combined cycle gas</v>
      </c>
      <c r="D623">
        <f t="array" ref="D623">SUM(E134:N134*'Tech Parameters'!$BL353:$BU353*'Tech Parameters'!H81:Q81)</f>
        <v>0</v>
      </c>
      <c r="E623">
        <f t="array" ref="E623">SUM(F134:O134*'Tech Parameters'!$BL353:$BU353*'Tech Parameters'!I81:R81)</f>
        <v>0</v>
      </c>
      <c r="F623">
        <f t="array" ref="F623">SUM(G134:P134*'Tech Parameters'!$BL353:$BU353*'Tech Parameters'!J81:S81)</f>
        <v>0</v>
      </c>
      <c r="G623">
        <f t="array" ref="G623">SUM(H134:Q134*'Tech Parameters'!$BL353:$BU353*'Tech Parameters'!K81:T81)</f>
        <v>0</v>
      </c>
      <c r="H623">
        <f t="array" ref="H623">SUM(I134:R134*'Tech Parameters'!$BL353:$BU353*'Tech Parameters'!L81:U81)</f>
        <v>0</v>
      </c>
      <c r="I623">
        <f t="array" ref="I623">SUM(J134:S134*'Tech Parameters'!$BL353:$BU353*'Tech Parameters'!M81:V81)</f>
        <v>0</v>
      </c>
      <c r="J623">
        <f t="array" ref="J623">SUM(K134:T134*'Tech Parameters'!$BL353:$BU353*'Tech Parameters'!N81:W81)</f>
        <v>0</v>
      </c>
      <c r="K623">
        <f t="array" ref="K623">SUM(L134:U134*'Tech Parameters'!$BL353:$BU353*'Tech Parameters'!O81:X81)</f>
        <v>0</v>
      </c>
      <c r="L623">
        <f t="array" ref="L623">SUM(M134:V134*'Tech Parameters'!$BL353:$BU353*'Tech Parameters'!P81:Y81)</f>
        <v>0</v>
      </c>
      <c r="M623">
        <f t="array" ref="M623">SUM(N134:W134*'Tech Parameters'!$BL353:$BU353*'Tech Parameters'!Q81:Z81)</f>
        <v>0</v>
      </c>
      <c r="N623">
        <f t="array" ref="N623">SUM(O134:X134*'Tech Parameters'!$BL353:$BU353*'Tech Parameters'!R81:AA81)</f>
        <v>0</v>
      </c>
      <c r="O623">
        <f t="array" ref="O623">SUM(P134:Y134*'Tech Parameters'!$BL353:$BU353*'Tech Parameters'!S81:AB81)</f>
        <v>0</v>
      </c>
      <c r="P623">
        <f t="array" ref="P623">SUM(Q134:Z134*'Tech Parameters'!$BL353:$BU353*'Tech Parameters'!T81:AC81)</f>
        <v>0</v>
      </c>
      <c r="Q623">
        <f t="array" ref="Q623">SUM(R134:AA134*'Tech Parameters'!$BL353:$BU353*'Tech Parameters'!U81:AD81)</f>
        <v>0</v>
      </c>
      <c r="R623">
        <f t="array" ref="R623">SUM(S134:AB134*'Tech Parameters'!$BL353:$BU353*'Tech Parameters'!V81:AE81)</f>
        <v>0</v>
      </c>
      <c r="S623">
        <f t="array" ref="S623">SUM(T134:AC134*'Tech Parameters'!$BL353:$BU353*'Tech Parameters'!W81:AF81)</f>
        <v>0</v>
      </c>
      <c r="T623">
        <f t="array" aca="1" ref="T623" ca="1">SUM(U134:AD134*'Tech Parameters'!$BL353:$BU353*'Tech Parameters'!X81:AG81)</f>
        <v>0</v>
      </c>
      <c r="U623">
        <f t="array" aca="1" ref="U623" ca="1">SUM(V134:AE134*'Tech Parameters'!$BL353:$BU353*'Tech Parameters'!Y81:AH81)</f>
        <v>0</v>
      </c>
      <c r="V623">
        <f t="array" aca="1" ref="V623" ca="1">SUM(W134:AF134*'Tech Parameters'!$BL353:$BU353*'Tech Parameters'!Z81:AI81)</f>
        <v>0</v>
      </c>
      <c r="W623">
        <f t="array" aca="1" ref="W623" ca="1">SUM(X134:AG134*'Tech Parameters'!$BL353:$BU353*'Tech Parameters'!AA81:AJ81)</f>
        <v>0</v>
      </c>
      <c r="X623">
        <f t="array" aca="1" ref="X623" ca="1">SUM(Y134:AH134*'Tech Parameters'!$BL353:$BU353*'Tech Parameters'!AB81:AK81)</f>
        <v>0</v>
      </c>
      <c r="Y623">
        <f t="array" aca="1" ref="Y623" ca="1">SUM(Z134:AI134*'Tech Parameters'!$BL353:$BU353*'Tech Parameters'!AC81:AL81)</f>
        <v>0</v>
      </c>
      <c r="Z623">
        <f t="array" aca="1" ref="Z623" ca="1">SUM(AA134:AJ134*'Tech Parameters'!$BL353:$BU353*'Tech Parameters'!AD81:AM81)</f>
        <v>0</v>
      </c>
      <c r="AA623">
        <f t="array" aca="1" ref="AA623" ca="1">SUM(AB134:AK134*'Tech Parameters'!$BL353:$BU353*'Tech Parameters'!AE81:AN81)</f>
        <v>0</v>
      </c>
      <c r="AB623">
        <f t="array" aca="1" ref="AB623" ca="1">SUM(AC134:AL134*'Tech Parameters'!$BL353:$BU353*'Tech Parameters'!AF81:AO81)</f>
        <v>0</v>
      </c>
      <c r="AC623">
        <f t="array" aca="1" ref="AC623" ca="1">SUM(AD134:AM134*'Tech Parameters'!$BL353:$BU353*'Tech Parameters'!AG81:AP81)</f>
        <v>0</v>
      </c>
    </row>
    <row r="624" spans="3:29">
      <c r="C624" t="str">
        <f t="shared" si="264"/>
        <v>PBMR</v>
      </c>
      <c r="D624">
        <f t="array" ref="D624">SUM(E135:N135*'Tech Parameters'!$BL354:$BU354*'Tech Parameters'!H82:Q82)</f>
        <v>0</v>
      </c>
      <c r="E624">
        <f t="array" ref="E624">SUM(F135:O135*'Tech Parameters'!$BL354:$BU354*'Tech Parameters'!I82:R82)</f>
        <v>0</v>
      </c>
      <c r="F624">
        <f t="array" ref="F624">SUM(G135:P135*'Tech Parameters'!$BL354:$BU354*'Tech Parameters'!J82:S82)</f>
        <v>0</v>
      </c>
      <c r="G624">
        <f t="array" ref="G624">SUM(H135:Q135*'Tech Parameters'!$BL354:$BU354*'Tech Parameters'!K82:T82)</f>
        <v>0</v>
      </c>
      <c r="H624">
        <f t="array" ref="H624">SUM(I135:R135*'Tech Parameters'!$BL354:$BU354*'Tech Parameters'!L82:U82)</f>
        <v>0</v>
      </c>
      <c r="I624">
        <f t="array" ref="I624">SUM(J135:S135*'Tech Parameters'!$BL354:$BU354*'Tech Parameters'!M82:V82)</f>
        <v>0</v>
      </c>
      <c r="J624">
        <f t="array" ref="J624">SUM(K135:T135*'Tech Parameters'!$BL354:$BU354*'Tech Parameters'!N82:W82)</f>
        <v>0</v>
      </c>
      <c r="K624">
        <f t="array" ref="K624">SUM(L135:U135*'Tech Parameters'!$BL354:$BU354*'Tech Parameters'!O82:X82)</f>
        <v>0</v>
      </c>
      <c r="L624">
        <f t="array" ref="L624">SUM(M135:V135*'Tech Parameters'!$BL354:$BU354*'Tech Parameters'!P82:Y82)</f>
        <v>0</v>
      </c>
      <c r="M624">
        <f t="array" ref="M624">SUM(N135:W135*'Tech Parameters'!$BL354:$BU354*'Tech Parameters'!Q82:Z82)</f>
        <v>0</v>
      </c>
      <c r="N624">
        <f t="array" ref="N624">SUM(O135:X135*'Tech Parameters'!$BL354:$BU354*'Tech Parameters'!R82:AA82)</f>
        <v>0</v>
      </c>
      <c r="O624">
        <f t="array" ref="O624">SUM(P135:Y135*'Tech Parameters'!$BL354:$BU354*'Tech Parameters'!S82:AB82)</f>
        <v>0</v>
      </c>
      <c r="P624">
        <f t="array" ref="P624">SUM(Q135:Z135*'Tech Parameters'!$BL354:$BU354*'Tech Parameters'!T82:AC82)</f>
        <v>0</v>
      </c>
      <c r="Q624">
        <f t="array" ref="Q624">SUM(R135:AA135*'Tech Parameters'!$BL354:$BU354*'Tech Parameters'!U82:AD82)</f>
        <v>0</v>
      </c>
      <c r="R624">
        <f t="array" ref="R624">SUM(S135:AB135*'Tech Parameters'!$BL354:$BU354*'Tech Parameters'!V82:AE82)</f>
        <v>0</v>
      </c>
      <c r="S624">
        <f t="array" ref="S624">SUM(T135:AC135*'Tech Parameters'!$BL354:$BU354*'Tech Parameters'!W82:AF82)</f>
        <v>0</v>
      </c>
      <c r="T624">
        <f t="array" aca="1" ref="T624" ca="1">SUM(U135:AD135*'Tech Parameters'!$BL354:$BU354*'Tech Parameters'!X82:AG82)</f>
        <v>0</v>
      </c>
      <c r="U624">
        <f t="array" aca="1" ref="U624" ca="1">SUM(V135:AE135*'Tech Parameters'!$BL354:$BU354*'Tech Parameters'!Y82:AH82)</f>
        <v>0</v>
      </c>
      <c r="V624">
        <f t="array" aca="1" ref="V624" ca="1">SUM(W135:AF135*'Tech Parameters'!$BL354:$BU354*'Tech Parameters'!Z82:AI82)</f>
        <v>0</v>
      </c>
      <c r="W624">
        <f t="array" aca="1" ref="W624" ca="1">SUM(X135:AG135*'Tech Parameters'!$BL354:$BU354*'Tech Parameters'!AA82:AJ82)</f>
        <v>0</v>
      </c>
      <c r="X624">
        <f t="array" aca="1" ref="X624" ca="1">SUM(Y135:AH135*'Tech Parameters'!$BL354:$BU354*'Tech Parameters'!AB82:AK82)</f>
        <v>0</v>
      </c>
      <c r="Y624">
        <f t="array" aca="1" ref="Y624" ca="1">SUM(Z135:AI135*'Tech Parameters'!$BL354:$BU354*'Tech Parameters'!AC82:AL82)</f>
        <v>0</v>
      </c>
      <c r="Z624">
        <f t="array" aca="1" ref="Z624" ca="1">SUM(AA135:AJ135*'Tech Parameters'!$BL354:$BU354*'Tech Parameters'!AD82:AM82)</f>
        <v>0</v>
      </c>
      <c r="AA624">
        <f t="array" aca="1" ref="AA624" ca="1">SUM(AB135:AK135*'Tech Parameters'!$BL354:$BU354*'Tech Parameters'!AE82:AN82)</f>
        <v>0</v>
      </c>
      <c r="AB624">
        <f t="array" aca="1" ref="AB624" ca="1">SUM(AC135:AL135*'Tech Parameters'!$BL354:$BU354*'Tech Parameters'!AF82:AO82)</f>
        <v>0</v>
      </c>
      <c r="AC624">
        <f t="array" aca="1" ref="AC624" ca="1">SUM(AD135:AM135*'Tech Parameters'!$BL354:$BU354*'Tech Parameters'!AG82:AP82)</f>
        <v>0</v>
      </c>
    </row>
    <row r="625" spans="3:29">
      <c r="C625" t="str">
        <f t="shared" si="264"/>
        <v>IGCC</v>
      </c>
      <c r="D625">
        <f t="array" ref="D625">SUM(E136:N136*'Tech Parameters'!$BL355:$BU355*'Tech Parameters'!H83:Q83)</f>
        <v>0</v>
      </c>
      <c r="E625">
        <f t="array" ref="E625">SUM(F136:O136*'Tech Parameters'!$BL355:$BU355*'Tech Parameters'!I83:R83)</f>
        <v>0</v>
      </c>
      <c r="F625">
        <f t="array" ref="F625">SUM(G136:P136*'Tech Parameters'!$BL355:$BU355*'Tech Parameters'!J83:S83)</f>
        <v>0</v>
      </c>
      <c r="G625">
        <f t="array" ref="G625">SUM(H136:Q136*'Tech Parameters'!$BL355:$BU355*'Tech Parameters'!K83:T83)</f>
        <v>0</v>
      </c>
      <c r="H625">
        <f t="array" ref="H625">SUM(I136:R136*'Tech Parameters'!$BL355:$BU355*'Tech Parameters'!L83:U83)</f>
        <v>0</v>
      </c>
      <c r="I625">
        <f t="array" ref="I625">SUM(J136:S136*'Tech Parameters'!$BL355:$BU355*'Tech Parameters'!M83:V83)</f>
        <v>0</v>
      </c>
      <c r="J625">
        <f t="array" ref="J625">SUM(K136:T136*'Tech Parameters'!$BL355:$BU355*'Tech Parameters'!N83:W83)</f>
        <v>0</v>
      </c>
      <c r="K625">
        <f t="array" ref="K625">SUM(L136:U136*'Tech Parameters'!$BL355:$BU355*'Tech Parameters'!O83:X83)</f>
        <v>0</v>
      </c>
      <c r="L625">
        <f t="array" ref="L625">SUM(M136:V136*'Tech Parameters'!$BL355:$BU355*'Tech Parameters'!P83:Y83)</f>
        <v>0</v>
      </c>
      <c r="M625">
        <f t="array" ref="M625">SUM(N136:W136*'Tech Parameters'!$BL355:$BU355*'Tech Parameters'!Q83:Z83)</f>
        <v>0</v>
      </c>
      <c r="N625">
        <f t="array" ref="N625">SUM(O136:X136*'Tech Parameters'!$BL355:$BU355*'Tech Parameters'!R83:AA83)</f>
        <v>0</v>
      </c>
      <c r="O625">
        <f t="array" ref="O625">SUM(P136:Y136*'Tech Parameters'!$BL355:$BU355*'Tech Parameters'!S83:AB83)</f>
        <v>0</v>
      </c>
      <c r="P625">
        <f t="array" ref="P625">SUM(Q136:Z136*'Tech Parameters'!$BL355:$BU355*'Tech Parameters'!T83:AC83)</f>
        <v>0</v>
      </c>
      <c r="Q625">
        <f t="array" ref="Q625">SUM(R136:AA136*'Tech Parameters'!$BL355:$BU355*'Tech Parameters'!U83:AD83)</f>
        <v>0</v>
      </c>
      <c r="R625">
        <f t="array" ref="R625">SUM(S136:AB136*'Tech Parameters'!$BL355:$BU355*'Tech Parameters'!V83:AE83)</f>
        <v>0</v>
      </c>
      <c r="S625">
        <f t="array" ref="S625">SUM(T136:AC136*'Tech Parameters'!$BL355:$BU355*'Tech Parameters'!W83:AF83)</f>
        <v>0</v>
      </c>
      <c r="T625">
        <f t="array" aca="1" ref="T625" ca="1">SUM(U136:AD136*'Tech Parameters'!$BL355:$BU355*'Tech Parameters'!X83:AG83)</f>
        <v>0</v>
      </c>
      <c r="U625">
        <f t="array" aca="1" ref="U625" ca="1">SUM(V136:AE136*'Tech Parameters'!$BL355:$BU355*'Tech Parameters'!Y83:AH83)</f>
        <v>0</v>
      </c>
      <c r="V625">
        <f t="array" aca="1" ref="V625" ca="1">SUM(W136:AF136*'Tech Parameters'!$BL355:$BU355*'Tech Parameters'!Z83:AI83)</f>
        <v>0</v>
      </c>
      <c r="W625">
        <f t="array" aca="1" ref="W625" ca="1">SUM(X136:AG136*'Tech Parameters'!$BL355:$BU355*'Tech Parameters'!AA83:AJ83)</f>
        <v>0</v>
      </c>
      <c r="X625">
        <f t="array" aca="1" ref="X625" ca="1">SUM(Y136:AH136*'Tech Parameters'!$BL355:$BU355*'Tech Parameters'!AB83:AK83)</f>
        <v>0</v>
      </c>
      <c r="Y625">
        <f t="array" aca="1" ref="Y625" ca="1">SUM(Z136:AI136*'Tech Parameters'!$BL355:$BU355*'Tech Parameters'!AC83:AL83)</f>
        <v>0</v>
      </c>
      <c r="Z625">
        <f t="array" aca="1" ref="Z625" ca="1">SUM(AA136:AJ136*'Tech Parameters'!$BL355:$BU355*'Tech Parameters'!AD83:AM83)</f>
        <v>0</v>
      </c>
      <c r="AA625">
        <f t="array" aca="1" ref="AA625" ca="1">SUM(AB136:AK136*'Tech Parameters'!$BL355:$BU355*'Tech Parameters'!AE83:AN83)</f>
        <v>0</v>
      </c>
      <c r="AB625">
        <f t="array" aca="1" ref="AB625" ca="1">SUM(AC136:AL136*'Tech Parameters'!$BL355:$BU355*'Tech Parameters'!AF83:AO83)</f>
        <v>0</v>
      </c>
      <c r="AC625">
        <f t="array" aca="1" ref="AC625" ca="1">SUM(AD136:AM136*'Tech Parameters'!$BL355:$BU355*'Tech Parameters'!AG83:AP83)</f>
        <v>0</v>
      </c>
    </row>
    <row r="626" spans="3:29">
      <c r="C626" t="str">
        <f t="shared" si="264"/>
        <v>-</v>
      </c>
      <c r="D626">
        <f t="array" ref="D626">SUM(E137:N137*'Tech Parameters'!$BL356:$BU356*'Tech Parameters'!H84:Q84)</f>
        <v>0</v>
      </c>
      <c r="E626">
        <f t="array" ref="E626">SUM(F137:O137*'Tech Parameters'!$BL356:$BU356*'Tech Parameters'!I84:R84)</f>
        <v>0</v>
      </c>
      <c r="F626">
        <f t="array" ref="F626">SUM(G137:P137*'Tech Parameters'!$BL356:$BU356*'Tech Parameters'!J84:S84)</f>
        <v>0</v>
      </c>
      <c r="G626">
        <f t="array" ref="G626">SUM(H137:Q137*'Tech Parameters'!$BL356:$BU356*'Tech Parameters'!K84:T84)</f>
        <v>0</v>
      </c>
      <c r="H626">
        <f t="array" ref="H626">SUM(I137:R137*'Tech Parameters'!$BL356:$BU356*'Tech Parameters'!L84:U84)</f>
        <v>0</v>
      </c>
      <c r="I626">
        <f t="array" ref="I626">SUM(J137:S137*'Tech Parameters'!$BL356:$BU356*'Tech Parameters'!M84:V84)</f>
        <v>0</v>
      </c>
      <c r="J626">
        <f t="array" ref="J626">SUM(K137:T137*'Tech Parameters'!$BL356:$BU356*'Tech Parameters'!N84:W84)</f>
        <v>0</v>
      </c>
      <c r="K626">
        <f t="array" ref="K626">SUM(L137:U137*'Tech Parameters'!$BL356:$BU356*'Tech Parameters'!O84:X84)</f>
        <v>0</v>
      </c>
      <c r="L626">
        <f t="array" ref="L626">SUM(M137:V137*'Tech Parameters'!$BL356:$BU356*'Tech Parameters'!P84:Y84)</f>
        <v>0</v>
      </c>
      <c r="M626">
        <f t="array" ref="M626">SUM(N137:W137*'Tech Parameters'!$BL356:$BU356*'Tech Parameters'!Q84:Z84)</f>
        <v>0</v>
      </c>
      <c r="N626">
        <f t="array" ref="N626">SUM(O137:X137*'Tech Parameters'!$BL356:$BU356*'Tech Parameters'!R84:AA84)</f>
        <v>0</v>
      </c>
      <c r="O626">
        <f t="array" ref="O626">SUM(P137:Y137*'Tech Parameters'!$BL356:$BU356*'Tech Parameters'!S84:AB84)</f>
        <v>0</v>
      </c>
      <c r="P626">
        <f t="array" ref="P626">SUM(Q137:Z137*'Tech Parameters'!$BL356:$BU356*'Tech Parameters'!T84:AC84)</f>
        <v>0</v>
      </c>
      <c r="Q626">
        <f t="array" ref="Q626">SUM(R137:AA137*'Tech Parameters'!$BL356:$BU356*'Tech Parameters'!U84:AD84)</f>
        <v>0</v>
      </c>
      <c r="R626">
        <f t="array" ref="R626">SUM(S137:AB137*'Tech Parameters'!$BL356:$BU356*'Tech Parameters'!V84:AE84)</f>
        <v>0</v>
      </c>
      <c r="S626">
        <f t="array" ref="S626">SUM(T137:AC137*'Tech Parameters'!$BL356:$BU356*'Tech Parameters'!W84:AF84)</f>
        <v>0</v>
      </c>
      <c r="T626">
        <f t="array" aca="1" ref="T626" ca="1">SUM(U137:AD137*'Tech Parameters'!$BL356:$BU356*'Tech Parameters'!X84:AG84)</f>
        <v>0</v>
      </c>
      <c r="U626">
        <f t="array" aca="1" ref="U626" ca="1">SUM(V137:AE137*'Tech Parameters'!$BL356:$BU356*'Tech Parameters'!Y84:AH84)</f>
        <v>0</v>
      </c>
      <c r="V626">
        <f t="array" aca="1" ref="V626" ca="1">SUM(W137:AF137*'Tech Parameters'!$BL356:$BU356*'Tech Parameters'!Z84:AI84)</f>
        <v>0</v>
      </c>
      <c r="W626">
        <f t="array" aca="1" ref="W626" ca="1">SUM(X137:AG137*'Tech Parameters'!$BL356:$BU356*'Tech Parameters'!AA84:AJ84)</f>
        <v>0</v>
      </c>
      <c r="X626">
        <f t="array" aca="1" ref="X626" ca="1">SUM(Y137:AH137*'Tech Parameters'!$BL356:$BU356*'Tech Parameters'!AB84:AK84)</f>
        <v>0</v>
      </c>
      <c r="Y626">
        <f t="array" aca="1" ref="Y626" ca="1">SUM(Z137:AI137*'Tech Parameters'!$BL356:$BU356*'Tech Parameters'!AC84:AL84)</f>
        <v>0</v>
      </c>
      <c r="Z626">
        <f t="array" aca="1" ref="Z626" ca="1">SUM(AA137:AJ137*'Tech Parameters'!$BL356:$BU356*'Tech Parameters'!AD84:AM84)</f>
        <v>0</v>
      </c>
      <c r="AA626">
        <f t="array" aca="1" ref="AA626" ca="1">SUM(AB137:AK137*'Tech Parameters'!$BL356:$BU356*'Tech Parameters'!AE84:AN84)</f>
        <v>0</v>
      </c>
      <c r="AB626">
        <f t="array" aca="1" ref="AB626" ca="1">SUM(AC137:AL137*'Tech Parameters'!$BL356:$BU356*'Tech Parameters'!AF84:AO84)</f>
        <v>0</v>
      </c>
      <c r="AC626">
        <f t="array" aca="1" ref="AC626" ca="1">SUM(AD137:AM137*'Tech Parameters'!$BL356:$BU356*'Tech Parameters'!AG84:AP84)</f>
        <v>0</v>
      </c>
    </row>
    <row r="627" spans="3:29">
      <c r="C627" t="str">
        <f t="shared" si="264"/>
        <v>-</v>
      </c>
      <c r="D627">
        <f t="array" ref="D627">SUM(E138:N138*'Tech Parameters'!$BL357:$BU357*'Tech Parameters'!H85:Q85)</f>
        <v>0</v>
      </c>
      <c r="E627">
        <f t="array" ref="E627">SUM(F138:O138*'Tech Parameters'!$BL357:$BU357*'Tech Parameters'!I85:R85)</f>
        <v>0</v>
      </c>
      <c r="F627">
        <f t="array" ref="F627">SUM(G138:P138*'Tech Parameters'!$BL357:$BU357*'Tech Parameters'!J85:S85)</f>
        <v>0</v>
      </c>
      <c r="G627">
        <f t="array" ref="G627">SUM(H138:Q138*'Tech Parameters'!$BL357:$BU357*'Tech Parameters'!K85:T85)</f>
        <v>0</v>
      </c>
      <c r="H627">
        <f t="array" ref="H627">SUM(I138:R138*'Tech Parameters'!$BL357:$BU357*'Tech Parameters'!L85:U85)</f>
        <v>0</v>
      </c>
      <c r="I627">
        <f t="array" ref="I627">SUM(J138:S138*'Tech Parameters'!$BL357:$BU357*'Tech Parameters'!M85:V85)</f>
        <v>0</v>
      </c>
      <c r="J627">
        <f t="array" ref="J627">SUM(K138:T138*'Tech Parameters'!$BL357:$BU357*'Tech Parameters'!N85:W85)</f>
        <v>0</v>
      </c>
      <c r="K627">
        <f t="array" ref="K627">SUM(L138:U138*'Tech Parameters'!$BL357:$BU357*'Tech Parameters'!O85:X85)</f>
        <v>0</v>
      </c>
      <c r="L627">
        <f t="array" ref="L627">SUM(M138:V138*'Tech Parameters'!$BL357:$BU357*'Tech Parameters'!P85:Y85)</f>
        <v>0</v>
      </c>
      <c r="M627">
        <f t="array" ref="M627">SUM(N138:W138*'Tech Parameters'!$BL357:$BU357*'Tech Parameters'!Q85:Z85)</f>
        <v>0</v>
      </c>
      <c r="N627">
        <f t="array" ref="N627">SUM(O138:X138*'Tech Parameters'!$BL357:$BU357*'Tech Parameters'!R85:AA85)</f>
        <v>0</v>
      </c>
      <c r="O627">
        <f t="array" ref="O627">SUM(P138:Y138*'Tech Parameters'!$BL357:$BU357*'Tech Parameters'!S85:AB85)</f>
        <v>0</v>
      </c>
      <c r="P627">
        <f t="array" ref="P627">SUM(Q138:Z138*'Tech Parameters'!$BL357:$BU357*'Tech Parameters'!T85:AC85)</f>
        <v>0</v>
      </c>
      <c r="Q627">
        <f t="array" ref="Q627">SUM(R138:AA138*'Tech Parameters'!$BL357:$BU357*'Tech Parameters'!U85:AD85)</f>
        <v>0</v>
      </c>
      <c r="R627">
        <f t="array" ref="R627">SUM(S138:AB138*'Tech Parameters'!$BL357:$BU357*'Tech Parameters'!V85:AE85)</f>
        <v>0</v>
      </c>
      <c r="S627">
        <f t="array" ref="S627">SUM(T138:AC138*'Tech Parameters'!$BL357:$BU357*'Tech Parameters'!W85:AF85)</f>
        <v>0</v>
      </c>
      <c r="T627">
        <f t="array" aca="1" ref="T627" ca="1">SUM(U138:AD138*'Tech Parameters'!$BL357:$BU357*'Tech Parameters'!X85:AG85)</f>
        <v>0</v>
      </c>
      <c r="U627">
        <f t="array" aca="1" ref="U627" ca="1">SUM(V138:AE138*'Tech Parameters'!$BL357:$BU357*'Tech Parameters'!Y85:AH85)</f>
        <v>0</v>
      </c>
      <c r="V627">
        <f t="array" aca="1" ref="V627" ca="1">SUM(W138:AF138*'Tech Parameters'!$BL357:$BU357*'Tech Parameters'!Z85:AI85)</f>
        <v>0</v>
      </c>
      <c r="W627">
        <f t="array" aca="1" ref="W627" ca="1">SUM(X138:AG138*'Tech Parameters'!$BL357:$BU357*'Tech Parameters'!AA85:AJ85)</f>
        <v>0</v>
      </c>
      <c r="X627">
        <f t="array" aca="1" ref="X627" ca="1">SUM(Y138:AH138*'Tech Parameters'!$BL357:$BU357*'Tech Parameters'!AB85:AK85)</f>
        <v>0</v>
      </c>
      <c r="Y627">
        <f t="array" aca="1" ref="Y627" ca="1">SUM(Z138:AI138*'Tech Parameters'!$BL357:$BU357*'Tech Parameters'!AC85:AL85)</f>
        <v>0</v>
      </c>
      <c r="Z627">
        <f t="array" aca="1" ref="Z627" ca="1">SUM(AA138:AJ138*'Tech Parameters'!$BL357:$BU357*'Tech Parameters'!AD85:AM85)</f>
        <v>0</v>
      </c>
      <c r="AA627">
        <f t="array" aca="1" ref="AA627" ca="1">SUM(AB138:AK138*'Tech Parameters'!$BL357:$BU357*'Tech Parameters'!AE85:AN85)</f>
        <v>0</v>
      </c>
      <c r="AB627">
        <f t="array" aca="1" ref="AB627" ca="1">SUM(AC138:AL138*'Tech Parameters'!$BL357:$BU357*'Tech Parameters'!AF85:AO85)</f>
        <v>0</v>
      </c>
      <c r="AC627">
        <f t="array" aca="1" ref="AC627" ca="1">SUM(AD138:AM138*'Tech Parameters'!$BL357:$BU357*'Tech Parameters'!AG85:AP85)</f>
        <v>0</v>
      </c>
    </row>
    <row r="628" spans="3:29">
      <c r="C628" t="str">
        <f t="shared" si="264"/>
        <v>-</v>
      </c>
      <c r="D628">
        <f t="array" ref="D628">SUM(E139:N139*'Tech Parameters'!$BL358:$BU358*'Tech Parameters'!H86:Q86)</f>
        <v>0</v>
      </c>
      <c r="E628">
        <f t="array" ref="E628">SUM(F139:O139*'Tech Parameters'!$BL358:$BU358*'Tech Parameters'!I86:R86)</f>
        <v>0</v>
      </c>
      <c r="F628">
        <f t="array" ref="F628">SUM(G139:P139*'Tech Parameters'!$BL358:$BU358*'Tech Parameters'!J86:S86)</f>
        <v>0</v>
      </c>
      <c r="G628">
        <f t="array" ref="G628">SUM(H139:Q139*'Tech Parameters'!$BL358:$BU358*'Tech Parameters'!K86:T86)</f>
        <v>0</v>
      </c>
      <c r="H628">
        <f t="array" ref="H628">SUM(I139:R139*'Tech Parameters'!$BL358:$BU358*'Tech Parameters'!L86:U86)</f>
        <v>0</v>
      </c>
      <c r="I628">
        <f t="array" ref="I628">SUM(J139:S139*'Tech Parameters'!$BL358:$BU358*'Tech Parameters'!M86:V86)</f>
        <v>0</v>
      </c>
      <c r="J628">
        <f t="array" ref="J628">SUM(K139:T139*'Tech Parameters'!$BL358:$BU358*'Tech Parameters'!N86:W86)</f>
        <v>0</v>
      </c>
      <c r="K628">
        <f t="array" ref="K628">SUM(L139:U139*'Tech Parameters'!$BL358:$BU358*'Tech Parameters'!O86:X86)</f>
        <v>0</v>
      </c>
      <c r="L628">
        <f t="array" ref="L628">SUM(M139:V139*'Tech Parameters'!$BL358:$BU358*'Tech Parameters'!P86:Y86)</f>
        <v>0</v>
      </c>
      <c r="M628">
        <f t="array" ref="M628">SUM(N139:W139*'Tech Parameters'!$BL358:$BU358*'Tech Parameters'!Q86:Z86)</f>
        <v>0</v>
      </c>
      <c r="N628">
        <f t="array" ref="N628">SUM(O139:X139*'Tech Parameters'!$BL358:$BU358*'Tech Parameters'!R86:AA86)</f>
        <v>0</v>
      </c>
      <c r="O628">
        <f t="array" ref="O628">SUM(P139:Y139*'Tech Parameters'!$BL358:$BU358*'Tech Parameters'!S86:AB86)</f>
        <v>0</v>
      </c>
      <c r="P628">
        <f t="array" ref="P628">SUM(Q139:Z139*'Tech Parameters'!$BL358:$BU358*'Tech Parameters'!T86:AC86)</f>
        <v>0</v>
      </c>
      <c r="Q628">
        <f t="array" ref="Q628">SUM(R139:AA139*'Tech Parameters'!$BL358:$BU358*'Tech Parameters'!U86:AD86)</f>
        <v>0</v>
      </c>
      <c r="R628">
        <f t="array" ref="R628">SUM(S139:AB139*'Tech Parameters'!$BL358:$BU358*'Tech Parameters'!V86:AE86)</f>
        <v>0</v>
      </c>
      <c r="S628">
        <f t="array" ref="S628">SUM(T139:AC139*'Tech Parameters'!$BL358:$BU358*'Tech Parameters'!W86:AF86)</f>
        <v>0</v>
      </c>
      <c r="T628">
        <f t="array" aca="1" ref="T628" ca="1">SUM(U139:AD139*'Tech Parameters'!$BL358:$BU358*'Tech Parameters'!X86:AG86)</f>
        <v>0</v>
      </c>
      <c r="U628">
        <f t="array" aca="1" ref="U628" ca="1">SUM(V139:AE139*'Tech Parameters'!$BL358:$BU358*'Tech Parameters'!Y86:AH86)</f>
        <v>0</v>
      </c>
      <c r="V628">
        <f t="array" aca="1" ref="V628" ca="1">SUM(W139:AF139*'Tech Parameters'!$BL358:$BU358*'Tech Parameters'!Z86:AI86)</f>
        <v>0</v>
      </c>
      <c r="W628">
        <f t="array" aca="1" ref="W628" ca="1">SUM(X139:AG139*'Tech Parameters'!$BL358:$BU358*'Tech Parameters'!AA86:AJ86)</f>
        <v>0</v>
      </c>
      <c r="X628">
        <f t="array" aca="1" ref="X628" ca="1">SUM(Y139:AH139*'Tech Parameters'!$BL358:$BU358*'Tech Parameters'!AB86:AK86)</f>
        <v>0</v>
      </c>
      <c r="Y628">
        <f t="array" aca="1" ref="Y628" ca="1">SUM(Z139:AI139*'Tech Parameters'!$BL358:$BU358*'Tech Parameters'!AC86:AL86)</f>
        <v>0</v>
      </c>
      <c r="Z628">
        <f t="array" aca="1" ref="Z628" ca="1">SUM(AA139:AJ139*'Tech Parameters'!$BL358:$BU358*'Tech Parameters'!AD86:AM86)</f>
        <v>0</v>
      </c>
      <c r="AA628">
        <f t="array" aca="1" ref="AA628" ca="1">SUM(AB139:AK139*'Tech Parameters'!$BL358:$BU358*'Tech Parameters'!AE86:AN86)</f>
        <v>0</v>
      </c>
      <c r="AB628">
        <f t="array" aca="1" ref="AB628" ca="1">SUM(AC139:AL139*'Tech Parameters'!$BL358:$BU358*'Tech Parameters'!AF86:AO86)</f>
        <v>0</v>
      </c>
      <c r="AC628">
        <f t="array" aca="1" ref="AC628" ca="1">SUM(AD139:AM139*'Tech Parameters'!$BL358:$BU358*'Tech Parameters'!AG86:AP86)</f>
        <v>0</v>
      </c>
    </row>
    <row r="629" spans="3:29">
      <c r="C629" t="str">
        <f t="shared" si="264"/>
        <v>Pumped storage</v>
      </c>
      <c r="D629">
        <f t="array" ref="D629">SUM(E140:N140*'Tech Parameters'!$BL359:$BU359*'Tech Parameters'!H87:Q87)</f>
        <v>1152.7675173263508</v>
      </c>
      <c r="E629">
        <f t="array" ref="E629">SUM(F140:O140*'Tech Parameters'!$BL359:$BU359*'Tech Parameters'!I87:R87)</f>
        <v>1268.0442690589857</v>
      </c>
      <c r="F629">
        <f t="array" ref="F629">SUM(G140:P140*'Tech Parameters'!$BL359:$BU359*'Tech Parameters'!J87:S87)</f>
        <v>1551.6878139684695</v>
      </c>
      <c r="G629">
        <f t="array" ref="G629">SUM(H140:Q140*'Tech Parameters'!$BL359:$BU359*'Tech Parameters'!K87:T87)</f>
        <v>1863.6957133689016</v>
      </c>
      <c r="H629">
        <f t="array" ref="H629">SUM(I140:R140*'Tech Parameters'!$BL359:$BU359*'Tech Parameters'!L87:U87)</f>
        <v>2050.0652847057918</v>
      </c>
      <c r="I629">
        <f t="array" ref="I629">SUM(J140:S140*'Tech Parameters'!$BL359:$BU359*'Tech Parameters'!M87:V87)</f>
        <v>2255.0718131763715</v>
      </c>
      <c r="J629">
        <f t="array" ref="J629">SUM(K140:T140*'Tech Parameters'!$BL359:$BU359*'Tech Parameters'!N87:W87)</f>
        <v>2480.5789944940079</v>
      </c>
      <c r="K629">
        <f t="array" ref="K629">SUM(L140:U140*'Tech Parameters'!$BL359:$BU359*'Tech Parameters'!O87:X87)</f>
        <v>2728.6368939434087</v>
      </c>
      <c r="L629">
        <f t="array" ref="L629">SUM(M140:V140*'Tech Parameters'!$BL359:$BU359*'Tech Parameters'!P87:Y87)</f>
        <v>1429.2859920655951</v>
      </c>
      <c r="M629">
        <f t="array" ref="M629">SUM(N140:W140*'Tech Parameters'!$BL359:$BU359*'Tech Parameters'!Q87:Z87)</f>
        <v>0</v>
      </c>
      <c r="N629">
        <f t="array" ref="N629">SUM(O140:X140*'Tech Parameters'!$BL359:$BU359*'Tech Parameters'!R87:AA87)</f>
        <v>0</v>
      </c>
      <c r="O629">
        <f t="array" ref="O629">SUM(P140:Y140*'Tech Parameters'!$BL359:$BU359*'Tech Parameters'!S87:AB87)</f>
        <v>0</v>
      </c>
      <c r="P629">
        <f t="array" ref="P629">SUM(Q140:Z140*'Tech Parameters'!$BL359:$BU359*'Tech Parameters'!T87:AC87)</f>
        <v>0</v>
      </c>
      <c r="Q629">
        <f t="array" ref="Q629">SUM(R140:AA140*'Tech Parameters'!$BL359:$BU359*'Tech Parameters'!U87:AD87)</f>
        <v>0</v>
      </c>
      <c r="R629">
        <f t="array" ref="R629">SUM(S140:AB140*'Tech Parameters'!$BL359:$BU359*'Tech Parameters'!V87:AE87)</f>
        <v>0</v>
      </c>
      <c r="S629">
        <f t="array" ref="S629">SUM(T140:AC140*'Tech Parameters'!$BL359:$BU359*'Tech Parameters'!W87:AF87)</f>
        <v>0</v>
      </c>
      <c r="T629">
        <f t="array" aca="1" ref="T629" ca="1">SUM(U140:AD140*'Tech Parameters'!$BL359:$BU359*'Tech Parameters'!X87:AG87)</f>
        <v>0</v>
      </c>
      <c r="U629">
        <f t="array" aca="1" ref="U629" ca="1">SUM(V140:AE140*'Tech Parameters'!$BL359:$BU359*'Tech Parameters'!Y87:AH87)</f>
        <v>0</v>
      </c>
      <c r="V629">
        <f t="array" aca="1" ref="V629" ca="1">SUM(W140:AF140*'Tech Parameters'!$BL359:$BU359*'Tech Parameters'!Z87:AI87)</f>
        <v>0</v>
      </c>
      <c r="W629">
        <f t="array" aca="1" ref="W629" ca="1">SUM(X140:AG140*'Tech Parameters'!$BL359:$BU359*'Tech Parameters'!AA87:AJ87)</f>
        <v>0</v>
      </c>
      <c r="X629">
        <f t="array" aca="1" ref="X629" ca="1">SUM(Y140:AH140*'Tech Parameters'!$BL359:$BU359*'Tech Parameters'!AB87:AK87)</f>
        <v>0</v>
      </c>
      <c r="Y629">
        <f t="array" aca="1" ref="Y629" ca="1">SUM(Z140:AI140*'Tech Parameters'!$BL359:$BU359*'Tech Parameters'!AC87:AL87)</f>
        <v>0</v>
      </c>
      <c r="Z629">
        <f t="array" aca="1" ref="Z629" ca="1">SUM(AA140:AJ140*'Tech Parameters'!$BL359:$BU359*'Tech Parameters'!AD87:AM87)</f>
        <v>0</v>
      </c>
      <c r="AA629">
        <f t="array" aca="1" ref="AA629" ca="1">SUM(AB140:AK140*'Tech Parameters'!$BL359:$BU359*'Tech Parameters'!AE87:AN87)</f>
        <v>0</v>
      </c>
      <c r="AB629">
        <f t="array" aca="1" ref="AB629" ca="1">SUM(AC140:AL140*'Tech Parameters'!$BL359:$BU359*'Tech Parameters'!AF87:AO87)</f>
        <v>0</v>
      </c>
      <c r="AC629">
        <f t="array" aca="1" ref="AC629" ca="1">SUM(AD140:AM140*'Tech Parameters'!$BL359:$BU359*'Tech Parameters'!AG87:AP87)</f>
        <v>0</v>
      </c>
    </row>
    <row r="630" spans="3:29">
      <c r="C630" s="11" t="s">
        <v>5</v>
      </c>
      <c r="D630">
        <f>SUM(D610:D629)</f>
        <v>1152.7675173263508</v>
      </c>
      <c r="E630">
        <f t="shared" ref="E630:AC630" si="265">SUM(E610:E629)</f>
        <v>1931.7965908026729</v>
      </c>
      <c r="F630">
        <f t="shared" si="265"/>
        <v>3680.9132959014796</v>
      </c>
      <c r="G630">
        <f t="shared" si="265"/>
        <v>6286.9331414738645</v>
      </c>
      <c r="H630">
        <f t="shared" si="265"/>
        <v>14194.304076366781</v>
      </c>
      <c r="I630">
        <f t="shared" si="265"/>
        <v>28151.573050186238</v>
      </c>
      <c r="J630">
        <f t="shared" si="265"/>
        <v>36794.572517423265</v>
      </c>
      <c r="K630">
        <f t="shared" si="265"/>
        <v>46234.023856479864</v>
      </c>
      <c r="L630">
        <f t="shared" si="265"/>
        <v>42802.807416769079</v>
      </c>
      <c r="M630">
        <f t="shared" si="265"/>
        <v>34708.857909120299</v>
      </c>
      <c r="N630">
        <f t="shared" si="265"/>
        <v>37940.691924532643</v>
      </c>
      <c r="O630">
        <f t="shared" si="265"/>
        <v>45394.067356270752</v>
      </c>
      <c r="P630">
        <f t="shared" si="265"/>
        <v>47015.681989247241</v>
      </c>
      <c r="Q630">
        <f t="shared" si="265"/>
        <v>51503.338923124145</v>
      </c>
      <c r="R630">
        <f t="shared" si="265"/>
        <v>58477.174735643042</v>
      </c>
      <c r="S630">
        <f t="shared" si="265"/>
        <v>56839.970128849825</v>
      </c>
      <c r="T630">
        <f t="shared" ca="1" si="265"/>
        <v>55888.874535371215</v>
      </c>
      <c r="U630">
        <f t="shared" ca="1" si="265"/>
        <v>63100.974903925635</v>
      </c>
      <c r="V630">
        <f t="shared" ca="1" si="265"/>
        <v>67290.886519136853</v>
      </c>
      <c r="W630">
        <f t="shared" ca="1" si="265"/>
        <v>75107.638852218413</v>
      </c>
      <c r="X630">
        <f t="shared" ca="1" si="265"/>
        <v>75763.413596463288</v>
      </c>
      <c r="Y630">
        <f t="shared" ca="1" si="265"/>
        <v>73109.663769759441</v>
      </c>
      <c r="Z630">
        <f t="shared" ca="1" si="265"/>
        <v>78014.379665537257</v>
      </c>
      <c r="AA630">
        <f t="shared" ca="1" si="265"/>
        <v>54651.122291722313</v>
      </c>
      <c r="AB630">
        <f t="shared" ca="1" si="265"/>
        <v>11797.18765209939</v>
      </c>
      <c r="AC630">
        <f t="shared" ca="1" si="265"/>
        <v>0</v>
      </c>
    </row>
    <row r="632" spans="3:29">
      <c r="C632" s="4" t="s">
        <v>189</v>
      </c>
    </row>
    <row r="634" spans="3:29">
      <c r="C634" t="str">
        <f>C8</f>
        <v>Existing coal Large</v>
      </c>
    </row>
    <row r="635" spans="3:29">
      <c r="C635" t="str">
        <f t="shared" ref="C635:C653" si="266">C9</f>
        <v>Existing coal Small</v>
      </c>
    </row>
    <row r="636" spans="3:29">
      <c r="C636" t="str">
        <f t="shared" si="266"/>
        <v>OCGT liquid fuels</v>
      </c>
      <c r="D636">
        <f t="array" ref="D636">SUM(E123:N123*'Tech Parameters'!$BA342:$BJ342*'Tech Parameters'!H70:Q70)</f>
        <v>0</v>
      </c>
      <c r="E636">
        <f t="array" ref="E636">SUM(F123:O123*'Tech Parameters'!$BA342:$BJ342*'Tech Parameters'!I70:R70)</f>
        <v>0</v>
      </c>
      <c r="F636">
        <f t="array" ref="F636">SUM(G123:P123*'Tech Parameters'!$BA342:$BJ342*'Tech Parameters'!J70:S70)</f>
        <v>0</v>
      </c>
      <c r="G636">
        <f t="array" ref="G636">SUM(H123:Q123*'Tech Parameters'!$BA342:$BJ342*'Tech Parameters'!K70:T70)</f>
        <v>299.85406508081212</v>
      </c>
      <c r="H636">
        <f t="array" ref="H636">SUM(I123:R123*'Tech Parameters'!$BA342:$BJ342*'Tech Parameters'!L70:U70)</f>
        <v>1199.4162603232485</v>
      </c>
      <c r="I636">
        <f t="array" ref="I636">SUM(J123:S123*'Tech Parameters'!$BA342:$BJ342*'Tech Parameters'!M70:V70)</f>
        <v>4497.8109762121812</v>
      </c>
      <c r="J636">
        <f t="array" ref="J636">SUM(K123:T123*'Tech Parameters'!$BA342:$BJ342*'Tech Parameters'!N70:W70)</f>
        <v>0</v>
      </c>
      <c r="K636">
        <f t="array" ref="K636">SUM(L123:U123*'Tech Parameters'!$BA342:$BJ342*'Tech Parameters'!O70:X70)</f>
        <v>0</v>
      </c>
      <c r="L636">
        <f t="array" ref="L636">SUM(M123:V123*'Tech Parameters'!$BA342:$BJ342*'Tech Parameters'!P70:Y70)</f>
        <v>0</v>
      </c>
      <c r="M636">
        <f t="array" ref="M636">SUM(N123:W123*'Tech Parameters'!$BA342:$BJ342*'Tech Parameters'!Q70:Z70)</f>
        <v>0</v>
      </c>
      <c r="N636">
        <f t="array" ref="N636">SUM(O123:X123*'Tech Parameters'!$BA342:$BJ342*'Tech Parameters'!R70:AA70)</f>
        <v>0</v>
      </c>
      <c r="O636">
        <f t="array" ref="O636">SUM(P123:Y123*'Tech Parameters'!$BA342:$BJ342*'Tech Parameters'!S70:AB70)</f>
        <v>0</v>
      </c>
      <c r="P636">
        <f t="array" ref="P636">SUM(Q123:Z123*'Tech Parameters'!$BA342:$BJ342*'Tech Parameters'!T70:AC70)</f>
        <v>0</v>
      </c>
      <c r="Q636">
        <f t="array" ref="Q636">SUM(R123:AA123*'Tech Parameters'!$BA342:$BJ342*'Tech Parameters'!U70:AD70)</f>
        <v>0</v>
      </c>
      <c r="R636">
        <f t="array" ref="R636">SUM(S123:AB123*'Tech Parameters'!$BA342:$BJ342*'Tech Parameters'!V70:AE70)</f>
        <v>0</v>
      </c>
      <c r="S636">
        <f t="array" ref="S636">SUM(T123:AC123*'Tech Parameters'!$BA342:$BJ342*'Tech Parameters'!W70:AF70)</f>
        <v>199.90271005387473</v>
      </c>
      <c r="T636">
        <f t="array" aca="1" ref="T636" ca="1">SUM(U123:AD123*'Tech Parameters'!$BA342:$BJ342*'Tech Parameters'!X70:AG70)</f>
        <v>799.61084021549891</v>
      </c>
      <c r="U636">
        <f t="array" aca="1" ref="U636" ca="1">SUM(V123:AE123*'Tech Parameters'!$BA342:$BJ342*'Tech Parameters'!Y70:AH70)</f>
        <v>2998.5406508081205</v>
      </c>
      <c r="V636">
        <f t="array" aca="1" ref="V636" ca="1">SUM(W123:AF123*'Tech Parameters'!$BA342:$BJ342*'Tech Parameters'!Z70:AI70)</f>
        <v>199.90271005387473</v>
      </c>
      <c r="W636">
        <f t="array" aca="1" ref="W636" ca="1">SUM(X123:AG123*'Tech Parameters'!$BA342:$BJ342*'Tech Parameters'!AA70:AJ70)</f>
        <v>799.61084021549891</v>
      </c>
      <c r="X636">
        <f t="array" aca="1" ref="X636" ca="1">SUM(Y123:AH123*'Tech Parameters'!$BA342:$BJ342*'Tech Parameters'!AB70:AK70)</f>
        <v>2998.5406508081205</v>
      </c>
      <c r="Y636">
        <f t="array" aca="1" ref="Y636" ca="1">SUM(Z123:AI123*'Tech Parameters'!$BA342:$BJ342*'Tech Parameters'!AC70:AL70)</f>
        <v>199.90271005387473</v>
      </c>
      <c r="Z636">
        <f t="array" aca="1" ref="Z636" ca="1">SUM(AA123:AJ123*'Tech Parameters'!$BA342:$BJ342*'Tech Parameters'!AD70:AM70)</f>
        <v>799.61084021549891</v>
      </c>
      <c r="AA636">
        <f t="array" aca="1" ref="AA636" ca="1">SUM(AB123:AK123*'Tech Parameters'!$BA342:$BJ342*'Tech Parameters'!AE70:AN70)</f>
        <v>2998.5406508081205</v>
      </c>
      <c r="AB636">
        <f t="array" aca="1" ref="AB636" ca="1">SUM(AC123:AL123*'Tech Parameters'!$BA342:$BJ342*'Tech Parameters'!AF70:AO70)</f>
        <v>0</v>
      </c>
      <c r="AC636">
        <f t="array" aca="1" ref="AC636" ca="1">SUM(AD123:AM123*'Tech Parameters'!$BA342:$BJ342*'Tech Parameters'!AG70:AP70)</f>
        <v>0</v>
      </c>
    </row>
    <row r="637" spans="3:29">
      <c r="C637" t="str">
        <f t="shared" si="266"/>
        <v>PWR nuclear</v>
      </c>
      <c r="D637">
        <f t="array" ref="D637">SUM(E124:N124*'Tech Parameters'!$BA343:$BJ343*'Tech Parameters'!H71:Q71)</f>
        <v>0</v>
      </c>
      <c r="E637">
        <f t="array" ref="E637">SUM(F124:O124*'Tech Parameters'!$BA343:$BJ343*'Tech Parameters'!I71:R71)</f>
        <v>0</v>
      </c>
      <c r="F637">
        <f t="array" ref="F637">SUM(G124:P124*'Tech Parameters'!$BA343:$BJ343*'Tech Parameters'!J71:S71)</f>
        <v>0</v>
      </c>
      <c r="G637">
        <f t="array" ref="G637">SUM(H124:Q124*'Tech Parameters'!$BA343:$BJ343*'Tech Parameters'!K71:T71)</f>
        <v>0</v>
      </c>
      <c r="H637">
        <f t="array" ref="H637">SUM(I124:R124*'Tech Parameters'!$BA343:$BJ343*'Tech Parameters'!L71:U71)</f>
        <v>0</v>
      </c>
      <c r="I637">
        <f t="array" ref="I637">SUM(J124:S124*'Tech Parameters'!$BA343:$BJ343*'Tech Parameters'!M71:V71)</f>
        <v>0</v>
      </c>
      <c r="J637">
        <f t="array" ref="J637">SUM(K124:T124*'Tech Parameters'!$BA343:$BJ343*'Tech Parameters'!N71:W71)</f>
        <v>0</v>
      </c>
      <c r="K637">
        <f t="array" ref="K637">SUM(L124:U124*'Tech Parameters'!$BA343:$BJ343*'Tech Parameters'!O71:X71)</f>
        <v>0</v>
      </c>
      <c r="L637">
        <f t="array" ref="L637">SUM(M124:V124*'Tech Parameters'!$BA343:$BJ343*'Tech Parameters'!P71:Y71)</f>
        <v>0</v>
      </c>
      <c r="M637">
        <f t="array" ref="M637">SUM(N124:W124*'Tech Parameters'!$BA343:$BJ343*'Tech Parameters'!Q71:Z71)</f>
        <v>0</v>
      </c>
      <c r="N637">
        <f t="array" ref="N637">SUM(O124:X124*'Tech Parameters'!$BA343:$BJ343*'Tech Parameters'!R71:AA71)</f>
        <v>0</v>
      </c>
      <c r="O637">
        <f t="array" ref="O637">SUM(P124:Y124*'Tech Parameters'!$BA343:$BJ343*'Tech Parameters'!S71:AB71)</f>
        <v>0</v>
      </c>
      <c r="P637">
        <f t="array" ref="P637">SUM(Q124:Z124*'Tech Parameters'!$BA343:$BJ343*'Tech Parameters'!T71:AC71)</f>
        <v>0</v>
      </c>
      <c r="Q637">
        <f t="array" ref="Q637">SUM(R124:AA124*'Tech Parameters'!$BA343:$BJ343*'Tech Parameters'!U71:AD71)</f>
        <v>0</v>
      </c>
      <c r="R637">
        <f t="array" ref="R637">SUM(S124:AB124*'Tech Parameters'!$BA343:$BJ343*'Tech Parameters'!V71:AE71)</f>
        <v>0</v>
      </c>
      <c r="S637">
        <f t="array" ref="S637">SUM(T124:AC124*'Tech Parameters'!$BA343:$BJ343*'Tech Parameters'!W71:AF71)</f>
        <v>0</v>
      </c>
      <c r="T637">
        <f t="array" aca="1" ref="T637" ca="1">SUM(U124:AD124*'Tech Parameters'!$BA343:$BJ343*'Tech Parameters'!X71:AG71)</f>
        <v>0</v>
      </c>
      <c r="U637">
        <f t="array" aca="1" ref="U637" ca="1">SUM(V124:AE124*'Tech Parameters'!$BA343:$BJ343*'Tech Parameters'!Y71:AH71)</f>
        <v>0</v>
      </c>
      <c r="V637">
        <f t="array" aca="1" ref="V637" ca="1">SUM(W124:AF124*'Tech Parameters'!$BA343:$BJ343*'Tech Parameters'!Z71:AI71)</f>
        <v>0</v>
      </c>
      <c r="W637">
        <f t="array" aca="1" ref="W637" ca="1">SUM(X124:AG124*'Tech Parameters'!$BA343:$BJ343*'Tech Parameters'!AA71:AJ71)</f>
        <v>0</v>
      </c>
      <c r="X637">
        <f t="array" aca="1" ref="X637" ca="1">SUM(Y124:AH124*'Tech Parameters'!$BA343:$BJ343*'Tech Parameters'!AB71:AK71)</f>
        <v>0</v>
      </c>
      <c r="Y637">
        <f t="array" aca="1" ref="Y637" ca="1">SUM(Z124:AI124*'Tech Parameters'!$BA343:$BJ343*'Tech Parameters'!AC71:AL71)</f>
        <v>0</v>
      </c>
      <c r="Z637">
        <f t="array" aca="1" ref="Z637" ca="1">SUM(AA124:AJ124*'Tech Parameters'!$BA343:$BJ343*'Tech Parameters'!AD71:AM71)</f>
        <v>0</v>
      </c>
      <c r="AA637">
        <f t="array" aca="1" ref="AA637" ca="1">SUM(AB124:AK124*'Tech Parameters'!$BA343:$BJ343*'Tech Parameters'!AE71:AN71)</f>
        <v>0</v>
      </c>
      <c r="AB637">
        <f t="array" aca="1" ref="AB637" ca="1">SUM(AC124:AL124*'Tech Parameters'!$BA343:$BJ343*'Tech Parameters'!AF71:AO71)</f>
        <v>0</v>
      </c>
      <c r="AC637">
        <f t="array" aca="1" ref="AC637" ca="1">SUM(AD124:AM124*'Tech Parameters'!$BA343:$BJ343*'Tech Parameters'!AG71:AP71)</f>
        <v>0</v>
      </c>
    </row>
    <row r="638" spans="3:29">
      <c r="C638" t="str">
        <f t="shared" si="266"/>
        <v>Hydro</v>
      </c>
      <c r="D638">
        <f t="array" ref="D638">SUM(E125:N125*'Tech Parameters'!$BA344:$BJ344*'Tech Parameters'!H72:Q72)</f>
        <v>0</v>
      </c>
      <c r="E638">
        <f t="array" ref="E638">SUM(F125:O125*'Tech Parameters'!$BA344:$BJ344*'Tech Parameters'!I72:R72)</f>
        <v>0</v>
      </c>
      <c r="F638">
        <f t="array" ref="F638">SUM(G125:P125*'Tech Parameters'!$BA344:$BJ344*'Tech Parameters'!J72:S72)</f>
        <v>0</v>
      </c>
      <c r="G638">
        <f t="array" ref="G638">SUM(H125:Q125*'Tech Parameters'!$BA344:$BJ344*'Tech Parameters'!K72:T72)</f>
        <v>0</v>
      </c>
      <c r="H638">
        <f t="array" ref="H638">SUM(I125:R125*'Tech Parameters'!$BA344:$BJ344*'Tech Parameters'!L72:U72)</f>
        <v>0</v>
      </c>
      <c r="I638">
        <f t="array" ref="I638">SUM(J125:S125*'Tech Parameters'!$BA344:$BJ344*'Tech Parameters'!M72:V72)</f>
        <v>0</v>
      </c>
      <c r="J638">
        <f t="array" ref="J638">SUM(K125:T125*'Tech Parameters'!$BA344:$BJ344*'Tech Parameters'!N72:W72)</f>
        <v>0</v>
      </c>
      <c r="K638">
        <f t="array" ref="K638">SUM(L125:U125*'Tech Parameters'!$BA344:$BJ344*'Tech Parameters'!O72:X72)</f>
        <v>0</v>
      </c>
      <c r="L638">
        <f t="array" ref="L638">SUM(M125:V125*'Tech Parameters'!$BA344:$BJ344*'Tech Parameters'!P72:Y72)</f>
        <v>0</v>
      </c>
      <c r="M638">
        <f t="array" ref="M638">SUM(N125:W125*'Tech Parameters'!$BA344:$BJ344*'Tech Parameters'!Q72:Z72)</f>
        <v>0</v>
      </c>
      <c r="N638">
        <f t="array" ref="N638">SUM(O125:X125*'Tech Parameters'!$BA344:$BJ344*'Tech Parameters'!R72:AA72)</f>
        <v>0</v>
      </c>
      <c r="O638">
        <f t="array" ref="O638">SUM(P125:Y125*'Tech Parameters'!$BA344:$BJ344*'Tech Parameters'!S72:AB72)</f>
        <v>0</v>
      </c>
      <c r="P638">
        <f t="array" ref="P638">SUM(Q125:Z125*'Tech Parameters'!$BA344:$BJ344*'Tech Parameters'!T72:AC72)</f>
        <v>0</v>
      </c>
      <c r="Q638">
        <f t="array" ref="Q638">SUM(R125:AA125*'Tech Parameters'!$BA344:$BJ344*'Tech Parameters'!U72:AD72)</f>
        <v>0</v>
      </c>
      <c r="R638">
        <f t="array" ref="R638">SUM(S125:AB125*'Tech Parameters'!$BA344:$BJ344*'Tech Parameters'!V72:AE72)</f>
        <v>0</v>
      </c>
      <c r="S638">
        <f t="array" ref="S638">SUM(T125:AC125*'Tech Parameters'!$BA344:$BJ344*'Tech Parameters'!W72:AF72)</f>
        <v>0</v>
      </c>
      <c r="T638">
        <f t="array" aca="1" ref="T638" ca="1">SUM(U125:AD125*'Tech Parameters'!$BA344:$BJ344*'Tech Parameters'!X72:AG72)</f>
        <v>0</v>
      </c>
      <c r="U638">
        <f t="array" aca="1" ref="U638" ca="1">SUM(V125:AE125*'Tech Parameters'!$BA344:$BJ344*'Tech Parameters'!Y72:AH72)</f>
        <v>0</v>
      </c>
      <c r="V638">
        <f t="array" aca="1" ref="V638" ca="1">SUM(W125:AF125*'Tech Parameters'!$BA344:$BJ344*'Tech Parameters'!Z72:AI72)</f>
        <v>0</v>
      </c>
      <c r="W638">
        <f t="array" aca="1" ref="W638" ca="1">SUM(X125:AG125*'Tech Parameters'!$BA344:$BJ344*'Tech Parameters'!AA72:AJ72)</f>
        <v>0</v>
      </c>
      <c r="X638">
        <f t="array" aca="1" ref="X638" ca="1">SUM(Y125:AH125*'Tech Parameters'!$BA344:$BJ344*'Tech Parameters'!AB72:AK72)</f>
        <v>0</v>
      </c>
      <c r="Y638">
        <f t="array" aca="1" ref="Y638" ca="1">SUM(Z125:AI125*'Tech Parameters'!$BA344:$BJ344*'Tech Parameters'!AC72:AL72)</f>
        <v>0</v>
      </c>
      <c r="Z638">
        <f t="array" aca="1" ref="Z638" ca="1">SUM(AA125:AJ125*'Tech Parameters'!$BA344:$BJ344*'Tech Parameters'!AD72:AM72)</f>
        <v>0</v>
      </c>
      <c r="AA638">
        <f t="array" aca="1" ref="AA638" ca="1">SUM(AB125:AK125*'Tech Parameters'!$BA344:$BJ344*'Tech Parameters'!AE72:AN72)</f>
        <v>0</v>
      </c>
      <c r="AB638">
        <f t="array" aca="1" ref="AB638" ca="1">SUM(AC125:AL125*'Tech Parameters'!$BA344:$BJ344*'Tech Parameters'!AF72:AO72)</f>
        <v>0</v>
      </c>
      <c r="AC638">
        <f t="array" aca="1" ref="AC638" ca="1">SUM(AD125:AM125*'Tech Parameters'!$BA344:$BJ344*'Tech Parameters'!AG72:AP72)</f>
        <v>0</v>
      </c>
    </row>
    <row r="639" spans="3:29">
      <c r="C639" t="str">
        <f t="shared" si="266"/>
        <v>Landfill gas</v>
      </c>
      <c r="D639">
        <f t="array" ref="D639">SUM(E126:N126*'Tech Parameters'!$BA345:$BJ345*'Tech Parameters'!H73:Q73)</f>
        <v>0</v>
      </c>
      <c r="E639">
        <f t="array" ref="E639">SUM(F126:O126*'Tech Parameters'!$BA345:$BJ345*'Tech Parameters'!I73:R73)</f>
        <v>0</v>
      </c>
      <c r="F639">
        <f t="array" ref="F639">SUM(G126:P126*'Tech Parameters'!$BA345:$BJ345*'Tech Parameters'!J73:S73)</f>
        <v>0</v>
      </c>
      <c r="G639">
        <f t="array" ref="G639">SUM(H126:Q126*'Tech Parameters'!$BA345:$BJ345*'Tech Parameters'!K73:T73)</f>
        <v>0</v>
      </c>
      <c r="H639">
        <f t="array" ref="H639">SUM(I126:R126*'Tech Parameters'!$BA345:$BJ345*'Tech Parameters'!L73:U73)</f>
        <v>0</v>
      </c>
      <c r="I639">
        <f t="array" ref="I639">SUM(J126:S126*'Tech Parameters'!$BA345:$BJ345*'Tech Parameters'!M73:V73)</f>
        <v>0</v>
      </c>
      <c r="J639">
        <f t="array" ref="J639">SUM(K126:T126*'Tech Parameters'!$BA345:$BJ345*'Tech Parameters'!N73:W73)</f>
        <v>0</v>
      </c>
      <c r="K639">
        <f t="array" ref="K639">SUM(L126:U126*'Tech Parameters'!$BA345:$BJ345*'Tech Parameters'!O73:X73)</f>
        <v>0</v>
      </c>
      <c r="L639">
        <f t="array" ref="L639">SUM(M126:V126*'Tech Parameters'!$BA345:$BJ345*'Tech Parameters'!P73:Y73)</f>
        <v>0</v>
      </c>
      <c r="M639">
        <f t="array" ref="M639">SUM(N126:W126*'Tech Parameters'!$BA345:$BJ345*'Tech Parameters'!Q73:Z73)</f>
        <v>0</v>
      </c>
      <c r="N639">
        <f t="array" ref="N639">SUM(O126:X126*'Tech Parameters'!$BA345:$BJ345*'Tech Parameters'!R73:AA73)</f>
        <v>0</v>
      </c>
      <c r="O639">
        <f t="array" ref="O639">SUM(P126:Y126*'Tech Parameters'!$BA345:$BJ345*'Tech Parameters'!S73:AB73)</f>
        <v>0</v>
      </c>
      <c r="P639">
        <f t="array" ref="P639">SUM(Q126:Z126*'Tech Parameters'!$BA345:$BJ345*'Tech Parameters'!T73:AC73)</f>
        <v>0</v>
      </c>
      <c r="Q639">
        <f t="array" ref="Q639">SUM(R126:AA126*'Tech Parameters'!$BA345:$BJ345*'Tech Parameters'!U73:AD73)</f>
        <v>0</v>
      </c>
      <c r="R639">
        <f t="array" ref="R639">SUM(S126:AB126*'Tech Parameters'!$BA345:$BJ345*'Tech Parameters'!V73:AE73)</f>
        <v>0</v>
      </c>
      <c r="S639">
        <f t="array" ref="S639">SUM(T126:AC126*'Tech Parameters'!$BA345:$BJ345*'Tech Parameters'!W73:AF73)</f>
        <v>0</v>
      </c>
      <c r="T639">
        <f t="array" aca="1" ref="T639" ca="1">SUM(U126:AD126*'Tech Parameters'!$BA345:$BJ345*'Tech Parameters'!X73:AG73)</f>
        <v>0</v>
      </c>
      <c r="U639">
        <f t="array" aca="1" ref="U639" ca="1">SUM(V126:AE126*'Tech Parameters'!$BA345:$BJ345*'Tech Parameters'!Y73:AH73)</f>
        <v>0</v>
      </c>
      <c r="V639">
        <f t="array" aca="1" ref="V639" ca="1">SUM(W126:AF126*'Tech Parameters'!$BA345:$BJ345*'Tech Parameters'!Z73:AI73)</f>
        <v>0</v>
      </c>
      <c r="W639">
        <f t="array" aca="1" ref="W639" ca="1">SUM(X126:AG126*'Tech Parameters'!$BA345:$BJ345*'Tech Parameters'!AA73:AJ73)</f>
        <v>0</v>
      </c>
      <c r="X639">
        <f t="array" aca="1" ref="X639" ca="1">SUM(Y126:AH126*'Tech Parameters'!$BA345:$BJ345*'Tech Parameters'!AB73:AK73)</f>
        <v>0</v>
      </c>
      <c r="Y639">
        <f t="array" aca="1" ref="Y639" ca="1">SUM(Z126:AI126*'Tech Parameters'!$BA345:$BJ345*'Tech Parameters'!AC73:AL73)</f>
        <v>0</v>
      </c>
      <c r="Z639">
        <f t="array" aca="1" ref="Z639" ca="1">SUM(AA126:AJ126*'Tech Parameters'!$BA345:$BJ345*'Tech Parameters'!AD73:AM73)</f>
        <v>0</v>
      </c>
      <c r="AA639">
        <f t="array" aca="1" ref="AA639" ca="1">SUM(AB126:AK126*'Tech Parameters'!$BA345:$BJ345*'Tech Parameters'!AE73:AN73)</f>
        <v>0</v>
      </c>
      <c r="AB639">
        <f t="array" aca="1" ref="AB639" ca="1">SUM(AC126:AL126*'Tech Parameters'!$BA345:$BJ345*'Tech Parameters'!AF73:AO73)</f>
        <v>0</v>
      </c>
      <c r="AC639">
        <f t="array" aca="1" ref="AC639" ca="1">SUM(AD126:AM126*'Tech Parameters'!$BA345:$BJ345*'Tech Parameters'!AG73:AP73)</f>
        <v>0</v>
      </c>
    </row>
    <row r="640" spans="3:29">
      <c r="C640" t="str">
        <f t="shared" si="266"/>
        <v>Biomass</v>
      </c>
      <c r="D640">
        <f t="array" ref="D640">SUM(E127:N127*'Tech Parameters'!$BA346:$BJ346*'Tech Parameters'!H74:Q74)</f>
        <v>0</v>
      </c>
      <c r="E640">
        <f t="array" ref="E640">SUM(F127:O127*'Tech Parameters'!$BA346:$BJ346*'Tech Parameters'!I74:R74)</f>
        <v>0</v>
      </c>
      <c r="F640">
        <f t="array" ref="F640">SUM(G127:P127*'Tech Parameters'!$BA346:$BJ346*'Tech Parameters'!J74:S74)</f>
        <v>0</v>
      </c>
      <c r="G640">
        <f t="array" ref="G640">SUM(H127:Q127*'Tech Parameters'!$BA346:$BJ346*'Tech Parameters'!K74:T74)</f>
        <v>0</v>
      </c>
      <c r="H640">
        <f t="array" ref="H640">SUM(I127:R127*'Tech Parameters'!$BA346:$BJ346*'Tech Parameters'!L74:U74)</f>
        <v>0</v>
      </c>
      <c r="I640">
        <f t="array" ref="I640">SUM(J127:S127*'Tech Parameters'!$BA346:$BJ346*'Tech Parameters'!M74:V74)</f>
        <v>0</v>
      </c>
      <c r="J640">
        <f t="array" ref="J640">SUM(K127:T127*'Tech Parameters'!$BA346:$BJ346*'Tech Parameters'!N74:W74)</f>
        <v>0</v>
      </c>
      <c r="K640">
        <f t="array" ref="K640">SUM(L127:U127*'Tech Parameters'!$BA346:$BJ346*'Tech Parameters'!O74:X74)</f>
        <v>0</v>
      </c>
      <c r="L640">
        <f t="array" ref="L640">SUM(M127:V127*'Tech Parameters'!$BA346:$BJ346*'Tech Parameters'!P74:Y74)</f>
        <v>0</v>
      </c>
      <c r="M640">
        <f t="array" ref="M640">SUM(N127:W127*'Tech Parameters'!$BA346:$BJ346*'Tech Parameters'!Q74:Z74)</f>
        <v>0</v>
      </c>
      <c r="N640">
        <f t="array" ref="N640">SUM(O127:X127*'Tech Parameters'!$BA346:$BJ346*'Tech Parameters'!R74:AA74)</f>
        <v>0</v>
      </c>
      <c r="O640">
        <f t="array" ref="O640">SUM(P127:Y127*'Tech Parameters'!$BA346:$BJ346*'Tech Parameters'!S74:AB74)</f>
        <v>0</v>
      </c>
      <c r="P640">
        <f t="array" ref="P640">SUM(Q127:Z127*'Tech Parameters'!$BA346:$BJ346*'Tech Parameters'!T74:AC74)</f>
        <v>0</v>
      </c>
      <c r="Q640">
        <f t="array" ref="Q640">SUM(R127:AA127*'Tech Parameters'!$BA346:$BJ346*'Tech Parameters'!U74:AD74)</f>
        <v>0</v>
      </c>
      <c r="R640">
        <f t="array" ref="R640">SUM(S127:AB127*'Tech Parameters'!$BA346:$BJ346*'Tech Parameters'!V74:AE74)</f>
        <v>0</v>
      </c>
      <c r="S640">
        <f t="array" ref="S640">SUM(T127:AC127*'Tech Parameters'!$BA346:$BJ346*'Tech Parameters'!W74:AF74)</f>
        <v>0</v>
      </c>
      <c r="T640">
        <f t="array" aca="1" ref="T640" ca="1">SUM(U127:AD127*'Tech Parameters'!$BA346:$BJ346*'Tech Parameters'!X74:AG74)</f>
        <v>0</v>
      </c>
      <c r="U640">
        <f t="array" aca="1" ref="U640" ca="1">SUM(V127:AE127*'Tech Parameters'!$BA346:$BJ346*'Tech Parameters'!Y74:AH74)</f>
        <v>0</v>
      </c>
      <c r="V640">
        <f t="array" aca="1" ref="V640" ca="1">SUM(W127:AF127*'Tech Parameters'!$BA346:$BJ346*'Tech Parameters'!Z74:AI74)</f>
        <v>0</v>
      </c>
      <c r="W640">
        <f t="array" aca="1" ref="W640" ca="1">SUM(X127:AG127*'Tech Parameters'!$BA346:$BJ346*'Tech Parameters'!AA74:AJ74)</f>
        <v>0</v>
      </c>
      <c r="X640">
        <f t="array" aca="1" ref="X640" ca="1">SUM(Y127:AH127*'Tech Parameters'!$BA346:$BJ346*'Tech Parameters'!AB74:AK74)</f>
        <v>0</v>
      </c>
      <c r="Y640">
        <f t="array" aca="1" ref="Y640" ca="1">SUM(Z127:AI127*'Tech Parameters'!$BA346:$BJ346*'Tech Parameters'!AC74:AL74)</f>
        <v>0</v>
      </c>
      <c r="Z640">
        <f t="array" aca="1" ref="Z640" ca="1">SUM(AA127:AJ127*'Tech Parameters'!$BA346:$BJ346*'Tech Parameters'!AD74:AM74)</f>
        <v>0</v>
      </c>
      <c r="AA640">
        <f t="array" aca="1" ref="AA640" ca="1">SUM(AB127:AK127*'Tech Parameters'!$BA346:$BJ346*'Tech Parameters'!AE74:AN74)</f>
        <v>0</v>
      </c>
      <c r="AB640">
        <f t="array" aca="1" ref="AB640" ca="1">SUM(AC127:AL127*'Tech Parameters'!$BA346:$BJ346*'Tech Parameters'!AF74:AO74)</f>
        <v>0</v>
      </c>
      <c r="AC640">
        <f t="array" aca="1" ref="AC640" ca="1">SUM(AD127:AM127*'Tech Parameters'!$BA346:$BJ346*'Tech Parameters'!AG74:AP74)</f>
        <v>0</v>
      </c>
    </row>
    <row r="641" spans="3:29">
      <c r="C641" t="str">
        <f t="shared" si="266"/>
        <v>Supercritical coal</v>
      </c>
      <c r="D641">
        <f t="array" ref="D641">SUM(E128:N128*'Tech Parameters'!$BA347:$BJ347*'Tech Parameters'!H75:Q75)</f>
        <v>0</v>
      </c>
      <c r="E641">
        <f t="array" ref="E641">SUM(F128:O128*'Tech Parameters'!$BA347:$BJ347*'Tech Parameters'!I75:R75)</f>
        <v>663.75232174368716</v>
      </c>
      <c r="F641">
        <f t="array" ref="F641">SUM(G128:P128*'Tech Parameters'!$BA347:$BJ347*'Tech Parameters'!J75:S75)</f>
        <v>1987.1470437341966</v>
      </c>
      <c r="G641">
        <f t="array" ref="G641">SUM(H128:Q128*'Tech Parameters'!$BA347:$BJ347*'Tech Parameters'!K75:T75)</f>
        <v>3541.2727585587036</v>
      </c>
      <c r="H641">
        <f t="array" ref="H641">SUM(I128:R128*'Tech Parameters'!$BA347:$BJ347*'Tech Parameters'!L75:U75)</f>
        <v>9087.6529177929042</v>
      </c>
      <c r="I641">
        <f t="array" ref="I641">SUM(J128:S128*'Tech Parameters'!$BA347:$BJ347*'Tech Parameters'!M75:V75)</f>
        <v>19618.669166069805</v>
      </c>
      <c r="J641">
        <f t="array" ref="J641">SUM(K128:T128*'Tech Parameters'!$BA347:$BJ347*'Tech Parameters'!N75:W75)</f>
        <v>30562.321532631944</v>
      </c>
      <c r="K641">
        <f t="array" ref="K641">SUM(L128:U128*'Tech Parameters'!$BA347:$BJ347*'Tech Parameters'!O75:X75)</f>
        <v>37890.229363112187</v>
      </c>
      <c r="L641">
        <f t="array" ref="L641">SUM(M128:V128*'Tech Parameters'!$BA347:$BJ347*'Tech Parameters'!P75:Y75)</f>
        <v>34533.944171127368</v>
      </c>
      <c r="M641">
        <f t="array" ref="M641">SUM(N128:W128*'Tech Parameters'!$BA347:$BJ347*'Tech Parameters'!Q75:Z75)</f>
        <v>28406.544409881379</v>
      </c>
      <c r="N641">
        <f t="array" ref="N641">SUM(O128:X128*'Tech Parameters'!$BA347:$BJ347*'Tech Parameters'!R75:AA75)</f>
        <v>32827.545864844018</v>
      </c>
      <c r="O641">
        <f t="array" ref="O641">SUM(P128:Y128*'Tech Parameters'!$BA347:$BJ347*'Tech Parameters'!S75:AB75)</f>
        <v>39583.845813540291</v>
      </c>
      <c r="P641">
        <f t="array" ref="P641">SUM(Q128:Z128*'Tech Parameters'!$BA347:$BJ347*'Tech Parameters'!T75:AC75)</f>
        <v>39753.338976070998</v>
      </c>
      <c r="Q641">
        <f t="array" ref="Q641">SUM(R128:AA128*'Tech Parameters'!$BA347:$BJ347*'Tech Parameters'!U75:AD75)</f>
        <v>44155.792942449931</v>
      </c>
      <c r="R641">
        <f t="array" ref="R641">SUM(S128:AB128*'Tech Parameters'!$BA347:$BJ347*'Tech Parameters'!V75:AE75)</f>
        <v>50581.097427737965</v>
      </c>
      <c r="S641">
        <f t="array" ref="S641">SUM(T128:AC128*'Tech Parameters'!$BA347:$BJ347*'Tech Parameters'!W75:AF75)</f>
        <v>47483.512536062932</v>
      </c>
      <c r="T641">
        <f t="array" aca="1" ref="T641" ca="1">SUM(U128:AD128*'Tech Parameters'!$BA347:$BJ347*'Tech Parameters'!X75:AG75)</f>
        <v>46345.614776059265</v>
      </c>
      <c r="U641">
        <f t="array" aca="1" ref="U641" ca="1">SUM(V128:AE128*'Tech Parameters'!$BA347:$BJ347*'Tech Parameters'!Y75:AH75)</f>
        <v>51847.38396854524</v>
      </c>
      <c r="V641">
        <f t="array" aca="1" ref="V641" ca="1">SUM(W128:AF128*'Tech Parameters'!$BA347:$BJ347*'Tech Parameters'!Z75:AI75)</f>
        <v>57481.387419239945</v>
      </c>
      <c r="W641">
        <f t="array" aca="1" ref="W641" ca="1">SUM(X128:AG128*'Tech Parameters'!$BA347:$BJ347*'Tech Parameters'!AA75:AJ75)</f>
        <v>64010.103400705528</v>
      </c>
      <c r="X641">
        <f t="array" aca="1" ref="X641" ca="1">SUM(Y128:AH128*'Tech Parameters'!$BA347:$BJ347*'Tech Parameters'!AB75:AK75)</f>
        <v>60979.636110453532</v>
      </c>
      <c r="Y641">
        <f t="array" aca="1" ref="Y641" ca="1">SUM(Z128:AI128*'Tech Parameters'!$BA347:$BJ347*'Tech Parameters'!AC75:AL75)</f>
        <v>61467.860965498483</v>
      </c>
      <c r="Z641">
        <f t="array" aca="1" ref="Z641" ca="1">SUM(AA128:AJ128*'Tech Parameters'!$BA347:$BJ347*'Tech Parameters'!AD75:AM75)</f>
        <v>65947.945007931456</v>
      </c>
      <c r="AA641">
        <f t="array" aca="1" ref="AA641" ca="1">SUM(AB128:AK128*'Tech Parameters'!$BA347:$BJ347*'Tech Parameters'!AE75:AN75)</f>
        <v>40048.726549335704</v>
      </c>
      <c r="AB641">
        <f t="array" aca="1" ref="AB641" ca="1">SUM(AC128:AL128*'Tech Parameters'!$BA347:$BJ347*'Tech Parameters'!AF75:AO75)</f>
        <v>4071.5446938958089</v>
      </c>
      <c r="AC641">
        <f t="array" aca="1" ref="AC641" ca="1">SUM(AD128:AM128*'Tech Parameters'!$BA347:$BJ347*'Tech Parameters'!AG75:AP75)</f>
        <v>0</v>
      </c>
    </row>
    <row r="642" spans="3:29">
      <c r="C642" t="str">
        <f t="shared" si="266"/>
        <v xml:space="preserve">Wind 30% </v>
      </c>
      <c r="D642">
        <f t="array" ref="D642">SUM(E129:N129*'Tech Parameters'!$BA348:$BJ348*'Tech Parameters'!H76:Q76)</f>
        <v>0</v>
      </c>
      <c r="E642">
        <f t="array" ref="E642">SUM(F129:O129*'Tech Parameters'!$BA348:$BJ348*'Tech Parameters'!I76:R76)</f>
        <v>0</v>
      </c>
      <c r="F642">
        <f t="array" ref="F642">SUM(G129:P129*'Tech Parameters'!$BA348:$BJ348*'Tech Parameters'!J76:S76)</f>
        <v>75.703206024444654</v>
      </c>
      <c r="G642">
        <f t="array" ref="G642">SUM(H129:Q129*'Tech Parameters'!$BA348:$BJ348*'Tech Parameters'!K76:T76)</f>
        <v>302.81282409777862</v>
      </c>
      <c r="H642">
        <f t="array" ref="H642">SUM(I129:R129*'Tech Parameters'!$BA348:$BJ348*'Tech Parameters'!L76:U76)</f>
        <v>1135.5480903666698</v>
      </c>
      <c r="I642">
        <f t="array" ref="I642">SUM(J129:S129*'Tech Parameters'!$BA348:$BJ348*'Tech Parameters'!M76:V76)</f>
        <v>0</v>
      </c>
      <c r="J642">
        <f t="array" ref="J642">SUM(K129:T129*'Tech Parameters'!$BA348:$BJ348*'Tech Parameters'!N76:W76)</f>
        <v>0</v>
      </c>
      <c r="K642">
        <f t="array" ref="K642">SUM(L129:U129*'Tech Parameters'!$BA348:$BJ348*'Tech Parameters'!O76:X76)</f>
        <v>0</v>
      </c>
      <c r="L642">
        <f t="array" ref="L642">SUM(M129:V129*'Tech Parameters'!$BA348:$BJ348*'Tech Parameters'!P76:Y76)</f>
        <v>0</v>
      </c>
      <c r="M642">
        <f t="array" ref="M642">SUM(N129:W129*'Tech Parameters'!$BA348:$BJ348*'Tech Parameters'!Q76:Z76)</f>
        <v>0</v>
      </c>
      <c r="N642">
        <f t="array" ref="N642">SUM(O129:X129*'Tech Parameters'!$BA348:$BJ348*'Tech Parameters'!R76:AA76)</f>
        <v>0</v>
      </c>
      <c r="O642">
        <f t="array" ref="O642">SUM(P129:Y129*'Tech Parameters'!$BA348:$BJ348*'Tech Parameters'!S76:AB76)</f>
        <v>0</v>
      </c>
      <c r="P642">
        <f t="array" ref="P642">SUM(Q129:Z129*'Tech Parameters'!$BA348:$BJ348*'Tech Parameters'!T76:AC76)</f>
        <v>0</v>
      </c>
      <c r="Q642">
        <f t="array" ref="Q642">SUM(R129:AA129*'Tech Parameters'!$BA348:$BJ348*'Tech Parameters'!U76:AD76)</f>
        <v>0</v>
      </c>
      <c r="R642">
        <f t="array" ref="R642">SUM(S129:AB129*'Tech Parameters'!$BA348:$BJ348*'Tech Parameters'!V76:AE76)</f>
        <v>0</v>
      </c>
      <c r="S642">
        <f t="array" ref="S642">SUM(T129:AC129*'Tech Parameters'!$BA348:$BJ348*'Tech Parameters'!W76:AF76)</f>
        <v>0</v>
      </c>
      <c r="T642">
        <f t="array" aca="1" ref="T642" ca="1">SUM(U129:AD129*'Tech Parameters'!$BA348:$BJ348*'Tech Parameters'!X76:AG76)</f>
        <v>0</v>
      </c>
      <c r="U642">
        <f t="array" aca="1" ref="U642" ca="1">SUM(V129:AE129*'Tech Parameters'!$BA348:$BJ348*'Tech Parameters'!Y76:AH76)</f>
        <v>0</v>
      </c>
      <c r="V642">
        <f t="array" aca="1" ref="V642" ca="1">SUM(W129:AF129*'Tech Parameters'!$BA348:$BJ348*'Tech Parameters'!Z76:AI76)</f>
        <v>0</v>
      </c>
      <c r="W642">
        <f t="array" aca="1" ref="W642" ca="1">SUM(X129:AG129*'Tech Parameters'!$BA348:$BJ348*'Tech Parameters'!AA76:AJ76)</f>
        <v>0</v>
      </c>
      <c r="X642">
        <f t="array" aca="1" ref="X642" ca="1">SUM(Y129:AH129*'Tech Parameters'!$BA348:$BJ348*'Tech Parameters'!AB76:AK76)</f>
        <v>0</v>
      </c>
      <c r="Y642">
        <f t="array" aca="1" ref="Y642" ca="1">SUM(Z129:AI129*'Tech Parameters'!$BA348:$BJ348*'Tech Parameters'!AC76:AL76)</f>
        <v>0</v>
      </c>
      <c r="Z642">
        <f t="array" aca="1" ref="Z642" ca="1">SUM(AA129:AJ129*'Tech Parameters'!$BA348:$BJ348*'Tech Parameters'!AD76:AM76)</f>
        <v>0</v>
      </c>
      <c r="AA642">
        <f t="array" aca="1" ref="AA642" ca="1">SUM(AB129:AK129*'Tech Parameters'!$BA348:$BJ348*'Tech Parameters'!AE76:AN76)</f>
        <v>0</v>
      </c>
      <c r="AB642">
        <f t="array" aca="1" ref="AB642" ca="1">SUM(AC129:AL129*'Tech Parameters'!$BA348:$BJ348*'Tech Parameters'!AF76:AO76)</f>
        <v>0</v>
      </c>
      <c r="AC642">
        <f t="array" aca="1" ref="AC642" ca="1">SUM(AD129:AM129*'Tech Parameters'!$BA348:$BJ348*'Tech Parameters'!AG76:AP76)</f>
        <v>0</v>
      </c>
    </row>
    <row r="643" spans="3:29">
      <c r="C643" t="str">
        <f t="shared" si="266"/>
        <v>Wind 25%</v>
      </c>
      <c r="D643">
        <f t="array" ref="D643">SUM(E130:N130*'Tech Parameters'!$BA349:$BJ349*'Tech Parameters'!H77:Q77)</f>
        <v>0</v>
      </c>
      <c r="E643">
        <f t="array" ref="E643">SUM(F130:O130*'Tech Parameters'!$BA349:$BJ349*'Tech Parameters'!I77:R77)</f>
        <v>0</v>
      </c>
      <c r="F643">
        <f t="array" ref="F643">SUM(G130:P130*'Tech Parameters'!$BA349:$BJ349*'Tech Parameters'!J77:S77)</f>
        <v>0</v>
      </c>
      <c r="G643">
        <f t="array" ref="G643">SUM(H130:Q130*'Tech Parameters'!$BA349:$BJ349*'Tech Parameters'!K77:T77)</f>
        <v>0</v>
      </c>
      <c r="H643">
        <f t="array" ref="H643">SUM(I130:R130*'Tech Parameters'!$BA349:$BJ349*'Tech Parameters'!L77:U77)</f>
        <v>0</v>
      </c>
      <c r="I643">
        <f t="array" ref="I643">SUM(J130:S130*'Tech Parameters'!$BA349:$BJ349*'Tech Parameters'!M77:V77)</f>
        <v>0</v>
      </c>
      <c r="J643">
        <f t="array" ref="J643">SUM(K130:T130*'Tech Parameters'!$BA349:$BJ349*'Tech Parameters'!N77:W77)</f>
        <v>0</v>
      </c>
      <c r="K643">
        <f t="array" ref="K643">SUM(L130:U130*'Tech Parameters'!$BA349:$BJ349*'Tech Parameters'!O77:X77)</f>
        <v>0</v>
      </c>
      <c r="L643">
        <f t="array" ref="L643">SUM(M130:V130*'Tech Parameters'!$BA349:$BJ349*'Tech Parameters'!P77:Y77)</f>
        <v>0</v>
      </c>
      <c r="M643">
        <f t="array" ref="M643">SUM(N130:W130*'Tech Parameters'!$BA349:$BJ349*'Tech Parameters'!Q77:Z77)</f>
        <v>0</v>
      </c>
      <c r="N643">
        <f t="array" ref="N643">SUM(O130:X130*'Tech Parameters'!$BA349:$BJ349*'Tech Parameters'!R77:AA77)</f>
        <v>0</v>
      </c>
      <c r="O643">
        <f t="array" ref="O643">SUM(P130:Y130*'Tech Parameters'!$BA349:$BJ349*'Tech Parameters'!S77:AB77)</f>
        <v>0</v>
      </c>
      <c r="P643">
        <f t="array" ref="P643">SUM(Q130:Z130*'Tech Parameters'!$BA349:$BJ349*'Tech Parameters'!T77:AC77)</f>
        <v>0</v>
      </c>
      <c r="Q643">
        <f t="array" ref="Q643">SUM(R130:AA130*'Tech Parameters'!$BA349:$BJ349*'Tech Parameters'!U77:AD77)</f>
        <v>0</v>
      </c>
      <c r="R643">
        <f t="array" ref="R643">SUM(S130:AB130*'Tech Parameters'!$BA349:$BJ349*'Tech Parameters'!V77:AE77)</f>
        <v>0</v>
      </c>
      <c r="S643">
        <f t="array" ref="S643">SUM(T130:AC130*'Tech Parameters'!$BA349:$BJ349*'Tech Parameters'!W77:AF77)</f>
        <v>0</v>
      </c>
      <c r="T643">
        <f t="array" aca="1" ref="T643" ca="1">SUM(U130:AD130*'Tech Parameters'!$BA349:$BJ349*'Tech Parameters'!X77:AG77)</f>
        <v>0</v>
      </c>
      <c r="U643">
        <f t="array" aca="1" ref="U643" ca="1">SUM(V130:AE130*'Tech Parameters'!$BA349:$BJ349*'Tech Parameters'!Y77:AH77)</f>
        <v>0</v>
      </c>
      <c r="V643">
        <f t="array" aca="1" ref="V643" ca="1">SUM(W130:AF130*'Tech Parameters'!$BA349:$BJ349*'Tech Parameters'!Z77:AI77)</f>
        <v>0</v>
      </c>
      <c r="W643">
        <f t="array" aca="1" ref="W643" ca="1">SUM(X130:AG130*'Tech Parameters'!$BA349:$BJ349*'Tech Parameters'!AA77:AJ77)</f>
        <v>0</v>
      </c>
      <c r="X643">
        <f t="array" aca="1" ref="X643" ca="1">SUM(Y130:AH130*'Tech Parameters'!$BA349:$BJ349*'Tech Parameters'!AB77:AK77)</f>
        <v>0</v>
      </c>
      <c r="Y643">
        <f t="array" aca="1" ref="Y643" ca="1">SUM(Z130:AI130*'Tech Parameters'!$BA349:$BJ349*'Tech Parameters'!AC77:AL77)</f>
        <v>0</v>
      </c>
      <c r="Z643">
        <f t="array" aca="1" ref="Z643" ca="1">SUM(AA130:AJ130*'Tech Parameters'!$BA349:$BJ349*'Tech Parameters'!AD77:AM77)</f>
        <v>0</v>
      </c>
      <c r="AA643">
        <f t="array" aca="1" ref="AA643" ca="1">SUM(AB130:AK130*'Tech Parameters'!$BA349:$BJ349*'Tech Parameters'!AE77:AN77)</f>
        <v>0</v>
      </c>
      <c r="AB643">
        <f t="array" aca="1" ref="AB643" ca="1">SUM(AC130:AL130*'Tech Parameters'!$BA349:$BJ349*'Tech Parameters'!AF77:AO77)</f>
        <v>0</v>
      </c>
      <c r="AC643">
        <f t="array" aca="1" ref="AC643" ca="1">SUM(AD130:AM130*'Tech Parameters'!$BA349:$BJ349*'Tech Parameters'!AG77:AP77)</f>
        <v>0</v>
      </c>
    </row>
    <row r="644" spans="3:29">
      <c r="C644" t="str">
        <f t="shared" si="266"/>
        <v>solar thermal central reciever</v>
      </c>
      <c r="D644">
        <f t="array" ref="D644">SUM(E131:N131*'Tech Parameters'!$BA350:$BJ350*'Tech Parameters'!H78:Q78)</f>
        <v>0</v>
      </c>
      <c r="E644">
        <f t="array" ref="E644">SUM(F131:O131*'Tech Parameters'!$BA350:$BJ350*'Tech Parameters'!I78:R78)</f>
        <v>0</v>
      </c>
      <c r="F644">
        <f t="array" ref="F644">SUM(G131:P131*'Tech Parameters'!$BA350:$BJ350*'Tech Parameters'!J78:S78)</f>
        <v>0</v>
      </c>
      <c r="G644">
        <f t="array" ref="G644">SUM(H131:Q131*'Tech Parameters'!$BA350:$BJ350*'Tech Parameters'!K78:T78)</f>
        <v>0</v>
      </c>
      <c r="H644">
        <f t="array" ref="H644">SUM(I131:R131*'Tech Parameters'!$BA350:$BJ350*'Tech Parameters'!L78:U78)</f>
        <v>0</v>
      </c>
      <c r="I644">
        <f t="array" ref="I644">SUM(J131:S131*'Tech Parameters'!$BA350:$BJ350*'Tech Parameters'!M78:V78)</f>
        <v>0</v>
      </c>
      <c r="J644">
        <f t="array" ref="J644">SUM(K131:T131*'Tech Parameters'!$BA350:$BJ350*'Tech Parameters'!N78:W78)</f>
        <v>0</v>
      </c>
      <c r="K644">
        <f t="array" ref="K644">SUM(L131:U131*'Tech Parameters'!$BA350:$BJ350*'Tech Parameters'!O78:X78)</f>
        <v>0</v>
      </c>
      <c r="L644">
        <f t="array" ref="L644">SUM(M131:V131*'Tech Parameters'!$BA350:$BJ350*'Tech Parameters'!P78:Y78)</f>
        <v>0</v>
      </c>
      <c r="M644">
        <f t="array" ref="M644">SUM(N131:W131*'Tech Parameters'!$BA350:$BJ350*'Tech Parameters'!Q78:Z78)</f>
        <v>0</v>
      </c>
      <c r="N644">
        <f t="array" ref="N644">SUM(O131:X131*'Tech Parameters'!$BA350:$BJ350*'Tech Parameters'!R78:AA78)</f>
        <v>0</v>
      </c>
      <c r="O644">
        <f t="array" ref="O644">SUM(P131:Y131*'Tech Parameters'!$BA350:$BJ350*'Tech Parameters'!S78:AB78)</f>
        <v>0</v>
      </c>
      <c r="P644">
        <f t="array" ref="P644">SUM(Q131:Z131*'Tech Parameters'!$BA350:$BJ350*'Tech Parameters'!T78:AC78)</f>
        <v>0</v>
      </c>
      <c r="Q644">
        <f t="array" ref="Q644">SUM(R131:AA131*'Tech Parameters'!$BA350:$BJ350*'Tech Parameters'!U78:AD78)</f>
        <v>0</v>
      </c>
      <c r="R644">
        <f t="array" ref="R644">SUM(S131:AB131*'Tech Parameters'!$BA350:$BJ350*'Tech Parameters'!V78:AE78)</f>
        <v>0</v>
      </c>
      <c r="S644">
        <f t="array" ref="S644">SUM(T131:AC131*'Tech Parameters'!$BA350:$BJ350*'Tech Parameters'!W78:AF78)</f>
        <v>0</v>
      </c>
      <c r="T644">
        <f t="array" aca="1" ref="T644" ca="1">SUM(U131:AD131*'Tech Parameters'!$BA350:$BJ350*'Tech Parameters'!X78:AG78)</f>
        <v>0</v>
      </c>
      <c r="U644">
        <f t="array" aca="1" ref="U644" ca="1">SUM(V131:AE131*'Tech Parameters'!$BA350:$BJ350*'Tech Parameters'!Y78:AH78)</f>
        <v>0</v>
      </c>
      <c r="V644">
        <f t="array" aca="1" ref="V644" ca="1">SUM(W131:AF131*'Tech Parameters'!$BA350:$BJ350*'Tech Parameters'!Z78:AI78)</f>
        <v>0</v>
      </c>
      <c r="W644">
        <f t="array" aca="1" ref="W644" ca="1">SUM(X131:AG131*'Tech Parameters'!$BA350:$BJ350*'Tech Parameters'!AA78:AJ78)</f>
        <v>0</v>
      </c>
      <c r="X644">
        <f t="array" aca="1" ref="X644" ca="1">SUM(Y131:AH131*'Tech Parameters'!$BA350:$BJ350*'Tech Parameters'!AB78:AK78)</f>
        <v>0</v>
      </c>
      <c r="Y644">
        <f t="array" aca="1" ref="Y644" ca="1">SUM(Z131:AI131*'Tech Parameters'!$BA350:$BJ350*'Tech Parameters'!AC78:AL78)</f>
        <v>0</v>
      </c>
      <c r="Z644">
        <f t="array" aca="1" ref="Z644" ca="1">SUM(AA131:AJ131*'Tech Parameters'!$BA350:$BJ350*'Tech Parameters'!AD78:AM78)</f>
        <v>0</v>
      </c>
      <c r="AA644">
        <f t="array" aca="1" ref="AA644" ca="1">SUM(AB131:AK131*'Tech Parameters'!$BA350:$BJ350*'Tech Parameters'!AE78:AN78)</f>
        <v>0</v>
      </c>
      <c r="AB644">
        <f t="array" aca="1" ref="AB644" ca="1">SUM(AC131:AL131*'Tech Parameters'!$BA350:$BJ350*'Tech Parameters'!AF78:AO78)</f>
        <v>0</v>
      </c>
      <c r="AC644">
        <f t="array" aca="1" ref="AC644" ca="1">SUM(AD131:AM131*'Tech Parameters'!$BA350:$BJ350*'Tech Parameters'!AG78:AP78)</f>
        <v>0</v>
      </c>
    </row>
    <row r="645" spans="3:29">
      <c r="C645" t="str">
        <f t="shared" si="266"/>
        <v>solar thermal trough</v>
      </c>
      <c r="D645">
        <f t="array" ref="D645">SUM(E132:N132*'Tech Parameters'!$BA351:$BJ351*'Tech Parameters'!H79:Q79)</f>
        <v>0</v>
      </c>
      <c r="E645">
        <f t="array" ref="E645">SUM(F132:O132*'Tech Parameters'!$BA351:$BJ351*'Tech Parameters'!I79:R79)</f>
        <v>0</v>
      </c>
      <c r="F645">
        <f t="array" ref="F645">SUM(G132:P132*'Tech Parameters'!$BA351:$BJ351*'Tech Parameters'!J79:S79)</f>
        <v>0</v>
      </c>
      <c r="G645">
        <f t="array" ref="G645">SUM(H132:Q132*'Tech Parameters'!$BA351:$BJ351*'Tech Parameters'!K79:T79)</f>
        <v>0</v>
      </c>
      <c r="H645">
        <f t="array" ref="H645">SUM(I132:R132*'Tech Parameters'!$BA351:$BJ351*'Tech Parameters'!L79:U79)</f>
        <v>0</v>
      </c>
      <c r="I645">
        <f t="array" ref="I645">SUM(J132:S132*'Tech Parameters'!$BA351:$BJ351*'Tech Parameters'!M79:V79)</f>
        <v>0</v>
      </c>
      <c r="J645">
        <f t="array" ref="J645">SUM(K132:T132*'Tech Parameters'!$BA351:$BJ351*'Tech Parameters'!N79:W79)</f>
        <v>0</v>
      </c>
      <c r="K645">
        <f t="array" ref="K645">SUM(L132:U132*'Tech Parameters'!$BA351:$BJ351*'Tech Parameters'!O79:X79)</f>
        <v>0</v>
      </c>
      <c r="L645">
        <f t="array" ref="L645">SUM(M132:V132*'Tech Parameters'!$BA351:$BJ351*'Tech Parameters'!P79:Y79)</f>
        <v>0</v>
      </c>
      <c r="M645">
        <f t="array" ref="M645">SUM(N132:W132*'Tech Parameters'!$BA351:$BJ351*'Tech Parameters'!Q79:Z79)</f>
        <v>0</v>
      </c>
      <c r="N645">
        <f t="array" ref="N645">SUM(O132:X132*'Tech Parameters'!$BA351:$BJ351*'Tech Parameters'!R79:AA79)</f>
        <v>0</v>
      </c>
      <c r="O645">
        <f t="array" ref="O645">SUM(P132:Y132*'Tech Parameters'!$BA351:$BJ351*'Tech Parameters'!S79:AB79)</f>
        <v>0</v>
      </c>
      <c r="P645">
        <f t="array" ref="P645">SUM(Q132:Z132*'Tech Parameters'!$BA351:$BJ351*'Tech Parameters'!T79:AC79)</f>
        <v>0</v>
      </c>
      <c r="Q645">
        <f t="array" ref="Q645">SUM(R132:AA132*'Tech Parameters'!$BA351:$BJ351*'Tech Parameters'!U79:AD79)</f>
        <v>0</v>
      </c>
      <c r="R645">
        <f t="array" ref="R645">SUM(S132:AB132*'Tech Parameters'!$BA351:$BJ351*'Tech Parameters'!V79:AE79)</f>
        <v>0</v>
      </c>
      <c r="S645">
        <f t="array" ref="S645">SUM(T132:AC132*'Tech Parameters'!$BA351:$BJ351*'Tech Parameters'!W79:AF79)</f>
        <v>0</v>
      </c>
      <c r="T645">
        <f t="array" aca="1" ref="T645" ca="1">SUM(U132:AD132*'Tech Parameters'!$BA351:$BJ351*'Tech Parameters'!X79:AG79)</f>
        <v>0</v>
      </c>
      <c r="U645">
        <f t="array" aca="1" ref="U645" ca="1">SUM(V132:AE132*'Tech Parameters'!$BA351:$BJ351*'Tech Parameters'!Y79:AH79)</f>
        <v>0</v>
      </c>
      <c r="V645">
        <f t="array" aca="1" ref="V645" ca="1">SUM(W132:AF132*'Tech Parameters'!$BA351:$BJ351*'Tech Parameters'!Z79:AI79)</f>
        <v>0</v>
      </c>
      <c r="W645">
        <f t="array" aca="1" ref="W645" ca="1">SUM(X132:AG132*'Tech Parameters'!$BA351:$BJ351*'Tech Parameters'!AA79:AJ79)</f>
        <v>0</v>
      </c>
      <c r="X645">
        <f t="array" aca="1" ref="X645" ca="1">SUM(Y132:AH132*'Tech Parameters'!$BA351:$BJ351*'Tech Parameters'!AB79:AK79)</f>
        <v>0</v>
      </c>
      <c r="Y645">
        <f t="array" aca="1" ref="Y645" ca="1">SUM(Z132:AI132*'Tech Parameters'!$BA351:$BJ351*'Tech Parameters'!AC79:AL79)</f>
        <v>0</v>
      </c>
      <c r="Z645">
        <f t="array" aca="1" ref="Z645" ca="1">SUM(AA132:AJ132*'Tech Parameters'!$BA351:$BJ351*'Tech Parameters'!AD79:AM79)</f>
        <v>0</v>
      </c>
      <c r="AA645">
        <f t="array" aca="1" ref="AA645" ca="1">SUM(AB132:AK132*'Tech Parameters'!$BA351:$BJ351*'Tech Parameters'!AE79:AN79)</f>
        <v>0</v>
      </c>
      <c r="AB645">
        <f t="array" aca="1" ref="AB645" ca="1">SUM(AC132:AL132*'Tech Parameters'!$BA351:$BJ351*'Tech Parameters'!AF79:AO79)</f>
        <v>0</v>
      </c>
      <c r="AC645">
        <f t="array" aca="1" ref="AC645" ca="1">SUM(AD132:AM132*'Tech Parameters'!$BA351:$BJ351*'Tech Parameters'!AG79:AP79)</f>
        <v>0</v>
      </c>
    </row>
    <row r="646" spans="3:29">
      <c r="C646" t="str">
        <f t="shared" si="266"/>
        <v>solar PV</v>
      </c>
      <c r="D646">
        <f t="array" ref="D646">SUM(E133:N133*'Tech Parameters'!$BA352:$BJ352*'Tech Parameters'!H80:Q80)</f>
        <v>0</v>
      </c>
      <c r="E646">
        <f t="array" ref="E646">SUM(F133:O133*'Tech Parameters'!$BA352:$BJ352*'Tech Parameters'!I80:R80)</f>
        <v>0</v>
      </c>
      <c r="F646">
        <f t="array" ref="F646">SUM(G133:P133*'Tech Parameters'!$BA352:$BJ352*'Tech Parameters'!J80:S80)</f>
        <v>0</v>
      </c>
      <c r="G646">
        <f t="array" ref="G646">SUM(H133:Q133*'Tech Parameters'!$BA352:$BJ352*'Tech Parameters'!K80:T80)</f>
        <v>0</v>
      </c>
      <c r="H646">
        <f t="array" ref="H646">SUM(I133:R133*'Tech Parameters'!$BA352:$BJ352*'Tech Parameters'!L80:U80)</f>
        <v>0</v>
      </c>
      <c r="I646">
        <f t="array" ref="I646">SUM(J133:S133*'Tech Parameters'!$BA352:$BJ352*'Tech Parameters'!M80:V80)</f>
        <v>0</v>
      </c>
      <c r="J646">
        <f t="array" ref="J646">SUM(K133:T133*'Tech Parameters'!$BA352:$BJ352*'Tech Parameters'!N80:W80)</f>
        <v>0</v>
      </c>
      <c r="K646">
        <f t="array" ref="K646">SUM(L133:U133*'Tech Parameters'!$BA352:$BJ352*'Tech Parameters'!O80:X80)</f>
        <v>0</v>
      </c>
      <c r="L646">
        <f t="array" ref="L646">SUM(M133:V133*'Tech Parameters'!$BA352:$BJ352*'Tech Parameters'!P80:Y80)</f>
        <v>0</v>
      </c>
      <c r="M646">
        <f t="array" ref="M646">SUM(N133:W133*'Tech Parameters'!$BA352:$BJ352*'Tech Parameters'!Q80:Z80)</f>
        <v>0</v>
      </c>
      <c r="N646">
        <f t="array" ref="N646">SUM(O133:X133*'Tech Parameters'!$BA352:$BJ352*'Tech Parameters'!R80:AA80)</f>
        <v>0</v>
      </c>
      <c r="O646">
        <f t="array" ref="O646">SUM(P133:Y133*'Tech Parameters'!$BA352:$BJ352*'Tech Parameters'!S80:AB80)</f>
        <v>0</v>
      </c>
      <c r="P646">
        <f t="array" ref="P646">SUM(Q133:Z133*'Tech Parameters'!$BA352:$BJ352*'Tech Parameters'!T80:AC80)</f>
        <v>0</v>
      </c>
      <c r="Q646">
        <f t="array" ref="Q646">SUM(R133:AA133*'Tech Parameters'!$BA352:$BJ352*'Tech Parameters'!U80:AD80)</f>
        <v>0</v>
      </c>
      <c r="R646">
        <f t="array" ref="R646">SUM(S133:AB133*'Tech Parameters'!$BA352:$BJ352*'Tech Parameters'!V80:AE80)</f>
        <v>0</v>
      </c>
      <c r="S646">
        <f t="array" ref="S646">SUM(T133:AC133*'Tech Parameters'!$BA352:$BJ352*'Tech Parameters'!W80:AF80)</f>
        <v>0</v>
      </c>
      <c r="T646">
        <f t="array" aca="1" ref="T646" ca="1">SUM(U133:AD133*'Tech Parameters'!$BA352:$BJ352*'Tech Parameters'!X80:AG80)</f>
        <v>0</v>
      </c>
      <c r="U646">
        <f t="array" aca="1" ref="U646" ca="1">SUM(V133:AE133*'Tech Parameters'!$BA352:$BJ352*'Tech Parameters'!Y80:AH80)</f>
        <v>0</v>
      </c>
      <c r="V646">
        <f t="array" aca="1" ref="V646" ca="1">SUM(W133:AF133*'Tech Parameters'!$BA352:$BJ352*'Tech Parameters'!Z80:AI80)</f>
        <v>0</v>
      </c>
      <c r="W646">
        <f t="array" aca="1" ref="W646" ca="1">SUM(X133:AG133*'Tech Parameters'!$BA352:$BJ352*'Tech Parameters'!AA80:AJ80)</f>
        <v>0</v>
      </c>
      <c r="X646">
        <f t="array" aca="1" ref="X646" ca="1">SUM(Y133:AH133*'Tech Parameters'!$BA352:$BJ352*'Tech Parameters'!AB80:AK80)</f>
        <v>0</v>
      </c>
      <c r="Y646">
        <f t="array" aca="1" ref="Y646" ca="1">SUM(Z133:AI133*'Tech Parameters'!$BA352:$BJ352*'Tech Parameters'!AC80:AL80)</f>
        <v>0</v>
      </c>
      <c r="Z646">
        <f t="array" aca="1" ref="Z646" ca="1">SUM(AA133:AJ133*'Tech Parameters'!$BA352:$BJ352*'Tech Parameters'!AD80:AM80)</f>
        <v>0</v>
      </c>
      <c r="AA646">
        <f t="array" aca="1" ref="AA646" ca="1">SUM(AB133:AK133*'Tech Parameters'!$BA352:$BJ352*'Tech Parameters'!AE80:AN80)</f>
        <v>0</v>
      </c>
      <c r="AB646">
        <f t="array" aca="1" ref="AB646" ca="1">SUM(AC133:AL133*'Tech Parameters'!$BA352:$BJ352*'Tech Parameters'!AF80:AO80)</f>
        <v>0</v>
      </c>
      <c r="AC646">
        <f t="array" aca="1" ref="AC646" ca="1">SUM(AD133:AM133*'Tech Parameters'!$BA352:$BJ352*'Tech Parameters'!AG80:AP80)</f>
        <v>0</v>
      </c>
    </row>
    <row r="647" spans="3:29">
      <c r="C647" t="str">
        <f t="shared" si="266"/>
        <v>combined cycle gas</v>
      </c>
      <c r="D647">
        <f t="array" ref="D647">SUM(E134:N134*'Tech Parameters'!$BA353:$BJ353*'Tech Parameters'!H81:Q81)</f>
        <v>0</v>
      </c>
      <c r="E647">
        <f t="array" ref="E647">SUM(F134:O134*'Tech Parameters'!$BA353:$BJ353*'Tech Parameters'!I81:R81)</f>
        <v>0</v>
      </c>
      <c r="F647">
        <f t="array" ref="F647">SUM(G134:P134*'Tech Parameters'!$BA353:$BJ353*'Tech Parameters'!J81:S81)</f>
        <v>0</v>
      </c>
      <c r="G647">
        <f t="array" ref="G647">SUM(H134:Q134*'Tech Parameters'!$BA353:$BJ353*'Tech Parameters'!K81:T81)</f>
        <v>0</v>
      </c>
      <c r="H647">
        <f t="array" ref="H647">SUM(I134:R134*'Tech Parameters'!$BA353:$BJ353*'Tech Parameters'!L81:U81)</f>
        <v>0</v>
      </c>
      <c r="I647">
        <f t="array" ref="I647">SUM(J134:S134*'Tech Parameters'!$BA353:$BJ353*'Tech Parameters'!M81:V81)</f>
        <v>0</v>
      </c>
      <c r="J647">
        <f t="array" ref="J647">SUM(K134:T134*'Tech Parameters'!$BA353:$BJ353*'Tech Parameters'!N81:W81)</f>
        <v>0</v>
      </c>
      <c r="K647">
        <f t="array" ref="K647">SUM(L134:U134*'Tech Parameters'!$BA353:$BJ353*'Tech Parameters'!O81:X81)</f>
        <v>0</v>
      </c>
      <c r="L647">
        <f t="array" ref="L647">SUM(M134:V134*'Tech Parameters'!$BA353:$BJ353*'Tech Parameters'!P81:Y81)</f>
        <v>0</v>
      </c>
      <c r="M647">
        <f t="array" ref="M647">SUM(N134:W134*'Tech Parameters'!$BA353:$BJ353*'Tech Parameters'!Q81:Z81)</f>
        <v>0</v>
      </c>
      <c r="N647">
        <f t="array" ref="N647">SUM(O134:X134*'Tech Parameters'!$BA353:$BJ353*'Tech Parameters'!R81:AA81)</f>
        <v>0</v>
      </c>
      <c r="O647">
        <f t="array" ref="O647">SUM(P134:Y134*'Tech Parameters'!$BA353:$BJ353*'Tech Parameters'!S81:AB81)</f>
        <v>0</v>
      </c>
      <c r="P647">
        <f t="array" ref="P647">SUM(Q134:Z134*'Tech Parameters'!$BA353:$BJ353*'Tech Parameters'!T81:AC81)</f>
        <v>0</v>
      </c>
      <c r="Q647">
        <f t="array" ref="Q647">SUM(R134:AA134*'Tech Parameters'!$BA353:$BJ353*'Tech Parameters'!U81:AD81)</f>
        <v>0</v>
      </c>
      <c r="R647">
        <f t="array" ref="R647">SUM(S134:AB134*'Tech Parameters'!$BA353:$BJ353*'Tech Parameters'!V81:AE81)</f>
        <v>0</v>
      </c>
      <c r="S647">
        <f t="array" ref="S647">SUM(T134:AC134*'Tech Parameters'!$BA353:$BJ353*'Tech Parameters'!W81:AF81)</f>
        <v>0</v>
      </c>
      <c r="T647">
        <f t="array" aca="1" ref="T647" ca="1">SUM(U134:AD134*'Tech Parameters'!$BA353:$BJ353*'Tech Parameters'!X81:AG81)</f>
        <v>0</v>
      </c>
      <c r="U647">
        <f t="array" aca="1" ref="U647" ca="1">SUM(V134:AE134*'Tech Parameters'!$BA353:$BJ353*'Tech Parameters'!Y81:AH81)</f>
        <v>0</v>
      </c>
      <c r="V647">
        <f t="array" aca="1" ref="V647" ca="1">SUM(W134:AF134*'Tech Parameters'!$BA353:$BJ353*'Tech Parameters'!Z81:AI81)</f>
        <v>0</v>
      </c>
      <c r="W647">
        <f t="array" aca="1" ref="W647" ca="1">SUM(X134:AG134*'Tech Parameters'!$BA353:$BJ353*'Tech Parameters'!AA81:AJ81)</f>
        <v>0</v>
      </c>
      <c r="X647">
        <f t="array" aca="1" ref="X647" ca="1">SUM(Y134:AH134*'Tech Parameters'!$BA353:$BJ353*'Tech Parameters'!AB81:AK81)</f>
        <v>0</v>
      </c>
      <c r="Y647">
        <f t="array" aca="1" ref="Y647" ca="1">SUM(Z134:AI134*'Tech Parameters'!$BA353:$BJ353*'Tech Parameters'!AC81:AL81)</f>
        <v>0</v>
      </c>
      <c r="Z647">
        <f t="array" aca="1" ref="Z647" ca="1">SUM(AA134:AJ134*'Tech Parameters'!$BA353:$BJ353*'Tech Parameters'!AD81:AM81)</f>
        <v>0</v>
      </c>
      <c r="AA647">
        <f t="array" aca="1" ref="AA647" ca="1">SUM(AB134:AK134*'Tech Parameters'!$BA353:$BJ353*'Tech Parameters'!AE81:AN81)</f>
        <v>0</v>
      </c>
      <c r="AB647">
        <f t="array" aca="1" ref="AB647" ca="1">SUM(AC134:AL134*'Tech Parameters'!$BA353:$BJ353*'Tech Parameters'!AF81:AO81)</f>
        <v>0</v>
      </c>
      <c r="AC647">
        <f t="array" aca="1" ref="AC647" ca="1">SUM(AD134:AM134*'Tech Parameters'!$BA353:$BJ353*'Tech Parameters'!AG81:AP81)</f>
        <v>0</v>
      </c>
    </row>
    <row r="648" spans="3:29">
      <c r="C648" t="str">
        <f t="shared" si="266"/>
        <v>PBMR</v>
      </c>
      <c r="D648">
        <f t="array" ref="D648">SUM(E135:N135*'Tech Parameters'!$BA354:$BJ354*'Tech Parameters'!H82:Q82)</f>
        <v>0</v>
      </c>
      <c r="E648">
        <f t="array" ref="E648">SUM(F135:O135*'Tech Parameters'!$BA354:$BJ354*'Tech Parameters'!I82:R82)</f>
        <v>0</v>
      </c>
      <c r="F648">
        <f t="array" ref="F648">SUM(G135:P135*'Tech Parameters'!$BA354:$BJ354*'Tech Parameters'!J82:S82)</f>
        <v>0</v>
      </c>
      <c r="G648">
        <f t="array" ref="G648">SUM(H135:Q135*'Tech Parameters'!$BA354:$BJ354*'Tech Parameters'!K82:T82)</f>
        <v>0</v>
      </c>
      <c r="H648">
        <f t="array" ref="H648">SUM(I135:R135*'Tech Parameters'!$BA354:$BJ354*'Tech Parameters'!L82:U82)</f>
        <v>0</v>
      </c>
      <c r="I648">
        <f t="array" ref="I648">SUM(J135:S135*'Tech Parameters'!$BA354:$BJ354*'Tech Parameters'!M82:V82)</f>
        <v>0</v>
      </c>
      <c r="J648">
        <f t="array" ref="J648">SUM(K135:T135*'Tech Parameters'!$BA354:$BJ354*'Tech Parameters'!N82:W82)</f>
        <v>0</v>
      </c>
      <c r="K648">
        <f t="array" ref="K648">SUM(L135:U135*'Tech Parameters'!$BA354:$BJ354*'Tech Parameters'!O82:X82)</f>
        <v>0</v>
      </c>
      <c r="L648">
        <f t="array" ref="L648">SUM(M135:V135*'Tech Parameters'!$BA354:$BJ354*'Tech Parameters'!P82:Y82)</f>
        <v>0</v>
      </c>
      <c r="M648">
        <f t="array" ref="M648">SUM(N135:W135*'Tech Parameters'!$BA354:$BJ354*'Tech Parameters'!Q82:Z82)</f>
        <v>0</v>
      </c>
      <c r="N648">
        <f t="array" ref="N648">SUM(O135:X135*'Tech Parameters'!$BA354:$BJ354*'Tech Parameters'!R82:AA82)</f>
        <v>0</v>
      </c>
      <c r="O648">
        <f t="array" ref="O648">SUM(P135:Y135*'Tech Parameters'!$BA354:$BJ354*'Tech Parameters'!S82:AB82)</f>
        <v>0</v>
      </c>
      <c r="P648">
        <f t="array" ref="P648">SUM(Q135:Z135*'Tech Parameters'!$BA354:$BJ354*'Tech Parameters'!T82:AC82)</f>
        <v>0</v>
      </c>
      <c r="Q648">
        <f t="array" ref="Q648">SUM(R135:AA135*'Tech Parameters'!$BA354:$BJ354*'Tech Parameters'!U82:AD82)</f>
        <v>0</v>
      </c>
      <c r="R648">
        <f t="array" ref="R648">SUM(S135:AB135*'Tech Parameters'!$BA354:$BJ354*'Tech Parameters'!V82:AE82)</f>
        <v>0</v>
      </c>
      <c r="S648">
        <f t="array" ref="S648">SUM(T135:AC135*'Tech Parameters'!$BA354:$BJ354*'Tech Parameters'!W82:AF82)</f>
        <v>0</v>
      </c>
      <c r="T648">
        <f t="array" aca="1" ref="T648" ca="1">SUM(U135:AD135*'Tech Parameters'!$BA354:$BJ354*'Tech Parameters'!X82:AG82)</f>
        <v>0</v>
      </c>
      <c r="U648">
        <f t="array" aca="1" ref="U648" ca="1">SUM(V135:AE135*'Tech Parameters'!$BA354:$BJ354*'Tech Parameters'!Y82:AH82)</f>
        <v>0</v>
      </c>
      <c r="V648">
        <f t="array" aca="1" ref="V648" ca="1">SUM(W135:AF135*'Tech Parameters'!$BA354:$BJ354*'Tech Parameters'!Z82:AI82)</f>
        <v>0</v>
      </c>
      <c r="W648">
        <f t="array" aca="1" ref="W648" ca="1">SUM(X135:AG135*'Tech Parameters'!$BA354:$BJ354*'Tech Parameters'!AA82:AJ82)</f>
        <v>0</v>
      </c>
      <c r="X648">
        <f t="array" aca="1" ref="X648" ca="1">SUM(Y135:AH135*'Tech Parameters'!$BA354:$BJ354*'Tech Parameters'!AB82:AK82)</f>
        <v>0</v>
      </c>
      <c r="Y648">
        <f t="array" aca="1" ref="Y648" ca="1">SUM(Z135:AI135*'Tech Parameters'!$BA354:$BJ354*'Tech Parameters'!AC82:AL82)</f>
        <v>0</v>
      </c>
      <c r="Z648">
        <f t="array" aca="1" ref="Z648" ca="1">SUM(AA135:AJ135*'Tech Parameters'!$BA354:$BJ354*'Tech Parameters'!AD82:AM82)</f>
        <v>0</v>
      </c>
      <c r="AA648">
        <f t="array" aca="1" ref="AA648" ca="1">SUM(AB135:AK135*'Tech Parameters'!$BA354:$BJ354*'Tech Parameters'!AE82:AN82)</f>
        <v>0</v>
      </c>
      <c r="AB648">
        <f t="array" aca="1" ref="AB648" ca="1">SUM(AC135:AL135*'Tech Parameters'!$BA354:$BJ354*'Tech Parameters'!AF82:AO82)</f>
        <v>0</v>
      </c>
      <c r="AC648">
        <f t="array" aca="1" ref="AC648" ca="1">SUM(AD135:AM135*'Tech Parameters'!$BA354:$BJ354*'Tech Parameters'!AG82:AP82)</f>
        <v>0</v>
      </c>
    </row>
    <row r="649" spans="3:29">
      <c r="C649" t="str">
        <f t="shared" si="266"/>
        <v>IGCC</v>
      </c>
      <c r="D649">
        <f t="array" ref="D649">SUM(E136:N136*'Tech Parameters'!$BA355:$BJ355*'Tech Parameters'!H83:Q83)</f>
        <v>0</v>
      </c>
      <c r="E649">
        <f t="array" ref="E649">SUM(F136:O136*'Tech Parameters'!$BA355:$BJ355*'Tech Parameters'!I83:R83)</f>
        <v>0</v>
      </c>
      <c r="F649">
        <f t="array" ref="F649">SUM(G136:P136*'Tech Parameters'!$BA355:$BJ355*'Tech Parameters'!J83:S83)</f>
        <v>0</v>
      </c>
      <c r="G649">
        <f t="array" ref="G649">SUM(H136:Q136*'Tech Parameters'!$BA355:$BJ355*'Tech Parameters'!K83:T83)</f>
        <v>0</v>
      </c>
      <c r="H649">
        <f t="array" ref="H649">SUM(I136:R136*'Tech Parameters'!$BA355:$BJ355*'Tech Parameters'!L83:U83)</f>
        <v>0</v>
      </c>
      <c r="I649">
        <f t="array" ref="I649">SUM(J136:S136*'Tech Parameters'!$BA355:$BJ355*'Tech Parameters'!M83:V83)</f>
        <v>0</v>
      </c>
      <c r="J649">
        <f t="array" ref="J649">SUM(K136:T136*'Tech Parameters'!$BA355:$BJ355*'Tech Parameters'!N83:W83)</f>
        <v>0</v>
      </c>
      <c r="K649">
        <f t="array" ref="K649">SUM(L136:U136*'Tech Parameters'!$BA355:$BJ355*'Tech Parameters'!O83:X83)</f>
        <v>0</v>
      </c>
      <c r="L649">
        <f t="array" ref="L649">SUM(M136:V136*'Tech Parameters'!$BA355:$BJ355*'Tech Parameters'!P83:Y83)</f>
        <v>0</v>
      </c>
      <c r="M649">
        <f t="array" ref="M649">SUM(N136:W136*'Tech Parameters'!$BA355:$BJ355*'Tech Parameters'!Q83:Z83)</f>
        <v>0</v>
      </c>
      <c r="N649">
        <f t="array" ref="N649">SUM(O136:X136*'Tech Parameters'!$BA355:$BJ355*'Tech Parameters'!R83:AA83)</f>
        <v>0</v>
      </c>
      <c r="O649">
        <f t="array" ref="O649">SUM(P136:Y136*'Tech Parameters'!$BA355:$BJ355*'Tech Parameters'!S83:AB83)</f>
        <v>0</v>
      </c>
      <c r="P649">
        <f t="array" ref="P649">SUM(Q136:Z136*'Tech Parameters'!$BA355:$BJ355*'Tech Parameters'!T83:AC83)</f>
        <v>0</v>
      </c>
      <c r="Q649">
        <f t="array" ref="Q649">SUM(R136:AA136*'Tech Parameters'!$BA355:$BJ355*'Tech Parameters'!U83:AD83)</f>
        <v>0</v>
      </c>
      <c r="R649">
        <f t="array" ref="R649">SUM(S136:AB136*'Tech Parameters'!$BA355:$BJ355*'Tech Parameters'!V83:AE83)</f>
        <v>0</v>
      </c>
      <c r="S649">
        <f t="array" ref="S649">SUM(T136:AC136*'Tech Parameters'!$BA355:$BJ355*'Tech Parameters'!W83:AF83)</f>
        <v>0</v>
      </c>
      <c r="T649">
        <f t="array" aca="1" ref="T649" ca="1">SUM(U136:AD136*'Tech Parameters'!$BA355:$BJ355*'Tech Parameters'!X83:AG83)</f>
        <v>0</v>
      </c>
      <c r="U649">
        <f t="array" aca="1" ref="U649" ca="1">SUM(V136:AE136*'Tech Parameters'!$BA355:$BJ355*'Tech Parameters'!Y83:AH83)</f>
        <v>0</v>
      </c>
      <c r="V649">
        <f t="array" aca="1" ref="V649" ca="1">SUM(W136:AF136*'Tech Parameters'!$BA355:$BJ355*'Tech Parameters'!Z83:AI83)</f>
        <v>0</v>
      </c>
      <c r="W649">
        <f t="array" aca="1" ref="W649" ca="1">SUM(X136:AG136*'Tech Parameters'!$BA355:$BJ355*'Tech Parameters'!AA83:AJ83)</f>
        <v>0</v>
      </c>
      <c r="X649">
        <f t="array" aca="1" ref="X649" ca="1">SUM(Y136:AH136*'Tech Parameters'!$BA355:$BJ355*'Tech Parameters'!AB83:AK83)</f>
        <v>0</v>
      </c>
      <c r="Y649">
        <f t="array" aca="1" ref="Y649" ca="1">SUM(Z136:AI136*'Tech Parameters'!$BA355:$BJ355*'Tech Parameters'!AC83:AL83)</f>
        <v>0</v>
      </c>
      <c r="Z649">
        <f t="array" aca="1" ref="Z649" ca="1">SUM(AA136:AJ136*'Tech Parameters'!$BA355:$BJ355*'Tech Parameters'!AD83:AM83)</f>
        <v>0</v>
      </c>
      <c r="AA649">
        <f t="array" aca="1" ref="AA649" ca="1">SUM(AB136:AK136*'Tech Parameters'!$BA355:$BJ355*'Tech Parameters'!AE83:AN83)</f>
        <v>0</v>
      </c>
      <c r="AB649">
        <f t="array" aca="1" ref="AB649" ca="1">SUM(AC136:AL136*'Tech Parameters'!$BA355:$BJ355*'Tech Parameters'!AF83:AO83)</f>
        <v>0</v>
      </c>
      <c r="AC649">
        <f t="array" aca="1" ref="AC649" ca="1">SUM(AD136:AM136*'Tech Parameters'!$BA355:$BJ355*'Tech Parameters'!AG83:AP83)</f>
        <v>0</v>
      </c>
    </row>
    <row r="650" spans="3:29">
      <c r="C650" t="str">
        <f t="shared" si="266"/>
        <v>-</v>
      </c>
      <c r="D650">
        <f t="array" ref="D650">SUM(E137:N137*'Tech Parameters'!$BA356:$BJ356*'Tech Parameters'!H84:Q84)</f>
        <v>0</v>
      </c>
      <c r="E650">
        <f t="array" ref="E650">SUM(F137:O137*'Tech Parameters'!$BA356:$BJ356*'Tech Parameters'!I84:R84)</f>
        <v>0</v>
      </c>
      <c r="F650">
        <f t="array" ref="F650">SUM(G137:P137*'Tech Parameters'!$BA356:$BJ356*'Tech Parameters'!J84:S84)</f>
        <v>0</v>
      </c>
      <c r="G650">
        <f t="array" ref="G650">SUM(H137:Q137*'Tech Parameters'!$BA356:$BJ356*'Tech Parameters'!K84:T84)</f>
        <v>0</v>
      </c>
      <c r="H650">
        <f t="array" ref="H650">SUM(I137:R137*'Tech Parameters'!$BA356:$BJ356*'Tech Parameters'!L84:U84)</f>
        <v>0</v>
      </c>
      <c r="I650">
        <f t="array" ref="I650">SUM(J137:S137*'Tech Parameters'!$BA356:$BJ356*'Tech Parameters'!M84:V84)</f>
        <v>0</v>
      </c>
      <c r="J650">
        <f t="array" ref="J650">SUM(K137:T137*'Tech Parameters'!$BA356:$BJ356*'Tech Parameters'!N84:W84)</f>
        <v>0</v>
      </c>
      <c r="K650">
        <f t="array" ref="K650">SUM(L137:U137*'Tech Parameters'!$BA356:$BJ356*'Tech Parameters'!O84:X84)</f>
        <v>0</v>
      </c>
      <c r="L650">
        <f t="array" ref="L650">SUM(M137:V137*'Tech Parameters'!$BA356:$BJ356*'Tech Parameters'!P84:Y84)</f>
        <v>0</v>
      </c>
      <c r="M650">
        <f t="array" ref="M650">SUM(N137:W137*'Tech Parameters'!$BA356:$BJ356*'Tech Parameters'!Q84:Z84)</f>
        <v>0</v>
      </c>
      <c r="N650">
        <f t="array" ref="N650">SUM(O137:X137*'Tech Parameters'!$BA356:$BJ356*'Tech Parameters'!R84:AA84)</f>
        <v>0</v>
      </c>
      <c r="O650">
        <f t="array" ref="O650">SUM(P137:Y137*'Tech Parameters'!$BA356:$BJ356*'Tech Parameters'!S84:AB84)</f>
        <v>0</v>
      </c>
      <c r="P650">
        <f t="array" ref="P650">SUM(Q137:Z137*'Tech Parameters'!$BA356:$BJ356*'Tech Parameters'!T84:AC84)</f>
        <v>0</v>
      </c>
      <c r="Q650">
        <f t="array" ref="Q650">SUM(R137:AA137*'Tech Parameters'!$BA356:$BJ356*'Tech Parameters'!U84:AD84)</f>
        <v>0</v>
      </c>
      <c r="R650">
        <f t="array" ref="R650">SUM(S137:AB137*'Tech Parameters'!$BA356:$BJ356*'Tech Parameters'!V84:AE84)</f>
        <v>0</v>
      </c>
      <c r="S650">
        <f t="array" ref="S650">SUM(T137:AC137*'Tech Parameters'!$BA356:$BJ356*'Tech Parameters'!W84:AF84)</f>
        <v>0</v>
      </c>
      <c r="T650">
        <f t="array" aca="1" ref="T650" ca="1">SUM(U137:AD137*'Tech Parameters'!$BA356:$BJ356*'Tech Parameters'!X84:AG84)</f>
        <v>0</v>
      </c>
      <c r="U650">
        <f t="array" aca="1" ref="U650" ca="1">SUM(V137:AE137*'Tech Parameters'!$BA356:$BJ356*'Tech Parameters'!Y84:AH84)</f>
        <v>0</v>
      </c>
      <c r="V650">
        <f t="array" aca="1" ref="V650" ca="1">SUM(W137:AF137*'Tech Parameters'!$BA356:$BJ356*'Tech Parameters'!Z84:AI84)</f>
        <v>0</v>
      </c>
      <c r="W650">
        <f t="array" aca="1" ref="W650" ca="1">SUM(X137:AG137*'Tech Parameters'!$BA356:$BJ356*'Tech Parameters'!AA84:AJ84)</f>
        <v>0</v>
      </c>
      <c r="X650">
        <f t="array" aca="1" ref="X650" ca="1">SUM(Y137:AH137*'Tech Parameters'!$BA356:$BJ356*'Tech Parameters'!AB84:AK84)</f>
        <v>0</v>
      </c>
      <c r="Y650">
        <f t="array" aca="1" ref="Y650" ca="1">SUM(Z137:AI137*'Tech Parameters'!$BA356:$BJ356*'Tech Parameters'!AC84:AL84)</f>
        <v>0</v>
      </c>
      <c r="Z650">
        <f t="array" aca="1" ref="Z650" ca="1">SUM(AA137:AJ137*'Tech Parameters'!$BA356:$BJ356*'Tech Parameters'!AD84:AM84)</f>
        <v>0</v>
      </c>
      <c r="AA650">
        <f t="array" aca="1" ref="AA650" ca="1">SUM(AB137:AK137*'Tech Parameters'!$BA356:$BJ356*'Tech Parameters'!AE84:AN84)</f>
        <v>0</v>
      </c>
      <c r="AB650">
        <f t="array" aca="1" ref="AB650" ca="1">SUM(AC137:AL137*'Tech Parameters'!$BA356:$BJ356*'Tech Parameters'!AF84:AO84)</f>
        <v>0</v>
      </c>
      <c r="AC650">
        <f t="array" aca="1" ref="AC650" ca="1">SUM(AD137:AM137*'Tech Parameters'!$BA356:$BJ356*'Tech Parameters'!AG84:AP84)</f>
        <v>0</v>
      </c>
    </row>
    <row r="651" spans="3:29">
      <c r="C651" t="str">
        <f t="shared" si="266"/>
        <v>-</v>
      </c>
      <c r="D651">
        <f t="array" ref="D651">SUM(E138:N138*'Tech Parameters'!$BA357:$BJ357*'Tech Parameters'!H85:Q85)</f>
        <v>0</v>
      </c>
      <c r="E651">
        <f t="array" ref="E651">SUM(F138:O138*'Tech Parameters'!$BA357:$BJ357*'Tech Parameters'!I85:R85)</f>
        <v>0</v>
      </c>
      <c r="F651">
        <f t="array" ref="F651">SUM(G138:P138*'Tech Parameters'!$BA357:$BJ357*'Tech Parameters'!J85:S85)</f>
        <v>0</v>
      </c>
      <c r="G651">
        <f t="array" ref="G651">SUM(H138:Q138*'Tech Parameters'!$BA357:$BJ357*'Tech Parameters'!K85:T85)</f>
        <v>0</v>
      </c>
      <c r="H651">
        <f t="array" ref="H651">SUM(I138:R138*'Tech Parameters'!$BA357:$BJ357*'Tech Parameters'!L85:U85)</f>
        <v>0</v>
      </c>
      <c r="I651">
        <f t="array" ref="I651">SUM(J138:S138*'Tech Parameters'!$BA357:$BJ357*'Tech Parameters'!M85:V85)</f>
        <v>0</v>
      </c>
      <c r="J651">
        <f t="array" ref="J651">SUM(K138:T138*'Tech Parameters'!$BA357:$BJ357*'Tech Parameters'!N85:W85)</f>
        <v>0</v>
      </c>
      <c r="K651">
        <f t="array" ref="K651">SUM(L138:U138*'Tech Parameters'!$BA357:$BJ357*'Tech Parameters'!O85:X85)</f>
        <v>0</v>
      </c>
      <c r="L651">
        <f t="array" ref="L651">SUM(M138:V138*'Tech Parameters'!$BA357:$BJ357*'Tech Parameters'!P85:Y85)</f>
        <v>0</v>
      </c>
      <c r="M651">
        <f t="array" ref="M651">SUM(N138:W138*'Tech Parameters'!$BA357:$BJ357*'Tech Parameters'!Q85:Z85)</f>
        <v>0</v>
      </c>
      <c r="N651">
        <f t="array" ref="N651">SUM(O138:X138*'Tech Parameters'!$BA357:$BJ357*'Tech Parameters'!R85:AA85)</f>
        <v>0</v>
      </c>
      <c r="O651">
        <f t="array" ref="O651">SUM(P138:Y138*'Tech Parameters'!$BA357:$BJ357*'Tech Parameters'!S85:AB85)</f>
        <v>0</v>
      </c>
      <c r="P651">
        <f t="array" ref="P651">SUM(Q138:Z138*'Tech Parameters'!$BA357:$BJ357*'Tech Parameters'!T85:AC85)</f>
        <v>0</v>
      </c>
      <c r="Q651">
        <f t="array" ref="Q651">SUM(R138:AA138*'Tech Parameters'!$BA357:$BJ357*'Tech Parameters'!U85:AD85)</f>
        <v>0</v>
      </c>
      <c r="R651">
        <f t="array" ref="R651">SUM(S138:AB138*'Tech Parameters'!$BA357:$BJ357*'Tech Parameters'!V85:AE85)</f>
        <v>0</v>
      </c>
      <c r="S651">
        <f t="array" ref="S651">SUM(T138:AC138*'Tech Parameters'!$BA357:$BJ357*'Tech Parameters'!W85:AF85)</f>
        <v>0</v>
      </c>
      <c r="T651">
        <f t="array" aca="1" ref="T651" ca="1">SUM(U138:AD138*'Tech Parameters'!$BA357:$BJ357*'Tech Parameters'!X85:AG85)</f>
        <v>0</v>
      </c>
      <c r="U651">
        <f t="array" aca="1" ref="U651" ca="1">SUM(V138:AE138*'Tech Parameters'!$BA357:$BJ357*'Tech Parameters'!Y85:AH85)</f>
        <v>0</v>
      </c>
      <c r="V651">
        <f t="array" aca="1" ref="V651" ca="1">SUM(W138:AF138*'Tech Parameters'!$BA357:$BJ357*'Tech Parameters'!Z85:AI85)</f>
        <v>0</v>
      </c>
      <c r="W651">
        <f t="array" aca="1" ref="W651" ca="1">SUM(X138:AG138*'Tech Parameters'!$BA357:$BJ357*'Tech Parameters'!AA85:AJ85)</f>
        <v>0</v>
      </c>
      <c r="X651">
        <f t="array" aca="1" ref="X651" ca="1">SUM(Y138:AH138*'Tech Parameters'!$BA357:$BJ357*'Tech Parameters'!AB85:AK85)</f>
        <v>0</v>
      </c>
      <c r="Y651">
        <f t="array" aca="1" ref="Y651" ca="1">SUM(Z138:AI138*'Tech Parameters'!$BA357:$BJ357*'Tech Parameters'!AC85:AL85)</f>
        <v>0</v>
      </c>
      <c r="Z651">
        <f t="array" aca="1" ref="Z651" ca="1">SUM(AA138:AJ138*'Tech Parameters'!$BA357:$BJ357*'Tech Parameters'!AD85:AM85)</f>
        <v>0</v>
      </c>
      <c r="AA651">
        <f t="array" aca="1" ref="AA651" ca="1">SUM(AB138:AK138*'Tech Parameters'!$BA357:$BJ357*'Tech Parameters'!AE85:AN85)</f>
        <v>0</v>
      </c>
      <c r="AB651">
        <f t="array" aca="1" ref="AB651" ca="1">SUM(AC138:AL138*'Tech Parameters'!$BA357:$BJ357*'Tech Parameters'!AF85:AO85)</f>
        <v>0</v>
      </c>
      <c r="AC651">
        <f t="array" aca="1" ref="AC651" ca="1">SUM(AD138:AM138*'Tech Parameters'!$BA357:$BJ357*'Tech Parameters'!AG85:AP85)</f>
        <v>0</v>
      </c>
    </row>
    <row r="652" spans="3:29">
      <c r="C652" t="str">
        <f t="shared" si="266"/>
        <v>-</v>
      </c>
      <c r="D652">
        <f t="array" ref="D652">SUM(E139:N139*'Tech Parameters'!$BA358:$BJ358*'Tech Parameters'!H86:Q86)</f>
        <v>0</v>
      </c>
      <c r="E652">
        <f t="array" ref="E652">SUM(F139:O139*'Tech Parameters'!$BA358:$BJ358*'Tech Parameters'!I86:R86)</f>
        <v>0</v>
      </c>
      <c r="F652">
        <f t="array" ref="F652">SUM(G139:P139*'Tech Parameters'!$BA358:$BJ358*'Tech Parameters'!J86:S86)</f>
        <v>0</v>
      </c>
      <c r="G652">
        <f t="array" ref="G652">SUM(H139:Q139*'Tech Parameters'!$BA358:$BJ358*'Tech Parameters'!K86:T86)</f>
        <v>0</v>
      </c>
      <c r="H652">
        <f t="array" ref="H652">SUM(I139:R139*'Tech Parameters'!$BA358:$BJ358*'Tech Parameters'!L86:U86)</f>
        <v>0</v>
      </c>
      <c r="I652">
        <f t="array" ref="I652">SUM(J139:S139*'Tech Parameters'!$BA358:$BJ358*'Tech Parameters'!M86:V86)</f>
        <v>0</v>
      </c>
      <c r="J652">
        <f t="array" ref="J652">SUM(K139:T139*'Tech Parameters'!$BA358:$BJ358*'Tech Parameters'!N86:W86)</f>
        <v>0</v>
      </c>
      <c r="K652">
        <f t="array" ref="K652">SUM(L139:U139*'Tech Parameters'!$BA358:$BJ358*'Tech Parameters'!O86:X86)</f>
        <v>0</v>
      </c>
      <c r="L652">
        <f t="array" ref="L652">SUM(M139:V139*'Tech Parameters'!$BA358:$BJ358*'Tech Parameters'!P86:Y86)</f>
        <v>0</v>
      </c>
      <c r="M652">
        <f t="array" ref="M652">SUM(N139:W139*'Tech Parameters'!$BA358:$BJ358*'Tech Parameters'!Q86:Z86)</f>
        <v>0</v>
      </c>
      <c r="N652">
        <f t="array" ref="N652">SUM(O139:X139*'Tech Parameters'!$BA358:$BJ358*'Tech Parameters'!R86:AA86)</f>
        <v>0</v>
      </c>
      <c r="O652">
        <f t="array" ref="O652">SUM(P139:Y139*'Tech Parameters'!$BA358:$BJ358*'Tech Parameters'!S86:AB86)</f>
        <v>0</v>
      </c>
      <c r="P652">
        <f t="array" ref="P652">SUM(Q139:Z139*'Tech Parameters'!$BA358:$BJ358*'Tech Parameters'!T86:AC86)</f>
        <v>0</v>
      </c>
      <c r="Q652">
        <f t="array" ref="Q652">SUM(R139:AA139*'Tech Parameters'!$BA358:$BJ358*'Tech Parameters'!U86:AD86)</f>
        <v>0</v>
      </c>
      <c r="R652">
        <f t="array" ref="R652">SUM(S139:AB139*'Tech Parameters'!$BA358:$BJ358*'Tech Parameters'!V86:AE86)</f>
        <v>0</v>
      </c>
      <c r="S652">
        <f t="array" ref="S652">SUM(T139:AC139*'Tech Parameters'!$BA358:$BJ358*'Tech Parameters'!W86:AF86)</f>
        <v>0</v>
      </c>
      <c r="T652">
        <f t="array" aca="1" ref="T652" ca="1">SUM(U139:AD139*'Tech Parameters'!$BA358:$BJ358*'Tech Parameters'!X86:AG86)</f>
        <v>0</v>
      </c>
      <c r="U652">
        <f t="array" aca="1" ref="U652" ca="1">SUM(V139:AE139*'Tech Parameters'!$BA358:$BJ358*'Tech Parameters'!Y86:AH86)</f>
        <v>0</v>
      </c>
      <c r="V652">
        <f t="array" aca="1" ref="V652" ca="1">SUM(W139:AF139*'Tech Parameters'!$BA358:$BJ358*'Tech Parameters'!Z86:AI86)</f>
        <v>0</v>
      </c>
      <c r="W652">
        <f t="array" aca="1" ref="W652" ca="1">SUM(X139:AG139*'Tech Parameters'!$BA358:$BJ358*'Tech Parameters'!AA86:AJ86)</f>
        <v>0</v>
      </c>
      <c r="X652">
        <f t="array" aca="1" ref="X652" ca="1">SUM(Y139:AH139*'Tech Parameters'!$BA358:$BJ358*'Tech Parameters'!AB86:AK86)</f>
        <v>0</v>
      </c>
      <c r="Y652">
        <f t="array" aca="1" ref="Y652" ca="1">SUM(Z139:AI139*'Tech Parameters'!$BA358:$BJ358*'Tech Parameters'!AC86:AL86)</f>
        <v>0</v>
      </c>
      <c r="Z652">
        <f t="array" aca="1" ref="Z652" ca="1">SUM(AA139:AJ139*'Tech Parameters'!$BA358:$BJ358*'Tech Parameters'!AD86:AM86)</f>
        <v>0</v>
      </c>
      <c r="AA652">
        <f t="array" aca="1" ref="AA652" ca="1">SUM(AB139:AK139*'Tech Parameters'!$BA358:$BJ358*'Tech Parameters'!AE86:AN86)</f>
        <v>0</v>
      </c>
      <c r="AB652">
        <f t="array" aca="1" ref="AB652" ca="1">SUM(AC139:AL139*'Tech Parameters'!$BA358:$BJ358*'Tech Parameters'!AF86:AO86)</f>
        <v>0</v>
      </c>
      <c r="AC652">
        <f t="array" aca="1" ref="AC652" ca="1">SUM(AD139:AM139*'Tech Parameters'!$BA358:$BJ358*'Tech Parameters'!AG86:AP86)</f>
        <v>0</v>
      </c>
    </row>
    <row r="653" spans="3:29">
      <c r="C653" t="str">
        <f t="shared" si="266"/>
        <v>Pumped storage</v>
      </c>
      <c r="D653">
        <f t="array" ref="D653">SUM(E140:N140*'Tech Parameters'!$BA359:$BJ359*'Tech Parameters'!H87:Q87)</f>
        <v>1097.8738260250962</v>
      </c>
      <c r="E653">
        <f t="array" ref="E653">SUM(F140:O140*'Tech Parameters'!$BA359:$BJ359*'Tech Parameters'!I87:R87)</f>
        <v>1097.8738260250962</v>
      </c>
      <c r="F653">
        <f t="array" ref="F653">SUM(G140:P140*'Tech Parameters'!$BA359:$BJ359*'Tech Parameters'!J87:S87)</f>
        <v>1254.7129440286812</v>
      </c>
      <c r="G653">
        <f t="array" ref="G653">SUM(H140:Q140*'Tech Parameters'!$BA359:$BJ359*'Tech Parameters'!K87:T87)</f>
        <v>1411.5520620322661</v>
      </c>
      <c r="H653">
        <f t="array" ref="H653">SUM(I140:R140*'Tech Parameters'!$BA359:$BJ359*'Tech Parameters'!L87:U87)</f>
        <v>1411.5520620322661</v>
      </c>
      <c r="I653">
        <f t="array" ref="I653">SUM(J140:S140*'Tech Parameters'!$BA359:$BJ359*'Tech Parameters'!M87:V87)</f>
        <v>1411.5520620322661</v>
      </c>
      <c r="J653">
        <f t="array" ref="J653">SUM(K140:T140*'Tech Parameters'!$BA359:$BJ359*'Tech Parameters'!N87:W87)</f>
        <v>1411.5520620322661</v>
      </c>
      <c r="K653">
        <f t="array" ref="K653">SUM(L140:U140*'Tech Parameters'!$BA359:$BJ359*'Tech Parameters'!O87:X87)</f>
        <v>1411.5520620322661</v>
      </c>
      <c r="L653">
        <f t="array" ref="L653">SUM(M140:V140*'Tech Parameters'!$BA359:$BJ359*'Tech Parameters'!P87:Y87)</f>
        <v>705.77603101613306</v>
      </c>
      <c r="M653">
        <f t="array" ref="M653">SUM(N140:W140*'Tech Parameters'!$BA359:$BJ359*'Tech Parameters'!Q87:Z87)</f>
        <v>0</v>
      </c>
      <c r="N653">
        <f t="array" ref="N653">SUM(O140:X140*'Tech Parameters'!$BA359:$BJ359*'Tech Parameters'!R87:AA87)</f>
        <v>0</v>
      </c>
      <c r="O653">
        <f t="array" ref="O653">SUM(P140:Y140*'Tech Parameters'!$BA359:$BJ359*'Tech Parameters'!S87:AB87)</f>
        <v>0</v>
      </c>
      <c r="P653">
        <f t="array" ref="P653">SUM(Q140:Z140*'Tech Parameters'!$BA359:$BJ359*'Tech Parameters'!T87:AC87)</f>
        <v>0</v>
      </c>
      <c r="Q653">
        <f t="array" ref="Q653">SUM(R140:AA140*'Tech Parameters'!$BA359:$BJ359*'Tech Parameters'!U87:AD87)</f>
        <v>0</v>
      </c>
      <c r="R653">
        <f t="array" ref="R653">SUM(S140:AB140*'Tech Parameters'!$BA359:$BJ359*'Tech Parameters'!V87:AE87)</f>
        <v>0</v>
      </c>
      <c r="S653">
        <f t="array" ref="S653">SUM(T140:AC140*'Tech Parameters'!$BA359:$BJ359*'Tech Parameters'!W87:AF87)</f>
        <v>0</v>
      </c>
      <c r="T653">
        <f t="array" aca="1" ref="T653" ca="1">SUM(U140:AD140*'Tech Parameters'!$BA359:$BJ359*'Tech Parameters'!X87:AG87)</f>
        <v>0</v>
      </c>
      <c r="U653">
        <f t="array" aca="1" ref="U653" ca="1">SUM(V140:AE140*'Tech Parameters'!$BA359:$BJ359*'Tech Parameters'!Y87:AH87)</f>
        <v>0</v>
      </c>
      <c r="V653">
        <f t="array" aca="1" ref="V653" ca="1">SUM(W140:AF140*'Tech Parameters'!$BA359:$BJ359*'Tech Parameters'!Z87:AI87)</f>
        <v>0</v>
      </c>
      <c r="W653">
        <f t="array" aca="1" ref="W653" ca="1">SUM(X140:AG140*'Tech Parameters'!$BA359:$BJ359*'Tech Parameters'!AA87:AJ87)</f>
        <v>0</v>
      </c>
      <c r="X653">
        <f t="array" aca="1" ref="X653" ca="1">SUM(Y140:AH140*'Tech Parameters'!$BA359:$BJ359*'Tech Parameters'!AB87:AK87)</f>
        <v>0</v>
      </c>
      <c r="Y653">
        <f t="array" aca="1" ref="Y653" ca="1">SUM(Z140:AI140*'Tech Parameters'!$BA359:$BJ359*'Tech Parameters'!AC87:AL87)</f>
        <v>0</v>
      </c>
      <c r="Z653">
        <f t="array" aca="1" ref="Z653" ca="1">SUM(AA140:AJ140*'Tech Parameters'!$BA359:$BJ359*'Tech Parameters'!AD87:AM87)</f>
        <v>0</v>
      </c>
      <c r="AA653">
        <f t="array" aca="1" ref="AA653" ca="1">SUM(AB140:AK140*'Tech Parameters'!$BA359:$BJ359*'Tech Parameters'!AE87:AN87)</f>
        <v>0</v>
      </c>
      <c r="AB653">
        <f t="array" aca="1" ref="AB653" ca="1">SUM(AC140:AL140*'Tech Parameters'!$BA359:$BJ359*'Tech Parameters'!AF87:AO87)</f>
        <v>0</v>
      </c>
      <c r="AC653">
        <f t="array" aca="1" ref="AC653" ca="1">SUM(AD140:AM140*'Tech Parameters'!$BA359:$BJ359*'Tech Parameters'!AG87:AP87)</f>
        <v>0</v>
      </c>
    </row>
    <row r="654" spans="3:29">
      <c r="C654" s="11" t="s">
        <v>5</v>
      </c>
      <c r="D654">
        <f t="shared" ref="D654:AC654" si="267">SUM(D634:D653)</f>
        <v>1097.8738260250962</v>
      </c>
      <c r="E654">
        <f t="shared" si="267"/>
        <v>1761.6261477687833</v>
      </c>
      <c r="F654">
        <f t="shared" si="267"/>
        <v>3317.5631937873227</v>
      </c>
      <c r="G654">
        <f t="shared" si="267"/>
        <v>5555.4917097695607</v>
      </c>
      <c r="H654">
        <f t="shared" si="267"/>
        <v>12834.169330515089</v>
      </c>
      <c r="I654">
        <f t="shared" si="267"/>
        <v>25528.032204314255</v>
      </c>
      <c r="J654">
        <f t="shared" si="267"/>
        <v>31973.873594664212</v>
      </c>
      <c r="K654">
        <f t="shared" si="267"/>
        <v>39301.781425144451</v>
      </c>
      <c r="L654">
        <f t="shared" si="267"/>
        <v>35239.720202143501</v>
      </c>
      <c r="M654">
        <f t="shared" si="267"/>
        <v>28406.544409881379</v>
      </c>
      <c r="N654">
        <f t="shared" si="267"/>
        <v>32827.545864844018</v>
      </c>
      <c r="O654">
        <f t="shared" si="267"/>
        <v>39583.845813540291</v>
      </c>
      <c r="P654">
        <f t="shared" si="267"/>
        <v>39753.338976070998</v>
      </c>
      <c r="Q654">
        <f t="shared" si="267"/>
        <v>44155.792942449931</v>
      </c>
      <c r="R654">
        <f t="shared" si="267"/>
        <v>50581.097427737965</v>
      </c>
      <c r="S654">
        <f t="shared" si="267"/>
        <v>47683.415246116805</v>
      </c>
      <c r="T654">
        <f t="shared" ca="1" si="267"/>
        <v>47145.225616274765</v>
      </c>
      <c r="U654">
        <f t="shared" ca="1" si="267"/>
        <v>54845.924619353362</v>
      </c>
      <c r="V654">
        <f t="shared" ca="1" si="267"/>
        <v>57681.290129293819</v>
      </c>
      <c r="W654">
        <f t="shared" ca="1" si="267"/>
        <v>64809.714240921028</v>
      </c>
      <c r="X654">
        <f t="shared" ca="1" si="267"/>
        <v>63978.176761261653</v>
      </c>
      <c r="Y654">
        <f t="shared" ca="1" si="267"/>
        <v>61667.763675552356</v>
      </c>
      <c r="Z654">
        <f t="shared" ca="1" si="267"/>
        <v>66747.555848146949</v>
      </c>
      <c r="AA654">
        <f t="shared" ca="1" si="267"/>
        <v>43047.267200143826</v>
      </c>
      <c r="AB654">
        <f t="shared" ca="1" si="267"/>
        <v>4071.5446938958089</v>
      </c>
      <c r="AC654">
        <f t="shared" ca="1" si="267"/>
        <v>0</v>
      </c>
    </row>
    <row r="656" spans="3:29">
      <c r="C656" s="4" t="s">
        <v>255</v>
      </c>
      <c r="F656" s="11" t="s">
        <v>272</v>
      </c>
      <c r="H656" s="21" t="str">
        <f>'Costs graphs'!AD1</f>
        <v>Existing coal Large</v>
      </c>
      <c r="I656" s="21"/>
      <c r="J656" s="21"/>
    </row>
    <row r="657" spans="2:29">
      <c r="F657" s="11" t="s">
        <v>273</v>
      </c>
      <c r="H657" s="21" t="str">
        <f>'Costs graphs'!AD2</f>
        <v>Supercritical coal</v>
      </c>
      <c r="I657" s="21"/>
      <c r="J657" s="21"/>
    </row>
    <row r="658" spans="2:29">
      <c r="C658" s="4" t="s">
        <v>257</v>
      </c>
    </row>
    <row r="660" spans="2:29">
      <c r="B660" s="11" t="s">
        <v>275</v>
      </c>
      <c r="C660" s="11" t="s">
        <v>258</v>
      </c>
      <c r="D660">
        <f t="shared" ref="D660:AC660" ca="1" si="268">SUMIF($C$634:$C$653,$H$656,D$470:D$489)</f>
        <v>0</v>
      </c>
      <c r="E660">
        <f t="shared" ca="1" si="268"/>
        <v>0</v>
      </c>
      <c r="F660">
        <f t="shared" ca="1" si="268"/>
        <v>0</v>
      </c>
      <c r="G660">
        <f t="shared" ca="1" si="268"/>
        <v>0</v>
      </c>
      <c r="H660">
        <f t="shared" ca="1" si="268"/>
        <v>0</v>
      </c>
      <c r="I660">
        <f t="shared" ca="1" si="268"/>
        <v>0</v>
      </c>
      <c r="J660">
        <f t="shared" ca="1" si="268"/>
        <v>0</v>
      </c>
      <c r="K660">
        <f t="shared" ca="1" si="268"/>
        <v>0</v>
      </c>
      <c r="L660">
        <f t="shared" ca="1" si="268"/>
        <v>0</v>
      </c>
      <c r="M660">
        <f t="shared" ca="1" si="268"/>
        <v>0</v>
      </c>
      <c r="N660">
        <f t="shared" ca="1" si="268"/>
        <v>0</v>
      </c>
      <c r="O660">
        <f t="shared" ca="1" si="268"/>
        <v>0</v>
      </c>
      <c r="P660">
        <f t="shared" ca="1" si="268"/>
        <v>0</v>
      </c>
      <c r="Q660">
        <f t="shared" ca="1" si="268"/>
        <v>0</v>
      </c>
      <c r="R660">
        <f t="shared" ca="1" si="268"/>
        <v>0</v>
      </c>
      <c r="S660">
        <f t="shared" ca="1" si="268"/>
        <v>0</v>
      </c>
      <c r="T660">
        <f t="shared" ca="1" si="268"/>
        <v>0</v>
      </c>
      <c r="U660">
        <f t="shared" ca="1" si="268"/>
        <v>0</v>
      </c>
      <c r="V660">
        <f t="shared" ca="1" si="268"/>
        <v>0</v>
      </c>
      <c r="W660">
        <f t="shared" ca="1" si="268"/>
        <v>0</v>
      </c>
      <c r="X660">
        <f t="shared" ca="1" si="268"/>
        <v>0</v>
      </c>
      <c r="Y660">
        <f t="shared" ca="1" si="268"/>
        <v>0</v>
      </c>
      <c r="Z660">
        <f t="shared" ca="1" si="268"/>
        <v>0</v>
      </c>
      <c r="AA660">
        <f t="shared" ca="1" si="268"/>
        <v>0</v>
      </c>
      <c r="AB660">
        <f t="shared" ca="1" si="268"/>
        <v>0</v>
      </c>
      <c r="AC660">
        <f t="shared" ca="1" si="268"/>
        <v>0</v>
      </c>
    </row>
    <row r="661" spans="2:29">
      <c r="C661" s="11" t="s">
        <v>64</v>
      </c>
      <c r="D661">
        <f t="shared" ref="D661:AC661" si="269">SUMIF($C$634:$C$653,$H$656,D$493:D$512)</f>
        <v>6048.8582920974877</v>
      </c>
      <c r="E661">
        <f t="shared" si="269"/>
        <v>6048.8582920974877</v>
      </c>
      <c r="F661">
        <f t="shared" si="269"/>
        <v>6048.8582920974877</v>
      </c>
      <c r="G661">
        <f t="shared" si="269"/>
        <v>6048.8582920974877</v>
      </c>
      <c r="H661">
        <f t="shared" si="269"/>
        <v>6048.8582920974877</v>
      </c>
      <c r="I661">
        <f t="shared" ca="1" si="269"/>
        <v>6048.8582920974877</v>
      </c>
      <c r="J661">
        <f t="shared" ca="1" si="269"/>
        <v>6048.8582920974877</v>
      </c>
      <c r="K661">
        <f t="shared" ca="1" si="269"/>
        <v>6048.8582920974877</v>
      </c>
      <c r="L661">
        <f t="shared" ca="1" si="269"/>
        <v>6048.8582920974877</v>
      </c>
      <c r="M661">
        <f t="shared" ca="1" si="269"/>
        <v>6048.8582920974877</v>
      </c>
      <c r="N661">
        <f t="shared" ca="1" si="269"/>
        <v>6048.8582920974877</v>
      </c>
      <c r="O661">
        <f t="shared" ca="1" si="269"/>
        <v>6048.8582920974877</v>
      </c>
      <c r="P661">
        <f t="shared" ca="1" si="269"/>
        <v>6048.8582920974877</v>
      </c>
      <c r="Q661">
        <f t="shared" ca="1" si="269"/>
        <v>6048.8582920974877</v>
      </c>
      <c r="R661">
        <f t="shared" ca="1" si="269"/>
        <v>6048.8582920974877</v>
      </c>
      <c r="S661">
        <f t="shared" ca="1" si="269"/>
        <v>6048.8582920974877</v>
      </c>
      <c r="T661">
        <f t="shared" ca="1" si="269"/>
        <v>6048.8582920974877</v>
      </c>
      <c r="U661">
        <f t="shared" ca="1" si="269"/>
        <v>6048.8582920974877</v>
      </c>
      <c r="V661">
        <f t="shared" ca="1" si="269"/>
        <v>6048.8582920974877</v>
      </c>
      <c r="W661">
        <f t="shared" ca="1" si="269"/>
        <v>5822.5546442686946</v>
      </c>
      <c r="X661">
        <f t="shared" ca="1" si="269"/>
        <v>5596.2509964399023</v>
      </c>
      <c r="Y661">
        <f t="shared" ca="1" si="269"/>
        <v>5313.3714366539116</v>
      </c>
      <c r="Z661">
        <f t="shared" ca="1" si="269"/>
        <v>5030.4918768679208</v>
      </c>
      <c r="AA661">
        <f t="shared" ca="1" si="269"/>
        <v>4688.0587255480368</v>
      </c>
      <c r="AB661">
        <f t="shared" ca="1" si="269"/>
        <v>4003.1924229082706</v>
      </c>
      <c r="AC661">
        <f t="shared" ca="1" si="269"/>
        <v>3660.759271588387</v>
      </c>
    </row>
    <row r="662" spans="2:29">
      <c r="C662" s="11" t="s">
        <v>65</v>
      </c>
      <c r="D662">
        <f t="shared" ref="D662:AC662" si="270">SUMIF($C$634:$C$653,$H$656,D$516:D$535)</f>
        <v>1683.8151698604067</v>
      </c>
      <c r="E662">
        <f t="shared" si="270"/>
        <v>1683.8151698604067</v>
      </c>
      <c r="F662">
        <f t="shared" si="270"/>
        <v>1739.2841301648871</v>
      </c>
      <c r="G662">
        <f t="shared" si="270"/>
        <v>1758.6063755933469</v>
      </c>
      <c r="H662">
        <f t="shared" si="270"/>
        <v>1758.6063755933469</v>
      </c>
      <c r="I662">
        <f t="shared" ca="1" si="270"/>
        <v>1800.1237409377582</v>
      </c>
      <c r="J662">
        <f t="shared" ca="1" si="270"/>
        <v>1831.5966703478778</v>
      </c>
      <c r="K662">
        <f t="shared" ca="1" si="270"/>
        <v>1866.5814170003246</v>
      </c>
      <c r="L662">
        <f t="shared" ca="1" si="270"/>
        <v>1899.0774071754693</v>
      </c>
      <c r="M662">
        <f t="shared" ca="1" si="270"/>
        <v>1900.7113850665073</v>
      </c>
      <c r="N662">
        <f t="shared" ca="1" si="270"/>
        <v>1900.7113850665073</v>
      </c>
      <c r="O662">
        <f t="shared" ca="1" si="270"/>
        <v>1900.7113850665073</v>
      </c>
      <c r="P662">
        <f t="shared" ca="1" si="270"/>
        <v>1900.7113850665073</v>
      </c>
      <c r="Q662">
        <f t="shared" ca="1" si="270"/>
        <v>1900.7113850665073</v>
      </c>
      <c r="R662">
        <f t="shared" ca="1" si="270"/>
        <v>1900.7113850665073</v>
      </c>
      <c r="S662">
        <f t="shared" ca="1" si="270"/>
        <v>1900.7113850665073</v>
      </c>
      <c r="T662">
        <f t="shared" ca="1" si="270"/>
        <v>1900.7113850665073</v>
      </c>
      <c r="U662">
        <f t="shared" ca="1" si="270"/>
        <v>1900.7113850665073</v>
      </c>
      <c r="V662">
        <f t="shared" ca="1" si="270"/>
        <v>1900.7113850665073</v>
      </c>
      <c r="W662">
        <f t="shared" ca="1" si="270"/>
        <v>1829.6007887954358</v>
      </c>
      <c r="X662">
        <f t="shared" ca="1" si="270"/>
        <v>1758.4901925243644</v>
      </c>
      <c r="Y662">
        <f t="shared" ca="1" si="270"/>
        <v>1669.6019471855252</v>
      </c>
      <c r="Z662">
        <f t="shared" ca="1" si="270"/>
        <v>1580.7137018466856</v>
      </c>
      <c r="AA662">
        <f t="shared" ca="1" si="270"/>
        <v>1473.1121416996696</v>
      </c>
      <c r="AB662">
        <f t="shared" ca="1" si="270"/>
        <v>1257.9090214056378</v>
      </c>
      <c r="AC662">
        <f t="shared" ca="1" si="270"/>
        <v>1150.3074612586215</v>
      </c>
    </row>
    <row r="663" spans="2:29">
      <c r="C663" s="11" t="s">
        <v>259</v>
      </c>
      <c r="D663">
        <f t="shared" ref="D663:AC663" si="271">SUMIF($C$634:$C$653,$H$656,D$539:D$558)</f>
        <v>8523.1750722774159</v>
      </c>
      <c r="E663">
        <f t="shared" si="271"/>
        <v>10115.401768211486</v>
      </c>
      <c r="F663">
        <f t="shared" si="271"/>
        <v>12093.306174004372</v>
      </c>
      <c r="G663">
        <f t="shared" si="271"/>
        <v>12971.008064332525</v>
      </c>
      <c r="H663">
        <f t="shared" si="271"/>
        <v>12971.008064332525</v>
      </c>
      <c r="I663">
        <f t="shared" ca="1" si="271"/>
        <v>13353.098874788571</v>
      </c>
      <c r="J663">
        <f t="shared" ca="1" si="271"/>
        <v>13663.757606245945</v>
      </c>
      <c r="K663">
        <f t="shared" ca="1" si="271"/>
        <v>14003.415577443595</v>
      </c>
      <c r="L663">
        <f t="shared" ca="1" si="271"/>
        <v>14327.24658154128</v>
      </c>
      <c r="M663">
        <f t="shared" ca="1" si="271"/>
        <v>14419.683183713039</v>
      </c>
      <c r="N663">
        <f t="shared" ca="1" si="271"/>
        <v>14499.792534733666</v>
      </c>
      <c r="O663">
        <f t="shared" ca="1" si="271"/>
        <v>14579.901885754294</v>
      </c>
      <c r="P663">
        <f t="shared" ca="1" si="271"/>
        <v>14660.011236774921</v>
      </c>
      <c r="Q663">
        <f t="shared" ca="1" si="271"/>
        <v>14740.120587795551</v>
      </c>
      <c r="R663">
        <f t="shared" ca="1" si="271"/>
        <v>14820.229938816179</v>
      </c>
      <c r="S663">
        <f t="shared" ca="1" si="271"/>
        <v>14900.339289836807</v>
      </c>
      <c r="T663">
        <f t="shared" ca="1" si="271"/>
        <v>14980.448640857434</v>
      </c>
      <c r="U663">
        <f t="shared" ca="1" si="271"/>
        <v>15060.557991878062</v>
      </c>
      <c r="V663">
        <f t="shared" ca="1" si="271"/>
        <v>15140.667342898691</v>
      </c>
      <c r="W663">
        <f t="shared" ca="1" si="271"/>
        <v>14651.327531401908</v>
      </c>
      <c r="X663">
        <f t="shared" ca="1" si="271"/>
        <v>14155.993518194417</v>
      </c>
      <c r="Y663">
        <f t="shared" ca="1" si="271"/>
        <v>13510.804462219186</v>
      </c>
      <c r="Z663">
        <f t="shared" ca="1" si="271"/>
        <v>12858.122654105562</v>
      </c>
      <c r="AA663">
        <f t="shared" ca="1" si="271"/>
        <v>12044.938208080182</v>
      </c>
      <c r="AB663">
        <f t="shared" ca="1" si="271"/>
        <v>10338.341658396081</v>
      </c>
      <c r="AC663">
        <f t="shared" ca="1" si="271"/>
        <v>9502.4817782676801</v>
      </c>
    </row>
    <row r="664" spans="2:29">
      <c r="C664" s="11" t="s">
        <v>496</v>
      </c>
      <c r="D664">
        <f>SUMIF($C$950:$C$969,$H$656,D$950:D$969)</f>
        <v>0</v>
      </c>
      <c r="E664">
        <f t="shared" ref="E664:AC664" si="272">SUMIF($C$950:$C$969,$H$656,E$950:E$969)</f>
        <v>0</v>
      </c>
      <c r="F664">
        <f t="shared" si="272"/>
        <v>0</v>
      </c>
      <c r="G664">
        <f t="shared" si="272"/>
        <v>0</v>
      </c>
      <c r="H664">
        <f t="shared" si="272"/>
        <v>0</v>
      </c>
      <c r="I664">
        <f t="shared" ca="1" si="272"/>
        <v>0</v>
      </c>
      <c r="J664">
        <f t="shared" ca="1" si="272"/>
        <v>0</v>
      </c>
      <c r="K664">
        <f t="shared" ca="1" si="272"/>
        <v>22653.308435134553</v>
      </c>
      <c r="L664">
        <f t="shared" ca="1" si="272"/>
        <v>23047.688064995898</v>
      </c>
      <c r="M664">
        <f t="shared" ca="1" si="272"/>
        <v>23067.518437678682</v>
      </c>
      <c r="N664">
        <f t="shared" ca="1" si="272"/>
        <v>23067.518437678682</v>
      </c>
      <c r="O664">
        <f t="shared" ca="1" si="272"/>
        <v>69202.555313036049</v>
      </c>
      <c r="P664">
        <f t="shared" ca="1" si="272"/>
        <v>69202.555313036049</v>
      </c>
      <c r="Q664">
        <f t="shared" ca="1" si="272"/>
        <v>69202.555313036049</v>
      </c>
      <c r="R664">
        <f t="shared" ca="1" si="272"/>
        <v>69202.555313036049</v>
      </c>
      <c r="S664">
        <f t="shared" ca="1" si="272"/>
        <v>115337.59218839342</v>
      </c>
      <c r="T664">
        <f t="shared" ca="1" si="272"/>
        <v>115337.59218839342</v>
      </c>
      <c r="U664">
        <f t="shared" ca="1" si="272"/>
        <v>115337.59218839342</v>
      </c>
      <c r="V664">
        <f t="shared" ca="1" si="272"/>
        <v>115337.59218839342</v>
      </c>
      <c r="W664">
        <f t="shared" ca="1" si="272"/>
        <v>111022.51046824087</v>
      </c>
      <c r="X664">
        <f t="shared" ca="1" si="272"/>
        <v>106707.42874808832</v>
      </c>
      <c r="Y664">
        <f t="shared" ca="1" si="272"/>
        <v>101313.57659789764</v>
      </c>
      <c r="Z664">
        <f t="shared" ca="1" si="272"/>
        <v>95919.724447706918</v>
      </c>
      <c r="AA664">
        <f t="shared" ca="1" si="272"/>
        <v>89390.324476423455</v>
      </c>
      <c r="AB664">
        <f t="shared" ca="1" si="272"/>
        <v>76331.524533856515</v>
      </c>
      <c r="AC664">
        <f t="shared" ca="1" si="272"/>
        <v>69802.124562573023</v>
      </c>
    </row>
    <row r="665" spans="2:29">
      <c r="B665" s="11" t="s">
        <v>276</v>
      </c>
      <c r="C665" s="11" t="s">
        <v>258</v>
      </c>
      <c r="D665">
        <f t="shared" ref="D665:AC665" ca="1" si="273">SUMIF($C$634:$C$653,$H$657,D$470:D$489)</f>
        <v>0</v>
      </c>
      <c r="E665">
        <f t="shared" ca="1" si="273"/>
        <v>0</v>
      </c>
      <c r="F665">
        <f t="shared" ca="1" si="273"/>
        <v>0</v>
      </c>
      <c r="G665">
        <f t="shared" ca="1" si="273"/>
        <v>0</v>
      </c>
      <c r="H665">
        <f t="shared" ca="1" si="273"/>
        <v>0</v>
      </c>
      <c r="I665">
        <f t="shared" ca="1" si="273"/>
        <v>0</v>
      </c>
      <c r="J665">
        <f t="shared" ca="1" si="273"/>
        <v>0</v>
      </c>
      <c r="K665">
        <f t="shared" ca="1" si="273"/>
        <v>1663.2311120001971</v>
      </c>
      <c r="L665">
        <f t="shared" ca="1" si="273"/>
        <v>4979.3946913442433</v>
      </c>
      <c r="M665">
        <f t="shared" ca="1" si="273"/>
        <v>9938.1920933757901</v>
      </c>
      <c r="N665">
        <f t="shared" ca="1" si="273"/>
        <v>14881.541528422815</v>
      </c>
      <c r="O665">
        <f t="shared" ca="1" si="273"/>
        <v>18166.809173797817</v>
      </c>
      <c r="P665">
        <f t="shared" ca="1" si="273"/>
        <v>21441.778174516472</v>
      </c>
      <c r="Q665">
        <f t="shared" ca="1" si="273"/>
        <v>26338.783708609932</v>
      </c>
      <c r="R665">
        <f t="shared" ca="1" si="273"/>
        <v>31220.341275718871</v>
      </c>
      <c r="S665">
        <f t="shared" ca="1" si="273"/>
        <v>36086.450875843286</v>
      </c>
      <c r="T665">
        <f t="shared" ca="1" si="273"/>
        <v>42553.999720029809</v>
      </c>
      <c r="U665">
        <f t="shared" ca="1" si="273"/>
        <v>49000.951274903637</v>
      </c>
      <c r="V665">
        <f t="shared" ca="1" si="273"/>
        <v>53820.716974074487</v>
      </c>
      <c r="W665">
        <f t="shared" ca="1" si="273"/>
        <v>60228.710227448304</v>
      </c>
      <c r="X665">
        <f t="shared" ca="1" si="273"/>
        <v>66618.342468634801</v>
      </c>
      <c r="Y665">
        <f t="shared" ca="1" si="273"/>
        <v>74582.431504883774</v>
      </c>
      <c r="Z665">
        <f t="shared" ca="1" si="273"/>
        <v>82523.569275898597</v>
      </c>
      <c r="AA665">
        <f t="shared" ca="1" si="273"/>
        <v>90441.755781679283</v>
      </c>
      <c r="AB665">
        <f t="shared" ca="1" si="273"/>
        <v>99916.038070335126</v>
      </c>
      <c r="AC665">
        <f t="shared" ca="1" si="273"/>
        <v>109362.77884070999</v>
      </c>
    </row>
    <row r="666" spans="2:29">
      <c r="C666" s="11" t="s">
        <v>64</v>
      </c>
      <c r="D666">
        <f t="shared" ref="D666:AC666" si="274">SUMIF($C$634:$C$653,$H$657,D$493:D$512)</f>
        <v>0</v>
      </c>
      <c r="E666">
        <f t="shared" si="274"/>
        <v>0</v>
      </c>
      <c r="F666">
        <f t="shared" si="274"/>
        <v>0</v>
      </c>
      <c r="G666">
        <f t="shared" si="274"/>
        <v>0</v>
      </c>
      <c r="H666">
        <f t="shared" si="274"/>
        <v>0</v>
      </c>
      <c r="I666">
        <f t="shared" ca="1" si="274"/>
        <v>0</v>
      </c>
      <c r="J666">
        <f t="shared" ca="1" si="274"/>
        <v>0</v>
      </c>
      <c r="K666">
        <f t="shared" ca="1" si="274"/>
        <v>182.33827776393036</v>
      </c>
      <c r="L666">
        <f t="shared" ca="1" si="274"/>
        <v>547.01483329179109</v>
      </c>
      <c r="M666">
        <f t="shared" ca="1" si="274"/>
        <v>1094.0296665835822</v>
      </c>
      <c r="N666">
        <f t="shared" ca="1" si="274"/>
        <v>1641.0444998753735</v>
      </c>
      <c r="O666">
        <f t="shared" ca="1" si="274"/>
        <v>2005.7210554032342</v>
      </c>
      <c r="P666">
        <f t="shared" ca="1" si="274"/>
        <v>2370.3976109310952</v>
      </c>
      <c r="Q666">
        <f t="shared" ca="1" si="274"/>
        <v>2917.4124442228863</v>
      </c>
      <c r="R666">
        <f t="shared" ca="1" si="274"/>
        <v>3464.4272775146774</v>
      </c>
      <c r="S666">
        <f t="shared" ca="1" si="274"/>
        <v>4011.4421108064685</v>
      </c>
      <c r="T666">
        <f t="shared" ca="1" si="274"/>
        <v>4740.7952218621904</v>
      </c>
      <c r="U666">
        <f t="shared" ca="1" si="274"/>
        <v>5470.1483329179127</v>
      </c>
      <c r="V666">
        <f t="shared" ca="1" si="274"/>
        <v>6017.1631662097034</v>
      </c>
      <c r="W666">
        <f t="shared" ca="1" si="274"/>
        <v>6746.5162772654248</v>
      </c>
      <c r="X666">
        <f t="shared" ca="1" si="274"/>
        <v>7475.8693883211472</v>
      </c>
      <c r="Y666">
        <f t="shared" ca="1" si="274"/>
        <v>8387.5607771407977</v>
      </c>
      <c r="Z666">
        <f t="shared" ca="1" si="274"/>
        <v>9299.2521659604499</v>
      </c>
      <c r="AA666">
        <f t="shared" ca="1" si="274"/>
        <v>10210.943554780102</v>
      </c>
      <c r="AB666">
        <f t="shared" ca="1" si="274"/>
        <v>11304.973221363683</v>
      </c>
      <c r="AC666">
        <f t="shared" ca="1" si="274"/>
        <v>12399.002887947267</v>
      </c>
    </row>
    <row r="667" spans="2:29">
      <c r="C667" s="11" t="s">
        <v>65</v>
      </c>
      <c r="D667">
        <f t="shared" ref="D667:AC667" si="275">SUMIF($C$634:$C$653,$H$657,D$516:D$535)</f>
        <v>0</v>
      </c>
      <c r="E667">
        <f t="shared" si="275"/>
        <v>0</v>
      </c>
      <c r="F667">
        <f t="shared" si="275"/>
        <v>0</v>
      </c>
      <c r="G667">
        <f t="shared" si="275"/>
        <v>0</v>
      </c>
      <c r="H667">
        <f t="shared" si="275"/>
        <v>0</v>
      </c>
      <c r="I667">
        <f t="shared" ca="1" si="275"/>
        <v>0</v>
      </c>
      <c r="J667">
        <f t="shared" ca="1" si="275"/>
        <v>0</v>
      </c>
      <c r="K667">
        <f t="shared" ca="1" si="275"/>
        <v>48.637467264562815</v>
      </c>
      <c r="L667">
        <f t="shared" ca="1" si="275"/>
        <v>145.91240179368845</v>
      </c>
      <c r="M667">
        <f t="shared" ca="1" si="275"/>
        <v>395.93259436795495</v>
      </c>
      <c r="N667">
        <f t="shared" ca="1" si="275"/>
        <v>634.90858210113413</v>
      </c>
      <c r="O667">
        <f t="shared" ca="1" si="275"/>
        <v>889.44735295258897</v>
      </c>
      <c r="P667">
        <f t="shared" ca="1" si="275"/>
        <v>1139.8384979675045</v>
      </c>
      <c r="Q667">
        <f t="shared" ca="1" si="275"/>
        <v>1404.5829784013692</v>
      </c>
      <c r="R667">
        <f t="shared" ca="1" si="275"/>
        <v>1681.6167205731413</v>
      </c>
      <c r="S667">
        <f t="shared" ca="1" si="275"/>
        <v>2014.6601122471457</v>
      </c>
      <c r="T667">
        <f t="shared" ca="1" si="275"/>
        <v>2362.1433864631931</v>
      </c>
      <c r="U667">
        <f t="shared" ca="1" si="275"/>
        <v>2656.2940910619604</v>
      </c>
      <c r="V667">
        <f t="shared" ca="1" si="275"/>
        <v>2965.1839958554015</v>
      </c>
      <c r="W667">
        <f t="shared" ca="1" si="275"/>
        <v>3540.2504699366732</v>
      </c>
      <c r="X667">
        <f t="shared" ca="1" si="275"/>
        <v>4156.2353870160068</v>
      </c>
      <c r="Y667">
        <f t="shared" ca="1" si="275"/>
        <v>4856.2091461159016</v>
      </c>
      <c r="Z667">
        <f t="shared" ca="1" si="275"/>
        <v>5550.8344272626282</v>
      </c>
      <c r="AA667">
        <f t="shared" ca="1" si="275"/>
        <v>6323.1404122713675</v>
      </c>
      <c r="AB667">
        <f t="shared" ca="1" si="275"/>
        <v>7475.9709408687568</v>
      </c>
      <c r="AC667">
        <f t="shared" ca="1" si="275"/>
        <v>8156.0010610577383</v>
      </c>
    </row>
    <row r="668" spans="2:29">
      <c r="C668" s="11" t="s">
        <v>259</v>
      </c>
      <c r="D668">
        <f t="shared" ref="D668:AC668" si="276">SUMIF($C$634:$C$653,$H$657,D$539:D$558)</f>
        <v>0</v>
      </c>
      <c r="E668">
        <f t="shared" si="276"/>
        <v>0</v>
      </c>
      <c r="F668">
        <f t="shared" si="276"/>
        <v>0</v>
      </c>
      <c r="G668">
        <f t="shared" si="276"/>
        <v>0</v>
      </c>
      <c r="H668">
        <f t="shared" si="276"/>
        <v>0</v>
      </c>
      <c r="I668">
        <f t="shared" ca="1" si="276"/>
        <v>0</v>
      </c>
      <c r="J668">
        <f t="shared" ca="1" si="276"/>
        <v>0</v>
      </c>
      <c r="K668">
        <f t="shared" ca="1" si="276"/>
        <v>122.86729193627549</v>
      </c>
      <c r="L668">
        <f t="shared" ca="1" si="276"/>
        <v>370.67267286393223</v>
      </c>
      <c r="M668">
        <f t="shared" ca="1" si="276"/>
        <v>1011.4375972470781</v>
      </c>
      <c r="N668">
        <f t="shared" ca="1" si="276"/>
        <v>1630.9291867617192</v>
      </c>
      <c r="O668">
        <f t="shared" ca="1" si="276"/>
        <v>2297.4018551360937</v>
      </c>
      <c r="P668">
        <f t="shared" ca="1" si="276"/>
        <v>2960.3273894779927</v>
      </c>
      <c r="Q668">
        <f t="shared" ca="1" si="276"/>
        <v>3667.8414703676976</v>
      </c>
      <c r="R668">
        <f t="shared" ca="1" si="276"/>
        <v>4415.1359195299719</v>
      </c>
      <c r="S668">
        <f t="shared" ca="1" si="276"/>
        <v>5318.143658607969</v>
      </c>
      <c r="T668">
        <f t="shared" ca="1" si="276"/>
        <v>6268.9267536622992</v>
      </c>
      <c r="U668">
        <f t="shared" ca="1" si="276"/>
        <v>7087.2758707665353</v>
      </c>
      <c r="V668">
        <f t="shared" ca="1" si="276"/>
        <v>7953.509132024421</v>
      </c>
      <c r="W668">
        <f t="shared" ca="1" si="276"/>
        <v>9546.2526138869216</v>
      </c>
      <c r="X668">
        <f t="shared" ca="1" si="276"/>
        <v>11266.235767116954</v>
      </c>
      <c r="Y668">
        <f t="shared" ca="1" si="276"/>
        <v>13232.562189545028</v>
      </c>
      <c r="Z668">
        <f t="shared" ca="1" si="276"/>
        <v>15204.106907309551</v>
      </c>
      <c r="AA668">
        <f t="shared" ca="1" si="276"/>
        <v>17409.243042093018</v>
      </c>
      <c r="AB668">
        <f t="shared" ca="1" si="276"/>
        <v>20689.383435054984</v>
      </c>
      <c r="AC668">
        <f t="shared" ca="1" si="276"/>
        <v>22687.083915604861</v>
      </c>
    </row>
    <row r="669" spans="2:29">
      <c r="C669" s="11" t="s">
        <v>496</v>
      </c>
      <c r="D669">
        <f>SUMIF($C$950:$C$969,$H$657,D$950:D$969)</f>
        <v>0</v>
      </c>
      <c r="E669">
        <f t="shared" ref="E669:AC669" si="277">SUMIF($C$950:$C$969,$H$657,E$950:E$969)</f>
        <v>0</v>
      </c>
      <c r="F669">
        <f t="shared" si="277"/>
        <v>0</v>
      </c>
      <c r="G669">
        <f t="shared" si="277"/>
        <v>0</v>
      </c>
      <c r="H669">
        <f t="shared" si="277"/>
        <v>0</v>
      </c>
      <c r="I669">
        <f t="shared" ca="1" si="277"/>
        <v>0</v>
      </c>
      <c r="J669">
        <f t="shared" ca="1" si="277"/>
        <v>0</v>
      </c>
      <c r="K669">
        <f t="shared" ca="1" si="277"/>
        <v>158.22929501800579</v>
      </c>
      <c r="L669">
        <f t="shared" ca="1" si="277"/>
        <v>474.68788505401739</v>
      </c>
      <c r="M669">
        <f t="shared" ca="1" si="277"/>
        <v>1288.0632731288806</v>
      </c>
      <c r="N669">
        <f t="shared" ca="1" si="277"/>
        <v>2065.5092256405369</v>
      </c>
      <c r="O669">
        <f t="shared" ca="1" si="277"/>
        <v>8680.753883489735</v>
      </c>
      <c r="P669">
        <f t="shared" ca="1" si="277"/>
        <v>11124.500438318741</v>
      </c>
      <c r="Q669">
        <f t="shared" ca="1" si="277"/>
        <v>13708.331475681161</v>
      </c>
      <c r="R669">
        <f t="shared" ca="1" si="277"/>
        <v>16412.10222190035</v>
      </c>
      <c r="S669">
        <f t="shared" ca="1" si="277"/>
        <v>32770.852101300065</v>
      </c>
      <c r="T669">
        <f t="shared" ca="1" si="277"/>
        <v>38423.08242927742</v>
      </c>
      <c r="U669">
        <f t="shared" ca="1" si="277"/>
        <v>43207.794836745226</v>
      </c>
      <c r="V669">
        <f t="shared" ca="1" si="277"/>
        <v>48232.257933043795</v>
      </c>
      <c r="W669">
        <f t="shared" ca="1" si="277"/>
        <v>57586.400726645508</v>
      </c>
      <c r="X669">
        <f t="shared" ca="1" si="277"/>
        <v>67606.130849620269</v>
      </c>
      <c r="Y669">
        <f t="shared" ca="1" si="277"/>
        <v>78992.039765376729</v>
      </c>
      <c r="Z669">
        <f t="shared" ca="1" si="277"/>
        <v>90290.949301483575</v>
      </c>
      <c r="AA669">
        <f t="shared" ca="1" si="277"/>
        <v>102853.42823170895</v>
      </c>
      <c r="AB669">
        <f t="shared" ca="1" si="277"/>
        <v>121605.59318542403</v>
      </c>
      <c r="AC669">
        <f t="shared" ca="1" si="277"/>
        <v>132667.09500286239</v>
      </c>
    </row>
    <row r="671" spans="2:29">
      <c r="C671" s="4" t="s">
        <v>260</v>
      </c>
    </row>
    <row r="673" spans="2:29">
      <c r="B673" s="11" t="s">
        <v>275</v>
      </c>
      <c r="C673" s="11" t="s">
        <v>254</v>
      </c>
      <c r="D673">
        <f>SUMIF($C$634:$C$653,$H$656,D$610:D$629)</f>
        <v>0</v>
      </c>
      <c r="E673">
        <f t="shared" ref="E673:AC673" si="278">SUMIF($C$634:$C$653,$H$656,E$610:E$629)</f>
        <v>0</v>
      </c>
      <c r="F673">
        <f t="shared" si="278"/>
        <v>0</v>
      </c>
      <c r="G673">
        <f t="shared" si="278"/>
        <v>0</v>
      </c>
      <c r="H673">
        <f t="shared" si="278"/>
        <v>0</v>
      </c>
      <c r="I673">
        <f t="shared" si="278"/>
        <v>0</v>
      </c>
      <c r="J673">
        <f t="shared" si="278"/>
        <v>0</v>
      </c>
      <c r="K673">
        <f t="shared" si="278"/>
        <v>0</v>
      </c>
      <c r="L673">
        <f t="shared" si="278"/>
        <v>0</v>
      </c>
      <c r="M673">
        <f t="shared" si="278"/>
        <v>0</v>
      </c>
      <c r="N673">
        <f t="shared" si="278"/>
        <v>0</v>
      </c>
      <c r="O673">
        <f t="shared" si="278"/>
        <v>0</v>
      </c>
      <c r="P673">
        <f t="shared" si="278"/>
        <v>0</v>
      </c>
      <c r="Q673">
        <f t="shared" si="278"/>
        <v>0</v>
      </c>
      <c r="R673">
        <f t="shared" si="278"/>
        <v>0</v>
      </c>
      <c r="S673">
        <f t="shared" si="278"/>
        <v>0</v>
      </c>
      <c r="T673">
        <f t="shared" si="278"/>
        <v>0</v>
      </c>
      <c r="U673">
        <f t="shared" si="278"/>
        <v>0</v>
      </c>
      <c r="V673">
        <f t="shared" si="278"/>
        <v>0</v>
      </c>
      <c r="W673">
        <f t="shared" si="278"/>
        <v>0</v>
      </c>
      <c r="X673">
        <f t="shared" si="278"/>
        <v>0</v>
      </c>
      <c r="Y673">
        <f t="shared" si="278"/>
        <v>0</v>
      </c>
      <c r="Z673">
        <f t="shared" si="278"/>
        <v>0</v>
      </c>
      <c r="AA673">
        <f t="shared" si="278"/>
        <v>0</v>
      </c>
      <c r="AB673">
        <f t="shared" si="278"/>
        <v>0</v>
      </c>
      <c r="AC673">
        <f t="shared" si="278"/>
        <v>0</v>
      </c>
    </row>
    <row r="674" spans="2:29">
      <c r="B674" s="11" t="s">
        <v>276</v>
      </c>
      <c r="C674" s="11" t="s">
        <v>254</v>
      </c>
      <c r="D674">
        <f>SUMIF($C$634:$C$653,$H$657,D$610:D$629)</f>
        <v>0</v>
      </c>
      <c r="E674">
        <f t="shared" ref="E674:AC674" si="279">SUMIF($C$634:$C$653,$H$657,E$610:E$629)</f>
        <v>663.75232174368716</v>
      </c>
      <c r="F674">
        <f t="shared" si="279"/>
        <v>2053.5222759085655</v>
      </c>
      <c r="G674">
        <f t="shared" si="279"/>
        <v>3813.0002183239285</v>
      </c>
      <c r="H674">
        <f t="shared" si="279"/>
        <v>9740.6803993905232</v>
      </c>
      <c r="I674">
        <f t="shared" si="279"/>
        <v>21245.764687606472</v>
      </c>
      <c r="J674">
        <f t="shared" si="279"/>
        <v>34313.993522929261</v>
      </c>
      <c r="K674">
        <f t="shared" si="279"/>
        <v>43505.386962536453</v>
      </c>
      <c r="L674">
        <f t="shared" si="279"/>
        <v>41373.521424703482</v>
      </c>
      <c r="M674">
        <f t="shared" si="279"/>
        <v>34708.857909120299</v>
      </c>
      <c r="N674">
        <f t="shared" si="279"/>
        <v>37940.691924532643</v>
      </c>
      <c r="O674">
        <f t="shared" si="279"/>
        <v>45394.067356270752</v>
      </c>
      <c r="P674">
        <f t="shared" si="279"/>
        <v>47015.681989247241</v>
      </c>
      <c r="Q674">
        <f t="shared" si="279"/>
        <v>51503.338923124145</v>
      </c>
      <c r="R674">
        <f t="shared" si="279"/>
        <v>58477.174735643042</v>
      </c>
      <c r="S674">
        <f t="shared" si="279"/>
        <v>56640.067418795952</v>
      </c>
      <c r="T674">
        <f t="shared" ca="1" si="279"/>
        <v>55069.273424150328</v>
      </c>
      <c r="U674">
        <f t="shared" ca="1" si="279"/>
        <v>60000.483870990036</v>
      </c>
      <c r="V674">
        <f t="shared" ca="1" si="279"/>
        <v>67090.983809082973</v>
      </c>
      <c r="W674">
        <f t="shared" ca="1" si="279"/>
        <v>74288.037740997534</v>
      </c>
      <c r="X674">
        <f t="shared" ca="1" si="279"/>
        <v>72662.922563527696</v>
      </c>
      <c r="Y674">
        <f t="shared" ca="1" si="279"/>
        <v>72909.761059705561</v>
      </c>
      <c r="Z674">
        <f t="shared" ca="1" si="279"/>
        <v>77194.778554316377</v>
      </c>
      <c r="AA674">
        <f t="shared" ca="1" si="279"/>
        <v>51550.631258786714</v>
      </c>
      <c r="AB674">
        <f t="shared" ca="1" si="279"/>
        <v>11797.18765209939</v>
      </c>
      <c r="AC674">
        <f t="shared" ca="1" si="279"/>
        <v>0</v>
      </c>
    </row>
    <row r="676" spans="2:29">
      <c r="C676" s="4" t="s">
        <v>277</v>
      </c>
      <c r="F676" s="11" t="s">
        <v>256</v>
      </c>
      <c r="H676" s="36" t="str">
        <f>'Costs graphs'!AY122</f>
        <v>Existing coal Large</v>
      </c>
      <c r="I676" s="21"/>
      <c r="J676" s="36"/>
    </row>
    <row r="678" spans="2:29">
      <c r="C678" s="11" t="s">
        <v>258</v>
      </c>
      <c r="D678">
        <f t="shared" ref="D678:AC678" ca="1" si="280">SUMIF($C$634:$C$653,$H$676,D$470:D$489)</f>
        <v>0</v>
      </c>
      <c r="E678">
        <f t="shared" ca="1" si="280"/>
        <v>0</v>
      </c>
      <c r="F678">
        <f t="shared" ca="1" si="280"/>
        <v>0</v>
      </c>
      <c r="G678">
        <f t="shared" ca="1" si="280"/>
        <v>0</v>
      </c>
      <c r="H678">
        <f t="shared" ca="1" si="280"/>
        <v>0</v>
      </c>
      <c r="I678">
        <f t="shared" ca="1" si="280"/>
        <v>0</v>
      </c>
      <c r="J678">
        <f t="shared" ca="1" si="280"/>
        <v>0</v>
      </c>
      <c r="K678">
        <f t="shared" ca="1" si="280"/>
        <v>0</v>
      </c>
      <c r="L678">
        <f t="shared" ca="1" si="280"/>
        <v>0</v>
      </c>
      <c r="M678">
        <f t="shared" ca="1" si="280"/>
        <v>0</v>
      </c>
      <c r="N678">
        <f t="shared" ca="1" si="280"/>
        <v>0</v>
      </c>
      <c r="O678">
        <f t="shared" ca="1" si="280"/>
        <v>0</v>
      </c>
      <c r="P678">
        <f t="shared" ca="1" si="280"/>
        <v>0</v>
      </c>
      <c r="Q678">
        <f t="shared" ca="1" si="280"/>
        <v>0</v>
      </c>
      <c r="R678">
        <f t="shared" ca="1" si="280"/>
        <v>0</v>
      </c>
      <c r="S678">
        <f t="shared" ca="1" si="280"/>
        <v>0</v>
      </c>
      <c r="T678">
        <f t="shared" ca="1" si="280"/>
        <v>0</v>
      </c>
      <c r="U678">
        <f t="shared" ca="1" si="280"/>
        <v>0</v>
      </c>
      <c r="V678">
        <f t="shared" ca="1" si="280"/>
        <v>0</v>
      </c>
      <c r="W678">
        <f t="shared" ca="1" si="280"/>
        <v>0</v>
      </c>
      <c r="X678">
        <f t="shared" ca="1" si="280"/>
        <v>0</v>
      </c>
      <c r="Y678">
        <f t="shared" ca="1" si="280"/>
        <v>0</v>
      </c>
      <c r="Z678">
        <f t="shared" ca="1" si="280"/>
        <v>0</v>
      </c>
      <c r="AA678">
        <f t="shared" ca="1" si="280"/>
        <v>0</v>
      </c>
      <c r="AB678">
        <f t="shared" ca="1" si="280"/>
        <v>0</v>
      </c>
      <c r="AC678">
        <f t="shared" ca="1" si="280"/>
        <v>0</v>
      </c>
    </row>
    <row r="679" spans="2:29">
      <c r="C679" s="11" t="s">
        <v>64</v>
      </c>
      <c r="D679">
        <f t="shared" ref="D679:AC679" si="281">SUMIF($C$634:$C$653,$H$676,D$493:D$512)</f>
        <v>6048.8582920974877</v>
      </c>
      <c r="E679">
        <f t="shared" si="281"/>
        <v>6048.8582920974877</v>
      </c>
      <c r="F679">
        <f t="shared" si="281"/>
        <v>6048.8582920974877</v>
      </c>
      <c r="G679">
        <f t="shared" si="281"/>
        <v>6048.8582920974877</v>
      </c>
      <c r="H679">
        <f t="shared" si="281"/>
        <v>6048.8582920974877</v>
      </c>
      <c r="I679">
        <f t="shared" ca="1" si="281"/>
        <v>6048.8582920974877</v>
      </c>
      <c r="J679">
        <f t="shared" ca="1" si="281"/>
        <v>6048.8582920974877</v>
      </c>
      <c r="K679">
        <f t="shared" ca="1" si="281"/>
        <v>6048.8582920974877</v>
      </c>
      <c r="L679">
        <f t="shared" ca="1" si="281"/>
        <v>6048.8582920974877</v>
      </c>
      <c r="M679">
        <f t="shared" ca="1" si="281"/>
        <v>6048.8582920974877</v>
      </c>
      <c r="N679">
        <f t="shared" ca="1" si="281"/>
        <v>6048.8582920974877</v>
      </c>
      <c r="O679">
        <f t="shared" ca="1" si="281"/>
        <v>6048.8582920974877</v>
      </c>
      <c r="P679">
        <f t="shared" ca="1" si="281"/>
        <v>6048.8582920974877</v>
      </c>
      <c r="Q679">
        <f t="shared" ca="1" si="281"/>
        <v>6048.8582920974877</v>
      </c>
      <c r="R679">
        <f t="shared" ca="1" si="281"/>
        <v>6048.8582920974877</v>
      </c>
      <c r="S679">
        <f t="shared" ca="1" si="281"/>
        <v>6048.8582920974877</v>
      </c>
      <c r="T679">
        <f t="shared" ca="1" si="281"/>
        <v>6048.8582920974877</v>
      </c>
      <c r="U679">
        <f t="shared" ca="1" si="281"/>
        <v>6048.8582920974877</v>
      </c>
      <c r="V679">
        <f t="shared" ca="1" si="281"/>
        <v>6048.8582920974877</v>
      </c>
      <c r="W679">
        <f t="shared" ca="1" si="281"/>
        <v>5822.5546442686946</v>
      </c>
      <c r="X679">
        <f t="shared" ca="1" si="281"/>
        <v>5596.2509964399023</v>
      </c>
      <c r="Y679">
        <f t="shared" ca="1" si="281"/>
        <v>5313.3714366539116</v>
      </c>
      <c r="Z679">
        <f t="shared" ca="1" si="281"/>
        <v>5030.4918768679208</v>
      </c>
      <c r="AA679">
        <f t="shared" ca="1" si="281"/>
        <v>4688.0587255480368</v>
      </c>
      <c r="AB679">
        <f t="shared" ca="1" si="281"/>
        <v>4003.1924229082706</v>
      </c>
      <c r="AC679">
        <f t="shared" ca="1" si="281"/>
        <v>3660.759271588387</v>
      </c>
    </row>
    <row r="680" spans="2:29">
      <c r="C680" s="11" t="s">
        <v>65</v>
      </c>
      <c r="D680">
        <f t="shared" ref="D680:AC680" si="282">SUMIF($C$634:$C$653,$H$676,D$516:D$535)</f>
        <v>1683.8151698604067</v>
      </c>
      <c r="E680">
        <f t="shared" si="282"/>
        <v>1683.8151698604067</v>
      </c>
      <c r="F680">
        <f t="shared" si="282"/>
        <v>1739.2841301648871</v>
      </c>
      <c r="G680">
        <f t="shared" si="282"/>
        <v>1758.6063755933469</v>
      </c>
      <c r="H680">
        <f t="shared" si="282"/>
        <v>1758.6063755933469</v>
      </c>
      <c r="I680">
        <f t="shared" ca="1" si="282"/>
        <v>1800.1237409377582</v>
      </c>
      <c r="J680">
        <f t="shared" ca="1" si="282"/>
        <v>1831.5966703478778</v>
      </c>
      <c r="K680">
        <f t="shared" ca="1" si="282"/>
        <v>1866.5814170003246</v>
      </c>
      <c r="L680">
        <f t="shared" ca="1" si="282"/>
        <v>1899.0774071754693</v>
      </c>
      <c r="M680">
        <f t="shared" ca="1" si="282"/>
        <v>1900.7113850665073</v>
      </c>
      <c r="N680">
        <f t="shared" ca="1" si="282"/>
        <v>1900.7113850665073</v>
      </c>
      <c r="O680">
        <f t="shared" ca="1" si="282"/>
        <v>1900.7113850665073</v>
      </c>
      <c r="P680">
        <f t="shared" ca="1" si="282"/>
        <v>1900.7113850665073</v>
      </c>
      <c r="Q680">
        <f t="shared" ca="1" si="282"/>
        <v>1900.7113850665073</v>
      </c>
      <c r="R680">
        <f t="shared" ca="1" si="282"/>
        <v>1900.7113850665073</v>
      </c>
      <c r="S680">
        <f t="shared" ca="1" si="282"/>
        <v>1900.7113850665073</v>
      </c>
      <c r="T680">
        <f t="shared" ca="1" si="282"/>
        <v>1900.7113850665073</v>
      </c>
      <c r="U680">
        <f t="shared" ca="1" si="282"/>
        <v>1900.7113850665073</v>
      </c>
      <c r="V680">
        <f t="shared" ca="1" si="282"/>
        <v>1900.7113850665073</v>
      </c>
      <c r="W680">
        <f t="shared" ca="1" si="282"/>
        <v>1829.6007887954358</v>
      </c>
      <c r="X680">
        <f t="shared" ca="1" si="282"/>
        <v>1758.4901925243644</v>
      </c>
      <c r="Y680">
        <f t="shared" ca="1" si="282"/>
        <v>1669.6019471855252</v>
      </c>
      <c r="Z680">
        <f t="shared" ca="1" si="282"/>
        <v>1580.7137018466856</v>
      </c>
      <c r="AA680">
        <f t="shared" ca="1" si="282"/>
        <v>1473.1121416996696</v>
      </c>
      <c r="AB680">
        <f t="shared" ca="1" si="282"/>
        <v>1257.9090214056378</v>
      </c>
      <c r="AC680">
        <f t="shared" ca="1" si="282"/>
        <v>1150.3074612586215</v>
      </c>
    </row>
    <row r="681" spans="2:29">
      <c r="C681" s="11" t="s">
        <v>259</v>
      </c>
      <c r="D681">
        <f t="shared" ref="D681:AC681" si="283">SUMIF($C$634:$C$653,$H$676,D$539:D$558)</f>
        <v>8523.1750722774159</v>
      </c>
      <c r="E681">
        <f t="shared" si="283"/>
        <v>10115.401768211486</v>
      </c>
      <c r="F681">
        <f t="shared" si="283"/>
        <v>12093.306174004372</v>
      </c>
      <c r="G681">
        <f t="shared" si="283"/>
        <v>12971.008064332525</v>
      </c>
      <c r="H681">
        <f t="shared" si="283"/>
        <v>12971.008064332525</v>
      </c>
      <c r="I681">
        <f t="shared" ca="1" si="283"/>
        <v>13353.098874788571</v>
      </c>
      <c r="J681">
        <f t="shared" ca="1" si="283"/>
        <v>13663.757606245945</v>
      </c>
      <c r="K681">
        <f t="shared" ca="1" si="283"/>
        <v>14003.415577443595</v>
      </c>
      <c r="L681">
        <f t="shared" ca="1" si="283"/>
        <v>14327.24658154128</v>
      </c>
      <c r="M681">
        <f t="shared" ca="1" si="283"/>
        <v>14419.683183713039</v>
      </c>
      <c r="N681">
        <f t="shared" ca="1" si="283"/>
        <v>14499.792534733666</v>
      </c>
      <c r="O681">
        <f t="shared" ca="1" si="283"/>
        <v>14579.901885754294</v>
      </c>
      <c r="P681">
        <f t="shared" ca="1" si="283"/>
        <v>14660.011236774921</v>
      </c>
      <c r="Q681">
        <f t="shared" ca="1" si="283"/>
        <v>14740.120587795551</v>
      </c>
      <c r="R681">
        <f t="shared" ca="1" si="283"/>
        <v>14820.229938816179</v>
      </c>
      <c r="S681">
        <f t="shared" ca="1" si="283"/>
        <v>14900.339289836807</v>
      </c>
      <c r="T681">
        <f t="shared" ca="1" si="283"/>
        <v>14980.448640857434</v>
      </c>
      <c r="U681">
        <f t="shared" ca="1" si="283"/>
        <v>15060.557991878062</v>
      </c>
      <c r="V681">
        <f t="shared" ca="1" si="283"/>
        <v>15140.667342898691</v>
      </c>
      <c r="W681">
        <f t="shared" ca="1" si="283"/>
        <v>14651.327531401908</v>
      </c>
      <c r="X681">
        <f t="shared" ca="1" si="283"/>
        <v>14155.993518194417</v>
      </c>
      <c r="Y681">
        <f t="shared" ca="1" si="283"/>
        <v>13510.804462219186</v>
      </c>
      <c r="Z681">
        <f t="shared" ca="1" si="283"/>
        <v>12858.122654105562</v>
      </c>
      <c r="AA681">
        <f t="shared" ca="1" si="283"/>
        <v>12044.938208080182</v>
      </c>
      <c r="AB681">
        <f t="shared" ca="1" si="283"/>
        <v>10338.341658396081</v>
      </c>
      <c r="AC681">
        <f t="shared" ca="1" si="283"/>
        <v>9502.4817782676801</v>
      </c>
    </row>
    <row r="682" spans="2:29">
      <c r="C682" s="11" t="s">
        <v>496</v>
      </c>
      <c r="D682">
        <f>SUMIF($C$950:$C$969,$H$676,D$950:D$969)</f>
        <v>0</v>
      </c>
      <c r="E682">
        <f t="shared" ref="E682:AC682" si="284">SUMIF($C$950:$C$969,$H$676,E$950:E$969)</f>
        <v>0</v>
      </c>
      <c r="F682">
        <f t="shared" si="284"/>
        <v>0</v>
      </c>
      <c r="G682">
        <f t="shared" si="284"/>
        <v>0</v>
      </c>
      <c r="H682">
        <f t="shared" si="284"/>
        <v>0</v>
      </c>
      <c r="I682">
        <f t="shared" ca="1" si="284"/>
        <v>0</v>
      </c>
      <c r="J682">
        <f t="shared" ca="1" si="284"/>
        <v>0</v>
      </c>
      <c r="K682">
        <f t="shared" ca="1" si="284"/>
        <v>22653.308435134553</v>
      </c>
      <c r="L682">
        <f t="shared" ca="1" si="284"/>
        <v>23047.688064995898</v>
      </c>
      <c r="M682">
        <f t="shared" ca="1" si="284"/>
        <v>23067.518437678682</v>
      </c>
      <c r="N682">
        <f t="shared" ca="1" si="284"/>
        <v>23067.518437678682</v>
      </c>
      <c r="O682">
        <f t="shared" ca="1" si="284"/>
        <v>69202.555313036049</v>
      </c>
      <c r="P682">
        <f t="shared" ca="1" si="284"/>
        <v>69202.555313036049</v>
      </c>
      <c r="Q682">
        <f t="shared" ca="1" si="284"/>
        <v>69202.555313036049</v>
      </c>
      <c r="R682">
        <f t="shared" ca="1" si="284"/>
        <v>69202.555313036049</v>
      </c>
      <c r="S682">
        <f t="shared" ca="1" si="284"/>
        <v>115337.59218839342</v>
      </c>
      <c r="T682">
        <f t="shared" ca="1" si="284"/>
        <v>115337.59218839342</v>
      </c>
      <c r="U682">
        <f t="shared" ca="1" si="284"/>
        <v>115337.59218839342</v>
      </c>
      <c r="V682">
        <f t="shared" ca="1" si="284"/>
        <v>115337.59218839342</v>
      </c>
      <c r="W682">
        <f t="shared" ca="1" si="284"/>
        <v>111022.51046824087</v>
      </c>
      <c r="X682">
        <f t="shared" ca="1" si="284"/>
        <v>106707.42874808832</v>
      </c>
      <c r="Y682">
        <f t="shared" ca="1" si="284"/>
        <v>101313.57659789764</v>
      </c>
      <c r="Z682">
        <f t="shared" ca="1" si="284"/>
        <v>95919.724447706918</v>
      </c>
      <c r="AA682">
        <f t="shared" ca="1" si="284"/>
        <v>89390.324476423455</v>
      </c>
      <c r="AB682">
        <f t="shared" ca="1" si="284"/>
        <v>76331.524533856515</v>
      </c>
      <c r="AC682">
        <f t="shared" ca="1" si="284"/>
        <v>69802.124562573023</v>
      </c>
    </row>
    <row r="683" spans="2:29">
      <c r="C683" s="11" t="s">
        <v>254</v>
      </c>
      <c r="D683">
        <f t="shared" ref="D683:AC683" si="285">SUMIF($C$634:$C$653,$H$676,D$610:D$629)</f>
        <v>0</v>
      </c>
      <c r="E683">
        <f t="shared" si="285"/>
        <v>0</v>
      </c>
      <c r="F683">
        <f t="shared" si="285"/>
        <v>0</v>
      </c>
      <c r="G683">
        <f t="shared" si="285"/>
        <v>0</v>
      </c>
      <c r="H683">
        <f t="shared" si="285"/>
        <v>0</v>
      </c>
      <c r="I683">
        <f t="shared" si="285"/>
        <v>0</v>
      </c>
      <c r="J683">
        <f t="shared" si="285"/>
        <v>0</v>
      </c>
      <c r="K683">
        <f t="shared" si="285"/>
        <v>0</v>
      </c>
      <c r="L683">
        <f t="shared" si="285"/>
        <v>0</v>
      </c>
      <c r="M683">
        <f t="shared" si="285"/>
        <v>0</v>
      </c>
      <c r="N683">
        <f t="shared" si="285"/>
        <v>0</v>
      </c>
      <c r="O683">
        <f t="shared" si="285"/>
        <v>0</v>
      </c>
      <c r="P683">
        <f t="shared" si="285"/>
        <v>0</v>
      </c>
      <c r="Q683">
        <f t="shared" si="285"/>
        <v>0</v>
      </c>
      <c r="R683">
        <f t="shared" si="285"/>
        <v>0</v>
      </c>
      <c r="S683">
        <f t="shared" si="285"/>
        <v>0</v>
      </c>
      <c r="T683">
        <f t="shared" si="285"/>
        <v>0</v>
      </c>
      <c r="U683">
        <f t="shared" si="285"/>
        <v>0</v>
      </c>
      <c r="V683">
        <f t="shared" si="285"/>
        <v>0</v>
      </c>
      <c r="W683">
        <f t="shared" si="285"/>
        <v>0</v>
      </c>
      <c r="X683">
        <f t="shared" si="285"/>
        <v>0</v>
      </c>
      <c r="Y683">
        <f t="shared" si="285"/>
        <v>0</v>
      </c>
      <c r="Z683">
        <f t="shared" si="285"/>
        <v>0</v>
      </c>
      <c r="AA683">
        <f t="shared" si="285"/>
        <v>0</v>
      </c>
      <c r="AB683">
        <f t="shared" si="285"/>
        <v>0</v>
      </c>
      <c r="AC683">
        <f t="shared" si="285"/>
        <v>0</v>
      </c>
    </row>
    <row r="688" spans="2:29">
      <c r="C688" s="4" t="s">
        <v>138</v>
      </c>
    </row>
    <row r="690" spans="3:29">
      <c r="C690" s="4" t="s">
        <v>149</v>
      </c>
    </row>
    <row r="691" spans="3:29">
      <c r="C691" t="str">
        <f>C8</f>
        <v>Existing coal Large</v>
      </c>
      <c r="D691">
        <f>'Fuel Costs'!$D171*D367</f>
        <v>204.35210617228404</v>
      </c>
      <c r="E691">
        <f>'Fuel Costs'!$D171*E367</f>
        <v>204.35210617228404</v>
      </c>
      <c r="F691">
        <f>'Fuel Costs'!$D171*F367</f>
        <v>211.08396075365542</v>
      </c>
      <c r="G691">
        <f>'Fuel Costs'!$D171*G367</f>
        <v>213.4289577699318</v>
      </c>
      <c r="H691">
        <f>'Fuel Costs'!$D171*H367</f>
        <v>213.4289577699318</v>
      </c>
      <c r="I691">
        <f ca="1">'Fuel Costs'!$D171*I367</f>
        <v>218.46761118196753</v>
      </c>
      <c r="J691">
        <f ca="1">'Fuel Costs'!$D171*J367</f>
        <v>222.28724621524896</v>
      </c>
      <c r="K691">
        <f ca="1">'Fuel Costs'!$D171*K367</f>
        <v>226.53308435134554</v>
      </c>
      <c r="L691">
        <f ca="1">'Fuel Costs'!$D171*L367</f>
        <v>230.47688064995899</v>
      </c>
      <c r="M691">
        <f ca="1">'Fuel Costs'!$D171*M367</f>
        <v>230.67518437678683</v>
      </c>
      <c r="N691">
        <f ca="1">'Fuel Costs'!$D171*N367</f>
        <v>230.67518437678683</v>
      </c>
      <c r="O691">
        <f ca="1">'Fuel Costs'!$D171*O367</f>
        <v>230.67518437678683</v>
      </c>
      <c r="P691">
        <f ca="1">'Fuel Costs'!$D171*P367</f>
        <v>230.67518437678683</v>
      </c>
      <c r="Q691">
        <f ca="1">'Fuel Costs'!$D171*Q367</f>
        <v>230.67518437678683</v>
      </c>
      <c r="R691">
        <f ca="1">'Fuel Costs'!$D171*R367</f>
        <v>230.67518437678683</v>
      </c>
      <c r="S691">
        <f ca="1">'Fuel Costs'!$D171*S367</f>
        <v>230.67518437678683</v>
      </c>
      <c r="T691">
        <f ca="1">'Fuel Costs'!$D171*T367</f>
        <v>230.67518437678683</v>
      </c>
      <c r="U691">
        <f ca="1">'Fuel Costs'!$D171*U367</f>
        <v>230.67518437678683</v>
      </c>
      <c r="V691">
        <f ca="1">'Fuel Costs'!$D171*V367</f>
        <v>230.67518437678683</v>
      </c>
      <c r="W691">
        <f ca="1">'Fuel Costs'!$D171*W367</f>
        <v>222.04502093648173</v>
      </c>
      <c r="X691">
        <f ca="1">'Fuel Costs'!$D171*X367</f>
        <v>213.41485749617664</v>
      </c>
      <c r="Y691">
        <f ca="1">'Fuel Costs'!$D171*Y367</f>
        <v>202.62715319579527</v>
      </c>
      <c r="Z691">
        <f ca="1">'Fuel Costs'!$D171*Z367</f>
        <v>191.83944889541382</v>
      </c>
      <c r="AA691">
        <f ca="1">'Fuel Costs'!$D171*AA367</f>
        <v>178.78064895284692</v>
      </c>
      <c r="AB691">
        <f ca="1">'Fuel Costs'!$D171*AB367</f>
        <v>152.66304906771302</v>
      </c>
      <c r="AC691">
        <f ca="1">'Fuel Costs'!$D171*AC367</f>
        <v>139.60424912514605</v>
      </c>
    </row>
    <row r="692" spans="3:29">
      <c r="C692" t="str">
        <f t="shared" ref="C692:C710" si="286">C9</f>
        <v>Existing coal Small</v>
      </c>
      <c r="D692">
        <f>'Fuel Costs'!$D172*D368</f>
        <v>14.09762101880631</v>
      </c>
      <c r="E692">
        <f>'Fuel Costs'!$D172*E368</f>
        <v>14.09762101880631</v>
      </c>
      <c r="F692">
        <f>'Fuel Costs'!$D172*F368</f>
        <v>14.09762101880631</v>
      </c>
      <c r="G692">
        <f>'Fuel Costs'!$D172*G368</f>
        <v>14.09762101880631</v>
      </c>
      <c r="H692">
        <f>'Fuel Costs'!$D172*H368</f>
        <v>14.09762101880631</v>
      </c>
      <c r="I692">
        <f ca="1">'Fuel Costs'!$D172*I368</f>
        <v>15.869407491973398</v>
      </c>
      <c r="J692">
        <f ca="1">'Fuel Costs'!$D172*J368</f>
        <v>16.917433458531967</v>
      </c>
      <c r="K692">
        <f ca="1">'Fuel Costs'!$D172*K368</f>
        <v>16.917433458531967</v>
      </c>
      <c r="L692">
        <f ca="1">'Fuel Costs'!$D172*L368</f>
        <v>16.917433458531967</v>
      </c>
      <c r="M692">
        <f ca="1">'Fuel Costs'!$D172*M368</f>
        <v>16.917433458531967</v>
      </c>
      <c r="N692">
        <f ca="1">'Fuel Costs'!$D172*N368</f>
        <v>16.917433458531967</v>
      </c>
      <c r="O692">
        <f ca="1">'Fuel Costs'!$D172*O368</f>
        <v>16.820153820546953</v>
      </c>
      <c r="P692">
        <f ca="1">'Fuel Costs'!$D172*P368</f>
        <v>16.722874182561938</v>
      </c>
      <c r="Q692">
        <f ca="1">'Fuel Costs'!$D172*Q368</f>
        <v>16.593167998581919</v>
      </c>
      <c r="R692">
        <f ca="1">'Fuel Costs'!$D172*R368</f>
        <v>16.463461814601896</v>
      </c>
      <c r="S692">
        <f ca="1">'Fuel Costs'!$D172*S368</f>
        <v>13.999044318981493</v>
      </c>
      <c r="T692">
        <f ca="1">'Fuel Costs'!$D172*T368</f>
        <v>11.534626823361091</v>
      </c>
      <c r="U692">
        <f ca="1">'Fuel Costs'!$D172*U368</f>
        <v>11.534626823361091</v>
      </c>
      <c r="V692">
        <f ca="1">'Fuel Costs'!$D172*V368</f>
        <v>11.534626823361091</v>
      </c>
      <c r="W692">
        <f ca="1">'Fuel Costs'!$D172*W368</f>
        <v>11.534626823361091</v>
      </c>
      <c r="X692">
        <f ca="1">'Fuel Costs'!$D172*X368</f>
        <v>10.399121241607103</v>
      </c>
      <c r="Y692">
        <f ca="1">'Fuel Costs'!$D172*Y368</f>
        <v>9.2636156598531176</v>
      </c>
      <c r="Z692">
        <f ca="1">'Fuel Costs'!$D172*Z368</f>
        <v>9.2636156598531176</v>
      </c>
      <c r="AA692">
        <f ca="1">'Fuel Costs'!$D172*AA368</f>
        <v>9.2636156598531176</v>
      </c>
      <c r="AB692">
        <f ca="1">'Fuel Costs'!$D172*AB368</f>
        <v>9.2636156598531176</v>
      </c>
      <c r="AC692">
        <f ca="1">'Fuel Costs'!$D172*AC368</f>
        <v>9.2636156598531176</v>
      </c>
    </row>
    <row r="693" spans="3:29">
      <c r="C693" t="str">
        <f t="shared" si="286"/>
        <v>OCGT liquid fuels</v>
      </c>
      <c r="D693">
        <f>'Fuel Costs'!$D173*D369</f>
        <v>0.55054906452403418</v>
      </c>
      <c r="E693">
        <f>'Fuel Costs'!$D173*E369</f>
        <v>0.55054906452403418</v>
      </c>
      <c r="F693">
        <f>'Fuel Costs'!$D173*F369</f>
        <v>0.55054906452403418</v>
      </c>
      <c r="G693">
        <f>'Fuel Costs'!$D173*G369</f>
        <v>0.55054906452403418</v>
      </c>
      <c r="H693">
        <f>'Fuel Costs'!$D173*H369</f>
        <v>0.55054906452403418</v>
      </c>
      <c r="I693">
        <f ca="1">'Fuel Costs'!$D173*I369</f>
        <v>0.55054906452403418</v>
      </c>
      <c r="J693">
        <f ca="1">'Fuel Costs'!$D173*J369</f>
        <v>0.79829614355984957</v>
      </c>
      <c r="K693">
        <f ca="1">'Fuel Costs'!$D173*K369</f>
        <v>0.79829614355984957</v>
      </c>
      <c r="L693">
        <f ca="1">'Fuel Costs'!$D173*L369</f>
        <v>0.79829614355984957</v>
      </c>
      <c r="M693">
        <f ca="1">'Fuel Costs'!$D173*M369</f>
        <v>0.79829614355984957</v>
      </c>
      <c r="N693">
        <f ca="1">'Fuel Costs'!$D173*N369</f>
        <v>0.79829614355984957</v>
      </c>
      <c r="O693">
        <f ca="1">'Fuel Costs'!$D173*O369</f>
        <v>0.79829614355984957</v>
      </c>
      <c r="P693">
        <f ca="1">'Fuel Costs'!$D173*P369</f>
        <v>0.79829614355984957</v>
      </c>
      <c r="Q693">
        <f ca="1">'Fuel Costs'!$D173*Q369</f>
        <v>0.79829614355984957</v>
      </c>
      <c r="R693">
        <f ca="1">'Fuel Costs'!$D173*R369</f>
        <v>0.79829614355984957</v>
      </c>
      <c r="S693">
        <f ca="1">'Fuel Costs'!$D173*S369</f>
        <v>0.79829614355984957</v>
      </c>
      <c r="T693">
        <f ca="1">'Fuel Costs'!$D173*T369</f>
        <v>0.79829614355984957</v>
      </c>
      <c r="U693">
        <f ca="1">'Fuel Costs'!$D173*U369</f>
        <v>0.79829614355984957</v>
      </c>
      <c r="V693">
        <f ca="1">'Fuel Costs'!$D173*V369</f>
        <v>0.96346086291706012</v>
      </c>
      <c r="W693">
        <f ca="1">'Fuel Costs'!$D173*W369</f>
        <v>0.96346086291706012</v>
      </c>
      <c r="X693">
        <f ca="1">'Fuel Costs'!$D173*X369</f>
        <v>0.96346086291706012</v>
      </c>
      <c r="Y693">
        <f ca="1">'Fuel Costs'!$D173*Y369</f>
        <v>1.1286255822742701</v>
      </c>
      <c r="Z693">
        <f ca="1">'Fuel Costs'!$D173*Z369</f>
        <v>1.1286255822742701</v>
      </c>
      <c r="AA693">
        <f ca="1">'Fuel Costs'!$D173*AA369</f>
        <v>1.1286255822742701</v>
      </c>
      <c r="AB693">
        <f ca="1">'Fuel Costs'!$D173*AB369</f>
        <v>1.2937903016314802</v>
      </c>
      <c r="AC693">
        <f ca="1">'Fuel Costs'!$D173*AC369</f>
        <v>1.2545636807841429</v>
      </c>
    </row>
    <row r="694" spans="3:29">
      <c r="C694" t="str">
        <f t="shared" si="286"/>
        <v>PWR nuclear</v>
      </c>
      <c r="D694">
        <f>'Fuel Costs'!$D174*D370</f>
        <v>0</v>
      </c>
      <c r="E694">
        <f>'Fuel Costs'!$D174*E370</f>
        <v>0</v>
      </c>
      <c r="F694">
        <f>'Fuel Costs'!$D174*F370</f>
        <v>0</v>
      </c>
      <c r="G694">
        <f>'Fuel Costs'!$D174*G370</f>
        <v>0</v>
      </c>
      <c r="H694">
        <f>'Fuel Costs'!$D174*H370</f>
        <v>0</v>
      </c>
      <c r="I694">
        <f ca="1">'Fuel Costs'!$D174*I370</f>
        <v>0</v>
      </c>
      <c r="J694">
        <f ca="1">'Fuel Costs'!$D174*J370</f>
        <v>0</v>
      </c>
      <c r="K694">
        <f ca="1">'Fuel Costs'!$D174*K370</f>
        <v>0</v>
      </c>
      <c r="L694">
        <f ca="1">'Fuel Costs'!$D174*L370</f>
        <v>0</v>
      </c>
      <c r="M694">
        <f ca="1">'Fuel Costs'!$D174*M370</f>
        <v>0</v>
      </c>
      <c r="N694">
        <f ca="1">'Fuel Costs'!$D174*N370</f>
        <v>0</v>
      </c>
      <c r="O694">
        <f ca="1">'Fuel Costs'!$D174*O370</f>
        <v>0</v>
      </c>
      <c r="P694">
        <f ca="1">'Fuel Costs'!$D174*P370</f>
        <v>0</v>
      </c>
      <c r="Q694">
        <f ca="1">'Fuel Costs'!$D174*Q370</f>
        <v>0</v>
      </c>
      <c r="R694">
        <f ca="1">'Fuel Costs'!$D174*R370</f>
        <v>0</v>
      </c>
      <c r="S694">
        <f ca="1">'Fuel Costs'!$D174*S370</f>
        <v>0</v>
      </c>
      <c r="T694">
        <f ca="1">'Fuel Costs'!$D174*T370</f>
        <v>0</v>
      </c>
      <c r="U694">
        <f ca="1">'Fuel Costs'!$D174*U370</f>
        <v>0</v>
      </c>
      <c r="V694">
        <f ca="1">'Fuel Costs'!$D174*V370</f>
        <v>0</v>
      </c>
      <c r="W694">
        <f ca="1">'Fuel Costs'!$D174*W370</f>
        <v>0</v>
      </c>
      <c r="X694">
        <f ca="1">'Fuel Costs'!$D174*X370</f>
        <v>0</v>
      </c>
      <c r="Y694">
        <f ca="1">'Fuel Costs'!$D174*Y370</f>
        <v>0</v>
      </c>
      <c r="Z694">
        <f ca="1">'Fuel Costs'!$D174*Z370</f>
        <v>0</v>
      </c>
      <c r="AA694">
        <f ca="1">'Fuel Costs'!$D174*AA370</f>
        <v>0</v>
      </c>
      <c r="AB694">
        <f ca="1">'Fuel Costs'!$D174*AB370</f>
        <v>0</v>
      </c>
      <c r="AC694">
        <f ca="1">'Fuel Costs'!$D174*AC370</f>
        <v>0</v>
      </c>
    </row>
    <row r="695" spans="3:29">
      <c r="C695" t="str">
        <f t="shared" si="286"/>
        <v>Hydro</v>
      </c>
      <c r="D695">
        <f>'Fuel Costs'!$D175*D371</f>
        <v>0</v>
      </c>
      <c r="E695">
        <f>'Fuel Costs'!$D175*E371</f>
        <v>0</v>
      </c>
      <c r="F695">
        <f>'Fuel Costs'!$D175*F371</f>
        <v>0</v>
      </c>
      <c r="G695">
        <f>'Fuel Costs'!$D175*G371</f>
        <v>0</v>
      </c>
      <c r="H695">
        <f>'Fuel Costs'!$D175*H371</f>
        <v>0</v>
      </c>
      <c r="I695">
        <f ca="1">'Fuel Costs'!$D175*I371</f>
        <v>0</v>
      </c>
      <c r="J695">
        <f ca="1">'Fuel Costs'!$D175*J371</f>
        <v>0</v>
      </c>
      <c r="K695">
        <f ca="1">'Fuel Costs'!$D175*K371</f>
        <v>0</v>
      </c>
      <c r="L695">
        <f ca="1">'Fuel Costs'!$D175*L371</f>
        <v>0</v>
      </c>
      <c r="M695">
        <f ca="1">'Fuel Costs'!$D175*M371</f>
        <v>0</v>
      </c>
      <c r="N695">
        <f ca="1">'Fuel Costs'!$D175*N371</f>
        <v>0</v>
      </c>
      <c r="O695">
        <f ca="1">'Fuel Costs'!$D175*O371</f>
        <v>0</v>
      </c>
      <c r="P695">
        <f ca="1">'Fuel Costs'!$D175*P371</f>
        <v>0</v>
      </c>
      <c r="Q695">
        <f ca="1">'Fuel Costs'!$D175*Q371</f>
        <v>0</v>
      </c>
      <c r="R695">
        <f ca="1">'Fuel Costs'!$D175*R371</f>
        <v>0</v>
      </c>
      <c r="S695">
        <f ca="1">'Fuel Costs'!$D175*S371</f>
        <v>0</v>
      </c>
      <c r="T695">
        <f ca="1">'Fuel Costs'!$D175*T371</f>
        <v>0</v>
      </c>
      <c r="U695">
        <f ca="1">'Fuel Costs'!$D175*U371</f>
        <v>0</v>
      </c>
      <c r="V695">
        <f ca="1">'Fuel Costs'!$D175*V371</f>
        <v>0</v>
      </c>
      <c r="W695">
        <f ca="1">'Fuel Costs'!$D175*W371</f>
        <v>0</v>
      </c>
      <c r="X695">
        <f ca="1">'Fuel Costs'!$D175*X371</f>
        <v>0</v>
      </c>
      <c r="Y695">
        <f ca="1">'Fuel Costs'!$D175*Y371</f>
        <v>0</v>
      </c>
      <c r="Z695">
        <f ca="1">'Fuel Costs'!$D175*Z371</f>
        <v>0</v>
      </c>
      <c r="AA695">
        <f ca="1">'Fuel Costs'!$D175*AA371</f>
        <v>0</v>
      </c>
      <c r="AB695">
        <f ca="1">'Fuel Costs'!$D175*AB371</f>
        <v>0</v>
      </c>
      <c r="AC695">
        <f ca="1">'Fuel Costs'!$D175*AC371</f>
        <v>0</v>
      </c>
    </row>
    <row r="696" spans="3:29">
      <c r="C696" t="str">
        <f t="shared" si="286"/>
        <v>Landfill gas</v>
      </c>
      <c r="D696">
        <f>'Fuel Costs'!$D176*D372</f>
        <v>0</v>
      </c>
      <c r="E696">
        <f>'Fuel Costs'!$D176*E372</f>
        <v>0</v>
      </c>
      <c r="F696">
        <f>'Fuel Costs'!$D176*F372</f>
        <v>0</v>
      </c>
      <c r="G696">
        <f>'Fuel Costs'!$D176*G372</f>
        <v>0</v>
      </c>
      <c r="H696">
        <f>'Fuel Costs'!$D176*H372</f>
        <v>0</v>
      </c>
      <c r="I696">
        <f ca="1">'Fuel Costs'!$D176*I372</f>
        <v>0</v>
      </c>
      <c r="J696">
        <f ca="1">'Fuel Costs'!$D176*J372</f>
        <v>0</v>
      </c>
      <c r="K696">
        <f ca="1">'Fuel Costs'!$D176*K372</f>
        <v>0</v>
      </c>
      <c r="L696">
        <f ca="1">'Fuel Costs'!$D176*L372</f>
        <v>0</v>
      </c>
      <c r="M696">
        <f ca="1">'Fuel Costs'!$D176*M372</f>
        <v>0</v>
      </c>
      <c r="N696">
        <f ca="1">'Fuel Costs'!$D176*N372</f>
        <v>0</v>
      </c>
      <c r="O696">
        <f ca="1">'Fuel Costs'!$D176*O372</f>
        <v>0</v>
      </c>
      <c r="P696">
        <f ca="1">'Fuel Costs'!$D176*P372</f>
        <v>0</v>
      </c>
      <c r="Q696">
        <f ca="1">'Fuel Costs'!$D176*Q372</f>
        <v>0</v>
      </c>
      <c r="R696">
        <f ca="1">'Fuel Costs'!$D176*R372</f>
        <v>0</v>
      </c>
      <c r="S696">
        <f ca="1">'Fuel Costs'!$D176*S372</f>
        <v>0</v>
      </c>
      <c r="T696">
        <f ca="1">'Fuel Costs'!$D176*T372</f>
        <v>0</v>
      </c>
      <c r="U696">
        <f ca="1">'Fuel Costs'!$D176*U372</f>
        <v>0</v>
      </c>
      <c r="V696">
        <f ca="1">'Fuel Costs'!$D176*V372</f>
        <v>0</v>
      </c>
      <c r="W696">
        <f ca="1">'Fuel Costs'!$D176*W372</f>
        <v>0</v>
      </c>
      <c r="X696">
        <f ca="1">'Fuel Costs'!$D176*X372</f>
        <v>0</v>
      </c>
      <c r="Y696">
        <f ca="1">'Fuel Costs'!$D176*Y372</f>
        <v>0</v>
      </c>
      <c r="Z696">
        <f ca="1">'Fuel Costs'!$D176*Z372</f>
        <v>0</v>
      </c>
      <c r="AA696">
        <f ca="1">'Fuel Costs'!$D176*AA372</f>
        <v>0</v>
      </c>
      <c r="AB696">
        <f ca="1">'Fuel Costs'!$D176*AB372</f>
        <v>0</v>
      </c>
      <c r="AC696">
        <f ca="1">'Fuel Costs'!$D176*AC372</f>
        <v>0</v>
      </c>
    </row>
    <row r="697" spans="3:29">
      <c r="C697" t="str">
        <f t="shared" si="286"/>
        <v>Biomass</v>
      </c>
      <c r="D697">
        <f>'Fuel Costs'!$D177*D373</f>
        <v>0</v>
      </c>
      <c r="E697">
        <f>'Fuel Costs'!$D177*E373</f>
        <v>0</v>
      </c>
      <c r="F697">
        <f>'Fuel Costs'!$D177*F373</f>
        <v>0</v>
      </c>
      <c r="G697">
        <f>'Fuel Costs'!$D177*G373</f>
        <v>0</v>
      </c>
      <c r="H697">
        <f>'Fuel Costs'!$D177*H373</f>
        <v>0</v>
      </c>
      <c r="I697">
        <f ca="1">'Fuel Costs'!$D177*I373</f>
        <v>0</v>
      </c>
      <c r="J697">
        <f ca="1">'Fuel Costs'!$D177*J373</f>
        <v>0</v>
      </c>
      <c r="K697">
        <f ca="1">'Fuel Costs'!$D177*K373</f>
        <v>0</v>
      </c>
      <c r="L697">
        <f ca="1">'Fuel Costs'!$D177*L373</f>
        <v>0</v>
      </c>
      <c r="M697">
        <f ca="1">'Fuel Costs'!$D177*M373</f>
        <v>0</v>
      </c>
      <c r="N697">
        <f ca="1">'Fuel Costs'!$D177*N373</f>
        <v>0</v>
      </c>
      <c r="O697">
        <f ca="1">'Fuel Costs'!$D177*O373</f>
        <v>0</v>
      </c>
      <c r="P697">
        <f ca="1">'Fuel Costs'!$D177*P373</f>
        <v>0</v>
      </c>
      <c r="Q697">
        <f ca="1">'Fuel Costs'!$D177*Q373</f>
        <v>0</v>
      </c>
      <c r="R697">
        <f ca="1">'Fuel Costs'!$D177*R373</f>
        <v>0</v>
      </c>
      <c r="S697">
        <f ca="1">'Fuel Costs'!$D177*S373</f>
        <v>0</v>
      </c>
      <c r="T697">
        <f ca="1">'Fuel Costs'!$D177*T373</f>
        <v>0</v>
      </c>
      <c r="U697">
        <f ca="1">'Fuel Costs'!$D177*U373</f>
        <v>0</v>
      </c>
      <c r="V697">
        <f ca="1">'Fuel Costs'!$D177*V373</f>
        <v>0</v>
      </c>
      <c r="W697">
        <f ca="1">'Fuel Costs'!$D177*W373</f>
        <v>0</v>
      </c>
      <c r="X697">
        <f ca="1">'Fuel Costs'!$D177*X373</f>
        <v>0</v>
      </c>
      <c r="Y697">
        <f ca="1">'Fuel Costs'!$D177*Y373</f>
        <v>0</v>
      </c>
      <c r="Z697">
        <f ca="1">'Fuel Costs'!$D177*Z373</f>
        <v>0</v>
      </c>
      <c r="AA697">
        <f ca="1">'Fuel Costs'!$D177*AA373</f>
        <v>0</v>
      </c>
      <c r="AB697">
        <f ca="1">'Fuel Costs'!$D177*AB373</f>
        <v>0</v>
      </c>
      <c r="AC697">
        <f ca="1">'Fuel Costs'!$D177*AC373</f>
        <v>0</v>
      </c>
    </row>
    <row r="698" spans="3:29">
      <c r="C698" t="str">
        <f t="shared" si="286"/>
        <v>Supercritical coal</v>
      </c>
      <c r="D698">
        <f>'Fuel Costs'!$D178*D374</f>
        <v>0</v>
      </c>
      <c r="E698">
        <f>'Fuel Costs'!$D178*E374</f>
        <v>0</v>
      </c>
      <c r="F698">
        <f>'Fuel Costs'!$D178*F374</f>
        <v>0</v>
      </c>
      <c r="G698">
        <f>'Fuel Costs'!$D178*G374</f>
        <v>0</v>
      </c>
      <c r="H698">
        <f>'Fuel Costs'!$D178*H374</f>
        <v>0</v>
      </c>
      <c r="I698">
        <f ca="1">'Fuel Costs'!$D178*I374</f>
        <v>0</v>
      </c>
      <c r="J698">
        <f ca="1">'Fuel Costs'!$D178*J374</f>
        <v>0</v>
      </c>
      <c r="K698">
        <f ca="1">'Fuel Costs'!$D178*K374</f>
        <v>1.5822929501800578</v>
      </c>
      <c r="L698">
        <f ca="1">'Fuel Costs'!$D178*L374</f>
        <v>4.746878850540174</v>
      </c>
      <c r="M698">
        <f ca="1">'Fuel Costs'!$D178*M374</f>
        <v>12.880632731288806</v>
      </c>
      <c r="N698">
        <f ca="1">'Fuel Costs'!$D178*N374</f>
        <v>20.655092256405368</v>
      </c>
      <c r="O698">
        <f ca="1">'Fuel Costs'!$D178*O374</f>
        <v>28.935846278299117</v>
      </c>
      <c r="P698">
        <f ca="1">'Fuel Costs'!$D178*P374</f>
        <v>37.081668127729138</v>
      </c>
      <c r="Q698">
        <f ca="1">'Fuel Costs'!$D178*Q374</f>
        <v>45.694438252270537</v>
      </c>
      <c r="R698">
        <f ca="1">'Fuel Costs'!$D178*R374</f>
        <v>54.707007406334498</v>
      </c>
      <c r="S698">
        <f ca="1">'Fuel Costs'!$D178*S374</f>
        <v>65.54170420260013</v>
      </c>
      <c r="T698">
        <f ca="1">'Fuel Costs'!$D178*T374</f>
        <v>76.846164858554843</v>
      </c>
      <c r="U698">
        <f ca="1">'Fuel Costs'!$D178*U374</f>
        <v>86.415589673490459</v>
      </c>
      <c r="V698">
        <f ca="1">'Fuel Costs'!$D178*V374</f>
        <v>96.464515866087595</v>
      </c>
      <c r="W698">
        <f ca="1">'Fuel Costs'!$D178*W374</f>
        <v>115.17280145329102</v>
      </c>
      <c r="X698">
        <f ca="1">'Fuel Costs'!$D178*X374</f>
        <v>135.21226169924054</v>
      </c>
      <c r="Y698">
        <f ca="1">'Fuel Costs'!$D178*Y374</f>
        <v>157.98407953075346</v>
      </c>
      <c r="Z698">
        <f ca="1">'Fuel Costs'!$D178*Z374</f>
        <v>180.58189860296716</v>
      </c>
      <c r="AA698">
        <f ca="1">'Fuel Costs'!$D178*AA374</f>
        <v>205.70685646341789</v>
      </c>
      <c r="AB698">
        <f ca="1">'Fuel Costs'!$D178*AB374</f>
        <v>243.21118637084805</v>
      </c>
      <c r="AC698">
        <f ca="1">'Fuel Costs'!$D178*AC374</f>
        <v>265.33419000572479</v>
      </c>
    </row>
    <row r="699" spans="3:29">
      <c r="C699" t="str">
        <f t="shared" si="286"/>
        <v xml:space="preserve">Wind 30% </v>
      </c>
      <c r="D699">
        <f>'Fuel Costs'!$D179*D375</f>
        <v>0</v>
      </c>
      <c r="E699">
        <f>'Fuel Costs'!$D179*E375</f>
        <v>0</v>
      </c>
      <c r="F699">
        <f>'Fuel Costs'!$D179*F375</f>
        <v>0</v>
      </c>
      <c r="G699">
        <f>'Fuel Costs'!$D179*G375</f>
        <v>0</v>
      </c>
      <c r="H699">
        <f>'Fuel Costs'!$D179*H375</f>
        <v>0</v>
      </c>
      <c r="I699">
        <f ca="1">'Fuel Costs'!$D179*I375</f>
        <v>0</v>
      </c>
      <c r="J699">
        <f ca="1">'Fuel Costs'!$D179*J375</f>
        <v>0</v>
      </c>
      <c r="K699">
        <f ca="1">'Fuel Costs'!$D179*K375</f>
        <v>0</v>
      </c>
      <c r="L699">
        <f ca="1">'Fuel Costs'!$D179*L375</f>
        <v>0</v>
      </c>
      <c r="M699">
        <f ca="1">'Fuel Costs'!$D179*M375</f>
        <v>0</v>
      </c>
      <c r="N699">
        <f ca="1">'Fuel Costs'!$D179*N375</f>
        <v>0</v>
      </c>
      <c r="O699">
        <f ca="1">'Fuel Costs'!$D179*O375</f>
        <v>0</v>
      </c>
      <c r="P699">
        <f ca="1">'Fuel Costs'!$D179*P375</f>
        <v>0</v>
      </c>
      <c r="Q699">
        <f ca="1">'Fuel Costs'!$D179*Q375</f>
        <v>0</v>
      </c>
      <c r="R699">
        <f ca="1">'Fuel Costs'!$D179*R375</f>
        <v>0</v>
      </c>
      <c r="S699">
        <f ca="1">'Fuel Costs'!$D179*S375</f>
        <v>0</v>
      </c>
      <c r="T699">
        <f ca="1">'Fuel Costs'!$D179*T375</f>
        <v>0</v>
      </c>
      <c r="U699">
        <f ca="1">'Fuel Costs'!$D179*U375</f>
        <v>0</v>
      </c>
      <c r="V699">
        <f ca="1">'Fuel Costs'!$D179*V375</f>
        <v>0</v>
      </c>
      <c r="W699">
        <f ca="1">'Fuel Costs'!$D179*W375</f>
        <v>0</v>
      </c>
      <c r="X699">
        <f ca="1">'Fuel Costs'!$D179*X375</f>
        <v>0</v>
      </c>
      <c r="Y699">
        <f ca="1">'Fuel Costs'!$D179*Y375</f>
        <v>0</v>
      </c>
      <c r="Z699">
        <f ca="1">'Fuel Costs'!$D179*Z375</f>
        <v>0</v>
      </c>
      <c r="AA699">
        <f ca="1">'Fuel Costs'!$D179*AA375</f>
        <v>0</v>
      </c>
      <c r="AB699">
        <f ca="1">'Fuel Costs'!$D179*AB375</f>
        <v>0</v>
      </c>
      <c r="AC699">
        <f ca="1">'Fuel Costs'!$D179*AC375</f>
        <v>0</v>
      </c>
    </row>
    <row r="700" spans="3:29">
      <c r="C700" t="str">
        <f t="shared" si="286"/>
        <v>Wind 25%</v>
      </c>
      <c r="D700">
        <f>'Fuel Costs'!$D180*D376</f>
        <v>0</v>
      </c>
      <c r="E700">
        <f>'Fuel Costs'!$D180*E376</f>
        <v>0</v>
      </c>
      <c r="F700">
        <f>'Fuel Costs'!$D180*F376</f>
        <v>0</v>
      </c>
      <c r="G700">
        <f>'Fuel Costs'!$D180*G376</f>
        <v>0</v>
      </c>
      <c r="H700">
        <f>'Fuel Costs'!$D180*H376</f>
        <v>0</v>
      </c>
      <c r="I700">
        <f ca="1">'Fuel Costs'!$D180*I376</f>
        <v>0</v>
      </c>
      <c r="J700">
        <f ca="1">'Fuel Costs'!$D180*J376</f>
        <v>0</v>
      </c>
      <c r="K700">
        <f ca="1">'Fuel Costs'!$D180*K376</f>
        <v>0</v>
      </c>
      <c r="L700">
        <f ca="1">'Fuel Costs'!$D180*L376</f>
        <v>0</v>
      </c>
      <c r="M700">
        <f ca="1">'Fuel Costs'!$D180*M376</f>
        <v>0</v>
      </c>
      <c r="N700">
        <f ca="1">'Fuel Costs'!$D180*N376</f>
        <v>0</v>
      </c>
      <c r="O700">
        <f ca="1">'Fuel Costs'!$D180*O376</f>
        <v>0</v>
      </c>
      <c r="P700">
        <f ca="1">'Fuel Costs'!$D180*P376</f>
        <v>0</v>
      </c>
      <c r="Q700">
        <f ca="1">'Fuel Costs'!$D180*Q376</f>
        <v>0</v>
      </c>
      <c r="R700">
        <f ca="1">'Fuel Costs'!$D180*R376</f>
        <v>0</v>
      </c>
      <c r="S700">
        <f ca="1">'Fuel Costs'!$D180*S376</f>
        <v>0</v>
      </c>
      <c r="T700">
        <f ca="1">'Fuel Costs'!$D180*T376</f>
        <v>0</v>
      </c>
      <c r="U700">
        <f ca="1">'Fuel Costs'!$D180*U376</f>
        <v>0</v>
      </c>
      <c r="V700">
        <f ca="1">'Fuel Costs'!$D180*V376</f>
        <v>0</v>
      </c>
      <c r="W700">
        <f ca="1">'Fuel Costs'!$D180*W376</f>
        <v>0</v>
      </c>
      <c r="X700">
        <f ca="1">'Fuel Costs'!$D180*X376</f>
        <v>0</v>
      </c>
      <c r="Y700">
        <f ca="1">'Fuel Costs'!$D180*Y376</f>
        <v>0</v>
      </c>
      <c r="Z700">
        <f ca="1">'Fuel Costs'!$D180*Z376</f>
        <v>0</v>
      </c>
      <c r="AA700">
        <f ca="1">'Fuel Costs'!$D180*AA376</f>
        <v>0</v>
      </c>
      <c r="AB700">
        <f ca="1">'Fuel Costs'!$D180*AB376</f>
        <v>0</v>
      </c>
      <c r="AC700">
        <f ca="1">'Fuel Costs'!$D180*AC376</f>
        <v>0</v>
      </c>
    </row>
    <row r="701" spans="3:29">
      <c r="C701" t="str">
        <f t="shared" si="286"/>
        <v>solar thermal central reciever</v>
      </c>
      <c r="D701">
        <f>'Fuel Costs'!$D181*D377</f>
        <v>0</v>
      </c>
      <c r="E701">
        <f>'Fuel Costs'!$D181*E377</f>
        <v>0</v>
      </c>
      <c r="F701">
        <f>'Fuel Costs'!$D181*F377</f>
        <v>0</v>
      </c>
      <c r="G701">
        <f>'Fuel Costs'!$D181*G377</f>
        <v>0</v>
      </c>
      <c r="H701">
        <f>'Fuel Costs'!$D181*H377</f>
        <v>0</v>
      </c>
      <c r="I701">
        <f ca="1">'Fuel Costs'!$D181*I377</f>
        <v>0</v>
      </c>
      <c r="J701">
        <f ca="1">'Fuel Costs'!$D181*J377</f>
        <v>0</v>
      </c>
      <c r="K701">
        <f ca="1">'Fuel Costs'!$D181*K377</f>
        <v>0</v>
      </c>
      <c r="L701">
        <f ca="1">'Fuel Costs'!$D181*L377</f>
        <v>0</v>
      </c>
      <c r="M701">
        <f ca="1">'Fuel Costs'!$D181*M377</f>
        <v>0</v>
      </c>
      <c r="N701">
        <f ca="1">'Fuel Costs'!$D181*N377</f>
        <v>0</v>
      </c>
      <c r="O701">
        <f ca="1">'Fuel Costs'!$D181*O377</f>
        <v>0</v>
      </c>
      <c r="P701">
        <f ca="1">'Fuel Costs'!$D181*P377</f>
        <v>0</v>
      </c>
      <c r="Q701">
        <f ca="1">'Fuel Costs'!$D181*Q377</f>
        <v>0</v>
      </c>
      <c r="R701">
        <f ca="1">'Fuel Costs'!$D181*R377</f>
        <v>0</v>
      </c>
      <c r="S701">
        <f ca="1">'Fuel Costs'!$D181*S377</f>
        <v>0</v>
      </c>
      <c r="T701">
        <f ca="1">'Fuel Costs'!$D181*T377</f>
        <v>0</v>
      </c>
      <c r="U701">
        <f ca="1">'Fuel Costs'!$D181*U377</f>
        <v>0</v>
      </c>
      <c r="V701">
        <f ca="1">'Fuel Costs'!$D181*V377</f>
        <v>0</v>
      </c>
      <c r="W701">
        <f ca="1">'Fuel Costs'!$D181*W377</f>
        <v>0</v>
      </c>
      <c r="X701">
        <f ca="1">'Fuel Costs'!$D181*X377</f>
        <v>0</v>
      </c>
      <c r="Y701">
        <f ca="1">'Fuel Costs'!$D181*Y377</f>
        <v>0</v>
      </c>
      <c r="Z701">
        <f ca="1">'Fuel Costs'!$D181*Z377</f>
        <v>0</v>
      </c>
      <c r="AA701">
        <f ca="1">'Fuel Costs'!$D181*AA377</f>
        <v>0</v>
      </c>
      <c r="AB701">
        <f ca="1">'Fuel Costs'!$D181*AB377</f>
        <v>0</v>
      </c>
      <c r="AC701">
        <f ca="1">'Fuel Costs'!$D181*AC377</f>
        <v>0</v>
      </c>
    </row>
    <row r="702" spans="3:29">
      <c r="C702" t="str">
        <f t="shared" si="286"/>
        <v>solar thermal trough</v>
      </c>
      <c r="D702">
        <f>'Fuel Costs'!$D182*D378</f>
        <v>0</v>
      </c>
      <c r="E702">
        <f>'Fuel Costs'!$D182*E378</f>
        <v>0</v>
      </c>
      <c r="F702">
        <f>'Fuel Costs'!$D182*F378</f>
        <v>0</v>
      </c>
      <c r="G702">
        <f>'Fuel Costs'!$D182*G378</f>
        <v>0</v>
      </c>
      <c r="H702">
        <f>'Fuel Costs'!$D182*H378</f>
        <v>0</v>
      </c>
      <c r="I702">
        <f ca="1">'Fuel Costs'!$D182*I378</f>
        <v>0</v>
      </c>
      <c r="J702">
        <f ca="1">'Fuel Costs'!$D182*J378</f>
        <v>0</v>
      </c>
      <c r="K702">
        <f ca="1">'Fuel Costs'!$D182*K378</f>
        <v>0</v>
      </c>
      <c r="L702">
        <f ca="1">'Fuel Costs'!$D182*L378</f>
        <v>0</v>
      </c>
      <c r="M702">
        <f ca="1">'Fuel Costs'!$D182*M378</f>
        <v>0</v>
      </c>
      <c r="N702">
        <f ca="1">'Fuel Costs'!$D182*N378</f>
        <v>0</v>
      </c>
      <c r="O702">
        <f ca="1">'Fuel Costs'!$D182*O378</f>
        <v>0</v>
      </c>
      <c r="P702">
        <f ca="1">'Fuel Costs'!$D182*P378</f>
        <v>0</v>
      </c>
      <c r="Q702">
        <f ca="1">'Fuel Costs'!$D182*Q378</f>
        <v>0</v>
      </c>
      <c r="R702">
        <f ca="1">'Fuel Costs'!$D182*R378</f>
        <v>0</v>
      </c>
      <c r="S702">
        <f ca="1">'Fuel Costs'!$D182*S378</f>
        <v>0</v>
      </c>
      <c r="T702">
        <f ca="1">'Fuel Costs'!$D182*T378</f>
        <v>0</v>
      </c>
      <c r="U702">
        <f ca="1">'Fuel Costs'!$D182*U378</f>
        <v>0</v>
      </c>
      <c r="V702">
        <f ca="1">'Fuel Costs'!$D182*V378</f>
        <v>0</v>
      </c>
      <c r="W702">
        <f ca="1">'Fuel Costs'!$D182*W378</f>
        <v>0</v>
      </c>
      <c r="X702">
        <f ca="1">'Fuel Costs'!$D182*X378</f>
        <v>0</v>
      </c>
      <c r="Y702">
        <f ca="1">'Fuel Costs'!$D182*Y378</f>
        <v>0</v>
      </c>
      <c r="Z702">
        <f ca="1">'Fuel Costs'!$D182*Z378</f>
        <v>0</v>
      </c>
      <c r="AA702">
        <f ca="1">'Fuel Costs'!$D182*AA378</f>
        <v>0</v>
      </c>
      <c r="AB702">
        <f ca="1">'Fuel Costs'!$D182*AB378</f>
        <v>0</v>
      </c>
      <c r="AC702">
        <f ca="1">'Fuel Costs'!$D182*AC378</f>
        <v>0</v>
      </c>
    </row>
    <row r="703" spans="3:29">
      <c r="C703" t="str">
        <f t="shared" si="286"/>
        <v>solar PV</v>
      </c>
      <c r="D703">
        <f>'Fuel Costs'!$D183*D379</f>
        <v>0</v>
      </c>
      <c r="E703">
        <f>'Fuel Costs'!$D183*E379</f>
        <v>0</v>
      </c>
      <c r="F703">
        <f>'Fuel Costs'!$D183*F379</f>
        <v>0</v>
      </c>
      <c r="G703">
        <f>'Fuel Costs'!$D183*G379</f>
        <v>0</v>
      </c>
      <c r="H703">
        <f>'Fuel Costs'!$D183*H379</f>
        <v>0</v>
      </c>
      <c r="I703">
        <f ca="1">'Fuel Costs'!$D183*I379</f>
        <v>0</v>
      </c>
      <c r="J703">
        <f ca="1">'Fuel Costs'!$D183*J379</f>
        <v>0</v>
      </c>
      <c r="K703">
        <f ca="1">'Fuel Costs'!$D183*K379</f>
        <v>0</v>
      </c>
      <c r="L703">
        <f ca="1">'Fuel Costs'!$D183*L379</f>
        <v>0</v>
      </c>
      <c r="M703">
        <f ca="1">'Fuel Costs'!$D183*M379</f>
        <v>0</v>
      </c>
      <c r="N703">
        <f ca="1">'Fuel Costs'!$D183*N379</f>
        <v>0</v>
      </c>
      <c r="O703">
        <f ca="1">'Fuel Costs'!$D183*O379</f>
        <v>0</v>
      </c>
      <c r="P703">
        <f ca="1">'Fuel Costs'!$D183*P379</f>
        <v>0</v>
      </c>
      <c r="Q703">
        <f ca="1">'Fuel Costs'!$D183*Q379</f>
        <v>0</v>
      </c>
      <c r="R703">
        <f ca="1">'Fuel Costs'!$D183*R379</f>
        <v>0</v>
      </c>
      <c r="S703">
        <f ca="1">'Fuel Costs'!$D183*S379</f>
        <v>0</v>
      </c>
      <c r="T703">
        <f ca="1">'Fuel Costs'!$D183*T379</f>
        <v>0</v>
      </c>
      <c r="U703">
        <f ca="1">'Fuel Costs'!$D183*U379</f>
        <v>0</v>
      </c>
      <c r="V703">
        <f ca="1">'Fuel Costs'!$D183*V379</f>
        <v>0</v>
      </c>
      <c r="W703">
        <f ca="1">'Fuel Costs'!$D183*W379</f>
        <v>0</v>
      </c>
      <c r="X703">
        <f ca="1">'Fuel Costs'!$D183*X379</f>
        <v>0</v>
      </c>
      <c r="Y703">
        <f ca="1">'Fuel Costs'!$D183*Y379</f>
        <v>0</v>
      </c>
      <c r="Z703">
        <f ca="1">'Fuel Costs'!$D183*Z379</f>
        <v>0</v>
      </c>
      <c r="AA703">
        <f ca="1">'Fuel Costs'!$D183*AA379</f>
        <v>0</v>
      </c>
      <c r="AB703">
        <f ca="1">'Fuel Costs'!$D183*AB379</f>
        <v>0</v>
      </c>
      <c r="AC703">
        <f ca="1">'Fuel Costs'!$D183*AC379</f>
        <v>0</v>
      </c>
    </row>
    <row r="704" spans="3:29">
      <c r="C704" t="str">
        <f t="shared" si="286"/>
        <v>combined cycle gas</v>
      </c>
      <c r="D704">
        <f>'Fuel Costs'!$D184*D380</f>
        <v>0</v>
      </c>
      <c r="E704">
        <f>'Fuel Costs'!$D184*E380</f>
        <v>0</v>
      </c>
      <c r="F704">
        <f>'Fuel Costs'!$D184*F380</f>
        <v>0</v>
      </c>
      <c r="G704">
        <f>'Fuel Costs'!$D184*G380</f>
        <v>0</v>
      </c>
      <c r="H704">
        <f>'Fuel Costs'!$D184*H380</f>
        <v>0</v>
      </c>
      <c r="I704">
        <f ca="1">'Fuel Costs'!$D184*I380</f>
        <v>0</v>
      </c>
      <c r="J704">
        <f ca="1">'Fuel Costs'!$D184*J380</f>
        <v>0</v>
      </c>
      <c r="K704">
        <f ca="1">'Fuel Costs'!$D184*K380</f>
        <v>0</v>
      </c>
      <c r="L704">
        <f ca="1">'Fuel Costs'!$D184*L380</f>
        <v>0</v>
      </c>
      <c r="M704">
        <f ca="1">'Fuel Costs'!$D184*M380</f>
        <v>0</v>
      </c>
      <c r="N704">
        <f ca="1">'Fuel Costs'!$D184*N380</f>
        <v>0</v>
      </c>
      <c r="O704">
        <f ca="1">'Fuel Costs'!$D184*O380</f>
        <v>0</v>
      </c>
      <c r="P704">
        <f ca="1">'Fuel Costs'!$D184*P380</f>
        <v>0</v>
      </c>
      <c r="Q704">
        <f ca="1">'Fuel Costs'!$D184*Q380</f>
        <v>0</v>
      </c>
      <c r="R704">
        <f ca="1">'Fuel Costs'!$D184*R380</f>
        <v>0</v>
      </c>
      <c r="S704">
        <f ca="1">'Fuel Costs'!$D184*S380</f>
        <v>0</v>
      </c>
      <c r="T704">
        <f ca="1">'Fuel Costs'!$D184*T380</f>
        <v>0</v>
      </c>
      <c r="U704">
        <f ca="1">'Fuel Costs'!$D184*U380</f>
        <v>0</v>
      </c>
      <c r="V704">
        <f ca="1">'Fuel Costs'!$D184*V380</f>
        <v>0</v>
      </c>
      <c r="W704">
        <f ca="1">'Fuel Costs'!$D184*W380</f>
        <v>0</v>
      </c>
      <c r="X704">
        <f ca="1">'Fuel Costs'!$D184*X380</f>
        <v>0</v>
      </c>
      <c r="Y704">
        <f ca="1">'Fuel Costs'!$D184*Y380</f>
        <v>0</v>
      </c>
      <c r="Z704">
        <f ca="1">'Fuel Costs'!$D184*Z380</f>
        <v>0</v>
      </c>
      <c r="AA704">
        <f ca="1">'Fuel Costs'!$D184*AA380</f>
        <v>0</v>
      </c>
      <c r="AB704">
        <f ca="1">'Fuel Costs'!$D184*AB380</f>
        <v>0</v>
      </c>
      <c r="AC704">
        <f ca="1">'Fuel Costs'!$D184*AC380</f>
        <v>0</v>
      </c>
    </row>
    <row r="705" spans="3:29">
      <c r="C705" t="str">
        <f t="shared" si="286"/>
        <v>PBMR</v>
      </c>
      <c r="D705">
        <f>'Fuel Costs'!$D185*D381</f>
        <v>0</v>
      </c>
      <c r="E705">
        <f>'Fuel Costs'!$D185*E381</f>
        <v>0</v>
      </c>
      <c r="F705">
        <f>'Fuel Costs'!$D185*F381</f>
        <v>0</v>
      </c>
      <c r="G705">
        <f>'Fuel Costs'!$D185*G381</f>
        <v>0</v>
      </c>
      <c r="H705">
        <f>'Fuel Costs'!$D185*H381</f>
        <v>0</v>
      </c>
      <c r="I705">
        <f ca="1">'Fuel Costs'!$D185*I381</f>
        <v>0</v>
      </c>
      <c r="J705">
        <f ca="1">'Fuel Costs'!$D185*J381</f>
        <v>0</v>
      </c>
      <c r="K705">
        <f ca="1">'Fuel Costs'!$D185*K381</f>
        <v>0</v>
      </c>
      <c r="L705">
        <f ca="1">'Fuel Costs'!$D185*L381</f>
        <v>0</v>
      </c>
      <c r="M705">
        <f ca="1">'Fuel Costs'!$D185*M381</f>
        <v>0</v>
      </c>
      <c r="N705">
        <f ca="1">'Fuel Costs'!$D185*N381</f>
        <v>0</v>
      </c>
      <c r="O705">
        <f ca="1">'Fuel Costs'!$D185*O381</f>
        <v>0</v>
      </c>
      <c r="P705">
        <f ca="1">'Fuel Costs'!$D185*P381</f>
        <v>0</v>
      </c>
      <c r="Q705">
        <f ca="1">'Fuel Costs'!$D185*Q381</f>
        <v>0</v>
      </c>
      <c r="R705">
        <f ca="1">'Fuel Costs'!$D185*R381</f>
        <v>0</v>
      </c>
      <c r="S705">
        <f ca="1">'Fuel Costs'!$D185*S381</f>
        <v>0</v>
      </c>
      <c r="T705">
        <f ca="1">'Fuel Costs'!$D185*T381</f>
        <v>0</v>
      </c>
      <c r="U705">
        <f ca="1">'Fuel Costs'!$D185*U381</f>
        <v>0</v>
      </c>
      <c r="V705">
        <f ca="1">'Fuel Costs'!$D185*V381</f>
        <v>0</v>
      </c>
      <c r="W705">
        <f ca="1">'Fuel Costs'!$D185*W381</f>
        <v>0</v>
      </c>
      <c r="X705">
        <f ca="1">'Fuel Costs'!$D185*X381</f>
        <v>0</v>
      </c>
      <c r="Y705">
        <f ca="1">'Fuel Costs'!$D185*Y381</f>
        <v>0</v>
      </c>
      <c r="Z705">
        <f ca="1">'Fuel Costs'!$D185*Z381</f>
        <v>0</v>
      </c>
      <c r="AA705">
        <f ca="1">'Fuel Costs'!$D185*AA381</f>
        <v>0</v>
      </c>
      <c r="AB705">
        <f ca="1">'Fuel Costs'!$D185*AB381</f>
        <v>0</v>
      </c>
      <c r="AC705">
        <f ca="1">'Fuel Costs'!$D185*AC381</f>
        <v>0</v>
      </c>
    </row>
    <row r="706" spans="3:29">
      <c r="C706" t="str">
        <f t="shared" si="286"/>
        <v>IGCC</v>
      </c>
      <c r="D706">
        <f>'Fuel Costs'!$D186*D382</f>
        <v>0</v>
      </c>
      <c r="E706">
        <f>'Fuel Costs'!$D186*E382</f>
        <v>2.5903310415742451E-14</v>
      </c>
      <c r="F706">
        <f>'Fuel Costs'!$D186*F382</f>
        <v>0</v>
      </c>
      <c r="G706">
        <f>'Fuel Costs'!$D186*G382</f>
        <v>2.5903310415742451E-14</v>
      </c>
      <c r="H706">
        <f>'Fuel Costs'!$D186*H382</f>
        <v>2.5903310415742451E-14</v>
      </c>
      <c r="I706">
        <f ca="1">'Fuel Costs'!$D186*I382</f>
        <v>0</v>
      </c>
      <c r="J706">
        <f ca="1">'Fuel Costs'!$D186*J382</f>
        <v>0</v>
      </c>
      <c r="K706">
        <f ca="1">'Fuel Costs'!$D186*K382</f>
        <v>0</v>
      </c>
      <c r="L706">
        <f ca="1">'Fuel Costs'!$D186*L382</f>
        <v>0</v>
      </c>
      <c r="M706">
        <f ca="1">'Fuel Costs'!$D186*M382</f>
        <v>0</v>
      </c>
      <c r="N706">
        <f ca="1">'Fuel Costs'!$D186*N382</f>
        <v>0</v>
      </c>
      <c r="O706">
        <f ca="1">'Fuel Costs'!$D186*O382</f>
        <v>0</v>
      </c>
      <c r="P706">
        <f ca="1">'Fuel Costs'!$D186*P382</f>
        <v>0</v>
      </c>
      <c r="Q706">
        <f ca="1">'Fuel Costs'!$D186*Q382</f>
        <v>0</v>
      </c>
      <c r="R706">
        <f ca="1">'Fuel Costs'!$D186*R382</f>
        <v>0</v>
      </c>
      <c r="S706">
        <f ca="1">'Fuel Costs'!$D186*S382</f>
        <v>0</v>
      </c>
      <c r="T706">
        <f ca="1">'Fuel Costs'!$D186*T382</f>
        <v>0</v>
      </c>
      <c r="U706">
        <f ca="1">'Fuel Costs'!$D186*U382</f>
        <v>0</v>
      </c>
      <c r="V706">
        <f ca="1">'Fuel Costs'!$D186*V382</f>
        <v>0</v>
      </c>
      <c r="W706">
        <f ca="1">'Fuel Costs'!$D186*W382</f>
        <v>0</v>
      </c>
      <c r="X706">
        <f ca="1">'Fuel Costs'!$D186*X382</f>
        <v>0</v>
      </c>
      <c r="Y706">
        <f ca="1">'Fuel Costs'!$D186*Y382</f>
        <v>0</v>
      </c>
      <c r="Z706">
        <f ca="1">'Fuel Costs'!$D186*Z382</f>
        <v>0</v>
      </c>
      <c r="AA706">
        <f ca="1">'Fuel Costs'!$D186*AA382</f>
        <v>0</v>
      </c>
      <c r="AB706">
        <f ca="1">'Fuel Costs'!$D186*AB382</f>
        <v>0</v>
      </c>
      <c r="AC706">
        <f ca="1">'Fuel Costs'!$D186*AC382</f>
        <v>0</v>
      </c>
    </row>
    <row r="707" spans="3:29">
      <c r="C707" t="str">
        <f t="shared" si="286"/>
        <v>-</v>
      </c>
      <c r="D707">
        <f>'Fuel Costs'!$D187*D383</f>
        <v>0</v>
      </c>
      <c r="E707">
        <f>'Fuel Costs'!$D187*E383</f>
        <v>0</v>
      </c>
      <c r="F707">
        <f>'Fuel Costs'!$D187*F383</f>
        <v>0</v>
      </c>
      <c r="G707">
        <f>'Fuel Costs'!$D187*G383</f>
        <v>0</v>
      </c>
      <c r="H707">
        <f>'Fuel Costs'!$D187*H383</f>
        <v>0</v>
      </c>
      <c r="I707">
        <f ca="1">'Fuel Costs'!$D187*I383</f>
        <v>0</v>
      </c>
      <c r="J707">
        <f ca="1">'Fuel Costs'!$D187*J383</f>
        <v>0</v>
      </c>
      <c r="K707">
        <f ca="1">'Fuel Costs'!$D187*K383</f>
        <v>0</v>
      </c>
      <c r="L707">
        <f ca="1">'Fuel Costs'!$D187*L383</f>
        <v>0</v>
      </c>
      <c r="M707">
        <f ca="1">'Fuel Costs'!$D187*M383</f>
        <v>0</v>
      </c>
      <c r="N707">
        <f ca="1">'Fuel Costs'!$D187*N383</f>
        <v>0</v>
      </c>
      <c r="O707">
        <f ca="1">'Fuel Costs'!$D187*O383</f>
        <v>0</v>
      </c>
      <c r="P707">
        <f ca="1">'Fuel Costs'!$D187*P383</f>
        <v>0</v>
      </c>
      <c r="Q707">
        <f ca="1">'Fuel Costs'!$D187*Q383</f>
        <v>0</v>
      </c>
      <c r="R707">
        <f ca="1">'Fuel Costs'!$D187*R383</f>
        <v>0</v>
      </c>
      <c r="S707">
        <f ca="1">'Fuel Costs'!$D187*S383</f>
        <v>0</v>
      </c>
      <c r="T707">
        <f ca="1">'Fuel Costs'!$D187*T383</f>
        <v>0</v>
      </c>
      <c r="U707">
        <f ca="1">'Fuel Costs'!$D187*U383</f>
        <v>0</v>
      </c>
      <c r="V707">
        <f ca="1">'Fuel Costs'!$D187*V383</f>
        <v>0</v>
      </c>
      <c r="W707">
        <f ca="1">'Fuel Costs'!$D187*W383</f>
        <v>0</v>
      </c>
      <c r="X707">
        <f ca="1">'Fuel Costs'!$D187*X383</f>
        <v>0</v>
      </c>
      <c r="Y707">
        <f ca="1">'Fuel Costs'!$D187*Y383</f>
        <v>0</v>
      </c>
      <c r="Z707">
        <f ca="1">'Fuel Costs'!$D187*Z383</f>
        <v>0</v>
      </c>
      <c r="AA707">
        <f ca="1">'Fuel Costs'!$D187*AA383</f>
        <v>0</v>
      </c>
      <c r="AB707">
        <f ca="1">'Fuel Costs'!$D187*AB383</f>
        <v>0</v>
      </c>
      <c r="AC707">
        <f ca="1">'Fuel Costs'!$D187*AC383</f>
        <v>0</v>
      </c>
    </row>
    <row r="708" spans="3:29">
      <c r="C708" t="str">
        <f t="shared" si="286"/>
        <v>-</v>
      </c>
      <c r="D708">
        <f>'Fuel Costs'!$D188*D384</f>
        <v>0</v>
      </c>
      <c r="E708">
        <f>'Fuel Costs'!$D188*E384</f>
        <v>0</v>
      </c>
      <c r="F708">
        <f>'Fuel Costs'!$D188*F384</f>
        <v>0</v>
      </c>
      <c r="G708">
        <f>'Fuel Costs'!$D188*G384</f>
        <v>0</v>
      </c>
      <c r="H708">
        <f>'Fuel Costs'!$D188*H384</f>
        <v>0</v>
      </c>
      <c r="I708">
        <f ca="1">'Fuel Costs'!$D188*I384</f>
        <v>0</v>
      </c>
      <c r="J708">
        <f ca="1">'Fuel Costs'!$D188*J384</f>
        <v>0</v>
      </c>
      <c r="K708">
        <f ca="1">'Fuel Costs'!$D188*K384</f>
        <v>0</v>
      </c>
      <c r="L708">
        <f ca="1">'Fuel Costs'!$D188*L384</f>
        <v>0</v>
      </c>
      <c r="M708">
        <f ca="1">'Fuel Costs'!$D188*M384</f>
        <v>0</v>
      </c>
      <c r="N708">
        <f ca="1">'Fuel Costs'!$D188*N384</f>
        <v>0</v>
      </c>
      <c r="O708">
        <f ca="1">'Fuel Costs'!$D188*O384</f>
        <v>0</v>
      </c>
      <c r="P708">
        <f ca="1">'Fuel Costs'!$D188*P384</f>
        <v>0</v>
      </c>
      <c r="Q708">
        <f ca="1">'Fuel Costs'!$D188*Q384</f>
        <v>0</v>
      </c>
      <c r="R708">
        <f ca="1">'Fuel Costs'!$D188*R384</f>
        <v>0</v>
      </c>
      <c r="S708">
        <f ca="1">'Fuel Costs'!$D188*S384</f>
        <v>0</v>
      </c>
      <c r="T708">
        <f ca="1">'Fuel Costs'!$D188*T384</f>
        <v>0</v>
      </c>
      <c r="U708">
        <f ca="1">'Fuel Costs'!$D188*U384</f>
        <v>0</v>
      </c>
      <c r="V708">
        <f ca="1">'Fuel Costs'!$D188*V384</f>
        <v>0</v>
      </c>
      <c r="W708">
        <f ca="1">'Fuel Costs'!$D188*W384</f>
        <v>0</v>
      </c>
      <c r="X708">
        <f ca="1">'Fuel Costs'!$D188*X384</f>
        <v>0</v>
      </c>
      <c r="Y708">
        <f ca="1">'Fuel Costs'!$D188*Y384</f>
        <v>0</v>
      </c>
      <c r="Z708">
        <f ca="1">'Fuel Costs'!$D188*Z384</f>
        <v>0</v>
      </c>
      <c r="AA708">
        <f ca="1">'Fuel Costs'!$D188*AA384</f>
        <v>0</v>
      </c>
      <c r="AB708">
        <f ca="1">'Fuel Costs'!$D188*AB384</f>
        <v>0</v>
      </c>
      <c r="AC708">
        <f ca="1">'Fuel Costs'!$D188*AC384</f>
        <v>0</v>
      </c>
    </row>
    <row r="709" spans="3:29">
      <c r="C709" t="str">
        <f t="shared" si="286"/>
        <v>-</v>
      </c>
      <c r="D709">
        <f>'Fuel Costs'!$D189*D385</f>
        <v>0</v>
      </c>
      <c r="E709">
        <f>'Fuel Costs'!$D189*E385</f>
        <v>0</v>
      </c>
      <c r="F709">
        <f>'Fuel Costs'!$D189*F385</f>
        <v>0</v>
      </c>
      <c r="G709">
        <f>'Fuel Costs'!$D189*G385</f>
        <v>0</v>
      </c>
      <c r="H709">
        <f>'Fuel Costs'!$D189*H385</f>
        <v>0</v>
      </c>
      <c r="I709">
        <f ca="1">'Fuel Costs'!$D189*I385</f>
        <v>0</v>
      </c>
      <c r="J709">
        <f ca="1">'Fuel Costs'!$D189*J385</f>
        <v>0</v>
      </c>
      <c r="K709">
        <f ca="1">'Fuel Costs'!$D189*K385</f>
        <v>0</v>
      </c>
      <c r="L709">
        <f ca="1">'Fuel Costs'!$D189*L385</f>
        <v>0</v>
      </c>
      <c r="M709">
        <f ca="1">'Fuel Costs'!$D189*M385</f>
        <v>0</v>
      </c>
      <c r="N709">
        <f ca="1">'Fuel Costs'!$D189*N385</f>
        <v>0</v>
      </c>
      <c r="O709">
        <f ca="1">'Fuel Costs'!$D189*O385</f>
        <v>0</v>
      </c>
      <c r="P709">
        <f ca="1">'Fuel Costs'!$D189*P385</f>
        <v>0</v>
      </c>
      <c r="Q709">
        <f ca="1">'Fuel Costs'!$D189*Q385</f>
        <v>0</v>
      </c>
      <c r="R709">
        <f ca="1">'Fuel Costs'!$D189*R385</f>
        <v>0</v>
      </c>
      <c r="S709">
        <f ca="1">'Fuel Costs'!$D189*S385</f>
        <v>0</v>
      </c>
      <c r="T709">
        <f ca="1">'Fuel Costs'!$D189*T385</f>
        <v>0</v>
      </c>
      <c r="U709">
        <f ca="1">'Fuel Costs'!$D189*U385</f>
        <v>0</v>
      </c>
      <c r="V709">
        <f ca="1">'Fuel Costs'!$D189*V385</f>
        <v>0</v>
      </c>
      <c r="W709">
        <f ca="1">'Fuel Costs'!$D189*W385</f>
        <v>0</v>
      </c>
      <c r="X709">
        <f ca="1">'Fuel Costs'!$D189*X385</f>
        <v>0</v>
      </c>
      <c r="Y709">
        <f ca="1">'Fuel Costs'!$D189*Y385</f>
        <v>0</v>
      </c>
      <c r="Z709">
        <f ca="1">'Fuel Costs'!$D189*Z385</f>
        <v>0</v>
      </c>
      <c r="AA709">
        <f ca="1">'Fuel Costs'!$D189*AA385</f>
        <v>0</v>
      </c>
      <c r="AB709">
        <f ca="1">'Fuel Costs'!$D189*AB385</f>
        <v>0</v>
      </c>
      <c r="AC709">
        <f ca="1">'Fuel Costs'!$D189*AC385</f>
        <v>0</v>
      </c>
    </row>
    <row r="710" spans="3:29">
      <c r="C710" t="str">
        <f t="shared" si="286"/>
        <v>Pumped storage</v>
      </c>
      <c r="D710">
        <f>'Fuel Costs'!$D190*D386</f>
        <v>0</v>
      </c>
      <c r="E710">
        <f>'Fuel Costs'!$D190*E386</f>
        <v>0</v>
      </c>
      <c r="F710">
        <f>'Fuel Costs'!$D190*F386</f>
        <v>0</v>
      </c>
      <c r="G710">
        <f>'Fuel Costs'!$D190*G386</f>
        <v>0</v>
      </c>
      <c r="H710">
        <f>'Fuel Costs'!$D190*H386</f>
        <v>0</v>
      </c>
      <c r="I710">
        <f ca="1">'Fuel Costs'!$D190*I386</f>
        <v>0</v>
      </c>
      <c r="J710">
        <f ca="1">'Fuel Costs'!$D190*J386</f>
        <v>0</v>
      </c>
      <c r="K710">
        <f ca="1">'Fuel Costs'!$D190*K386</f>
        <v>0</v>
      </c>
      <c r="L710">
        <f ca="1">'Fuel Costs'!$D190*L386</f>
        <v>0</v>
      </c>
      <c r="M710">
        <f ca="1">'Fuel Costs'!$D190*M386</f>
        <v>0</v>
      </c>
      <c r="N710">
        <f ca="1">'Fuel Costs'!$D190*N386</f>
        <v>0</v>
      </c>
      <c r="O710">
        <f ca="1">'Fuel Costs'!$D190*O386</f>
        <v>0</v>
      </c>
      <c r="P710">
        <f ca="1">'Fuel Costs'!$D190*P386</f>
        <v>0</v>
      </c>
      <c r="Q710">
        <f ca="1">'Fuel Costs'!$D190*Q386</f>
        <v>0</v>
      </c>
      <c r="R710">
        <f ca="1">'Fuel Costs'!$D190*R386</f>
        <v>0</v>
      </c>
      <c r="S710">
        <f ca="1">'Fuel Costs'!$D190*S386</f>
        <v>0</v>
      </c>
      <c r="T710">
        <f ca="1">'Fuel Costs'!$D190*T386</f>
        <v>0</v>
      </c>
      <c r="U710">
        <f ca="1">'Fuel Costs'!$D190*U386</f>
        <v>0</v>
      </c>
      <c r="V710">
        <f ca="1">'Fuel Costs'!$D190*V386</f>
        <v>0</v>
      </c>
      <c r="W710">
        <f ca="1">'Fuel Costs'!$D190*W386</f>
        <v>0</v>
      </c>
      <c r="X710">
        <f ca="1">'Fuel Costs'!$D190*X386</f>
        <v>0</v>
      </c>
      <c r="Y710">
        <f ca="1">'Fuel Costs'!$D190*Y386</f>
        <v>0</v>
      </c>
      <c r="Z710">
        <f ca="1">'Fuel Costs'!$D190*Z386</f>
        <v>0</v>
      </c>
      <c r="AA710">
        <f ca="1">'Fuel Costs'!$D190*AA386</f>
        <v>0</v>
      </c>
      <c r="AB710">
        <f ca="1">'Fuel Costs'!$D190*AB386</f>
        <v>0</v>
      </c>
      <c r="AC710">
        <f ca="1">'Fuel Costs'!$D190*AC386</f>
        <v>0</v>
      </c>
    </row>
    <row r="711" spans="3:29">
      <c r="C711" s="4" t="s">
        <v>5</v>
      </c>
      <c r="D711">
        <f>SUM(D691:D710)</f>
        <v>219.00027625561438</v>
      </c>
      <c r="E711">
        <f t="shared" ref="E711:AC711" si="287">SUM(E691:E710)</f>
        <v>219.00027625561441</v>
      </c>
      <c r="F711">
        <f t="shared" si="287"/>
        <v>225.73213083698576</v>
      </c>
      <c r="G711">
        <f t="shared" si="287"/>
        <v>228.07712785326217</v>
      </c>
      <c r="H711">
        <f t="shared" si="287"/>
        <v>228.07712785326217</v>
      </c>
      <c r="I711">
        <f t="shared" ca="1" si="287"/>
        <v>234.88756773846495</v>
      </c>
      <c r="J711">
        <f t="shared" ca="1" si="287"/>
        <v>240.00297581734077</v>
      </c>
      <c r="K711">
        <f t="shared" ca="1" si="287"/>
        <v>245.83110690361741</v>
      </c>
      <c r="L711">
        <f t="shared" ca="1" si="287"/>
        <v>252.93948910259098</v>
      </c>
      <c r="M711">
        <f t="shared" ca="1" si="287"/>
        <v>261.27154671016746</v>
      </c>
      <c r="N711">
        <f t="shared" ca="1" si="287"/>
        <v>269.04600623528404</v>
      </c>
      <c r="O711">
        <f t="shared" ca="1" si="287"/>
        <v>277.22948061919271</v>
      </c>
      <c r="P711">
        <f t="shared" ca="1" si="287"/>
        <v>285.27802283063778</v>
      </c>
      <c r="Q711">
        <f t="shared" ca="1" si="287"/>
        <v>293.76108677119913</v>
      </c>
      <c r="R711">
        <f t="shared" ca="1" si="287"/>
        <v>302.64394974128305</v>
      </c>
      <c r="S711">
        <f t="shared" ca="1" si="287"/>
        <v>311.01422904192827</v>
      </c>
      <c r="T711">
        <f t="shared" ca="1" si="287"/>
        <v>319.85427220226262</v>
      </c>
      <c r="U711">
        <f t="shared" ca="1" si="287"/>
        <v>329.42369701719821</v>
      </c>
      <c r="V711">
        <f t="shared" ca="1" si="287"/>
        <v>339.63778792915258</v>
      </c>
      <c r="W711">
        <f t="shared" ca="1" si="287"/>
        <v>349.71591007605093</v>
      </c>
      <c r="X711">
        <f t="shared" ca="1" si="287"/>
        <v>359.98970129994132</v>
      </c>
      <c r="Y711">
        <f t="shared" ca="1" si="287"/>
        <v>371.00347396867613</v>
      </c>
      <c r="Z711">
        <f t="shared" ca="1" si="287"/>
        <v>382.81358874050841</v>
      </c>
      <c r="AA711">
        <f t="shared" ca="1" si="287"/>
        <v>394.87974665839221</v>
      </c>
      <c r="AB711">
        <f t="shared" ca="1" si="287"/>
        <v>406.43164140004569</v>
      </c>
      <c r="AC711">
        <f t="shared" ca="1" si="287"/>
        <v>415.45661847150814</v>
      </c>
    </row>
    <row r="713" spans="3:29">
      <c r="C713" s="4" t="s">
        <v>153</v>
      </c>
    </row>
    <row r="714" spans="3:29">
      <c r="C714" t="str">
        <f>C8</f>
        <v>Existing coal Large</v>
      </c>
      <c r="D714">
        <f>'Fuel Costs'!$E171*D367</f>
        <v>2.1231387654263283E-3</v>
      </c>
      <c r="E714">
        <f>'Fuel Costs'!$E171*E367</f>
        <v>2.1231387654263283E-3</v>
      </c>
      <c r="F714">
        <f>'Fuel Costs'!$E171*F367</f>
        <v>2.1930801117262906E-3</v>
      </c>
      <c r="G714">
        <f>'Fuel Costs'!$E171*G367</f>
        <v>2.217443717090201E-3</v>
      </c>
      <c r="H714">
        <f>'Fuel Costs'!$E171*H367</f>
        <v>2.217443717090201E-3</v>
      </c>
      <c r="I714">
        <f ca="1">'Fuel Costs'!$E171*I367</f>
        <v>2.2697933629295332E-3</v>
      </c>
      <c r="J714">
        <f ca="1">'Fuel Costs'!$E171*J367</f>
        <v>2.3094778827558336E-3</v>
      </c>
      <c r="K714">
        <f ca="1">'Fuel Costs'!$E171*K367</f>
        <v>2.3535904867672268E-3</v>
      </c>
      <c r="L714">
        <f ca="1">'Fuel Costs'!$E171*L367</f>
        <v>2.3945649937658084E-3</v>
      </c>
      <c r="M714">
        <f ca="1">'Fuel Costs'!$E171*M367</f>
        <v>2.3966252922263571E-3</v>
      </c>
      <c r="N714">
        <f ca="1">'Fuel Costs'!$E171*N367</f>
        <v>2.3966252922263571E-3</v>
      </c>
      <c r="O714">
        <f ca="1">'Fuel Costs'!$E171*O367</f>
        <v>2.3966252922263571E-3</v>
      </c>
      <c r="P714">
        <f ca="1">'Fuel Costs'!$E171*P367</f>
        <v>2.3966252922263571E-3</v>
      </c>
      <c r="Q714">
        <f ca="1">'Fuel Costs'!$E171*Q367</f>
        <v>2.3966252922263571E-3</v>
      </c>
      <c r="R714">
        <f ca="1">'Fuel Costs'!$E171*R367</f>
        <v>2.3966252922263571E-3</v>
      </c>
      <c r="S714">
        <f ca="1">'Fuel Costs'!$E171*S367</f>
        <v>2.3966252922263571E-3</v>
      </c>
      <c r="T714">
        <f ca="1">'Fuel Costs'!$E171*T367</f>
        <v>2.3966252922263571E-3</v>
      </c>
      <c r="U714">
        <f ca="1">'Fuel Costs'!$E171*U367</f>
        <v>2.3966252922263571E-3</v>
      </c>
      <c r="V714">
        <f ca="1">'Fuel Costs'!$E171*V367</f>
        <v>2.3966252922263571E-3</v>
      </c>
      <c r="W714">
        <f ca="1">'Fuel Costs'!$E171*W367</f>
        <v>2.3069612564829275E-3</v>
      </c>
      <c r="X714">
        <f ca="1">'Fuel Costs'!$E171*X367</f>
        <v>2.2172972207394979E-3</v>
      </c>
      <c r="Y714">
        <f ca="1">'Fuel Costs'!$E171*Y367</f>
        <v>2.1052171760602111E-3</v>
      </c>
      <c r="Z714">
        <f ca="1">'Fuel Costs'!$E171*Z367</f>
        <v>1.9931371313809234E-3</v>
      </c>
      <c r="AA714">
        <f ca="1">'Fuel Costs'!$E171*AA367</f>
        <v>1.8574612878217865E-3</v>
      </c>
      <c r="AB714">
        <f ca="1">'Fuel Costs'!$E171*AB367</f>
        <v>1.5861096007035124E-3</v>
      </c>
      <c r="AC714">
        <f ca="1">'Fuel Costs'!$E171*AC367</f>
        <v>1.4504337571443749E-3</v>
      </c>
    </row>
    <row r="715" spans="3:29">
      <c r="C715" t="str">
        <f t="shared" ref="C715:C733" si="288">C9</f>
        <v>Existing coal Small</v>
      </c>
      <c r="D715">
        <f>'Fuel Costs'!$E172*D368</f>
        <v>1.4646878980577983E-4</v>
      </c>
      <c r="E715">
        <f>'Fuel Costs'!$E172*E368</f>
        <v>1.4646878980577983E-4</v>
      </c>
      <c r="F715">
        <f>'Fuel Costs'!$E172*F368</f>
        <v>1.4646878980577983E-4</v>
      </c>
      <c r="G715">
        <f>'Fuel Costs'!$E172*G368</f>
        <v>1.4646878980577983E-4</v>
      </c>
      <c r="H715">
        <f>'Fuel Costs'!$E172*H368</f>
        <v>1.4646878980577983E-4</v>
      </c>
      <c r="I715">
        <f ca="1">'Fuel Costs'!$E172*I368</f>
        <v>1.6487696095556775E-4</v>
      </c>
      <c r="J715">
        <f ca="1">'Fuel Costs'!$E172*J368</f>
        <v>1.7576554242630614E-4</v>
      </c>
      <c r="K715">
        <f ca="1">'Fuel Costs'!$E172*K368</f>
        <v>1.7576554242630614E-4</v>
      </c>
      <c r="L715">
        <f ca="1">'Fuel Costs'!$E172*L368</f>
        <v>1.7576554242630614E-4</v>
      </c>
      <c r="M715">
        <f ca="1">'Fuel Costs'!$E172*M368</f>
        <v>1.7576554242630614E-4</v>
      </c>
      <c r="N715">
        <f ca="1">'Fuel Costs'!$E172*N368</f>
        <v>1.7576554242630614E-4</v>
      </c>
      <c r="O715">
        <f ca="1">'Fuel Costs'!$E172*O368</f>
        <v>1.7475484488879952E-4</v>
      </c>
      <c r="P715">
        <f ca="1">'Fuel Costs'!$E172*P368</f>
        <v>1.7374414735129285E-4</v>
      </c>
      <c r="Q715">
        <f ca="1">'Fuel Costs'!$E172*Q368</f>
        <v>1.7239655063461734E-4</v>
      </c>
      <c r="R715">
        <f ca="1">'Fuel Costs'!$E172*R368</f>
        <v>1.7104895391794177E-4</v>
      </c>
      <c r="S715">
        <f ca="1">'Fuel Costs'!$E172*S368</f>
        <v>1.4544461630110642E-4</v>
      </c>
      <c r="T715">
        <f ca="1">'Fuel Costs'!$E172*T368</f>
        <v>1.1984027868427106E-4</v>
      </c>
      <c r="U715">
        <f ca="1">'Fuel Costs'!$E172*U368</f>
        <v>1.1984027868427106E-4</v>
      </c>
      <c r="V715">
        <f ca="1">'Fuel Costs'!$E172*V368</f>
        <v>1.1984027868427106E-4</v>
      </c>
      <c r="W715">
        <f ca="1">'Fuel Costs'!$E172*W368</f>
        <v>1.1984027868427106E-4</v>
      </c>
      <c r="X715">
        <f ca="1">'Fuel Costs'!$E172*X368</f>
        <v>1.0804281809461925E-4</v>
      </c>
      <c r="Y715">
        <f ca="1">'Fuel Costs'!$E172*Y368</f>
        <v>9.6245357504967454E-5</v>
      </c>
      <c r="Z715">
        <f ca="1">'Fuel Costs'!$E172*Z368</f>
        <v>9.6245357504967454E-5</v>
      </c>
      <c r="AA715">
        <f ca="1">'Fuel Costs'!$E172*AA368</f>
        <v>9.6245357504967454E-5</v>
      </c>
      <c r="AB715">
        <f ca="1">'Fuel Costs'!$E172*AB368</f>
        <v>9.6245357504967454E-5</v>
      </c>
      <c r="AC715">
        <f ca="1">'Fuel Costs'!$E172*AC368</f>
        <v>9.6245357504967454E-5</v>
      </c>
    </row>
    <row r="716" spans="3:29">
      <c r="C716" t="str">
        <f t="shared" si="288"/>
        <v>OCGT liquid fuels</v>
      </c>
      <c r="D716">
        <f>'Fuel Costs'!$E173*D369</f>
        <v>2.2299457024170141E-5</v>
      </c>
      <c r="E716">
        <f>'Fuel Costs'!$E173*E369</f>
        <v>2.2299457024170141E-5</v>
      </c>
      <c r="F716">
        <f>'Fuel Costs'!$E173*F369</f>
        <v>2.2299457024170141E-5</v>
      </c>
      <c r="G716">
        <f>'Fuel Costs'!$E173*G369</f>
        <v>2.2299457024170141E-5</v>
      </c>
      <c r="H716">
        <f>'Fuel Costs'!$E173*H369</f>
        <v>2.2299457024170141E-5</v>
      </c>
      <c r="I716">
        <f ca="1">'Fuel Costs'!$E173*I369</f>
        <v>2.2299457024170141E-5</v>
      </c>
      <c r="J716">
        <f ca="1">'Fuel Costs'!$E173*J369</f>
        <v>3.2334212685046704E-5</v>
      </c>
      <c r="K716">
        <f ca="1">'Fuel Costs'!$E173*K369</f>
        <v>3.2334212685046704E-5</v>
      </c>
      <c r="L716">
        <f ca="1">'Fuel Costs'!$E173*L369</f>
        <v>3.2334212685046704E-5</v>
      </c>
      <c r="M716">
        <f ca="1">'Fuel Costs'!$E173*M369</f>
        <v>3.2334212685046704E-5</v>
      </c>
      <c r="N716">
        <f ca="1">'Fuel Costs'!$E173*N369</f>
        <v>3.2334212685046704E-5</v>
      </c>
      <c r="O716">
        <f ca="1">'Fuel Costs'!$E173*O369</f>
        <v>3.2334212685046704E-5</v>
      </c>
      <c r="P716">
        <f ca="1">'Fuel Costs'!$E173*P369</f>
        <v>3.2334212685046704E-5</v>
      </c>
      <c r="Q716">
        <f ca="1">'Fuel Costs'!$E173*Q369</f>
        <v>3.2334212685046704E-5</v>
      </c>
      <c r="R716">
        <f ca="1">'Fuel Costs'!$E173*R369</f>
        <v>3.2334212685046704E-5</v>
      </c>
      <c r="S716">
        <f ca="1">'Fuel Costs'!$E173*S369</f>
        <v>3.2334212685046704E-5</v>
      </c>
      <c r="T716">
        <f ca="1">'Fuel Costs'!$E173*T369</f>
        <v>3.2334212685046704E-5</v>
      </c>
      <c r="U716">
        <f ca="1">'Fuel Costs'!$E173*U369</f>
        <v>3.2334212685046704E-5</v>
      </c>
      <c r="V716">
        <f ca="1">'Fuel Costs'!$E173*V369</f>
        <v>3.9024049792297758E-5</v>
      </c>
      <c r="W716">
        <f ca="1">'Fuel Costs'!$E173*W369</f>
        <v>3.9024049792297758E-5</v>
      </c>
      <c r="X716">
        <f ca="1">'Fuel Costs'!$E173*X369</f>
        <v>3.9024049792297758E-5</v>
      </c>
      <c r="Y716">
        <f ca="1">'Fuel Costs'!$E173*Y369</f>
        <v>4.5713886899548791E-5</v>
      </c>
      <c r="Z716">
        <f ca="1">'Fuel Costs'!$E173*Z369</f>
        <v>4.5713886899548791E-5</v>
      </c>
      <c r="AA716">
        <f ca="1">'Fuel Costs'!$E173*AA369</f>
        <v>4.5713886899548791E-5</v>
      </c>
      <c r="AB716">
        <f ca="1">'Fuel Costs'!$E173*AB369</f>
        <v>5.2403724006799831E-5</v>
      </c>
      <c r="AC716">
        <f ca="1">'Fuel Costs'!$E173*AC369</f>
        <v>5.0814887693827711E-5</v>
      </c>
    </row>
    <row r="717" spans="3:29">
      <c r="C717" t="str">
        <f t="shared" si="288"/>
        <v>PWR nuclear</v>
      </c>
      <c r="D717">
        <f>'Fuel Costs'!$E174*D370</f>
        <v>0</v>
      </c>
      <c r="E717">
        <f>'Fuel Costs'!$E174*E370</f>
        <v>0</v>
      </c>
      <c r="F717">
        <f>'Fuel Costs'!$E174*F370</f>
        <v>0</v>
      </c>
      <c r="G717">
        <f>'Fuel Costs'!$E174*G370</f>
        <v>0</v>
      </c>
      <c r="H717">
        <f>'Fuel Costs'!$E174*H370</f>
        <v>0</v>
      </c>
      <c r="I717">
        <f ca="1">'Fuel Costs'!$E174*I370</f>
        <v>0</v>
      </c>
      <c r="J717">
        <f ca="1">'Fuel Costs'!$E174*J370</f>
        <v>0</v>
      </c>
      <c r="K717">
        <f ca="1">'Fuel Costs'!$E174*K370</f>
        <v>0</v>
      </c>
      <c r="L717">
        <f ca="1">'Fuel Costs'!$E174*L370</f>
        <v>0</v>
      </c>
      <c r="M717">
        <f ca="1">'Fuel Costs'!$E174*M370</f>
        <v>0</v>
      </c>
      <c r="N717">
        <f ca="1">'Fuel Costs'!$E174*N370</f>
        <v>0</v>
      </c>
      <c r="O717">
        <f ca="1">'Fuel Costs'!$E174*O370</f>
        <v>0</v>
      </c>
      <c r="P717">
        <f ca="1">'Fuel Costs'!$E174*P370</f>
        <v>0</v>
      </c>
      <c r="Q717">
        <f ca="1">'Fuel Costs'!$E174*Q370</f>
        <v>0</v>
      </c>
      <c r="R717">
        <f ca="1">'Fuel Costs'!$E174*R370</f>
        <v>0</v>
      </c>
      <c r="S717">
        <f ca="1">'Fuel Costs'!$E174*S370</f>
        <v>0</v>
      </c>
      <c r="T717">
        <f ca="1">'Fuel Costs'!$E174*T370</f>
        <v>0</v>
      </c>
      <c r="U717">
        <f ca="1">'Fuel Costs'!$E174*U370</f>
        <v>0</v>
      </c>
      <c r="V717">
        <f ca="1">'Fuel Costs'!$E174*V370</f>
        <v>0</v>
      </c>
      <c r="W717">
        <f ca="1">'Fuel Costs'!$E174*W370</f>
        <v>0</v>
      </c>
      <c r="X717">
        <f ca="1">'Fuel Costs'!$E174*X370</f>
        <v>0</v>
      </c>
      <c r="Y717">
        <f ca="1">'Fuel Costs'!$E174*Y370</f>
        <v>0</v>
      </c>
      <c r="Z717">
        <f ca="1">'Fuel Costs'!$E174*Z370</f>
        <v>0</v>
      </c>
      <c r="AA717">
        <f ca="1">'Fuel Costs'!$E174*AA370</f>
        <v>0</v>
      </c>
      <c r="AB717">
        <f ca="1">'Fuel Costs'!$E174*AB370</f>
        <v>0</v>
      </c>
      <c r="AC717">
        <f ca="1">'Fuel Costs'!$E174*AC370</f>
        <v>0</v>
      </c>
    </row>
    <row r="718" spans="3:29">
      <c r="C718" t="str">
        <f t="shared" si="288"/>
        <v>Hydro</v>
      </c>
      <c r="D718">
        <f>'Fuel Costs'!$E175*D371</f>
        <v>0</v>
      </c>
      <c r="E718">
        <f>'Fuel Costs'!$E175*E371</f>
        <v>0</v>
      </c>
      <c r="F718">
        <f>'Fuel Costs'!$E175*F371</f>
        <v>0</v>
      </c>
      <c r="G718">
        <f>'Fuel Costs'!$E175*G371</f>
        <v>0</v>
      </c>
      <c r="H718">
        <f>'Fuel Costs'!$E175*H371</f>
        <v>0</v>
      </c>
      <c r="I718">
        <f ca="1">'Fuel Costs'!$E175*I371</f>
        <v>0</v>
      </c>
      <c r="J718">
        <f ca="1">'Fuel Costs'!$E175*J371</f>
        <v>0</v>
      </c>
      <c r="K718">
        <f ca="1">'Fuel Costs'!$E175*K371</f>
        <v>0</v>
      </c>
      <c r="L718">
        <f ca="1">'Fuel Costs'!$E175*L371</f>
        <v>0</v>
      </c>
      <c r="M718">
        <f ca="1">'Fuel Costs'!$E175*M371</f>
        <v>0</v>
      </c>
      <c r="N718">
        <f ca="1">'Fuel Costs'!$E175*N371</f>
        <v>0</v>
      </c>
      <c r="O718">
        <f ca="1">'Fuel Costs'!$E175*O371</f>
        <v>0</v>
      </c>
      <c r="P718">
        <f ca="1">'Fuel Costs'!$E175*P371</f>
        <v>0</v>
      </c>
      <c r="Q718">
        <f ca="1">'Fuel Costs'!$E175*Q371</f>
        <v>0</v>
      </c>
      <c r="R718">
        <f ca="1">'Fuel Costs'!$E175*R371</f>
        <v>0</v>
      </c>
      <c r="S718">
        <f ca="1">'Fuel Costs'!$E175*S371</f>
        <v>0</v>
      </c>
      <c r="T718">
        <f ca="1">'Fuel Costs'!$E175*T371</f>
        <v>0</v>
      </c>
      <c r="U718">
        <f ca="1">'Fuel Costs'!$E175*U371</f>
        <v>0</v>
      </c>
      <c r="V718">
        <f ca="1">'Fuel Costs'!$E175*V371</f>
        <v>0</v>
      </c>
      <c r="W718">
        <f ca="1">'Fuel Costs'!$E175*W371</f>
        <v>0</v>
      </c>
      <c r="X718">
        <f ca="1">'Fuel Costs'!$E175*X371</f>
        <v>0</v>
      </c>
      <c r="Y718">
        <f ca="1">'Fuel Costs'!$E175*Y371</f>
        <v>0</v>
      </c>
      <c r="Z718">
        <f ca="1">'Fuel Costs'!$E175*Z371</f>
        <v>0</v>
      </c>
      <c r="AA718">
        <f ca="1">'Fuel Costs'!$E175*AA371</f>
        <v>0</v>
      </c>
      <c r="AB718">
        <f ca="1">'Fuel Costs'!$E175*AB371</f>
        <v>0</v>
      </c>
      <c r="AC718">
        <f ca="1">'Fuel Costs'!$E175*AC371</f>
        <v>0</v>
      </c>
    </row>
    <row r="719" spans="3:29">
      <c r="C719" t="str">
        <f t="shared" si="288"/>
        <v>Landfill gas</v>
      </c>
      <c r="D719">
        <f>'Fuel Costs'!$E176*D372</f>
        <v>0</v>
      </c>
      <c r="E719">
        <f>'Fuel Costs'!$E176*E372</f>
        <v>0</v>
      </c>
      <c r="F719">
        <f>'Fuel Costs'!$E176*F372</f>
        <v>0</v>
      </c>
      <c r="G719">
        <f>'Fuel Costs'!$E176*G372</f>
        <v>0</v>
      </c>
      <c r="H719">
        <f>'Fuel Costs'!$E176*H372</f>
        <v>0</v>
      </c>
      <c r="I719">
        <f ca="1">'Fuel Costs'!$E176*I372</f>
        <v>0</v>
      </c>
      <c r="J719">
        <f ca="1">'Fuel Costs'!$E176*J372</f>
        <v>0</v>
      </c>
      <c r="K719">
        <f ca="1">'Fuel Costs'!$E176*K372</f>
        <v>0</v>
      </c>
      <c r="L719">
        <f ca="1">'Fuel Costs'!$E176*L372</f>
        <v>0</v>
      </c>
      <c r="M719">
        <f ca="1">'Fuel Costs'!$E176*M372</f>
        <v>0</v>
      </c>
      <c r="N719">
        <f ca="1">'Fuel Costs'!$E176*N372</f>
        <v>0</v>
      </c>
      <c r="O719">
        <f ca="1">'Fuel Costs'!$E176*O372</f>
        <v>0</v>
      </c>
      <c r="P719">
        <f ca="1">'Fuel Costs'!$E176*P372</f>
        <v>0</v>
      </c>
      <c r="Q719">
        <f ca="1">'Fuel Costs'!$E176*Q372</f>
        <v>0</v>
      </c>
      <c r="R719">
        <f ca="1">'Fuel Costs'!$E176*R372</f>
        <v>0</v>
      </c>
      <c r="S719">
        <f ca="1">'Fuel Costs'!$E176*S372</f>
        <v>0</v>
      </c>
      <c r="T719">
        <f ca="1">'Fuel Costs'!$E176*T372</f>
        <v>0</v>
      </c>
      <c r="U719">
        <f ca="1">'Fuel Costs'!$E176*U372</f>
        <v>0</v>
      </c>
      <c r="V719">
        <f ca="1">'Fuel Costs'!$E176*V372</f>
        <v>0</v>
      </c>
      <c r="W719">
        <f ca="1">'Fuel Costs'!$E176*W372</f>
        <v>0</v>
      </c>
      <c r="X719">
        <f ca="1">'Fuel Costs'!$E176*X372</f>
        <v>0</v>
      </c>
      <c r="Y719">
        <f ca="1">'Fuel Costs'!$E176*Y372</f>
        <v>0</v>
      </c>
      <c r="Z719">
        <f ca="1">'Fuel Costs'!$E176*Z372</f>
        <v>0</v>
      </c>
      <c r="AA719">
        <f ca="1">'Fuel Costs'!$E176*AA372</f>
        <v>0</v>
      </c>
      <c r="AB719">
        <f ca="1">'Fuel Costs'!$E176*AB372</f>
        <v>0</v>
      </c>
      <c r="AC719">
        <f ca="1">'Fuel Costs'!$E176*AC372</f>
        <v>0</v>
      </c>
    </row>
    <row r="720" spans="3:29">
      <c r="C720" t="str">
        <f t="shared" si="288"/>
        <v>Biomass</v>
      </c>
      <c r="D720">
        <f>'Fuel Costs'!$E177*D373</f>
        <v>0</v>
      </c>
      <c r="E720">
        <f>'Fuel Costs'!$E177*E373</f>
        <v>0</v>
      </c>
      <c r="F720">
        <f>'Fuel Costs'!$E177*F373</f>
        <v>0</v>
      </c>
      <c r="G720">
        <f>'Fuel Costs'!$E177*G373</f>
        <v>0</v>
      </c>
      <c r="H720">
        <f>'Fuel Costs'!$E177*H373</f>
        <v>0</v>
      </c>
      <c r="I720">
        <f ca="1">'Fuel Costs'!$E177*I373</f>
        <v>0</v>
      </c>
      <c r="J720">
        <f ca="1">'Fuel Costs'!$E177*J373</f>
        <v>0</v>
      </c>
      <c r="K720">
        <f ca="1">'Fuel Costs'!$E177*K373</f>
        <v>0</v>
      </c>
      <c r="L720">
        <f ca="1">'Fuel Costs'!$E177*L373</f>
        <v>0</v>
      </c>
      <c r="M720">
        <f ca="1">'Fuel Costs'!$E177*M373</f>
        <v>0</v>
      </c>
      <c r="N720">
        <f ca="1">'Fuel Costs'!$E177*N373</f>
        <v>0</v>
      </c>
      <c r="O720">
        <f ca="1">'Fuel Costs'!$E177*O373</f>
        <v>0</v>
      </c>
      <c r="P720">
        <f ca="1">'Fuel Costs'!$E177*P373</f>
        <v>0</v>
      </c>
      <c r="Q720">
        <f ca="1">'Fuel Costs'!$E177*Q373</f>
        <v>0</v>
      </c>
      <c r="R720">
        <f ca="1">'Fuel Costs'!$E177*R373</f>
        <v>0</v>
      </c>
      <c r="S720">
        <f ca="1">'Fuel Costs'!$E177*S373</f>
        <v>0</v>
      </c>
      <c r="T720">
        <f ca="1">'Fuel Costs'!$E177*T373</f>
        <v>0</v>
      </c>
      <c r="U720">
        <f ca="1">'Fuel Costs'!$E177*U373</f>
        <v>0</v>
      </c>
      <c r="V720">
        <f ca="1">'Fuel Costs'!$E177*V373</f>
        <v>0</v>
      </c>
      <c r="W720">
        <f ca="1">'Fuel Costs'!$E177*W373</f>
        <v>0</v>
      </c>
      <c r="X720">
        <f ca="1">'Fuel Costs'!$E177*X373</f>
        <v>0</v>
      </c>
      <c r="Y720">
        <f ca="1">'Fuel Costs'!$E177*Y373</f>
        <v>0</v>
      </c>
      <c r="Z720">
        <f ca="1">'Fuel Costs'!$E177*Z373</f>
        <v>0</v>
      </c>
      <c r="AA720">
        <f ca="1">'Fuel Costs'!$E177*AA373</f>
        <v>0</v>
      </c>
      <c r="AB720">
        <f ca="1">'Fuel Costs'!$E177*AB373</f>
        <v>0</v>
      </c>
      <c r="AC720">
        <f ca="1">'Fuel Costs'!$E177*AC373</f>
        <v>0</v>
      </c>
    </row>
    <row r="721" spans="3:29">
      <c r="C721" t="str">
        <f t="shared" si="288"/>
        <v>Supercritical coal</v>
      </c>
      <c r="D721">
        <f>'Fuel Costs'!$E178*D374</f>
        <v>0</v>
      </c>
      <c r="E721">
        <f>'Fuel Costs'!$E178*E374</f>
        <v>0</v>
      </c>
      <c r="F721">
        <f>'Fuel Costs'!$E178*F374</f>
        <v>0</v>
      </c>
      <c r="G721">
        <f>'Fuel Costs'!$E178*G374</f>
        <v>0</v>
      </c>
      <c r="H721">
        <f>'Fuel Costs'!$E178*H374</f>
        <v>0</v>
      </c>
      <c r="I721">
        <f ca="1">'Fuel Costs'!$E178*I374</f>
        <v>0</v>
      </c>
      <c r="J721">
        <f ca="1">'Fuel Costs'!$E178*J374</f>
        <v>0</v>
      </c>
      <c r="K721">
        <f ca="1">'Fuel Costs'!$E178*K374</f>
        <v>1.6439407274598001E-5</v>
      </c>
      <c r="L721">
        <f ca="1">'Fuel Costs'!$E178*L374</f>
        <v>4.9318221823794011E-5</v>
      </c>
      <c r="M721">
        <f ca="1">'Fuel Costs'!$E178*M374</f>
        <v>1.3382475564975381E-4</v>
      </c>
      <c r="N721">
        <f ca="1">'Fuel Costs'!$E178*N374</f>
        <v>2.145983611055103E-4</v>
      </c>
      <c r="O721">
        <f ca="1">'Fuel Costs'!$E178*O374</f>
        <v>3.0063216912518559E-4</v>
      </c>
      <c r="P721">
        <f ca="1">'Fuel Costs'!$E178*P374</f>
        <v>3.8526408444393911E-4</v>
      </c>
      <c r="Q721">
        <f ca="1">'Fuel Costs'!$E178*Q374</f>
        <v>4.7474741041320031E-4</v>
      </c>
      <c r="R721">
        <f ca="1">'Fuel Costs'!$E178*R374</f>
        <v>5.6838449253334539E-4</v>
      </c>
      <c r="S721">
        <f ca="1">'Fuel Costs'!$E178*S374</f>
        <v>6.8095277093610518E-4</v>
      </c>
      <c r="T721">
        <f ca="1">'Fuel Costs'!$E178*T374</f>
        <v>7.984017128161541E-4</v>
      </c>
      <c r="U721">
        <f ca="1">'Fuel Costs'!$E178*U374</f>
        <v>8.9782430829600469E-4</v>
      </c>
      <c r="V721">
        <f ca="1">'Fuel Costs'!$E178*V374</f>
        <v>1.0022287362710398E-3</v>
      </c>
      <c r="W721">
        <f ca="1">'Fuel Costs'!$E178*W374</f>
        <v>1.1966005345796467E-3</v>
      </c>
      <c r="X721">
        <f ca="1">'Fuel Costs'!$E178*X374</f>
        <v>1.4048027189531485E-3</v>
      </c>
      <c r="Y721">
        <f ca="1">'Fuel Costs'!$E178*Y374</f>
        <v>1.6413930340857502E-3</v>
      </c>
      <c r="Z721">
        <f ca="1">'Fuel Costs'!$E178*Z374</f>
        <v>1.8761755699009573E-3</v>
      </c>
      <c r="AA721">
        <f ca="1">'Fuel Costs'!$E178*AA374</f>
        <v>2.1372140931264195E-3</v>
      </c>
      <c r="AB721">
        <f ca="1">'Fuel Costs'!$E178*AB374</f>
        <v>2.5268694687880316E-3</v>
      </c>
      <c r="AC721">
        <f ca="1">'Fuel Costs'!$E178*AC374</f>
        <v>2.7567188572023352E-3</v>
      </c>
    </row>
    <row r="722" spans="3:29">
      <c r="C722" t="str">
        <f t="shared" si="288"/>
        <v xml:space="preserve">Wind 30% </v>
      </c>
      <c r="D722">
        <f>'Fuel Costs'!$E179*D375</f>
        <v>0</v>
      </c>
      <c r="E722">
        <f>'Fuel Costs'!$E179*E375</f>
        <v>0</v>
      </c>
      <c r="F722">
        <f>'Fuel Costs'!$E179*F375</f>
        <v>0</v>
      </c>
      <c r="G722">
        <f>'Fuel Costs'!$E179*G375</f>
        <v>0</v>
      </c>
      <c r="H722">
        <f>'Fuel Costs'!$E179*H375</f>
        <v>0</v>
      </c>
      <c r="I722">
        <f ca="1">'Fuel Costs'!$E179*I375</f>
        <v>0</v>
      </c>
      <c r="J722">
        <f ca="1">'Fuel Costs'!$E179*J375</f>
        <v>0</v>
      </c>
      <c r="K722">
        <f ca="1">'Fuel Costs'!$E179*K375</f>
        <v>0</v>
      </c>
      <c r="L722">
        <f ca="1">'Fuel Costs'!$E179*L375</f>
        <v>0</v>
      </c>
      <c r="M722">
        <f ca="1">'Fuel Costs'!$E179*M375</f>
        <v>0</v>
      </c>
      <c r="N722">
        <f ca="1">'Fuel Costs'!$E179*N375</f>
        <v>0</v>
      </c>
      <c r="O722">
        <f ca="1">'Fuel Costs'!$E179*O375</f>
        <v>0</v>
      </c>
      <c r="P722">
        <f ca="1">'Fuel Costs'!$E179*P375</f>
        <v>0</v>
      </c>
      <c r="Q722">
        <f ca="1">'Fuel Costs'!$E179*Q375</f>
        <v>0</v>
      </c>
      <c r="R722">
        <f ca="1">'Fuel Costs'!$E179*R375</f>
        <v>0</v>
      </c>
      <c r="S722">
        <f ca="1">'Fuel Costs'!$E179*S375</f>
        <v>0</v>
      </c>
      <c r="T722">
        <f ca="1">'Fuel Costs'!$E179*T375</f>
        <v>0</v>
      </c>
      <c r="U722">
        <f ca="1">'Fuel Costs'!$E179*U375</f>
        <v>0</v>
      </c>
      <c r="V722">
        <f ca="1">'Fuel Costs'!$E179*V375</f>
        <v>0</v>
      </c>
      <c r="W722">
        <f ca="1">'Fuel Costs'!$E179*W375</f>
        <v>0</v>
      </c>
      <c r="X722">
        <f ca="1">'Fuel Costs'!$E179*X375</f>
        <v>0</v>
      </c>
      <c r="Y722">
        <f ca="1">'Fuel Costs'!$E179*Y375</f>
        <v>0</v>
      </c>
      <c r="Z722">
        <f ca="1">'Fuel Costs'!$E179*Z375</f>
        <v>0</v>
      </c>
      <c r="AA722">
        <f ca="1">'Fuel Costs'!$E179*AA375</f>
        <v>0</v>
      </c>
      <c r="AB722">
        <f ca="1">'Fuel Costs'!$E179*AB375</f>
        <v>0</v>
      </c>
      <c r="AC722">
        <f ca="1">'Fuel Costs'!$E179*AC375</f>
        <v>0</v>
      </c>
    </row>
    <row r="723" spans="3:29">
      <c r="C723" t="str">
        <f t="shared" si="288"/>
        <v>Wind 25%</v>
      </c>
      <c r="D723">
        <f>'Fuel Costs'!$E180*D376</f>
        <v>0</v>
      </c>
      <c r="E723">
        <f>'Fuel Costs'!$E180*E376</f>
        <v>0</v>
      </c>
      <c r="F723">
        <f>'Fuel Costs'!$E180*F376</f>
        <v>0</v>
      </c>
      <c r="G723">
        <f>'Fuel Costs'!$E180*G376</f>
        <v>0</v>
      </c>
      <c r="H723">
        <f>'Fuel Costs'!$E180*H376</f>
        <v>0</v>
      </c>
      <c r="I723">
        <f ca="1">'Fuel Costs'!$E180*I376</f>
        <v>0</v>
      </c>
      <c r="J723">
        <f ca="1">'Fuel Costs'!$E180*J376</f>
        <v>0</v>
      </c>
      <c r="K723">
        <f ca="1">'Fuel Costs'!$E180*K376</f>
        <v>0</v>
      </c>
      <c r="L723">
        <f ca="1">'Fuel Costs'!$E180*L376</f>
        <v>0</v>
      </c>
      <c r="M723">
        <f ca="1">'Fuel Costs'!$E180*M376</f>
        <v>0</v>
      </c>
      <c r="N723">
        <f ca="1">'Fuel Costs'!$E180*N376</f>
        <v>0</v>
      </c>
      <c r="O723">
        <f ca="1">'Fuel Costs'!$E180*O376</f>
        <v>0</v>
      </c>
      <c r="P723">
        <f ca="1">'Fuel Costs'!$E180*P376</f>
        <v>0</v>
      </c>
      <c r="Q723">
        <f ca="1">'Fuel Costs'!$E180*Q376</f>
        <v>0</v>
      </c>
      <c r="R723">
        <f ca="1">'Fuel Costs'!$E180*R376</f>
        <v>0</v>
      </c>
      <c r="S723">
        <f ca="1">'Fuel Costs'!$E180*S376</f>
        <v>0</v>
      </c>
      <c r="T723">
        <f ca="1">'Fuel Costs'!$E180*T376</f>
        <v>0</v>
      </c>
      <c r="U723">
        <f ca="1">'Fuel Costs'!$E180*U376</f>
        <v>0</v>
      </c>
      <c r="V723">
        <f ca="1">'Fuel Costs'!$E180*V376</f>
        <v>0</v>
      </c>
      <c r="W723">
        <f ca="1">'Fuel Costs'!$E180*W376</f>
        <v>0</v>
      </c>
      <c r="X723">
        <f ca="1">'Fuel Costs'!$E180*X376</f>
        <v>0</v>
      </c>
      <c r="Y723">
        <f ca="1">'Fuel Costs'!$E180*Y376</f>
        <v>0</v>
      </c>
      <c r="Z723">
        <f ca="1">'Fuel Costs'!$E180*Z376</f>
        <v>0</v>
      </c>
      <c r="AA723">
        <f ca="1">'Fuel Costs'!$E180*AA376</f>
        <v>0</v>
      </c>
      <c r="AB723">
        <f ca="1">'Fuel Costs'!$E180*AB376</f>
        <v>0</v>
      </c>
      <c r="AC723">
        <f ca="1">'Fuel Costs'!$E180*AC376</f>
        <v>0</v>
      </c>
    </row>
    <row r="724" spans="3:29">
      <c r="C724" t="str">
        <f t="shared" si="288"/>
        <v>solar thermal central reciever</v>
      </c>
      <c r="D724">
        <f>'Fuel Costs'!$E181*D377</f>
        <v>0</v>
      </c>
      <c r="E724">
        <f>'Fuel Costs'!$E181*E377</f>
        <v>0</v>
      </c>
      <c r="F724">
        <f>'Fuel Costs'!$E181*F377</f>
        <v>0</v>
      </c>
      <c r="G724">
        <f>'Fuel Costs'!$E181*G377</f>
        <v>0</v>
      </c>
      <c r="H724">
        <f>'Fuel Costs'!$E181*H377</f>
        <v>0</v>
      </c>
      <c r="I724">
        <f ca="1">'Fuel Costs'!$E181*I377</f>
        <v>0</v>
      </c>
      <c r="J724">
        <f ca="1">'Fuel Costs'!$E181*J377</f>
        <v>0</v>
      </c>
      <c r="K724">
        <f ca="1">'Fuel Costs'!$E181*K377</f>
        <v>0</v>
      </c>
      <c r="L724">
        <f ca="1">'Fuel Costs'!$E181*L377</f>
        <v>0</v>
      </c>
      <c r="M724">
        <f ca="1">'Fuel Costs'!$E181*M377</f>
        <v>0</v>
      </c>
      <c r="N724">
        <f ca="1">'Fuel Costs'!$E181*N377</f>
        <v>0</v>
      </c>
      <c r="O724">
        <f ca="1">'Fuel Costs'!$E181*O377</f>
        <v>0</v>
      </c>
      <c r="P724">
        <f ca="1">'Fuel Costs'!$E181*P377</f>
        <v>0</v>
      </c>
      <c r="Q724">
        <f ca="1">'Fuel Costs'!$E181*Q377</f>
        <v>0</v>
      </c>
      <c r="R724">
        <f ca="1">'Fuel Costs'!$E181*R377</f>
        <v>0</v>
      </c>
      <c r="S724">
        <f ca="1">'Fuel Costs'!$E181*S377</f>
        <v>0</v>
      </c>
      <c r="T724">
        <f ca="1">'Fuel Costs'!$E181*T377</f>
        <v>0</v>
      </c>
      <c r="U724">
        <f ca="1">'Fuel Costs'!$E181*U377</f>
        <v>0</v>
      </c>
      <c r="V724">
        <f ca="1">'Fuel Costs'!$E181*V377</f>
        <v>0</v>
      </c>
      <c r="W724">
        <f ca="1">'Fuel Costs'!$E181*W377</f>
        <v>0</v>
      </c>
      <c r="X724">
        <f ca="1">'Fuel Costs'!$E181*X377</f>
        <v>0</v>
      </c>
      <c r="Y724">
        <f ca="1">'Fuel Costs'!$E181*Y377</f>
        <v>0</v>
      </c>
      <c r="Z724">
        <f ca="1">'Fuel Costs'!$E181*Z377</f>
        <v>0</v>
      </c>
      <c r="AA724">
        <f ca="1">'Fuel Costs'!$E181*AA377</f>
        <v>0</v>
      </c>
      <c r="AB724">
        <f ca="1">'Fuel Costs'!$E181*AB377</f>
        <v>0</v>
      </c>
      <c r="AC724">
        <f ca="1">'Fuel Costs'!$E181*AC377</f>
        <v>0</v>
      </c>
    </row>
    <row r="725" spans="3:29">
      <c r="C725" t="str">
        <f t="shared" si="288"/>
        <v>solar thermal trough</v>
      </c>
      <c r="D725">
        <f>'Fuel Costs'!$E182*D378</f>
        <v>0</v>
      </c>
      <c r="E725">
        <f>'Fuel Costs'!$E182*E378</f>
        <v>0</v>
      </c>
      <c r="F725">
        <f>'Fuel Costs'!$E182*F378</f>
        <v>0</v>
      </c>
      <c r="G725">
        <f>'Fuel Costs'!$E182*G378</f>
        <v>0</v>
      </c>
      <c r="H725">
        <f>'Fuel Costs'!$E182*H378</f>
        <v>0</v>
      </c>
      <c r="I725">
        <f ca="1">'Fuel Costs'!$E182*I378</f>
        <v>0</v>
      </c>
      <c r="J725">
        <f ca="1">'Fuel Costs'!$E182*J378</f>
        <v>0</v>
      </c>
      <c r="K725">
        <f ca="1">'Fuel Costs'!$E182*K378</f>
        <v>0</v>
      </c>
      <c r="L725">
        <f ca="1">'Fuel Costs'!$E182*L378</f>
        <v>0</v>
      </c>
      <c r="M725">
        <f ca="1">'Fuel Costs'!$E182*M378</f>
        <v>0</v>
      </c>
      <c r="N725">
        <f ca="1">'Fuel Costs'!$E182*N378</f>
        <v>0</v>
      </c>
      <c r="O725">
        <f ca="1">'Fuel Costs'!$E182*O378</f>
        <v>0</v>
      </c>
      <c r="P725">
        <f ca="1">'Fuel Costs'!$E182*P378</f>
        <v>0</v>
      </c>
      <c r="Q725">
        <f ca="1">'Fuel Costs'!$E182*Q378</f>
        <v>0</v>
      </c>
      <c r="R725">
        <f ca="1">'Fuel Costs'!$E182*R378</f>
        <v>0</v>
      </c>
      <c r="S725">
        <f ca="1">'Fuel Costs'!$E182*S378</f>
        <v>0</v>
      </c>
      <c r="T725">
        <f ca="1">'Fuel Costs'!$E182*T378</f>
        <v>0</v>
      </c>
      <c r="U725">
        <f ca="1">'Fuel Costs'!$E182*U378</f>
        <v>0</v>
      </c>
      <c r="V725">
        <f ca="1">'Fuel Costs'!$E182*V378</f>
        <v>0</v>
      </c>
      <c r="W725">
        <f ca="1">'Fuel Costs'!$E182*W378</f>
        <v>0</v>
      </c>
      <c r="X725">
        <f ca="1">'Fuel Costs'!$E182*X378</f>
        <v>0</v>
      </c>
      <c r="Y725">
        <f ca="1">'Fuel Costs'!$E182*Y378</f>
        <v>0</v>
      </c>
      <c r="Z725">
        <f ca="1">'Fuel Costs'!$E182*Z378</f>
        <v>0</v>
      </c>
      <c r="AA725">
        <f ca="1">'Fuel Costs'!$E182*AA378</f>
        <v>0</v>
      </c>
      <c r="AB725">
        <f ca="1">'Fuel Costs'!$E182*AB378</f>
        <v>0</v>
      </c>
      <c r="AC725">
        <f ca="1">'Fuel Costs'!$E182*AC378</f>
        <v>0</v>
      </c>
    </row>
    <row r="726" spans="3:29">
      <c r="C726" t="str">
        <f t="shared" si="288"/>
        <v>solar PV</v>
      </c>
      <c r="D726">
        <f>'Fuel Costs'!$E183*D379</f>
        <v>0</v>
      </c>
      <c r="E726">
        <f>'Fuel Costs'!$E183*E379</f>
        <v>0</v>
      </c>
      <c r="F726">
        <f>'Fuel Costs'!$E183*F379</f>
        <v>0</v>
      </c>
      <c r="G726">
        <f>'Fuel Costs'!$E183*G379</f>
        <v>0</v>
      </c>
      <c r="H726">
        <f>'Fuel Costs'!$E183*H379</f>
        <v>0</v>
      </c>
      <c r="I726">
        <f ca="1">'Fuel Costs'!$E183*I379</f>
        <v>0</v>
      </c>
      <c r="J726">
        <f ca="1">'Fuel Costs'!$E183*J379</f>
        <v>0</v>
      </c>
      <c r="K726">
        <f ca="1">'Fuel Costs'!$E183*K379</f>
        <v>0</v>
      </c>
      <c r="L726">
        <f ca="1">'Fuel Costs'!$E183*L379</f>
        <v>0</v>
      </c>
      <c r="M726">
        <f ca="1">'Fuel Costs'!$E183*M379</f>
        <v>0</v>
      </c>
      <c r="N726">
        <f ca="1">'Fuel Costs'!$E183*N379</f>
        <v>0</v>
      </c>
      <c r="O726">
        <f ca="1">'Fuel Costs'!$E183*O379</f>
        <v>0</v>
      </c>
      <c r="P726">
        <f ca="1">'Fuel Costs'!$E183*P379</f>
        <v>0</v>
      </c>
      <c r="Q726">
        <f ca="1">'Fuel Costs'!$E183*Q379</f>
        <v>0</v>
      </c>
      <c r="R726">
        <f ca="1">'Fuel Costs'!$E183*R379</f>
        <v>0</v>
      </c>
      <c r="S726">
        <f ca="1">'Fuel Costs'!$E183*S379</f>
        <v>0</v>
      </c>
      <c r="T726">
        <f ca="1">'Fuel Costs'!$E183*T379</f>
        <v>0</v>
      </c>
      <c r="U726">
        <f ca="1">'Fuel Costs'!$E183*U379</f>
        <v>0</v>
      </c>
      <c r="V726">
        <f ca="1">'Fuel Costs'!$E183*V379</f>
        <v>0</v>
      </c>
      <c r="W726">
        <f ca="1">'Fuel Costs'!$E183*W379</f>
        <v>0</v>
      </c>
      <c r="X726">
        <f ca="1">'Fuel Costs'!$E183*X379</f>
        <v>0</v>
      </c>
      <c r="Y726">
        <f ca="1">'Fuel Costs'!$E183*Y379</f>
        <v>0</v>
      </c>
      <c r="Z726">
        <f ca="1">'Fuel Costs'!$E183*Z379</f>
        <v>0</v>
      </c>
      <c r="AA726">
        <f ca="1">'Fuel Costs'!$E183*AA379</f>
        <v>0</v>
      </c>
      <c r="AB726">
        <f ca="1">'Fuel Costs'!$E183*AB379</f>
        <v>0</v>
      </c>
      <c r="AC726">
        <f ca="1">'Fuel Costs'!$E183*AC379</f>
        <v>0</v>
      </c>
    </row>
    <row r="727" spans="3:29">
      <c r="C727" t="str">
        <f t="shared" si="288"/>
        <v>combined cycle gas</v>
      </c>
      <c r="D727">
        <f>'Fuel Costs'!$E184*D380</f>
        <v>0</v>
      </c>
      <c r="E727">
        <f>'Fuel Costs'!$E184*E380</f>
        <v>0</v>
      </c>
      <c r="F727">
        <f>'Fuel Costs'!$E184*F380</f>
        <v>0</v>
      </c>
      <c r="G727">
        <f>'Fuel Costs'!$E184*G380</f>
        <v>0</v>
      </c>
      <c r="H727">
        <f>'Fuel Costs'!$E184*H380</f>
        <v>0</v>
      </c>
      <c r="I727">
        <f ca="1">'Fuel Costs'!$E184*I380</f>
        <v>0</v>
      </c>
      <c r="J727">
        <f ca="1">'Fuel Costs'!$E184*J380</f>
        <v>0</v>
      </c>
      <c r="K727">
        <f ca="1">'Fuel Costs'!$E184*K380</f>
        <v>0</v>
      </c>
      <c r="L727">
        <f ca="1">'Fuel Costs'!$E184*L380</f>
        <v>0</v>
      </c>
      <c r="M727">
        <f ca="1">'Fuel Costs'!$E184*M380</f>
        <v>0</v>
      </c>
      <c r="N727">
        <f ca="1">'Fuel Costs'!$E184*N380</f>
        <v>0</v>
      </c>
      <c r="O727">
        <f ca="1">'Fuel Costs'!$E184*O380</f>
        <v>0</v>
      </c>
      <c r="P727">
        <f ca="1">'Fuel Costs'!$E184*P380</f>
        <v>0</v>
      </c>
      <c r="Q727">
        <f ca="1">'Fuel Costs'!$E184*Q380</f>
        <v>0</v>
      </c>
      <c r="R727">
        <f ca="1">'Fuel Costs'!$E184*R380</f>
        <v>0</v>
      </c>
      <c r="S727">
        <f ca="1">'Fuel Costs'!$E184*S380</f>
        <v>0</v>
      </c>
      <c r="T727">
        <f ca="1">'Fuel Costs'!$E184*T380</f>
        <v>0</v>
      </c>
      <c r="U727">
        <f ca="1">'Fuel Costs'!$E184*U380</f>
        <v>0</v>
      </c>
      <c r="V727">
        <f ca="1">'Fuel Costs'!$E184*V380</f>
        <v>0</v>
      </c>
      <c r="W727">
        <f ca="1">'Fuel Costs'!$E184*W380</f>
        <v>0</v>
      </c>
      <c r="X727">
        <f ca="1">'Fuel Costs'!$E184*X380</f>
        <v>0</v>
      </c>
      <c r="Y727">
        <f ca="1">'Fuel Costs'!$E184*Y380</f>
        <v>0</v>
      </c>
      <c r="Z727">
        <f ca="1">'Fuel Costs'!$E184*Z380</f>
        <v>0</v>
      </c>
      <c r="AA727">
        <f ca="1">'Fuel Costs'!$E184*AA380</f>
        <v>0</v>
      </c>
      <c r="AB727">
        <f ca="1">'Fuel Costs'!$E184*AB380</f>
        <v>0</v>
      </c>
      <c r="AC727">
        <f ca="1">'Fuel Costs'!$E184*AC380</f>
        <v>0</v>
      </c>
    </row>
    <row r="728" spans="3:29">
      <c r="C728" t="str">
        <f t="shared" si="288"/>
        <v>PBMR</v>
      </c>
      <c r="D728">
        <f>'Fuel Costs'!$E185*D381</f>
        <v>0</v>
      </c>
      <c r="E728">
        <f>'Fuel Costs'!$E185*E381</f>
        <v>0</v>
      </c>
      <c r="F728">
        <f>'Fuel Costs'!$E185*F381</f>
        <v>0</v>
      </c>
      <c r="G728">
        <f>'Fuel Costs'!$E185*G381</f>
        <v>0</v>
      </c>
      <c r="H728">
        <f>'Fuel Costs'!$E185*H381</f>
        <v>0</v>
      </c>
      <c r="I728">
        <f ca="1">'Fuel Costs'!$E185*I381</f>
        <v>0</v>
      </c>
      <c r="J728">
        <f ca="1">'Fuel Costs'!$E185*J381</f>
        <v>0</v>
      </c>
      <c r="K728">
        <f ca="1">'Fuel Costs'!$E185*K381</f>
        <v>0</v>
      </c>
      <c r="L728">
        <f ca="1">'Fuel Costs'!$E185*L381</f>
        <v>0</v>
      </c>
      <c r="M728">
        <f ca="1">'Fuel Costs'!$E185*M381</f>
        <v>0</v>
      </c>
      <c r="N728">
        <f ca="1">'Fuel Costs'!$E185*N381</f>
        <v>0</v>
      </c>
      <c r="O728">
        <f ca="1">'Fuel Costs'!$E185*O381</f>
        <v>0</v>
      </c>
      <c r="P728">
        <f ca="1">'Fuel Costs'!$E185*P381</f>
        <v>0</v>
      </c>
      <c r="Q728">
        <f ca="1">'Fuel Costs'!$E185*Q381</f>
        <v>0</v>
      </c>
      <c r="R728">
        <f ca="1">'Fuel Costs'!$E185*R381</f>
        <v>0</v>
      </c>
      <c r="S728">
        <f ca="1">'Fuel Costs'!$E185*S381</f>
        <v>0</v>
      </c>
      <c r="T728">
        <f ca="1">'Fuel Costs'!$E185*T381</f>
        <v>0</v>
      </c>
      <c r="U728">
        <f ca="1">'Fuel Costs'!$E185*U381</f>
        <v>0</v>
      </c>
      <c r="V728">
        <f ca="1">'Fuel Costs'!$E185*V381</f>
        <v>0</v>
      </c>
      <c r="W728">
        <f ca="1">'Fuel Costs'!$E185*W381</f>
        <v>0</v>
      </c>
      <c r="X728">
        <f ca="1">'Fuel Costs'!$E185*X381</f>
        <v>0</v>
      </c>
      <c r="Y728">
        <f ca="1">'Fuel Costs'!$E185*Y381</f>
        <v>0</v>
      </c>
      <c r="Z728">
        <f ca="1">'Fuel Costs'!$E185*Z381</f>
        <v>0</v>
      </c>
      <c r="AA728">
        <f ca="1">'Fuel Costs'!$E185*AA381</f>
        <v>0</v>
      </c>
      <c r="AB728">
        <f ca="1">'Fuel Costs'!$E185*AB381</f>
        <v>0</v>
      </c>
      <c r="AC728">
        <f ca="1">'Fuel Costs'!$E185*AC381</f>
        <v>0</v>
      </c>
    </row>
    <row r="729" spans="3:29">
      <c r="C729" t="str">
        <f t="shared" si="288"/>
        <v>IGCC</v>
      </c>
      <c r="D729">
        <f>'Fuel Costs'!$E186*D382</f>
        <v>0</v>
      </c>
      <c r="E729">
        <f>'Fuel Costs'!$E186*E382</f>
        <v>2.6912530302070079E-19</v>
      </c>
      <c r="F729">
        <f>'Fuel Costs'!$E186*F382</f>
        <v>0</v>
      </c>
      <c r="G729">
        <f>'Fuel Costs'!$E186*G382</f>
        <v>2.6912530302070079E-19</v>
      </c>
      <c r="H729">
        <f>'Fuel Costs'!$E186*H382</f>
        <v>2.6912530302070079E-19</v>
      </c>
      <c r="I729">
        <f ca="1">'Fuel Costs'!$E186*I382</f>
        <v>0</v>
      </c>
      <c r="J729">
        <f ca="1">'Fuel Costs'!$E186*J382</f>
        <v>0</v>
      </c>
      <c r="K729">
        <f ca="1">'Fuel Costs'!$E186*K382</f>
        <v>0</v>
      </c>
      <c r="L729">
        <f ca="1">'Fuel Costs'!$E186*L382</f>
        <v>0</v>
      </c>
      <c r="M729">
        <f ca="1">'Fuel Costs'!$E186*M382</f>
        <v>0</v>
      </c>
      <c r="N729">
        <f ca="1">'Fuel Costs'!$E186*N382</f>
        <v>0</v>
      </c>
      <c r="O729">
        <f ca="1">'Fuel Costs'!$E186*O382</f>
        <v>0</v>
      </c>
      <c r="P729">
        <f ca="1">'Fuel Costs'!$E186*P382</f>
        <v>0</v>
      </c>
      <c r="Q729">
        <f ca="1">'Fuel Costs'!$E186*Q382</f>
        <v>0</v>
      </c>
      <c r="R729">
        <f ca="1">'Fuel Costs'!$E186*R382</f>
        <v>0</v>
      </c>
      <c r="S729">
        <f ca="1">'Fuel Costs'!$E186*S382</f>
        <v>0</v>
      </c>
      <c r="T729">
        <f ca="1">'Fuel Costs'!$E186*T382</f>
        <v>0</v>
      </c>
      <c r="U729">
        <f ca="1">'Fuel Costs'!$E186*U382</f>
        <v>0</v>
      </c>
      <c r="V729">
        <f ca="1">'Fuel Costs'!$E186*V382</f>
        <v>0</v>
      </c>
      <c r="W729">
        <f ca="1">'Fuel Costs'!$E186*W382</f>
        <v>0</v>
      </c>
      <c r="X729">
        <f ca="1">'Fuel Costs'!$E186*X382</f>
        <v>0</v>
      </c>
      <c r="Y729">
        <f ca="1">'Fuel Costs'!$E186*Y382</f>
        <v>0</v>
      </c>
      <c r="Z729">
        <f ca="1">'Fuel Costs'!$E186*Z382</f>
        <v>0</v>
      </c>
      <c r="AA729">
        <f ca="1">'Fuel Costs'!$E186*AA382</f>
        <v>0</v>
      </c>
      <c r="AB729">
        <f ca="1">'Fuel Costs'!$E186*AB382</f>
        <v>0</v>
      </c>
      <c r="AC729">
        <f ca="1">'Fuel Costs'!$E186*AC382</f>
        <v>0</v>
      </c>
    </row>
    <row r="730" spans="3:29">
      <c r="C730" t="str">
        <f t="shared" si="288"/>
        <v>-</v>
      </c>
      <c r="D730">
        <f>'Fuel Costs'!$E187*D383</f>
        <v>0</v>
      </c>
      <c r="E730">
        <f>'Fuel Costs'!$E187*E383</f>
        <v>0</v>
      </c>
      <c r="F730">
        <f>'Fuel Costs'!$E187*F383</f>
        <v>0</v>
      </c>
      <c r="G730">
        <f>'Fuel Costs'!$E187*G383</f>
        <v>0</v>
      </c>
      <c r="H730">
        <f>'Fuel Costs'!$E187*H383</f>
        <v>0</v>
      </c>
      <c r="I730">
        <f ca="1">'Fuel Costs'!$E187*I383</f>
        <v>0</v>
      </c>
      <c r="J730">
        <f ca="1">'Fuel Costs'!$E187*J383</f>
        <v>0</v>
      </c>
      <c r="K730">
        <f ca="1">'Fuel Costs'!$E187*K383</f>
        <v>0</v>
      </c>
      <c r="L730">
        <f ca="1">'Fuel Costs'!$E187*L383</f>
        <v>0</v>
      </c>
      <c r="M730">
        <f ca="1">'Fuel Costs'!$E187*M383</f>
        <v>0</v>
      </c>
      <c r="N730">
        <f ca="1">'Fuel Costs'!$E187*N383</f>
        <v>0</v>
      </c>
      <c r="O730">
        <f ca="1">'Fuel Costs'!$E187*O383</f>
        <v>0</v>
      </c>
      <c r="P730">
        <f ca="1">'Fuel Costs'!$E187*P383</f>
        <v>0</v>
      </c>
      <c r="Q730">
        <f ca="1">'Fuel Costs'!$E187*Q383</f>
        <v>0</v>
      </c>
      <c r="R730">
        <f ca="1">'Fuel Costs'!$E187*R383</f>
        <v>0</v>
      </c>
      <c r="S730">
        <f ca="1">'Fuel Costs'!$E187*S383</f>
        <v>0</v>
      </c>
      <c r="T730">
        <f ca="1">'Fuel Costs'!$E187*T383</f>
        <v>0</v>
      </c>
      <c r="U730">
        <f ca="1">'Fuel Costs'!$E187*U383</f>
        <v>0</v>
      </c>
      <c r="V730">
        <f ca="1">'Fuel Costs'!$E187*V383</f>
        <v>0</v>
      </c>
      <c r="W730">
        <f ca="1">'Fuel Costs'!$E187*W383</f>
        <v>0</v>
      </c>
      <c r="X730">
        <f ca="1">'Fuel Costs'!$E187*X383</f>
        <v>0</v>
      </c>
      <c r="Y730">
        <f ca="1">'Fuel Costs'!$E187*Y383</f>
        <v>0</v>
      </c>
      <c r="Z730">
        <f ca="1">'Fuel Costs'!$E187*Z383</f>
        <v>0</v>
      </c>
      <c r="AA730">
        <f ca="1">'Fuel Costs'!$E187*AA383</f>
        <v>0</v>
      </c>
      <c r="AB730">
        <f ca="1">'Fuel Costs'!$E187*AB383</f>
        <v>0</v>
      </c>
      <c r="AC730">
        <f ca="1">'Fuel Costs'!$E187*AC383</f>
        <v>0</v>
      </c>
    </row>
    <row r="731" spans="3:29">
      <c r="C731" t="str">
        <f t="shared" si="288"/>
        <v>-</v>
      </c>
      <c r="D731">
        <f>'Fuel Costs'!$E188*D384</f>
        <v>0</v>
      </c>
      <c r="E731">
        <f>'Fuel Costs'!$E188*E384</f>
        <v>0</v>
      </c>
      <c r="F731">
        <f>'Fuel Costs'!$E188*F384</f>
        <v>0</v>
      </c>
      <c r="G731">
        <f>'Fuel Costs'!$E188*G384</f>
        <v>0</v>
      </c>
      <c r="H731">
        <f>'Fuel Costs'!$E188*H384</f>
        <v>0</v>
      </c>
      <c r="I731">
        <f ca="1">'Fuel Costs'!$E188*I384</f>
        <v>0</v>
      </c>
      <c r="J731">
        <f ca="1">'Fuel Costs'!$E188*J384</f>
        <v>0</v>
      </c>
      <c r="K731">
        <f ca="1">'Fuel Costs'!$E188*K384</f>
        <v>0</v>
      </c>
      <c r="L731">
        <f ca="1">'Fuel Costs'!$E188*L384</f>
        <v>0</v>
      </c>
      <c r="M731">
        <f ca="1">'Fuel Costs'!$E188*M384</f>
        <v>0</v>
      </c>
      <c r="N731">
        <f ca="1">'Fuel Costs'!$E188*N384</f>
        <v>0</v>
      </c>
      <c r="O731">
        <f ca="1">'Fuel Costs'!$E188*O384</f>
        <v>0</v>
      </c>
      <c r="P731">
        <f ca="1">'Fuel Costs'!$E188*P384</f>
        <v>0</v>
      </c>
      <c r="Q731">
        <f ca="1">'Fuel Costs'!$E188*Q384</f>
        <v>0</v>
      </c>
      <c r="R731">
        <f ca="1">'Fuel Costs'!$E188*R384</f>
        <v>0</v>
      </c>
      <c r="S731">
        <f ca="1">'Fuel Costs'!$E188*S384</f>
        <v>0</v>
      </c>
      <c r="T731">
        <f ca="1">'Fuel Costs'!$E188*T384</f>
        <v>0</v>
      </c>
      <c r="U731">
        <f ca="1">'Fuel Costs'!$E188*U384</f>
        <v>0</v>
      </c>
      <c r="V731">
        <f ca="1">'Fuel Costs'!$E188*V384</f>
        <v>0</v>
      </c>
      <c r="W731">
        <f ca="1">'Fuel Costs'!$E188*W384</f>
        <v>0</v>
      </c>
      <c r="X731">
        <f ca="1">'Fuel Costs'!$E188*X384</f>
        <v>0</v>
      </c>
      <c r="Y731">
        <f ca="1">'Fuel Costs'!$E188*Y384</f>
        <v>0</v>
      </c>
      <c r="Z731">
        <f ca="1">'Fuel Costs'!$E188*Z384</f>
        <v>0</v>
      </c>
      <c r="AA731">
        <f ca="1">'Fuel Costs'!$E188*AA384</f>
        <v>0</v>
      </c>
      <c r="AB731">
        <f ca="1">'Fuel Costs'!$E188*AB384</f>
        <v>0</v>
      </c>
      <c r="AC731">
        <f ca="1">'Fuel Costs'!$E188*AC384</f>
        <v>0</v>
      </c>
    </row>
    <row r="732" spans="3:29">
      <c r="C732" t="str">
        <f t="shared" si="288"/>
        <v>-</v>
      </c>
      <c r="D732">
        <f>'Fuel Costs'!$E189*D385</f>
        <v>0</v>
      </c>
      <c r="E732">
        <f>'Fuel Costs'!$E189*E385</f>
        <v>0</v>
      </c>
      <c r="F732">
        <f>'Fuel Costs'!$E189*F385</f>
        <v>0</v>
      </c>
      <c r="G732">
        <f>'Fuel Costs'!$E189*G385</f>
        <v>0</v>
      </c>
      <c r="H732">
        <f>'Fuel Costs'!$E189*H385</f>
        <v>0</v>
      </c>
      <c r="I732">
        <f ca="1">'Fuel Costs'!$E189*I385</f>
        <v>0</v>
      </c>
      <c r="J732">
        <f ca="1">'Fuel Costs'!$E189*J385</f>
        <v>0</v>
      </c>
      <c r="K732">
        <f ca="1">'Fuel Costs'!$E189*K385</f>
        <v>0</v>
      </c>
      <c r="L732">
        <f ca="1">'Fuel Costs'!$E189*L385</f>
        <v>0</v>
      </c>
      <c r="M732">
        <f ca="1">'Fuel Costs'!$E189*M385</f>
        <v>0</v>
      </c>
      <c r="N732">
        <f ca="1">'Fuel Costs'!$E189*N385</f>
        <v>0</v>
      </c>
      <c r="O732">
        <f ca="1">'Fuel Costs'!$E189*O385</f>
        <v>0</v>
      </c>
      <c r="P732">
        <f ca="1">'Fuel Costs'!$E189*P385</f>
        <v>0</v>
      </c>
      <c r="Q732">
        <f ca="1">'Fuel Costs'!$E189*Q385</f>
        <v>0</v>
      </c>
      <c r="R732">
        <f ca="1">'Fuel Costs'!$E189*R385</f>
        <v>0</v>
      </c>
      <c r="S732">
        <f ca="1">'Fuel Costs'!$E189*S385</f>
        <v>0</v>
      </c>
      <c r="T732">
        <f ca="1">'Fuel Costs'!$E189*T385</f>
        <v>0</v>
      </c>
      <c r="U732">
        <f ca="1">'Fuel Costs'!$E189*U385</f>
        <v>0</v>
      </c>
      <c r="V732">
        <f ca="1">'Fuel Costs'!$E189*V385</f>
        <v>0</v>
      </c>
      <c r="W732">
        <f ca="1">'Fuel Costs'!$E189*W385</f>
        <v>0</v>
      </c>
      <c r="X732">
        <f ca="1">'Fuel Costs'!$E189*X385</f>
        <v>0</v>
      </c>
      <c r="Y732">
        <f ca="1">'Fuel Costs'!$E189*Y385</f>
        <v>0</v>
      </c>
      <c r="Z732">
        <f ca="1">'Fuel Costs'!$E189*Z385</f>
        <v>0</v>
      </c>
      <c r="AA732">
        <f ca="1">'Fuel Costs'!$E189*AA385</f>
        <v>0</v>
      </c>
      <c r="AB732">
        <f ca="1">'Fuel Costs'!$E189*AB385</f>
        <v>0</v>
      </c>
      <c r="AC732">
        <f ca="1">'Fuel Costs'!$E189*AC385</f>
        <v>0</v>
      </c>
    </row>
    <row r="733" spans="3:29">
      <c r="C733" t="str">
        <f t="shared" si="288"/>
        <v>Pumped storage</v>
      </c>
      <c r="D733">
        <f>'Fuel Costs'!$E190*D386</f>
        <v>0</v>
      </c>
      <c r="E733">
        <f>'Fuel Costs'!$E190*E386</f>
        <v>0</v>
      </c>
      <c r="F733">
        <f>'Fuel Costs'!$E190*F386</f>
        <v>0</v>
      </c>
      <c r="G733">
        <f>'Fuel Costs'!$E190*G386</f>
        <v>0</v>
      </c>
      <c r="H733">
        <f>'Fuel Costs'!$E190*H386</f>
        <v>0</v>
      </c>
      <c r="I733">
        <f ca="1">'Fuel Costs'!$E190*I386</f>
        <v>0</v>
      </c>
      <c r="J733">
        <f ca="1">'Fuel Costs'!$E190*J386</f>
        <v>0</v>
      </c>
      <c r="K733">
        <f ca="1">'Fuel Costs'!$E190*K386</f>
        <v>0</v>
      </c>
      <c r="L733">
        <f ca="1">'Fuel Costs'!$E190*L386</f>
        <v>0</v>
      </c>
      <c r="M733">
        <f ca="1">'Fuel Costs'!$E190*M386</f>
        <v>0</v>
      </c>
      <c r="N733">
        <f ca="1">'Fuel Costs'!$E190*N386</f>
        <v>0</v>
      </c>
      <c r="O733">
        <f ca="1">'Fuel Costs'!$E190*O386</f>
        <v>0</v>
      </c>
      <c r="P733">
        <f ca="1">'Fuel Costs'!$E190*P386</f>
        <v>0</v>
      </c>
      <c r="Q733">
        <f ca="1">'Fuel Costs'!$E190*Q386</f>
        <v>0</v>
      </c>
      <c r="R733">
        <f ca="1">'Fuel Costs'!$E190*R386</f>
        <v>0</v>
      </c>
      <c r="S733">
        <f ca="1">'Fuel Costs'!$E190*S386</f>
        <v>0</v>
      </c>
      <c r="T733">
        <f ca="1">'Fuel Costs'!$E190*T386</f>
        <v>0</v>
      </c>
      <c r="U733">
        <f ca="1">'Fuel Costs'!$E190*U386</f>
        <v>0</v>
      </c>
      <c r="V733">
        <f ca="1">'Fuel Costs'!$E190*V386</f>
        <v>0</v>
      </c>
      <c r="W733">
        <f ca="1">'Fuel Costs'!$E190*W386</f>
        <v>0</v>
      </c>
      <c r="X733">
        <f ca="1">'Fuel Costs'!$E190*X386</f>
        <v>0</v>
      </c>
      <c r="Y733">
        <f ca="1">'Fuel Costs'!$E190*Y386</f>
        <v>0</v>
      </c>
      <c r="Z733">
        <f ca="1">'Fuel Costs'!$E190*Z386</f>
        <v>0</v>
      </c>
      <c r="AA733">
        <f ca="1">'Fuel Costs'!$E190*AA386</f>
        <v>0</v>
      </c>
      <c r="AB733">
        <f ca="1">'Fuel Costs'!$E190*AB386</f>
        <v>0</v>
      </c>
      <c r="AC733">
        <f ca="1">'Fuel Costs'!$E190*AC386</f>
        <v>0</v>
      </c>
    </row>
    <row r="734" spans="3:29">
      <c r="C734" s="4" t="s">
        <v>5</v>
      </c>
      <c r="D734">
        <f>SUM(D714:D733)</f>
        <v>2.2919070122562782E-3</v>
      </c>
      <c r="E734">
        <f t="shared" ref="E734:AC734" si="289">SUM(E714:E733)</f>
        <v>2.2919070122562786E-3</v>
      </c>
      <c r="F734">
        <f t="shared" si="289"/>
        <v>2.3618483585562404E-3</v>
      </c>
      <c r="G734">
        <f t="shared" si="289"/>
        <v>2.3862119639201512E-3</v>
      </c>
      <c r="H734">
        <f t="shared" si="289"/>
        <v>2.3862119639201512E-3</v>
      </c>
      <c r="I734">
        <f t="shared" ca="1" si="289"/>
        <v>2.4569697809092711E-3</v>
      </c>
      <c r="J734">
        <f t="shared" ca="1" si="289"/>
        <v>2.5175776378671866E-3</v>
      </c>
      <c r="K734">
        <f t="shared" ca="1" si="289"/>
        <v>2.578129649153178E-3</v>
      </c>
      <c r="L734">
        <f t="shared" ca="1" si="289"/>
        <v>2.6519829707009556E-3</v>
      </c>
      <c r="M734">
        <f t="shared" ca="1" si="289"/>
        <v>2.7385498029874641E-3</v>
      </c>
      <c r="N734">
        <f t="shared" ca="1" si="289"/>
        <v>2.8193234084432205E-3</v>
      </c>
      <c r="O734">
        <f t="shared" ca="1" si="289"/>
        <v>2.9043465189253891E-3</v>
      </c>
      <c r="P734">
        <f t="shared" ca="1" si="289"/>
        <v>2.987967736706636E-3</v>
      </c>
      <c r="Q734">
        <f t="shared" ca="1" si="289"/>
        <v>3.0761034659592215E-3</v>
      </c>
      <c r="R734">
        <f t="shared" ca="1" si="289"/>
        <v>3.1683929513626908E-3</v>
      </c>
      <c r="S734">
        <f t="shared" ca="1" si="289"/>
        <v>3.2553568921486154E-3</v>
      </c>
      <c r="T734">
        <f t="shared" ca="1" si="289"/>
        <v>3.3472014964118289E-3</v>
      </c>
      <c r="U734">
        <f t="shared" ca="1" si="289"/>
        <v>3.4466240918916797E-3</v>
      </c>
      <c r="V734">
        <f t="shared" ca="1" si="289"/>
        <v>3.5577183569739657E-3</v>
      </c>
      <c r="W734">
        <f t="shared" ca="1" si="289"/>
        <v>3.6624261195391432E-3</v>
      </c>
      <c r="X734">
        <f t="shared" ca="1" si="289"/>
        <v>3.7691668075795636E-3</v>
      </c>
      <c r="Y734">
        <f t="shared" ca="1" si="289"/>
        <v>3.8885694545504777E-3</v>
      </c>
      <c r="Z734">
        <f t="shared" ca="1" si="289"/>
        <v>4.0112719456863967E-3</v>
      </c>
      <c r="AA734">
        <f t="shared" ca="1" si="289"/>
        <v>4.136634625352722E-3</v>
      </c>
      <c r="AB734">
        <f t="shared" ca="1" si="289"/>
        <v>4.2616281510033114E-3</v>
      </c>
      <c r="AC734">
        <f t="shared" ca="1" si="289"/>
        <v>4.3542128595455056E-3</v>
      </c>
    </row>
    <row r="736" spans="3:29">
      <c r="C736" s="4" t="s">
        <v>152</v>
      </c>
    </row>
    <row r="737" spans="3:29">
      <c r="C737" t="str">
        <f>C8</f>
        <v>Existing coal Large</v>
      </c>
      <c r="D737">
        <f>'Fuel Costs'!$F171*D367</f>
        <v>2.9723942715968593E-3</v>
      </c>
      <c r="E737">
        <f>'Fuel Costs'!$F171*E367</f>
        <v>2.9723942715968593E-3</v>
      </c>
      <c r="F737">
        <f>'Fuel Costs'!$F171*F367</f>
        <v>3.0703121564168061E-3</v>
      </c>
      <c r="G737">
        <f>'Fuel Costs'!$F171*G367</f>
        <v>3.1044212039262808E-3</v>
      </c>
      <c r="H737">
        <f>'Fuel Costs'!$F171*H367</f>
        <v>3.1044212039262808E-3</v>
      </c>
      <c r="I737">
        <f ca="1">'Fuel Costs'!$F171*I367</f>
        <v>3.177710708101346E-3</v>
      </c>
      <c r="J737">
        <f ca="1">'Fuel Costs'!$F171*J367</f>
        <v>3.2332690358581667E-3</v>
      </c>
      <c r="K737">
        <f ca="1">'Fuel Costs'!$F171*K367</f>
        <v>3.2950266814741171E-3</v>
      </c>
      <c r="L737">
        <f ca="1">'Fuel Costs'!$F171*L367</f>
        <v>3.352390991272131E-3</v>
      </c>
      <c r="M737">
        <f ca="1">'Fuel Costs'!$F171*M367</f>
        <v>3.3552754091168997E-3</v>
      </c>
      <c r="N737">
        <f ca="1">'Fuel Costs'!$F171*N367</f>
        <v>3.3552754091168997E-3</v>
      </c>
      <c r="O737">
        <f ca="1">'Fuel Costs'!$F171*O367</f>
        <v>3.3552754091168997E-3</v>
      </c>
      <c r="P737">
        <f ca="1">'Fuel Costs'!$F171*P367</f>
        <v>3.3552754091168997E-3</v>
      </c>
      <c r="Q737">
        <f ca="1">'Fuel Costs'!$F171*Q367</f>
        <v>3.3552754091168997E-3</v>
      </c>
      <c r="R737">
        <f ca="1">'Fuel Costs'!$F171*R367</f>
        <v>3.3552754091168997E-3</v>
      </c>
      <c r="S737">
        <f ca="1">'Fuel Costs'!$F171*S367</f>
        <v>3.3552754091168997E-3</v>
      </c>
      <c r="T737">
        <f ca="1">'Fuel Costs'!$F171*T367</f>
        <v>3.3552754091168997E-3</v>
      </c>
      <c r="U737">
        <f ca="1">'Fuel Costs'!$F171*U367</f>
        <v>3.3552754091168997E-3</v>
      </c>
      <c r="V737">
        <f ca="1">'Fuel Costs'!$F171*V367</f>
        <v>3.3552754091168997E-3</v>
      </c>
      <c r="W737">
        <f ca="1">'Fuel Costs'!$F171*W367</f>
        <v>3.2297457590760984E-3</v>
      </c>
      <c r="X737">
        <f ca="1">'Fuel Costs'!$F171*X367</f>
        <v>3.1042161090352968E-3</v>
      </c>
      <c r="Y737">
        <f ca="1">'Fuel Costs'!$F171*Y367</f>
        <v>2.9473040464842951E-3</v>
      </c>
      <c r="Z737">
        <f ca="1">'Fuel Costs'!$F171*Z367</f>
        <v>2.7903919839332922E-3</v>
      </c>
      <c r="AA737">
        <f ca="1">'Fuel Costs'!$F171*AA367</f>
        <v>2.6004458029505006E-3</v>
      </c>
      <c r="AB737">
        <f ca="1">'Fuel Costs'!$F171*AB367</f>
        <v>2.2205534409849171E-3</v>
      </c>
      <c r="AC737">
        <f ca="1">'Fuel Costs'!$F171*AC367</f>
        <v>2.0306072600021242E-3</v>
      </c>
    </row>
    <row r="738" spans="3:29">
      <c r="C738" t="str">
        <f t="shared" ref="C738:C756" si="290">C9</f>
        <v>Existing coal Small</v>
      </c>
      <c r="D738">
        <f>'Fuel Costs'!$F172*D368</f>
        <v>2.0505630572809178E-4</v>
      </c>
      <c r="E738">
        <f>'Fuel Costs'!$F172*E368</f>
        <v>2.0505630572809178E-4</v>
      </c>
      <c r="F738">
        <f>'Fuel Costs'!$F172*F368</f>
        <v>2.0505630572809178E-4</v>
      </c>
      <c r="G738">
        <f>'Fuel Costs'!$F172*G368</f>
        <v>2.0505630572809178E-4</v>
      </c>
      <c r="H738">
        <f>'Fuel Costs'!$F172*H368</f>
        <v>2.0505630572809178E-4</v>
      </c>
      <c r="I738">
        <f ca="1">'Fuel Costs'!$F172*I368</f>
        <v>2.3082774533779489E-4</v>
      </c>
      <c r="J738">
        <f ca="1">'Fuel Costs'!$F172*J368</f>
        <v>2.4607175939682862E-4</v>
      </c>
      <c r="K738">
        <f ca="1">'Fuel Costs'!$F172*K368</f>
        <v>2.4607175939682862E-4</v>
      </c>
      <c r="L738">
        <f ca="1">'Fuel Costs'!$F172*L368</f>
        <v>2.4607175939682862E-4</v>
      </c>
      <c r="M738">
        <f ca="1">'Fuel Costs'!$F172*M368</f>
        <v>2.4607175939682862E-4</v>
      </c>
      <c r="N738">
        <f ca="1">'Fuel Costs'!$F172*N368</f>
        <v>2.4607175939682862E-4</v>
      </c>
      <c r="O738">
        <f ca="1">'Fuel Costs'!$F172*O368</f>
        <v>2.4465678284431931E-4</v>
      </c>
      <c r="P738">
        <f ca="1">'Fuel Costs'!$F172*P368</f>
        <v>2.4324180629181004E-4</v>
      </c>
      <c r="Q738">
        <f ca="1">'Fuel Costs'!$F172*Q368</f>
        <v>2.413551708884643E-4</v>
      </c>
      <c r="R738">
        <f ca="1">'Fuel Costs'!$F172*R368</f>
        <v>2.3946853548511849E-4</v>
      </c>
      <c r="S738">
        <f ca="1">'Fuel Costs'!$F172*S368</f>
        <v>2.03622462821549E-4</v>
      </c>
      <c r="T738">
        <f ca="1">'Fuel Costs'!$F172*T368</f>
        <v>1.6777639015797951E-4</v>
      </c>
      <c r="U738">
        <f ca="1">'Fuel Costs'!$F172*U368</f>
        <v>1.6777639015797951E-4</v>
      </c>
      <c r="V738">
        <f ca="1">'Fuel Costs'!$F172*V368</f>
        <v>1.6777639015797951E-4</v>
      </c>
      <c r="W738">
        <f ca="1">'Fuel Costs'!$F172*W368</f>
        <v>1.6777639015797951E-4</v>
      </c>
      <c r="X738">
        <f ca="1">'Fuel Costs'!$F172*X368</f>
        <v>1.5125994533246695E-4</v>
      </c>
      <c r="Y738">
        <f ca="1">'Fuel Costs'!$F172*Y368</f>
        <v>1.3474350050695445E-4</v>
      </c>
      <c r="Z738">
        <f ca="1">'Fuel Costs'!$F172*Z368</f>
        <v>1.3474350050695445E-4</v>
      </c>
      <c r="AA738">
        <f ca="1">'Fuel Costs'!$F172*AA368</f>
        <v>1.3474350050695445E-4</v>
      </c>
      <c r="AB738">
        <f ca="1">'Fuel Costs'!$F172*AB368</f>
        <v>1.3474350050695445E-4</v>
      </c>
      <c r="AC738">
        <f ca="1">'Fuel Costs'!$F172*AC368</f>
        <v>1.3474350050695445E-4</v>
      </c>
    </row>
    <row r="739" spans="3:29">
      <c r="C739" t="str">
        <f t="shared" si="290"/>
        <v>OCGT liquid fuels</v>
      </c>
      <c r="D739">
        <f>'Fuel Costs'!$F173*D369</f>
        <v>4.4598914048340276E-6</v>
      </c>
      <c r="E739">
        <f>'Fuel Costs'!$F173*E369</f>
        <v>4.4598914048340276E-6</v>
      </c>
      <c r="F739">
        <f>'Fuel Costs'!$F173*F369</f>
        <v>4.4598914048340276E-6</v>
      </c>
      <c r="G739">
        <f>'Fuel Costs'!$F173*G369</f>
        <v>4.4598914048340276E-6</v>
      </c>
      <c r="H739">
        <f>'Fuel Costs'!$F173*H369</f>
        <v>4.4598914048340276E-6</v>
      </c>
      <c r="I739">
        <f ca="1">'Fuel Costs'!$F173*I369</f>
        <v>4.4598914048340276E-6</v>
      </c>
      <c r="J739">
        <f ca="1">'Fuel Costs'!$F173*J369</f>
        <v>6.4668425370093403E-6</v>
      </c>
      <c r="K739">
        <f ca="1">'Fuel Costs'!$F173*K369</f>
        <v>6.4668425370093403E-6</v>
      </c>
      <c r="L739">
        <f ca="1">'Fuel Costs'!$F173*L369</f>
        <v>6.4668425370093403E-6</v>
      </c>
      <c r="M739">
        <f ca="1">'Fuel Costs'!$F173*M369</f>
        <v>6.4668425370093403E-6</v>
      </c>
      <c r="N739">
        <f ca="1">'Fuel Costs'!$F173*N369</f>
        <v>6.4668425370093403E-6</v>
      </c>
      <c r="O739">
        <f ca="1">'Fuel Costs'!$F173*O369</f>
        <v>6.4668425370093403E-6</v>
      </c>
      <c r="P739">
        <f ca="1">'Fuel Costs'!$F173*P369</f>
        <v>6.4668425370093403E-6</v>
      </c>
      <c r="Q739">
        <f ca="1">'Fuel Costs'!$F173*Q369</f>
        <v>6.4668425370093403E-6</v>
      </c>
      <c r="R739">
        <f ca="1">'Fuel Costs'!$F173*R369</f>
        <v>6.4668425370093403E-6</v>
      </c>
      <c r="S739">
        <f ca="1">'Fuel Costs'!$F173*S369</f>
        <v>6.4668425370093403E-6</v>
      </c>
      <c r="T739">
        <f ca="1">'Fuel Costs'!$F173*T369</f>
        <v>6.4668425370093403E-6</v>
      </c>
      <c r="U739">
        <f ca="1">'Fuel Costs'!$F173*U369</f>
        <v>6.4668425370093403E-6</v>
      </c>
      <c r="V739">
        <f ca="1">'Fuel Costs'!$F173*V369</f>
        <v>7.8048099584595502E-6</v>
      </c>
      <c r="W739">
        <f ca="1">'Fuel Costs'!$F173*W369</f>
        <v>7.8048099584595502E-6</v>
      </c>
      <c r="X739">
        <f ca="1">'Fuel Costs'!$F173*X369</f>
        <v>7.8048099584595502E-6</v>
      </c>
      <c r="Y739">
        <f ca="1">'Fuel Costs'!$F173*Y369</f>
        <v>9.1427773799097576E-6</v>
      </c>
      <c r="Z739">
        <f ca="1">'Fuel Costs'!$F173*Z369</f>
        <v>9.1427773799097576E-6</v>
      </c>
      <c r="AA739">
        <f ca="1">'Fuel Costs'!$F173*AA369</f>
        <v>9.1427773799097576E-6</v>
      </c>
      <c r="AB739">
        <f ca="1">'Fuel Costs'!$F173*AB369</f>
        <v>1.0480744801359963E-5</v>
      </c>
      <c r="AC739">
        <f ca="1">'Fuel Costs'!$F173*AC369</f>
        <v>1.0162977538765539E-5</v>
      </c>
    </row>
    <row r="740" spans="3:29">
      <c r="C740" t="str">
        <f t="shared" si="290"/>
        <v>PWR nuclear</v>
      </c>
      <c r="D740">
        <f>'Fuel Costs'!$F174*D370</f>
        <v>0</v>
      </c>
      <c r="E740">
        <f>'Fuel Costs'!$F174*E370</f>
        <v>0</v>
      </c>
      <c r="F740">
        <f>'Fuel Costs'!$F174*F370</f>
        <v>0</v>
      </c>
      <c r="G740">
        <f>'Fuel Costs'!$F174*G370</f>
        <v>0</v>
      </c>
      <c r="H740">
        <f>'Fuel Costs'!$F174*H370</f>
        <v>0</v>
      </c>
      <c r="I740">
        <f ca="1">'Fuel Costs'!$F174*I370</f>
        <v>0</v>
      </c>
      <c r="J740">
        <f ca="1">'Fuel Costs'!$F174*J370</f>
        <v>0</v>
      </c>
      <c r="K740">
        <f ca="1">'Fuel Costs'!$F174*K370</f>
        <v>0</v>
      </c>
      <c r="L740">
        <f ca="1">'Fuel Costs'!$F174*L370</f>
        <v>0</v>
      </c>
      <c r="M740">
        <f ca="1">'Fuel Costs'!$F174*M370</f>
        <v>0</v>
      </c>
      <c r="N740">
        <f ca="1">'Fuel Costs'!$F174*N370</f>
        <v>0</v>
      </c>
      <c r="O740">
        <f ca="1">'Fuel Costs'!$F174*O370</f>
        <v>0</v>
      </c>
      <c r="P740">
        <f ca="1">'Fuel Costs'!$F174*P370</f>
        <v>0</v>
      </c>
      <c r="Q740">
        <f ca="1">'Fuel Costs'!$F174*Q370</f>
        <v>0</v>
      </c>
      <c r="R740">
        <f ca="1">'Fuel Costs'!$F174*R370</f>
        <v>0</v>
      </c>
      <c r="S740">
        <f ca="1">'Fuel Costs'!$F174*S370</f>
        <v>0</v>
      </c>
      <c r="T740">
        <f ca="1">'Fuel Costs'!$F174*T370</f>
        <v>0</v>
      </c>
      <c r="U740">
        <f ca="1">'Fuel Costs'!$F174*U370</f>
        <v>0</v>
      </c>
      <c r="V740">
        <f ca="1">'Fuel Costs'!$F174*V370</f>
        <v>0</v>
      </c>
      <c r="W740">
        <f ca="1">'Fuel Costs'!$F174*W370</f>
        <v>0</v>
      </c>
      <c r="X740">
        <f ca="1">'Fuel Costs'!$F174*X370</f>
        <v>0</v>
      </c>
      <c r="Y740">
        <f ca="1">'Fuel Costs'!$F174*Y370</f>
        <v>0</v>
      </c>
      <c r="Z740">
        <f ca="1">'Fuel Costs'!$F174*Z370</f>
        <v>0</v>
      </c>
      <c r="AA740">
        <f ca="1">'Fuel Costs'!$F174*AA370</f>
        <v>0</v>
      </c>
      <c r="AB740">
        <f ca="1">'Fuel Costs'!$F174*AB370</f>
        <v>0</v>
      </c>
      <c r="AC740">
        <f ca="1">'Fuel Costs'!$F174*AC370</f>
        <v>0</v>
      </c>
    </row>
    <row r="741" spans="3:29">
      <c r="C741" t="str">
        <f t="shared" si="290"/>
        <v>Hydro</v>
      </c>
      <c r="D741">
        <f>'Fuel Costs'!$F175*D371</f>
        <v>0</v>
      </c>
      <c r="E741">
        <f>'Fuel Costs'!$F175*E371</f>
        <v>0</v>
      </c>
      <c r="F741">
        <f>'Fuel Costs'!$F175*F371</f>
        <v>0</v>
      </c>
      <c r="G741">
        <f>'Fuel Costs'!$F175*G371</f>
        <v>0</v>
      </c>
      <c r="H741">
        <f>'Fuel Costs'!$F175*H371</f>
        <v>0</v>
      </c>
      <c r="I741">
        <f ca="1">'Fuel Costs'!$F175*I371</f>
        <v>0</v>
      </c>
      <c r="J741">
        <f ca="1">'Fuel Costs'!$F175*J371</f>
        <v>0</v>
      </c>
      <c r="K741">
        <f ca="1">'Fuel Costs'!$F175*K371</f>
        <v>0</v>
      </c>
      <c r="L741">
        <f ca="1">'Fuel Costs'!$F175*L371</f>
        <v>0</v>
      </c>
      <c r="M741">
        <f ca="1">'Fuel Costs'!$F175*M371</f>
        <v>0</v>
      </c>
      <c r="N741">
        <f ca="1">'Fuel Costs'!$F175*N371</f>
        <v>0</v>
      </c>
      <c r="O741">
        <f ca="1">'Fuel Costs'!$F175*O371</f>
        <v>0</v>
      </c>
      <c r="P741">
        <f ca="1">'Fuel Costs'!$F175*P371</f>
        <v>0</v>
      </c>
      <c r="Q741">
        <f ca="1">'Fuel Costs'!$F175*Q371</f>
        <v>0</v>
      </c>
      <c r="R741">
        <f ca="1">'Fuel Costs'!$F175*R371</f>
        <v>0</v>
      </c>
      <c r="S741">
        <f ca="1">'Fuel Costs'!$F175*S371</f>
        <v>0</v>
      </c>
      <c r="T741">
        <f ca="1">'Fuel Costs'!$F175*T371</f>
        <v>0</v>
      </c>
      <c r="U741">
        <f ca="1">'Fuel Costs'!$F175*U371</f>
        <v>0</v>
      </c>
      <c r="V741">
        <f ca="1">'Fuel Costs'!$F175*V371</f>
        <v>0</v>
      </c>
      <c r="W741">
        <f ca="1">'Fuel Costs'!$F175*W371</f>
        <v>0</v>
      </c>
      <c r="X741">
        <f ca="1">'Fuel Costs'!$F175*X371</f>
        <v>0</v>
      </c>
      <c r="Y741">
        <f ca="1">'Fuel Costs'!$F175*Y371</f>
        <v>0</v>
      </c>
      <c r="Z741">
        <f ca="1">'Fuel Costs'!$F175*Z371</f>
        <v>0</v>
      </c>
      <c r="AA741">
        <f ca="1">'Fuel Costs'!$F175*AA371</f>
        <v>0</v>
      </c>
      <c r="AB741">
        <f ca="1">'Fuel Costs'!$F175*AB371</f>
        <v>0</v>
      </c>
      <c r="AC741">
        <f ca="1">'Fuel Costs'!$F175*AC371</f>
        <v>0</v>
      </c>
    </row>
    <row r="742" spans="3:29">
      <c r="C742" t="str">
        <f t="shared" si="290"/>
        <v>Landfill gas</v>
      </c>
      <c r="D742">
        <f>'Fuel Costs'!$F176*D372</f>
        <v>0</v>
      </c>
      <c r="E742">
        <f>'Fuel Costs'!$F176*E372</f>
        <v>0</v>
      </c>
      <c r="F742">
        <f>'Fuel Costs'!$F176*F372</f>
        <v>0</v>
      </c>
      <c r="G742">
        <f>'Fuel Costs'!$F176*G372</f>
        <v>0</v>
      </c>
      <c r="H742">
        <f>'Fuel Costs'!$F176*H372</f>
        <v>0</v>
      </c>
      <c r="I742">
        <f ca="1">'Fuel Costs'!$F176*I372</f>
        <v>0</v>
      </c>
      <c r="J742">
        <f ca="1">'Fuel Costs'!$F176*J372</f>
        <v>0</v>
      </c>
      <c r="K742">
        <f ca="1">'Fuel Costs'!$F176*K372</f>
        <v>0</v>
      </c>
      <c r="L742">
        <f ca="1">'Fuel Costs'!$F176*L372</f>
        <v>0</v>
      </c>
      <c r="M742">
        <f ca="1">'Fuel Costs'!$F176*M372</f>
        <v>0</v>
      </c>
      <c r="N742">
        <f ca="1">'Fuel Costs'!$F176*N372</f>
        <v>0</v>
      </c>
      <c r="O742">
        <f ca="1">'Fuel Costs'!$F176*O372</f>
        <v>0</v>
      </c>
      <c r="P742">
        <f ca="1">'Fuel Costs'!$F176*P372</f>
        <v>0</v>
      </c>
      <c r="Q742">
        <f ca="1">'Fuel Costs'!$F176*Q372</f>
        <v>0</v>
      </c>
      <c r="R742">
        <f ca="1">'Fuel Costs'!$F176*R372</f>
        <v>0</v>
      </c>
      <c r="S742">
        <f ca="1">'Fuel Costs'!$F176*S372</f>
        <v>0</v>
      </c>
      <c r="T742">
        <f ca="1">'Fuel Costs'!$F176*T372</f>
        <v>0</v>
      </c>
      <c r="U742">
        <f ca="1">'Fuel Costs'!$F176*U372</f>
        <v>0</v>
      </c>
      <c r="V742">
        <f ca="1">'Fuel Costs'!$F176*V372</f>
        <v>0</v>
      </c>
      <c r="W742">
        <f ca="1">'Fuel Costs'!$F176*W372</f>
        <v>0</v>
      </c>
      <c r="X742">
        <f ca="1">'Fuel Costs'!$F176*X372</f>
        <v>0</v>
      </c>
      <c r="Y742">
        <f ca="1">'Fuel Costs'!$F176*Y372</f>
        <v>0</v>
      </c>
      <c r="Z742">
        <f ca="1">'Fuel Costs'!$F176*Z372</f>
        <v>0</v>
      </c>
      <c r="AA742">
        <f ca="1">'Fuel Costs'!$F176*AA372</f>
        <v>0</v>
      </c>
      <c r="AB742">
        <f ca="1">'Fuel Costs'!$F176*AB372</f>
        <v>0</v>
      </c>
      <c r="AC742">
        <f ca="1">'Fuel Costs'!$F176*AC372</f>
        <v>0</v>
      </c>
    </row>
    <row r="743" spans="3:29">
      <c r="C743" t="str">
        <f t="shared" si="290"/>
        <v>Biomass</v>
      </c>
      <c r="D743">
        <f>'Fuel Costs'!$F177*D373</f>
        <v>0</v>
      </c>
      <c r="E743">
        <f>'Fuel Costs'!$F177*E373</f>
        <v>0</v>
      </c>
      <c r="F743">
        <f>'Fuel Costs'!$F177*F373</f>
        <v>0</v>
      </c>
      <c r="G743">
        <f>'Fuel Costs'!$F177*G373</f>
        <v>0</v>
      </c>
      <c r="H743">
        <f>'Fuel Costs'!$F177*H373</f>
        <v>0</v>
      </c>
      <c r="I743">
        <f ca="1">'Fuel Costs'!$F177*I373</f>
        <v>0</v>
      </c>
      <c r="J743">
        <f ca="1">'Fuel Costs'!$F177*J373</f>
        <v>0</v>
      </c>
      <c r="K743">
        <f ca="1">'Fuel Costs'!$F177*K373</f>
        <v>0</v>
      </c>
      <c r="L743">
        <f ca="1">'Fuel Costs'!$F177*L373</f>
        <v>0</v>
      </c>
      <c r="M743">
        <f ca="1">'Fuel Costs'!$F177*M373</f>
        <v>0</v>
      </c>
      <c r="N743">
        <f ca="1">'Fuel Costs'!$F177*N373</f>
        <v>0</v>
      </c>
      <c r="O743">
        <f ca="1">'Fuel Costs'!$F177*O373</f>
        <v>0</v>
      </c>
      <c r="P743">
        <f ca="1">'Fuel Costs'!$F177*P373</f>
        <v>0</v>
      </c>
      <c r="Q743">
        <f ca="1">'Fuel Costs'!$F177*Q373</f>
        <v>0</v>
      </c>
      <c r="R743">
        <f ca="1">'Fuel Costs'!$F177*R373</f>
        <v>0</v>
      </c>
      <c r="S743">
        <f ca="1">'Fuel Costs'!$F177*S373</f>
        <v>0</v>
      </c>
      <c r="T743">
        <f ca="1">'Fuel Costs'!$F177*T373</f>
        <v>0</v>
      </c>
      <c r="U743">
        <f ca="1">'Fuel Costs'!$F177*U373</f>
        <v>0</v>
      </c>
      <c r="V743">
        <f ca="1">'Fuel Costs'!$F177*V373</f>
        <v>0</v>
      </c>
      <c r="W743">
        <f ca="1">'Fuel Costs'!$F177*W373</f>
        <v>0</v>
      </c>
      <c r="X743">
        <f ca="1">'Fuel Costs'!$F177*X373</f>
        <v>0</v>
      </c>
      <c r="Y743">
        <f ca="1">'Fuel Costs'!$F177*Y373</f>
        <v>0</v>
      </c>
      <c r="Z743">
        <f ca="1">'Fuel Costs'!$F177*Z373</f>
        <v>0</v>
      </c>
      <c r="AA743">
        <f ca="1">'Fuel Costs'!$F177*AA373</f>
        <v>0</v>
      </c>
      <c r="AB743">
        <f ca="1">'Fuel Costs'!$F177*AB373</f>
        <v>0</v>
      </c>
      <c r="AC743">
        <f ca="1">'Fuel Costs'!$F177*AC373</f>
        <v>0</v>
      </c>
    </row>
    <row r="744" spans="3:29">
      <c r="C744" t="str">
        <f t="shared" si="290"/>
        <v>Supercritical coal</v>
      </c>
      <c r="D744">
        <f>'Fuel Costs'!$F178*D374</f>
        <v>0</v>
      </c>
      <c r="E744">
        <f>'Fuel Costs'!$F178*E374</f>
        <v>0</v>
      </c>
      <c r="F744">
        <f>'Fuel Costs'!$F178*F374</f>
        <v>0</v>
      </c>
      <c r="G744">
        <f>'Fuel Costs'!$F178*G374</f>
        <v>0</v>
      </c>
      <c r="H744">
        <f>'Fuel Costs'!$F178*H374</f>
        <v>0</v>
      </c>
      <c r="I744">
        <f ca="1">'Fuel Costs'!$F178*I374</f>
        <v>0</v>
      </c>
      <c r="J744">
        <f ca="1">'Fuel Costs'!$F178*J374</f>
        <v>0</v>
      </c>
      <c r="K744">
        <f ca="1">'Fuel Costs'!$F178*K374</f>
        <v>2.3015170184437203E-5</v>
      </c>
      <c r="L744">
        <f ca="1">'Fuel Costs'!$F178*L374</f>
        <v>6.904551055331161E-5</v>
      </c>
      <c r="M744">
        <f ca="1">'Fuel Costs'!$F178*M374</f>
        <v>1.8735465790965534E-4</v>
      </c>
      <c r="N744">
        <f ca="1">'Fuel Costs'!$F178*N374</f>
        <v>3.0043770554771441E-4</v>
      </c>
      <c r="O744">
        <f ca="1">'Fuel Costs'!$F178*O374</f>
        <v>4.2088503677525983E-4</v>
      </c>
      <c r="P744">
        <f ca="1">'Fuel Costs'!$F178*P374</f>
        <v>5.3936971822151475E-4</v>
      </c>
      <c r="Q744">
        <f ca="1">'Fuel Costs'!$F178*Q374</f>
        <v>6.6464637457848039E-4</v>
      </c>
      <c r="R744">
        <f ca="1">'Fuel Costs'!$F178*R374</f>
        <v>7.9573828954668355E-4</v>
      </c>
      <c r="S744">
        <f ca="1">'Fuel Costs'!$F178*S374</f>
        <v>9.5333387931054723E-4</v>
      </c>
      <c r="T744">
        <f ca="1">'Fuel Costs'!$F178*T374</f>
        <v>1.1177623979426157E-3</v>
      </c>
      <c r="U744">
        <f ca="1">'Fuel Costs'!$F178*U374</f>
        <v>1.2569540316144066E-3</v>
      </c>
      <c r="V744">
        <f ca="1">'Fuel Costs'!$F178*V374</f>
        <v>1.4031202307794558E-3</v>
      </c>
      <c r="W744">
        <f ca="1">'Fuel Costs'!$F178*W374</f>
        <v>1.6752407484115057E-3</v>
      </c>
      <c r="X744">
        <f ca="1">'Fuel Costs'!$F178*X374</f>
        <v>1.9667238065344079E-3</v>
      </c>
      <c r="Y744">
        <f ca="1">'Fuel Costs'!$F178*Y374</f>
        <v>2.2979502477200502E-3</v>
      </c>
      <c r="Z744">
        <f ca="1">'Fuel Costs'!$F178*Z374</f>
        <v>2.6266457978613403E-3</v>
      </c>
      <c r="AA744">
        <f ca="1">'Fuel Costs'!$F178*AA374</f>
        <v>2.9920997303769874E-3</v>
      </c>
      <c r="AB744">
        <f ca="1">'Fuel Costs'!$F178*AB374</f>
        <v>3.5376172563032441E-3</v>
      </c>
      <c r="AC744">
        <f ca="1">'Fuel Costs'!$F178*AC374</f>
        <v>3.8594064000832696E-3</v>
      </c>
    </row>
    <row r="745" spans="3:29">
      <c r="C745" t="str">
        <f t="shared" si="290"/>
        <v xml:space="preserve">Wind 30% </v>
      </c>
      <c r="D745">
        <f>'Fuel Costs'!$F179*D375</f>
        <v>0</v>
      </c>
      <c r="E745">
        <f>'Fuel Costs'!$F179*E375</f>
        <v>0</v>
      </c>
      <c r="F745">
        <f>'Fuel Costs'!$F179*F375</f>
        <v>0</v>
      </c>
      <c r="G745">
        <f>'Fuel Costs'!$F179*G375</f>
        <v>0</v>
      </c>
      <c r="H745">
        <f>'Fuel Costs'!$F179*H375</f>
        <v>0</v>
      </c>
      <c r="I745">
        <f ca="1">'Fuel Costs'!$F179*I375</f>
        <v>0</v>
      </c>
      <c r="J745">
        <f ca="1">'Fuel Costs'!$F179*J375</f>
        <v>0</v>
      </c>
      <c r="K745">
        <f ca="1">'Fuel Costs'!$F179*K375</f>
        <v>0</v>
      </c>
      <c r="L745">
        <f ca="1">'Fuel Costs'!$F179*L375</f>
        <v>0</v>
      </c>
      <c r="M745">
        <f ca="1">'Fuel Costs'!$F179*M375</f>
        <v>0</v>
      </c>
      <c r="N745">
        <f ca="1">'Fuel Costs'!$F179*N375</f>
        <v>0</v>
      </c>
      <c r="O745">
        <f ca="1">'Fuel Costs'!$F179*O375</f>
        <v>0</v>
      </c>
      <c r="P745">
        <f ca="1">'Fuel Costs'!$F179*P375</f>
        <v>0</v>
      </c>
      <c r="Q745">
        <f ca="1">'Fuel Costs'!$F179*Q375</f>
        <v>0</v>
      </c>
      <c r="R745">
        <f ca="1">'Fuel Costs'!$F179*R375</f>
        <v>0</v>
      </c>
      <c r="S745">
        <f ca="1">'Fuel Costs'!$F179*S375</f>
        <v>0</v>
      </c>
      <c r="T745">
        <f ca="1">'Fuel Costs'!$F179*T375</f>
        <v>0</v>
      </c>
      <c r="U745">
        <f ca="1">'Fuel Costs'!$F179*U375</f>
        <v>0</v>
      </c>
      <c r="V745">
        <f ca="1">'Fuel Costs'!$F179*V375</f>
        <v>0</v>
      </c>
      <c r="W745">
        <f ca="1">'Fuel Costs'!$F179*W375</f>
        <v>0</v>
      </c>
      <c r="X745">
        <f ca="1">'Fuel Costs'!$F179*X375</f>
        <v>0</v>
      </c>
      <c r="Y745">
        <f ca="1">'Fuel Costs'!$F179*Y375</f>
        <v>0</v>
      </c>
      <c r="Z745">
        <f ca="1">'Fuel Costs'!$F179*Z375</f>
        <v>0</v>
      </c>
      <c r="AA745">
        <f ca="1">'Fuel Costs'!$F179*AA375</f>
        <v>0</v>
      </c>
      <c r="AB745">
        <f ca="1">'Fuel Costs'!$F179*AB375</f>
        <v>0</v>
      </c>
      <c r="AC745">
        <f ca="1">'Fuel Costs'!$F179*AC375</f>
        <v>0</v>
      </c>
    </row>
    <row r="746" spans="3:29">
      <c r="C746" t="str">
        <f t="shared" si="290"/>
        <v>Wind 25%</v>
      </c>
      <c r="D746">
        <f>'Fuel Costs'!$F180*D376</f>
        <v>0</v>
      </c>
      <c r="E746">
        <f>'Fuel Costs'!$F180*E376</f>
        <v>0</v>
      </c>
      <c r="F746">
        <f>'Fuel Costs'!$F180*F376</f>
        <v>0</v>
      </c>
      <c r="G746">
        <f>'Fuel Costs'!$F180*G376</f>
        <v>0</v>
      </c>
      <c r="H746">
        <f>'Fuel Costs'!$F180*H376</f>
        <v>0</v>
      </c>
      <c r="I746">
        <f ca="1">'Fuel Costs'!$F180*I376</f>
        <v>0</v>
      </c>
      <c r="J746">
        <f ca="1">'Fuel Costs'!$F180*J376</f>
        <v>0</v>
      </c>
      <c r="K746">
        <f ca="1">'Fuel Costs'!$F180*K376</f>
        <v>0</v>
      </c>
      <c r="L746">
        <f ca="1">'Fuel Costs'!$F180*L376</f>
        <v>0</v>
      </c>
      <c r="M746">
        <f ca="1">'Fuel Costs'!$F180*M376</f>
        <v>0</v>
      </c>
      <c r="N746">
        <f ca="1">'Fuel Costs'!$F180*N376</f>
        <v>0</v>
      </c>
      <c r="O746">
        <f ca="1">'Fuel Costs'!$F180*O376</f>
        <v>0</v>
      </c>
      <c r="P746">
        <f ca="1">'Fuel Costs'!$F180*P376</f>
        <v>0</v>
      </c>
      <c r="Q746">
        <f ca="1">'Fuel Costs'!$F180*Q376</f>
        <v>0</v>
      </c>
      <c r="R746">
        <f ca="1">'Fuel Costs'!$F180*R376</f>
        <v>0</v>
      </c>
      <c r="S746">
        <f ca="1">'Fuel Costs'!$F180*S376</f>
        <v>0</v>
      </c>
      <c r="T746">
        <f ca="1">'Fuel Costs'!$F180*T376</f>
        <v>0</v>
      </c>
      <c r="U746">
        <f ca="1">'Fuel Costs'!$F180*U376</f>
        <v>0</v>
      </c>
      <c r="V746">
        <f ca="1">'Fuel Costs'!$F180*V376</f>
        <v>0</v>
      </c>
      <c r="W746">
        <f ca="1">'Fuel Costs'!$F180*W376</f>
        <v>0</v>
      </c>
      <c r="X746">
        <f ca="1">'Fuel Costs'!$F180*X376</f>
        <v>0</v>
      </c>
      <c r="Y746">
        <f ca="1">'Fuel Costs'!$F180*Y376</f>
        <v>0</v>
      </c>
      <c r="Z746">
        <f ca="1">'Fuel Costs'!$F180*Z376</f>
        <v>0</v>
      </c>
      <c r="AA746">
        <f ca="1">'Fuel Costs'!$F180*AA376</f>
        <v>0</v>
      </c>
      <c r="AB746">
        <f ca="1">'Fuel Costs'!$F180*AB376</f>
        <v>0</v>
      </c>
      <c r="AC746">
        <f ca="1">'Fuel Costs'!$F180*AC376</f>
        <v>0</v>
      </c>
    </row>
    <row r="747" spans="3:29">
      <c r="C747" t="str">
        <f t="shared" si="290"/>
        <v>solar thermal central reciever</v>
      </c>
      <c r="D747">
        <f>'Fuel Costs'!$F181*D377</f>
        <v>0</v>
      </c>
      <c r="E747">
        <f>'Fuel Costs'!$F181*E377</f>
        <v>0</v>
      </c>
      <c r="F747">
        <f>'Fuel Costs'!$F181*F377</f>
        <v>0</v>
      </c>
      <c r="G747">
        <f>'Fuel Costs'!$F181*G377</f>
        <v>0</v>
      </c>
      <c r="H747">
        <f>'Fuel Costs'!$F181*H377</f>
        <v>0</v>
      </c>
      <c r="I747">
        <f ca="1">'Fuel Costs'!$F181*I377</f>
        <v>0</v>
      </c>
      <c r="J747">
        <f ca="1">'Fuel Costs'!$F181*J377</f>
        <v>0</v>
      </c>
      <c r="K747">
        <f ca="1">'Fuel Costs'!$F181*K377</f>
        <v>0</v>
      </c>
      <c r="L747">
        <f ca="1">'Fuel Costs'!$F181*L377</f>
        <v>0</v>
      </c>
      <c r="M747">
        <f ca="1">'Fuel Costs'!$F181*M377</f>
        <v>0</v>
      </c>
      <c r="N747">
        <f ca="1">'Fuel Costs'!$F181*N377</f>
        <v>0</v>
      </c>
      <c r="O747">
        <f ca="1">'Fuel Costs'!$F181*O377</f>
        <v>0</v>
      </c>
      <c r="P747">
        <f ca="1">'Fuel Costs'!$F181*P377</f>
        <v>0</v>
      </c>
      <c r="Q747">
        <f ca="1">'Fuel Costs'!$F181*Q377</f>
        <v>0</v>
      </c>
      <c r="R747">
        <f ca="1">'Fuel Costs'!$F181*R377</f>
        <v>0</v>
      </c>
      <c r="S747">
        <f ca="1">'Fuel Costs'!$F181*S377</f>
        <v>0</v>
      </c>
      <c r="T747">
        <f ca="1">'Fuel Costs'!$F181*T377</f>
        <v>0</v>
      </c>
      <c r="U747">
        <f ca="1">'Fuel Costs'!$F181*U377</f>
        <v>0</v>
      </c>
      <c r="V747">
        <f ca="1">'Fuel Costs'!$F181*V377</f>
        <v>0</v>
      </c>
      <c r="W747">
        <f ca="1">'Fuel Costs'!$F181*W377</f>
        <v>0</v>
      </c>
      <c r="X747">
        <f ca="1">'Fuel Costs'!$F181*X377</f>
        <v>0</v>
      </c>
      <c r="Y747">
        <f ca="1">'Fuel Costs'!$F181*Y377</f>
        <v>0</v>
      </c>
      <c r="Z747">
        <f ca="1">'Fuel Costs'!$F181*Z377</f>
        <v>0</v>
      </c>
      <c r="AA747">
        <f ca="1">'Fuel Costs'!$F181*AA377</f>
        <v>0</v>
      </c>
      <c r="AB747">
        <f ca="1">'Fuel Costs'!$F181*AB377</f>
        <v>0</v>
      </c>
      <c r="AC747">
        <f ca="1">'Fuel Costs'!$F181*AC377</f>
        <v>0</v>
      </c>
    </row>
    <row r="748" spans="3:29">
      <c r="C748" t="str">
        <f t="shared" si="290"/>
        <v>solar thermal trough</v>
      </c>
      <c r="D748">
        <f>'Fuel Costs'!$F182*D378</f>
        <v>0</v>
      </c>
      <c r="E748">
        <f>'Fuel Costs'!$F182*E378</f>
        <v>0</v>
      </c>
      <c r="F748">
        <f>'Fuel Costs'!$F182*F378</f>
        <v>0</v>
      </c>
      <c r="G748">
        <f>'Fuel Costs'!$F182*G378</f>
        <v>0</v>
      </c>
      <c r="H748">
        <f>'Fuel Costs'!$F182*H378</f>
        <v>0</v>
      </c>
      <c r="I748">
        <f ca="1">'Fuel Costs'!$F182*I378</f>
        <v>0</v>
      </c>
      <c r="J748">
        <f ca="1">'Fuel Costs'!$F182*J378</f>
        <v>0</v>
      </c>
      <c r="K748">
        <f ca="1">'Fuel Costs'!$F182*K378</f>
        <v>0</v>
      </c>
      <c r="L748">
        <f ca="1">'Fuel Costs'!$F182*L378</f>
        <v>0</v>
      </c>
      <c r="M748">
        <f ca="1">'Fuel Costs'!$F182*M378</f>
        <v>0</v>
      </c>
      <c r="N748">
        <f ca="1">'Fuel Costs'!$F182*N378</f>
        <v>0</v>
      </c>
      <c r="O748">
        <f ca="1">'Fuel Costs'!$F182*O378</f>
        <v>0</v>
      </c>
      <c r="P748">
        <f ca="1">'Fuel Costs'!$F182*P378</f>
        <v>0</v>
      </c>
      <c r="Q748">
        <f ca="1">'Fuel Costs'!$F182*Q378</f>
        <v>0</v>
      </c>
      <c r="R748">
        <f ca="1">'Fuel Costs'!$F182*R378</f>
        <v>0</v>
      </c>
      <c r="S748">
        <f ca="1">'Fuel Costs'!$F182*S378</f>
        <v>0</v>
      </c>
      <c r="T748">
        <f ca="1">'Fuel Costs'!$F182*T378</f>
        <v>0</v>
      </c>
      <c r="U748">
        <f ca="1">'Fuel Costs'!$F182*U378</f>
        <v>0</v>
      </c>
      <c r="V748">
        <f ca="1">'Fuel Costs'!$F182*V378</f>
        <v>0</v>
      </c>
      <c r="W748">
        <f ca="1">'Fuel Costs'!$F182*W378</f>
        <v>0</v>
      </c>
      <c r="X748">
        <f ca="1">'Fuel Costs'!$F182*X378</f>
        <v>0</v>
      </c>
      <c r="Y748">
        <f ca="1">'Fuel Costs'!$F182*Y378</f>
        <v>0</v>
      </c>
      <c r="Z748">
        <f ca="1">'Fuel Costs'!$F182*Z378</f>
        <v>0</v>
      </c>
      <c r="AA748">
        <f ca="1">'Fuel Costs'!$F182*AA378</f>
        <v>0</v>
      </c>
      <c r="AB748">
        <f ca="1">'Fuel Costs'!$F182*AB378</f>
        <v>0</v>
      </c>
      <c r="AC748">
        <f ca="1">'Fuel Costs'!$F182*AC378</f>
        <v>0</v>
      </c>
    </row>
    <row r="749" spans="3:29">
      <c r="C749" t="str">
        <f t="shared" si="290"/>
        <v>solar PV</v>
      </c>
      <c r="D749">
        <f>'Fuel Costs'!$F183*D379</f>
        <v>0</v>
      </c>
      <c r="E749">
        <f>'Fuel Costs'!$F183*E379</f>
        <v>0</v>
      </c>
      <c r="F749">
        <f>'Fuel Costs'!$F183*F379</f>
        <v>0</v>
      </c>
      <c r="G749">
        <f>'Fuel Costs'!$F183*G379</f>
        <v>0</v>
      </c>
      <c r="H749">
        <f>'Fuel Costs'!$F183*H379</f>
        <v>0</v>
      </c>
      <c r="I749">
        <f ca="1">'Fuel Costs'!$F183*I379</f>
        <v>0</v>
      </c>
      <c r="J749">
        <f ca="1">'Fuel Costs'!$F183*J379</f>
        <v>0</v>
      </c>
      <c r="K749">
        <f ca="1">'Fuel Costs'!$F183*K379</f>
        <v>0</v>
      </c>
      <c r="L749">
        <f ca="1">'Fuel Costs'!$F183*L379</f>
        <v>0</v>
      </c>
      <c r="M749">
        <f ca="1">'Fuel Costs'!$F183*M379</f>
        <v>0</v>
      </c>
      <c r="N749">
        <f ca="1">'Fuel Costs'!$F183*N379</f>
        <v>0</v>
      </c>
      <c r="O749">
        <f ca="1">'Fuel Costs'!$F183*O379</f>
        <v>0</v>
      </c>
      <c r="P749">
        <f ca="1">'Fuel Costs'!$F183*P379</f>
        <v>0</v>
      </c>
      <c r="Q749">
        <f ca="1">'Fuel Costs'!$F183*Q379</f>
        <v>0</v>
      </c>
      <c r="R749">
        <f ca="1">'Fuel Costs'!$F183*R379</f>
        <v>0</v>
      </c>
      <c r="S749">
        <f ca="1">'Fuel Costs'!$F183*S379</f>
        <v>0</v>
      </c>
      <c r="T749">
        <f ca="1">'Fuel Costs'!$F183*T379</f>
        <v>0</v>
      </c>
      <c r="U749">
        <f ca="1">'Fuel Costs'!$F183*U379</f>
        <v>0</v>
      </c>
      <c r="V749">
        <f ca="1">'Fuel Costs'!$F183*V379</f>
        <v>0</v>
      </c>
      <c r="W749">
        <f ca="1">'Fuel Costs'!$F183*W379</f>
        <v>0</v>
      </c>
      <c r="X749">
        <f ca="1">'Fuel Costs'!$F183*X379</f>
        <v>0</v>
      </c>
      <c r="Y749">
        <f ca="1">'Fuel Costs'!$F183*Y379</f>
        <v>0</v>
      </c>
      <c r="Z749">
        <f ca="1">'Fuel Costs'!$F183*Z379</f>
        <v>0</v>
      </c>
      <c r="AA749">
        <f ca="1">'Fuel Costs'!$F183*AA379</f>
        <v>0</v>
      </c>
      <c r="AB749">
        <f ca="1">'Fuel Costs'!$F183*AB379</f>
        <v>0</v>
      </c>
      <c r="AC749">
        <f ca="1">'Fuel Costs'!$F183*AC379</f>
        <v>0</v>
      </c>
    </row>
    <row r="750" spans="3:29">
      <c r="C750" t="str">
        <f t="shared" si="290"/>
        <v>combined cycle gas</v>
      </c>
      <c r="D750">
        <f>'Fuel Costs'!$F184*D380</f>
        <v>0</v>
      </c>
      <c r="E750">
        <f>'Fuel Costs'!$F184*E380</f>
        <v>0</v>
      </c>
      <c r="F750">
        <f>'Fuel Costs'!$F184*F380</f>
        <v>0</v>
      </c>
      <c r="G750">
        <f>'Fuel Costs'!$F184*G380</f>
        <v>0</v>
      </c>
      <c r="H750">
        <f>'Fuel Costs'!$F184*H380</f>
        <v>0</v>
      </c>
      <c r="I750">
        <f ca="1">'Fuel Costs'!$F184*I380</f>
        <v>0</v>
      </c>
      <c r="J750">
        <f ca="1">'Fuel Costs'!$F184*J380</f>
        <v>0</v>
      </c>
      <c r="K750">
        <f ca="1">'Fuel Costs'!$F184*K380</f>
        <v>0</v>
      </c>
      <c r="L750">
        <f ca="1">'Fuel Costs'!$F184*L380</f>
        <v>0</v>
      </c>
      <c r="M750">
        <f ca="1">'Fuel Costs'!$F184*M380</f>
        <v>0</v>
      </c>
      <c r="N750">
        <f ca="1">'Fuel Costs'!$F184*N380</f>
        <v>0</v>
      </c>
      <c r="O750">
        <f ca="1">'Fuel Costs'!$F184*O380</f>
        <v>0</v>
      </c>
      <c r="P750">
        <f ca="1">'Fuel Costs'!$F184*P380</f>
        <v>0</v>
      </c>
      <c r="Q750">
        <f ca="1">'Fuel Costs'!$F184*Q380</f>
        <v>0</v>
      </c>
      <c r="R750">
        <f ca="1">'Fuel Costs'!$F184*R380</f>
        <v>0</v>
      </c>
      <c r="S750">
        <f ca="1">'Fuel Costs'!$F184*S380</f>
        <v>0</v>
      </c>
      <c r="T750">
        <f ca="1">'Fuel Costs'!$F184*T380</f>
        <v>0</v>
      </c>
      <c r="U750">
        <f ca="1">'Fuel Costs'!$F184*U380</f>
        <v>0</v>
      </c>
      <c r="V750">
        <f ca="1">'Fuel Costs'!$F184*V380</f>
        <v>0</v>
      </c>
      <c r="W750">
        <f ca="1">'Fuel Costs'!$F184*W380</f>
        <v>0</v>
      </c>
      <c r="X750">
        <f ca="1">'Fuel Costs'!$F184*X380</f>
        <v>0</v>
      </c>
      <c r="Y750">
        <f ca="1">'Fuel Costs'!$F184*Y380</f>
        <v>0</v>
      </c>
      <c r="Z750">
        <f ca="1">'Fuel Costs'!$F184*Z380</f>
        <v>0</v>
      </c>
      <c r="AA750">
        <f ca="1">'Fuel Costs'!$F184*AA380</f>
        <v>0</v>
      </c>
      <c r="AB750">
        <f ca="1">'Fuel Costs'!$F184*AB380</f>
        <v>0</v>
      </c>
      <c r="AC750">
        <f ca="1">'Fuel Costs'!$F184*AC380</f>
        <v>0</v>
      </c>
    </row>
    <row r="751" spans="3:29">
      <c r="C751" t="str">
        <f t="shared" si="290"/>
        <v>PBMR</v>
      </c>
      <c r="D751">
        <f>'Fuel Costs'!$F185*D381</f>
        <v>0</v>
      </c>
      <c r="E751">
        <f>'Fuel Costs'!$F185*E381</f>
        <v>0</v>
      </c>
      <c r="F751">
        <f>'Fuel Costs'!$F185*F381</f>
        <v>0</v>
      </c>
      <c r="G751">
        <f>'Fuel Costs'!$F185*G381</f>
        <v>0</v>
      </c>
      <c r="H751">
        <f>'Fuel Costs'!$F185*H381</f>
        <v>0</v>
      </c>
      <c r="I751">
        <f ca="1">'Fuel Costs'!$F185*I381</f>
        <v>0</v>
      </c>
      <c r="J751">
        <f ca="1">'Fuel Costs'!$F185*J381</f>
        <v>0</v>
      </c>
      <c r="K751">
        <f ca="1">'Fuel Costs'!$F185*K381</f>
        <v>0</v>
      </c>
      <c r="L751">
        <f ca="1">'Fuel Costs'!$F185*L381</f>
        <v>0</v>
      </c>
      <c r="M751">
        <f ca="1">'Fuel Costs'!$F185*M381</f>
        <v>0</v>
      </c>
      <c r="N751">
        <f ca="1">'Fuel Costs'!$F185*N381</f>
        <v>0</v>
      </c>
      <c r="O751">
        <f ca="1">'Fuel Costs'!$F185*O381</f>
        <v>0</v>
      </c>
      <c r="P751">
        <f ca="1">'Fuel Costs'!$F185*P381</f>
        <v>0</v>
      </c>
      <c r="Q751">
        <f ca="1">'Fuel Costs'!$F185*Q381</f>
        <v>0</v>
      </c>
      <c r="R751">
        <f ca="1">'Fuel Costs'!$F185*R381</f>
        <v>0</v>
      </c>
      <c r="S751">
        <f ca="1">'Fuel Costs'!$F185*S381</f>
        <v>0</v>
      </c>
      <c r="T751">
        <f ca="1">'Fuel Costs'!$F185*T381</f>
        <v>0</v>
      </c>
      <c r="U751">
        <f ca="1">'Fuel Costs'!$F185*U381</f>
        <v>0</v>
      </c>
      <c r="V751">
        <f ca="1">'Fuel Costs'!$F185*V381</f>
        <v>0</v>
      </c>
      <c r="W751">
        <f ca="1">'Fuel Costs'!$F185*W381</f>
        <v>0</v>
      </c>
      <c r="X751">
        <f ca="1">'Fuel Costs'!$F185*X381</f>
        <v>0</v>
      </c>
      <c r="Y751">
        <f ca="1">'Fuel Costs'!$F185*Y381</f>
        <v>0</v>
      </c>
      <c r="Z751">
        <f ca="1">'Fuel Costs'!$F185*Z381</f>
        <v>0</v>
      </c>
      <c r="AA751">
        <f ca="1">'Fuel Costs'!$F185*AA381</f>
        <v>0</v>
      </c>
      <c r="AB751">
        <f ca="1">'Fuel Costs'!$F185*AB381</f>
        <v>0</v>
      </c>
      <c r="AC751">
        <f ca="1">'Fuel Costs'!$F185*AC381</f>
        <v>0</v>
      </c>
    </row>
    <row r="752" spans="3:29">
      <c r="C752" t="str">
        <f t="shared" si="290"/>
        <v>IGCC</v>
      </c>
      <c r="D752">
        <f>'Fuel Costs'!$F186*D382</f>
        <v>0</v>
      </c>
      <c r="E752">
        <f>'Fuel Costs'!$F186*E382</f>
        <v>3.7677542422898109E-19</v>
      </c>
      <c r="F752">
        <f>'Fuel Costs'!$F186*F382</f>
        <v>0</v>
      </c>
      <c r="G752">
        <f>'Fuel Costs'!$F186*G382</f>
        <v>3.7677542422898109E-19</v>
      </c>
      <c r="H752">
        <f>'Fuel Costs'!$F186*H382</f>
        <v>3.7677542422898109E-19</v>
      </c>
      <c r="I752">
        <f ca="1">'Fuel Costs'!$F186*I382</f>
        <v>0</v>
      </c>
      <c r="J752">
        <f ca="1">'Fuel Costs'!$F186*J382</f>
        <v>0</v>
      </c>
      <c r="K752">
        <f ca="1">'Fuel Costs'!$F186*K382</f>
        <v>0</v>
      </c>
      <c r="L752">
        <f ca="1">'Fuel Costs'!$F186*L382</f>
        <v>0</v>
      </c>
      <c r="M752">
        <f ca="1">'Fuel Costs'!$F186*M382</f>
        <v>0</v>
      </c>
      <c r="N752">
        <f ca="1">'Fuel Costs'!$F186*N382</f>
        <v>0</v>
      </c>
      <c r="O752">
        <f ca="1">'Fuel Costs'!$F186*O382</f>
        <v>0</v>
      </c>
      <c r="P752">
        <f ca="1">'Fuel Costs'!$F186*P382</f>
        <v>0</v>
      </c>
      <c r="Q752">
        <f ca="1">'Fuel Costs'!$F186*Q382</f>
        <v>0</v>
      </c>
      <c r="R752">
        <f ca="1">'Fuel Costs'!$F186*R382</f>
        <v>0</v>
      </c>
      <c r="S752">
        <f ca="1">'Fuel Costs'!$F186*S382</f>
        <v>0</v>
      </c>
      <c r="T752">
        <f ca="1">'Fuel Costs'!$F186*T382</f>
        <v>0</v>
      </c>
      <c r="U752">
        <f ca="1">'Fuel Costs'!$F186*U382</f>
        <v>0</v>
      </c>
      <c r="V752">
        <f ca="1">'Fuel Costs'!$F186*V382</f>
        <v>0</v>
      </c>
      <c r="W752">
        <f ca="1">'Fuel Costs'!$F186*W382</f>
        <v>0</v>
      </c>
      <c r="X752">
        <f ca="1">'Fuel Costs'!$F186*X382</f>
        <v>0</v>
      </c>
      <c r="Y752">
        <f ca="1">'Fuel Costs'!$F186*Y382</f>
        <v>0</v>
      </c>
      <c r="Z752">
        <f ca="1">'Fuel Costs'!$F186*Z382</f>
        <v>0</v>
      </c>
      <c r="AA752">
        <f ca="1">'Fuel Costs'!$F186*AA382</f>
        <v>0</v>
      </c>
      <c r="AB752">
        <f ca="1">'Fuel Costs'!$F186*AB382</f>
        <v>0</v>
      </c>
      <c r="AC752">
        <f ca="1">'Fuel Costs'!$F186*AC382</f>
        <v>0</v>
      </c>
    </row>
    <row r="753" spans="3:29">
      <c r="C753" t="str">
        <f t="shared" si="290"/>
        <v>-</v>
      </c>
      <c r="D753">
        <f>'Fuel Costs'!$F187*D383</f>
        <v>0</v>
      </c>
      <c r="E753">
        <f>'Fuel Costs'!$F187*E383</f>
        <v>0</v>
      </c>
      <c r="F753">
        <f>'Fuel Costs'!$F187*F383</f>
        <v>0</v>
      </c>
      <c r="G753">
        <f>'Fuel Costs'!$F187*G383</f>
        <v>0</v>
      </c>
      <c r="H753">
        <f>'Fuel Costs'!$F187*H383</f>
        <v>0</v>
      </c>
      <c r="I753">
        <f ca="1">'Fuel Costs'!$F187*I383</f>
        <v>0</v>
      </c>
      <c r="J753">
        <f ca="1">'Fuel Costs'!$F187*J383</f>
        <v>0</v>
      </c>
      <c r="K753">
        <f ca="1">'Fuel Costs'!$F187*K383</f>
        <v>0</v>
      </c>
      <c r="L753">
        <f ca="1">'Fuel Costs'!$F187*L383</f>
        <v>0</v>
      </c>
      <c r="M753">
        <f ca="1">'Fuel Costs'!$F187*M383</f>
        <v>0</v>
      </c>
      <c r="N753">
        <f ca="1">'Fuel Costs'!$F187*N383</f>
        <v>0</v>
      </c>
      <c r="O753">
        <f ca="1">'Fuel Costs'!$F187*O383</f>
        <v>0</v>
      </c>
      <c r="P753">
        <f ca="1">'Fuel Costs'!$F187*P383</f>
        <v>0</v>
      </c>
      <c r="Q753">
        <f ca="1">'Fuel Costs'!$F187*Q383</f>
        <v>0</v>
      </c>
      <c r="R753">
        <f ca="1">'Fuel Costs'!$F187*R383</f>
        <v>0</v>
      </c>
      <c r="S753">
        <f ca="1">'Fuel Costs'!$F187*S383</f>
        <v>0</v>
      </c>
      <c r="T753">
        <f ca="1">'Fuel Costs'!$F187*T383</f>
        <v>0</v>
      </c>
      <c r="U753">
        <f ca="1">'Fuel Costs'!$F187*U383</f>
        <v>0</v>
      </c>
      <c r="V753">
        <f ca="1">'Fuel Costs'!$F187*V383</f>
        <v>0</v>
      </c>
      <c r="W753">
        <f ca="1">'Fuel Costs'!$F187*W383</f>
        <v>0</v>
      </c>
      <c r="X753">
        <f ca="1">'Fuel Costs'!$F187*X383</f>
        <v>0</v>
      </c>
      <c r="Y753">
        <f ca="1">'Fuel Costs'!$F187*Y383</f>
        <v>0</v>
      </c>
      <c r="Z753">
        <f ca="1">'Fuel Costs'!$F187*Z383</f>
        <v>0</v>
      </c>
      <c r="AA753">
        <f ca="1">'Fuel Costs'!$F187*AA383</f>
        <v>0</v>
      </c>
      <c r="AB753">
        <f ca="1">'Fuel Costs'!$F187*AB383</f>
        <v>0</v>
      </c>
      <c r="AC753">
        <f ca="1">'Fuel Costs'!$F187*AC383</f>
        <v>0</v>
      </c>
    </row>
    <row r="754" spans="3:29">
      <c r="C754" t="str">
        <f t="shared" si="290"/>
        <v>-</v>
      </c>
      <c r="D754">
        <f>'Fuel Costs'!$F188*D384</f>
        <v>0</v>
      </c>
      <c r="E754">
        <f>'Fuel Costs'!$F188*E384</f>
        <v>0</v>
      </c>
      <c r="F754">
        <f>'Fuel Costs'!$F188*F384</f>
        <v>0</v>
      </c>
      <c r="G754">
        <f>'Fuel Costs'!$F188*G384</f>
        <v>0</v>
      </c>
      <c r="H754">
        <f>'Fuel Costs'!$F188*H384</f>
        <v>0</v>
      </c>
      <c r="I754">
        <f ca="1">'Fuel Costs'!$F188*I384</f>
        <v>0</v>
      </c>
      <c r="J754">
        <f ca="1">'Fuel Costs'!$F188*J384</f>
        <v>0</v>
      </c>
      <c r="K754">
        <f ca="1">'Fuel Costs'!$F188*K384</f>
        <v>0</v>
      </c>
      <c r="L754">
        <f ca="1">'Fuel Costs'!$F188*L384</f>
        <v>0</v>
      </c>
      <c r="M754">
        <f ca="1">'Fuel Costs'!$F188*M384</f>
        <v>0</v>
      </c>
      <c r="N754">
        <f ca="1">'Fuel Costs'!$F188*N384</f>
        <v>0</v>
      </c>
      <c r="O754">
        <f ca="1">'Fuel Costs'!$F188*O384</f>
        <v>0</v>
      </c>
      <c r="P754">
        <f ca="1">'Fuel Costs'!$F188*P384</f>
        <v>0</v>
      </c>
      <c r="Q754">
        <f ca="1">'Fuel Costs'!$F188*Q384</f>
        <v>0</v>
      </c>
      <c r="R754">
        <f ca="1">'Fuel Costs'!$F188*R384</f>
        <v>0</v>
      </c>
      <c r="S754">
        <f ca="1">'Fuel Costs'!$F188*S384</f>
        <v>0</v>
      </c>
      <c r="T754">
        <f ca="1">'Fuel Costs'!$F188*T384</f>
        <v>0</v>
      </c>
      <c r="U754">
        <f ca="1">'Fuel Costs'!$F188*U384</f>
        <v>0</v>
      </c>
      <c r="V754">
        <f ca="1">'Fuel Costs'!$F188*V384</f>
        <v>0</v>
      </c>
      <c r="W754">
        <f ca="1">'Fuel Costs'!$F188*W384</f>
        <v>0</v>
      </c>
      <c r="X754">
        <f ca="1">'Fuel Costs'!$F188*X384</f>
        <v>0</v>
      </c>
      <c r="Y754">
        <f ca="1">'Fuel Costs'!$F188*Y384</f>
        <v>0</v>
      </c>
      <c r="Z754">
        <f ca="1">'Fuel Costs'!$F188*Z384</f>
        <v>0</v>
      </c>
      <c r="AA754">
        <f ca="1">'Fuel Costs'!$F188*AA384</f>
        <v>0</v>
      </c>
      <c r="AB754">
        <f ca="1">'Fuel Costs'!$F188*AB384</f>
        <v>0</v>
      </c>
      <c r="AC754">
        <f ca="1">'Fuel Costs'!$F188*AC384</f>
        <v>0</v>
      </c>
    </row>
    <row r="755" spans="3:29">
      <c r="C755" t="str">
        <f t="shared" si="290"/>
        <v>-</v>
      </c>
      <c r="D755">
        <f>'Fuel Costs'!$F189*D385</f>
        <v>0</v>
      </c>
      <c r="E755">
        <f>'Fuel Costs'!$F189*E385</f>
        <v>0</v>
      </c>
      <c r="F755">
        <f>'Fuel Costs'!$F189*F385</f>
        <v>0</v>
      </c>
      <c r="G755">
        <f>'Fuel Costs'!$F189*G385</f>
        <v>0</v>
      </c>
      <c r="H755">
        <f>'Fuel Costs'!$F189*H385</f>
        <v>0</v>
      </c>
      <c r="I755">
        <f ca="1">'Fuel Costs'!$F189*I385</f>
        <v>0</v>
      </c>
      <c r="J755">
        <f ca="1">'Fuel Costs'!$F189*J385</f>
        <v>0</v>
      </c>
      <c r="K755">
        <f ca="1">'Fuel Costs'!$F189*K385</f>
        <v>0</v>
      </c>
      <c r="L755">
        <f ca="1">'Fuel Costs'!$F189*L385</f>
        <v>0</v>
      </c>
      <c r="M755">
        <f ca="1">'Fuel Costs'!$F189*M385</f>
        <v>0</v>
      </c>
      <c r="N755">
        <f ca="1">'Fuel Costs'!$F189*N385</f>
        <v>0</v>
      </c>
      <c r="O755">
        <f ca="1">'Fuel Costs'!$F189*O385</f>
        <v>0</v>
      </c>
      <c r="P755">
        <f ca="1">'Fuel Costs'!$F189*P385</f>
        <v>0</v>
      </c>
      <c r="Q755">
        <f ca="1">'Fuel Costs'!$F189*Q385</f>
        <v>0</v>
      </c>
      <c r="R755">
        <f ca="1">'Fuel Costs'!$F189*R385</f>
        <v>0</v>
      </c>
      <c r="S755">
        <f ca="1">'Fuel Costs'!$F189*S385</f>
        <v>0</v>
      </c>
      <c r="T755">
        <f ca="1">'Fuel Costs'!$F189*T385</f>
        <v>0</v>
      </c>
      <c r="U755">
        <f ca="1">'Fuel Costs'!$F189*U385</f>
        <v>0</v>
      </c>
      <c r="V755">
        <f ca="1">'Fuel Costs'!$F189*V385</f>
        <v>0</v>
      </c>
      <c r="W755">
        <f ca="1">'Fuel Costs'!$F189*W385</f>
        <v>0</v>
      </c>
      <c r="X755">
        <f ca="1">'Fuel Costs'!$F189*X385</f>
        <v>0</v>
      </c>
      <c r="Y755">
        <f ca="1">'Fuel Costs'!$F189*Y385</f>
        <v>0</v>
      </c>
      <c r="Z755">
        <f ca="1">'Fuel Costs'!$F189*Z385</f>
        <v>0</v>
      </c>
      <c r="AA755">
        <f ca="1">'Fuel Costs'!$F189*AA385</f>
        <v>0</v>
      </c>
      <c r="AB755">
        <f ca="1">'Fuel Costs'!$F189*AB385</f>
        <v>0</v>
      </c>
      <c r="AC755">
        <f ca="1">'Fuel Costs'!$F189*AC385</f>
        <v>0</v>
      </c>
    </row>
    <row r="756" spans="3:29">
      <c r="C756" t="str">
        <f t="shared" si="290"/>
        <v>Pumped storage</v>
      </c>
      <c r="D756">
        <f>'Fuel Costs'!$F190*D386</f>
        <v>0</v>
      </c>
      <c r="E756">
        <f>'Fuel Costs'!$F190*E386</f>
        <v>0</v>
      </c>
      <c r="F756">
        <f>'Fuel Costs'!$F190*F386</f>
        <v>0</v>
      </c>
      <c r="G756">
        <f>'Fuel Costs'!$F190*G386</f>
        <v>0</v>
      </c>
      <c r="H756">
        <f>'Fuel Costs'!$F190*H386</f>
        <v>0</v>
      </c>
      <c r="I756">
        <f ca="1">'Fuel Costs'!$F190*I386</f>
        <v>0</v>
      </c>
      <c r="J756">
        <f ca="1">'Fuel Costs'!$F190*J386</f>
        <v>0</v>
      </c>
      <c r="K756">
        <f ca="1">'Fuel Costs'!$F190*K386</f>
        <v>0</v>
      </c>
      <c r="L756">
        <f ca="1">'Fuel Costs'!$F190*L386</f>
        <v>0</v>
      </c>
      <c r="M756">
        <f ca="1">'Fuel Costs'!$F190*M386</f>
        <v>0</v>
      </c>
      <c r="N756">
        <f ca="1">'Fuel Costs'!$F190*N386</f>
        <v>0</v>
      </c>
      <c r="O756">
        <f ca="1">'Fuel Costs'!$F190*O386</f>
        <v>0</v>
      </c>
      <c r="P756">
        <f ca="1">'Fuel Costs'!$F190*P386</f>
        <v>0</v>
      </c>
      <c r="Q756">
        <f ca="1">'Fuel Costs'!$F190*Q386</f>
        <v>0</v>
      </c>
      <c r="R756">
        <f ca="1">'Fuel Costs'!$F190*R386</f>
        <v>0</v>
      </c>
      <c r="S756">
        <f ca="1">'Fuel Costs'!$F190*S386</f>
        <v>0</v>
      </c>
      <c r="T756">
        <f ca="1">'Fuel Costs'!$F190*T386</f>
        <v>0</v>
      </c>
      <c r="U756">
        <f ca="1">'Fuel Costs'!$F190*U386</f>
        <v>0</v>
      </c>
      <c r="V756">
        <f ca="1">'Fuel Costs'!$F190*V386</f>
        <v>0</v>
      </c>
      <c r="W756">
        <f ca="1">'Fuel Costs'!$F190*W386</f>
        <v>0</v>
      </c>
      <c r="X756">
        <f ca="1">'Fuel Costs'!$F190*X386</f>
        <v>0</v>
      </c>
      <c r="Y756">
        <f ca="1">'Fuel Costs'!$F190*Y386</f>
        <v>0</v>
      </c>
      <c r="Z756">
        <f ca="1">'Fuel Costs'!$F190*Z386</f>
        <v>0</v>
      </c>
      <c r="AA756">
        <f ca="1">'Fuel Costs'!$F190*AA386</f>
        <v>0</v>
      </c>
      <c r="AB756">
        <f ca="1">'Fuel Costs'!$F190*AB386</f>
        <v>0</v>
      </c>
      <c r="AC756">
        <f ca="1">'Fuel Costs'!$F190*AC386</f>
        <v>0</v>
      </c>
    </row>
    <row r="757" spans="3:29">
      <c r="C757" s="4" t="s">
        <v>5</v>
      </c>
      <c r="D757">
        <f t="shared" ref="D757:AC757" si="291">SUM(D737:D756)</f>
        <v>3.1819104687297851E-3</v>
      </c>
      <c r="E757">
        <f t="shared" si="291"/>
        <v>3.1819104687297855E-3</v>
      </c>
      <c r="F757">
        <f t="shared" si="291"/>
        <v>3.2798283535497318E-3</v>
      </c>
      <c r="G757">
        <f t="shared" si="291"/>
        <v>3.313937401059207E-3</v>
      </c>
      <c r="H757">
        <f t="shared" si="291"/>
        <v>3.313937401059207E-3</v>
      </c>
      <c r="I757">
        <f t="shared" ca="1" si="291"/>
        <v>3.412998344843975E-3</v>
      </c>
      <c r="J757">
        <f t="shared" ca="1" si="291"/>
        <v>3.4858076377920046E-3</v>
      </c>
      <c r="K757">
        <f t="shared" ca="1" si="291"/>
        <v>3.5705804535923922E-3</v>
      </c>
      <c r="L757">
        <f t="shared" ca="1" si="291"/>
        <v>3.6739751037592806E-3</v>
      </c>
      <c r="M757">
        <f t="shared" ca="1" si="291"/>
        <v>3.795168668960393E-3</v>
      </c>
      <c r="N757">
        <f t="shared" ca="1" si="291"/>
        <v>3.9082517165984522E-3</v>
      </c>
      <c r="O757">
        <f t="shared" ca="1" si="291"/>
        <v>4.0272840712734879E-3</v>
      </c>
      <c r="P757">
        <f t="shared" ca="1" si="291"/>
        <v>4.1443537761672337E-3</v>
      </c>
      <c r="Q757">
        <f t="shared" ca="1" si="291"/>
        <v>4.2677437971208538E-3</v>
      </c>
      <c r="R757">
        <f t="shared" ca="1" si="291"/>
        <v>4.3969490766857114E-3</v>
      </c>
      <c r="S757">
        <f t="shared" ca="1" si="291"/>
        <v>4.5186985937860054E-3</v>
      </c>
      <c r="T757">
        <f t="shared" ca="1" si="291"/>
        <v>4.647281039754504E-3</v>
      </c>
      <c r="U757">
        <f t="shared" ca="1" si="291"/>
        <v>4.7864726734262956E-3</v>
      </c>
      <c r="V757">
        <f t="shared" ca="1" si="291"/>
        <v>4.9339768400127942E-3</v>
      </c>
      <c r="W757">
        <f t="shared" ca="1" si="291"/>
        <v>5.0805677076040424E-3</v>
      </c>
      <c r="X757">
        <f t="shared" ca="1" si="291"/>
        <v>5.2300046708606308E-3</v>
      </c>
      <c r="Y757">
        <f t="shared" ca="1" si="291"/>
        <v>5.3891405720912101E-3</v>
      </c>
      <c r="Z757">
        <f t="shared" ca="1" si="291"/>
        <v>5.5609240596814968E-3</v>
      </c>
      <c r="AA757">
        <f t="shared" ca="1" si="291"/>
        <v>5.7364318112143528E-3</v>
      </c>
      <c r="AB757">
        <f t="shared" ca="1" si="291"/>
        <v>5.9033949425964759E-3</v>
      </c>
      <c r="AC757">
        <f t="shared" ca="1" si="291"/>
        <v>6.0349201381311134E-3</v>
      </c>
    </row>
    <row r="759" spans="3:29">
      <c r="C759" s="4" t="s">
        <v>151</v>
      </c>
    </row>
    <row r="760" spans="3:29">
      <c r="C760" t="str">
        <f>C8</f>
        <v>Existing coal Large</v>
      </c>
      <c r="D760">
        <f t="shared" ref="D760:D779" si="292">D691+21*D714+310*D737</f>
        <v>205.31813431055303</v>
      </c>
      <c r="E760">
        <f t="shared" ref="E760:AC770" si="293">E691+21*E714+310*E737</f>
        <v>205.31813431055303</v>
      </c>
      <c r="F760">
        <f t="shared" si="293"/>
        <v>212.08181220449086</v>
      </c>
      <c r="G760">
        <f t="shared" si="293"/>
        <v>214.43789466120785</v>
      </c>
      <c r="H760">
        <f t="shared" si="293"/>
        <v>214.43789466120785</v>
      </c>
      <c r="I760">
        <f t="shared" ca="1" si="293"/>
        <v>219.50036716210047</v>
      </c>
      <c r="J760">
        <f t="shared" ca="1" si="293"/>
        <v>223.33805865190286</v>
      </c>
      <c r="K760">
        <f t="shared" ca="1" si="293"/>
        <v>227.60396802282463</v>
      </c>
      <c r="L760">
        <f t="shared" ca="1" si="293"/>
        <v>231.56640772212245</v>
      </c>
      <c r="M760">
        <f t="shared" ca="1" si="293"/>
        <v>231.76564888474982</v>
      </c>
      <c r="N760">
        <f t="shared" ca="1" si="293"/>
        <v>231.76564888474982</v>
      </c>
      <c r="O760">
        <f t="shared" ca="1" si="293"/>
        <v>231.76564888474982</v>
      </c>
      <c r="P760">
        <f t="shared" ca="1" si="293"/>
        <v>231.76564888474982</v>
      </c>
      <c r="Q760">
        <f t="shared" ca="1" si="293"/>
        <v>231.76564888474982</v>
      </c>
      <c r="R760">
        <f t="shared" ca="1" si="293"/>
        <v>231.76564888474982</v>
      </c>
      <c r="S760">
        <f t="shared" ca="1" si="293"/>
        <v>231.76564888474982</v>
      </c>
      <c r="T760">
        <f t="shared" ca="1" si="293"/>
        <v>231.76564888474982</v>
      </c>
      <c r="U760">
        <f t="shared" ca="1" si="293"/>
        <v>231.76564888474982</v>
      </c>
      <c r="V760">
        <f t="shared" ca="1" si="293"/>
        <v>231.76564888474982</v>
      </c>
      <c r="W760">
        <f t="shared" ca="1" si="293"/>
        <v>223.09468830818147</v>
      </c>
      <c r="X760">
        <f t="shared" ca="1" si="293"/>
        <v>214.42372773161313</v>
      </c>
      <c r="Y760">
        <f t="shared" ca="1" si="293"/>
        <v>203.58502701090265</v>
      </c>
      <c r="Z760">
        <f t="shared" ca="1" si="293"/>
        <v>192.74632629019214</v>
      </c>
      <c r="AA760">
        <f t="shared" ca="1" si="293"/>
        <v>179.62579383880583</v>
      </c>
      <c r="AB760">
        <f t="shared" ca="1" si="293"/>
        <v>153.3847289360331</v>
      </c>
      <c r="AC760">
        <f t="shared" ca="1" si="293"/>
        <v>140.26419648464673</v>
      </c>
    </row>
    <row r="761" spans="3:29">
      <c r="C761" t="str">
        <f t="shared" ref="C761:C779" si="294">C9</f>
        <v>Existing coal Small</v>
      </c>
      <c r="D761">
        <f t="shared" si="292"/>
        <v>14.164264318167939</v>
      </c>
      <c r="E761">
        <f t="shared" ref="E761:S761" si="295">E692+21*E715+310*E738</f>
        <v>14.164264318167939</v>
      </c>
      <c r="F761">
        <f t="shared" si="295"/>
        <v>14.164264318167939</v>
      </c>
      <c r="G761">
        <f t="shared" si="295"/>
        <v>14.164264318167939</v>
      </c>
      <c r="H761">
        <f t="shared" si="295"/>
        <v>14.164264318167939</v>
      </c>
      <c r="I761">
        <f t="shared" ca="1" si="295"/>
        <v>15.944426509208181</v>
      </c>
      <c r="J761">
        <f t="shared" ca="1" si="295"/>
        <v>16.997406780335936</v>
      </c>
      <c r="K761">
        <f t="shared" ca="1" si="295"/>
        <v>16.997406780335936</v>
      </c>
      <c r="L761">
        <f t="shared" ca="1" si="295"/>
        <v>16.997406780335936</v>
      </c>
      <c r="M761">
        <f t="shared" ca="1" si="295"/>
        <v>16.997406780335936</v>
      </c>
      <c r="N761">
        <f t="shared" ca="1" si="295"/>
        <v>16.997406780335936</v>
      </c>
      <c r="O761">
        <f t="shared" ca="1" si="295"/>
        <v>16.899667274971357</v>
      </c>
      <c r="P761">
        <f t="shared" ca="1" si="295"/>
        <v>16.801927769606777</v>
      </c>
      <c r="Q761">
        <f t="shared" ca="1" si="295"/>
        <v>16.671608429120667</v>
      </c>
      <c r="R761">
        <f t="shared" ca="1" si="295"/>
        <v>16.54128908863456</v>
      </c>
      <c r="S761">
        <f t="shared" ca="1" si="295"/>
        <v>14.065221619398496</v>
      </c>
      <c r="T761">
        <f t="shared" ca="1" si="293"/>
        <v>11.589154150162432</v>
      </c>
      <c r="U761">
        <f t="shared" ca="1" si="293"/>
        <v>11.589154150162432</v>
      </c>
      <c r="V761">
        <f t="shared" ca="1" si="293"/>
        <v>11.589154150162432</v>
      </c>
      <c r="W761">
        <f t="shared" ca="1" si="293"/>
        <v>11.589154150162432</v>
      </c>
      <c r="X761">
        <f t="shared" ca="1" si="293"/>
        <v>10.448280723840154</v>
      </c>
      <c r="Y761">
        <f t="shared" ca="1" si="293"/>
        <v>9.3074072975178783</v>
      </c>
      <c r="Z761">
        <f t="shared" ca="1" si="293"/>
        <v>9.3074072975178783</v>
      </c>
      <c r="AA761">
        <f t="shared" ca="1" si="293"/>
        <v>9.3074072975178783</v>
      </c>
      <c r="AB761">
        <f t="shared" ca="1" si="293"/>
        <v>9.3074072975178783</v>
      </c>
      <c r="AC761">
        <f t="shared" ca="1" si="293"/>
        <v>9.3074072975178783</v>
      </c>
    </row>
    <row r="762" spans="3:29">
      <c r="C762" t="str">
        <f t="shared" si="294"/>
        <v>OCGT liquid fuels</v>
      </c>
      <c r="D762">
        <f t="shared" si="292"/>
        <v>0.55239991945704037</v>
      </c>
      <c r="E762">
        <f t="shared" si="293"/>
        <v>0.55239991945704037</v>
      </c>
      <c r="F762">
        <f t="shared" si="293"/>
        <v>0.55239991945704037</v>
      </c>
      <c r="G762">
        <f t="shared" si="293"/>
        <v>0.55239991945704037</v>
      </c>
      <c r="H762">
        <f t="shared" si="293"/>
        <v>0.55239991945704037</v>
      </c>
      <c r="I762">
        <f t="shared" ca="1" si="293"/>
        <v>0.55239991945704037</v>
      </c>
      <c r="J762">
        <f t="shared" ca="1" si="293"/>
        <v>0.80097988321270841</v>
      </c>
      <c r="K762">
        <f t="shared" ca="1" si="293"/>
        <v>0.80097988321270841</v>
      </c>
      <c r="L762">
        <f t="shared" ca="1" si="293"/>
        <v>0.80097988321270841</v>
      </c>
      <c r="M762">
        <f t="shared" ca="1" si="293"/>
        <v>0.80097988321270841</v>
      </c>
      <c r="N762">
        <f t="shared" ca="1" si="293"/>
        <v>0.80097988321270841</v>
      </c>
      <c r="O762">
        <f t="shared" ca="1" si="293"/>
        <v>0.80097988321270841</v>
      </c>
      <c r="P762">
        <f t="shared" ca="1" si="293"/>
        <v>0.80097988321270841</v>
      </c>
      <c r="Q762">
        <f t="shared" ca="1" si="293"/>
        <v>0.80097988321270841</v>
      </c>
      <c r="R762">
        <f t="shared" ca="1" si="293"/>
        <v>0.80097988321270841</v>
      </c>
      <c r="S762">
        <f t="shared" ca="1" si="293"/>
        <v>0.80097988321270841</v>
      </c>
      <c r="T762">
        <f t="shared" ca="1" si="293"/>
        <v>0.80097988321270841</v>
      </c>
      <c r="U762">
        <f t="shared" ca="1" si="293"/>
        <v>0.80097988321270841</v>
      </c>
      <c r="V762">
        <f t="shared" ca="1" si="293"/>
        <v>0.96669985904982081</v>
      </c>
      <c r="W762">
        <f t="shared" ca="1" si="293"/>
        <v>0.96669985904982081</v>
      </c>
      <c r="X762">
        <f t="shared" ca="1" si="293"/>
        <v>0.96669985904982081</v>
      </c>
      <c r="Y762">
        <f t="shared" ca="1" si="293"/>
        <v>1.1324198348869328</v>
      </c>
      <c r="Z762">
        <f t="shared" ca="1" si="293"/>
        <v>1.1324198348869328</v>
      </c>
      <c r="AA762">
        <f t="shared" ca="1" si="293"/>
        <v>1.1324198348869328</v>
      </c>
      <c r="AB762">
        <f t="shared" ca="1" si="293"/>
        <v>1.2981398107240447</v>
      </c>
      <c r="AC762">
        <f t="shared" ca="1" si="293"/>
        <v>1.2587813164627306</v>
      </c>
    </row>
    <row r="763" spans="3:29">
      <c r="C763" t="str">
        <f t="shared" si="294"/>
        <v>PWR nuclear</v>
      </c>
      <c r="D763">
        <f t="shared" si="292"/>
        <v>0</v>
      </c>
      <c r="E763">
        <f t="shared" si="293"/>
        <v>0</v>
      </c>
      <c r="F763">
        <f t="shared" si="293"/>
        <v>0</v>
      </c>
      <c r="G763">
        <f t="shared" si="293"/>
        <v>0</v>
      </c>
      <c r="H763">
        <f t="shared" si="293"/>
        <v>0</v>
      </c>
      <c r="I763">
        <f t="shared" ca="1" si="293"/>
        <v>0</v>
      </c>
      <c r="J763">
        <f t="shared" ca="1" si="293"/>
        <v>0</v>
      </c>
      <c r="K763">
        <f t="shared" ca="1" si="293"/>
        <v>0</v>
      </c>
      <c r="L763">
        <f t="shared" ca="1" si="293"/>
        <v>0</v>
      </c>
      <c r="M763">
        <f t="shared" ca="1" si="293"/>
        <v>0</v>
      </c>
      <c r="N763">
        <f t="shared" ca="1" si="293"/>
        <v>0</v>
      </c>
      <c r="O763">
        <f t="shared" ca="1" si="293"/>
        <v>0</v>
      </c>
      <c r="P763">
        <f t="shared" ca="1" si="293"/>
        <v>0</v>
      </c>
      <c r="Q763">
        <f t="shared" ca="1" si="293"/>
        <v>0</v>
      </c>
      <c r="R763">
        <f t="shared" ca="1" si="293"/>
        <v>0</v>
      </c>
      <c r="S763">
        <f t="shared" ca="1" si="293"/>
        <v>0</v>
      </c>
      <c r="T763">
        <f t="shared" ca="1" si="293"/>
        <v>0</v>
      </c>
      <c r="U763">
        <f t="shared" ca="1" si="293"/>
        <v>0</v>
      </c>
      <c r="V763">
        <f t="shared" ca="1" si="293"/>
        <v>0</v>
      </c>
      <c r="W763">
        <f t="shared" ca="1" si="293"/>
        <v>0</v>
      </c>
      <c r="X763">
        <f t="shared" ca="1" si="293"/>
        <v>0</v>
      </c>
      <c r="Y763">
        <f t="shared" ca="1" si="293"/>
        <v>0</v>
      </c>
      <c r="Z763">
        <f t="shared" ca="1" si="293"/>
        <v>0</v>
      </c>
      <c r="AA763">
        <f t="shared" ca="1" si="293"/>
        <v>0</v>
      </c>
      <c r="AB763">
        <f t="shared" ca="1" si="293"/>
        <v>0</v>
      </c>
      <c r="AC763">
        <f t="shared" ca="1" si="293"/>
        <v>0</v>
      </c>
    </row>
    <row r="764" spans="3:29">
      <c r="C764" t="str">
        <f t="shared" si="294"/>
        <v>Hydro</v>
      </c>
      <c r="D764">
        <f t="shared" si="292"/>
        <v>0</v>
      </c>
      <c r="E764">
        <f t="shared" si="293"/>
        <v>0</v>
      </c>
      <c r="F764">
        <f t="shared" si="293"/>
        <v>0</v>
      </c>
      <c r="G764">
        <f t="shared" si="293"/>
        <v>0</v>
      </c>
      <c r="H764">
        <f t="shared" si="293"/>
        <v>0</v>
      </c>
      <c r="I764">
        <f t="shared" ca="1" si="293"/>
        <v>0</v>
      </c>
      <c r="J764">
        <f t="shared" ca="1" si="293"/>
        <v>0</v>
      </c>
      <c r="K764">
        <f t="shared" ca="1" si="293"/>
        <v>0</v>
      </c>
      <c r="L764">
        <f t="shared" ca="1" si="293"/>
        <v>0</v>
      </c>
      <c r="M764">
        <f t="shared" ca="1" si="293"/>
        <v>0</v>
      </c>
      <c r="N764">
        <f t="shared" ca="1" si="293"/>
        <v>0</v>
      </c>
      <c r="O764">
        <f t="shared" ca="1" si="293"/>
        <v>0</v>
      </c>
      <c r="P764">
        <f t="shared" ca="1" si="293"/>
        <v>0</v>
      </c>
      <c r="Q764">
        <f t="shared" ca="1" si="293"/>
        <v>0</v>
      </c>
      <c r="R764">
        <f t="shared" ca="1" si="293"/>
        <v>0</v>
      </c>
      <c r="S764">
        <f t="shared" ca="1" si="293"/>
        <v>0</v>
      </c>
      <c r="T764">
        <f t="shared" ca="1" si="293"/>
        <v>0</v>
      </c>
      <c r="U764">
        <f t="shared" ca="1" si="293"/>
        <v>0</v>
      </c>
      <c r="V764">
        <f t="shared" ca="1" si="293"/>
        <v>0</v>
      </c>
      <c r="W764">
        <f t="shared" ca="1" si="293"/>
        <v>0</v>
      </c>
      <c r="X764">
        <f t="shared" ca="1" si="293"/>
        <v>0</v>
      </c>
      <c r="Y764">
        <f t="shared" ca="1" si="293"/>
        <v>0</v>
      </c>
      <c r="Z764">
        <f t="shared" ca="1" si="293"/>
        <v>0</v>
      </c>
      <c r="AA764">
        <f t="shared" ca="1" si="293"/>
        <v>0</v>
      </c>
      <c r="AB764">
        <f t="shared" ca="1" si="293"/>
        <v>0</v>
      </c>
      <c r="AC764">
        <f t="shared" ca="1" si="293"/>
        <v>0</v>
      </c>
    </row>
    <row r="765" spans="3:29">
      <c r="C765" t="str">
        <f t="shared" si="294"/>
        <v>Landfill gas</v>
      </c>
      <c r="D765">
        <f t="shared" si="292"/>
        <v>0</v>
      </c>
      <c r="E765">
        <f t="shared" si="293"/>
        <v>0</v>
      </c>
      <c r="F765">
        <f t="shared" si="293"/>
        <v>0</v>
      </c>
      <c r="G765">
        <f t="shared" si="293"/>
        <v>0</v>
      </c>
      <c r="H765">
        <f t="shared" si="293"/>
        <v>0</v>
      </c>
      <c r="I765">
        <f t="shared" ca="1" si="293"/>
        <v>0</v>
      </c>
      <c r="J765">
        <f t="shared" ca="1" si="293"/>
        <v>0</v>
      </c>
      <c r="K765">
        <f t="shared" ca="1" si="293"/>
        <v>0</v>
      </c>
      <c r="L765">
        <f t="shared" ca="1" si="293"/>
        <v>0</v>
      </c>
      <c r="M765">
        <f t="shared" ca="1" si="293"/>
        <v>0</v>
      </c>
      <c r="N765">
        <f t="shared" ca="1" si="293"/>
        <v>0</v>
      </c>
      <c r="O765">
        <f t="shared" ca="1" si="293"/>
        <v>0</v>
      </c>
      <c r="P765">
        <f t="shared" ca="1" si="293"/>
        <v>0</v>
      </c>
      <c r="Q765">
        <f t="shared" ca="1" si="293"/>
        <v>0</v>
      </c>
      <c r="R765">
        <f t="shared" ca="1" si="293"/>
        <v>0</v>
      </c>
      <c r="S765">
        <f t="shared" ca="1" si="293"/>
        <v>0</v>
      </c>
      <c r="T765">
        <f t="shared" ca="1" si="293"/>
        <v>0</v>
      </c>
      <c r="U765">
        <f t="shared" ca="1" si="293"/>
        <v>0</v>
      </c>
      <c r="V765">
        <f t="shared" ca="1" si="293"/>
        <v>0</v>
      </c>
      <c r="W765">
        <f t="shared" ca="1" si="293"/>
        <v>0</v>
      </c>
      <c r="X765">
        <f t="shared" ca="1" si="293"/>
        <v>0</v>
      </c>
      <c r="Y765">
        <f t="shared" ca="1" si="293"/>
        <v>0</v>
      </c>
      <c r="Z765">
        <f t="shared" ca="1" si="293"/>
        <v>0</v>
      </c>
      <c r="AA765">
        <f t="shared" ca="1" si="293"/>
        <v>0</v>
      </c>
      <c r="AB765">
        <f t="shared" ca="1" si="293"/>
        <v>0</v>
      </c>
      <c r="AC765">
        <f t="shared" ca="1" si="293"/>
        <v>0</v>
      </c>
    </row>
    <row r="766" spans="3:29">
      <c r="C766" t="str">
        <f t="shared" si="294"/>
        <v>Biomass</v>
      </c>
      <c r="D766">
        <f t="shared" si="292"/>
        <v>0</v>
      </c>
      <c r="E766">
        <f t="shared" si="293"/>
        <v>0</v>
      </c>
      <c r="F766">
        <f t="shared" si="293"/>
        <v>0</v>
      </c>
      <c r="G766">
        <f t="shared" si="293"/>
        <v>0</v>
      </c>
      <c r="H766">
        <f t="shared" si="293"/>
        <v>0</v>
      </c>
      <c r="I766">
        <f t="shared" ca="1" si="293"/>
        <v>0</v>
      </c>
      <c r="J766">
        <f t="shared" ca="1" si="293"/>
        <v>0</v>
      </c>
      <c r="K766">
        <f t="shared" ca="1" si="293"/>
        <v>0</v>
      </c>
      <c r="L766">
        <f t="shared" ca="1" si="293"/>
        <v>0</v>
      </c>
      <c r="M766">
        <f t="shared" ca="1" si="293"/>
        <v>0</v>
      </c>
      <c r="N766">
        <f t="shared" ca="1" si="293"/>
        <v>0</v>
      </c>
      <c r="O766">
        <f t="shared" ca="1" si="293"/>
        <v>0</v>
      </c>
      <c r="P766">
        <f t="shared" ca="1" si="293"/>
        <v>0</v>
      </c>
      <c r="Q766">
        <f t="shared" ca="1" si="293"/>
        <v>0</v>
      </c>
      <c r="R766">
        <f t="shared" ca="1" si="293"/>
        <v>0</v>
      </c>
      <c r="S766">
        <f t="shared" ca="1" si="293"/>
        <v>0</v>
      </c>
      <c r="T766">
        <f t="shared" ca="1" si="293"/>
        <v>0</v>
      </c>
      <c r="U766">
        <f t="shared" ca="1" si="293"/>
        <v>0</v>
      </c>
      <c r="V766">
        <f t="shared" ca="1" si="293"/>
        <v>0</v>
      </c>
      <c r="W766">
        <f t="shared" ca="1" si="293"/>
        <v>0</v>
      </c>
      <c r="X766">
        <f t="shared" ca="1" si="293"/>
        <v>0</v>
      </c>
      <c r="Y766">
        <f t="shared" ca="1" si="293"/>
        <v>0</v>
      </c>
      <c r="Z766">
        <f t="shared" ca="1" si="293"/>
        <v>0</v>
      </c>
      <c r="AA766">
        <f t="shared" ca="1" si="293"/>
        <v>0</v>
      </c>
      <c r="AB766">
        <f t="shared" ca="1" si="293"/>
        <v>0</v>
      </c>
      <c r="AC766">
        <f t="shared" ca="1" si="293"/>
        <v>0</v>
      </c>
    </row>
    <row r="767" spans="3:29">
      <c r="C767" t="str">
        <f t="shared" si="294"/>
        <v>Supercritical coal</v>
      </c>
      <c r="D767">
        <f t="shared" si="292"/>
        <v>0</v>
      </c>
      <c r="E767">
        <f t="shared" si="293"/>
        <v>0</v>
      </c>
      <c r="F767">
        <f t="shared" si="293"/>
        <v>0</v>
      </c>
      <c r="G767">
        <f t="shared" si="293"/>
        <v>0</v>
      </c>
      <c r="H767">
        <f t="shared" si="293"/>
        <v>0</v>
      </c>
      <c r="I767">
        <f t="shared" ca="1" si="293"/>
        <v>0</v>
      </c>
      <c r="J767">
        <f t="shared" ca="1" si="293"/>
        <v>0</v>
      </c>
      <c r="K767">
        <f t="shared" ca="1" si="293"/>
        <v>1.5897728804899998</v>
      </c>
      <c r="L767">
        <f t="shared" ca="1" si="293"/>
        <v>4.76931864147</v>
      </c>
      <c r="M767">
        <f t="shared" ca="1" si="293"/>
        <v>12.941522995109445</v>
      </c>
      <c r="N767">
        <f t="shared" ca="1" si="293"/>
        <v>20.752734510708375</v>
      </c>
      <c r="O767">
        <f t="shared" ca="1" si="293"/>
        <v>29.072633915251078</v>
      </c>
      <c r="P767">
        <f t="shared" ca="1" si="293"/>
        <v>37.256963286151127</v>
      </c>
      <c r="Q767">
        <f t="shared" ca="1" si="293"/>
        <v>45.910448324008541</v>
      </c>
      <c r="R767">
        <f t="shared" ca="1" si="293"/>
        <v>54.965622350437165</v>
      </c>
      <c r="S767">
        <f t="shared" ca="1" si="293"/>
        <v>65.851537713376061</v>
      </c>
      <c r="T767">
        <f t="shared" ca="1" si="293"/>
        <v>77.209437637886197</v>
      </c>
      <c r="U767">
        <f t="shared" ca="1" si="293"/>
        <v>86.824099733765138</v>
      </c>
      <c r="V767">
        <f t="shared" ca="1" si="293"/>
        <v>96.920529941090919</v>
      </c>
      <c r="W767">
        <f t="shared" ca="1" si="293"/>
        <v>115.71725469652476</v>
      </c>
      <c r="X767">
        <f t="shared" ca="1" si="293"/>
        <v>135.85144693636423</v>
      </c>
      <c r="Y767">
        <f t="shared" ca="1" si="293"/>
        <v>158.73091336126248</v>
      </c>
      <c r="Z767">
        <f t="shared" ca="1" si="293"/>
        <v>181.43555848727209</v>
      </c>
      <c r="AA767">
        <f t="shared" ca="1" si="293"/>
        <v>206.67928887579041</v>
      </c>
      <c r="AB767">
        <f t="shared" ca="1" si="293"/>
        <v>244.36091197914661</v>
      </c>
      <c r="AC767">
        <f t="shared" ca="1" si="293"/>
        <v>266.58849708575184</v>
      </c>
    </row>
    <row r="768" spans="3:29">
      <c r="C768" t="str">
        <f t="shared" si="294"/>
        <v xml:space="preserve">Wind 30% </v>
      </c>
      <c r="D768">
        <f t="shared" si="292"/>
        <v>0</v>
      </c>
      <c r="E768">
        <f t="shared" si="293"/>
        <v>0</v>
      </c>
      <c r="F768">
        <f t="shared" si="293"/>
        <v>0</v>
      </c>
      <c r="G768">
        <f t="shared" si="293"/>
        <v>0</v>
      </c>
      <c r="H768">
        <f t="shared" si="293"/>
        <v>0</v>
      </c>
      <c r="I768">
        <f t="shared" ca="1" si="293"/>
        <v>0</v>
      </c>
      <c r="J768">
        <f t="shared" ca="1" si="293"/>
        <v>0</v>
      </c>
      <c r="K768">
        <f t="shared" ca="1" si="293"/>
        <v>0</v>
      </c>
      <c r="L768">
        <f t="shared" ca="1" si="293"/>
        <v>0</v>
      </c>
      <c r="M768">
        <f t="shared" ca="1" si="293"/>
        <v>0</v>
      </c>
      <c r="N768">
        <f t="shared" ca="1" si="293"/>
        <v>0</v>
      </c>
      <c r="O768">
        <f t="shared" ca="1" si="293"/>
        <v>0</v>
      </c>
      <c r="P768">
        <f t="shared" ca="1" si="293"/>
        <v>0</v>
      </c>
      <c r="Q768">
        <f t="shared" ca="1" si="293"/>
        <v>0</v>
      </c>
      <c r="R768">
        <f t="shared" ca="1" si="293"/>
        <v>0</v>
      </c>
      <c r="S768">
        <f t="shared" ca="1" si="293"/>
        <v>0</v>
      </c>
      <c r="T768">
        <f t="shared" ca="1" si="293"/>
        <v>0</v>
      </c>
      <c r="U768">
        <f t="shared" ca="1" si="293"/>
        <v>0</v>
      </c>
      <c r="V768">
        <f t="shared" ca="1" si="293"/>
        <v>0</v>
      </c>
      <c r="W768">
        <f t="shared" ca="1" si="293"/>
        <v>0</v>
      </c>
      <c r="X768">
        <f t="shared" ca="1" si="293"/>
        <v>0</v>
      </c>
      <c r="Y768">
        <f t="shared" ca="1" si="293"/>
        <v>0</v>
      </c>
      <c r="Z768">
        <f t="shared" ca="1" si="293"/>
        <v>0</v>
      </c>
      <c r="AA768">
        <f t="shared" ca="1" si="293"/>
        <v>0</v>
      </c>
      <c r="AB768">
        <f t="shared" ca="1" si="293"/>
        <v>0</v>
      </c>
      <c r="AC768">
        <f t="shared" ca="1" si="293"/>
        <v>0</v>
      </c>
    </row>
    <row r="769" spans="3:29">
      <c r="C769" t="str">
        <f t="shared" si="294"/>
        <v>Wind 25%</v>
      </c>
      <c r="D769">
        <f t="shared" si="292"/>
        <v>0</v>
      </c>
      <c r="E769">
        <f t="shared" si="293"/>
        <v>0</v>
      </c>
      <c r="F769">
        <f t="shared" si="293"/>
        <v>0</v>
      </c>
      <c r="G769">
        <f t="shared" si="293"/>
        <v>0</v>
      </c>
      <c r="H769">
        <f t="shared" si="293"/>
        <v>0</v>
      </c>
      <c r="I769">
        <f t="shared" ca="1" si="293"/>
        <v>0</v>
      </c>
      <c r="J769">
        <f t="shared" ca="1" si="293"/>
        <v>0</v>
      </c>
      <c r="K769">
        <f t="shared" ca="1" si="293"/>
        <v>0</v>
      </c>
      <c r="L769">
        <f t="shared" ca="1" si="293"/>
        <v>0</v>
      </c>
      <c r="M769">
        <f t="shared" ca="1" si="293"/>
        <v>0</v>
      </c>
      <c r="N769">
        <f t="shared" ca="1" si="293"/>
        <v>0</v>
      </c>
      <c r="O769">
        <f t="shared" ca="1" si="293"/>
        <v>0</v>
      </c>
      <c r="P769">
        <f t="shared" ca="1" si="293"/>
        <v>0</v>
      </c>
      <c r="Q769">
        <f t="shared" ca="1" si="293"/>
        <v>0</v>
      </c>
      <c r="R769">
        <f t="shared" ca="1" si="293"/>
        <v>0</v>
      </c>
      <c r="S769">
        <f t="shared" ca="1" si="293"/>
        <v>0</v>
      </c>
      <c r="T769">
        <f t="shared" ca="1" si="293"/>
        <v>0</v>
      </c>
      <c r="U769">
        <f t="shared" ca="1" si="293"/>
        <v>0</v>
      </c>
      <c r="V769">
        <f t="shared" ca="1" si="293"/>
        <v>0</v>
      </c>
      <c r="W769">
        <f t="shared" ca="1" si="293"/>
        <v>0</v>
      </c>
      <c r="X769">
        <f t="shared" ca="1" si="293"/>
        <v>0</v>
      </c>
      <c r="Y769">
        <f t="shared" ca="1" si="293"/>
        <v>0</v>
      </c>
      <c r="Z769">
        <f t="shared" ca="1" si="293"/>
        <v>0</v>
      </c>
      <c r="AA769">
        <f t="shared" ca="1" si="293"/>
        <v>0</v>
      </c>
      <c r="AB769">
        <f t="shared" ca="1" si="293"/>
        <v>0</v>
      </c>
      <c r="AC769">
        <f t="shared" ca="1" si="293"/>
        <v>0</v>
      </c>
    </row>
    <row r="770" spans="3:29">
      <c r="C770" t="str">
        <f t="shared" si="294"/>
        <v>solar thermal central reciever</v>
      </c>
      <c r="D770">
        <f t="shared" si="292"/>
        <v>0</v>
      </c>
      <c r="E770">
        <f t="shared" si="293"/>
        <v>0</v>
      </c>
      <c r="F770">
        <f t="shared" si="293"/>
        <v>0</v>
      </c>
      <c r="G770">
        <f t="shared" si="293"/>
        <v>0</v>
      </c>
      <c r="H770">
        <f t="shared" si="293"/>
        <v>0</v>
      </c>
      <c r="I770">
        <f t="shared" ca="1" si="293"/>
        <v>0</v>
      </c>
      <c r="J770">
        <f t="shared" ca="1" si="293"/>
        <v>0</v>
      </c>
      <c r="K770">
        <f t="shared" ca="1" si="293"/>
        <v>0</v>
      </c>
      <c r="L770">
        <f t="shared" ca="1" si="293"/>
        <v>0</v>
      </c>
      <c r="M770">
        <f t="shared" ca="1" si="293"/>
        <v>0</v>
      </c>
      <c r="N770">
        <f t="shared" ca="1" si="293"/>
        <v>0</v>
      </c>
      <c r="O770">
        <f t="shared" ca="1" si="293"/>
        <v>0</v>
      </c>
      <c r="P770">
        <f t="shared" ca="1" si="293"/>
        <v>0</v>
      </c>
      <c r="Q770">
        <f t="shared" ca="1" si="293"/>
        <v>0</v>
      </c>
      <c r="R770">
        <f t="shared" ca="1" si="293"/>
        <v>0</v>
      </c>
      <c r="S770">
        <f t="shared" ca="1" si="293"/>
        <v>0</v>
      </c>
      <c r="T770">
        <f t="shared" ca="1" si="293"/>
        <v>0</v>
      </c>
      <c r="U770">
        <f t="shared" ca="1" si="293"/>
        <v>0</v>
      </c>
      <c r="V770">
        <f t="shared" ca="1" si="293"/>
        <v>0</v>
      </c>
      <c r="W770">
        <f t="shared" ca="1" si="293"/>
        <v>0</v>
      </c>
      <c r="X770">
        <f t="shared" ca="1" si="293"/>
        <v>0</v>
      </c>
      <c r="Y770">
        <f t="shared" ref="E770:AC779" ca="1" si="296">Y701+21*Y724+310*Y747</f>
        <v>0</v>
      </c>
      <c r="Z770">
        <f t="shared" ca="1" si="296"/>
        <v>0</v>
      </c>
      <c r="AA770">
        <f t="shared" ca="1" si="296"/>
        <v>0</v>
      </c>
      <c r="AB770">
        <f t="shared" ca="1" si="296"/>
        <v>0</v>
      </c>
      <c r="AC770">
        <f t="shared" ca="1" si="296"/>
        <v>0</v>
      </c>
    </row>
    <row r="771" spans="3:29">
      <c r="C771" t="str">
        <f t="shared" si="294"/>
        <v>solar thermal trough</v>
      </c>
      <c r="D771">
        <f t="shared" si="292"/>
        <v>0</v>
      </c>
      <c r="E771">
        <f t="shared" si="296"/>
        <v>0</v>
      </c>
      <c r="F771">
        <f t="shared" si="296"/>
        <v>0</v>
      </c>
      <c r="G771">
        <f t="shared" si="296"/>
        <v>0</v>
      </c>
      <c r="H771">
        <f t="shared" si="296"/>
        <v>0</v>
      </c>
      <c r="I771">
        <f t="shared" ca="1" si="296"/>
        <v>0</v>
      </c>
      <c r="J771">
        <f t="shared" ca="1" si="296"/>
        <v>0</v>
      </c>
      <c r="K771">
        <f t="shared" ca="1" si="296"/>
        <v>0</v>
      </c>
      <c r="L771">
        <f t="shared" ca="1" si="296"/>
        <v>0</v>
      </c>
      <c r="M771">
        <f t="shared" ca="1" si="296"/>
        <v>0</v>
      </c>
      <c r="N771">
        <f t="shared" ca="1" si="296"/>
        <v>0</v>
      </c>
      <c r="O771">
        <f t="shared" ca="1" si="296"/>
        <v>0</v>
      </c>
      <c r="P771">
        <f t="shared" ca="1" si="296"/>
        <v>0</v>
      </c>
      <c r="Q771">
        <f t="shared" ca="1" si="296"/>
        <v>0</v>
      </c>
      <c r="R771">
        <f t="shared" ca="1" si="296"/>
        <v>0</v>
      </c>
      <c r="S771">
        <f t="shared" ca="1" si="296"/>
        <v>0</v>
      </c>
      <c r="T771">
        <f t="shared" ca="1" si="296"/>
        <v>0</v>
      </c>
      <c r="U771">
        <f t="shared" ca="1" si="296"/>
        <v>0</v>
      </c>
      <c r="V771">
        <f t="shared" ca="1" si="296"/>
        <v>0</v>
      </c>
      <c r="W771">
        <f t="shared" ca="1" si="296"/>
        <v>0</v>
      </c>
      <c r="X771">
        <f t="shared" ca="1" si="296"/>
        <v>0</v>
      </c>
      <c r="Y771">
        <f t="shared" ca="1" si="296"/>
        <v>0</v>
      </c>
      <c r="Z771">
        <f t="shared" ca="1" si="296"/>
        <v>0</v>
      </c>
      <c r="AA771">
        <f t="shared" ca="1" si="296"/>
        <v>0</v>
      </c>
      <c r="AB771">
        <f t="shared" ca="1" si="296"/>
        <v>0</v>
      </c>
      <c r="AC771">
        <f t="shared" ca="1" si="296"/>
        <v>0</v>
      </c>
    </row>
    <row r="772" spans="3:29">
      <c r="C772" t="str">
        <f t="shared" si="294"/>
        <v>solar PV</v>
      </c>
      <c r="D772">
        <f t="shared" si="292"/>
        <v>0</v>
      </c>
      <c r="E772">
        <f t="shared" si="296"/>
        <v>0</v>
      </c>
      <c r="F772">
        <f t="shared" si="296"/>
        <v>0</v>
      </c>
      <c r="G772">
        <f t="shared" si="296"/>
        <v>0</v>
      </c>
      <c r="H772">
        <f t="shared" si="296"/>
        <v>0</v>
      </c>
      <c r="I772">
        <f t="shared" ca="1" si="296"/>
        <v>0</v>
      </c>
      <c r="J772">
        <f t="shared" ca="1" si="296"/>
        <v>0</v>
      </c>
      <c r="K772">
        <f t="shared" ca="1" si="296"/>
        <v>0</v>
      </c>
      <c r="L772">
        <f t="shared" ca="1" si="296"/>
        <v>0</v>
      </c>
      <c r="M772">
        <f t="shared" ca="1" si="296"/>
        <v>0</v>
      </c>
      <c r="N772">
        <f t="shared" ca="1" si="296"/>
        <v>0</v>
      </c>
      <c r="O772">
        <f t="shared" ca="1" si="296"/>
        <v>0</v>
      </c>
      <c r="P772">
        <f t="shared" ca="1" si="296"/>
        <v>0</v>
      </c>
      <c r="Q772">
        <f t="shared" ca="1" si="296"/>
        <v>0</v>
      </c>
      <c r="R772">
        <f t="shared" ca="1" si="296"/>
        <v>0</v>
      </c>
      <c r="S772">
        <f t="shared" ca="1" si="296"/>
        <v>0</v>
      </c>
      <c r="T772">
        <f t="shared" ca="1" si="296"/>
        <v>0</v>
      </c>
      <c r="U772">
        <f t="shared" ca="1" si="296"/>
        <v>0</v>
      </c>
      <c r="V772">
        <f t="shared" ca="1" si="296"/>
        <v>0</v>
      </c>
      <c r="W772">
        <f t="shared" ca="1" si="296"/>
        <v>0</v>
      </c>
      <c r="X772">
        <f t="shared" ca="1" si="296"/>
        <v>0</v>
      </c>
      <c r="Y772">
        <f t="shared" ca="1" si="296"/>
        <v>0</v>
      </c>
      <c r="Z772">
        <f t="shared" ca="1" si="296"/>
        <v>0</v>
      </c>
      <c r="AA772">
        <f t="shared" ca="1" si="296"/>
        <v>0</v>
      </c>
      <c r="AB772">
        <f t="shared" ca="1" si="296"/>
        <v>0</v>
      </c>
      <c r="AC772">
        <f t="shared" ca="1" si="296"/>
        <v>0</v>
      </c>
    </row>
    <row r="773" spans="3:29">
      <c r="C773" t="str">
        <f t="shared" si="294"/>
        <v>combined cycle gas</v>
      </c>
      <c r="D773">
        <f t="shared" si="292"/>
        <v>0</v>
      </c>
      <c r="E773">
        <f t="shared" si="296"/>
        <v>0</v>
      </c>
      <c r="F773">
        <f t="shared" si="296"/>
        <v>0</v>
      </c>
      <c r="G773">
        <f t="shared" si="296"/>
        <v>0</v>
      </c>
      <c r="H773">
        <f t="shared" si="296"/>
        <v>0</v>
      </c>
      <c r="I773">
        <f t="shared" ca="1" si="296"/>
        <v>0</v>
      </c>
      <c r="J773">
        <f t="shared" ca="1" si="296"/>
        <v>0</v>
      </c>
      <c r="K773">
        <f t="shared" ca="1" si="296"/>
        <v>0</v>
      </c>
      <c r="L773">
        <f t="shared" ca="1" si="296"/>
        <v>0</v>
      </c>
      <c r="M773">
        <f t="shared" ca="1" si="296"/>
        <v>0</v>
      </c>
      <c r="N773">
        <f t="shared" ca="1" si="296"/>
        <v>0</v>
      </c>
      <c r="O773">
        <f t="shared" ca="1" si="296"/>
        <v>0</v>
      </c>
      <c r="P773">
        <f t="shared" ca="1" si="296"/>
        <v>0</v>
      </c>
      <c r="Q773">
        <f t="shared" ca="1" si="296"/>
        <v>0</v>
      </c>
      <c r="R773">
        <f t="shared" ca="1" si="296"/>
        <v>0</v>
      </c>
      <c r="S773">
        <f t="shared" ca="1" si="296"/>
        <v>0</v>
      </c>
      <c r="T773">
        <f t="shared" ca="1" si="296"/>
        <v>0</v>
      </c>
      <c r="U773">
        <f t="shared" ca="1" si="296"/>
        <v>0</v>
      </c>
      <c r="V773">
        <f t="shared" ca="1" si="296"/>
        <v>0</v>
      </c>
      <c r="W773">
        <f t="shared" ca="1" si="296"/>
        <v>0</v>
      </c>
      <c r="X773">
        <f t="shared" ca="1" si="296"/>
        <v>0</v>
      </c>
      <c r="Y773">
        <f t="shared" ca="1" si="296"/>
        <v>0</v>
      </c>
      <c r="Z773">
        <f t="shared" ca="1" si="296"/>
        <v>0</v>
      </c>
      <c r="AA773">
        <f t="shared" ca="1" si="296"/>
        <v>0</v>
      </c>
      <c r="AB773">
        <f t="shared" ca="1" si="296"/>
        <v>0</v>
      </c>
      <c r="AC773">
        <f t="shared" ca="1" si="296"/>
        <v>0</v>
      </c>
    </row>
    <row r="774" spans="3:29">
      <c r="C774" t="str">
        <f t="shared" si="294"/>
        <v>PBMR</v>
      </c>
      <c r="D774">
        <f t="shared" si="292"/>
        <v>0</v>
      </c>
      <c r="E774">
        <f t="shared" si="296"/>
        <v>0</v>
      </c>
      <c r="F774">
        <f t="shared" si="296"/>
        <v>0</v>
      </c>
      <c r="G774">
        <f t="shared" si="296"/>
        <v>0</v>
      </c>
      <c r="H774">
        <f t="shared" si="296"/>
        <v>0</v>
      </c>
      <c r="I774">
        <f t="shared" ca="1" si="296"/>
        <v>0</v>
      </c>
      <c r="J774">
        <f t="shared" ca="1" si="296"/>
        <v>0</v>
      </c>
      <c r="K774">
        <f t="shared" ca="1" si="296"/>
        <v>0</v>
      </c>
      <c r="L774">
        <f t="shared" ca="1" si="296"/>
        <v>0</v>
      </c>
      <c r="M774">
        <f t="shared" ca="1" si="296"/>
        <v>0</v>
      </c>
      <c r="N774">
        <f t="shared" ca="1" si="296"/>
        <v>0</v>
      </c>
      <c r="O774">
        <f t="shared" ca="1" si="296"/>
        <v>0</v>
      </c>
      <c r="P774">
        <f t="shared" ca="1" si="296"/>
        <v>0</v>
      </c>
      <c r="Q774">
        <f t="shared" ca="1" si="296"/>
        <v>0</v>
      </c>
      <c r="R774">
        <f t="shared" ca="1" si="296"/>
        <v>0</v>
      </c>
      <c r="S774">
        <f t="shared" ca="1" si="296"/>
        <v>0</v>
      </c>
      <c r="T774">
        <f t="shared" ca="1" si="296"/>
        <v>0</v>
      </c>
      <c r="U774">
        <f t="shared" ca="1" si="296"/>
        <v>0</v>
      </c>
      <c r="V774">
        <f t="shared" ca="1" si="296"/>
        <v>0</v>
      </c>
      <c r="W774">
        <f t="shared" ca="1" si="296"/>
        <v>0</v>
      </c>
      <c r="X774">
        <f t="shared" ca="1" si="296"/>
        <v>0</v>
      </c>
      <c r="Y774">
        <f t="shared" ca="1" si="296"/>
        <v>0</v>
      </c>
      <c r="Z774">
        <f t="shared" ca="1" si="296"/>
        <v>0</v>
      </c>
      <c r="AA774">
        <f t="shared" ca="1" si="296"/>
        <v>0</v>
      </c>
      <c r="AB774">
        <f t="shared" ca="1" si="296"/>
        <v>0</v>
      </c>
      <c r="AC774">
        <f t="shared" ca="1" si="296"/>
        <v>0</v>
      </c>
    </row>
    <row r="775" spans="3:29">
      <c r="C775" t="str">
        <f t="shared" si="294"/>
        <v>IGCC</v>
      </c>
      <c r="D775">
        <f t="shared" si="292"/>
        <v>0</v>
      </c>
      <c r="E775">
        <f t="shared" si="296"/>
        <v>2.602576242861687E-14</v>
      </c>
      <c r="F775">
        <f t="shared" si="296"/>
        <v>0</v>
      </c>
      <c r="G775">
        <f t="shared" si="296"/>
        <v>2.602576242861687E-14</v>
      </c>
      <c r="H775">
        <f t="shared" si="296"/>
        <v>2.602576242861687E-14</v>
      </c>
      <c r="I775">
        <f t="shared" ca="1" si="296"/>
        <v>0</v>
      </c>
      <c r="J775">
        <f t="shared" ca="1" si="296"/>
        <v>0</v>
      </c>
      <c r="K775">
        <f t="shared" ca="1" si="296"/>
        <v>0</v>
      </c>
      <c r="L775">
        <f t="shared" ca="1" si="296"/>
        <v>0</v>
      </c>
      <c r="M775">
        <f t="shared" ca="1" si="296"/>
        <v>0</v>
      </c>
      <c r="N775">
        <f t="shared" ca="1" si="296"/>
        <v>0</v>
      </c>
      <c r="O775">
        <f t="shared" ca="1" si="296"/>
        <v>0</v>
      </c>
      <c r="P775">
        <f t="shared" ca="1" si="296"/>
        <v>0</v>
      </c>
      <c r="Q775">
        <f t="shared" ca="1" si="296"/>
        <v>0</v>
      </c>
      <c r="R775">
        <f t="shared" ca="1" si="296"/>
        <v>0</v>
      </c>
      <c r="S775">
        <f t="shared" ca="1" si="296"/>
        <v>0</v>
      </c>
      <c r="T775">
        <f t="shared" ca="1" si="296"/>
        <v>0</v>
      </c>
      <c r="U775">
        <f t="shared" ca="1" si="296"/>
        <v>0</v>
      </c>
      <c r="V775">
        <f t="shared" ca="1" si="296"/>
        <v>0</v>
      </c>
      <c r="W775">
        <f t="shared" ca="1" si="296"/>
        <v>0</v>
      </c>
      <c r="X775">
        <f t="shared" ca="1" si="296"/>
        <v>0</v>
      </c>
      <c r="Y775">
        <f t="shared" ca="1" si="296"/>
        <v>0</v>
      </c>
      <c r="Z775">
        <f t="shared" ca="1" si="296"/>
        <v>0</v>
      </c>
      <c r="AA775">
        <f t="shared" ca="1" si="296"/>
        <v>0</v>
      </c>
      <c r="AB775">
        <f t="shared" ca="1" si="296"/>
        <v>0</v>
      </c>
      <c r="AC775">
        <f t="shared" ca="1" si="296"/>
        <v>0</v>
      </c>
    </row>
    <row r="776" spans="3:29">
      <c r="C776" t="str">
        <f t="shared" si="294"/>
        <v>-</v>
      </c>
      <c r="D776">
        <f t="shared" si="292"/>
        <v>0</v>
      </c>
      <c r="E776">
        <f t="shared" si="296"/>
        <v>0</v>
      </c>
      <c r="F776">
        <f t="shared" si="296"/>
        <v>0</v>
      </c>
      <c r="G776">
        <f t="shared" si="296"/>
        <v>0</v>
      </c>
      <c r="H776">
        <f t="shared" si="296"/>
        <v>0</v>
      </c>
      <c r="I776">
        <f t="shared" ca="1" si="296"/>
        <v>0</v>
      </c>
      <c r="J776">
        <f t="shared" ca="1" si="296"/>
        <v>0</v>
      </c>
      <c r="K776">
        <f t="shared" ca="1" si="296"/>
        <v>0</v>
      </c>
      <c r="L776">
        <f t="shared" ca="1" si="296"/>
        <v>0</v>
      </c>
      <c r="M776">
        <f t="shared" ca="1" si="296"/>
        <v>0</v>
      </c>
      <c r="N776">
        <f t="shared" ca="1" si="296"/>
        <v>0</v>
      </c>
      <c r="O776">
        <f t="shared" ca="1" si="296"/>
        <v>0</v>
      </c>
      <c r="P776">
        <f t="shared" ca="1" si="296"/>
        <v>0</v>
      </c>
      <c r="Q776">
        <f t="shared" ca="1" si="296"/>
        <v>0</v>
      </c>
      <c r="R776">
        <f t="shared" ca="1" si="296"/>
        <v>0</v>
      </c>
      <c r="S776">
        <f t="shared" ca="1" si="296"/>
        <v>0</v>
      </c>
      <c r="T776">
        <f t="shared" ca="1" si="296"/>
        <v>0</v>
      </c>
      <c r="U776">
        <f t="shared" ca="1" si="296"/>
        <v>0</v>
      </c>
      <c r="V776">
        <f t="shared" ca="1" si="296"/>
        <v>0</v>
      </c>
      <c r="W776">
        <f t="shared" ca="1" si="296"/>
        <v>0</v>
      </c>
      <c r="X776">
        <f t="shared" ca="1" si="296"/>
        <v>0</v>
      </c>
      <c r="Y776">
        <f t="shared" ca="1" si="296"/>
        <v>0</v>
      </c>
      <c r="Z776">
        <f t="shared" ca="1" si="296"/>
        <v>0</v>
      </c>
      <c r="AA776">
        <f t="shared" ca="1" si="296"/>
        <v>0</v>
      </c>
      <c r="AB776">
        <f t="shared" ca="1" si="296"/>
        <v>0</v>
      </c>
      <c r="AC776">
        <f t="shared" ca="1" si="296"/>
        <v>0</v>
      </c>
    </row>
    <row r="777" spans="3:29">
      <c r="C777" t="str">
        <f t="shared" si="294"/>
        <v>-</v>
      </c>
      <c r="D777">
        <f t="shared" si="292"/>
        <v>0</v>
      </c>
      <c r="E777">
        <f t="shared" si="296"/>
        <v>0</v>
      </c>
      <c r="F777">
        <f t="shared" si="296"/>
        <v>0</v>
      </c>
      <c r="G777">
        <f t="shared" si="296"/>
        <v>0</v>
      </c>
      <c r="H777">
        <f t="shared" si="296"/>
        <v>0</v>
      </c>
      <c r="I777">
        <f t="shared" ca="1" si="296"/>
        <v>0</v>
      </c>
      <c r="J777">
        <f t="shared" ca="1" si="296"/>
        <v>0</v>
      </c>
      <c r="K777">
        <f t="shared" ca="1" si="296"/>
        <v>0</v>
      </c>
      <c r="L777">
        <f t="shared" ca="1" si="296"/>
        <v>0</v>
      </c>
      <c r="M777">
        <f t="shared" ca="1" si="296"/>
        <v>0</v>
      </c>
      <c r="N777">
        <f t="shared" ca="1" si="296"/>
        <v>0</v>
      </c>
      <c r="O777">
        <f t="shared" ca="1" si="296"/>
        <v>0</v>
      </c>
      <c r="P777">
        <f t="shared" ca="1" si="296"/>
        <v>0</v>
      </c>
      <c r="Q777">
        <f t="shared" ca="1" si="296"/>
        <v>0</v>
      </c>
      <c r="R777">
        <f t="shared" ca="1" si="296"/>
        <v>0</v>
      </c>
      <c r="S777">
        <f t="shared" ca="1" si="296"/>
        <v>0</v>
      </c>
      <c r="T777">
        <f t="shared" ca="1" si="296"/>
        <v>0</v>
      </c>
      <c r="U777">
        <f t="shared" ca="1" si="296"/>
        <v>0</v>
      </c>
      <c r="V777">
        <f t="shared" ca="1" si="296"/>
        <v>0</v>
      </c>
      <c r="W777">
        <f t="shared" ca="1" si="296"/>
        <v>0</v>
      </c>
      <c r="X777">
        <f t="shared" ca="1" si="296"/>
        <v>0</v>
      </c>
      <c r="Y777">
        <f t="shared" ca="1" si="296"/>
        <v>0</v>
      </c>
      <c r="Z777">
        <f t="shared" ca="1" si="296"/>
        <v>0</v>
      </c>
      <c r="AA777">
        <f t="shared" ca="1" si="296"/>
        <v>0</v>
      </c>
      <c r="AB777">
        <f t="shared" ca="1" si="296"/>
        <v>0</v>
      </c>
      <c r="AC777">
        <f t="shared" ca="1" si="296"/>
        <v>0</v>
      </c>
    </row>
    <row r="778" spans="3:29">
      <c r="C778" t="str">
        <f t="shared" si="294"/>
        <v>-</v>
      </c>
      <c r="D778">
        <f t="shared" si="292"/>
        <v>0</v>
      </c>
      <c r="E778">
        <f t="shared" si="296"/>
        <v>0</v>
      </c>
      <c r="F778">
        <f t="shared" si="296"/>
        <v>0</v>
      </c>
      <c r="G778">
        <f t="shared" si="296"/>
        <v>0</v>
      </c>
      <c r="H778">
        <f t="shared" si="296"/>
        <v>0</v>
      </c>
      <c r="I778">
        <f t="shared" ca="1" si="296"/>
        <v>0</v>
      </c>
      <c r="J778">
        <f t="shared" ca="1" si="296"/>
        <v>0</v>
      </c>
      <c r="K778">
        <f t="shared" ca="1" si="296"/>
        <v>0</v>
      </c>
      <c r="L778">
        <f t="shared" ca="1" si="296"/>
        <v>0</v>
      </c>
      <c r="M778">
        <f t="shared" ca="1" si="296"/>
        <v>0</v>
      </c>
      <c r="N778">
        <f t="shared" ca="1" si="296"/>
        <v>0</v>
      </c>
      <c r="O778">
        <f t="shared" ca="1" si="296"/>
        <v>0</v>
      </c>
      <c r="P778">
        <f t="shared" ca="1" si="296"/>
        <v>0</v>
      </c>
      <c r="Q778">
        <f t="shared" ca="1" si="296"/>
        <v>0</v>
      </c>
      <c r="R778">
        <f t="shared" ca="1" si="296"/>
        <v>0</v>
      </c>
      <c r="S778">
        <f t="shared" ca="1" si="296"/>
        <v>0</v>
      </c>
      <c r="T778">
        <f t="shared" ca="1" si="296"/>
        <v>0</v>
      </c>
      <c r="U778">
        <f t="shared" ca="1" si="296"/>
        <v>0</v>
      </c>
      <c r="V778">
        <f t="shared" ca="1" si="296"/>
        <v>0</v>
      </c>
      <c r="W778">
        <f t="shared" ca="1" si="296"/>
        <v>0</v>
      </c>
      <c r="X778">
        <f t="shared" ca="1" si="296"/>
        <v>0</v>
      </c>
      <c r="Y778">
        <f t="shared" ca="1" si="296"/>
        <v>0</v>
      </c>
      <c r="Z778">
        <f t="shared" ca="1" si="296"/>
        <v>0</v>
      </c>
      <c r="AA778">
        <f t="shared" ca="1" si="296"/>
        <v>0</v>
      </c>
      <c r="AB778">
        <f t="shared" ca="1" si="296"/>
        <v>0</v>
      </c>
      <c r="AC778">
        <f t="shared" ca="1" si="296"/>
        <v>0</v>
      </c>
    </row>
    <row r="779" spans="3:29">
      <c r="C779" t="str">
        <f t="shared" si="294"/>
        <v>Pumped storage</v>
      </c>
      <c r="D779">
        <f t="shared" si="292"/>
        <v>0</v>
      </c>
      <c r="E779">
        <f t="shared" si="296"/>
        <v>0</v>
      </c>
      <c r="F779">
        <f t="shared" si="296"/>
        <v>0</v>
      </c>
      <c r="G779">
        <f t="shared" si="296"/>
        <v>0</v>
      </c>
      <c r="H779">
        <f t="shared" si="296"/>
        <v>0</v>
      </c>
      <c r="I779">
        <f t="shared" ca="1" si="296"/>
        <v>0</v>
      </c>
      <c r="J779">
        <f t="shared" ca="1" si="296"/>
        <v>0</v>
      </c>
      <c r="K779">
        <f t="shared" ca="1" si="296"/>
        <v>0</v>
      </c>
      <c r="L779">
        <f t="shared" ca="1" si="296"/>
        <v>0</v>
      </c>
      <c r="M779">
        <f t="shared" ca="1" si="296"/>
        <v>0</v>
      </c>
      <c r="N779">
        <f t="shared" ca="1" si="296"/>
        <v>0</v>
      </c>
      <c r="O779">
        <f t="shared" ca="1" si="296"/>
        <v>0</v>
      </c>
      <c r="P779">
        <f t="shared" ca="1" si="296"/>
        <v>0</v>
      </c>
      <c r="Q779">
        <f t="shared" ca="1" si="296"/>
        <v>0</v>
      </c>
      <c r="R779">
        <f t="shared" ca="1" si="296"/>
        <v>0</v>
      </c>
      <c r="S779">
        <f t="shared" ca="1" si="296"/>
        <v>0</v>
      </c>
      <c r="T779">
        <f t="shared" ca="1" si="296"/>
        <v>0</v>
      </c>
      <c r="U779">
        <f t="shared" ca="1" si="296"/>
        <v>0</v>
      </c>
      <c r="V779">
        <f t="shared" ca="1" si="296"/>
        <v>0</v>
      </c>
      <c r="W779">
        <f t="shared" ca="1" si="296"/>
        <v>0</v>
      </c>
      <c r="X779">
        <f t="shared" ca="1" si="296"/>
        <v>0</v>
      </c>
      <c r="Y779">
        <f t="shared" ca="1" si="296"/>
        <v>0</v>
      </c>
      <c r="Z779">
        <f t="shared" ca="1" si="296"/>
        <v>0</v>
      </c>
      <c r="AA779">
        <f t="shared" ca="1" si="296"/>
        <v>0</v>
      </c>
      <c r="AB779">
        <f t="shared" ca="1" si="296"/>
        <v>0</v>
      </c>
      <c r="AC779">
        <f t="shared" ca="1" si="296"/>
        <v>0</v>
      </c>
    </row>
    <row r="780" spans="3:29">
      <c r="C780" s="4" t="s">
        <v>5</v>
      </c>
      <c r="D780">
        <f t="shared" ref="D780:AC780" si="297">SUM(D760:D779)</f>
        <v>220.034798548178</v>
      </c>
      <c r="E780">
        <f t="shared" si="297"/>
        <v>220.03479854817803</v>
      </c>
      <c r="F780">
        <f t="shared" si="297"/>
        <v>226.79847644211583</v>
      </c>
      <c r="G780">
        <f t="shared" si="297"/>
        <v>229.15455889883285</v>
      </c>
      <c r="H780">
        <f t="shared" si="297"/>
        <v>229.15455889883285</v>
      </c>
      <c r="I780">
        <f t="shared" ca="1" si="297"/>
        <v>235.99719359076568</v>
      </c>
      <c r="J780">
        <f t="shared" ca="1" si="297"/>
        <v>241.13644531545148</v>
      </c>
      <c r="K780">
        <f t="shared" ca="1" si="297"/>
        <v>246.99212756686327</v>
      </c>
      <c r="L780">
        <f t="shared" ca="1" si="297"/>
        <v>254.1341130271411</v>
      </c>
      <c r="M780">
        <f t="shared" ca="1" si="297"/>
        <v>262.50555854340791</v>
      </c>
      <c r="N780">
        <f t="shared" ca="1" si="297"/>
        <v>270.31677005900684</v>
      </c>
      <c r="O780">
        <f t="shared" ca="1" si="297"/>
        <v>278.53892995818495</v>
      </c>
      <c r="P780">
        <f t="shared" ca="1" si="297"/>
        <v>286.62551982372042</v>
      </c>
      <c r="Q780">
        <f t="shared" ca="1" si="297"/>
        <v>295.14868552109169</v>
      </c>
      <c r="R780">
        <f t="shared" ca="1" si="297"/>
        <v>304.07354020703423</v>
      </c>
      <c r="S780">
        <f t="shared" ca="1" si="297"/>
        <v>312.4833881007371</v>
      </c>
      <c r="T780">
        <f t="shared" ca="1" si="297"/>
        <v>321.3652205560112</v>
      </c>
      <c r="U780">
        <f t="shared" ca="1" si="297"/>
        <v>330.97988265189008</v>
      </c>
      <c r="V780">
        <f t="shared" ca="1" si="297"/>
        <v>341.24203283505301</v>
      </c>
      <c r="W780">
        <f t="shared" ca="1" si="297"/>
        <v>351.3677970139185</v>
      </c>
      <c r="X780">
        <f t="shared" ca="1" si="297"/>
        <v>361.69015525086729</v>
      </c>
      <c r="Y780">
        <f t="shared" ca="1" si="297"/>
        <v>372.75576750456992</v>
      </c>
      <c r="Z780">
        <f t="shared" ca="1" si="297"/>
        <v>384.62171190986908</v>
      </c>
      <c r="AA780">
        <f t="shared" ca="1" si="297"/>
        <v>396.74490984700105</v>
      </c>
      <c r="AB780">
        <f t="shared" ca="1" si="297"/>
        <v>408.35118802342163</v>
      </c>
      <c r="AC780">
        <f t="shared" ca="1" si="297"/>
        <v>417.41888218437919</v>
      </c>
    </row>
    <row r="782" spans="3:29">
      <c r="C782" s="4" t="s">
        <v>154</v>
      </c>
    </row>
    <row r="783" spans="3:29">
      <c r="C783" t="str">
        <f>C8</f>
        <v>Existing coal Large</v>
      </c>
      <c r="D783">
        <f>'Fuel Costs'!$G171*D367</f>
        <v>1.3295094949099666</v>
      </c>
      <c r="E783">
        <f>'Fuel Costs'!$G171*E367</f>
        <v>1.3295094949099666</v>
      </c>
      <c r="F783">
        <f>'Fuel Costs'!$G171*F367</f>
        <v>1.3733067659630029</v>
      </c>
      <c r="G783">
        <f>'Fuel Costs'!$G171*G367</f>
        <v>1.3885632556418837</v>
      </c>
      <c r="H783">
        <f>'Fuel Costs'!$G171*H367</f>
        <v>1.3885632556418837</v>
      </c>
      <c r="I783">
        <f ca="1">'Fuel Costs'!$G171*I367</f>
        <v>1.4213446038664734</v>
      </c>
      <c r="J783">
        <f ca="1">'Fuel Costs'!$G171*J367</f>
        <v>1.4461950501817029</v>
      </c>
      <c r="K783">
        <f ca="1">'Fuel Costs'!$G171*K367</f>
        <v>1.4738183628136374</v>
      </c>
      <c r="L783">
        <f ca="1">'Fuel Costs'!$G171*L367</f>
        <v>1.4994765990961489</v>
      </c>
      <c r="M783">
        <f ca="1">'Fuel Costs'!$G171*M367</f>
        <v>1.5007667579921447</v>
      </c>
      <c r="N783">
        <f ca="1">'Fuel Costs'!$G171*N367</f>
        <v>1.5007667579921447</v>
      </c>
      <c r="O783">
        <f ca="1">'Fuel Costs'!$G171*O367</f>
        <v>1.5007667579921447</v>
      </c>
      <c r="P783">
        <f ca="1">'Fuel Costs'!$G171*P367</f>
        <v>1.5007667579921447</v>
      </c>
      <c r="Q783">
        <f ca="1">'Fuel Costs'!$G171*Q367</f>
        <v>1.5007667579921447</v>
      </c>
      <c r="R783">
        <f ca="1">'Fuel Costs'!$G171*R367</f>
        <v>1.5007667579921447</v>
      </c>
      <c r="S783">
        <f ca="1">'Fuel Costs'!$G171*S367</f>
        <v>1.5007667579921447</v>
      </c>
      <c r="T783">
        <f ca="1">'Fuel Costs'!$G171*T367</f>
        <v>1.5007667579921447</v>
      </c>
      <c r="U783">
        <f ca="1">'Fuel Costs'!$G171*U367</f>
        <v>1.5007667579921447</v>
      </c>
      <c r="V783">
        <f ca="1">'Fuel Costs'!$G171*V367</f>
        <v>1.5007667579921447</v>
      </c>
      <c r="W783">
        <f ca="1">'Fuel Costs'!$G171*W367</f>
        <v>1.444619138809609</v>
      </c>
      <c r="X783">
        <f ca="1">'Fuel Costs'!$G171*X367</f>
        <v>1.3884715196270734</v>
      </c>
      <c r="Y783">
        <f ca="1">'Fuel Costs'!$G171*Y367</f>
        <v>1.3182869956489038</v>
      </c>
      <c r="Z783">
        <f ca="1">'Fuel Costs'!$G171*Z367</f>
        <v>1.2481024716707341</v>
      </c>
      <c r="AA783">
        <f ca="1">'Fuel Costs'!$G171*AA367</f>
        <v>1.1631422584340025</v>
      </c>
      <c r="AB783">
        <f ca="1">'Fuel Costs'!$G171*AB367</f>
        <v>0.99322183196053926</v>
      </c>
      <c r="AC783">
        <f ca="1">'Fuel Costs'!$G171*AC367</f>
        <v>0.9082616187238074</v>
      </c>
    </row>
    <row r="784" spans="3:29">
      <c r="C784" t="str">
        <f t="shared" ref="C784:C801" si="298">C9</f>
        <v>Existing coal Small</v>
      </c>
      <c r="D784">
        <f>'Fuel Costs'!$G172*D368</f>
        <v>0</v>
      </c>
      <c r="E784">
        <f>'Fuel Costs'!$G172*E368</f>
        <v>0</v>
      </c>
      <c r="F784">
        <f>'Fuel Costs'!$G172*F368</f>
        <v>0</v>
      </c>
      <c r="G784">
        <f>'Fuel Costs'!$G172*G368</f>
        <v>0</v>
      </c>
      <c r="H784">
        <f>'Fuel Costs'!$G172*H368</f>
        <v>0</v>
      </c>
      <c r="I784">
        <f ca="1">'Fuel Costs'!$G172*I368</f>
        <v>0</v>
      </c>
      <c r="J784">
        <f ca="1">'Fuel Costs'!$G172*J368</f>
        <v>0</v>
      </c>
      <c r="K784">
        <f ca="1">'Fuel Costs'!$G172*K368</f>
        <v>0</v>
      </c>
      <c r="L784">
        <f ca="1">'Fuel Costs'!$G172*L368</f>
        <v>0</v>
      </c>
      <c r="M784">
        <f ca="1">'Fuel Costs'!$G172*M368</f>
        <v>0</v>
      </c>
      <c r="N784">
        <f ca="1">'Fuel Costs'!$G172*N368</f>
        <v>0</v>
      </c>
      <c r="O784">
        <f ca="1">'Fuel Costs'!$G172*O368</f>
        <v>0</v>
      </c>
      <c r="P784">
        <f ca="1">'Fuel Costs'!$G172*P368</f>
        <v>0</v>
      </c>
      <c r="Q784">
        <f ca="1">'Fuel Costs'!$G172*Q368</f>
        <v>0</v>
      </c>
      <c r="R784">
        <f ca="1">'Fuel Costs'!$G172*R368</f>
        <v>0</v>
      </c>
      <c r="S784">
        <f ca="1">'Fuel Costs'!$G172*S368</f>
        <v>0</v>
      </c>
      <c r="T784">
        <f ca="1">'Fuel Costs'!$G172*T368</f>
        <v>0</v>
      </c>
      <c r="U784">
        <f ca="1">'Fuel Costs'!$G172*U368</f>
        <v>0</v>
      </c>
      <c r="V784">
        <f ca="1">'Fuel Costs'!$G172*V368</f>
        <v>0</v>
      </c>
      <c r="W784">
        <f ca="1">'Fuel Costs'!$G172*W368</f>
        <v>0</v>
      </c>
      <c r="X784">
        <f ca="1">'Fuel Costs'!$G172*X368</f>
        <v>0</v>
      </c>
      <c r="Y784">
        <f ca="1">'Fuel Costs'!$G172*Y368</f>
        <v>0</v>
      </c>
      <c r="Z784">
        <f ca="1">'Fuel Costs'!$G172*Z368</f>
        <v>0</v>
      </c>
      <c r="AA784">
        <f ca="1">'Fuel Costs'!$G172*AA368</f>
        <v>0</v>
      </c>
      <c r="AB784">
        <f ca="1">'Fuel Costs'!$G172*AB368</f>
        <v>0</v>
      </c>
      <c r="AC784">
        <f ca="1">'Fuel Costs'!$G172*AC368</f>
        <v>0</v>
      </c>
    </row>
    <row r="785" spans="3:29">
      <c r="C785" t="str">
        <f t="shared" si="298"/>
        <v>OCGT liquid fuels</v>
      </c>
      <c r="D785">
        <f>'Fuel Costs'!$G173*D369</f>
        <v>1.8798442271375428E-3</v>
      </c>
      <c r="E785">
        <f>'Fuel Costs'!$G173*E369</f>
        <v>1.8798442271375428E-3</v>
      </c>
      <c r="F785">
        <f>'Fuel Costs'!$G173*F369</f>
        <v>1.8798442271375428E-3</v>
      </c>
      <c r="G785">
        <f>'Fuel Costs'!$G173*G369</f>
        <v>1.8798442271375428E-3</v>
      </c>
      <c r="H785">
        <f>'Fuel Costs'!$G173*H369</f>
        <v>1.8798442271375428E-3</v>
      </c>
      <c r="I785">
        <f ca="1">'Fuel Costs'!$G173*I369</f>
        <v>1.8798442271375428E-3</v>
      </c>
      <c r="J785">
        <f ca="1">'Fuel Costs'!$G173*J369</f>
        <v>2.7257741293494372E-3</v>
      </c>
      <c r="K785">
        <f ca="1">'Fuel Costs'!$G173*K369</f>
        <v>2.7257741293494372E-3</v>
      </c>
      <c r="L785">
        <f ca="1">'Fuel Costs'!$G173*L369</f>
        <v>2.7257741293494372E-3</v>
      </c>
      <c r="M785">
        <f ca="1">'Fuel Costs'!$G173*M369</f>
        <v>2.7257741293494372E-3</v>
      </c>
      <c r="N785">
        <f ca="1">'Fuel Costs'!$G173*N369</f>
        <v>2.7257741293494372E-3</v>
      </c>
      <c r="O785">
        <f ca="1">'Fuel Costs'!$G173*O369</f>
        <v>2.7257741293494372E-3</v>
      </c>
      <c r="P785">
        <f ca="1">'Fuel Costs'!$G173*P369</f>
        <v>2.7257741293494372E-3</v>
      </c>
      <c r="Q785">
        <f ca="1">'Fuel Costs'!$G173*Q369</f>
        <v>2.7257741293494372E-3</v>
      </c>
      <c r="R785">
        <f ca="1">'Fuel Costs'!$G173*R369</f>
        <v>2.7257741293494372E-3</v>
      </c>
      <c r="S785">
        <f ca="1">'Fuel Costs'!$G173*S369</f>
        <v>2.7257741293494372E-3</v>
      </c>
      <c r="T785">
        <f ca="1">'Fuel Costs'!$G173*T369</f>
        <v>2.7257741293494372E-3</v>
      </c>
      <c r="U785">
        <f ca="1">'Fuel Costs'!$G173*U369</f>
        <v>2.7257741293494372E-3</v>
      </c>
      <c r="V785">
        <f ca="1">'Fuel Costs'!$G173*V369</f>
        <v>3.2897273974907006E-3</v>
      </c>
      <c r="W785">
        <f ca="1">'Fuel Costs'!$G173*W369</f>
        <v>3.2897273974907006E-3</v>
      </c>
      <c r="X785">
        <f ca="1">'Fuel Costs'!$G173*X369</f>
        <v>3.2897273974907006E-3</v>
      </c>
      <c r="Y785">
        <f ca="1">'Fuel Costs'!$G173*Y369</f>
        <v>3.8536806656319631E-3</v>
      </c>
      <c r="Z785">
        <f ca="1">'Fuel Costs'!$G173*Z369</f>
        <v>3.8536806656319631E-3</v>
      </c>
      <c r="AA785">
        <f ca="1">'Fuel Costs'!$G173*AA369</f>
        <v>3.8536806656319631E-3</v>
      </c>
      <c r="AB785">
        <f ca="1">'Fuel Costs'!$G173*AB369</f>
        <v>4.4176339337732252E-3</v>
      </c>
      <c r="AC785">
        <f ca="1">'Fuel Costs'!$G173*AC369</f>
        <v>4.2836950325896754E-3</v>
      </c>
    </row>
    <row r="786" spans="3:29">
      <c r="C786" t="str">
        <f t="shared" si="298"/>
        <v>PWR nuclear</v>
      </c>
      <c r="D786">
        <f>'Fuel Costs'!$G174*D370</f>
        <v>0</v>
      </c>
      <c r="E786">
        <f>'Fuel Costs'!$G174*E370</f>
        <v>0</v>
      </c>
      <c r="F786">
        <f>'Fuel Costs'!$G174*F370</f>
        <v>0</v>
      </c>
      <c r="G786">
        <f>'Fuel Costs'!$G174*G370</f>
        <v>0</v>
      </c>
      <c r="H786">
        <f>'Fuel Costs'!$G174*H370</f>
        <v>0</v>
      </c>
      <c r="I786">
        <f ca="1">'Fuel Costs'!$G174*I370</f>
        <v>0</v>
      </c>
      <c r="J786">
        <f ca="1">'Fuel Costs'!$G174*J370</f>
        <v>0</v>
      </c>
      <c r="K786">
        <f ca="1">'Fuel Costs'!$G174*K370</f>
        <v>0</v>
      </c>
      <c r="L786">
        <f ca="1">'Fuel Costs'!$G174*L370</f>
        <v>0</v>
      </c>
      <c r="M786">
        <f ca="1">'Fuel Costs'!$G174*M370</f>
        <v>0</v>
      </c>
      <c r="N786">
        <f ca="1">'Fuel Costs'!$G174*N370</f>
        <v>0</v>
      </c>
      <c r="O786">
        <f ca="1">'Fuel Costs'!$G174*O370</f>
        <v>0</v>
      </c>
      <c r="P786">
        <f ca="1">'Fuel Costs'!$G174*P370</f>
        <v>0</v>
      </c>
      <c r="Q786">
        <f ca="1">'Fuel Costs'!$G174*Q370</f>
        <v>0</v>
      </c>
      <c r="R786">
        <f ca="1">'Fuel Costs'!$G174*R370</f>
        <v>0</v>
      </c>
      <c r="S786">
        <f ca="1">'Fuel Costs'!$G174*S370</f>
        <v>0</v>
      </c>
      <c r="T786">
        <f ca="1">'Fuel Costs'!$G174*T370</f>
        <v>0</v>
      </c>
      <c r="U786">
        <f ca="1">'Fuel Costs'!$G174*U370</f>
        <v>0</v>
      </c>
      <c r="V786">
        <f ca="1">'Fuel Costs'!$G174*V370</f>
        <v>0</v>
      </c>
      <c r="W786">
        <f ca="1">'Fuel Costs'!$G174*W370</f>
        <v>0</v>
      </c>
      <c r="X786">
        <f ca="1">'Fuel Costs'!$G174*X370</f>
        <v>0</v>
      </c>
      <c r="Y786">
        <f ca="1">'Fuel Costs'!$G174*Y370</f>
        <v>0</v>
      </c>
      <c r="Z786">
        <f ca="1">'Fuel Costs'!$G174*Z370</f>
        <v>0</v>
      </c>
      <c r="AA786">
        <f ca="1">'Fuel Costs'!$G174*AA370</f>
        <v>0</v>
      </c>
      <c r="AB786">
        <f ca="1">'Fuel Costs'!$G174*AB370</f>
        <v>0</v>
      </c>
      <c r="AC786">
        <f ca="1">'Fuel Costs'!$G174*AC370</f>
        <v>0</v>
      </c>
    </row>
    <row r="787" spans="3:29">
      <c r="C787" t="str">
        <f t="shared" si="298"/>
        <v>Hydro</v>
      </c>
      <c r="D787">
        <f>'Fuel Costs'!$G175*D371</f>
        <v>0</v>
      </c>
      <c r="E787">
        <f>'Fuel Costs'!$G175*E371</f>
        <v>0</v>
      </c>
      <c r="F787">
        <f>'Fuel Costs'!$G175*F371</f>
        <v>0</v>
      </c>
      <c r="G787">
        <f>'Fuel Costs'!$G175*G371</f>
        <v>0</v>
      </c>
      <c r="H787">
        <f>'Fuel Costs'!$G175*H371</f>
        <v>0</v>
      </c>
      <c r="I787">
        <f ca="1">'Fuel Costs'!$G175*I371</f>
        <v>0</v>
      </c>
      <c r="J787">
        <f ca="1">'Fuel Costs'!$G175*J371</f>
        <v>0</v>
      </c>
      <c r="K787">
        <f ca="1">'Fuel Costs'!$G175*K371</f>
        <v>0</v>
      </c>
      <c r="L787">
        <f ca="1">'Fuel Costs'!$G175*L371</f>
        <v>0</v>
      </c>
      <c r="M787">
        <f ca="1">'Fuel Costs'!$G175*M371</f>
        <v>0</v>
      </c>
      <c r="N787">
        <f ca="1">'Fuel Costs'!$G175*N371</f>
        <v>0</v>
      </c>
      <c r="O787">
        <f ca="1">'Fuel Costs'!$G175*O371</f>
        <v>0</v>
      </c>
      <c r="P787">
        <f ca="1">'Fuel Costs'!$G175*P371</f>
        <v>0</v>
      </c>
      <c r="Q787">
        <f ca="1">'Fuel Costs'!$G175*Q371</f>
        <v>0</v>
      </c>
      <c r="R787">
        <f ca="1">'Fuel Costs'!$G175*R371</f>
        <v>0</v>
      </c>
      <c r="S787">
        <f ca="1">'Fuel Costs'!$G175*S371</f>
        <v>0</v>
      </c>
      <c r="T787">
        <f ca="1">'Fuel Costs'!$G175*T371</f>
        <v>0</v>
      </c>
      <c r="U787">
        <f ca="1">'Fuel Costs'!$G175*U371</f>
        <v>0</v>
      </c>
      <c r="V787">
        <f ca="1">'Fuel Costs'!$G175*V371</f>
        <v>0</v>
      </c>
      <c r="W787">
        <f ca="1">'Fuel Costs'!$G175*W371</f>
        <v>0</v>
      </c>
      <c r="X787">
        <f ca="1">'Fuel Costs'!$G175*X371</f>
        <v>0</v>
      </c>
      <c r="Y787">
        <f ca="1">'Fuel Costs'!$G175*Y371</f>
        <v>0</v>
      </c>
      <c r="Z787">
        <f ca="1">'Fuel Costs'!$G175*Z371</f>
        <v>0</v>
      </c>
      <c r="AA787">
        <f ca="1">'Fuel Costs'!$G175*AA371</f>
        <v>0</v>
      </c>
      <c r="AB787">
        <f ca="1">'Fuel Costs'!$G175*AB371</f>
        <v>0</v>
      </c>
      <c r="AC787">
        <f ca="1">'Fuel Costs'!$G175*AC371</f>
        <v>0</v>
      </c>
    </row>
    <row r="788" spans="3:29">
      <c r="C788" t="str">
        <f t="shared" si="298"/>
        <v>Landfill gas</v>
      </c>
      <c r="D788">
        <f>'Fuel Costs'!$G176*D372</f>
        <v>0</v>
      </c>
      <c r="E788">
        <f>'Fuel Costs'!$G176*E372</f>
        <v>0</v>
      </c>
      <c r="F788">
        <f>'Fuel Costs'!$G176*F372</f>
        <v>0</v>
      </c>
      <c r="G788">
        <f>'Fuel Costs'!$G176*G372</f>
        <v>0</v>
      </c>
      <c r="H788">
        <f>'Fuel Costs'!$G176*H372</f>
        <v>0</v>
      </c>
      <c r="I788">
        <f ca="1">'Fuel Costs'!$G176*I372</f>
        <v>0</v>
      </c>
      <c r="J788">
        <f ca="1">'Fuel Costs'!$G176*J372</f>
        <v>0</v>
      </c>
      <c r="K788">
        <f ca="1">'Fuel Costs'!$G176*K372</f>
        <v>0</v>
      </c>
      <c r="L788">
        <f ca="1">'Fuel Costs'!$G176*L372</f>
        <v>0</v>
      </c>
      <c r="M788">
        <f ca="1">'Fuel Costs'!$G176*M372</f>
        <v>0</v>
      </c>
      <c r="N788">
        <f ca="1">'Fuel Costs'!$G176*N372</f>
        <v>0</v>
      </c>
      <c r="O788">
        <f ca="1">'Fuel Costs'!$G176*O372</f>
        <v>0</v>
      </c>
      <c r="P788">
        <f ca="1">'Fuel Costs'!$G176*P372</f>
        <v>0</v>
      </c>
      <c r="Q788">
        <f ca="1">'Fuel Costs'!$G176*Q372</f>
        <v>0</v>
      </c>
      <c r="R788">
        <f ca="1">'Fuel Costs'!$G176*R372</f>
        <v>0</v>
      </c>
      <c r="S788">
        <f ca="1">'Fuel Costs'!$G176*S372</f>
        <v>0</v>
      </c>
      <c r="T788">
        <f ca="1">'Fuel Costs'!$G176*T372</f>
        <v>0</v>
      </c>
      <c r="U788">
        <f ca="1">'Fuel Costs'!$G176*U372</f>
        <v>0</v>
      </c>
      <c r="V788">
        <f ca="1">'Fuel Costs'!$G176*V372</f>
        <v>0</v>
      </c>
      <c r="W788">
        <f ca="1">'Fuel Costs'!$G176*W372</f>
        <v>0</v>
      </c>
      <c r="X788">
        <f ca="1">'Fuel Costs'!$G176*X372</f>
        <v>0</v>
      </c>
      <c r="Y788">
        <f ca="1">'Fuel Costs'!$G176*Y372</f>
        <v>0</v>
      </c>
      <c r="Z788">
        <f ca="1">'Fuel Costs'!$G176*Z372</f>
        <v>0</v>
      </c>
      <c r="AA788">
        <f ca="1">'Fuel Costs'!$G176*AA372</f>
        <v>0</v>
      </c>
      <c r="AB788">
        <f ca="1">'Fuel Costs'!$G176*AB372</f>
        <v>0</v>
      </c>
      <c r="AC788">
        <f ca="1">'Fuel Costs'!$G176*AC372</f>
        <v>0</v>
      </c>
    </row>
    <row r="789" spans="3:29">
      <c r="C789" t="str">
        <f t="shared" si="298"/>
        <v>Biomass</v>
      </c>
      <c r="D789">
        <f>'Fuel Costs'!$G177*D373</f>
        <v>0</v>
      </c>
      <c r="E789">
        <f>'Fuel Costs'!$G177*E373</f>
        <v>0</v>
      </c>
      <c r="F789">
        <f>'Fuel Costs'!$G177*F373</f>
        <v>0</v>
      </c>
      <c r="G789">
        <f>'Fuel Costs'!$G177*G373</f>
        <v>0</v>
      </c>
      <c r="H789">
        <f>'Fuel Costs'!$G177*H373</f>
        <v>0</v>
      </c>
      <c r="I789">
        <f ca="1">'Fuel Costs'!$G177*I373</f>
        <v>0</v>
      </c>
      <c r="J789">
        <f ca="1">'Fuel Costs'!$G177*J373</f>
        <v>0</v>
      </c>
      <c r="K789">
        <f ca="1">'Fuel Costs'!$G177*K373</f>
        <v>0</v>
      </c>
      <c r="L789">
        <f ca="1">'Fuel Costs'!$G177*L373</f>
        <v>0</v>
      </c>
      <c r="M789">
        <f ca="1">'Fuel Costs'!$G177*M373</f>
        <v>0</v>
      </c>
      <c r="N789">
        <f ca="1">'Fuel Costs'!$G177*N373</f>
        <v>0</v>
      </c>
      <c r="O789">
        <f ca="1">'Fuel Costs'!$G177*O373</f>
        <v>0</v>
      </c>
      <c r="P789">
        <f ca="1">'Fuel Costs'!$G177*P373</f>
        <v>0</v>
      </c>
      <c r="Q789">
        <f ca="1">'Fuel Costs'!$G177*Q373</f>
        <v>0</v>
      </c>
      <c r="R789">
        <f ca="1">'Fuel Costs'!$G177*R373</f>
        <v>0</v>
      </c>
      <c r="S789">
        <f ca="1">'Fuel Costs'!$G177*S373</f>
        <v>0</v>
      </c>
      <c r="T789">
        <f ca="1">'Fuel Costs'!$G177*T373</f>
        <v>0</v>
      </c>
      <c r="U789">
        <f ca="1">'Fuel Costs'!$G177*U373</f>
        <v>0</v>
      </c>
      <c r="V789">
        <f ca="1">'Fuel Costs'!$G177*V373</f>
        <v>0</v>
      </c>
      <c r="W789">
        <f ca="1">'Fuel Costs'!$G177*W373</f>
        <v>0</v>
      </c>
      <c r="X789">
        <f ca="1">'Fuel Costs'!$G177*X373</f>
        <v>0</v>
      </c>
      <c r="Y789">
        <f ca="1">'Fuel Costs'!$G177*Y373</f>
        <v>0</v>
      </c>
      <c r="Z789">
        <f ca="1">'Fuel Costs'!$G177*Z373</f>
        <v>0</v>
      </c>
      <c r="AA789">
        <f ca="1">'Fuel Costs'!$G177*AA373</f>
        <v>0</v>
      </c>
      <c r="AB789">
        <f ca="1">'Fuel Costs'!$G177*AB373</f>
        <v>0</v>
      </c>
      <c r="AC789">
        <f ca="1">'Fuel Costs'!$G177*AC373</f>
        <v>0</v>
      </c>
    </row>
    <row r="790" spans="3:29">
      <c r="C790" t="str">
        <f t="shared" si="298"/>
        <v>Supercritical coal</v>
      </c>
      <c r="D790">
        <f>'Fuel Costs'!$G178*D374</f>
        <v>0</v>
      </c>
      <c r="E790">
        <f>'Fuel Costs'!$G178*E374</f>
        <v>0</v>
      </c>
      <c r="F790">
        <f>'Fuel Costs'!$G178*F374</f>
        <v>0</v>
      </c>
      <c r="G790">
        <f>'Fuel Costs'!$G178*G374</f>
        <v>0</v>
      </c>
      <c r="H790">
        <f>'Fuel Costs'!$G178*H374</f>
        <v>0</v>
      </c>
      <c r="I790">
        <f ca="1">'Fuel Costs'!$G178*I374</f>
        <v>0</v>
      </c>
      <c r="J790">
        <f ca="1">'Fuel Costs'!$G178*J374</f>
        <v>0</v>
      </c>
      <c r="K790">
        <f ca="1">'Fuel Costs'!$G178*K374</f>
        <v>0</v>
      </c>
      <c r="L790">
        <f ca="1">'Fuel Costs'!$G178*L374</f>
        <v>0</v>
      </c>
      <c r="M790">
        <f ca="1">'Fuel Costs'!$G178*M374</f>
        <v>0</v>
      </c>
      <c r="N790">
        <f ca="1">'Fuel Costs'!$G178*N374</f>
        <v>0</v>
      </c>
      <c r="O790">
        <f ca="1">'Fuel Costs'!$G178*O374</f>
        <v>0</v>
      </c>
      <c r="P790">
        <f ca="1">'Fuel Costs'!$G178*P374</f>
        <v>0</v>
      </c>
      <c r="Q790">
        <f ca="1">'Fuel Costs'!$G178*Q374</f>
        <v>0</v>
      </c>
      <c r="R790">
        <f ca="1">'Fuel Costs'!$G178*R374</f>
        <v>0</v>
      </c>
      <c r="S790">
        <f ca="1">'Fuel Costs'!$G178*S374</f>
        <v>0</v>
      </c>
      <c r="T790">
        <f ca="1">'Fuel Costs'!$G178*T374</f>
        <v>0</v>
      </c>
      <c r="U790">
        <f ca="1">'Fuel Costs'!$G178*U374</f>
        <v>0</v>
      </c>
      <c r="V790">
        <f ca="1">'Fuel Costs'!$G178*V374</f>
        <v>0</v>
      </c>
      <c r="W790">
        <f ca="1">'Fuel Costs'!$G178*W374</f>
        <v>0</v>
      </c>
      <c r="X790">
        <f ca="1">'Fuel Costs'!$G178*X374</f>
        <v>0</v>
      </c>
      <c r="Y790">
        <f ca="1">'Fuel Costs'!$G178*Y374</f>
        <v>0</v>
      </c>
      <c r="Z790">
        <f ca="1">'Fuel Costs'!$G178*Z374</f>
        <v>0</v>
      </c>
      <c r="AA790">
        <f ca="1">'Fuel Costs'!$G178*AA374</f>
        <v>0</v>
      </c>
      <c r="AB790">
        <f ca="1">'Fuel Costs'!$G178*AB374</f>
        <v>0</v>
      </c>
      <c r="AC790">
        <f ca="1">'Fuel Costs'!$G178*AC374</f>
        <v>0</v>
      </c>
    </row>
    <row r="791" spans="3:29">
      <c r="C791" t="str">
        <f t="shared" si="298"/>
        <v xml:space="preserve">Wind 30% </v>
      </c>
      <c r="D791">
        <f>'Fuel Costs'!$G179*D375</f>
        <v>0</v>
      </c>
      <c r="E791">
        <f>'Fuel Costs'!$G179*E375</f>
        <v>0</v>
      </c>
      <c r="F791">
        <f>'Fuel Costs'!$G179*F375</f>
        <v>0</v>
      </c>
      <c r="G791">
        <f>'Fuel Costs'!$G179*G375</f>
        <v>0</v>
      </c>
      <c r="H791">
        <f>'Fuel Costs'!$G179*H375</f>
        <v>0</v>
      </c>
      <c r="I791">
        <f ca="1">'Fuel Costs'!$G179*I375</f>
        <v>0</v>
      </c>
      <c r="J791">
        <f ca="1">'Fuel Costs'!$G179*J375</f>
        <v>0</v>
      </c>
      <c r="K791">
        <f ca="1">'Fuel Costs'!$G179*K375</f>
        <v>0</v>
      </c>
      <c r="L791">
        <f ca="1">'Fuel Costs'!$G179*L375</f>
        <v>0</v>
      </c>
      <c r="M791">
        <f ca="1">'Fuel Costs'!$G179*M375</f>
        <v>0</v>
      </c>
      <c r="N791">
        <f ca="1">'Fuel Costs'!$G179*N375</f>
        <v>0</v>
      </c>
      <c r="O791">
        <f ca="1">'Fuel Costs'!$G179*O375</f>
        <v>0</v>
      </c>
      <c r="P791">
        <f ca="1">'Fuel Costs'!$G179*P375</f>
        <v>0</v>
      </c>
      <c r="Q791">
        <f ca="1">'Fuel Costs'!$G179*Q375</f>
        <v>0</v>
      </c>
      <c r="R791">
        <f ca="1">'Fuel Costs'!$G179*R375</f>
        <v>0</v>
      </c>
      <c r="S791">
        <f ca="1">'Fuel Costs'!$G179*S375</f>
        <v>0</v>
      </c>
      <c r="T791">
        <f ca="1">'Fuel Costs'!$G179*T375</f>
        <v>0</v>
      </c>
      <c r="U791">
        <f ca="1">'Fuel Costs'!$G179*U375</f>
        <v>0</v>
      </c>
      <c r="V791">
        <f ca="1">'Fuel Costs'!$G179*V375</f>
        <v>0</v>
      </c>
      <c r="W791">
        <f ca="1">'Fuel Costs'!$G179*W375</f>
        <v>0</v>
      </c>
      <c r="X791">
        <f ca="1">'Fuel Costs'!$G179*X375</f>
        <v>0</v>
      </c>
      <c r="Y791">
        <f ca="1">'Fuel Costs'!$G179*Y375</f>
        <v>0</v>
      </c>
      <c r="Z791">
        <f ca="1">'Fuel Costs'!$G179*Z375</f>
        <v>0</v>
      </c>
      <c r="AA791">
        <f ca="1">'Fuel Costs'!$G179*AA375</f>
        <v>0</v>
      </c>
      <c r="AB791">
        <f ca="1">'Fuel Costs'!$G179*AB375</f>
        <v>0</v>
      </c>
      <c r="AC791">
        <f ca="1">'Fuel Costs'!$G179*AC375</f>
        <v>0</v>
      </c>
    </row>
    <row r="792" spans="3:29">
      <c r="C792" t="str">
        <f t="shared" si="298"/>
        <v>Wind 25%</v>
      </c>
      <c r="D792">
        <f>'Fuel Costs'!$G180*D376</f>
        <v>0</v>
      </c>
      <c r="E792">
        <f>'Fuel Costs'!$G180*E376</f>
        <v>0</v>
      </c>
      <c r="F792">
        <f>'Fuel Costs'!$G180*F376</f>
        <v>0</v>
      </c>
      <c r="G792">
        <f>'Fuel Costs'!$G180*G376</f>
        <v>0</v>
      </c>
      <c r="H792">
        <f>'Fuel Costs'!$G180*H376</f>
        <v>0</v>
      </c>
      <c r="I792">
        <f ca="1">'Fuel Costs'!$G180*I376</f>
        <v>0</v>
      </c>
      <c r="J792">
        <f ca="1">'Fuel Costs'!$G180*J376</f>
        <v>0</v>
      </c>
      <c r="K792">
        <f ca="1">'Fuel Costs'!$G180*K376</f>
        <v>0</v>
      </c>
      <c r="L792">
        <f ca="1">'Fuel Costs'!$G180*L376</f>
        <v>0</v>
      </c>
      <c r="M792">
        <f ca="1">'Fuel Costs'!$G180*M376</f>
        <v>0</v>
      </c>
      <c r="N792">
        <f ca="1">'Fuel Costs'!$G180*N376</f>
        <v>0</v>
      </c>
      <c r="O792">
        <f ca="1">'Fuel Costs'!$G180*O376</f>
        <v>0</v>
      </c>
      <c r="P792">
        <f ca="1">'Fuel Costs'!$G180*P376</f>
        <v>0</v>
      </c>
      <c r="Q792">
        <f ca="1">'Fuel Costs'!$G180*Q376</f>
        <v>0</v>
      </c>
      <c r="R792">
        <f ca="1">'Fuel Costs'!$G180*R376</f>
        <v>0</v>
      </c>
      <c r="S792">
        <f ca="1">'Fuel Costs'!$G180*S376</f>
        <v>0</v>
      </c>
      <c r="T792">
        <f ca="1">'Fuel Costs'!$G180*T376</f>
        <v>0</v>
      </c>
      <c r="U792">
        <f ca="1">'Fuel Costs'!$G180*U376</f>
        <v>0</v>
      </c>
      <c r="V792">
        <f ca="1">'Fuel Costs'!$G180*V376</f>
        <v>0</v>
      </c>
      <c r="W792">
        <f ca="1">'Fuel Costs'!$G180*W376</f>
        <v>0</v>
      </c>
      <c r="X792">
        <f ca="1">'Fuel Costs'!$G180*X376</f>
        <v>0</v>
      </c>
      <c r="Y792">
        <f ca="1">'Fuel Costs'!$G180*Y376</f>
        <v>0</v>
      </c>
      <c r="Z792">
        <f ca="1">'Fuel Costs'!$G180*Z376</f>
        <v>0</v>
      </c>
      <c r="AA792">
        <f ca="1">'Fuel Costs'!$G180*AA376</f>
        <v>0</v>
      </c>
      <c r="AB792">
        <f ca="1">'Fuel Costs'!$G180*AB376</f>
        <v>0</v>
      </c>
      <c r="AC792">
        <f ca="1">'Fuel Costs'!$G180*AC376</f>
        <v>0</v>
      </c>
    </row>
    <row r="793" spans="3:29">
      <c r="C793" t="str">
        <f t="shared" si="298"/>
        <v>solar thermal central reciever</v>
      </c>
      <c r="D793">
        <f>'Fuel Costs'!$G181*D377</f>
        <v>0</v>
      </c>
      <c r="E793">
        <f>'Fuel Costs'!$G181*E377</f>
        <v>0</v>
      </c>
      <c r="F793">
        <f>'Fuel Costs'!$G181*F377</f>
        <v>0</v>
      </c>
      <c r="G793">
        <f>'Fuel Costs'!$G181*G377</f>
        <v>0</v>
      </c>
      <c r="H793">
        <f>'Fuel Costs'!$G181*H377</f>
        <v>0</v>
      </c>
      <c r="I793">
        <f ca="1">'Fuel Costs'!$G181*I377</f>
        <v>0</v>
      </c>
      <c r="J793">
        <f ca="1">'Fuel Costs'!$G181*J377</f>
        <v>0</v>
      </c>
      <c r="K793">
        <f ca="1">'Fuel Costs'!$G181*K377</f>
        <v>0</v>
      </c>
      <c r="L793">
        <f ca="1">'Fuel Costs'!$G181*L377</f>
        <v>0</v>
      </c>
      <c r="M793">
        <f ca="1">'Fuel Costs'!$G181*M377</f>
        <v>0</v>
      </c>
      <c r="N793">
        <f ca="1">'Fuel Costs'!$G181*N377</f>
        <v>0</v>
      </c>
      <c r="O793">
        <f ca="1">'Fuel Costs'!$G181*O377</f>
        <v>0</v>
      </c>
      <c r="P793">
        <f ca="1">'Fuel Costs'!$G181*P377</f>
        <v>0</v>
      </c>
      <c r="Q793">
        <f ca="1">'Fuel Costs'!$G181*Q377</f>
        <v>0</v>
      </c>
      <c r="R793">
        <f ca="1">'Fuel Costs'!$G181*R377</f>
        <v>0</v>
      </c>
      <c r="S793">
        <f ca="1">'Fuel Costs'!$G181*S377</f>
        <v>0</v>
      </c>
      <c r="T793">
        <f ca="1">'Fuel Costs'!$G181*T377</f>
        <v>0</v>
      </c>
      <c r="U793">
        <f ca="1">'Fuel Costs'!$G181*U377</f>
        <v>0</v>
      </c>
      <c r="V793">
        <f ca="1">'Fuel Costs'!$G181*V377</f>
        <v>0</v>
      </c>
      <c r="W793">
        <f ca="1">'Fuel Costs'!$G181*W377</f>
        <v>0</v>
      </c>
      <c r="X793">
        <f ca="1">'Fuel Costs'!$G181*X377</f>
        <v>0</v>
      </c>
      <c r="Y793">
        <f ca="1">'Fuel Costs'!$G181*Y377</f>
        <v>0</v>
      </c>
      <c r="Z793">
        <f ca="1">'Fuel Costs'!$G181*Z377</f>
        <v>0</v>
      </c>
      <c r="AA793">
        <f ca="1">'Fuel Costs'!$G181*AA377</f>
        <v>0</v>
      </c>
      <c r="AB793">
        <f ca="1">'Fuel Costs'!$G181*AB377</f>
        <v>0</v>
      </c>
      <c r="AC793">
        <f ca="1">'Fuel Costs'!$G181*AC377</f>
        <v>0</v>
      </c>
    </row>
    <row r="794" spans="3:29">
      <c r="C794" t="str">
        <f t="shared" si="298"/>
        <v>solar thermal trough</v>
      </c>
      <c r="D794">
        <f>'Fuel Costs'!$G182*D378</f>
        <v>0</v>
      </c>
      <c r="E794">
        <f>'Fuel Costs'!$G182*E378</f>
        <v>0</v>
      </c>
      <c r="F794">
        <f>'Fuel Costs'!$G182*F378</f>
        <v>0</v>
      </c>
      <c r="G794">
        <f>'Fuel Costs'!$G182*G378</f>
        <v>0</v>
      </c>
      <c r="H794">
        <f>'Fuel Costs'!$G182*H378</f>
        <v>0</v>
      </c>
      <c r="I794">
        <f ca="1">'Fuel Costs'!$G182*I378</f>
        <v>0</v>
      </c>
      <c r="J794">
        <f ca="1">'Fuel Costs'!$G182*J378</f>
        <v>0</v>
      </c>
      <c r="K794">
        <f ca="1">'Fuel Costs'!$G182*K378</f>
        <v>0</v>
      </c>
      <c r="L794">
        <f ca="1">'Fuel Costs'!$G182*L378</f>
        <v>0</v>
      </c>
      <c r="M794">
        <f ca="1">'Fuel Costs'!$G182*M378</f>
        <v>0</v>
      </c>
      <c r="N794">
        <f ca="1">'Fuel Costs'!$G182*N378</f>
        <v>0</v>
      </c>
      <c r="O794">
        <f ca="1">'Fuel Costs'!$G182*O378</f>
        <v>0</v>
      </c>
      <c r="P794">
        <f ca="1">'Fuel Costs'!$G182*P378</f>
        <v>0</v>
      </c>
      <c r="Q794">
        <f ca="1">'Fuel Costs'!$G182*Q378</f>
        <v>0</v>
      </c>
      <c r="R794">
        <f ca="1">'Fuel Costs'!$G182*R378</f>
        <v>0</v>
      </c>
      <c r="S794">
        <f ca="1">'Fuel Costs'!$G182*S378</f>
        <v>0</v>
      </c>
      <c r="T794">
        <f ca="1">'Fuel Costs'!$G182*T378</f>
        <v>0</v>
      </c>
      <c r="U794">
        <f ca="1">'Fuel Costs'!$G182*U378</f>
        <v>0</v>
      </c>
      <c r="V794">
        <f ca="1">'Fuel Costs'!$G182*V378</f>
        <v>0</v>
      </c>
      <c r="W794">
        <f ca="1">'Fuel Costs'!$G182*W378</f>
        <v>0</v>
      </c>
      <c r="X794">
        <f ca="1">'Fuel Costs'!$G182*X378</f>
        <v>0</v>
      </c>
      <c r="Y794">
        <f ca="1">'Fuel Costs'!$G182*Y378</f>
        <v>0</v>
      </c>
      <c r="Z794">
        <f ca="1">'Fuel Costs'!$G182*Z378</f>
        <v>0</v>
      </c>
      <c r="AA794">
        <f ca="1">'Fuel Costs'!$G182*AA378</f>
        <v>0</v>
      </c>
      <c r="AB794">
        <f ca="1">'Fuel Costs'!$G182*AB378</f>
        <v>0</v>
      </c>
      <c r="AC794">
        <f ca="1">'Fuel Costs'!$G182*AC378</f>
        <v>0</v>
      </c>
    </row>
    <row r="795" spans="3:29">
      <c r="C795" t="str">
        <f t="shared" si="298"/>
        <v>solar PV</v>
      </c>
      <c r="D795">
        <f>'Fuel Costs'!$G183*D379</f>
        <v>0</v>
      </c>
      <c r="E795">
        <f>'Fuel Costs'!$G183*E379</f>
        <v>0</v>
      </c>
      <c r="F795">
        <f>'Fuel Costs'!$G183*F379</f>
        <v>0</v>
      </c>
      <c r="G795">
        <f>'Fuel Costs'!$G183*G379</f>
        <v>0</v>
      </c>
      <c r="H795">
        <f>'Fuel Costs'!$G183*H379</f>
        <v>0</v>
      </c>
      <c r="I795">
        <f ca="1">'Fuel Costs'!$G183*I379</f>
        <v>0</v>
      </c>
      <c r="J795">
        <f ca="1">'Fuel Costs'!$G183*J379</f>
        <v>0</v>
      </c>
      <c r="K795">
        <f ca="1">'Fuel Costs'!$G183*K379</f>
        <v>0</v>
      </c>
      <c r="L795">
        <f ca="1">'Fuel Costs'!$G183*L379</f>
        <v>0</v>
      </c>
      <c r="M795">
        <f ca="1">'Fuel Costs'!$G183*M379</f>
        <v>0</v>
      </c>
      <c r="N795">
        <f ca="1">'Fuel Costs'!$G183*N379</f>
        <v>0</v>
      </c>
      <c r="O795">
        <f ca="1">'Fuel Costs'!$G183*O379</f>
        <v>0</v>
      </c>
      <c r="P795">
        <f ca="1">'Fuel Costs'!$G183*P379</f>
        <v>0</v>
      </c>
      <c r="Q795">
        <f ca="1">'Fuel Costs'!$G183*Q379</f>
        <v>0</v>
      </c>
      <c r="R795">
        <f ca="1">'Fuel Costs'!$G183*R379</f>
        <v>0</v>
      </c>
      <c r="S795">
        <f ca="1">'Fuel Costs'!$G183*S379</f>
        <v>0</v>
      </c>
      <c r="T795">
        <f ca="1">'Fuel Costs'!$G183*T379</f>
        <v>0</v>
      </c>
      <c r="U795">
        <f ca="1">'Fuel Costs'!$G183*U379</f>
        <v>0</v>
      </c>
      <c r="V795">
        <f ca="1">'Fuel Costs'!$G183*V379</f>
        <v>0</v>
      </c>
      <c r="W795">
        <f ca="1">'Fuel Costs'!$G183*W379</f>
        <v>0</v>
      </c>
      <c r="X795">
        <f ca="1">'Fuel Costs'!$G183*X379</f>
        <v>0</v>
      </c>
      <c r="Y795">
        <f ca="1">'Fuel Costs'!$G183*Y379</f>
        <v>0</v>
      </c>
      <c r="Z795">
        <f ca="1">'Fuel Costs'!$G183*Z379</f>
        <v>0</v>
      </c>
      <c r="AA795">
        <f ca="1">'Fuel Costs'!$G183*AA379</f>
        <v>0</v>
      </c>
      <c r="AB795">
        <f ca="1">'Fuel Costs'!$G183*AB379</f>
        <v>0</v>
      </c>
      <c r="AC795">
        <f ca="1">'Fuel Costs'!$G183*AC379</f>
        <v>0</v>
      </c>
    </row>
    <row r="796" spans="3:29">
      <c r="C796" t="str">
        <f t="shared" si="298"/>
        <v>combined cycle gas</v>
      </c>
      <c r="D796">
        <f>'Fuel Costs'!$G184*D380</f>
        <v>0</v>
      </c>
      <c r="E796">
        <f>'Fuel Costs'!$G184*E380</f>
        <v>0</v>
      </c>
      <c r="F796">
        <f>'Fuel Costs'!$G184*F380</f>
        <v>0</v>
      </c>
      <c r="G796">
        <f>'Fuel Costs'!$G184*G380</f>
        <v>0</v>
      </c>
      <c r="H796">
        <f>'Fuel Costs'!$G184*H380</f>
        <v>0</v>
      </c>
      <c r="I796">
        <f ca="1">'Fuel Costs'!$G184*I380</f>
        <v>0</v>
      </c>
      <c r="J796">
        <f ca="1">'Fuel Costs'!$G184*J380</f>
        <v>0</v>
      </c>
      <c r="K796">
        <f ca="1">'Fuel Costs'!$G184*K380</f>
        <v>0</v>
      </c>
      <c r="L796">
        <f ca="1">'Fuel Costs'!$G184*L380</f>
        <v>0</v>
      </c>
      <c r="M796">
        <f ca="1">'Fuel Costs'!$G184*M380</f>
        <v>0</v>
      </c>
      <c r="N796">
        <f ca="1">'Fuel Costs'!$G184*N380</f>
        <v>0</v>
      </c>
      <c r="O796">
        <f ca="1">'Fuel Costs'!$G184*O380</f>
        <v>0</v>
      </c>
      <c r="P796">
        <f ca="1">'Fuel Costs'!$G184*P380</f>
        <v>0</v>
      </c>
      <c r="Q796">
        <f ca="1">'Fuel Costs'!$G184*Q380</f>
        <v>0</v>
      </c>
      <c r="R796">
        <f ca="1">'Fuel Costs'!$G184*R380</f>
        <v>0</v>
      </c>
      <c r="S796">
        <f ca="1">'Fuel Costs'!$G184*S380</f>
        <v>0</v>
      </c>
      <c r="T796">
        <f ca="1">'Fuel Costs'!$G184*T380</f>
        <v>0</v>
      </c>
      <c r="U796">
        <f ca="1">'Fuel Costs'!$G184*U380</f>
        <v>0</v>
      </c>
      <c r="V796">
        <f ca="1">'Fuel Costs'!$G184*V380</f>
        <v>0</v>
      </c>
      <c r="W796">
        <f ca="1">'Fuel Costs'!$G184*W380</f>
        <v>0</v>
      </c>
      <c r="X796">
        <f ca="1">'Fuel Costs'!$G184*X380</f>
        <v>0</v>
      </c>
      <c r="Y796">
        <f ca="1">'Fuel Costs'!$G184*Y380</f>
        <v>0</v>
      </c>
      <c r="Z796">
        <f ca="1">'Fuel Costs'!$G184*Z380</f>
        <v>0</v>
      </c>
      <c r="AA796">
        <f ca="1">'Fuel Costs'!$G184*AA380</f>
        <v>0</v>
      </c>
      <c r="AB796">
        <f ca="1">'Fuel Costs'!$G184*AB380</f>
        <v>0</v>
      </c>
      <c r="AC796">
        <f ca="1">'Fuel Costs'!$G184*AC380</f>
        <v>0</v>
      </c>
    </row>
    <row r="797" spans="3:29">
      <c r="C797" t="str">
        <f t="shared" si="298"/>
        <v>PBMR</v>
      </c>
      <c r="D797">
        <f>'Fuel Costs'!$G185*D381</f>
        <v>0</v>
      </c>
      <c r="E797">
        <f>'Fuel Costs'!$G185*E381</f>
        <v>0</v>
      </c>
      <c r="F797">
        <f>'Fuel Costs'!$G185*F381</f>
        <v>0</v>
      </c>
      <c r="G797">
        <f>'Fuel Costs'!$G185*G381</f>
        <v>0</v>
      </c>
      <c r="H797">
        <f>'Fuel Costs'!$G185*H381</f>
        <v>0</v>
      </c>
      <c r="I797">
        <f ca="1">'Fuel Costs'!$G185*I381</f>
        <v>0</v>
      </c>
      <c r="J797">
        <f ca="1">'Fuel Costs'!$G185*J381</f>
        <v>0</v>
      </c>
      <c r="K797">
        <f ca="1">'Fuel Costs'!$G185*K381</f>
        <v>0</v>
      </c>
      <c r="L797">
        <f ca="1">'Fuel Costs'!$G185*L381</f>
        <v>0</v>
      </c>
      <c r="M797">
        <f ca="1">'Fuel Costs'!$G185*M381</f>
        <v>0</v>
      </c>
      <c r="N797">
        <f ca="1">'Fuel Costs'!$G185*N381</f>
        <v>0</v>
      </c>
      <c r="O797">
        <f ca="1">'Fuel Costs'!$G185*O381</f>
        <v>0</v>
      </c>
      <c r="P797">
        <f ca="1">'Fuel Costs'!$G185*P381</f>
        <v>0</v>
      </c>
      <c r="Q797">
        <f ca="1">'Fuel Costs'!$G185*Q381</f>
        <v>0</v>
      </c>
      <c r="R797">
        <f ca="1">'Fuel Costs'!$G185*R381</f>
        <v>0</v>
      </c>
      <c r="S797">
        <f ca="1">'Fuel Costs'!$G185*S381</f>
        <v>0</v>
      </c>
      <c r="T797">
        <f ca="1">'Fuel Costs'!$G185*T381</f>
        <v>0</v>
      </c>
      <c r="U797">
        <f ca="1">'Fuel Costs'!$G185*U381</f>
        <v>0</v>
      </c>
      <c r="V797">
        <f ca="1">'Fuel Costs'!$G185*V381</f>
        <v>0</v>
      </c>
      <c r="W797">
        <f ca="1">'Fuel Costs'!$G185*W381</f>
        <v>0</v>
      </c>
      <c r="X797">
        <f ca="1">'Fuel Costs'!$G185*X381</f>
        <v>0</v>
      </c>
      <c r="Y797">
        <f ca="1">'Fuel Costs'!$G185*Y381</f>
        <v>0</v>
      </c>
      <c r="Z797">
        <f ca="1">'Fuel Costs'!$G185*Z381</f>
        <v>0</v>
      </c>
      <c r="AA797">
        <f ca="1">'Fuel Costs'!$G185*AA381</f>
        <v>0</v>
      </c>
      <c r="AB797">
        <f ca="1">'Fuel Costs'!$G185*AB381</f>
        <v>0</v>
      </c>
      <c r="AC797">
        <f ca="1">'Fuel Costs'!$G185*AC381</f>
        <v>0</v>
      </c>
    </row>
    <row r="798" spans="3:29">
      <c r="C798" t="str">
        <f>C23</f>
        <v>IGCC</v>
      </c>
      <c r="D798">
        <f>'Fuel Costs'!$G186*D382</f>
        <v>0</v>
      </c>
      <c r="E798">
        <f>'Fuel Costs'!$G186*E382</f>
        <v>0</v>
      </c>
      <c r="F798">
        <f>'Fuel Costs'!$G186*F382</f>
        <v>0</v>
      </c>
      <c r="G798">
        <f>'Fuel Costs'!$G186*G382</f>
        <v>0</v>
      </c>
      <c r="H798">
        <f>'Fuel Costs'!$G186*H382</f>
        <v>0</v>
      </c>
      <c r="I798">
        <f ca="1">'Fuel Costs'!$G186*I382</f>
        <v>0</v>
      </c>
      <c r="J798">
        <f ca="1">'Fuel Costs'!$G186*J382</f>
        <v>0</v>
      </c>
      <c r="K798">
        <f ca="1">'Fuel Costs'!$G186*K382</f>
        <v>0</v>
      </c>
      <c r="L798">
        <f ca="1">'Fuel Costs'!$G186*L382</f>
        <v>0</v>
      </c>
      <c r="M798">
        <f ca="1">'Fuel Costs'!$G186*M382</f>
        <v>0</v>
      </c>
      <c r="N798">
        <f ca="1">'Fuel Costs'!$G186*N382</f>
        <v>0</v>
      </c>
      <c r="O798">
        <f ca="1">'Fuel Costs'!$G186*O382</f>
        <v>0</v>
      </c>
      <c r="P798">
        <f ca="1">'Fuel Costs'!$G186*P382</f>
        <v>0</v>
      </c>
      <c r="Q798">
        <f ca="1">'Fuel Costs'!$G186*Q382</f>
        <v>0</v>
      </c>
      <c r="R798">
        <f ca="1">'Fuel Costs'!$G186*R382</f>
        <v>0</v>
      </c>
      <c r="S798">
        <f ca="1">'Fuel Costs'!$G186*S382</f>
        <v>0</v>
      </c>
      <c r="T798">
        <f ca="1">'Fuel Costs'!$G186*T382</f>
        <v>0</v>
      </c>
      <c r="U798">
        <f ca="1">'Fuel Costs'!$G186*U382</f>
        <v>0</v>
      </c>
      <c r="V798">
        <f ca="1">'Fuel Costs'!$G186*V382</f>
        <v>0</v>
      </c>
      <c r="W798">
        <f ca="1">'Fuel Costs'!$G186*W382</f>
        <v>0</v>
      </c>
      <c r="X798">
        <f ca="1">'Fuel Costs'!$G186*X382</f>
        <v>0</v>
      </c>
      <c r="Y798">
        <f ca="1">'Fuel Costs'!$G186*Y382</f>
        <v>0</v>
      </c>
      <c r="Z798">
        <f ca="1">'Fuel Costs'!$G186*Z382</f>
        <v>0</v>
      </c>
      <c r="AA798">
        <f ca="1">'Fuel Costs'!$G186*AA382</f>
        <v>0</v>
      </c>
      <c r="AB798">
        <f ca="1">'Fuel Costs'!$G186*AB382</f>
        <v>0</v>
      </c>
      <c r="AC798">
        <f ca="1">'Fuel Costs'!$G186*AC382</f>
        <v>0</v>
      </c>
    </row>
    <row r="799" spans="3:29">
      <c r="C799" t="str">
        <f t="shared" si="298"/>
        <v>-</v>
      </c>
      <c r="D799">
        <f>'Fuel Costs'!$G187*D383</f>
        <v>0</v>
      </c>
      <c r="E799">
        <f>'Fuel Costs'!$G187*E383</f>
        <v>0</v>
      </c>
      <c r="F799">
        <f>'Fuel Costs'!$G187*F383</f>
        <v>0</v>
      </c>
      <c r="G799">
        <f>'Fuel Costs'!$G187*G383</f>
        <v>0</v>
      </c>
      <c r="H799">
        <f>'Fuel Costs'!$G187*H383</f>
        <v>0</v>
      </c>
      <c r="I799">
        <f ca="1">'Fuel Costs'!$G187*I383</f>
        <v>0</v>
      </c>
      <c r="J799">
        <f ca="1">'Fuel Costs'!$G187*J383</f>
        <v>0</v>
      </c>
      <c r="K799">
        <f ca="1">'Fuel Costs'!$G187*K383</f>
        <v>0</v>
      </c>
      <c r="L799">
        <f ca="1">'Fuel Costs'!$G187*L383</f>
        <v>0</v>
      </c>
      <c r="M799">
        <f ca="1">'Fuel Costs'!$G187*M383</f>
        <v>0</v>
      </c>
      <c r="N799">
        <f ca="1">'Fuel Costs'!$G187*N383</f>
        <v>0</v>
      </c>
      <c r="O799">
        <f ca="1">'Fuel Costs'!$G187*O383</f>
        <v>0</v>
      </c>
      <c r="P799">
        <f ca="1">'Fuel Costs'!$G187*P383</f>
        <v>0</v>
      </c>
      <c r="Q799">
        <f ca="1">'Fuel Costs'!$G187*Q383</f>
        <v>0</v>
      </c>
      <c r="R799">
        <f ca="1">'Fuel Costs'!$G187*R383</f>
        <v>0</v>
      </c>
      <c r="S799">
        <f ca="1">'Fuel Costs'!$G187*S383</f>
        <v>0</v>
      </c>
      <c r="T799">
        <f ca="1">'Fuel Costs'!$G187*T383</f>
        <v>0</v>
      </c>
      <c r="U799">
        <f ca="1">'Fuel Costs'!$G187*U383</f>
        <v>0</v>
      </c>
      <c r="V799">
        <f ca="1">'Fuel Costs'!$G187*V383</f>
        <v>0</v>
      </c>
      <c r="W799">
        <f ca="1">'Fuel Costs'!$G187*W383</f>
        <v>0</v>
      </c>
      <c r="X799">
        <f ca="1">'Fuel Costs'!$G187*X383</f>
        <v>0</v>
      </c>
      <c r="Y799">
        <f ca="1">'Fuel Costs'!$G187*Y383</f>
        <v>0</v>
      </c>
      <c r="Z799">
        <f ca="1">'Fuel Costs'!$G187*Z383</f>
        <v>0</v>
      </c>
      <c r="AA799">
        <f ca="1">'Fuel Costs'!$G187*AA383</f>
        <v>0</v>
      </c>
      <c r="AB799">
        <f ca="1">'Fuel Costs'!$G187*AB383</f>
        <v>0</v>
      </c>
      <c r="AC799">
        <f ca="1">'Fuel Costs'!$G187*AC383</f>
        <v>0</v>
      </c>
    </row>
    <row r="800" spans="3:29">
      <c r="C800" t="str">
        <f t="shared" si="298"/>
        <v>-</v>
      </c>
      <c r="D800">
        <f>'Fuel Costs'!$G188*D384</f>
        <v>0</v>
      </c>
      <c r="E800">
        <f>'Fuel Costs'!$G188*E384</f>
        <v>0</v>
      </c>
      <c r="F800">
        <f>'Fuel Costs'!$G188*F384</f>
        <v>0</v>
      </c>
      <c r="G800">
        <f>'Fuel Costs'!$G188*G384</f>
        <v>0</v>
      </c>
      <c r="H800">
        <f>'Fuel Costs'!$G188*H384</f>
        <v>0</v>
      </c>
      <c r="I800">
        <f ca="1">'Fuel Costs'!$G188*I384</f>
        <v>0</v>
      </c>
      <c r="J800">
        <f ca="1">'Fuel Costs'!$G188*J384</f>
        <v>0</v>
      </c>
      <c r="K800">
        <f ca="1">'Fuel Costs'!$G188*K384</f>
        <v>0</v>
      </c>
      <c r="L800">
        <f ca="1">'Fuel Costs'!$G188*L384</f>
        <v>0</v>
      </c>
      <c r="M800">
        <f ca="1">'Fuel Costs'!$G188*M384</f>
        <v>0</v>
      </c>
      <c r="N800">
        <f ca="1">'Fuel Costs'!$G188*N384</f>
        <v>0</v>
      </c>
      <c r="O800">
        <f ca="1">'Fuel Costs'!$G188*O384</f>
        <v>0</v>
      </c>
      <c r="P800">
        <f ca="1">'Fuel Costs'!$G188*P384</f>
        <v>0</v>
      </c>
      <c r="Q800">
        <f ca="1">'Fuel Costs'!$G188*Q384</f>
        <v>0</v>
      </c>
      <c r="R800">
        <f ca="1">'Fuel Costs'!$G188*R384</f>
        <v>0</v>
      </c>
      <c r="S800">
        <f ca="1">'Fuel Costs'!$G188*S384</f>
        <v>0</v>
      </c>
      <c r="T800">
        <f ca="1">'Fuel Costs'!$G188*T384</f>
        <v>0</v>
      </c>
      <c r="U800">
        <f ca="1">'Fuel Costs'!$G188*U384</f>
        <v>0</v>
      </c>
      <c r="V800">
        <f ca="1">'Fuel Costs'!$G188*V384</f>
        <v>0</v>
      </c>
      <c r="W800">
        <f ca="1">'Fuel Costs'!$G188*W384</f>
        <v>0</v>
      </c>
      <c r="X800">
        <f ca="1">'Fuel Costs'!$G188*X384</f>
        <v>0</v>
      </c>
      <c r="Y800">
        <f ca="1">'Fuel Costs'!$G188*Y384</f>
        <v>0</v>
      </c>
      <c r="Z800">
        <f ca="1">'Fuel Costs'!$G188*Z384</f>
        <v>0</v>
      </c>
      <c r="AA800">
        <f ca="1">'Fuel Costs'!$G188*AA384</f>
        <v>0</v>
      </c>
      <c r="AB800">
        <f ca="1">'Fuel Costs'!$G188*AB384</f>
        <v>0</v>
      </c>
      <c r="AC800">
        <f ca="1">'Fuel Costs'!$G188*AC384</f>
        <v>0</v>
      </c>
    </row>
    <row r="801" spans="3:29">
      <c r="C801" t="str">
        <f t="shared" si="298"/>
        <v>-</v>
      </c>
      <c r="D801">
        <f>'Fuel Costs'!$G189*D385</f>
        <v>0</v>
      </c>
      <c r="E801">
        <f>'Fuel Costs'!$G189*E385</f>
        <v>0</v>
      </c>
      <c r="F801">
        <f>'Fuel Costs'!$G189*F385</f>
        <v>0</v>
      </c>
      <c r="G801">
        <f>'Fuel Costs'!$G189*G385</f>
        <v>0</v>
      </c>
      <c r="H801">
        <f>'Fuel Costs'!$G189*H385</f>
        <v>0</v>
      </c>
      <c r="I801">
        <f ca="1">'Fuel Costs'!$G189*I385</f>
        <v>0</v>
      </c>
      <c r="J801">
        <f ca="1">'Fuel Costs'!$G189*J385</f>
        <v>0</v>
      </c>
      <c r="K801">
        <f ca="1">'Fuel Costs'!$G189*K385</f>
        <v>0</v>
      </c>
      <c r="L801">
        <f ca="1">'Fuel Costs'!$G189*L385</f>
        <v>0</v>
      </c>
      <c r="M801">
        <f ca="1">'Fuel Costs'!$G189*M385</f>
        <v>0</v>
      </c>
      <c r="N801">
        <f ca="1">'Fuel Costs'!$G189*N385</f>
        <v>0</v>
      </c>
      <c r="O801">
        <f ca="1">'Fuel Costs'!$G189*O385</f>
        <v>0</v>
      </c>
      <c r="P801">
        <f ca="1">'Fuel Costs'!$G189*P385</f>
        <v>0</v>
      </c>
      <c r="Q801">
        <f ca="1">'Fuel Costs'!$G189*Q385</f>
        <v>0</v>
      </c>
      <c r="R801">
        <f ca="1">'Fuel Costs'!$G189*R385</f>
        <v>0</v>
      </c>
      <c r="S801">
        <f ca="1">'Fuel Costs'!$G189*S385</f>
        <v>0</v>
      </c>
      <c r="T801">
        <f ca="1">'Fuel Costs'!$G189*T385</f>
        <v>0</v>
      </c>
      <c r="U801">
        <f ca="1">'Fuel Costs'!$G189*U385</f>
        <v>0</v>
      </c>
      <c r="V801">
        <f ca="1">'Fuel Costs'!$G189*V385</f>
        <v>0</v>
      </c>
      <c r="W801">
        <f ca="1">'Fuel Costs'!$G189*W385</f>
        <v>0</v>
      </c>
      <c r="X801">
        <f ca="1">'Fuel Costs'!$G189*X385</f>
        <v>0</v>
      </c>
      <c r="Y801">
        <f ca="1">'Fuel Costs'!$G189*Y385</f>
        <v>0</v>
      </c>
      <c r="Z801">
        <f ca="1">'Fuel Costs'!$G189*Z385</f>
        <v>0</v>
      </c>
      <c r="AA801">
        <f ca="1">'Fuel Costs'!$G189*AA385</f>
        <v>0</v>
      </c>
      <c r="AB801">
        <f ca="1">'Fuel Costs'!$G189*AB385</f>
        <v>0</v>
      </c>
      <c r="AC801">
        <f ca="1">'Fuel Costs'!$G189*AC385</f>
        <v>0</v>
      </c>
    </row>
    <row r="802" spans="3:29">
      <c r="C802" t="str">
        <f>C27</f>
        <v>Pumped storage</v>
      </c>
      <c r="D802">
        <f>'Fuel Costs'!$G190*D386</f>
        <v>0</v>
      </c>
      <c r="E802">
        <f>'Fuel Costs'!$G190*E386</f>
        <v>0</v>
      </c>
      <c r="F802">
        <f>'Fuel Costs'!$G190*F386</f>
        <v>0</v>
      </c>
      <c r="G802">
        <f>'Fuel Costs'!$G190*G386</f>
        <v>0</v>
      </c>
      <c r="H802">
        <f>'Fuel Costs'!$G190*H386</f>
        <v>0</v>
      </c>
      <c r="I802">
        <f ca="1">'Fuel Costs'!$G190*I386</f>
        <v>0</v>
      </c>
      <c r="J802">
        <f ca="1">'Fuel Costs'!$G190*J386</f>
        <v>0</v>
      </c>
      <c r="K802">
        <f ca="1">'Fuel Costs'!$G190*K386</f>
        <v>0</v>
      </c>
      <c r="L802">
        <f ca="1">'Fuel Costs'!$G190*L386</f>
        <v>0</v>
      </c>
      <c r="M802">
        <f ca="1">'Fuel Costs'!$G190*M386</f>
        <v>0</v>
      </c>
      <c r="N802">
        <f ca="1">'Fuel Costs'!$G190*N386</f>
        <v>0</v>
      </c>
      <c r="O802">
        <f ca="1">'Fuel Costs'!$G190*O386</f>
        <v>0</v>
      </c>
      <c r="P802">
        <f ca="1">'Fuel Costs'!$G190*P386</f>
        <v>0</v>
      </c>
      <c r="Q802">
        <f ca="1">'Fuel Costs'!$G190*Q386</f>
        <v>0</v>
      </c>
      <c r="R802">
        <f ca="1">'Fuel Costs'!$G190*R386</f>
        <v>0</v>
      </c>
      <c r="S802">
        <f ca="1">'Fuel Costs'!$G190*S386</f>
        <v>0</v>
      </c>
      <c r="T802">
        <f ca="1">'Fuel Costs'!$G190*T386</f>
        <v>0</v>
      </c>
      <c r="U802">
        <f ca="1">'Fuel Costs'!$G190*U386</f>
        <v>0</v>
      </c>
      <c r="V802">
        <f ca="1">'Fuel Costs'!$G190*V386</f>
        <v>0</v>
      </c>
      <c r="W802">
        <f ca="1">'Fuel Costs'!$G190*W386</f>
        <v>0</v>
      </c>
      <c r="X802">
        <f ca="1">'Fuel Costs'!$G190*X386</f>
        <v>0</v>
      </c>
      <c r="Y802">
        <f ca="1">'Fuel Costs'!$G190*Y386</f>
        <v>0</v>
      </c>
      <c r="Z802">
        <f ca="1">'Fuel Costs'!$G190*Z386</f>
        <v>0</v>
      </c>
      <c r="AA802">
        <f ca="1">'Fuel Costs'!$G190*AA386</f>
        <v>0</v>
      </c>
      <c r="AB802">
        <f ca="1">'Fuel Costs'!$G190*AB386</f>
        <v>0</v>
      </c>
      <c r="AC802">
        <f ca="1">'Fuel Costs'!$G190*AC386</f>
        <v>0</v>
      </c>
    </row>
    <row r="803" spans="3:29">
      <c r="C803" s="4" t="s">
        <v>5</v>
      </c>
      <c r="D803">
        <f>SUM(D783:D802)</f>
        <v>1.3313893391371041</v>
      </c>
      <c r="E803">
        <f t="shared" ref="E803:AC803" si="299">SUM(E783:E802)</f>
        <v>1.3313893391371041</v>
      </c>
      <c r="F803">
        <f t="shared" si="299"/>
        <v>1.3751866101901404</v>
      </c>
      <c r="G803">
        <f t="shared" si="299"/>
        <v>1.3904430998690211</v>
      </c>
      <c r="H803">
        <f t="shared" si="299"/>
        <v>1.3904430998690211</v>
      </c>
      <c r="I803">
        <f t="shared" ca="1" si="299"/>
        <v>1.4232244480936109</v>
      </c>
      <c r="J803">
        <f t="shared" ca="1" si="299"/>
        <v>1.4489208243110523</v>
      </c>
      <c r="K803">
        <f t="shared" ca="1" si="299"/>
        <v>1.4765441369429868</v>
      </c>
      <c r="L803">
        <f t="shared" ca="1" si="299"/>
        <v>1.5022023732254983</v>
      </c>
      <c r="M803">
        <f t="shared" ca="1" si="299"/>
        <v>1.503492532121494</v>
      </c>
      <c r="N803">
        <f t="shared" ca="1" si="299"/>
        <v>1.503492532121494</v>
      </c>
      <c r="O803">
        <f t="shared" ca="1" si="299"/>
        <v>1.503492532121494</v>
      </c>
      <c r="P803">
        <f t="shared" ca="1" si="299"/>
        <v>1.503492532121494</v>
      </c>
      <c r="Q803">
        <f t="shared" ca="1" si="299"/>
        <v>1.503492532121494</v>
      </c>
      <c r="R803">
        <f t="shared" ca="1" si="299"/>
        <v>1.503492532121494</v>
      </c>
      <c r="S803">
        <f t="shared" ca="1" si="299"/>
        <v>1.503492532121494</v>
      </c>
      <c r="T803">
        <f t="shared" ca="1" si="299"/>
        <v>1.503492532121494</v>
      </c>
      <c r="U803">
        <f t="shared" ca="1" si="299"/>
        <v>1.503492532121494</v>
      </c>
      <c r="V803">
        <f t="shared" ca="1" si="299"/>
        <v>1.5040564853896354</v>
      </c>
      <c r="W803">
        <f t="shared" ca="1" si="299"/>
        <v>1.4479088662070998</v>
      </c>
      <c r="X803">
        <f t="shared" ca="1" si="299"/>
        <v>1.3917612470245642</v>
      </c>
      <c r="Y803">
        <f t="shared" ca="1" si="299"/>
        <v>1.3221406763145358</v>
      </c>
      <c r="Z803">
        <f t="shared" ca="1" si="299"/>
        <v>1.251956152336366</v>
      </c>
      <c r="AA803">
        <f t="shared" ca="1" si="299"/>
        <v>1.1669959390996345</v>
      </c>
      <c r="AB803">
        <f t="shared" ca="1" si="299"/>
        <v>0.99763946589431252</v>
      </c>
      <c r="AC803">
        <f t="shared" ca="1" si="299"/>
        <v>0.91254531375639703</v>
      </c>
    </row>
    <row r="804" spans="3:29">
      <c r="C804" s="4"/>
    </row>
    <row r="805" spans="3:29">
      <c r="C805" s="4" t="s">
        <v>164</v>
      </c>
    </row>
    <row r="806" spans="3:29">
      <c r="C806" t="str">
        <f t="shared" ref="C806:C825" si="300">C8</f>
        <v>Existing coal Large</v>
      </c>
      <c r="D806">
        <f>'Fuel Costs'!$H171*D367</f>
        <v>0.63694162962789846</v>
      </c>
      <c r="E806">
        <f>'Fuel Costs'!$H171*E367</f>
        <v>0.63694162962789846</v>
      </c>
      <c r="F806">
        <f>'Fuel Costs'!$H171*F367</f>
        <v>0.65792403351788709</v>
      </c>
      <c r="G806">
        <f>'Fuel Costs'!$H171*G367</f>
        <v>0.66523311512706018</v>
      </c>
      <c r="H806">
        <f>'Fuel Costs'!$H171*H367</f>
        <v>0.66523311512706018</v>
      </c>
      <c r="I806">
        <f ca="1">'Fuel Costs'!$H171*I367</f>
        <v>0.68093800887885991</v>
      </c>
      <c r="J806">
        <f ca="1">'Fuel Costs'!$H171*J367</f>
        <v>0.69284336482675002</v>
      </c>
      <c r="K806">
        <f ca="1">'Fuel Costs'!$H171*K367</f>
        <v>0.70607714603016802</v>
      </c>
      <c r="L806">
        <f ca="1">'Fuel Costs'!$H171*L367</f>
        <v>0.71836949812974238</v>
      </c>
      <c r="M806">
        <f ca="1">'Fuel Costs'!$H171*M367</f>
        <v>0.71898758766790716</v>
      </c>
      <c r="N806">
        <f ca="1">'Fuel Costs'!$H171*N367</f>
        <v>0.71898758766790716</v>
      </c>
      <c r="O806">
        <f ca="1">'Fuel Costs'!$H171*O367</f>
        <v>0.71898758766790716</v>
      </c>
      <c r="P806">
        <f ca="1">'Fuel Costs'!$H171*P367</f>
        <v>0.71898758766790716</v>
      </c>
      <c r="Q806">
        <f ca="1">'Fuel Costs'!$H171*Q367</f>
        <v>0.71898758766790716</v>
      </c>
      <c r="R806">
        <f ca="1">'Fuel Costs'!$H171*R367</f>
        <v>0.71898758766790716</v>
      </c>
      <c r="S806">
        <f ca="1">'Fuel Costs'!$H171*S367</f>
        <v>0.71898758766790716</v>
      </c>
      <c r="T806">
        <f ca="1">'Fuel Costs'!$H171*T367</f>
        <v>0.71898758766790716</v>
      </c>
      <c r="U806">
        <f ca="1">'Fuel Costs'!$H171*U367</f>
        <v>0.71898758766790716</v>
      </c>
      <c r="V806">
        <f ca="1">'Fuel Costs'!$H171*V367</f>
        <v>0.71898758766790716</v>
      </c>
      <c r="W806">
        <f ca="1">'Fuel Costs'!$H171*W367</f>
        <v>0.69208837694487824</v>
      </c>
      <c r="X806">
        <f ca="1">'Fuel Costs'!$H171*X367</f>
        <v>0.66518916622184932</v>
      </c>
      <c r="Y806">
        <f ca="1">'Fuel Costs'!$H171*Y367</f>
        <v>0.63156515281806325</v>
      </c>
      <c r="Z806">
        <f ca="1">'Fuel Costs'!$H171*Z367</f>
        <v>0.59794113941427696</v>
      </c>
      <c r="AA806">
        <f ca="1">'Fuel Costs'!$H171*AA367</f>
        <v>0.55723838634653589</v>
      </c>
      <c r="AB806">
        <f ca="1">'Fuel Costs'!$H171*AB367</f>
        <v>0.47583288021105363</v>
      </c>
      <c r="AC806">
        <f ca="1">'Fuel Costs'!$H171*AC367</f>
        <v>0.4351301271433124</v>
      </c>
    </row>
    <row r="807" spans="3:29">
      <c r="C807" t="str">
        <f t="shared" si="300"/>
        <v>Existing coal Small</v>
      </c>
      <c r="D807">
        <f>'Fuel Costs'!$H172*D368</f>
        <v>4.3940636941733946E-2</v>
      </c>
      <c r="E807">
        <f>'Fuel Costs'!$H172*E368</f>
        <v>4.3940636941733946E-2</v>
      </c>
      <c r="F807">
        <f>'Fuel Costs'!$H172*F368</f>
        <v>4.3940636941733946E-2</v>
      </c>
      <c r="G807">
        <f>'Fuel Costs'!$H172*G368</f>
        <v>4.3940636941733946E-2</v>
      </c>
      <c r="H807">
        <f>'Fuel Costs'!$H172*H368</f>
        <v>4.3940636941733946E-2</v>
      </c>
      <c r="I807">
        <f ca="1">'Fuel Costs'!$H172*I368</f>
        <v>4.9463088286670329E-2</v>
      </c>
      <c r="J807">
        <f ca="1">'Fuel Costs'!$H172*J368</f>
        <v>5.2729662727891848E-2</v>
      </c>
      <c r="K807">
        <f ca="1">'Fuel Costs'!$H172*K368</f>
        <v>5.2729662727891848E-2</v>
      </c>
      <c r="L807">
        <f ca="1">'Fuel Costs'!$H172*L368</f>
        <v>5.2729662727891848E-2</v>
      </c>
      <c r="M807">
        <f ca="1">'Fuel Costs'!$H172*M368</f>
        <v>5.2729662727891848E-2</v>
      </c>
      <c r="N807">
        <f ca="1">'Fuel Costs'!$H172*N368</f>
        <v>5.2729662727891848E-2</v>
      </c>
      <c r="O807">
        <f ca="1">'Fuel Costs'!$H172*O368</f>
        <v>5.2426453466639857E-2</v>
      </c>
      <c r="P807">
        <f ca="1">'Fuel Costs'!$H172*P368</f>
        <v>5.2123244205387859E-2</v>
      </c>
      <c r="Q807">
        <f ca="1">'Fuel Costs'!$H172*Q368</f>
        <v>5.1718965190385199E-2</v>
      </c>
      <c r="R807">
        <f ca="1">'Fuel Costs'!$H172*R368</f>
        <v>5.1314686175382533E-2</v>
      </c>
      <c r="S807">
        <f ca="1">'Fuel Costs'!$H172*S368</f>
        <v>4.3633384890331924E-2</v>
      </c>
      <c r="T807">
        <f ca="1">'Fuel Costs'!$H172*T368</f>
        <v>3.5952083605281321E-2</v>
      </c>
      <c r="U807">
        <f ca="1">'Fuel Costs'!$H172*U368</f>
        <v>3.5952083605281321E-2</v>
      </c>
      <c r="V807">
        <f ca="1">'Fuel Costs'!$H172*V368</f>
        <v>3.5952083605281321E-2</v>
      </c>
      <c r="W807">
        <f ca="1">'Fuel Costs'!$H172*W368</f>
        <v>3.5952083605281321E-2</v>
      </c>
      <c r="X807">
        <f ca="1">'Fuel Costs'!$H172*X368</f>
        <v>3.2412845428385774E-2</v>
      </c>
      <c r="Y807">
        <f ca="1">'Fuel Costs'!$H172*Y368</f>
        <v>2.8873607251490237E-2</v>
      </c>
      <c r="Z807">
        <f ca="1">'Fuel Costs'!$H172*Z368</f>
        <v>2.8873607251490237E-2</v>
      </c>
      <c r="AA807">
        <f ca="1">'Fuel Costs'!$H172*AA368</f>
        <v>2.8873607251490237E-2</v>
      </c>
      <c r="AB807">
        <f ca="1">'Fuel Costs'!$H172*AB368</f>
        <v>2.8873607251490237E-2</v>
      </c>
      <c r="AC807">
        <f ca="1">'Fuel Costs'!$H172*AC368</f>
        <v>2.8873607251490237E-2</v>
      </c>
    </row>
    <row r="808" spans="3:29">
      <c r="C808" t="str">
        <f t="shared" si="300"/>
        <v>OCGT liquid fuels</v>
      </c>
      <c r="D808">
        <f>'Fuel Costs'!$H173*D369</f>
        <v>1.4866304682780091E-3</v>
      </c>
      <c r="E808">
        <f>'Fuel Costs'!$H173*E369</f>
        <v>1.4866304682780091E-3</v>
      </c>
      <c r="F808">
        <f>'Fuel Costs'!$H173*F369</f>
        <v>1.4866304682780091E-3</v>
      </c>
      <c r="G808">
        <f>'Fuel Costs'!$H173*G369</f>
        <v>1.4866304682780091E-3</v>
      </c>
      <c r="H808">
        <f>'Fuel Costs'!$H173*H369</f>
        <v>1.4866304682780091E-3</v>
      </c>
      <c r="I808">
        <f ca="1">'Fuel Costs'!$H173*I369</f>
        <v>1.4866304682780091E-3</v>
      </c>
      <c r="J808">
        <f ca="1">'Fuel Costs'!$H173*J369</f>
        <v>2.1556141790031133E-3</v>
      </c>
      <c r="K808">
        <f ca="1">'Fuel Costs'!$H173*K369</f>
        <v>2.1556141790031133E-3</v>
      </c>
      <c r="L808">
        <f ca="1">'Fuel Costs'!$H173*L369</f>
        <v>2.1556141790031133E-3</v>
      </c>
      <c r="M808">
        <f ca="1">'Fuel Costs'!$H173*M369</f>
        <v>2.1556141790031133E-3</v>
      </c>
      <c r="N808">
        <f ca="1">'Fuel Costs'!$H173*N369</f>
        <v>2.1556141790031133E-3</v>
      </c>
      <c r="O808">
        <f ca="1">'Fuel Costs'!$H173*O369</f>
        <v>2.1556141790031133E-3</v>
      </c>
      <c r="P808">
        <f ca="1">'Fuel Costs'!$H173*P369</f>
        <v>2.1556141790031133E-3</v>
      </c>
      <c r="Q808">
        <f ca="1">'Fuel Costs'!$H173*Q369</f>
        <v>2.1556141790031133E-3</v>
      </c>
      <c r="R808">
        <f ca="1">'Fuel Costs'!$H173*R369</f>
        <v>2.1556141790031133E-3</v>
      </c>
      <c r="S808">
        <f ca="1">'Fuel Costs'!$H173*S369</f>
        <v>2.1556141790031133E-3</v>
      </c>
      <c r="T808">
        <f ca="1">'Fuel Costs'!$H173*T369</f>
        <v>2.1556141790031133E-3</v>
      </c>
      <c r="U808">
        <f ca="1">'Fuel Costs'!$H173*U369</f>
        <v>2.1556141790031133E-3</v>
      </c>
      <c r="V808">
        <f ca="1">'Fuel Costs'!$H173*V369</f>
        <v>2.6016033194865167E-3</v>
      </c>
      <c r="W808">
        <f ca="1">'Fuel Costs'!$H173*W369</f>
        <v>2.6016033194865167E-3</v>
      </c>
      <c r="X808">
        <f ca="1">'Fuel Costs'!$H173*X369</f>
        <v>2.6016033194865167E-3</v>
      </c>
      <c r="Y808">
        <f ca="1">'Fuel Costs'!$H173*Y369</f>
        <v>3.0475924599699189E-3</v>
      </c>
      <c r="Z808">
        <f ca="1">'Fuel Costs'!$H173*Z369</f>
        <v>3.0475924599699189E-3</v>
      </c>
      <c r="AA808">
        <f ca="1">'Fuel Costs'!$H173*AA369</f>
        <v>3.0475924599699189E-3</v>
      </c>
      <c r="AB808">
        <f ca="1">'Fuel Costs'!$H173*AB369</f>
        <v>3.4935816004533211E-3</v>
      </c>
      <c r="AC808">
        <f ca="1">'Fuel Costs'!$H173*AC369</f>
        <v>3.3876591795885132E-3</v>
      </c>
    </row>
    <row r="809" spans="3:29">
      <c r="C809" t="str">
        <f t="shared" si="300"/>
        <v>PWR nuclear</v>
      </c>
      <c r="D809">
        <f>'Fuel Costs'!$H174*D370</f>
        <v>0</v>
      </c>
      <c r="E809">
        <f>'Fuel Costs'!$H174*E370</f>
        <v>0</v>
      </c>
      <c r="F809">
        <f>'Fuel Costs'!$H174*F370</f>
        <v>0</v>
      </c>
      <c r="G809">
        <f>'Fuel Costs'!$H174*G370</f>
        <v>0</v>
      </c>
      <c r="H809">
        <f>'Fuel Costs'!$H174*H370</f>
        <v>0</v>
      </c>
      <c r="I809">
        <f ca="1">'Fuel Costs'!$H174*I370</f>
        <v>0</v>
      </c>
      <c r="J809">
        <f ca="1">'Fuel Costs'!$H174*J370</f>
        <v>0</v>
      </c>
      <c r="K809">
        <f ca="1">'Fuel Costs'!$H174*K370</f>
        <v>0</v>
      </c>
      <c r="L809">
        <f ca="1">'Fuel Costs'!$H174*L370</f>
        <v>0</v>
      </c>
      <c r="M809">
        <f ca="1">'Fuel Costs'!$H174*M370</f>
        <v>0</v>
      </c>
      <c r="N809">
        <f ca="1">'Fuel Costs'!$H174*N370</f>
        <v>0</v>
      </c>
      <c r="O809">
        <f ca="1">'Fuel Costs'!$H174*O370</f>
        <v>0</v>
      </c>
      <c r="P809">
        <f ca="1">'Fuel Costs'!$H174*P370</f>
        <v>0</v>
      </c>
      <c r="Q809">
        <f ca="1">'Fuel Costs'!$H174*Q370</f>
        <v>0</v>
      </c>
      <c r="R809">
        <f ca="1">'Fuel Costs'!$H174*R370</f>
        <v>0</v>
      </c>
      <c r="S809">
        <f ca="1">'Fuel Costs'!$H174*S370</f>
        <v>0</v>
      </c>
      <c r="T809">
        <f ca="1">'Fuel Costs'!$H174*T370</f>
        <v>0</v>
      </c>
      <c r="U809">
        <f ca="1">'Fuel Costs'!$H174*U370</f>
        <v>0</v>
      </c>
      <c r="V809">
        <f ca="1">'Fuel Costs'!$H174*V370</f>
        <v>0</v>
      </c>
      <c r="W809">
        <f ca="1">'Fuel Costs'!$H174*W370</f>
        <v>0</v>
      </c>
      <c r="X809">
        <f ca="1">'Fuel Costs'!$H174*X370</f>
        <v>0</v>
      </c>
      <c r="Y809">
        <f ca="1">'Fuel Costs'!$H174*Y370</f>
        <v>0</v>
      </c>
      <c r="Z809">
        <f ca="1">'Fuel Costs'!$H174*Z370</f>
        <v>0</v>
      </c>
      <c r="AA809">
        <f ca="1">'Fuel Costs'!$H174*AA370</f>
        <v>0</v>
      </c>
      <c r="AB809">
        <f ca="1">'Fuel Costs'!$H174*AB370</f>
        <v>0</v>
      </c>
      <c r="AC809">
        <f ca="1">'Fuel Costs'!$H174*AC370</f>
        <v>0</v>
      </c>
    </row>
    <row r="810" spans="3:29">
      <c r="C810" t="str">
        <f t="shared" si="300"/>
        <v>Hydro</v>
      </c>
      <c r="D810">
        <f>'Fuel Costs'!$H175*D371</f>
        <v>0</v>
      </c>
      <c r="E810">
        <f>'Fuel Costs'!$H175*E371</f>
        <v>0</v>
      </c>
      <c r="F810">
        <f>'Fuel Costs'!$H175*F371</f>
        <v>0</v>
      </c>
      <c r="G810">
        <f>'Fuel Costs'!$H175*G371</f>
        <v>0</v>
      </c>
      <c r="H810">
        <f>'Fuel Costs'!$H175*H371</f>
        <v>0</v>
      </c>
      <c r="I810">
        <f ca="1">'Fuel Costs'!$H175*I371</f>
        <v>0</v>
      </c>
      <c r="J810">
        <f ca="1">'Fuel Costs'!$H175*J371</f>
        <v>0</v>
      </c>
      <c r="K810">
        <f ca="1">'Fuel Costs'!$H175*K371</f>
        <v>0</v>
      </c>
      <c r="L810">
        <f ca="1">'Fuel Costs'!$H175*L371</f>
        <v>0</v>
      </c>
      <c r="M810">
        <f ca="1">'Fuel Costs'!$H175*M371</f>
        <v>0</v>
      </c>
      <c r="N810">
        <f ca="1">'Fuel Costs'!$H175*N371</f>
        <v>0</v>
      </c>
      <c r="O810">
        <f ca="1">'Fuel Costs'!$H175*O371</f>
        <v>0</v>
      </c>
      <c r="P810">
        <f ca="1">'Fuel Costs'!$H175*P371</f>
        <v>0</v>
      </c>
      <c r="Q810">
        <f ca="1">'Fuel Costs'!$H175*Q371</f>
        <v>0</v>
      </c>
      <c r="R810">
        <f ca="1">'Fuel Costs'!$H175*R371</f>
        <v>0</v>
      </c>
      <c r="S810">
        <f ca="1">'Fuel Costs'!$H175*S371</f>
        <v>0</v>
      </c>
      <c r="T810">
        <f ca="1">'Fuel Costs'!$H175*T371</f>
        <v>0</v>
      </c>
      <c r="U810">
        <f ca="1">'Fuel Costs'!$H175*U371</f>
        <v>0</v>
      </c>
      <c r="V810">
        <f ca="1">'Fuel Costs'!$H175*V371</f>
        <v>0</v>
      </c>
      <c r="W810">
        <f ca="1">'Fuel Costs'!$H175*W371</f>
        <v>0</v>
      </c>
      <c r="X810">
        <f ca="1">'Fuel Costs'!$H175*X371</f>
        <v>0</v>
      </c>
      <c r="Y810">
        <f ca="1">'Fuel Costs'!$H175*Y371</f>
        <v>0</v>
      </c>
      <c r="Z810">
        <f ca="1">'Fuel Costs'!$H175*Z371</f>
        <v>0</v>
      </c>
      <c r="AA810">
        <f ca="1">'Fuel Costs'!$H175*AA371</f>
        <v>0</v>
      </c>
      <c r="AB810">
        <f ca="1">'Fuel Costs'!$H175*AB371</f>
        <v>0</v>
      </c>
      <c r="AC810">
        <f ca="1">'Fuel Costs'!$H175*AC371</f>
        <v>0</v>
      </c>
    </row>
    <row r="811" spans="3:29">
      <c r="C811" t="str">
        <f t="shared" si="300"/>
        <v>Landfill gas</v>
      </c>
      <c r="D811">
        <f>'Fuel Costs'!$H176*D372</f>
        <v>0</v>
      </c>
      <c r="E811">
        <f>'Fuel Costs'!$H176*E372</f>
        <v>0</v>
      </c>
      <c r="F811">
        <f>'Fuel Costs'!$H176*F372</f>
        <v>0</v>
      </c>
      <c r="G811">
        <f>'Fuel Costs'!$H176*G372</f>
        <v>0</v>
      </c>
      <c r="H811">
        <f>'Fuel Costs'!$H176*H372</f>
        <v>0</v>
      </c>
      <c r="I811">
        <f ca="1">'Fuel Costs'!$H176*I372</f>
        <v>0</v>
      </c>
      <c r="J811">
        <f ca="1">'Fuel Costs'!$H176*J372</f>
        <v>0</v>
      </c>
      <c r="K811">
        <f ca="1">'Fuel Costs'!$H176*K372</f>
        <v>0</v>
      </c>
      <c r="L811">
        <f ca="1">'Fuel Costs'!$H176*L372</f>
        <v>0</v>
      </c>
      <c r="M811">
        <f ca="1">'Fuel Costs'!$H176*M372</f>
        <v>0</v>
      </c>
      <c r="N811">
        <f ca="1">'Fuel Costs'!$H176*N372</f>
        <v>0</v>
      </c>
      <c r="O811">
        <f ca="1">'Fuel Costs'!$H176*O372</f>
        <v>0</v>
      </c>
      <c r="P811">
        <f ca="1">'Fuel Costs'!$H176*P372</f>
        <v>0</v>
      </c>
      <c r="Q811">
        <f ca="1">'Fuel Costs'!$H176*Q372</f>
        <v>0</v>
      </c>
      <c r="R811">
        <f ca="1">'Fuel Costs'!$H176*R372</f>
        <v>0</v>
      </c>
      <c r="S811">
        <f ca="1">'Fuel Costs'!$H176*S372</f>
        <v>0</v>
      </c>
      <c r="T811">
        <f ca="1">'Fuel Costs'!$H176*T372</f>
        <v>0</v>
      </c>
      <c r="U811">
        <f ca="1">'Fuel Costs'!$H176*U372</f>
        <v>0</v>
      </c>
      <c r="V811">
        <f ca="1">'Fuel Costs'!$H176*V372</f>
        <v>0</v>
      </c>
      <c r="W811">
        <f ca="1">'Fuel Costs'!$H176*W372</f>
        <v>0</v>
      </c>
      <c r="X811">
        <f ca="1">'Fuel Costs'!$H176*X372</f>
        <v>0</v>
      </c>
      <c r="Y811">
        <f ca="1">'Fuel Costs'!$H176*Y372</f>
        <v>0</v>
      </c>
      <c r="Z811">
        <f ca="1">'Fuel Costs'!$H176*Z372</f>
        <v>0</v>
      </c>
      <c r="AA811">
        <f ca="1">'Fuel Costs'!$H176*AA372</f>
        <v>0</v>
      </c>
      <c r="AB811">
        <f ca="1">'Fuel Costs'!$H176*AB372</f>
        <v>0</v>
      </c>
      <c r="AC811">
        <f ca="1">'Fuel Costs'!$H176*AC372</f>
        <v>0</v>
      </c>
    </row>
    <row r="812" spans="3:29">
      <c r="C812" t="str">
        <f t="shared" si="300"/>
        <v>Biomass</v>
      </c>
      <c r="D812">
        <f>'Fuel Costs'!$H177*D373</f>
        <v>0</v>
      </c>
      <c r="E812">
        <f>'Fuel Costs'!$H177*E373</f>
        <v>0</v>
      </c>
      <c r="F812">
        <f>'Fuel Costs'!$H177*F373</f>
        <v>0</v>
      </c>
      <c r="G812">
        <f>'Fuel Costs'!$H177*G373</f>
        <v>0</v>
      </c>
      <c r="H812">
        <f>'Fuel Costs'!$H177*H373</f>
        <v>0</v>
      </c>
      <c r="I812">
        <f ca="1">'Fuel Costs'!$H177*I373</f>
        <v>0</v>
      </c>
      <c r="J812">
        <f ca="1">'Fuel Costs'!$H177*J373</f>
        <v>0</v>
      </c>
      <c r="K812">
        <f ca="1">'Fuel Costs'!$H177*K373</f>
        <v>0</v>
      </c>
      <c r="L812">
        <f ca="1">'Fuel Costs'!$H177*L373</f>
        <v>0</v>
      </c>
      <c r="M812">
        <f ca="1">'Fuel Costs'!$H177*M373</f>
        <v>0</v>
      </c>
      <c r="N812">
        <f ca="1">'Fuel Costs'!$H177*N373</f>
        <v>0</v>
      </c>
      <c r="O812">
        <f ca="1">'Fuel Costs'!$H177*O373</f>
        <v>0</v>
      </c>
      <c r="P812">
        <f ca="1">'Fuel Costs'!$H177*P373</f>
        <v>0</v>
      </c>
      <c r="Q812">
        <f ca="1">'Fuel Costs'!$H177*Q373</f>
        <v>0</v>
      </c>
      <c r="R812">
        <f ca="1">'Fuel Costs'!$H177*R373</f>
        <v>0</v>
      </c>
      <c r="S812">
        <f ca="1">'Fuel Costs'!$H177*S373</f>
        <v>0</v>
      </c>
      <c r="T812">
        <f ca="1">'Fuel Costs'!$H177*T373</f>
        <v>0</v>
      </c>
      <c r="U812">
        <f ca="1">'Fuel Costs'!$H177*U373</f>
        <v>0</v>
      </c>
      <c r="V812">
        <f ca="1">'Fuel Costs'!$H177*V373</f>
        <v>0</v>
      </c>
      <c r="W812">
        <f ca="1">'Fuel Costs'!$H177*W373</f>
        <v>0</v>
      </c>
      <c r="X812">
        <f ca="1">'Fuel Costs'!$H177*X373</f>
        <v>0</v>
      </c>
      <c r="Y812">
        <f ca="1">'Fuel Costs'!$H177*Y373</f>
        <v>0</v>
      </c>
      <c r="Z812">
        <f ca="1">'Fuel Costs'!$H177*Z373</f>
        <v>0</v>
      </c>
      <c r="AA812">
        <f ca="1">'Fuel Costs'!$H177*AA373</f>
        <v>0</v>
      </c>
      <c r="AB812">
        <f ca="1">'Fuel Costs'!$H177*AB373</f>
        <v>0</v>
      </c>
      <c r="AC812">
        <f ca="1">'Fuel Costs'!$H177*AC373</f>
        <v>0</v>
      </c>
    </row>
    <row r="813" spans="3:29">
      <c r="C813" t="str">
        <f t="shared" si="300"/>
        <v>Supercritical coal</v>
      </c>
      <c r="D813">
        <f>'Fuel Costs'!$H178*D374</f>
        <v>0</v>
      </c>
      <c r="E813">
        <f>'Fuel Costs'!$H178*E374</f>
        <v>0</v>
      </c>
      <c r="F813">
        <f>'Fuel Costs'!$H178*F374</f>
        <v>0</v>
      </c>
      <c r="G813">
        <f>'Fuel Costs'!$H178*G374</f>
        <v>0</v>
      </c>
      <c r="H813">
        <f>'Fuel Costs'!$H178*H374</f>
        <v>0</v>
      </c>
      <c r="I813">
        <f ca="1">'Fuel Costs'!$H178*I374</f>
        <v>0</v>
      </c>
      <c r="J813">
        <f ca="1">'Fuel Costs'!$H178*J374</f>
        <v>0</v>
      </c>
      <c r="K813">
        <f ca="1">'Fuel Costs'!$H178*K374</f>
        <v>4.9318221823794004E-3</v>
      </c>
      <c r="L813">
        <f ca="1">'Fuel Costs'!$H178*L374</f>
        <v>1.4795466547138203E-2</v>
      </c>
      <c r="M813">
        <f ca="1">'Fuel Costs'!$H178*M374</f>
        <v>4.0147426694926144E-2</v>
      </c>
      <c r="N813">
        <f ca="1">'Fuel Costs'!$H178*N374</f>
        <v>6.4379508331653096E-2</v>
      </c>
      <c r="O813">
        <f ca="1">'Fuel Costs'!$H178*O374</f>
        <v>9.0189650737555679E-2</v>
      </c>
      <c r="P813">
        <f ca="1">'Fuel Costs'!$H178*P374</f>
        <v>0.11557922533318173</v>
      </c>
      <c r="Q813">
        <f ca="1">'Fuel Costs'!$H178*Q374</f>
        <v>0.14242422312396011</v>
      </c>
      <c r="R813">
        <f ca="1">'Fuel Costs'!$H178*R374</f>
        <v>0.1705153477600036</v>
      </c>
      <c r="S813">
        <f ca="1">'Fuel Costs'!$H178*S374</f>
        <v>0.20428583128083155</v>
      </c>
      <c r="T813">
        <f ca="1">'Fuel Costs'!$H178*T374</f>
        <v>0.23952051384484624</v>
      </c>
      <c r="U813">
        <f ca="1">'Fuel Costs'!$H178*U374</f>
        <v>0.2693472924888014</v>
      </c>
      <c r="V813">
        <f ca="1">'Fuel Costs'!$H178*V374</f>
        <v>0.30066862088131197</v>
      </c>
      <c r="W813">
        <f ca="1">'Fuel Costs'!$H178*W374</f>
        <v>0.35898016037389402</v>
      </c>
      <c r="X813">
        <f ca="1">'Fuel Costs'!$H178*X374</f>
        <v>0.42144081568594449</v>
      </c>
      <c r="Y813">
        <f ca="1">'Fuel Costs'!$H178*Y374</f>
        <v>0.49241791022572506</v>
      </c>
      <c r="Z813">
        <f ca="1">'Fuel Costs'!$H178*Z374</f>
        <v>0.56285267097028724</v>
      </c>
      <c r="AA813">
        <f ca="1">'Fuel Costs'!$H178*AA374</f>
        <v>0.64116422793792582</v>
      </c>
      <c r="AB813">
        <f ca="1">'Fuel Costs'!$H178*AB374</f>
        <v>0.75806084063640944</v>
      </c>
      <c r="AC813">
        <f ca="1">'Fuel Costs'!$H178*AC374</f>
        <v>0.82701565716070058</v>
      </c>
    </row>
    <row r="814" spans="3:29">
      <c r="C814" t="str">
        <f t="shared" si="300"/>
        <v xml:space="preserve">Wind 30% </v>
      </c>
      <c r="D814">
        <f>'Fuel Costs'!$H179*D375</f>
        <v>0</v>
      </c>
      <c r="E814">
        <f>'Fuel Costs'!$H179*E375</f>
        <v>0</v>
      </c>
      <c r="F814">
        <f>'Fuel Costs'!$H179*F375</f>
        <v>0</v>
      </c>
      <c r="G814">
        <f>'Fuel Costs'!$H179*G375</f>
        <v>0</v>
      </c>
      <c r="H814">
        <f>'Fuel Costs'!$H179*H375</f>
        <v>0</v>
      </c>
      <c r="I814">
        <f ca="1">'Fuel Costs'!$H179*I375</f>
        <v>0</v>
      </c>
      <c r="J814">
        <f ca="1">'Fuel Costs'!$H179*J375</f>
        <v>0</v>
      </c>
      <c r="K814">
        <f ca="1">'Fuel Costs'!$H179*K375</f>
        <v>0</v>
      </c>
      <c r="L814">
        <f ca="1">'Fuel Costs'!$H179*L375</f>
        <v>0</v>
      </c>
      <c r="M814">
        <f ca="1">'Fuel Costs'!$H179*M375</f>
        <v>0</v>
      </c>
      <c r="N814">
        <f ca="1">'Fuel Costs'!$H179*N375</f>
        <v>0</v>
      </c>
      <c r="O814">
        <f ca="1">'Fuel Costs'!$H179*O375</f>
        <v>0</v>
      </c>
      <c r="P814">
        <f ca="1">'Fuel Costs'!$H179*P375</f>
        <v>0</v>
      </c>
      <c r="Q814">
        <f ca="1">'Fuel Costs'!$H179*Q375</f>
        <v>0</v>
      </c>
      <c r="R814">
        <f ca="1">'Fuel Costs'!$H179*R375</f>
        <v>0</v>
      </c>
      <c r="S814">
        <f ca="1">'Fuel Costs'!$H179*S375</f>
        <v>0</v>
      </c>
      <c r="T814">
        <f ca="1">'Fuel Costs'!$H179*T375</f>
        <v>0</v>
      </c>
      <c r="U814">
        <f ca="1">'Fuel Costs'!$H179*U375</f>
        <v>0</v>
      </c>
      <c r="V814">
        <f ca="1">'Fuel Costs'!$H179*V375</f>
        <v>0</v>
      </c>
      <c r="W814">
        <f ca="1">'Fuel Costs'!$H179*W375</f>
        <v>0</v>
      </c>
      <c r="X814">
        <f ca="1">'Fuel Costs'!$H179*X375</f>
        <v>0</v>
      </c>
      <c r="Y814">
        <f ca="1">'Fuel Costs'!$H179*Y375</f>
        <v>0</v>
      </c>
      <c r="Z814">
        <f ca="1">'Fuel Costs'!$H179*Z375</f>
        <v>0</v>
      </c>
      <c r="AA814">
        <f ca="1">'Fuel Costs'!$H179*AA375</f>
        <v>0</v>
      </c>
      <c r="AB814">
        <f ca="1">'Fuel Costs'!$H179*AB375</f>
        <v>0</v>
      </c>
      <c r="AC814">
        <f ca="1">'Fuel Costs'!$H179*AC375</f>
        <v>0</v>
      </c>
    </row>
    <row r="815" spans="3:29">
      <c r="C815" t="str">
        <f t="shared" si="300"/>
        <v>Wind 25%</v>
      </c>
      <c r="D815">
        <f>'Fuel Costs'!$H180*D376</f>
        <v>0</v>
      </c>
      <c r="E815">
        <f>'Fuel Costs'!$H180*E376</f>
        <v>0</v>
      </c>
      <c r="F815">
        <f>'Fuel Costs'!$H180*F376</f>
        <v>0</v>
      </c>
      <c r="G815">
        <f>'Fuel Costs'!$H180*G376</f>
        <v>0</v>
      </c>
      <c r="H815">
        <f>'Fuel Costs'!$H180*H376</f>
        <v>0</v>
      </c>
      <c r="I815">
        <f ca="1">'Fuel Costs'!$H180*I376</f>
        <v>0</v>
      </c>
      <c r="J815">
        <f ca="1">'Fuel Costs'!$H180*J376</f>
        <v>0</v>
      </c>
      <c r="K815">
        <f ca="1">'Fuel Costs'!$H180*K376</f>
        <v>0</v>
      </c>
      <c r="L815">
        <f ca="1">'Fuel Costs'!$H180*L376</f>
        <v>0</v>
      </c>
      <c r="M815">
        <f ca="1">'Fuel Costs'!$H180*M376</f>
        <v>0</v>
      </c>
      <c r="N815">
        <f ca="1">'Fuel Costs'!$H180*N376</f>
        <v>0</v>
      </c>
      <c r="O815">
        <f ca="1">'Fuel Costs'!$H180*O376</f>
        <v>0</v>
      </c>
      <c r="P815">
        <f ca="1">'Fuel Costs'!$H180*P376</f>
        <v>0</v>
      </c>
      <c r="Q815">
        <f ca="1">'Fuel Costs'!$H180*Q376</f>
        <v>0</v>
      </c>
      <c r="R815">
        <f ca="1">'Fuel Costs'!$H180*R376</f>
        <v>0</v>
      </c>
      <c r="S815">
        <f ca="1">'Fuel Costs'!$H180*S376</f>
        <v>0</v>
      </c>
      <c r="T815">
        <f ca="1">'Fuel Costs'!$H180*T376</f>
        <v>0</v>
      </c>
      <c r="U815">
        <f ca="1">'Fuel Costs'!$H180*U376</f>
        <v>0</v>
      </c>
      <c r="V815">
        <f ca="1">'Fuel Costs'!$H180*V376</f>
        <v>0</v>
      </c>
      <c r="W815">
        <f ca="1">'Fuel Costs'!$H180*W376</f>
        <v>0</v>
      </c>
      <c r="X815">
        <f ca="1">'Fuel Costs'!$H180*X376</f>
        <v>0</v>
      </c>
      <c r="Y815">
        <f ca="1">'Fuel Costs'!$H180*Y376</f>
        <v>0</v>
      </c>
      <c r="Z815">
        <f ca="1">'Fuel Costs'!$H180*Z376</f>
        <v>0</v>
      </c>
      <c r="AA815">
        <f ca="1">'Fuel Costs'!$H180*AA376</f>
        <v>0</v>
      </c>
      <c r="AB815">
        <f ca="1">'Fuel Costs'!$H180*AB376</f>
        <v>0</v>
      </c>
      <c r="AC815">
        <f ca="1">'Fuel Costs'!$H180*AC376</f>
        <v>0</v>
      </c>
    </row>
    <row r="816" spans="3:29">
      <c r="C816" t="str">
        <f t="shared" si="300"/>
        <v>solar thermal central reciever</v>
      </c>
      <c r="D816">
        <f>'Fuel Costs'!$H181*D377</f>
        <v>0</v>
      </c>
      <c r="E816">
        <f>'Fuel Costs'!$H181*E377</f>
        <v>0</v>
      </c>
      <c r="F816">
        <f>'Fuel Costs'!$H181*F377</f>
        <v>0</v>
      </c>
      <c r="G816">
        <f>'Fuel Costs'!$H181*G377</f>
        <v>0</v>
      </c>
      <c r="H816">
        <f>'Fuel Costs'!$H181*H377</f>
        <v>0</v>
      </c>
      <c r="I816">
        <f ca="1">'Fuel Costs'!$H181*I377</f>
        <v>0</v>
      </c>
      <c r="J816">
        <f ca="1">'Fuel Costs'!$H181*J377</f>
        <v>0</v>
      </c>
      <c r="K816">
        <f ca="1">'Fuel Costs'!$H181*K377</f>
        <v>0</v>
      </c>
      <c r="L816">
        <f ca="1">'Fuel Costs'!$H181*L377</f>
        <v>0</v>
      </c>
      <c r="M816">
        <f ca="1">'Fuel Costs'!$H181*M377</f>
        <v>0</v>
      </c>
      <c r="N816">
        <f ca="1">'Fuel Costs'!$H181*N377</f>
        <v>0</v>
      </c>
      <c r="O816">
        <f ca="1">'Fuel Costs'!$H181*O377</f>
        <v>0</v>
      </c>
      <c r="P816">
        <f ca="1">'Fuel Costs'!$H181*P377</f>
        <v>0</v>
      </c>
      <c r="Q816">
        <f ca="1">'Fuel Costs'!$H181*Q377</f>
        <v>0</v>
      </c>
      <c r="R816">
        <f ca="1">'Fuel Costs'!$H181*R377</f>
        <v>0</v>
      </c>
      <c r="S816">
        <f ca="1">'Fuel Costs'!$H181*S377</f>
        <v>0</v>
      </c>
      <c r="T816">
        <f ca="1">'Fuel Costs'!$H181*T377</f>
        <v>0</v>
      </c>
      <c r="U816">
        <f ca="1">'Fuel Costs'!$H181*U377</f>
        <v>0</v>
      </c>
      <c r="V816">
        <f ca="1">'Fuel Costs'!$H181*V377</f>
        <v>0</v>
      </c>
      <c r="W816">
        <f ca="1">'Fuel Costs'!$H181*W377</f>
        <v>0</v>
      </c>
      <c r="X816">
        <f ca="1">'Fuel Costs'!$H181*X377</f>
        <v>0</v>
      </c>
      <c r="Y816">
        <f ca="1">'Fuel Costs'!$H181*Y377</f>
        <v>0</v>
      </c>
      <c r="Z816">
        <f ca="1">'Fuel Costs'!$H181*Z377</f>
        <v>0</v>
      </c>
      <c r="AA816">
        <f ca="1">'Fuel Costs'!$H181*AA377</f>
        <v>0</v>
      </c>
      <c r="AB816">
        <f ca="1">'Fuel Costs'!$H181*AB377</f>
        <v>0</v>
      </c>
      <c r="AC816">
        <f ca="1">'Fuel Costs'!$H181*AC377</f>
        <v>0</v>
      </c>
    </row>
    <row r="817" spans="3:29">
      <c r="C817" t="str">
        <f t="shared" si="300"/>
        <v>solar thermal trough</v>
      </c>
      <c r="D817">
        <f>'Fuel Costs'!$H182*D378</f>
        <v>0</v>
      </c>
      <c r="E817">
        <f>'Fuel Costs'!$H182*E378</f>
        <v>0</v>
      </c>
      <c r="F817">
        <f>'Fuel Costs'!$H182*F378</f>
        <v>0</v>
      </c>
      <c r="G817">
        <f>'Fuel Costs'!$H182*G378</f>
        <v>0</v>
      </c>
      <c r="H817">
        <f>'Fuel Costs'!$H182*H378</f>
        <v>0</v>
      </c>
      <c r="I817">
        <f ca="1">'Fuel Costs'!$H182*I378</f>
        <v>0</v>
      </c>
      <c r="J817">
        <f ca="1">'Fuel Costs'!$H182*J378</f>
        <v>0</v>
      </c>
      <c r="K817">
        <f ca="1">'Fuel Costs'!$H182*K378</f>
        <v>0</v>
      </c>
      <c r="L817">
        <f ca="1">'Fuel Costs'!$H182*L378</f>
        <v>0</v>
      </c>
      <c r="M817">
        <f ca="1">'Fuel Costs'!$H182*M378</f>
        <v>0</v>
      </c>
      <c r="N817">
        <f ca="1">'Fuel Costs'!$H182*N378</f>
        <v>0</v>
      </c>
      <c r="O817">
        <f ca="1">'Fuel Costs'!$H182*O378</f>
        <v>0</v>
      </c>
      <c r="P817">
        <f ca="1">'Fuel Costs'!$H182*P378</f>
        <v>0</v>
      </c>
      <c r="Q817">
        <f ca="1">'Fuel Costs'!$H182*Q378</f>
        <v>0</v>
      </c>
      <c r="R817">
        <f ca="1">'Fuel Costs'!$H182*R378</f>
        <v>0</v>
      </c>
      <c r="S817">
        <f ca="1">'Fuel Costs'!$H182*S378</f>
        <v>0</v>
      </c>
      <c r="T817">
        <f ca="1">'Fuel Costs'!$H182*T378</f>
        <v>0</v>
      </c>
      <c r="U817">
        <f ca="1">'Fuel Costs'!$H182*U378</f>
        <v>0</v>
      </c>
      <c r="V817">
        <f ca="1">'Fuel Costs'!$H182*V378</f>
        <v>0</v>
      </c>
      <c r="W817">
        <f ca="1">'Fuel Costs'!$H182*W378</f>
        <v>0</v>
      </c>
      <c r="X817">
        <f ca="1">'Fuel Costs'!$H182*X378</f>
        <v>0</v>
      </c>
      <c r="Y817">
        <f ca="1">'Fuel Costs'!$H182*Y378</f>
        <v>0</v>
      </c>
      <c r="Z817">
        <f ca="1">'Fuel Costs'!$H182*Z378</f>
        <v>0</v>
      </c>
      <c r="AA817">
        <f ca="1">'Fuel Costs'!$H182*AA378</f>
        <v>0</v>
      </c>
      <c r="AB817">
        <f ca="1">'Fuel Costs'!$H182*AB378</f>
        <v>0</v>
      </c>
      <c r="AC817">
        <f ca="1">'Fuel Costs'!$H182*AC378</f>
        <v>0</v>
      </c>
    </row>
    <row r="818" spans="3:29">
      <c r="C818" t="str">
        <f t="shared" si="300"/>
        <v>solar PV</v>
      </c>
      <c r="D818">
        <f>'Fuel Costs'!$H183*D379</f>
        <v>0</v>
      </c>
      <c r="E818">
        <f>'Fuel Costs'!$H183*E379</f>
        <v>0</v>
      </c>
      <c r="F818">
        <f>'Fuel Costs'!$H183*F379</f>
        <v>0</v>
      </c>
      <c r="G818">
        <f>'Fuel Costs'!$H183*G379</f>
        <v>0</v>
      </c>
      <c r="H818">
        <f>'Fuel Costs'!$H183*H379</f>
        <v>0</v>
      </c>
      <c r="I818">
        <f ca="1">'Fuel Costs'!$H183*I379</f>
        <v>0</v>
      </c>
      <c r="J818">
        <f ca="1">'Fuel Costs'!$H183*J379</f>
        <v>0</v>
      </c>
      <c r="K818">
        <f ca="1">'Fuel Costs'!$H183*K379</f>
        <v>0</v>
      </c>
      <c r="L818">
        <f ca="1">'Fuel Costs'!$H183*L379</f>
        <v>0</v>
      </c>
      <c r="M818">
        <f ca="1">'Fuel Costs'!$H183*M379</f>
        <v>0</v>
      </c>
      <c r="N818">
        <f ca="1">'Fuel Costs'!$H183*N379</f>
        <v>0</v>
      </c>
      <c r="O818">
        <f ca="1">'Fuel Costs'!$H183*O379</f>
        <v>0</v>
      </c>
      <c r="P818">
        <f ca="1">'Fuel Costs'!$H183*P379</f>
        <v>0</v>
      </c>
      <c r="Q818">
        <f ca="1">'Fuel Costs'!$H183*Q379</f>
        <v>0</v>
      </c>
      <c r="R818">
        <f ca="1">'Fuel Costs'!$H183*R379</f>
        <v>0</v>
      </c>
      <c r="S818">
        <f ca="1">'Fuel Costs'!$H183*S379</f>
        <v>0</v>
      </c>
      <c r="T818">
        <f ca="1">'Fuel Costs'!$H183*T379</f>
        <v>0</v>
      </c>
      <c r="U818">
        <f ca="1">'Fuel Costs'!$H183*U379</f>
        <v>0</v>
      </c>
      <c r="V818">
        <f ca="1">'Fuel Costs'!$H183*V379</f>
        <v>0</v>
      </c>
      <c r="W818">
        <f ca="1">'Fuel Costs'!$H183*W379</f>
        <v>0</v>
      </c>
      <c r="X818">
        <f ca="1">'Fuel Costs'!$H183*X379</f>
        <v>0</v>
      </c>
      <c r="Y818">
        <f ca="1">'Fuel Costs'!$H183*Y379</f>
        <v>0</v>
      </c>
      <c r="Z818">
        <f ca="1">'Fuel Costs'!$H183*Z379</f>
        <v>0</v>
      </c>
      <c r="AA818">
        <f ca="1">'Fuel Costs'!$H183*AA379</f>
        <v>0</v>
      </c>
      <c r="AB818">
        <f ca="1">'Fuel Costs'!$H183*AB379</f>
        <v>0</v>
      </c>
      <c r="AC818">
        <f ca="1">'Fuel Costs'!$H183*AC379</f>
        <v>0</v>
      </c>
    </row>
    <row r="819" spans="3:29">
      <c r="C819" t="str">
        <f t="shared" si="300"/>
        <v>combined cycle gas</v>
      </c>
      <c r="D819">
        <f>'Fuel Costs'!$H184*D380</f>
        <v>0</v>
      </c>
      <c r="E819">
        <f>'Fuel Costs'!$H184*E380</f>
        <v>0</v>
      </c>
      <c r="F819">
        <f>'Fuel Costs'!$H184*F380</f>
        <v>0</v>
      </c>
      <c r="G819">
        <f>'Fuel Costs'!$H184*G380</f>
        <v>0</v>
      </c>
      <c r="H819">
        <f>'Fuel Costs'!$H184*H380</f>
        <v>0</v>
      </c>
      <c r="I819">
        <f ca="1">'Fuel Costs'!$H184*I380</f>
        <v>0</v>
      </c>
      <c r="J819">
        <f ca="1">'Fuel Costs'!$H184*J380</f>
        <v>0</v>
      </c>
      <c r="K819">
        <f ca="1">'Fuel Costs'!$H184*K380</f>
        <v>0</v>
      </c>
      <c r="L819">
        <f ca="1">'Fuel Costs'!$H184*L380</f>
        <v>0</v>
      </c>
      <c r="M819">
        <f ca="1">'Fuel Costs'!$H184*M380</f>
        <v>0</v>
      </c>
      <c r="N819">
        <f ca="1">'Fuel Costs'!$H184*N380</f>
        <v>0</v>
      </c>
      <c r="O819">
        <f ca="1">'Fuel Costs'!$H184*O380</f>
        <v>0</v>
      </c>
      <c r="P819">
        <f ca="1">'Fuel Costs'!$H184*P380</f>
        <v>0</v>
      </c>
      <c r="Q819">
        <f ca="1">'Fuel Costs'!$H184*Q380</f>
        <v>0</v>
      </c>
      <c r="R819">
        <f ca="1">'Fuel Costs'!$H184*R380</f>
        <v>0</v>
      </c>
      <c r="S819">
        <f ca="1">'Fuel Costs'!$H184*S380</f>
        <v>0</v>
      </c>
      <c r="T819">
        <f ca="1">'Fuel Costs'!$H184*T380</f>
        <v>0</v>
      </c>
      <c r="U819">
        <f ca="1">'Fuel Costs'!$H184*U380</f>
        <v>0</v>
      </c>
      <c r="V819">
        <f ca="1">'Fuel Costs'!$H184*V380</f>
        <v>0</v>
      </c>
      <c r="W819">
        <f ca="1">'Fuel Costs'!$H184*W380</f>
        <v>0</v>
      </c>
      <c r="X819">
        <f ca="1">'Fuel Costs'!$H184*X380</f>
        <v>0</v>
      </c>
      <c r="Y819">
        <f ca="1">'Fuel Costs'!$H184*Y380</f>
        <v>0</v>
      </c>
      <c r="Z819">
        <f ca="1">'Fuel Costs'!$H184*Z380</f>
        <v>0</v>
      </c>
      <c r="AA819">
        <f ca="1">'Fuel Costs'!$H184*AA380</f>
        <v>0</v>
      </c>
      <c r="AB819">
        <f ca="1">'Fuel Costs'!$H184*AB380</f>
        <v>0</v>
      </c>
      <c r="AC819">
        <f ca="1">'Fuel Costs'!$H184*AC380</f>
        <v>0</v>
      </c>
    </row>
    <row r="820" spans="3:29">
      <c r="C820" t="str">
        <f t="shared" si="300"/>
        <v>PBMR</v>
      </c>
      <c r="D820">
        <f>'Fuel Costs'!$H185*D381</f>
        <v>0</v>
      </c>
      <c r="E820">
        <f>'Fuel Costs'!$H185*E381</f>
        <v>0</v>
      </c>
      <c r="F820">
        <f>'Fuel Costs'!$H185*F381</f>
        <v>0</v>
      </c>
      <c r="G820">
        <f>'Fuel Costs'!$H185*G381</f>
        <v>0</v>
      </c>
      <c r="H820">
        <f>'Fuel Costs'!$H185*H381</f>
        <v>0</v>
      </c>
      <c r="I820">
        <f ca="1">'Fuel Costs'!$H185*I381</f>
        <v>0</v>
      </c>
      <c r="J820">
        <f ca="1">'Fuel Costs'!$H185*J381</f>
        <v>0</v>
      </c>
      <c r="K820">
        <f ca="1">'Fuel Costs'!$H185*K381</f>
        <v>0</v>
      </c>
      <c r="L820">
        <f ca="1">'Fuel Costs'!$H185*L381</f>
        <v>0</v>
      </c>
      <c r="M820">
        <f ca="1">'Fuel Costs'!$H185*M381</f>
        <v>0</v>
      </c>
      <c r="N820">
        <f ca="1">'Fuel Costs'!$H185*N381</f>
        <v>0</v>
      </c>
      <c r="O820">
        <f ca="1">'Fuel Costs'!$H185*O381</f>
        <v>0</v>
      </c>
      <c r="P820">
        <f ca="1">'Fuel Costs'!$H185*P381</f>
        <v>0</v>
      </c>
      <c r="Q820">
        <f ca="1">'Fuel Costs'!$H185*Q381</f>
        <v>0</v>
      </c>
      <c r="R820">
        <f ca="1">'Fuel Costs'!$H185*R381</f>
        <v>0</v>
      </c>
      <c r="S820">
        <f ca="1">'Fuel Costs'!$H185*S381</f>
        <v>0</v>
      </c>
      <c r="T820">
        <f ca="1">'Fuel Costs'!$H185*T381</f>
        <v>0</v>
      </c>
      <c r="U820">
        <f ca="1">'Fuel Costs'!$H185*U381</f>
        <v>0</v>
      </c>
      <c r="V820">
        <f ca="1">'Fuel Costs'!$H185*V381</f>
        <v>0</v>
      </c>
      <c r="W820">
        <f ca="1">'Fuel Costs'!$H185*W381</f>
        <v>0</v>
      </c>
      <c r="X820">
        <f ca="1">'Fuel Costs'!$H185*X381</f>
        <v>0</v>
      </c>
      <c r="Y820">
        <f ca="1">'Fuel Costs'!$H185*Y381</f>
        <v>0</v>
      </c>
      <c r="Z820">
        <f ca="1">'Fuel Costs'!$H185*Z381</f>
        <v>0</v>
      </c>
      <c r="AA820">
        <f ca="1">'Fuel Costs'!$H185*AA381</f>
        <v>0</v>
      </c>
      <c r="AB820">
        <f ca="1">'Fuel Costs'!$H185*AB381</f>
        <v>0</v>
      </c>
      <c r="AC820">
        <f ca="1">'Fuel Costs'!$H185*AC381</f>
        <v>0</v>
      </c>
    </row>
    <row r="821" spans="3:29">
      <c r="C821" t="str">
        <f t="shared" si="300"/>
        <v>IGCC</v>
      </c>
      <c r="D821">
        <f>'Fuel Costs'!$H186*D382</f>
        <v>0</v>
      </c>
      <c r="E821">
        <f>'Fuel Costs'!$H186*E382</f>
        <v>8.0737590906210223E-17</v>
      </c>
      <c r="F821">
        <f>'Fuel Costs'!$H186*F382</f>
        <v>0</v>
      </c>
      <c r="G821">
        <f>'Fuel Costs'!$H186*G382</f>
        <v>8.0737590906210223E-17</v>
      </c>
      <c r="H821">
        <f>'Fuel Costs'!$H186*H382</f>
        <v>8.0737590906210223E-17</v>
      </c>
      <c r="I821">
        <f ca="1">'Fuel Costs'!$H186*I382</f>
        <v>0</v>
      </c>
      <c r="J821">
        <f ca="1">'Fuel Costs'!$H186*J382</f>
        <v>0</v>
      </c>
      <c r="K821">
        <f ca="1">'Fuel Costs'!$H186*K382</f>
        <v>0</v>
      </c>
      <c r="L821">
        <f ca="1">'Fuel Costs'!$H186*L382</f>
        <v>0</v>
      </c>
      <c r="M821">
        <f ca="1">'Fuel Costs'!$H186*M382</f>
        <v>0</v>
      </c>
      <c r="N821">
        <f ca="1">'Fuel Costs'!$H186*N382</f>
        <v>0</v>
      </c>
      <c r="O821">
        <f ca="1">'Fuel Costs'!$H186*O382</f>
        <v>0</v>
      </c>
      <c r="P821">
        <f ca="1">'Fuel Costs'!$H186*P382</f>
        <v>0</v>
      </c>
      <c r="Q821">
        <f ca="1">'Fuel Costs'!$H186*Q382</f>
        <v>0</v>
      </c>
      <c r="R821">
        <f ca="1">'Fuel Costs'!$H186*R382</f>
        <v>0</v>
      </c>
      <c r="S821">
        <f ca="1">'Fuel Costs'!$H186*S382</f>
        <v>0</v>
      </c>
      <c r="T821">
        <f ca="1">'Fuel Costs'!$H186*T382</f>
        <v>0</v>
      </c>
      <c r="U821">
        <f ca="1">'Fuel Costs'!$H186*U382</f>
        <v>0</v>
      </c>
      <c r="V821">
        <f ca="1">'Fuel Costs'!$H186*V382</f>
        <v>0</v>
      </c>
      <c r="W821">
        <f ca="1">'Fuel Costs'!$H186*W382</f>
        <v>0</v>
      </c>
      <c r="X821">
        <f ca="1">'Fuel Costs'!$H186*X382</f>
        <v>0</v>
      </c>
      <c r="Y821">
        <f ca="1">'Fuel Costs'!$H186*Y382</f>
        <v>0</v>
      </c>
      <c r="Z821">
        <f ca="1">'Fuel Costs'!$H186*Z382</f>
        <v>0</v>
      </c>
      <c r="AA821">
        <f ca="1">'Fuel Costs'!$H186*AA382</f>
        <v>0</v>
      </c>
      <c r="AB821">
        <f ca="1">'Fuel Costs'!$H186*AB382</f>
        <v>0</v>
      </c>
      <c r="AC821">
        <f ca="1">'Fuel Costs'!$H186*AC382</f>
        <v>0</v>
      </c>
    </row>
    <row r="822" spans="3:29">
      <c r="C822" t="str">
        <f t="shared" si="300"/>
        <v>-</v>
      </c>
      <c r="D822">
        <f>'Fuel Costs'!$H187*D383</f>
        <v>0</v>
      </c>
      <c r="E822">
        <f>'Fuel Costs'!$H187*E383</f>
        <v>0</v>
      </c>
      <c r="F822">
        <f>'Fuel Costs'!$H187*F383</f>
        <v>0</v>
      </c>
      <c r="G822">
        <f>'Fuel Costs'!$H187*G383</f>
        <v>0</v>
      </c>
      <c r="H822">
        <f>'Fuel Costs'!$H187*H383</f>
        <v>0</v>
      </c>
      <c r="I822">
        <f ca="1">'Fuel Costs'!$H187*I383</f>
        <v>0</v>
      </c>
      <c r="J822">
        <f ca="1">'Fuel Costs'!$H187*J383</f>
        <v>0</v>
      </c>
      <c r="K822">
        <f ca="1">'Fuel Costs'!$H187*K383</f>
        <v>0</v>
      </c>
      <c r="L822">
        <f ca="1">'Fuel Costs'!$H187*L383</f>
        <v>0</v>
      </c>
      <c r="M822">
        <f ca="1">'Fuel Costs'!$H187*M383</f>
        <v>0</v>
      </c>
      <c r="N822">
        <f ca="1">'Fuel Costs'!$H187*N383</f>
        <v>0</v>
      </c>
      <c r="O822">
        <f ca="1">'Fuel Costs'!$H187*O383</f>
        <v>0</v>
      </c>
      <c r="P822">
        <f ca="1">'Fuel Costs'!$H187*P383</f>
        <v>0</v>
      </c>
      <c r="Q822">
        <f ca="1">'Fuel Costs'!$H187*Q383</f>
        <v>0</v>
      </c>
      <c r="R822">
        <f ca="1">'Fuel Costs'!$H187*R383</f>
        <v>0</v>
      </c>
      <c r="S822">
        <f ca="1">'Fuel Costs'!$H187*S383</f>
        <v>0</v>
      </c>
      <c r="T822">
        <f ca="1">'Fuel Costs'!$H187*T383</f>
        <v>0</v>
      </c>
      <c r="U822">
        <f ca="1">'Fuel Costs'!$H187*U383</f>
        <v>0</v>
      </c>
      <c r="V822">
        <f ca="1">'Fuel Costs'!$H187*V383</f>
        <v>0</v>
      </c>
      <c r="W822">
        <f ca="1">'Fuel Costs'!$H187*W383</f>
        <v>0</v>
      </c>
      <c r="X822">
        <f ca="1">'Fuel Costs'!$H187*X383</f>
        <v>0</v>
      </c>
      <c r="Y822">
        <f ca="1">'Fuel Costs'!$H187*Y383</f>
        <v>0</v>
      </c>
      <c r="Z822">
        <f ca="1">'Fuel Costs'!$H187*Z383</f>
        <v>0</v>
      </c>
      <c r="AA822">
        <f ca="1">'Fuel Costs'!$H187*AA383</f>
        <v>0</v>
      </c>
      <c r="AB822">
        <f ca="1">'Fuel Costs'!$H187*AB383</f>
        <v>0</v>
      </c>
      <c r="AC822">
        <f ca="1">'Fuel Costs'!$H187*AC383</f>
        <v>0</v>
      </c>
    </row>
    <row r="823" spans="3:29">
      <c r="C823" t="str">
        <f t="shared" si="300"/>
        <v>-</v>
      </c>
      <c r="D823">
        <f>'Fuel Costs'!$H188*D384</f>
        <v>0</v>
      </c>
      <c r="E823">
        <f>'Fuel Costs'!$H188*E384</f>
        <v>0</v>
      </c>
      <c r="F823">
        <f>'Fuel Costs'!$H188*F384</f>
        <v>0</v>
      </c>
      <c r="G823">
        <f>'Fuel Costs'!$H188*G384</f>
        <v>0</v>
      </c>
      <c r="H823">
        <f>'Fuel Costs'!$H188*H384</f>
        <v>0</v>
      </c>
      <c r="I823">
        <f ca="1">'Fuel Costs'!$H188*I384</f>
        <v>0</v>
      </c>
      <c r="J823">
        <f ca="1">'Fuel Costs'!$H188*J384</f>
        <v>0</v>
      </c>
      <c r="K823">
        <f ca="1">'Fuel Costs'!$H188*K384</f>
        <v>0</v>
      </c>
      <c r="L823">
        <f ca="1">'Fuel Costs'!$H188*L384</f>
        <v>0</v>
      </c>
      <c r="M823">
        <f ca="1">'Fuel Costs'!$H188*M384</f>
        <v>0</v>
      </c>
      <c r="N823">
        <f ca="1">'Fuel Costs'!$H188*N384</f>
        <v>0</v>
      </c>
      <c r="O823">
        <f ca="1">'Fuel Costs'!$H188*O384</f>
        <v>0</v>
      </c>
      <c r="P823">
        <f ca="1">'Fuel Costs'!$H188*P384</f>
        <v>0</v>
      </c>
      <c r="Q823">
        <f ca="1">'Fuel Costs'!$H188*Q384</f>
        <v>0</v>
      </c>
      <c r="R823">
        <f ca="1">'Fuel Costs'!$H188*R384</f>
        <v>0</v>
      </c>
      <c r="S823">
        <f ca="1">'Fuel Costs'!$H188*S384</f>
        <v>0</v>
      </c>
      <c r="T823">
        <f ca="1">'Fuel Costs'!$H188*T384</f>
        <v>0</v>
      </c>
      <c r="U823">
        <f ca="1">'Fuel Costs'!$H188*U384</f>
        <v>0</v>
      </c>
      <c r="V823">
        <f ca="1">'Fuel Costs'!$H188*V384</f>
        <v>0</v>
      </c>
      <c r="W823">
        <f ca="1">'Fuel Costs'!$H188*W384</f>
        <v>0</v>
      </c>
      <c r="X823">
        <f ca="1">'Fuel Costs'!$H188*X384</f>
        <v>0</v>
      </c>
      <c r="Y823">
        <f ca="1">'Fuel Costs'!$H188*Y384</f>
        <v>0</v>
      </c>
      <c r="Z823">
        <f ca="1">'Fuel Costs'!$H188*Z384</f>
        <v>0</v>
      </c>
      <c r="AA823">
        <f ca="1">'Fuel Costs'!$H188*AA384</f>
        <v>0</v>
      </c>
      <c r="AB823">
        <f ca="1">'Fuel Costs'!$H188*AB384</f>
        <v>0</v>
      </c>
      <c r="AC823">
        <f ca="1">'Fuel Costs'!$H188*AC384</f>
        <v>0</v>
      </c>
    </row>
    <row r="824" spans="3:29">
      <c r="C824" t="str">
        <f t="shared" si="300"/>
        <v>-</v>
      </c>
      <c r="D824">
        <f>'Fuel Costs'!$H189*D385</f>
        <v>0</v>
      </c>
      <c r="E824">
        <f>'Fuel Costs'!$H189*E385</f>
        <v>0</v>
      </c>
      <c r="F824">
        <f>'Fuel Costs'!$H189*F385</f>
        <v>0</v>
      </c>
      <c r="G824">
        <f>'Fuel Costs'!$H189*G385</f>
        <v>0</v>
      </c>
      <c r="H824">
        <f>'Fuel Costs'!$H189*H385</f>
        <v>0</v>
      </c>
      <c r="I824">
        <f ca="1">'Fuel Costs'!$H189*I385</f>
        <v>0</v>
      </c>
      <c r="J824">
        <f ca="1">'Fuel Costs'!$H189*J385</f>
        <v>0</v>
      </c>
      <c r="K824">
        <f ca="1">'Fuel Costs'!$H189*K385</f>
        <v>0</v>
      </c>
      <c r="L824">
        <f ca="1">'Fuel Costs'!$H189*L385</f>
        <v>0</v>
      </c>
      <c r="M824">
        <f ca="1">'Fuel Costs'!$H189*M385</f>
        <v>0</v>
      </c>
      <c r="N824">
        <f ca="1">'Fuel Costs'!$H189*N385</f>
        <v>0</v>
      </c>
      <c r="O824">
        <f ca="1">'Fuel Costs'!$H189*O385</f>
        <v>0</v>
      </c>
      <c r="P824">
        <f ca="1">'Fuel Costs'!$H189*P385</f>
        <v>0</v>
      </c>
      <c r="Q824">
        <f ca="1">'Fuel Costs'!$H189*Q385</f>
        <v>0</v>
      </c>
      <c r="R824">
        <f ca="1">'Fuel Costs'!$H189*R385</f>
        <v>0</v>
      </c>
      <c r="S824">
        <f ca="1">'Fuel Costs'!$H189*S385</f>
        <v>0</v>
      </c>
      <c r="T824">
        <f ca="1">'Fuel Costs'!$H189*T385</f>
        <v>0</v>
      </c>
      <c r="U824">
        <f ca="1">'Fuel Costs'!$H189*U385</f>
        <v>0</v>
      </c>
      <c r="V824">
        <f ca="1">'Fuel Costs'!$H189*V385</f>
        <v>0</v>
      </c>
      <c r="W824">
        <f ca="1">'Fuel Costs'!$H189*W385</f>
        <v>0</v>
      </c>
      <c r="X824">
        <f ca="1">'Fuel Costs'!$H189*X385</f>
        <v>0</v>
      </c>
      <c r="Y824">
        <f ca="1">'Fuel Costs'!$H189*Y385</f>
        <v>0</v>
      </c>
      <c r="Z824">
        <f ca="1">'Fuel Costs'!$H189*Z385</f>
        <v>0</v>
      </c>
      <c r="AA824">
        <f ca="1">'Fuel Costs'!$H189*AA385</f>
        <v>0</v>
      </c>
      <c r="AB824">
        <f ca="1">'Fuel Costs'!$H189*AB385</f>
        <v>0</v>
      </c>
      <c r="AC824">
        <f ca="1">'Fuel Costs'!$H189*AC385</f>
        <v>0</v>
      </c>
    </row>
    <row r="825" spans="3:29">
      <c r="C825" t="str">
        <f t="shared" si="300"/>
        <v>Pumped storage</v>
      </c>
      <c r="D825">
        <f>'Fuel Costs'!$H190*D386</f>
        <v>0</v>
      </c>
      <c r="E825">
        <f>'Fuel Costs'!$H190*E386</f>
        <v>0</v>
      </c>
      <c r="F825">
        <f>'Fuel Costs'!$H190*F386</f>
        <v>0</v>
      </c>
      <c r="G825">
        <f>'Fuel Costs'!$H190*G386</f>
        <v>0</v>
      </c>
      <c r="H825">
        <f>'Fuel Costs'!$H190*H386</f>
        <v>0</v>
      </c>
      <c r="I825">
        <f ca="1">'Fuel Costs'!$H190*I386</f>
        <v>0</v>
      </c>
      <c r="J825">
        <f ca="1">'Fuel Costs'!$H190*J386</f>
        <v>0</v>
      </c>
      <c r="K825">
        <f ca="1">'Fuel Costs'!$H190*K386</f>
        <v>0</v>
      </c>
      <c r="L825">
        <f ca="1">'Fuel Costs'!$H190*L386</f>
        <v>0</v>
      </c>
      <c r="M825">
        <f ca="1">'Fuel Costs'!$H190*M386</f>
        <v>0</v>
      </c>
      <c r="N825">
        <f ca="1">'Fuel Costs'!$H190*N386</f>
        <v>0</v>
      </c>
      <c r="O825">
        <f ca="1">'Fuel Costs'!$H190*O386</f>
        <v>0</v>
      </c>
      <c r="P825">
        <f ca="1">'Fuel Costs'!$H190*P386</f>
        <v>0</v>
      </c>
      <c r="Q825">
        <f ca="1">'Fuel Costs'!$H190*Q386</f>
        <v>0</v>
      </c>
      <c r="R825">
        <f ca="1">'Fuel Costs'!$H190*R386</f>
        <v>0</v>
      </c>
      <c r="S825">
        <f ca="1">'Fuel Costs'!$H190*S386</f>
        <v>0</v>
      </c>
      <c r="T825">
        <f ca="1">'Fuel Costs'!$H190*T386</f>
        <v>0</v>
      </c>
      <c r="U825">
        <f ca="1">'Fuel Costs'!$H190*U386</f>
        <v>0</v>
      </c>
      <c r="V825">
        <f ca="1">'Fuel Costs'!$H190*V386</f>
        <v>0</v>
      </c>
      <c r="W825">
        <f ca="1">'Fuel Costs'!$H190*W386</f>
        <v>0</v>
      </c>
      <c r="X825">
        <f ca="1">'Fuel Costs'!$H190*X386</f>
        <v>0</v>
      </c>
      <c r="Y825">
        <f ca="1">'Fuel Costs'!$H190*Y386</f>
        <v>0</v>
      </c>
      <c r="Z825">
        <f ca="1">'Fuel Costs'!$H190*Z386</f>
        <v>0</v>
      </c>
      <c r="AA825">
        <f ca="1">'Fuel Costs'!$H190*AA386</f>
        <v>0</v>
      </c>
      <c r="AB825">
        <f ca="1">'Fuel Costs'!$H190*AB386</f>
        <v>0</v>
      </c>
      <c r="AC825">
        <f ca="1">'Fuel Costs'!$H190*AC386</f>
        <v>0</v>
      </c>
    </row>
    <row r="826" spans="3:29">
      <c r="C826" s="4" t="s">
        <v>5</v>
      </c>
      <c r="D826">
        <f>SUM(D806:D825)</f>
        <v>0.68236889703791037</v>
      </c>
      <c r="E826">
        <f t="shared" ref="E826:AC826" si="301">SUM(E806:E825)</f>
        <v>0.68236889703791048</v>
      </c>
      <c r="F826">
        <f t="shared" si="301"/>
        <v>0.70335130092789899</v>
      </c>
      <c r="G826">
        <f t="shared" si="301"/>
        <v>0.71066038253707231</v>
      </c>
      <c r="H826">
        <f t="shared" si="301"/>
        <v>0.71066038253707231</v>
      </c>
      <c r="I826">
        <f t="shared" ca="1" si="301"/>
        <v>0.73188772763380827</v>
      </c>
      <c r="J826">
        <f t="shared" ca="1" si="301"/>
        <v>0.74772864173364495</v>
      </c>
      <c r="K826">
        <f t="shared" ca="1" si="301"/>
        <v>0.76589424511944237</v>
      </c>
      <c r="L826">
        <f t="shared" ca="1" si="301"/>
        <v>0.78805024158377557</v>
      </c>
      <c r="M826">
        <f t="shared" ca="1" si="301"/>
        <v>0.81402029126972819</v>
      </c>
      <c r="N826">
        <f t="shared" ca="1" si="301"/>
        <v>0.83825237290645516</v>
      </c>
      <c r="O826">
        <f t="shared" ca="1" si="301"/>
        <v>0.86375930605110585</v>
      </c>
      <c r="P826">
        <f t="shared" ca="1" si="301"/>
        <v>0.88884567138547987</v>
      </c>
      <c r="Q826">
        <f t="shared" ca="1" si="301"/>
        <v>0.91528639016125557</v>
      </c>
      <c r="R826">
        <f t="shared" ca="1" si="301"/>
        <v>0.94297323578229642</v>
      </c>
      <c r="S826">
        <f t="shared" ca="1" si="301"/>
        <v>0.9690624180180738</v>
      </c>
      <c r="T826">
        <f t="shared" ca="1" si="301"/>
        <v>0.99661579929703792</v>
      </c>
      <c r="U826">
        <f t="shared" ca="1" si="301"/>
        <v>1.0264425779409931</v>
      </c>
      <c r="V826">
        <f t="shared" ca="1" si="301"/>
        <v>1.0582098954739871</v>
      </c>
      <c r="W826">
        <f t="shared" ca="1" si="301"/>
        <v>1.08962222424354</v>
      </c>
      <c r="X826">
        <f t="shared" ca="1" si="301"/>
        <v>1.1216444306556661</v>
      </c>
      <c r="Y826">
        <f t="shared" ca="1" si="301"/>
        <v>1.1559042627552485</v>
      </c>
      <c r="Z826">
        <f t="shared" ca="1" si="301"/>
        <v>1.1927150100960242</v>
      </c>
      <c r="AA826">
        <f t="shared" ca="1" si="301"/>
        <v>1.2303238139959218</v>
      </c>
      <c r="AB826">
        <f t="shared" ca="1" si="301"/>
        <v>1.2662609096994066</v>
      </c>
      <c r="AC826">
        <f t="shared" ca="1" si="301"/>
        <v>1.2944070507350918</v>
      </c>
    </row>
    <row r="828" spans="3:29">
      <c r="C828" s="4" t="s">
        <v>165</v>
      </c>
    </row>
    <row r="829" spans="3:29">
      <c r="C829" t="str">
        <f>C8</f>
        <v>Existing coal Large</v>
      </c>
      <c r="D829">
        <f>'Fuel Costs'!$I171*D367</f>
        <v>4.246277530852656E-2</v>
      </c>
      <c r="E829">
        <f>'Fuel Costs'!$I171*E367</f>
        <v>4.246277530852656E-2</v>
      </c>
      <c r="F829">
        <f>'Fuel Costs'!$I171*F367</f>
        <v>4.3861602234525808E-2</v>
      </c>
      <c r="G829">
        <f>'Fuel Costs'!$I171*G367</f>
        <v>4.4348874341804019E-2</v>
      </c>
      <c r="H829">
        <f>'Fuel Costs'!$I171*H367</f>
        <v>4.4348874341804019E-2</v>
      </c>
      <c r="I829">
        <f ca="1">'Fuel Costs'!$I171*I367</f>
        <v>4.5395867258590662E-2</v>
      </c>
      <c r="J829">
        <f ca="1">'Fuel Costs'!$I171*J367</f>
        <v>4.6189557655116668E-2</v>
      </c>
      <c r="K829">
        <f ca="1">'Fuel Costs'!$I171*K367</f>
        <v>4.7071809735344534E-2</v>
      </c>
      <c r="L829">
        <f ca="1">'Fuel Costs'!$I171*L367</f>
        <v>4.7891299875316158E-2</v>
      </c>
      <c r="M829">
        <f ca="1">'Fuel Costs'!$I171*M367</f>
        <v>4.7932505844527143E-2</v>
      </c>
      <c r="N829">
        <f ca="1">'Fuel Costs'!$I171*N367</f>
        <v>4.7932505844527143E-2</v>
      </c>
      <c r="O829">
        <f ca="1">'Fuel Costs'!$I171*O367</f>
        <v>4.7932505844527143E-2</v>
      </c>
      <c r="P829">
        <f ca="1">'Fuel Costs'!$I171*P367</f>
        <v>4.7932505844527143E-2</v>
      </c>
      <c r="Q829">
        <f ca="1">'Fuel Costs'!$I171*Q367</f>
        <v>4.7932505844527143E-2</v>
      </c>
      <c r="R829">
        <f ca="1">'Fuel Costs'!$I171*R367</f>
        <v>4.7932505844527143E-2</v>
      </c>
      <c r="S829">
        <f ca="1">'Fuel Costs'!$I171*S367</f>
        <v>4.7932505844527143E-2</v>
      </c>
      <c r="T829">
        <f ca="1">'Fuel Costs'!$I171*T367</f>
        <v>4.7932505844527143E-2</v>
      </c>
      <c r="U829">
        <f ca="1">'Fuel Costs'!$I171*U367</f>
        <v>4.7932505844527143E-2</v>
      </c>
      <c r="V829">
        <f ca="1">'Fuel Costs'!$I171*V367</f>
        <v>4.7932505844527143E-2</v>
      </c>
      <c r="W829">
        <f ca="1">'Fuel Costs'!$I171*W367</f>
        <v>4.6139225129658547E-2</v>
      </c>
      <c r="X829">
        <f ca="1">'Fuel Costs'!$I171*X367</f>
        <v>4.4345944414789958E-2</v>
      </c>
      <c r="Y829">
        <f ca="1">'Fuel Costs'!$I171*Y367</f>
        <v>4.2104343521204214E-2</v>
      </c>
      <c r="Z829">
        <f ca="1">'Fuel Costs'!$I171*Z367</f>
        <v>3.9862742627618464E-2</v>
      </c>
      <c r="AA829">
        <f ca="1">'Fuel Costs'!$I171*AA367</f>
        <v>3.7149225756435728E-2</v>
      </c>
      <c r="AB829">
        <f ca="1">'Fuel Costs'!$I171*AB367</f>
        <v>3.1722192014070241E-2</v>
      </c>
      <c r="AC829">
        <f ca="1">'Fuel Costs'!$I171*AC367</f>
        <v>2.9008675142887495E-2</v>
      </c>
    </row>
    <row r="830" spans="3:29">
      <c r="C830" t="str">
        <f t="shared" ref="C830:C848" si="302">C9</f>
        <v>Existing coal Small</v>
      </c>
      <c r="D830">
        <f>'Fuel Costs'!$I172*D368</f>
        <v>2.9293757961155967E-3</v>
      </c>
      <c r="E830">
        <f>'Fuel Costs'!$I172*E368</f>
        <v>2.9293757961155967E-3</v>
      </c>
      <c r="F830">
        <f>'Fuel Costs'!$I172*F368</f>
        <v>2.9293757961155967E-3</v>
      </c>
      <c r="G830">
        <f>'Fuel Costs'!$I172*G368</f>
        <v>2.9293757961155967E-3</v>
      </c>
      <c r="H830">
        <f>'Fuel Costs'!$I172*H368</f>
        <v>2.9293757961155967E-3</v>
      </c>
      <c r="I830">
        <f ca="1">'Fuel Costs'!$I172*I368</f>
        <v>3.2975392191113557E-3</v>
      </c>
      <c r="J830">
        <f ca="1">'Fuel Costs'!$I172*J368</f>
        <v>3.5153108485261233E-3</v>
      </c>
      <c r="K830">
        <f ca="1">'Fuel Costs'!$I172*K368</f>
        <v>3.5153108485261233E-3</v>
      </c>
      <c r="L830">
        <f ca="1">'Fuel Costs'!$I172*L368</f>
        <v>3.5153108485261233E-3</v>
      </c>
      <c r="M830">
        <f ca="1">'Fuel Costs'!$I172*M368</f>
        <v>3.5153108485261233E-3</v>
      </c>
      <c r="N830">
        <f ca="1">'Fuel Costs'!$I172*N368</f>
        <v>3.5153108485261233E-3</v>
      </c>
      <c r="O830">
        <f ca="1">'Fuel Costs'!$I172*O368</f>
        <v>3.4950968977759908E-3</v>
      </c>
      <c r="P830">
        <f ca="1">'Fuel Costs'!$I172*P368</f>
        <v>3.4748829470258578E-3</v>
      </c>
      <c r="Q830">
        <f ca="1">'Fuel Costs'!$I172*Q368</f>
        <v>3.4479310126923472E-3</v>
      </c>
      <c r="R830">
        <f ca="1">'Fuel Costs'!$I172*R368</f>
        <v>3.4209790783588357E-3</v>
      </c>
      <c r="S830">
        <f ca="1">'Fuel Costs'!$I172*S368</f>
        <v>2.9088923260221287E-3</v>
      </c>
      <c r="T830">
        <f ca="1">'Fuel Costs'!$I172*T368</f>
        <v>2.3968055736854213E-3</v>
      </c>
      <c r="U830">
        <f ca="1">'Fuel Costs'!$I172*U368</f>
        <v>2.3968055736854213E-3</v>
      </c>
      <c r="V830">
        <f ca="1">'Fuel Costs'!$I172*V368</f>
        <v>2.3968055736854213E-3</v>
      </c>
      <c r="W830">
        <f ca="1">'Fuel Costs'!$I172*W368</f>
        <v>2.3968055736854213E-3</v>
      </c>
      <c r="X830">
        <f ca="1">'Fuel Costs'!$I172*X368</f>
        <v>2.160856361892385E-3</v>
      </c>
      <c r="Y830">
        <f ca="1">'Fuel Costs'!$I172*Y368</f>
        <v>1.9249071500993492E-3</v>
      </c>
      <c r="Z830">
        <f ca="1">'Fuel Costs'!$I172*Z368</f>
        <v>1.9249071500993492E-3</v>
      </c>
      <c r="AA830">
        <f ca="1">'Fuel Costs'!$I172*AA368</f>
        <v>1.9249071500993492E-3</v>
      </c>
      <c r="AB830">
        <f ca="1">'Fuel Costs'!$I172*AB368</f>
        <v>1.9249071500993492E-3</v>
      </c>
      <c r="AC830">
        <f ca="1">'Fuel Costs'!$I172*AC368</f>
        <v>1.9249071500993492E-3</v>
      </c>
    </row>
    <row r="831" spans="3:29">
      <c r="C831" t="str">
        <f t="shared" si="302"/>
        <v>OCGT liquid fuels</v>
      </c>
      <c r="D831">
        <f>'Fuel Costs'!$I173*D369</f>
        <v>1.114972851208507E-4</v>
      </c>
      <c r="E831">
        <f>'Fuel Costs'!$I173*E369</f>
        <v>1.114972851208507E-4</v>
      </c>
      <c r="F831">
        <f>'Fuel Costs'!$I173*F369</f>
        <v>1.114972851208507E-4</v>
      </c>
      <c r="G831">
        <f>'Fuel Costs'!$I173*G369</f>
        <v>1.114972851208507E-4</v>
      </c>
      <c r="H831">
        <f>'Fuel Costs'!$I173*H369</f>
        <v>1.114972851208507E-4</v>
      </c>
      <c r="I831">
        <f ca="1">'Fuel Costs'!$I173*I369</f>
        <v>1.114972851208507E-4</v>
      </c>
      <c r="J831">
        <f ca="1">'Fuel Costs'!$I173*J369</f>
        <v>1.6167106342523352E-4</v>
      </c>
      <c r="K831">
        <f ca="1">'Fuel Costs'!$I173*K369</f>
        <v>1.6167106342523352E-4</v>
      </c>
      <c r="L831">
        <f ca="1">'Fuel Costs'!$I173*L369</f>
        <v>1.6167106342523352E-4</v>
      </c>
      <c r="M831">
        <f ca="1">'Fuel Costs'!$I173*M369</f>
        <v>1.6167106342523352E-4</v>
      </c>
      <c r="N831">
        <f ca="1">'Fuel Costs'!$I173*N369</f>
        <v>1.6167106342523352E-4</v>
      </c>
      <c r="O831">
        <f ca="1">'Fuel Costs'!$I173*O369</f>
        <v>1.6167106342523352E-4</v>
      </c>
      <c r="P831">
        <f ca="1">'Fuel Costs'!$I173*P369</f>
        <v>1.6167106342523352E-4</v>
      </c>
      <c r="Q831">
        <f ca="1">'Fuel Costs'!$I173*Q369</f>
        <v>1.6167106342523352E-4</v>
      </c>
      <c r="R831">
        <f ca="1">'Fuel Costs'!$I173*R369</f>
        <v>1.6167106342523352E-4</v>
      </c>
      <c r="S831">
        <f ca="1">'Fuel Costs'!$I173*S369</f>
        <v>1.6167106342523352E-4</v>
      </c>
      <c r="T831">
        <f ca="1">'Fuel Costs'!$I173*T369</f>
        <v>1.6167106342523352E-4</v>
      </c>
      <c r="U831">
        <f ca="1">'Fuel Costs'!$I173*U369</f>
        <v>1.6167106342523352E-4</v>
      </c>
      <c r="V831">
        <f ca="1">'Fuel Costs'!$I173*V369</f>
        <v>1.9512024896148878E-4</v>
      </c>
      <c r="W831">
        <f ca="1">'Fuel Costs'!$I173*W369</f>
        <v>1.9512024896148878E-4</v>
      </c>
      <c r="X831">
        <f ca="1">'Fuel Costs'!$I173*X369</f>
        <v>1.9512024896148878E-4</v>
      </c>
      <c r="Y831">
        <f ca="1">'Fuel Costs'!$I173*Y369</f>
        <v>2.2856943449774396E-4</v>
      </c>
      <c r="Z831">
        <f ca="1">'Fuel Costs'!$I173*Z369</f>
        <v>2.2856943449774396E-4</v>
      </c>
      <c r="AA831">
        <f ca="1">'Fuel Costs'!$I173*AA369</f>
        <v>2.2856943449774396E-4</v>
      </c>
      <c r="AB831">
        <f ca="1">'Fuel Costs'!$I173*AB369</f>
        <v>2.6201862003399912E-4</v>
      </c>
      <c r="AC831">
        <f ca="1">'Fuel Costs'!$I173*AC369</f>
        <v>2.5407443846913851E-4</v>
      </c>
    </row>
    <row r="832" spans="3:29">
      <c r="C832" t="str">
        <f t="shared" si="302"/>
        <v>PWR nuclear</v>
      </c>
      <c r="D832">
        <f>'Fuel Costs'!$I174*D370</f>
        <v>0</v>
      </c>
      <c r="E832">
        <f>'Fuel Costs'!$I174*E370</f>
        <v>0</v>
      </c>
      <c r="F832">
        <f>'Fuel Costs'!$I174*F370</f>
        <v>0</v>
      </c>
      <c r="G832">
        <f>'Fuel Costs'!$I174*G370</f>
        <v>0</v>
      </c>
      <c r="H832">
        <f>'Fuel Costs'!$I174*H370</f>
        <v>0</v>
      </c>
      <c r="I832">
        <f ca="1">'Fuel Costs'!$I174*I370</f>
        <v>0</v>
      </c>
      <c r="J832">
        <f ca="1">'Fuel Costs'!$I174*J370</f>
        <v>0</v>
      </c>
      <c r="K832">
        <f ca="1">'Fuel Costs'!$I174*K370</f>
        <v>0</v>
      </c>
      <c r="L832">
        <f ca="1">'Fuel Costs'!$I174*L370</f>
        <v>0</v>
      </c>
      <c r="M832">
        <f ca="1">'Fuel Costs'!$I174*M370</f>
        <v>0</v>
      </c>
      <c r="N832">
        <f ca="1">'Fuel Costs'!$I174*N370</f>
        <v>0</v>
      </c>
      <c r="O832">
        <f ca="1">'Fuel Costs'!$I174*O370</f>
        <v>0</v>
      </c>
      <c r="P832">
        <f ca="1">'Fuel Costs'!$I174*P370</f>
        <v>0</v>
      </c>
      <c r="Q832">
        <f ca="1">'Fuel Costs'!$I174*Q370</f>
        <v>0</v>
      </c>
      <c r="R832">
        <f ca="1">'Fuel Costs'!$I174*R370</f>
        <v>0</v>
      </c>
      <c r="S832">
        <f ca="1">'Fuel Costs'!$I174*S370</f>
        <v>0</v>
      </c>
      <c r="T832">
        <f ca="1">'Fuel Costs'!$I174*T370</f>
        <v>0</v>
      </c>
      <c r="U832">
        <f ca="1">'Fuel Costs'!$I174*U370</f>
        <v>0</v>
      </c>
      <c r="V832">
        <f ca="1">'Fuel Costs'!$I174*V370</f>
        <v>0</v>
      </c>
      <c r="W832">
        <f ca="1">'Fuel Costs'!$I174*W370</f>
        <v>0</v>
      </c>
      <c r="X832">
        <f ca="1">'Fuel Costs'!$I174*X370</f>
        <v>0</v>
      </c>
      <c r="Y832">
        <f ca="1">'Fuel Costs'!$I174*Y370</f>
        <v>0</v>
      </c>
      <c r="Z832">
        <f ca="1">'Fuel Costs'!$I174*Z370</f>
        <v>0</v>
      </c>
      <c r="AA832">
        <f ca="1">'Fuel Costs'!$I174*AA370</f>
        <v>0</v>
      </c>
      <c r="AB832">
        <f ca="1">'Fuel Costs'!$I174*AB370</f>
        <v>0</v>
      </c>
      <c r="AC832">
        <f ca="1">'Fuel Costs'!$I174*AC370</f>
        <v>0</v>
      </c>
    </row>
    <row r="833" spans="3:29">
      <c r="C833" t="str">
        <f t="shared" si="302"/>
        <v>Hydro</v>
      </c>
      <c r="D833">
        <f>'Fuel Costs'!$I175*D371</f>
        <v>0</v>
      </c>
      <c r="E833">
        <f>'Fuel Costs'!$I175*E371</f>
        <v>0</v>
      </c>
      <c r="F833">
        <f>'Fuel Costs'!$I175*F371</f>
        <v>0</v>
      </c>
      <c r="G833">
        <f>'Fuel Costs'!$I175*G371</f>
        <v>0</v>
      </c>
      <c r="H833">
        <f>'Fuel Costs'!$I175*H371</f>
        <v>0</v>
      </c>
      <c r="I833">
        <f ca="1">'Fuel Costs'!$I175*I371</f>
        <v>0</v>
      </c>
      <c r="J833">
        <f ca="1">'Fuel Costs'!$I175*J371</f>
        <v>0</v>
      </c>
      <c r="K833">
        <f ca="1">'Fuel Costs'!$I175*K371</f>
        <v>0</v>
      </c>
      <c r="L833">
        <f ca="1">'Fuel Costs'!$I175*L371</f>
        <v>0</v>
      </c>
      <c r="M833">
        <f ca="1">'Fuel Costs'!$I175*M371</f>
        <v>0</v>
      </c>
      <c r="N833">
        <f ca="1">'Fuel Costs'!$I175*N371</f>
        <v>0</v>
      </c>
      <c r="O833">
        <f ca="1">'Fuel Costs'!$I175*O371</f>
        <v>0</v>
      </c>
      <c r="P833">
        <f ca="1">'Fuel Costs'!$I175*P371</f>
        <v>0</v>
      </c>
      <c r="Q833">
        <f ca="1">'Fuel Costs'!$I175*Q371</f>
        <v>0</v>
      </c>
      <c r="R833">
        <f ca="1">'Fuel Costs'!$I175*R371</f>
        <v>0</v>
      </c>
      <c r="S833">
        <f ca="1">'Fuel Costs'!$I175*S371</f>
        <v>0</v>
      </c>
      <c r="T833">
        <f ca="1">'Fuel Costs'!$I175*T371</f>
        <v>0</v>
      </c>
      <c r="U833">
        <f ca="1">'Fuel Costs'!$I175*U371</f>
        <v>0</v>
      </c>
      <c r="V833">
        <f ca="1">'Fuel Costs'!$I175*V371</f>
        <v>0</v>
      </c>
      <c r="W833">
        <f ca="1">'Fuel Costs'!$I175*W371</f>
        <v>0</v>
      </c>
      <c r="X833">
        <f ca="1">'Fuel Costs'!$I175*X371</f>
        <v>0</v>
      </c>
      <c r="Y833">
        <f ca="1">'Fuel Costs'!$I175*Y371</f>
        <v>0</v>
      </c>
      <c r="Z833">
        <f ca="1">'Fuel Costs'!$I175*Z371</f>
        <v>0</v>
      </c>
      <c r="AA833">
        <f ca="1">'Fuel Costs'!$I175*AA371</f>
        <v>0</v>
      </c>
      <c r="AB833">
        <f ca="1">'Fuel Costs'!$I175*AB371</f>
        <v>0</v>
      </c>
      <c r="AC833">
        <f ca="1">'Fuel Costs'!$I175*AC371</f>
        <v>0</v>
      </c>
    </row>
    <row r="834" spans="3:29">
      <c r="C834" t="str">
        <f t="shared" si="302"/>
        <v>Landfill gas</v>
      </c>
      <c r="D834">
        <f>'Fuel Costs'!$I176*D372</f>
        <v>0</v>
      </c>
      <c r="E834">
        <f>'Fuel Costs'!$I176*E372</f>
        <v>0</v>
      </c>
      <c r="F834">
        <f>'Fuel Costs'!$I176*F372</f>
        <v>0</v>
      </c>
      <c r="G834">
        <f>'Fuel Costs'!$I176*G372</f>
        <v>0</v>
      </c>
      <c r="H834">
        <f>'Fuel Costs'!$I176*H372</f>
        <v>0</v>
      </c>
      <c r="I834">
        <f ca="1">'Fuel Costs'!$I176*I372</f>
        <v>0</v>
      </c>
      <c r="J834">
        <f ca="1">'Fuel Costs'!$I176*J372</f>
        <v>0</v>
      </c>
      <c r="K834">
        <f ca="1">'Fuel Costs'!$I176*K372</f>
        <v>0</v>
      </c>
      <c r="L834">
        <f ca="1">'Fuel Costs'!$I176*L372</f>
        <v>0</v>
      </c>
      <c r="M834">
        <f ca="1">'Fuel Costs'!$I176*M372</f>
        <v>0</v>
      </c>
      <c r="N834">
        <f ca="1">'Fuel Costs'!$I176*N372</f>
        <v>0</v>
      </c>
      <c r="O834">
        <f ca="1">'Fuel Costs'!$I176*O372</f>
        <v>0</v>
      </c>
      <c r="P834">
        <f ca="1">'Fuel Costs'!$I176*P372</f>
        <v>0</v>
      </c>
      <c r="Q834">
        <f ca="1">'Fuel Costs'!$I176*Q372</f>
        <v>0</v>
      </c>
      <c r="R834">
        <f ca="1">'Fuel Costs'!$I176*R372</f>
        <v>0</v>
      </c>
      <c r="S834">
        <f ca="1">'Fuel Costs'!$I176*S372</f>
        <v>0</v>
      </c>
      <c r="T834">
        <f ca="1">'Fuel Costs'!$I176*T372</f>
        <v>0</v>
      </c>
      <c r="U834">
        <f ca="1">'Fuel Costs'!$I176*U372</f>
        <v>0</v>
      </c>
      <c r="V834">
        <f ca="1">'Fuel Costs'!$I176*V372</f>
        <v>0</v>
      </c>
      <c r="W834">
        <f ca="1">'Fuel Costs'!$I176*W372</f>
        <v>0</v>
      </c>
      <c r="X834">
        <f ca="1">'Fuel Costs'!$I176*X372</f>
        <v>0</v>
      </c>
      <c r="Y834">
        <f ca="1">'Fuel Costs'!$I176*Y372</f>
        <v>0</v>
      </c>
      <c r="Z834">
        <f ca="1">'Fuel Costs'!$I176*Z372</f>
        <v>0</v>
      </c>
      <c r="AA834">
        <f ca="1">'Fuel Costs'!$I176*AA372</f>
        <v>0</v>
      </c>
      <c r="AB834">
        <f ca="1">'Fuel Costs'!$I176*AB372</f>
        <v>0</v>
      </c>
      <c r="AC834">
        <f ca="1">'Fuel Costs'!$I176*AC372</f>
        <v>0</v>
      </c>
    </row>
    <row r="835" spans="3:29">
      <c r="C835" t="str">
        <f t="shared" si="302"/>
        <v>Biomass</v>
      </c>
      <c r="D835">
        <f>'Fuel Costs'!$I177*D373</f>
        <v>0</v>
      </c>
      <c r="E835">
        <f>'Fuel Costs'!$I177*E373</f>
        <v>0</v>
      </c>
      <c r="F835">
        <f>'Fuel Costs'!$I177*F373</f>
        <v>0</v>
      </c>
      <c r="G835">
        <f>'Fuel Costs'!$I177*G373</f>
        <v>0</v>
      </c>
      <c r="H835">
        <f>'Fuel Costs'!$I177*H373</f>
        <v>0</v>
      </c>
      <c r="I835">
        <f ca="1">'Fuel Costs'!$I177*I373</f>
        <v>0</v>
      </c>
      <c r="J835">
        <f ca="1">'Fuel Costs'!$I177*J373</f>
        <v>0</v>
      </c>
      <c r="K835">
        <f ca="1">'Fuel Costs'!$I177*K373</f>
        <v>0</v>
      </c>
      <c r="L835">
        <f ca="1">'Fuel Costs'!$I177*L373</f>
        <v>0</v>
      </c>
      <c r="M835">
        <f ca="1">'Fuel Costs'!$I177*M373</f>
        <v>0</v>
      </c>
      <c r="N835">
        <f ca="1">'Fuel Costs'!$I177*N373</f>
        <v>0</v>
      </c>
      <c r="O835">
        <f ca="1">'Fuel Costs'!$I177*O373</f>
        <v>0</v>
      </c>
      <c r="P835">
        <f ca="1">'Fuel Costs'!$I177*P373</f>
        <v>0</v>
      </c>
      <c r="Q835">
        <f ca="1">'Fuel Costs'!$I177*Q373</f>
        <v>0</v>
      </c>
      <c r="R835">
        <f ca="1">'Fuel Costs'!$I177*R373</f>
        <v>0</v>
      </c>
      <c r="S835">
        <f ca="1">'Fuel Costs'!$I177*S373</f>
        <v>0</v>
      </c>
      <c r="T835">
        <f ca="1">'Fuel Costs'!$I177*T373</f>
        <v>0</v>
      </c>
      <c r="U835">
        <f ca="1">'Fuel Costs'!$I177*U373</f>
        <v>0</v>
      </c>
      <c r="V835">
        <f ca="1">'Fuel Costs'!$I177*V373</f>
        <v>0</v>
      </c>
      <c r="W835">
        <f ca="1">'Fuel Costs'!$I177*W373</f>
        <v>0</v>
      </c>
      <c r="X835">
        <f ca="1">'Fuel Costs'!$I177*X373</f>
        <v>0</v>
      </c>
      <c r="Y835">
        <f ca="1">'Fuel Costs'!$I177*Y373</f>
        <v>0</v>
      </c>
      <c r="Z835">
        <f ca="1">'Fuel Costs'!$I177*Z373</f>
        <v>0</v>
      </c>
      <c r="AA835">
        <f ca="1">'Fuel Costs'!$I177*AA373</f>
        <v>0</v>
      </c>
      <c r="AB835">
        <f ca="1">'Fuel Costs'!$I177*AB373</f>
        <v>0</v>
      </c>
      <c r="AC835">
        <f ca="1">'Fuel Costs'!$I177*AC373</f>
        <v>0</v>
      </c>
    </row>
    <row r="836" spans="3:29">
      <c r="C836" t="str">
        <f t="shared" si="302"/>
        <v>Supercritical coal</v>
      </c>
      <c r="D836">
        <f>'Fuel Costs'!$I178*D374</f>
        <v>0</v>
      </c>
      <c r="E836">
        <f>'Fuel Costs'!$I178*E374</f>
        <v>0</v>
      </c>
      <c r="F836">
        <f>'Fuel Costs'!$I178*F374</f>
        <v>0</v>
      </c>
      <c r="G836">
        <f>'Fuel Costs'!$I178*G374</f>
        <v>0</v>
      </c>
      <c r="H836">
        <f>'Fuel Costs'!$I178*H374</f>
        <v>0</v>
      </c>
      <c r="I836">
        <f ca="1">'Fuel Costs'!$I178*I374</f>
        <v>0</v>
      </c>
      <c r="J836">
        <f ca="1">'Fuel Costs'!$I178*J374</f>
        <v>0</v>
      </c>
      <c r="K836">
        <f ca="1">'Fuel Costs'!$I178*K374</f>
        <v>3.2878814549196006E-4</v>
      </c>
      <c r="L836">
        <f ca="1">'Fuel Costs'!$I178*L374</f>
        <v>9.8636443647588017E-4</v>
      </c>
      <c r="M836">
        <f ca="1">'Fuel Costs'!$I178*M374</f>
        <v>2.6764951129950761E-3</v>
      </c>
      <c r="N836">
        <f ca="1">'Fuel Costs'!$I178*N374</f>
        <v>4.2919672221102059E-3</v>
      </c>
      <c r="O836">
        <f ca="1">'Fuel Costs'!$I178*O374</f>
        <v>6.0126433825037125E-3</v>
      </c>
      <c r="P836">
        <f ca="1">'Fuel Costs'!$I178*P374</f>
        <v>7.7052816888787817E-3</v>
      </c>
      <c r="Q836">
        <f ca="1">'Fuel Costs'!$I178*Q374</f>
        <v>9.4949482082640063E-3</v>
      </c>
      <c r="R836">
        <f ca="1">'Fuel Costs'!$I178*R374</f>
        <v>1.1367689850666909E-2</v>
      </c>
      <c r="S836">
        <f ca="1">'Fuel Costs'!$I178*S374</f>
        <v>1.3619055418722104E-2</v>
      </c>
      <c r="T836">
        <f ca="1">'Fuel Costs'!$I178*T374</f>
        <v>1.5968034256323083E-2</v>
      </c>
      <c r="U836">
        <f ca="1">'Fuel Costs'!$I178*U374</f>
        <v>1.7956486165920094E-2</v>
      </c>
      <c r="V836">
        <f ca="1">'Fuel Costs'!$I178*V374</f>
        <v>2.0044574725420795E-2</v>
      </c>
      <c r="W836">
        <f ca="1">'Fuel Costs'!$I178*W374</f>
        <v>2.3932010691592936E-2</v>
      </c>
      <c r="X836">
        <f ca="1">'Fuel Costs'!$I178*X374</f>
        <v>2.8096054379062967E-2</v>
      </c>
      <c r="Y836">
        <f ca="1">'Fuel Costs'!$I178*Y374</f>
        <v>3.2827860681715004E-2</v>
      </c>
      <c r="Z836">
        <f ca="1">'Fuel Costs'!$I178*Z374</f>
        <v>3.7523511398019148E-2</v>
      </c>
      <c r="AA836">
        <f ca="1">'Fuel Costs'!$I178*AA374</f>
        <v>4.2744281862528391E-2</v>
      </c>
      <c r="AB836">
        <f ca="1">'Fuel Costs'!$I178*AB374</f>
        <v>5.0537389375760633E-2</v>
      </c>
      <c r="AC836">
        <f ca="1">'Fuel Costs'!$I178*AC374</f>
        <v>5.513437714404671E-2</v>
      </c>
    </row>
    <row r="837" spans="3:29">
      <c r="C837" t="str">
        <f t="shared" si="302"/>
        <v xml:space="preserve">Wind 30% </v>
      </c>
      <c r="D837">
        <f>'Fuel Costs'!$I179*D375</f>
        <v>0</v>
      </c>
      <c r="E837">
        <f>'Fuel Costs'!$I179*E375</f>
        <v>0</v>
      </c>
      <c r="F837">
        <f>'Fuel Costs'!$I179*F375</f>
        <v>0</v>
      </c>
      <c r="G837">
        <f>'Fuel Costs'!$I179*G375</f>
        <v>0</v>
      </c>
      <c r="H837">
        <f>'Fuel Costs'!$I179*H375</f>
        <v>0</v>
      </c>
      <c r="I837">
        <f ca="1">'Fuel Costs'!$I179*I375</f>
        <v>0</v>
      </c>
      <c r="J837">
        <f ca="1">'Fuel Costs'!$I179*J375</f>
        <v>0</v>
      </c>
      <c r="K837">
        <f ca="1">'Fuel Costs'!$I179*K375</f>
        <v>0</v>
      </c>
      <c r="L837">
        <f ca="1">'Fuel Costs'!$I179*L375</f>
        <v>0</v>
      </c>
      <c r="M837">
        <f ca="1">'Fuel Costs'!$I179*M375</f>
        <v>0</v>
      </c>
      <c r="N837">
        <f ca="1">'Fuel Costs'!$I179*N375</f>
        <v>0</v>
      </c>
      <c r="O837">
        <f ca="1">'Fuel Costs'!$I179*O375</f>
        <v>0</v>
      </c>
      <c r="P837">
        <f ca="1">'Fuel Costs'!$I179*P375</f>
        <v>0</v>
      </c>
      <c r="Q837">
        <f ca="1">'Fuel Costs'!$I179*Q375</f>
        <v>0</v>
      </c>
      <c r="R837">
        <f ca="1">'Fuel Costs'!$I179*R375</f>
        <v>0</v>
      </c>
      <c r="S837">
        <f ca="1">'Fuel Costs'!$I179*S375</f>
        <v>0</v>
      </c>
      <c r="T837">
        <f ca="1">'Fuel Costs'!$I179*T375</f>
        <v>0</v>
      </c>
      <c r="U837">
        <f ca="1">'Fuel Costs'!$I179*U375</f>
        <v>0</v>
      </c>
      <c r="V837">
        <f ca="1">'Fuel Costs'!$I179*V375</f>
        <v>0</v>
      </c>
      <c r="W837">
        <f ca="1">'Fuel Costs'!$I179*W375</f>
        <v>0</v>
      </c>
      <c r="X837">
        <f ca="1">'Fuel Costs'!$I179*X375</f>
        <v>0</v>
      </c>
      <c r="Y837">
        <f ca="1">'Fuel Costs'!$I179*Y375</f>
        <v>0</v>
      </c>
      <c r="Z837">
        <f ca="1">'Fuel Costs'!$I179*Z375</f>
        <v>0</v>
      </c>
      <c r="AA837">
        <f ca="1">'Fuel Costs'!$I179*AA375</f>
        <v>0</v>
      </c>
      <c r="AB837">
        <f ca="1">'Fuel Costs'!$I179*AB375</f>
        <v>0</v>
      </c>
      <c r="AC837">
        <f ca="1">'Fuel Costs'!$I179*AC375</f>
        <v>0</v>
      </c>
    </row>
    <row r="838" spans="3:29">
      <c r="C838" t="str">
        <f t="shared" si="302"/>
        <v>Wind 25%</v>
      </c>
      <c r="D838">
        <f>'Fuel Costs'!$I180*D376</f>
        <v>0</v>
      </c>
      <c r="E838">
        <f>'Fuel Costs'!$I180*E376</f>
        <v>0</v>
      </c>
      <c r="F838">
        <f>'Fuel Costs'!$I180*F376</f>
        <v>0</v>
      </c>
      <c r="G838">
        <f>'Fuel Costs'!$I180*G376</f>
        <v>0</v>
      </c>
      <c r="H838">
        <f>'Fuel Costs'!$I180*H376</f>
        <v>0</v>
      </c>
      <c r="I838">
        <f ca="1">'Fuel Costs'!$I180*I376</f>
        <v>0</v>
      </c>
      <c r="J838">
        <f ca="1">'Fuel Costs'!$I180*J376</f>
        <v>0</v>
      </c>
      <c r="K838">
        <f ca="1">'Fuel Costs'!$I180*K376</f>
        <v>0</v>
      </c>
      <c r="L838">
        <f ca="1">'Fuel Costs'!$I180*L376</f>
        <v>0</v>
      </c>
      <c r="M838">
        <f ca="1">'Fuel Costs'!$I180*M376</f>
        <v>0</v>
      </c>
      <c r="N838">
        <f ca="1">'Fuel Costs'!$I180*N376</f>
        <v>0</v>
      </c>
      <c r="O838">
        <f ca="1">'Fuel Costs'!$I180*O376</f>
        <v>0</v>
      </c>
      <c r="P838">
        <f ca="1">'Fuel Costs'!$I180*P376</f>
        <v>0</v>
      </c>
      <c r="Q838">
        <f ca="1">'Fuel Costs'!$I180*Q376</f>
        <v>0</v>
      </c>
      <c r="R838">
        <f ca="1">'Fuel Costs'!$I180*R376</f>
        <v>0</v>
      </c>
      <c r="S838">
        <f ca="1">'Fuel Costs'!$I180*S376</f>
        <v>0</v>
      </c>
      <c r="T838">
        <f ca="1">'Fuel Costs'!$I180*T376</f>
        <v>0</v>
      </c>
      <c r="U838">
        <f ca="1">'Fuel Costs'!$I180*U376</f>
        <v>0</v>
      </c>
      <c r="V838">
        <f ca="1">'Fuel Costs'!$I180*V376</f>
        <v>0</v>
      </c>
      <c r="W838">
        <f ca="1">'Fuel Costs'!$I180*W376</f>
        <v>0</v>
      </c>
      <c r="X838">
        <f ca="1">'Fuel Costs'!$I180*X376</f>
        <v>0</v>
      </c>
      <c r="Y838">
        <f ca="1">'Fuel Costs'!$I180*Y376</f>
        <v>0</v>
      </c>
      <c r="Z838">
        <f ca="1">'Fuel Costs'!$I180*Z376</f>
        <v>0</v>
      </c>
      <c r="AA838">
        <f ca="1">'Fuel Costs'!$I180*AA376</f>
        <v>0</v>
      </c>
      <c r="AB838">
        <f ca="1">'Fuel Costs'!$I180*AB376</f>
        <v>0</v>
      </c>
      <c r="AC838">
        <f ca="1">'Fuel Costs'!$I180*AC376</f>
        <v>0</v>
      </c>
    </row>
    <row r="839" spans="3:29">
      <c r="C839" t="str">
        <f t="shared" si="302"/>
        <v>solar thermal central reciever</v>
      </c>
      <c r="D839">
        <f>'Fuel Costs'!$I181*D377</f>
        <v>0</v>
      </c>
      <c r="E839">
        <f>'Fuel Costs'!$I181*E377</f>
        <v>0</v>
      </c>
      <c r="F839">
        <f>'Fuel Costs'!$I181*F377</f>
        <v>0</v>
      </c>
      <c r="G839">
        <f>'Fuel Costs'!$I181*G377</f>
        <v>0</v>
      </c>
      <c r="H839">
        <f>'Fuel Costs'!$I181*H377</f>
        <v>0</v>
      </c>
      <c r="I839">
        <f ca="1">'Fuel Costs'!$I181*I377</f>
        <v>0</v>
      </c>
      <c r="J839">
        <f ca="1">'Fuel Costs'!$I181*J377</f>
        <v>0</v>
      </c>
      <c r="K839">
        <f ca="1">'Fuel Costs'!$I181*K377</f>
        <v>0</v>
      </c>
      <c r="L839">
        <f ca="1">'Fuel Costs'!$I181*L377</f>
        <v>0</v>
      </c>
      <c r="M839">
        <f ca="1">'Fuel Costs'!$I181*M377</f>
        <v>0</v>
      </c>
      <c r="N839">
        <f ca="1">'Fuel Costs'!$I181*N377</f>
        <v>0</v>
      </c>
      <c r="O839">
        <f ca="1">'Fuel Costs'!$I181*O377</f>
        <v>0</v>
      </c>
      <c r="P839">
        <f ca="1">'Fuel Costs'!$I181*P377</f>
        <v>0</v>
      </c>
      <c r="Q839">
        <f ca="1">'Fuel Costs'!$I181*Q377</f>
        <v>0</v>
      </c>
      <c r="R839">
        <f ca="1">'Fuel Costs'!$I181*R377</f>
        <v>0</v>
      </c>
      <c r="S839">
        <f ca="1">'Fuel Costs'!$I181*S377</f>
        <v>0</v>
      </c>
      <c r="T839">
        <f ca="1">'Fuel Costs'!$I181*T377</f>
        <v>0</v>
      </c>
      <c r="U839">
        <f ca="1">'Fuel Costs'!$I181*U377</f>
        <v>0</v>
      </c>
      <c r="V839">
        <f ca="1">'Fuel Costs'!$I181*V377</f>
        <v>0</v>
      </c>
      <c r="W839">
        <f ca="1">'Fuel Costs'!$I181*W377</f>
        <v>0</v>
      </c>
      <c r="X839">
        <f ca="1">'Fuel Costs'!$I181*X377</f>
        <v>0</v>
      </c>
      <c r="Y839">
        <f ca="1">'Fuel Costs'!$I181*Y377</f>
        <v>0</v>
      </c>
      <c r="Z839">
        <f ca="1">'Fuel Costs'!$I181*Z377</f>
        <v>0</v>
      </c>
      <c r="AA839">
        <f ca="1">'Fuel Costs'!$I181*AA377</f>
        <v>0</v>
      </c>
      <c r="AB839">
        <f ca="1">'Fuel Costs'!$I181*AB377</f>
        <v>0</v>
      </c>
      <c r="AC839">
        <f ca="1">'Fuel Costs'!$I181*AC377</f>
        <v>0</v>
      </c>
    </row>
    <row r="840" spans="3:29">
      <c r="C840" t="str">
        <f t="shared" si="302"/>
        <v>solar thermal trough</v>
      </c>
      <c r="D840">
        <f>'Fuel Costs'!$I182*D378</f>
        <v>0</v>
      </c>
      <c r="E840">
        <f>'Fuel Costs'!$I182*E378</f>
        <v>0</v>
      </c>
      <c r="F840">
        <f>'Fuel Costs'!$I182*F378</f>
        <v>0</v>
      </c>
      <c r="G840">
        <f>'Fuel Costs'!$I182*G378</f>
        <v>0</v>
      </c>
      <c r="H840">
        <f>'Fuel Costs'!$I182*H378</f>
        <v>0</v>
      </c>
      <c r="I840">
        <f ca="1">'Fuel Costs'!$I182*I378</f>
        <v>0</v>
      </c>
      <c r="J840">
        <f ca="1">'Fuel Costs'!$I182*J378</f>
        <v>0</v>
      </c>
      <c r="K840">
        <f ca="1">'Fuel Costs'!$I182*K378</f>
        <v>0</v>
      </c>
      <c r="L840">
        <f ca="1">'Fuel Costs'!$I182*L378</f>
        <v>0</v>
      </c>
      <c r="M840">
        <f ca="1">'Fuel Costs'!$I182*M378</f>
        <v>0</v>
      </c>
      <c r="N840">
        <f ca="1">'Fuel Costs'!$I182*N378</f>
        <v>0</v>
      </c>
      <c r="O840">
        <f ca="1">'Fuel Costs'!$I182*O378</f>
        <v>0</v>
      </c>
      <c r="P840">
        <f ca="1">'Fuel Costs'!$I182*P378</f>
        <v>0</v>
      </c>
      <c r="Q840">
        <f ca="1">'Fuel Costs'!$I182*Q378</f>
        <v>0</v>
      </c>
      <c r="R840">
        <f ca="1">'Fuel Costs'!$I182*R378</f>
        <v>0</v>
      </c>
      <c r="S840">
        <f ca="1">'Fuel Costs'!$I182*S378</f>
        <v>0</v>
      </c>
      <c r="T840">
        <f ca="1">'Fuel Costs'!$I182*T378</f>
        <v>0</v>
      </c>
      <c r="U840">
        <f ca="1">'Fuel Costs'!$I182*U378</f>
        <v>0</v>
      </c>
      <c r="V840">
        <f ca="1">'Fuel Costs'!$I182*V378</f>
        <v>0</v>
      </c>
      <c r="W840">
        <f ca="1">'Fuel Costs'!$I182*W378</f>
        <v>0</v>
      </c>
      <c r="X840">
        <f ca="1">'Fuel Costs'!$I182*X378</f>
        <v>0</v>
      </c>
      <c r="Y840">
        <f ca="1">'Fuel Costs'!$I182*Y378</f>
        <v>0</v>
      </c>
      <c r="Z840">
        <f ca="1">'Fuel Costs'!$I182*Z378</f>
        <v>0</v>
      </c>
      <c r="AA840">
        <f ca="1">'Fuel Costs'!$I182*AA378</f>
        <v>0</v>
      </c>
      <c r="AB840">
        <f ca="1">'Fuel Costs'!$I182*AB378</f>
        <v>0</v>
      </c>
      <c r="AC840">
        <f ca="1">'Fuel Costs'!$I182*AC378</f>
        <v>0</v>
      </c>
    </row>
    <row r="841" spans="3:29">
      <c r="C841" t="str">
        <f t="shared" si="302"/>
        <v>solar PV</v>
      </c>
      <c r="D841">
        <f>'Fuel Costs'!$I183*D379</f>
        <v>0</v>
      </c>
      <c r="E841">
        <f>'Fuel Costs'!$I183*E379</f>
        <v>0</v>
      </c>
      <c r="F841">
        <f>'Fuel Costs'!$I183*F379</f>
        <v>0</v>
      </c>
      <c r="G841">
        <f>'Fuel Costs'!$I183*G379</f>
        <v>0</v>
      </c>
      <c r="H841">
        <f>'Fuel Costs'!$I183*H379</f>
        <v>0</v>
      </c>
      <c r="I841">
        <f ca="1">'Fuel Costs'!$I183*I379</f>
        <v>0</v>
      </c>
      <c r="J841">
        <f ca="1">'Fuel Costs'!$I183*J379</f>
        <v>0</v>
      </c>
      <c r="K841">
        <f ca="1">'Fuel Costs'!$I183*K379</f>
        <v>0</v>
      </c>
      <c r="L841">
        <f ca="1">'Fuel Costs'!$I183*L379</f>
        <v>0</v>
      </c>
      <c r="M841">
        <f ca="1">'Fuel Costs'!$I183*M379</f>
        <v>0</v>
      </c>
      <c r="N841">
        <f ca="1">'Fuel Costs'!$I183*N379</f>
        <v>0</v>
      </c>
      <c r="O841">
        <f ca="1">'Fuel Costs'!$I183*O379</f>
        <v>0</v>
      </c>
      <c r="P841">
        <f ca="1">'Fuel Costs'!$I183*P379</f>
        <v>0</v>
      </c>
      <c r="Q841">
        <f ca="1">'Fuel Costs'!$I183*Q379</f>
        <v>0</v>
      </c>
      <c r="R841">
        <f ca="1">'Fuel Costs'!$I183*R379</f>
        <v>0</v>
      </c>
      <c r="S841">
        <f ca="1">'Fuel Costs'!$I183*S379</f>
        <v>0</v>
      </c>
      <c r="T841">
        <f ca="1">'Fuel Costs'!$I183*T379</f>
        <v>0</v>
      </c>
      <c r="U841">
        <f ca="1">'Fuel Costs'!$I183*U379</f>
        <v>0</v>
      </c>
      <c r="V841">
        <f ca="1">'Fuel Costs'!$I183*V379</f>
        <v>0</v>
      </c>
      <c r="W841">
        <f ca="1">'Fuel Costs'!$I183*W379</f>
        <v>0</v>
      </c>
      <c r="X841">
        <f ca="1">'Fuel Costs'!$I183*X379</f>
        <v>0</v>
      </c>
      <c r="Y841">
        <f ca="1">'Fuel Costs'!$I183*Y379</f>
        <v>0</v>
      </c>
      <c r="Z841">
        <f ca="1">'Fuel Costs'!$I183*Z379</f>
        <v>0</v>
      </c>
      <c r="AA841">
        <f ca="1">'Fuel Costs'!$I183*AA379</f>
        <v>0</v>
      </c>
      <c r="AB841">
        <f ca="1">'Fuel Costs'!$I183*AB379</f>
        <v>0</v>
      </c>
      <c r="AC841">
        <f ca="1">'Fuel Costs'!$I183*AC379</f>
        <v>0</v>
      </c>
    </row>
    <row r="842" spans="3:29">
      <c r="C842" t="str">
        <f t="shared" si="302"/>
        <v>combined cycle gas</v>
      </c>
      <c r="D842">
        <f>'Fuel Costs'!$I184*D380</f>
        <v>0</v>
      </c>
      <c r="E842">
        <f>'Fuel Costs'!$I184*E380</f>
        <v>0</v>
      </c>
      <c r="F842">
        <f>'Fuel Costs'!$I184*F380</f>
        <v>0</v>
      </c>
      <c r="G842">
        <f>'Fuel Costs'!$I184*G380</f>
        <v>0</v>
      </c>
      <c r="H842">
        <f>'Fuel Costs'!$I184*H380</f>
        <v>0</v>
      </c>
      <c r="I842">
        <f ca="1">'Fuel Costs'!$I184*I380</f>
        <v>0</v>
      </c>
      <c r="J842">
        <f ca="1">'Fuel Costs'!$I184*J380</f>
        <v>0</v>
      </c>
      <c r="K842">
        <f ca="1">'Fuel Costs'!$I184*K380</f>
        <v>0</v>
      </c>
      <c r="L842">
        <f ca="1">'Fuel Costs'!$I184*L380</f>
        <v>0</v>
      </c>
      <c r="M842">
        <f ca="1">'Fuel Costs'!$I184*M380</f>
        <v>0</v>
      </c>
      <c r="N842">
        <f ca="1">'Fuel Costs'!$I184*N380</f>
        <v>0</v>
      </c>
      <c r="O842">
        <f ca="1">'Fuel Costs'!$I184*O380</f>
        <v>0</v>
      </c>
      <c r="P842">
        <f ca="1">'Fuel Costs'!$I184*P380</f>
        <v>0</v>
      </c>
      <c r="Q842">
        <f ca="1">'Fuel Costs'!$I184*Q380</f>
        <v>0</v>
      </c>
      <c r="R842">
        <f ca="1">'Fuel Costs'!$I184*R380</f>
        <v>0</v>
      </c>
      <c r="S842">
        <f ca="1">'Fuel Costs'!$I184*S380</f>
        <v>0</v>
      </c>
      <c r="T842">
        <f ca="1">'Fuel Costs'!$I184*T380</f>
        <v>0</v>
      </c>
      <c r="U842">
        <f ca="1">'Fuel Costs'!$I184*U380</f>
        <v>0</v>
      </c>
      <c r="V842">
        <f ca="1">'Fuel Costs'!$I184*V380</f>
        <v>0</v>
      </c>
      <c r="W842">
        <f ca="1">'Fuel Costs'!$I184*W380</f>
        <v>0</v>
      </c>
      <c r="X842">
        <f ca="1">'Fuel Costs'!$I184*X380</f>
        <v>0</v>
      </c>
      <c r="Y842">
        <f ca="1">'Fuel Costs'!$I184*Y380</f>
        <v>0</v>
      </c>
      <c r="Z842">
        <f ca="1">'Fuel Costs'!$I184*Z380</f>
        <v>0</v>
      </c>
      <c r="AA842">
        <f ca="1">'Fuel Costs'!$I184*AA380</f>
        <v>0</v>
      </c>
      <c r="AB842">
        <f ca="1">'Fuel Costs'!$I184*AB380</f>
        <v>0</v>
      </c>
      <c r="AC842">
        <f ca="1">'Fuel Costs'!$I184*AC380</f>
        <v>0</v>
      </c>
    </row>
    <row r="843" spans="3:29">
      <c r="C843" t="str">
        <f t="shared" si="302"/>
        <v>PBMR</v>
      </c>
      <c r="D843">
        <f>'Fuel Costs'!$I185*D381</f>
        <v>0</v>
      </c>
      <c r="E843">
        <f>'Fuel Costs'!$I185*E381</f>
        <v>0</v>
      </c>
      <c r="F843">
        <f>'Fuel Costs'!$I185*F381</f>
        <v>0</v>
      </c>
      <c r="G843">
        <f>'Fuel Costs'!$I185*G381</f>
        <v>0</v>
      </c>
      <c r="H843">
        <f>'Fuel Costs'!$I185*H381</f>
        <v>0</v>
      </c>
      <c r="I843">
        <f ca="1">'Fuel Costs'!$I185*I381</f>
        <v>0</v>
      </c>
      <c r="J843">
        <f ca="1">'Fuel Costs'!$I185*J381</f>
        <v>0</v>
      </c>
      <c r="K843">
        <f ca="1">'Fuel Costs'!$I185*K381</f>
        <v>0</v>
      </c>
      <c r="L843">
        <f ca="1">'Fuel Costs'!$I185*L381</f>
        <v>0</v>
      </c>
      <c r="M843">
        <f ca="1">'Fuel Costs'!$I185*M381</f>
        <v>0</v>
      </c>
      <c r="N843">
        <f ca="1">'Fuel Costs'!$I185*N381</f>
        <v>0</v>
      </c>
      <c r="O843">
        <f ca="1">'Fuel Costs'!$I185*O381</f>
        <v>0</v>
      </c>
      <c r="P843">
        <f ca="1">'Fuel Costs'!$I185*P381</f>
        <v>0</v>
      </c>
      <c r="Q843">
        <f ca="1">'Fuel Costs'!$I185*Q381</f>
        <v>0</v>
      </c>
      <c r="R843">
        <f ca="1">'Fuel Costs'!$I185*R381</f>
        <v>0</v>
      </c>
      <c r="S843">
        <f ca="1">'Fuel Costs'!$I185*S381</f>
        <v>0</v>
      </c>
      <c r="T843">
        <f ca="1">'Fuel Costs'!$I185*T381</f>
        <v>0</v>
      </c>
      <c r="U843">
        <f ca="1">'Fuel Costs'!$I185*U381</f>
        <v>0</v>
      </c>
      <c r="V843">
        <f ca="1">'Fuel Costs'!$I185*V381</f>
        <v>0</v>
      </c>
      <c r="W843">
        <f ca="1">'Fuel Costs'!$I185*W381</f>
        <v>0</v>
      </c>
      <c r="X843">
        <f ca="1">'Fuel Costs'!$I185*X381</f>
        <v>0</v>
      </c>
      <c r="Y843">
        <f ca="1">'Fuel Costs'!$I185*Y381</f>
        <v>0</v>
      </c>
      <c r="Z843">
        <f ca="1">'Fuel Costs'!$I185*Z381</f>
        <v>0</v>
      </c>
      <c r="AA843">
        <f ca="1">'Fuel Costs'!$I185*AA381</f>
        <v>0</v>
      </c>
      <c r="AB843">
        <f ca="1">'Fuel Costs'!$I185*AB381</f>
        <v>0</v>
      </c>
      <c r="AC843">
        <f ca="1">'Fuel Costs'!$I185*AC381</f>
        <v>0</v>
      </c>
    </row>
    <row r="844" spans="3:29">
      <c r="C844" t="str">
        <f t="shared" si="302"/>
        <v>IGCC</v>
      </c>
      <c r="D844">
        <f>'Fuel Costs'!$I186*D382</f>
        <v>0</v>
      </c>
      <c r="E844">
        <f>'Fuel Costs'!$I186*E382</f>
        <v>5.3825060604140155E-18</v>
      </c>
      <c r="F844">
        <f>'Fuel Costs'!$I186*F382</f>
        <v>0</v>
      </c>
      <c r="G844">
        <f>'Fuel Costs'!$I186*G382</f>
        <v>5.3825060604140155E-18</v>
      </c>
      <c r="H844">
        <f>'Fuel Costs'!$I186*H382</f>
        <v>5.3825060604140155E-18</v>
      </c>
      <c r="I844">
        <f ca="1">'Fuel Costs'!$I186*I382</f>
        <v>0</v>
      </c>
      <c r="J844">
        <f ca="1">'Fuel Costs'!$I186*J382</f>
        <v>0</v>
      </c>
      <c r="K844">
        <f ca="1">'Fuel Costs'!$I186*K382</f>
        <v>0</v>
      </c>
      <c r="L844">
        <f ca="1">'Fuel Costs'!$I186*L382</f>
        <v>0</v>
      </c>
      <c r="M844">
        <f ca="1">'Fuel Costs'!$I186*M382</f>
        <v>0</v>
      </c>
      <c r="N844">
        <f ca="1">'Fuel Costs'!$I186*N382</f>
        <v>0</v>
      </c>
      <c r="O844">
        <f ca="1">'Fuel Costs'!$I186*O382</f>
        <v>0</v>
      </c>
      <c r="P844">
        <f ca="1">'Fuel Costs'!$I186*P382</f>
        <v>0</v>
      </c>
      <c r="Q844">
        <f ca="1">'Fuel Costs'!$I186*Q382</f>
        <v>0</v>
      </c>
      <c r="R844">
        <f ca="1">'Fuel Costs'!$I186*R382</f>
        <v>0</v>
      </c>
      <c r="S844">
        <f ca="1">'Fuel Costs'!$I186*S382</f>
        <v>0</v>
      </c>
      <c r="T844">
        <f ca="1">'Fuel Costs'!$I186*T382</f>
        <v>0</v>
      </c>
      <c r="U844">
        <f ca="1">'Fuel Costs'!$I186*U382</f>
        <v>0</v>
      </c>
      <c r="V844">
        <f ca="1">'Fuel Costs'!$I186*V382</f>
        <v>0</v>
      </c>
      <c r="W844">
        <f ca="1">'Fuel Costs'!$I186*W382</f>
        <v>0</v>
      </c>
      <c r="X844">
        <f ca="1">'Fuel Costs'!$I186*X382</f>
        <v>0</v>
      </c>
      <c r="Y844">
        <f ca="1">'Fuel Costs'!$I186*Y382</f>
        <v>0</v>
      </c>
      <c r="Z844">
        <f ca="1">'Fuel Costs'!$I186*Z382</f>
        <v>0</v>
      </c>
      <c r="AA844">
        <f ca="1">'Fuel Costs'!$I186*AA382</f>
        <v>0</v>
      </c>
      <c r="AB844">
        <f ca="1">'Fuel Costs'!$I186*AB382</f>
        <v>0</v>
      </c>
      <c r="AC844">
        <f ca="1">'Fuel Costs'!$I186*AC382</f>
        <v>0</v>
      </c>
    </row>
    <row r="845" spans="3:29">
      <c r="C845" t="str">
        <f t="shared" si="302"/>
        <v>-</v>
      </c>
      <c r="D845">
        <f>'Fuel Costs'!$I187*D383</f>
        <v>0</v>
      </c>
      <c r="E845">
        <f>'Fuel Costs'!$I187*E383</f>
        <v>0</v>
      </c>
      <c r="F845">
        <f>'Fuel Costs'!$I187*F383</f>
        <v>0</v>
      </c>
      <c r="G845">
        <f>'Fuel Costs'!$I187*G383</f>
        <v>0</v>
      </c>
      <c r="H845">
        <f>'Fuel Costs'!$I187*H383</f>
        <v>0</v>
      </c>
      <c r="I845">
        <f ca="1">'Fuel Costs'!$I187*I383</f>
        <v>0</v>
      </c>
      <c r="J845">
        <f ca="1">'Fuel Costs'!$I187*J383</f>
        <v>0</v>
      </c>
      <c r="K845">
        <f ca="1">'Fuel Costs'!$I187*K383</f>
        <v>0</v>
      </c>
      <c r="L845">
        <f ca="1">'Fuel Costs'!$I187*L383</f>
        <v>0</v>
      </c>
      <c r="M845">
        <f ca="1">'Fuel Costs'!$I187*M383</f>
        <v>0</v>
      </c>
      <c r="N845">
        <f ca="1">'Fuel Costs'!$I187*N383</f>
        <v>0</v>
      </c>
      <c r="O845">
        <f ca="1">'Fuel Costs'!$I187*O383</f>
        <v>0</v>
      </c>
      <c r="P845">
        <f ca="1">'Fuel Costs'!$I187*P383</f>
        <v>0</v>
      </c>
      <c r="Q845">
        <f ca="1">'Fuel Costs'!$I187*Q383</f>
        <v>0</v>
      </c>
      <c r="R845">
        <f ca="1">'Fuel Costs'!$I187*R383</f>
        <v>0</v>
      </c>
      <c r="S845">
        <f ca="1">'Fuel Costs'!$I187*S383</f>
        <v>0</v>
      </c>
      <c r="T845">
        <f ca="1">'Fuel Costs'!$I187*T383</f>
        <v>0</v>
      </c>
      <c r="U845">
        <f ca="1">'Fuel Costs'!$I187*U383</f>
        <v>0</v>
      </c>
      <c r="V845">
        <f ca="1">'Fuel Costs'!$I187*V383</f>
        <v>0</v>
      </c>
      <c r="W845">
        <f ca="1">'Fuel Costs'!$I187*W383</f>
        <v>0</v>
      </c>
      <c r="X845">
        <f ca="1">'Fuel Costs'!$I187*X383</f>
        <v>0</v>
      </c>
      <c r="Y845">
        <f ca="1">'Fuel Costs'!$I187*Y383</f>
        <v>0</v>
      </c>
      <c r="Z845">
        <f ca="1">'Fuel Costs'!$I187*Z383</f>
        <v>0</v>
      </c>
      <c r="AA845">
        <f ca="1">'Fuel Costs'!$I187*AA383</f>
        <v>0</v>
      </c>
      <c r="AB845">
        <f ca="1">'Fuel Costs'!$I187*AB383</f>
        <v>0</v>
      </c>
      <c r="AC845">
        <f ca="1">'Fuel Costs'!$I187*AC383</f>
        <v>0</v>
      </c>
    </row>
    <row r="846" spans="3:29">
      <c r="C846" t="str">
        <f t="shared" si="302"/>
        <v>-</v>
      </c>
      <c r="D846">
        <f>'Fuel Costs'!$I188*D384</f>
        <v>0</v>
      </c>
      <c r="E846">
        <f>'Fuel Costs'!$I188*E384</f>
        <v>0</v>
      </c>
      <c r="F846">
        <f>'Fuel Costs'!$I188*F384</f>
        <v>0</v>
      </c>
      <c r="G846">
        <f>'Fuel Costs'!$I188*G384</f>
        <v>0</v>
      </c>
      <c r="H846">
        <f>'Fuel Costs'!$I188*H384</f>
        <v>0</v>
      </c>
      <c r="I846">
        <f ca="1">'Fuel Costs'!$I188*I384</f>
        <v>0</v>
      </c>
      <c r="J846">
        <f ca="1">'Fuel Costs'!$I188*J384</f>
        <v>0</v>
      </c>
      <c r="K846">
        <f ca="1">'Fuel Costs'!$I188*K384</f>
        <v>0</v>
      </c>
      <c r="L846">
        <f ca="1">'Fuel Costs'!$I188*L384</f>
        <v>0</v>
      </c>
      <c r="M846">
        <f ca="1">'Fuel Costs'!$I188*M384</f>
        <v>0</v>
      </c>
      <c r="N846">
        <f ca="1">'Fuel Costs'!$I188*N384</f>
        <v>0</v>
      </c>
      <c r="O846">
        <f ca="1">'Fuel Costs'!$I188*O384</f>
        <v>0</v>
      </c>
      <c r="P846">
        <f ca="1">'Fuel Costs'!$I188*P384</f>
        <v>0</v>
      </c>
      <c r="Q846">
        <f ca="1">'Fuel Costs'!$I188*Q384</f>
        <v>0</v>
      </c>
      <c r="R846">
        <f ca="1">'Fuel Costs'!$I188*R384</f>
        <v>0</v>
      </c>
      <c r="S846">
        <f ca="1">'Fuel Costs'!$I188*S384</f>
        <v>0</v>
      </c>
      <c r="T846">
        <f ca="1">'Fuel Costs'!$I188*T384</f>
        <v>0</v>
      </c>
      <c r="U846">
        <f ca="1">'Fuel Costs'!$I188*U384</f>
        <v>0</v>
      </c>
      <c r="V846">
        <f ca="1">'Fuel Costs'!$I188*V384</f>
        <v>0</v>
      </c>
      <c r="W846">
        <f ca="1">'Fuel Costs'!$I188*W384</f>
        <v>0</v>
      </c>
      <c r="X846">
        <f ca="1">'Fuel Costs'!$I188*X384</f>
        <v>0</v>
      </c>
      <c r="Y846">
        <f ca="1">'Fuel Costs'!$I188*Y384</f>
        <v>0</v>
      </c>
      <c r="Z846">
        <f ca="1">'Fuel Costs'!$I188*Z384</f>
        <v>0</v>
      </c>
      <c r="AA846">
        <f ca="1">'Fuel Costs'!$I188*AA384</f>
        <v>0</v>
      </c>
      <c r="AB846">
        <f ca="1">'Fuel Costs'!$I188*AB384</f>
        <v>0</v>
      </c>
      <c r="AC846">
        <f ca="1">'Fuel Costs'!$I188*AC384</f>
        <v>0</v>
      </c>
    </row>
    <row r="847" spans="3:29">
      <c r="C847" t="str">
        <f t="shared" si="302"/>
        <v>-</v>
      </c>
      <c r="D847">
        <f>'Fuel Costs'!$I189*D385</f>
        <v>0</v>
      </c>
      <c r="E847">
        <f>'Fuel Costs'!$I189*E385</f>
        <v>0</v>
      </c>
      <c r="F847">
        <f>'Fuel Costs'!$I189*F385</f>
        <v>0</v>
      </c>
      <c r="G847">
        <f>'Fuel Costs'!$I189*G385</f>
        <v>0</v>
      </c>
      <c r="H847">
        <f>'Fuel Costs'!$I189*H385</f>
        <v>0</v>
      </c>
      <c r="I847">
        <f ca="1">'Fuel Costs'!$I189*I385</f>
        <v>0</v>
      </c>
      <c r="J847">
        <f ca="1">'Fuel Costs'!$I189*J385</f>
        <v>0</v>
      </c>
      <c r="K847">
        <f ca="1">'Fuel Costs'!$I189*K385</f>
        <v>0</v>
      </c>
      <c r="L847">
        <f ca="1">'Fuel Costs'!$I189*L385</f>
        <v>0</v>
      </c>
      <c r="M847">
        <f ca="1">'Fuel Costs'!$I189*M385</f>
        <v>0</v>
      </c>
      <c r="N847">
        <f ca="1">'Fuel Costs'!$I189*N385</f>
        <v>0</v>
      </c>
      <c r="O847">
        <f ca="1">'Fuel Costs'!$I189*O385</f>
        <v>0</v>
      </c>
      <c r="P847">
        <f ca="1">'Fuel Costs'!$I189*P385</f>
        <v>0</v>
      </c>
      <c r="Q847">
        <f ca="1">'Fuel Costs'!$I189*Q385</f>
        <v>0</v>
      </c>
      <c r="R847">
        <f ca="1">'Fuel Costs'!$I189*R385</f>
        <v>0</v>
      </c>
      <c r="S847">
        <f ca="1">'Fuel Costs'!$I189*S385</f>
        <v>0</v>
      </c>
      <c r="T847">
        <f ca="1">'Fuel Costs'!$I189*T385</f>
        <v>0</v>
      </c>
      <c r="U847">
        <f ca="1">'Fuel Costs'!$I189*U385</f>
        <v>0</v>
      </c>
      <c r="V847">
        <f ca="1">'Fuel Costs'!$I189*V385</f>
        <v>0</v>
      </c>
      <c r="W847">
        <f ca="1">'Fuel Costs'!$I189*W385</f>
        <v>0</v>
      </c>
      <c r="X847">
        <f ca="1">'Fuel Costs'!$I189*X385</f>
        <v>0</v>
      </c>
      <c r="Y847">
        <f ca="1">'Fuel Costs'!$I189*Y385</f>
        <v>0</v>
      </c>
      <c r="Z847">
        <f ca="1">'Fuel Costs'!$I189*Z385</f>
        <v>0</v>
      </c>
      <c r="AA847">
        <f ca="1">'Fuel Costs'!$I189*AA385</f>
        <v>0</v>
      </c>
      <c r="AB847">
        <f ca="1">'Fuel Costs'!$I189*AB385</f>
        <v>0</v>
      </c>
      <c r="AC847">
        <f ca="1">'Fuel Costs'!$I189*AC385</f>
        <v>0</v>
      </c>
    </row>
    <row r="848" spans="3:29">
      <c r="C848" t="str">
        <f t="shared" si="302"/>
        <v>Pumped storage</v>
      </c>
      <c r="D848">
        <f>'Fuel Costs'!$I190*D386</f>
        <v>0</v>
      </c>
      <c r="E848">
        <f>'Fuel Costs'!$I190*E386</f>
        <v>0</v>
      </c>
      <c r="F848">
        <f>'Fuel Costs'!$I190*F386</f>
        <v>0</v>
      </c>
      <c r="G848">
        <f>'Fuel Costs'!$I190*G386</f>
        <v>0</v>
      </c>
      <c r="H848">
        <f>'Fuel Costs'!$I190*H386</f>
        <v>0</v>
      </c>
      <c r="I848">
        <f ca="1">'Fuel Costs'!$I190*I386</f>
        <v>0</v>
      </c>
      <c r="J848">
        <f ca="1">'Fuel Costs'!$I190*J386</f>
        <v>0</v>
      </c>
      <c r="K848">
        <f ca="1">'Fuel Costs'!$I190*K386</f>
        <v>0</v>
      </c>
      <c r="L848">
        <f ca="1">'Fuel Costs'!$I190*L386</f>
        <v>0</v>
      </c>
      <c r="M848">
        <f ca="1">'Fuel Costs'!$I190*M386</f>
        <v>0</v>
      </c>
      <c r="N848">
        <f ca="1">'Fuel Costs'!$I190*N386</f>
        <v>0</v>
      </c>
      <c r="O848">
        <f ca="1">'Fuel Costs'!$I190*O386</f>
        <v>0</v>
      </c>
      <c r="P848">
        <f ca="1">'Fuel Costs'!$I190*P386</f>
        <v>0</v>
      </c>
      <c r="Q848">
        <f ca="1">'Fuel Costs'!$I190*Q386</f>
        <v>0</v>
      </c>
      <c r="R848">
        <f ca="1">'Fuel Costs'!$I190*R386</f>
        <v>0</v>
      </c>
      <c r="S848">
        <f ca="1">'Fuel Costs'!$I190*S386</f>
        <v>0</v>
      </c>
      <c r="T848">
        <f ca="1">'Fuel Costs'!$I190*T386</f>
        <v>0</v>
      </c>
      <c r="U848">
        <f ca="1">'Fuel Costs'!$I190*U386</f>
        <v>0</v>
      </c>
      <c r="V848">
        <f ca="1">'Fuel Costs'!$I190*V386</f>
        <v>0</v>
      </c>
      <c r="W848">
        <f ca="1">'Fuel Costs'!$I190*W386</f>
        <v>0</v>
      </c>
      <c r="X848">
        <f ca="1">'Fuel Costs'!$I190*X386</f>
        <v>0</v>
      </c>
      <c r="Y848">
        <f ca="1">'Fuel Costs'!$I190*Y386</f>
        <v>0</v>
      </c>
      <c r="Z848">
        <f ca="1">'Fuel Costs'!$I190*Z386</f>
        <v>0</v>
      </c>
      <c r="AA848">
        <f ca="1">'Fuel Costs'!$I190*AA386</f>
        <v>0</v>
      </c>
      <c r="AB848">
        <f ca="1">'Fuel Costs'!$I190*AB386</f>
        <v>0</v>
      </c>
      <c r="AC848">
        <f ca="1">'Fuel Costs'!$I190*AC386</f>
        <v>0</v>
      </c>
    </row>
    <row r="849" spans="3:29">
      <c r="C849" s="4" t="s">
        <v>5</v>
      </c>
      <c r="D849">
        <f>SUM(D829:D848)</f>
        <v>4.5503648389763007E-2</v>
      </c>
      <c r="E849">
        <f t="shared" ref="E849:AC849" si="303">SUM(E829:E848)</f>
        <v>4.5503648389763014E-2</v>
      </c>
      <c r="F849">
        <f t="shared" si="303"/>
        <v>4.6902475315762256E-2</v>
      </c>
      <c r="G849">
        <f t="shared" si="303"/>
        <v>4.7389747423040474E-2</v>
      </c>
      <c r="H849">
        <f t="shared" si="303"/>
        <v>4.7389747423040474E-2</v>
      </c>
      <c r="I849">
        <f t="shared" ca="1" si="303"/>
        <v>4.8804903762822871E-2</v>
      </c>
      <c r="J849">
        <f t="shared" ca="1" si="303"/>
        <v>4.9866539567068026E-2</v>
      </c>
      <c r="K849">
        <f t="shared" ca="1" si="303"/>
        <v>5.1077579792787854E-2</v>
      </c>
      <c r="L849">
        <f t="shared" ca="1" si="303"/>
        <v>5.2554646223743395E-2</v>
      </c>
      <c r="M849">
        <f t="shared" ca="1" si="303"/>
        <v>5.4285982869473573E-2</v>
      </c>
      <c r="N849">
        <f t="shared" ca="1" si="303"/>
        <v>5.5901454978588706E-2</v>
      </c>
      <c r="O849">
        <f t="shared" ca="1" si="303"/>
        <v>5.7601917188232078E-2</v>
      </c>
      <c r="P849">
        <f t="shared" ca="1" si="303"/>
        <v>5.9274341543857016E-2</v>
      </c>
      <c r="Q849">
        <f t="shared" ca="1" si="303"/>
        <v>6.103705612890873E-2</v>
      </c>
      <c r="R849">
        <f t="shared" ca="1" si="303"/>
        <v>6.2882845836978118E-2</v>
      </c>
      <c r="S849">
        <f t="shared" ca="1" si="303"/>
        <v>6.4622124652696608E-2</v>
      </c>
      <c r="T849">
        <f t="shared" ca="1" si="303"/>
        <v>6.6459016737960883E-2</v>
      </c>
      <c r="U849">
        <f t="shared" ca="1" si="303"/>
        <v>6.8447468647557894E-2</v>
      </c>
      <c r="V849">
        <f t="shared" ca="1" si="303"/>
        <v>7.0569006392594849E-2</v>
      </c>
      <c r="W849">
        <f t="shared" ca="1" si="303"/>
        <v>7.2663161643898397E-2</v>
      </c>
      <c r="X849">
        <f t="shared" ca="1" si="303"/>
        <v>7.4797975404706799E-2</v>
      </c>
      <c r="Y849">
        <f t="shared" ca="1" si="303"/>
        <v>7.7085680787516306E-2</v>
      </c>
      <c r="Z849">
        <f t="shared" ca="1" si="303"/>
        <v>7.9539730610234699E-2</v>
      </c>
      <c r="AA849">
        <f t="shared" ca="1" si="303"/>
        <v>8.2046984203561213E-2</v>
      </c>
      <c r="AB849">
        <f t="shared" ca="1" si="303"/>
        <v>8.4446507159964213E-2</v>
      </c>
      <c r="AC849">
        <f t="shared" ca="1" si="303"/>
        <v>8.6322033875502691E-2</v>
      </c>
    </row>
    <row r="851" spans="3:29">
      <c r="C851" s="4" t="s">
        <v>166</v>
      </c>
    </row>
    <row r="852" spans="3:29">
      <c r="C852" t="str">
        <f>C8</f>
        <v>Existing coal Large</v>
      </c>
      <c r="D852">
        <f>'Fuel Costs'!$J171*D367</f>
        <v>1.061569382713164E-2</v>
      </c>
      <c r="E852">
        <f>'Fuel Costs'!$J171*E367</f>
        <v>1.061569382713164E-2</v>
      </c>
      <c r="F852">
        <f>'Fuel Costs'!$J171*F367</f>
        <v>1.0965400558631452E-2</v>
      </c>
      <c r="G852">
        <f>'Fuel Costs'!$J171*G367</f>
        <v>1.1087218585451005E-2</v>
      </c>
      <c r="H852">
        <f>'Fuel Costs'!$J171*H367</f>
        <v>1.1087218585451005E-2</v>
      </c>
      <c r="I852">
        <f ca="1">'Fuel Costs'!$J171*I367</f>
        <v>1.1348966814647666E-2</v>
      </c>
      <c r="J852">
        <f ca="1">'Fuel Costs'!$J171*J367</f>
        <v>1.1547389413779167E-2</v>
      </c>
      <c r="K852">
        <f ca="1">'Fuel Costs'!$J171*K367</f>
        <v>1.1767952433836134E-2</v>
      </c>
      <c r="L852">
        <f ca="1">'Fuel Costs'!$J171*L367</f>
        <v>1.197282496882904E-2</v>
      </c>
      <c r="M852">
        <f ca="1">'Fuel Costs'!$J171*M367</f>
        <v>1.1983126461131786E-2</v>
      </c>
      <c r="N852">
        <f ca="1">'Fuel Costs'!$J171*N367</f>
        <v>1.1983126461131786E-2</v>
      </c>
      <c r="O852">
        <f ca="1">'Fuel Costs'!$J171*O367</f>
        <v>1.1983126461131786E-2</v>
      </c>
      <c r="P852">
        <f ca="1">'Fuel Costs'!$J171*P367</f>
        <v>1.1983126461131786E-2</v>
      </c>
      <c r="Q852">
        <f ca="1">'Fuel Costs'!$J171*Q367</f>
        <v>1.1983126461131786E-2</v>
      </c>
      <c r="R852">
        <f ca="1">'Fuel Costs'!$J171*R367</f>
        <v>1.1983126461131786E-2</v>
      </c>
      <c r="S852">
        <f ca="1">'Fuel Costs'!$J171*S367</f>
        <v>1.1983126461131786E-2</v>
      </c>
      <c r="T852">
        <f ca="1">'Fuel Costs'!$J171*T367</f>
        <v>1.1983126461131786E-2</v>
      </c>
      <c r="U852">
        <f ca="1">'Fuel Costs'!$J171*U367</f>
        <v>1.1983126461131786E-2</v>
      </c>
      <c r="V852">
        <f ca="1">'Fuel Costs'!$J171*V367</f>
        <v>1.1983126461131786E-2</v>
      </c>
      <c r="W852">
        <f ca="1">'Fuel Costs'!$J171*W367</f>
        <v>1.1534806282414637E-2</v>
      </c>
      <c r="X852">
        <f ca="1">'Fuel Costs'!$J171*X367</f>
        <v>1.1086486103697489E-2</v>
      </c>
      <c r="Y852">
        <f ca="1">'Fuel Costs'!$J171*Y367</f>
        <v>1.0526085880301054E-2</v>
      </c>
      <c r="Z852">
        <f ca="1">'Fuel Costs'!$J171*Z367</f>
        <v>9.9656856569046159E-3</v>
      </c>
      <c r="AA852">
        <f ca="1">'Fuel Costs'!$J171*AA367</f>
        <v>9.2873064391089319E-3</v>
      </c>
      <c r="AB852">
        <f ca="1">'Fuel Costs'!$J171*AB367</f>
        <v>7.9305480035175603E-3</v>
      </c>
      <c r="AC852">
        <f ca="1">'Fuel Costs'!$J171*AC367</f>
        <v>7.2521687857218737E-3</v>
      </c>
    </row>
    <row r="853" spans="3:29">
      <c r="C853" t="str">
        <f t="shared" ref="C853:C871" si="304">C9</f>
        <v>Existing coal Small</v>
      </c>
      <c r="D853">
        <f>'Fuel Costs'!$J172*D368</f>
        <v>7.3234394902889919E-4</v>
      </c>
      <c r="E853">
        <f>'Fuel Costs'!$J172*E368</f>
        <v>7.3234394902889919E-4</v>
      </c>
      <c r="F853">
        <f>'Fuel Costs'!$J172*F368</f>
        <v>7.3234394902889919E-4</v>
      </c>
      <c r="G853">
        <f>'Fuel Costs'!$J172*G368</f>
        <v>7.3234394902889919E-4</v>
      </c>
      <c r="H853">
        <f>'Fuel Costs'!$J172*H368</f>
        <v>7.3234394902889919E-4</v>
      </c>
      <c r="I853">
        <f ca="1">'Fuel Costs'!$J172*I368</f>
        <v>8.2438480477783893E-4</v>
      </c>
      <c r="J853">
        <f ca="1">'Fuel Costs'!$J172*J368</f>
        <v>8.7882771213153082E-4</v>
      </c>
      <c r="K853">
        <f ca="1">'Fuel Costs'!$J172*K368</f>
        <v>8.7882771213153082E-4</v>
      </c>
      <c r="L853">
        <f ca="1">'Fuel Costs'!$J172*L368</f>
        <v>8.7882771213153082E-4</v>
      </c>
      <c r="M853">
        <f ca="1">'Fuel Costs'!$J172*M368</f>
        <v>8.7882771213153082E-4</v>
      </c>
      <c r="N853">
        <f ca="1">'Fuel Costs'!$J172*N368</f>
        <v>8.7882771213153082E-4</v>
      </c>
      <c r="O853">
        <f ca="1">'Fuel Costs'!$J172*O368</f>
        <v>8.7377422444399769E-4</v>
      </c>
      <c r="P853">
        <f ca="1">'Fuel Costs'!$J172*P368</f>
        <v>8.6872073675646445E-4</v>
      </c>
      <c r="Q853">
        <f ca="1">'Fuel Costs'!$J172*Q368</f>
        <v>8.6198275317308679E-4</v>
      </c>
      <c r="R853">
        <f ca="1">'Fuel Costs'!$J172*R368</f>
        <v>8.5524476958970892E-4</v>
      </c>
      <c r="S853">
        <f ca="1">'Fuel Costs'!$J172*S368</f>
        <v>7.2722308150553218E-4</v>
      </c>
      <c r="T853">
        <f ca="1">'Fuel Costs'!$J172*T368</f>
        <v>5.9920139342135533E-4</v>
      </c>
      <c r="U853">
        <f ca="1">'Fuel Costs'!$J172*U368</f>
        <v>5.9920139342135533E-4</v>
      </c>
      <c r="V853">
        <f ca="1">'Fuel Costs'!$J172*V368</f>
        <v>5.9920139342135533E-4</v>
      </c>
      <c r="W853">
        <f ca="1">'Fuel Costs'!$J172*W368</f>
        <v>5.9920139342135533E-4</v>
      </c>
      <c r="X853">
        <f ca="1">'Fuel Costs'!$J172*X368</f>
        <v>5.4021409047309626E-4</v>
      </c>
      <c r="Y853">
        <f ca="1">'Fuel Costs'!$J172*Y368</f>
        <v>4.812267875248373E-4</v>
      </c>
      <c r="Z853">
        <f ca="1">'Fuel Costs'!$J172*Z368</f>
        <v>4.812267875248373E-4</v>
      </c>
      <c r="AA853">
        <f ca="1">'Fuel Costs'!$J172*AA368</f>
        <v>4.812267875248373E-4</v>
      </c>
      <c r="AB853">
        <f ca="1">'Fuel Costs'!$J172*AB368</f>
        <v>4.812267875248373E-4</v>
      </c>
      <c r="AC853">
        <f ca="1">'Fuel Costs'!$J172*AC368</f>
        <v>4.812267875248373E-4</v>
      </c>
    </row>
    <row r="854" spans="3:29">
      <c r="C854" t="str">
        <f t="shared" si="304"/>
        <v>OCGT liquid fuels</v>
      </c>
      <c r="D854">
        <f>'Fuel Costs'!$J173*D369</f>
        <v>3.7165761706950234E-5</v>
      </c>
      <c r="E854">
        <f>'Fuel Costs'!$J173*E369</f>
        <v>3.7165761706950234E-5</v>
      </c>
      <c r="F854">
        <f>'Fuel Costs'!$J173*F369</f>
        <v>3.7165761706950234E-5</v>
      </c>
      <c r="G854">
        <f>'Fuel Costs'!$J173*G369</f>
        <v>3.7165761706950234E-5</v>
      </c>
      <c r="H854">
        <f>'Fuel Costs'!$J173*H369</f>
        <v>3.7165761706950234E-5</v>
      </c>
      <c r="I854">
        <f ca="1">'Fuel Costs'!$J173*I369</f>
        <v>3.7165761706950234E-5</v>
      </c>
      <c r="J854">
        <f ca="1">'Fuel Costs'!$J173*J369</f>
        <v>5.3890354475077845E-5</v>
      </c>
      <c r="K854">
        <f ca="1">'Fuel Costs'!$J173*K369</f>
        <v>5.3890354475077845E-5</v>
      </c>
      <c r="L854">
        <f ca="1">'Fuel Costs'!$J173*L369</f>
        <v>5.3890354475077845E-5</v>
      </c>
      <c r="M854">
        <f ca="1">'Fuel Costs'!$J173*M369</f>
        <v>5.3890354475077845E-5</v>
      </c>
      <c r="N854">
        <f ca="1">'Fuel Costs'!$J173*N369</f>
        <v>5.3890354475077845E-5</v>
      </c>
      <c r="O854">
        <f ca="1">'Fuel Costs'!$J173*O369</f>
        <v>5.3890354475077845E-5</v>
      </c>
      <c r="P854">
        <f ca="1">'Fuel Costs'!$J173*P369</f>
        <v>5.3890354475077845E-5</v>
      </c>
      <c r="Q854">
        <f ca="1">'Fuel Costs'!$J173*Q369</f>
        <v>5.3890354475077845E-5</v>
      </c>
      <c r="R854">
        <f ca="1">'Fuel Costs'!$J173*R369</f>
        <v>5.3890354475077845E-5</v>
      </c>
      <c r="S854">
        <f ca="1">'Fuel Costs'!$J173*S369</f>
        <v>5.3890354475077845E-5</v>
      </c>
      <c r="T854">
        <f ca="1">'Fuel Costs'!$J173*T369</f>
        <v>5.3890354475077845E-5</v>
      </c>
      <c r="U854">
        <f ca="1">'Fuel Costs'!$J173*U369</f>
        <v>5.3890354475077845E-5</v>
      </c>
      <c r="V854">
        <f ca="1">'Fuel Costs'!$J173*V369</f>
        <v>6.5040082987162932E-5</v>
      </c>
      <c r="W854">
        <f ca="1">'Fuel Costs'!$J173*W369</f>
        <v>6.5040082987162932E-5</v>
      </c>
      <c r="X854">
        <f ca="1">'Fuel Costs'!$J173*X369</f>
        <v>6.5040082987162932E-5</v>
      </c>
      <c r="Y854">
        <f ca="1">'Fuel Costs'!$J173*Y369</f>
        <v>7.6189811499247992E-5</v>
      </c>
      <c r="Z854">
        <f ca="1">'Fuel Costs'!$J173*Z369</f>
        <v>7.6189811499247992E-5</v>
      </c>
      <c r="AA854">
        <f ca="1">'Fuel Costs'!$J173*AA369</f>
        <v>7.6189811499247992E-5</v>
      </c>
      <c r="AB854">
        <f ca="1">'Fuel Costs'!$J173*AB369</f>
        <v>8.7339540011333052E-5</v>
      </c>
      <c r="AC854">
        <f ca="1">'Fuel Costs'!$J173*AC369</f>
        <v>8.4691479489712847E-5</v>
      </c>
    </row>
    <row r="855" spans="3:29">
      <c r="C855" t="str">
        <f t="shared" si="304"/>
        <v>PWR nuclear</v>
      </c>
      <c r="D855">
        <f>'Fuel Costs'!$J174*D370</f>
        <v>0</v>
      </c>
      <c r="E855">
        <f>'Fuel Costs'!$J174*E370</f>
        <v>0</v>
      </c>
      <c r="F855">
        <f>'Fuel Costs'!$J174*F370</f>
        <v>0</v>
      </c>
      <c r="G855">
        <f>'Fuel Costs'!$J174*G370</f>
        <v>0</v>
      </c>
      <c r="H855">
        <f>'Fuel Costs'!$J174*H370</f>
        <v>0</v>
      </c>
      <c r="I855">
        <f ca="1">'Fuel Costs'!$J174*I370</f>
        <v>0</v>
      </c>
      <c r="J855">
        <f ca="1">'Fuel Costs'!$J174*J370</f>
        <v>0</v>
      </c>
      <c r="K855">
        <f ca="1">'Fuel Costs'!$J174*K370</f>
        <v>0</v>
      </c>
      <c r="L855">
        <f ca="1">'Fuel Costs'!$J174*L370</f>
        <v>0</v>
      </c>
      <c r="M855">
        <f ca="1">'Fuel Costs'!$J174*M370</f>
        <v>0</v>
      </c>
      <c r="N855">
        <f ca="1">'Fuel Costs'!$J174*N370</f>
        <v>0</v>
      </c>
      <c r="O855">
        <f ca="1">'Fuel Costs'!$J174*O370</f>
        <v>0</v>
      </c>
      <c r="P855">
        <f ca="1">'Fuel Costs'!$J174*P370</f>
        <v>0</v>
      </c>
      <c r="Q855">
        <f ca="1">'Fuel Costs'!$J174*Q370</f>
        <v>0</v>
      </c>
      <c r="R855">
        <f ca="1">'Fuel Costs'!$J174*R370</f>
        <v>0</v>
      </c>
      <c r="S855">
        <f ca="1">'Fuel Costs'!$J174*S370</f>
        <v>0</v>
      </c>
      <c r="T855">
        <f ca="1">'Fuel Costs'!$J174*T370</f>
        <v>0</v>
      </c>
      <c r="U855">
        <f ca="1">'Fuel Costs'!$J174*U370</f>
        <v>0</v>
      </c>
      <c r="V855">
        <f ca="1">'Fuel Costs'!$J174*V370</f>
        <v>0</v>
      </c>
      <c r="W855">
        <f ca="1">'Fuel Costs'!$J174*W370</f>
        <v>0</v>
      </c>
      <c r="X855">
        <f ca="1">'Fuel Costs'!$J174*X370</f>
        <v>0</v>
      </c>
      <c r="Y855">
        <f ca="1">'Fuel Costs'!$J174*Y370</f>
        <v>0</v>
      </c>
      <c r="Z855">
        <f ca="1">'Fuel Costs'!$J174*Z370</f>
        <v>0</v>
      </c>
      <c r="AA855">
        <f ca="1">'Fuel Costs'!$J174*AA370</f>
        <v>0</v>
      </c>
      <c r="AB855">
        <f ca="1">'Fuel Costs'!$J174*AB370</f>
        <v>0</v>
      </c>
      <c r="AC855">
        <f ca="1">'Fuel Costs'!$J174*AC370</f>
        <v>0</v>
      </c>
    </row>
    <row r="856" spans="3:29">
      <c r="C856" t="str">
        <f t="shared" si="304"/>
        <v>Hydro</v>
      </c>
      <c r="D856">
        <f>'Fuel Costs'!$J175*D371</f>
        <v>0</v>
      </c>
      <c r="E856">
        <f>'Fuel Costs'!$J175*E371</f>
        <v>0</v>
      </c>
      <c r="F856">
        <f>'Fuel Costs'!$J175*F371</f>
        <v>0</v>
      </c>
      <c r="G856">
        <f>'Fuel Costs'!$J175*G371</f>
        <v>0</v>
      </c>
      <c r="H856">
        <f>'Fuel Costs'!$J175*H371</f>
        <v>0</v>
      </c>
      <c r="I856">
        <f ca="1">'Fuel Costs'!$J175*I371</f>
        <v>0</v>
      </c>
      <c r="J856">
        <f ca="1">'Fuel Costs'!$J175*J371</f>
        <v>0</v>
      </c>
      <c r="K856">
        <f ca="1">'Fuel Costs'!$J175*K371</f>
        <v>0</v>
      </c>
      <c r="L856">
        <f ca="1">'Fuel Costs'!$J175*L371</f>
        <v>0</v>
      </c>
      <c r="M856">
        <f ca="1">'Fuel Costs'!$J175*M371</f>
        <v>0</v>
      </c>
      <c r="N856">
        <f ca="1">'Fuel Costs'!$J175*N371</f>
        <v>0</v>
      </c>
      <c r="O856">
        <f ca="1">'Fuel Costs'!$J175*O371</f>
        <v>0</v>
      </c>
      <c r="P856">
        <f ca="1">'Fuel Costs'!$J175*P371</f>
        <v>0</v>
      </c>
      <c r="Q856">
        <f ca="1">'Fuel Costs'!$J175*Q371</f>
        <v>0</v>
      </c>
      <c r="R856">
        <f ca="1">'Fuel Costs'!$J175*R371</f>
        <v>0</v>
      </c>
      <c r="S856">
        <f ca="1">'Fuel Costs'!$J175*S371</f>
        <v>0</v>
      </c>
      <c r="T856">
        <f ca="1">'Fuel Costs'!$J175*T371</f>
        <v>0</v>
      </c>
      <c r="U856">
        <f ca="1">'Fuel Costs'!$J175*U371</f>
        <v>0</v>
      </c>
      <c r="V856">
        <f ca="1">'Fuel Costs'!$J175*V371</f>
        <v>0</v>
      </c>
      <c r="W856">
        <f ca="1">'Fuel Costs'!$J175*W371</f>
        <v>0</v>
      </c>
      <c r="X856">
        <f ca="1">'Fuel Costs'!$J175*X371</f>
        <v>0</v>
      </c>
      <c r="Y856">
        <f ca="1">'Fuel Costs'!$J175*Y371</f>
        <v>0</v>
      </c>
      <c r="Z856">
        <f ca="1">'Fuel Costs'!$J175*Z371</f>
        <v>0</v>
      </c>
      <c r="AA856">
        <f ca="1">'Fuel Costs'!$J175*AA371</f>
        <v>0</v>
      </c>
      <c r="AB856">
        <f ca="1">'Fuel Costs'!$J175*AB371</f>
        <v>0</v>
      </c>
      <c r="AC856">
        <f ca="1">'Fuel Costs'!$J175*AC371</f>
        <v>0</v>
      </c>
    </row>
    <row r="857" spans="3:29">
      <c r="C857" t="str">
        <f t="shared" si="304"/>
        <v>Landfill gas</v>
      </c>
      <c r="D857">
        <f>'Fuel Costs'!$J176*D372</f>
        <v>0</v>
      </c>
      <c r="E857">
        <f>'Fuel Costs'!$J176*E372</f>
        <v>0</v>
      </c>
      <c r="F857">
        <f>'Fuel Costs'!$J176*F372</f>
        <v>0</v>
      </c>
      <c r="G857">
        <f>'Fuel Costs'!$J176*G372</f>
        <v>0</v>
      </c>
      <c r="H857">
        <f>'Fuel Costs'!$J176*H372</f>
        <v>0</v>
      </c>
      <c r="I857">
        <f ca="1">'Fuel Costs'!$J176*I372</f>
        <v>0</v>
      </c>
      <c r="J857">
        <f ca="1">'Fuel Costs'!$J176*J372</f>
        <v>0</v>
      </c>
      <c r="K857">
        <f ca="1">'Fuel Costs'!$J176*K372</f>
        <v>0</v>
      </c>
      <c r="L857">
        <f ca="1">'Fuel Costs'!$J176*L372</f>
        <v>0</v>
      </c>
      <c r="M857">
        <f ca="1">'Fuel Costs'!$J176*M372</f>
        <v>0</v>
      </c>
      <c r="N857">
        <f ca="1">'Fuel Costs'!$J176*N372</f>
        <v>0</v>
      </c>
      <c r="O857">
        <f ca="1">'Fuel Costs'!$J176*O372</f>
        <v>0</v>
      </c>
      <c r="P857">
        <f ca="1">'Fuel Costs'!$J176*P372</f>
        <v>0</v>
      </c>
      <c r="Q857">
        <f ca="1">'Fuel Costs'!$J176*Q372</f>
        <v>0</v>
      </c>
      <c r="R857">
        <f ca="1">'Fuel Costs'!$J176*R372</f>
        <v>0</v>
      </c>
      <c r="S857">
        <f ca="1">'Fuel Costs'!$J176*S372</f>
        <v>0</v>
      </c>
      <c r="T857">
        <f ca="1">'Fuel Costs'!$J176*T372</f>
        <v>0</v>
      </c>
      <c r="U857">
        <f ca="1">'Fuel Costs'!$J176*U372</f>
        <v>0</v>
      </c>
      <c r="V857">
        <f ca="1">'Fuel Costs'!$J176*V372</f>
        <v>0</v>
      </c>
      <c r="W857">
        <f ca="1">'Fuel Costs'!$J176*W372</f>
        <v>0</v>
      </c>
      <c r="X857">
        <f ca="1">'Fuel Costs'!$J176*X372</f>
        <v>0</v>
      </c>
      <c r="Y857">
        <f ca="1">'Fuel Costs'!$J176*Y372</f>
        <v>0</v>
      </c>
      <c r="Z857">
        <f ca="1">'Fuel Costs'!$J176*Z372</f>
        <v>0</v>
      </c>
      <c r="AA857">
        <f ca="1">'Fuel Costs'!$J176*AA372</f>
        <v>0</v>
      </c>
      <c r="AB857">
        <f ca="1">'Fuel Costs'!$J176*AB372</f>
        <v>0</v>
      </c>
      <c r="AC857">
        <f ca="1">'Fuel Costs'!$J176*AC372</f>
        <v>0</v>
      </c>
    </row>
    <row r="858" spans="3:29">
      <c r="C858" t="str">
        <f t="shared" si="304"/>
        <v>Biomass</v>
      </c>
      <c r="D858">
        <f>'Fuel Costs'!$J177*D373</f>
        <v>0</v>
      </c>
      <c r="E858">
        <f>'Fuel Costs'!$J177*E373</f>
        <v>0</v>
      </c>
      <c r="F858">
        <f>'Fuel Costs'!$J177*F373</f>
        <v>0</v>
      </c>
      <c r="G858">
        <f>'Fuel Costs'!$J177*G373</f>
        <v>0</v>
      </c>
      <c r="H858">
        <f>'Fuel Costs'!$J177*H373</f>
        <v>0</v>
      </c>
      <c r="I858">
        <f ca="1">'Fuel Costs'!$J177*I373</f>
        <v>0</v>
      </c>
      <c r="J858">
        <f ca="1">'Fuel Costs'!$J177*J373</f>
        <v>0</v>
      </c>
      <c r="K858">
        <f ca="1">'Fuel Costs'!$J177*K373</f>
        <v>0</v>
      </c>
      <c r="L858">
        <f ca="1">'Fuel Costs'!$J177*L373</f>
        <v>0</v>
      </c>
      <c r="M858">
        <f ca="1">'Fuel Costs'!$J177*M373</f>
        <v>0</v>
      </c>
      <c r="N858">
        <f ca="1">'Fuel Costs'!$J177*N373</f>
        <v>0</v>
      </c>
      <c r="O858">
        <f ca="1">'Fuel Costs'!$J177*O373</f>
        <v>0</v>
      </c>
      <c r="P858">
        <f ca="1">'Fuel Costs'!$J177*P373</f>
        <v>0</v>
      </c>
      <c r="Q858">
        <f ca="1">'Fuel Costs'!$J177*Q373</f>
        <v>0</v>
      </c>
      <c r="R858">
        <f ca="1">'Fuel Costs'!$J177*R373</f>
        <v>0</v>
      </c>
      <c r="S858">
        <f ca="1">'Fuel Costs'!$J177*S373</f>
        <v>0</v>
      </c>
      <c r="T858">
        <f ca="1">'Fuel Costs'!$J177*T373</f>
        <v>0</v>
      </c>
      <c r="U858">
        <f ca="1">'Fuel Costs'!$J177*U373</f>
        <v>0</v>
      </c>
      <c r="V858">
        <f ca="1">'Fuel Costs'!$J177*V373</f>
        <v>0</v>
      </c>
      <c r="W858">
        <f ca="1">'Fuel Costs'!$J177*W373</f>
        <v>0</v>
      </c>
      <c r="X858">
        <f ca="1">'Fuel Costs'!$J177*X373</f>
        <v>0</v>
      </c>
      <c r="Y858">
        <f ca="1">'Fuel Costs'!$J177*Y373</f>
        <v>0</v>
      </c>
      <c r="Z858">
        <f ca="1">'Fuel Costs'!$J177*Z373</f>
        <v>0</v>
      </c>
      <c r="AA858">
        <f ca="1">'Fuel Costs'!$J177*AA373</f>
        <v>0</v>
      </c>
      <c r="AB858">
        <f ca="1">'Fuel Costs'!$J177*AB373</f>
        <v>0</v>
      </c>
      <c r="AC858">
        <f ca="1">'Fuel Costs'!$J177*AC373</f>
        <v>0</v>
      </c>
    </row>
    <row r="859" spans="3:29">
      <c r="C859" t="str">
        <f t="shared" si="304"/>
        <v>Supercritical coal</v>
      </c>
      <c r="D859">
        <f>'Fuel Costs'!$J178*D374</f>
        <v>0</v>
      </c>
      <c r="E859">
        <f>'Fuel Costs'!$J178*E374</f>
        <v>0</v>
      </c>
      <c r="F859">
        <f>'Fuel Costs'!$J178*F374</f>
        <v>0</v>
      </c>
      <c r="G859">
        <f>'Fuel Costs'!$J178*G374</f>
        <v>0</v>
      </c>
      <c r="H859">
        <f>'Fuel Costs'!$J178*H374</f>
        <v>0</v>
      </c>
      <c r="I859">
        <f ca="1">'Fuel Costs'!$J178*I374</f>
        <v>0</v>
      </c>
      <c r="J859">
        <f ca="1">'Fuel Costs'!$J178*J374</f>
        <v>0</v>
      </c>
      <c r="K859">
        <f ca="1">'Fuel Costs'!$J178*K374</f>
        <v>8.2197036372990014E-5</v>
      </c>
      <c r="L859">
        <f ca="1">'Fuel Costs'!$J178*L374</f>
        <v>2.4659110911897004E-4</v>
      </c>
      <c r="M859">
        <f ca="1">'Fuel Costs'!$J178*M374</f>
        <v>6.6912377824876901E-4</v>
      </c>
      <c r="N859">
        <f ca="1">'Fuel Costs'!$J178*N374</f>
        <v>1.0729918055275515E-3</v>
      </c>
      <c r="O859">
        <f ca="1">'Fuel Costs'!$J178*O374</f>
        <v>1.5031608456259281E-3</v>
      </c>
      <c r="P859">
        <f ca="1">'Fuel Costs'!$J178*P374</f>
        <v>1.9263204222196954E-3</v>
      </c>
      <c r="Q859">
        <f ca="1">'Fuel Costs'!$J178*Q374</f>
        <v>2.3737370520660016E-3</v>
      </c>
      <c r="R859">
        <f ca="1">'Fuel Costs'!$J178*R374</f>
        <v>2.8419224626667272E-3</v>
      </c>
      <c r="S859">
        <f ca="1">'Fuel Costs'!$J178*S374</f>
        <v>3.4047638546805259E-3</v>
      </c>
      <c r="T859">
        <f ca="1">'Fuel Costs'!$J178*T374</f>
        <v>3.9920085640807708E-3</v>
      </c>
      <c r="U859">
        <f ca="1">'Fuel Costs'!$J178*U374</f>
        <v>4.4891215414800236E-3</v>
      </c>
      <c r="V859">
        <f ca="1">'Fuel Costs'!$J178*V374</f>
        <v>5.0111436813551988E-3</v>
      </c>
      <c r="W859">
        <f ca="1">'Fuel Costs'!$J178*W374</f>
        <v>5.9830026728982339E-3</v>
      </c>
      <c r="X859">
        <f ca="1">'Fuel Costs'!$J178*X374</f>
        <v>7.0240135947657418E-3</v>
      </c>
      <c r="Y859">
        <f ca="1">'Fuel Costs'!$J178*Y374</f>
        <v>8.2069651704287511E-3</v>
      </c>
      <c r="Z859">
        <f ca="1">'Fuel Costs'!$J178*Z374</f>
        <v>9.380877849504787E-3</v>
      </c>
      <c r="AA859">
        <f ca="1">'Fuel Costs'!$J178*AA374</f>
        <v>1.0686070465632098E-2</v>
      </c>
      <c r="AB859">
        <f ca="1">'Fuel Costs'!$J178*AB374</f>
        <v>1.2634347343940158E-2</v>
      </c>
      <c r="AC859">
        <f ca="1">'Fuel Costs'!$J178*AC374</f>
        <v>1.3783594286011678E-2</v>
      </c>
    </row>
    <row r="860" spans="3:29">
      <c r="C860" t="str">
        <f t="shared" si="304"/>
        <v xml:space="preserve">Wind 30% </v>
      </c>
      <c r="D860">
        <f>'Fuel Costs'!$J179*D375</f>
        <v>0</v>
      </c>
      <c r="E860">
        <f>'Fuel Costs'!$J179*E375</f>
        <v>0</v>
      </c>
      <c r="F860">
        <f>'Fuel Costs'!$J179*F375</f>
        <v>0</v>
      </c>
      <c r="G860">
        <f>'Fuel Costs'!$J179*G375</f>
        <v>0</v>
      </c>
      <c r="H860">
        <f>'Fuel Costs'!$J179*H375</f>
        <v>0</v>
      </c>
      <c r="I860">
        <f ca="1">'Fuel Costs'!$J179*I375</f>
        <v>0</v>
      </c>
      <c r="J860">
        <f ca="1">'Fuel Costs'!$J179*J375</f>
        <v>0</v>
      </c>
      <c r="K860">
        <f ca="1">'Fuel Costs'!$J179*K375</f>
        <v>0</v>
      </c>
      <c r="L860">
        <f ca="1">'Fuel Costs'!$J179*L375</f>
        <v>0</v>
      </c>
      <c r="M860">
        <f ca="1">'Fuel Costs'!$J179*M375</f>
        <v>0</v>
      </c>
      <c r="N860">
        <f ca="1">'Fuel Costs'!$J179*N375</f>
        <v>0</v>
      </c>
      <c r="O860">
        <f ca="1">'Fuel Costs'!$J179*O375</f>
        <v>0</v>
      </c>
      <c r="P860">
        <f ca="1">'Fuel Costs'!$J179*P375</f>
        <v>0</v>
      </c>
      <c r="Q860">
        <f ca="1">'Fuel Costs'!$J179*Q375</f>
        <v>0</v>
      </c>
      <c r="R860">
        <f ca="1">'Fuel Costs'!$J179*R375</f>
        <v>0</v>
      </c>
      <c r="S860">
        <f ca="1">'Fuel Costs'!$J179*S375</f>
        <v>0</v>
      </c>
      <c r="T860">
        <f ca="1">'Fuel Costs'!$J179*T375</f>
        <v>0</v>
      </c>
      <c r="U860">
        <f ca="1">'Fuel Costs'!$J179*U375</f>
        <v>0</v>
      </c>
      <c r="V860">
        <f ca="1">'Fuel Costs'!$J179*V375</f>
        <v>0</v>
      </c>
      <c r="W860">
        <f ca="1">'Fuel Costs'!$J179*W375</f>
        <v>0</v>
      </c>
      <c r="X860">
        <f ca="1">'Fuel Costs'!$J179*X375</f>
        <v>0</v>
      </c>
      <c r="Y860">
        <f ca="1">'Fuel Costs'!$J179*Y375</f>
        <v>0</v>
      </c>
      <c r="Z860">
        <f ca="1">'Fuel Costs'!$J179*Z375</f>
        <v>0</v>
      </c>
      <c r="AA860">
        <f ca="1">'Fuel Costs'!$J179*AA375</f>
        <v>0</v>
      </c>
      <c r="AB860">
        <f ca="1">'Fuel Costs'!$J179*AB375</f>
        <v>0</v>
      </c>
      <c r="AC860">
        <f ca="1">'Fuel Costs'!$J179*AC375</f>
        <v>0</v>
      </c>
    </row>
    <row r="861" spans="3:29">
      <c r="C861" t="str">
        <f t="shared" si="304"/>
        <v>Wind 25%</v>
      </c>
      <c r="D861">
        <f>'Fuel Costs'!$J180*D376</f>
        <v>0</v>
      </c>
      <c r="E861">
        <f>'Fuel Costs'!$J180*E376</f>
        <v>0</v>
      </c>
      <c r="F861">
        <f>'Fuel Costs'!$J180*F376</f>
        <v>0</v>
      </c>
      <c r="G861">
        <f>'Fuel Costs'!$J180*G376</f>
        <v>0</v>
      </c>
      <c r="H861">
        <f>'Fuel Costs'!$J180*H376</f>
        <v>0</v>
      </c>
      <c r="I861">
        <f ca="1">'Fuel Costs'!$J180*I376</f>
        <v>0</v>
      </c>
      <c r="J861">
        <f ca="1">'Fuel Costs'!$J180*J376</f>
        <v>0</v>
      </c>
      <c r="K861">
        <f ca="1">'Fuel Costs'!$J180*K376</f>
        <v>0</v>
      </c>
      <c r="L861">
        <f ca="1">'Fuel Costs'!$J180*L376</f>
        <v>0</v>
      </c>
      <c r="M861">
        <f ca="1">'Fuel Costs'!$J180*M376</f>
        <v>0</v>
      </c>
      <c r="N861">
        <f ca="1">'Fuel Costs'!$J180*N376</f>
        <v>0</v>
      </c>
      <c r="O861">
        <f ca="1">'Fuel Costs'!$J180*O376</f>
        <v>0</v>
      </c>
      <c r="P861">
        <f ca="1">'Fuel Costs'!$J180*P376</f>
        <v>0</v>
      </c>
      <c r="Q861">
        <f ca="1">'Fuel Costs'!$J180*Q376</f>
        <v>0</v>
      </c>
      <c r="R861">
        <f ca="1">'Fuel Costs'!$J180*R376</f>
        <v>0</v>
      </c>
      <c r="S861">
        <f ca="1">'Fuel Costs'!$J180*S376</f>
        <v>0</v>
      </c>
      <c r="T861">
        <f ca="1">'Fuel Costs'!$J180*T376</f>
        <v>0</v>
      </c>
      <c r="U861">
        <f ca="1">'Fuel Costs'!$J180*U376</f>
        <v>0</v>
      </c>
      <c r="V861">
        <f ca="1">'Fuel Costs'!$J180*V376</f>
        <v>0</v>
      </c>
      <c r="W861">
        <f ca="1">'Fuel Costs'!$J180*W376</f>
        <v>0</v>
      </c>
      <c r="X861">
        <f ca="1">'Fuel Costs'!$J180*X376</f>
        <v>0</v>
      </c>
      <c r="Y861">
        <f ca="1">'Fuel Costs'!$J180*Y376</f>
        <v>0</v>
      </c>
      <c r="Z861">
        <f ca="1">'Fuel Costs'!$J180*Z376</f>
        <v>0</v>
      </c>
      <c r="AA861">
        <f ca="1">'Fuel Costs'!$J180*AA376</f>
        <v>0</v>
      </c>
      <c r="AB861">
        <f ca="1">'Fuel Costs'!$J180*AB376</f>
        <v>0</v>
      </c>
      <c r="AC861">
        <f ca="1">'Fuel Costs'!$J180*AC376</f>
        <v>0</v>
      </c>
    </row>
    <row r="862" spans="3:29">
      <c r="C862" t="str">
        <f t="shared" si="304"/>
        <v>solar thermal central reciever</v>
      </c>
      <c r="D862">
        <f>'Fuel Costs'!$J181*D377</f>
        <v>0</v>
      </c>
      <c r="E862">
        <f>'Fuel Costs'!$J181*E377</f>
        <v>0</v>
      </c>
      <c r="F862">
        <f>'Fuel Costs'!$J181*F377</f>
        <v>0</v>
      </c>
      <c r="G862">
        <f>'Fuel Costs'!$J181*G377</f>
        <v>0</v>
      </c>
      <c r="H862">
        <f>'Fuel Costs'!$J181*H377</f>
        <v>0</v>
      </c>
      <c r="I862">
        <f ca="1">'Fuel Costs'!$J181*I377</f>
        <v>0</v>
      </c>
      <c r="J862">
        <f ca="1">'Fuel Costs'!$J181*J377</f>
        <v>0</v>
      </c>
      <c r="K862">
        <f ca="1">'Fuel Costs'!$J181*K377</f>
        <v>0</v>
      </c>
      <c r="L862">
        <f ca="1">'Fuel Costs'!$J181*L377</f>
        <v>0</v>
      </c>
      <c r="M862">
        <f ca="1">'Fuel Costs'!$J181*M377</f>
        <v>0</v>
      </c>
      <c r="N862">
        <f ca="1">'Fuel Costs'!$J181*N377</f>
        <v>0</v>
      </c>
      <c r="O862">
        <f ca="1">'Fuel Costs'!$J181*O377</f>
        <v>0</v>
      </c>
      <c r="P862">
        <f ca="1">'Fuel Costs'!$J181*P377</f>
        <v>0</v>
      </c>
      <c r="Q862">
        <f ca="1">'Fuel Costs'!$J181*Q377</f>
        <v>0</v>
      </c>
      <c r="R862">
        <f ca="1">'Fuel Costs'!$J181*R377</f>
        <v>0</v>
      </c>
      <c r="S862">
        <f ca="1">'Fuel Costs'!$J181*S377</f>
        <v>0</v>
      </c>
      <c r="T862">
        <f ca="1">'Fuel Costs'!$J181*T377</f>
        <v>0</v>
      </c>
      <c r="U862">
        <f ca="1">'Fuel Costs'!$J181*U377</f>
        <v>0</v>
      </c>
      <c r="V862">
        <f ca="1">'Fuel Costs'!$J181*V377</f>
        <v>0</v>
      </c>
      <c r="W862">
        <f ca="1">'Fuel Costs'!$J181*W377</f>
        <v>0</v>
      </c>
      <c r="X862">
        <f ca="1">'Fuel Costs'!$J181*X377</f>
        <v>0</v>
      </c>
      <c r="Y862">
        <f ca="1">'Fuel Costs'!$J181*Y377</f>
        <v>0</v>
      </c>
      <c r="Z862">
        <f ca="1">'Fuel Costs'!$J181*Z377</f>
        <v>0</v>
      </c>
      <c r="AA862">
        <f ca="1">'Fuel Costs'!$J181*AA377</f>
        <v>0</v>
      </c>
      <c r="AB862">
        <f ca="1">'Fuel Costs'!$J181*AB377</f>
        <v>0</v>
      </c>
      <c r="AC862">
        <f ca="1">'Fuel Costs'!$J181*AC377</f>
        <v>0</v>
      </c>
    </row>
    <row r="863" spans="3:29">
      <c r="C863" t="str">
        <f t="shared" si="304"/>
        <v>solar thermal trough</v>
      </c>
      <c r="D863">
        <f>'Fuel Costs'!$J182*D378</f>
        <v>0</v>
      </c>
      <c r="E863">
        <f>'Fuel Costs'!$J182*E378</f>
        <v>0</v>
      </c>
      <c r="F863">
        <f>'Fuel Costs'!$J182*F378</f>
        <v>0</v>
      </c>
      <c r="G863">
        <f>'Fuel Costs'!$J182*G378</f>
        <v>0</v>
      </c>
      <c r="H863">
        <f>'Fuel Costs'!$J182*H378</f>
        <v>0</v>
      </c>
      <c r="I863">
        <f ca="1">'Fuel Costs'!$J182*I378</f>
        <v>0</v>
      </c>
      <c r="J863">
        <f ca="1">'Fuel Costs'!$J182*J378</f>
        <v>0</v>
      </c>
      <c r="K863">
        <f ca="1">'Fuel Costs'!$J182*K378</f>
        <v>0</v>
      </c>
      <c r="L863">
        <f ca="1">'Fuel Costs'!$J182*L378</f>
        <v>0</v>
      </c>
      <c r="M863">
        <f ca="1">'Fuel Costs'!$J182*M378</f>
        <v>0</v>
      </c>
      <c r="N863">
        <f ca="1">'Fuel Costs'!$J182*N378</f>
        <v>0</v>
      </c>
      <c r="O863">
        <f ca="1">'Fuel Costs'!$J182*O378</f>
        <v>0</v>
      </c>
      <c r="P863">
        <f ca="1">'Fuel Costs'!$J182*P378</f>
        <v>0</v>
      </c>
      <c r="Q863">
        <f ca="1">'Fuel Costs'!$J182*Q378</f>
        <v>0</v>
      </c>
      <c r="R863">
        <f ca="1">'Fuel Costs'!$J182*R378</f>
        <v>0</v>
      </c>
      <c r="S863">
        <f ca="1">'Fuel Costs'!$J182*S378</f>
        <v>0</v>
      </c>
      <c r="T863">
        <f ca="1">'Fuel Costs'!$J182*T378</f>
        <v>0</v>
      </c>
      <c r="U863">
        <f ca="1">'Fuel Costs'!$J182*U378</f>
        <v>0</v>
      </c>
      <c r="V863">
        <f ca="1">'Fuel Costs'!$J182*V378</f>
        <v>0</v>
      </c>
      <c r="W863">
        <f ca="1">'Fuel Costs'!$J182*W378</f>
        <v>0</v>
      </c>
      <c r="X863">
        <f ca="1">'Fuel Costs'!$J182*X378</f>
        <v>0</v>
      </c>
      <c r="Y863">
        <f ca="1">'Fuel Costs'!$J182*Y378</f>
        <v>0</v>
      </c>
      <c r="Z863">
        <f ca="1">'Fuel Costs'!$J182*Z378</f>
        <v>0</v>
      </c>
      <c r="AA863">
        <f ca="1">'Fuel Costs'!$J182*AA378</f>
        <v>0</v>
      </c>
      <c r="AB863">
        <f ca="1">'Fuel Costs'!$J182*AB378</f>
        <v>0</v>
      </c>
      <c r="AC863">
        <f ca="1">'Fuel Costs'!$J182*AC378</f>
        <v>0</v>
      </c>
    </row>
    <row r="864" spans="3:29">
      <c r="C864" t="str">
        <f t="shared" si="304"/>
        <v>solar PV</v>
      </c>
      <c r="D864">
        <f>'Fuel Costs'!$J183*D379</f>
        <v>0</v>
      </c>
      <c r="E864">
        <f>'Fuel Costs'!$J183*E379</f>
        <v>0</v>
      </c>
      <c r="F864">
        <f>'Fuel Costs'!$J183*F379</f>
        <v>0</v>
      </c>
      <c r="G864">
        <f>'Fuel Costs'!$J183*G379</f>
        <v>0</v>
      </c>
      <c r="H864">
        <f>'Fuel Costs'!$J183*H379</f>
        <v>0</v>
      </c>
      <c r="I864">
        <f ca="1">'Fuel Costs'!$J183*I379</f>
        <v>0</v>
      </c>
      <c r="J864">
        <f ca="1">'Fuel Costs'!$J183*J379</f>
        <v>0</v>
      </c>
      <c r="K864">
        <f ca="1">'Fuel Costs'!$J183*K379</f>
        <v>0</v>
      </c>
      <c r="L864">
        <f ca="1">'Fuel Costs'!$J183*L379</f>
        <v>0</v>
      </c>
      <c r="M864">
        <f ca="1">'Fuel Costs'!$J183*M379</f>
        <v>0</v>
      </c>
      <c r="N864">
        <f ca="1">'Fuel Costs'!$J183*N379</f>
        <v>0</v>
      </c>
      <c r="O864">
        <f ca="1">'Fuel Costs'!$J183*O379</f>
        <v>0</v>
      </c>
      <c r="P864">
        <f ca="1">'Fuel Costs'!$J183*P379</f>
        <v>0</v>
      </c>
      <c r="Q864">
        <f ca="1">'Fuel Costs'!$J183*Q379</f>
        <v>0</v>
      </c>
      <c r="R864">
        <f ca="1">'Fuel Costs'!$J183*R379</f>
        <v>0</v>
      </c>
      <c r="S864">
        <f ca="1">'Fuel Costs'!$J183*S379</f>
        <v>0</v>
      </c>
      <c r="T864">
        <f ca="1">'Fuel Costs'!$J183*T379</f>
        <v>0</v>
      </c>
      <c r="U864">
        <f ca="1">'Fuel Costs'!$J183*U379</f>
        <v>0</v>
      </c>
      <c r="V864">
        <f ca="1">'Fuel Costs'!$J183*V379</f>
        <v>0</v>
      </c>
      <c r="W864">
        <f ca="1">'Fuel Costs'!$J183*W379</f>
        <v>0</v>
      </c>
      <c r="X864">
        <f ca="1">'Fuel Costs'!$J183*X379</f>
        <v>0</v>
      </c>
      <c r="Y864">
        <f ca="1">'Fuel Costs'!$J183*Y379</f>
        <v>0</v>
      </c>
      <c r="Z864">
        <f ca="1">'Fuel Costs'!$J183*Z379</f>
        <v>0</v>
      </c>
      <c r="AA864">
        <f ca="1">'Fuel Costs'!$J183*AA379</f>
        <v>0</v>
      </c>
      <c r="AB864">
        <f ca="1">'Fuel Costs'!$J183*AB379</f>
        <v>0</v>
      </c>
      <c r="AC864">
        <f ca="1">'Fuel Costs'!$J183*AC379</f>
        <v>0</v>
      </c>
    </row>
    <row r="865" spans="3:29">
      <c r="C865" t="str">
        <f t="shared" si="304"/>
        <v>combined cycle gas</v>
      </c>
      <c r="D865">
        <f>'Fuel Costs'!$J184*D380</f>
        <v>0</v>
      </c>
      <c r="E865">
        <f>'Fuel Costs'!$J184*E380</f>
        <v>0</v>
      </c>
      <c r="F865">
        <f>'Fuel Costs'!$J184*F380</f>
        <v>0</v>
      </c>
      <c r="G865">
        <f>'Fuel Costs'!$J184*G380</f>
        <v>0</v>
      </c>
      <c r="H865">
        <f>'Fuel Costs'!$J184*H380</f>
        <v>0</v>
      </c>
      <c r="I865">
        <f ca="1">'Fuel Costs'!$J184*I380</f>
        <v>0</v>
      </c>
      <c r="J865">
        <f ca="1">'Fuel Costs'!$J184*J380</f>
        <v>0</v>
      </c>
      <c r="K865">
        <f ca="1">'Fuel Costs'!$J184*K380</f>
        <v>0</v>
      </c>
      <c r="L865">
        <f ca="1">'Fuel Costs'!$J184*L380</f>
        <v>0</v>
      </c>
      <c r="M865">
        <f ca="1">'Fuel Costs'!$J184*M380</f>
        <v>0</v>
      </c>
      <c r="N865">
        <f ca="1">'Fuel Costs'!$J184*N380</f>
        <v>0</v>
      </c>
      <c r="O865">
        <f ca="1">'Fuel Costs'!$J184*O380</f>
        <v>0</v>
      </c>
      <c r="P865">
        <f ca="1">'Fuel Costs'!$J184*P380</f>
        <v>0</v>
      </c>
      <c r="Q865">
        <f ca="1">'Fuel Costs'!$J184*Q380</f>
        <v>0</v>
      </c>
      <c r="R865">
        <f ca="1">'Fuel Costs'!$J184*R380</f>
        <v>0</v>
      </c>
      <c r="S865">
        <f ca="1">'Fuel Costs'!$J184*S380</f>
        <v>0</v>
      </c>
      <c r="T865">
        <f ca="1">'Fuel Costs'!$J184*T380</f>
        <v>0</v>
      </c>
      <c r="U865">
        <f ca="1">'Fuel Costs'!$J184*U380</f>
        <v>0</v>
      </c>
      <c r="V865">
        <f ca="1">'Fuel Costs'!$J184*V380</f>
        <v>0</v>
      </c>
      <c r="W865">
        <f ca="1">'Fuel Costs'!$J184*W380</f>
        <v>0</v>
      </c>
      <c r="X865">
        <f ca="1">'Fuel Costs'!$J184*X380</f>
        <v>0</v>
      </c>
      <c r="Y865">
        <f ca="1">'Fuel Costs'!$J184*Y380</f>
        <v>0</v>
      </c>
      <c r="Z865">
        <f ca="1">'Fuel Costs'!$J184*Z380</f>
        <v>0</v>
      </c>
      <c r="AA865">
        <f ca="1">'Fuel Costs'!$J184*AA380</f>
        <v>0</v>
      </c>
      <c r="AB865">
        <f ca="1">'Fuel Costs'!$J184*AB380</f>
        <v>0</v>
      </c>
      <c r="AC865">
        <f ca="1">'Fuel Costs'!$J184*AC380</f>
        <v>0</v>
      </c>
    </row>
    <row r="866" spans="3:29">
      <c r="C866" t="str">
        <f t="shared" si="304"/>
        <v>PBMR</v>
      </c>
      <c r="D866">
        <f>'Fuel Costs'!$J185*D381</f>
        <v>0</v>
      </c>
      <c r="E866">
        <f>'Fuel Costs'!$J185*E381</f>
        <v>0</v>
      </c>
      <c r="F866">
        <f>'Fuel Costs'!$J185*F381</f>
        <v>0</v>
      </c>
      <c r="G866">
        <f>'Fuel Costs'!$J185*G381</f>
        <v>0</v>
      </c>
      <c r="H866">
        <f>'Fuel Costs'!$J185*H381</f>
        <v>0</v>
      </c>
      <c r="I866">
        <f ca="1">'Fuel Costs'!$J185*I381</f>
        <v>0</v>
      </c>
      <c r="J866">
        <f ca="1">'Fuel Costs'!$J185*J381</f>
        <v>0</v>
      </c>
      <c r="K866">
        <f ca="1">'Fuel Costs'!$J185*K381</f>
        <v>0</v>
      </c>
      <c r="L866">
        <f ca="1">'Fuel Costs'!$J185*L381</f>
        <v>0</v>
      </c>
      <c r="M866">
        <f ca="1">'Fuel Costs'!$J185*M381</f>
        <v>0</v>
      </c>
      <c r="N866">
        <f ca="1">'Fuel Costs'!$J185*N381</f>
        <v>0</v>
      </c>
      <c r="O866">
        <f ca="1">'Fuel Costs'!$J185*O381</f>
        <v>0</v>
      </c>
      <c r="P866">
        <f ca="1">'Fuel Costs'!$J185*P381</f>
        <v>0</v>
      </c>
      <c r="Q866">
        <f ca="1">'Fuel Costs'!$J185*Q381</f>
        <v>0</v>
      </c>
      <c r="R866">
        <f ca="1">'Fuel Costs'!$J185*R381</f>
        <v>0</v>
      </c>
      <c r="S866">
        <f ca="1">'Fuel Costs'!$J185*S381</f>
        <v>0</v>
      </c>
      <c r="T866">
        <f ca="1">'Fuel Costs'!$J185*T381</f>
        <v>0</v>
      </c>
      <c r="U866">
        <f ca="1">'Fuel Costs'!$J185*U381</f>
        <v>0</v>
      </c>
      <c r="V866">
        <f ca="1">'Fuel Costs'!$J185*V381</f>
        <v>0</v>
      </c>
      <c r="W866">
        <f ca="1">'Fuel Costs'!$J185*W381</f>
        <v>0</v>
      </c>
      <c r="X866">
        <f ca="1">'Fuel Costs'!$J185*X381</f>
        <v>0</v>
      </c>
      <c r="Y866">
        <f ca="1">'Fuel Costs'!$J185*Y381</f>
        <v>0</v>
      </c>
      <c r="Z866">
        <f ca="1">'Fuel Costs'!$J185*Z381</f>
        <v>0</v>
      </c>
      <c r="AA866">
        <f ca="1">'Fuel Costs'!$J185*AA381</f>
        <v>0</v>
      </c>
      <c r="AB866">
        <f ca="1">'Fuel Costs'!$J185*AB381</f>
        <v>0</v>
      </c>
      <c r="AC866">
        <f ca="1">'Fuel Costs'!$J185*AC381</f>
        <v>0</v>
      </c>
    </row>
    <row r="867" spans="3:29">
      <c r="C867" t="str">
        <f t="shared" si="304"/>
        <v>IGCC</v>
      </c>
      <c r="D867">
        <f>'Fuel Costs'!$J186*D382</f>
        <v>0</v>
      </c>
      <c r="E867">
        <f>'Fuel Costs'!$J186*E382</f>
        <v>1.3456265151035039E-18</v>
      </c>
      <c r="F867">
        <f>'Fuel Costs'!$J186*F382</f>
        <v>0</v>
      </c>
      <c r="G867">
        <f>'Fuel Costs'!$J186*G382</f>
        <v>1.3456265151035039E-18</v>
      </c>
      <c r="H867">
        <f>'Fuel Costs'!$J186*H382</f>
        <v>1.3456265151035039E-18</v>
      </c>
      <c r="I867">
        <f ca="1">'Fuel Costs'!$J186*I382</f>
        <v>0</v>
      </c>
      <c r="J867">
        <f ca="1">'Fuel Costs'!$J186*J382</f>
        <v>0</v>
      </c>
      <c r="K867">
        <f ca="1">'Fuel Costs'!$J186*K382</f>
        <v>0</v>
      </c>
      <c r="L867">
        <f ca="1">'Fuel Costs'!$J186*L382</f>
        <v>0</v>
      </c>
      <c r="M867">
        <f ca="1">'Fuel Costs'!$J186*M382</f>
        <v>0</v>
      </c>
      <c r="N867">
        <f ca="1">'Fuel Costs'!$J186*N382</f>
        <v>0</v>
      </c>
      <c r="O867">
        <f ca="1">'Fuel Costs'!$J186*O382</f>
        <v>0</v>
      </c>
      <c r="P867">
        <f ca="1">'Fuel Costs'!$J186*P382</f>
        <v>0</v>
      </c>
      <c r="Q867">
        <f ca="1">'Fuel Costs'!$J186*Q382</f>
        <v>0</v>
      </c>
      <c r="R867">
        <f ca="1">'Fuel Costs'!$J186*R382</f>
        <v>0</v>
      </c>
      <c r="S867">
        <f ca="1">'Fuel Costs'!$J186*S382</f>
        <v>0</v>
      </c>
      <c r="T867">
        <f ca="1">'Fuel Costs'!$J186*T382</f>
        <v>0</v>
      </c>
      <c r="U867">
        <f ca="1">'Fuel Costs'!$J186*U382</f>
        <v>0</v>
      </c>
      <c r="V867">
        <f ca="1">'Fuel Costs'!$J186*V382</f>
        <v>0</v>
      </c>
      <c r="W867">
        <f ca="1">'Fuel Costs'!$J186*W382</f>
        <v>0</v>
      </c>
      <c r="X867">
        <f ca="1">'Fuel Costs'!$J186*X382</f>
        <v>0</v>
      </c>
      <c r="Y867">
        <f ca="1">'Fuel Costs'!$J186*Y382</f>
        <v>0</v>
      </c>
      <c r="Z867">
        <f ca="1">'Fuel Costs'!$J186*Z382</f>
        <v>0</v>
      </c>
      <c r="AA867">
        <f ca="1">'Fuel Costs'!$J186*AA382</f>
        <v>0</v>
      </c>
      <c r="AB867">
        <f ca="1">'Fuel Costs'!$J186*AB382</f>
        <v>0</v>
      </c>
      <c r="AC867">
        <f ca="1">'Fuel Costs'!$J186*AC382</f>
        <v>0</v>
      </c>
    </row>
    <row r="868" spans="3:29">
      <c r="C868" t="str">
        <f t="shared" si="304"/>
        <v>-</v>
      </c>
      <c r="D868">
        <f>'Fuel Costs'!$J187*D383</f>
        <v>0</v>
      </c>
      <c r="E868">
        <f>'Fuel Costs'!$J187*E383</f>
        <v>0</v>
      </c>
      <c r="F868">
        <f>'Fuel Costs'!$J187*F383</f>
        <v>0</v>
      </c>
      <c r="G868">
        <f>'Fuel Costs'!$J187*G383</f>
        <v>0</v>
      </c>
      <c r="H868">
        <f>'Fuel Costs'!$J187*H383</f>
        <v>0</v>
      </c>
      <c r="I868">
        <f ca="1">'Fuel Costs'!$J187*I383</f>
        <v>0</v>
      </c>
      <c r="J868">
        <f ca="1">'Fuel Costs'!$J187*J383</f>
        <v>0</v>
      </c>
      <c r="K868">
        <f ca="1">'Fuel Costs'!$J187*K383</f>
        <v>0</v>
      </c>
      <c r="L868">
        <f ca="1">'Fuel Costs'!$J187*L383</f>
        <v>0</v>
      </c>
      <c r="M868">
        <f ca="1">'Fuel Costs'!$J187*M383</f>
        <v>0</v>
      </c>
      <c r="N868">
        <f ca="1">'Fuel Costs'!$J187*N383</f>
        <v>0</v>
      </c>
      <c r="O868">
        <f ca="1">'Fuel Costs'!$J187*O383</f>
        <v>0</v>
      </c>
      <c r="P868">
        <f ca="1">'Fuel Costs'!$J187*P383</f>
        <v>0</v>
      </c>
      <c r="Q868">
        <f ca="1">'Fuel Costs'!$J187*Q383</f>
        <v>0</v>
      </c>
      <c r="R868">
        <f ca="1">'Fuel Costs'!$J187*R383</f>
        <v>0</v>
      </c>
      <c r="S868">
        <f ca="1">'Fuel Costs'!$J187*S383</f>
        <v>0</v>
      </c>
      <c r="T868">
        <f ca="1">'Fuel Costs'!$J187*T383</f>
        <v>0</v>
      </c>
      <c r="U868">
        <f ca="1">'Fuel Costs'!$J187*U383</f>
        <v>0</v>
      </c>
      <c r="V868">
        <f ca="1">'Fuel Costs'!$J187*V383</f>
        <v>0</v>
      </c>
      <c r="W868">
        <f ca="1">'Fuel Costs'!$J187*W383</f>
        <v>0</v>
      </c>
      <c r="X868">
        <f ca="1">'Fuel Costs'!$J187*X383</f>
        <v>0</v>
      </c>
      <c r="Y868">
        <f ca="1">'Fuel Costs'!$J187*Y383</f>
        <v>0</v>
      </c>
      <c r="Z868">
        <f ca="1">'Fuel Costs'!$J187*Z383</f>
        <v>0</v>
      </c>
      <c r="AA868">
        <f ca="1">'Fuel Costs'!$J187*AA383</f>
        <v>0</v>
      </c>
      <c r="AB868">
        <f ca="1">'Fuel Costs'!$J187*AB383</f>
        <v>0</v>
      </c>
      <c r="AC868">
        <f ca="1">'Fuel Costs'!$J187*AC383</f>
        <v>0</v>
      </c>
    </row>
    <row r="869" spans="3:29">
      <c r="C869" t="str">
        <f t="shared" si="304"/>
        <v>-</v>
      </c>
      <c r="D869">
        <f>'Fuel Costs'!$J188*D384</f>
        <v>0</v>
      </c>
      <c r="E869">
        <f>'Fuel Costs'!$J188*E384</f>
        <v>0</v>
      </c>
      <c r="F869">
        <f>'Fuel Costs'!$J188*F384</f>
        <v>0</v>
      </c>
      <c r="G869">
        <f>'Fuel Costs'!$J188*G384</f>
        <v>0</v>
      </c>
      <c r="H869">
        <f>'Fuel Costs'!$J188*H384</f>
        <v>0</v>
      </c>
      <c r="I869">
        <f ca="1">'Fuel Costs'!$J188*I384</f>
        <v>0</v>
      </c>
      <c r="J869">
        <f ca="1">'Fuel Costs'!$J188*J384</f>
        <v>0</v>
      </c>
      <c r="K869">
        <f ca="1">'Fuel Costs'!$J188*K384</f>
        <v>0</v>
      </c>
      <c r="L869">
        <f ca="1">'Fuel Costs'!$J188*L384</f>
        <v>0</v>
      </c>
      <c r="M869">
        <f ca="1">'Fuel Costs'!$J188*M384</f>
        <v>0</v>
      </c>
      <c r="N869">
        <f ca="1">'Fuel Costs'!$J188*N384</f>
        <v>0</v>
      </c>
      <c r="O869">
        <f ca="1">'Fuel Costs'!$J188*O384</f>
        <v>0</v>
      </c>
      <c r="P869">
        <f ca="1">'Fuel Costs'!$J188*P384</f>
        <v>0</v>
      </c>
      <c r="Q869">
        <f ca="1">'Fuel Costs'!$J188*Q384</f>
        <v>0</v>
      </c>
      <c r="R869">
        <f ca="1">'Fuel Costs'!$J188*R384</f>
        <v>0</v>
      </c>
      <c r="S869">
        <f ca="1">'Fuel Costs'!$J188*S384</f>
        <v>0</v>
      </c>
      <c r="T869">
        <f ca="1">'Fuel Costs'!$J188*T384</f>
        <v>0</v>
      </c>
      <c r="U869">
        <f ca="1">'Fuel Costs'!$J188*U384</f>
        <v>0</v>
      </c>
      <c r="V869">
        <f ca="1">'Fuel Costs'!$J188*V384</f>
        <v>0</v>
      </c>
      <c r="W869">
        <f ca="1">'Fuel Costs'!$J188*W384</f>
        <v>0</v>
      </c>
      <c r="X869">
        <f ca="1">'Fuel Costs'!$J188*X384</f>
        <v>0</v>
      </c>
      <c r="Y869">
        <f ca="1">'Fuel Costs'!$J188*Y384</f>
        <v>0</v>
      </c>
      <c r="Z869">
        <f ca="1">'Fuel Costs'!$J188*Z384</f>
        <v>0</v>
      </c>
      <c r="AA869">
        <f ca="1">'Fuel Costs'!$J188*AA384</f>
        <v>0</v>
      </c>
      <c r="AB869">
        <f ca="1">'Fuel Costs'!$J188*AB384</f>
        <v>0</v>
      </c>
      <c r="AC869">
        <f ca="1">'Fuel Costs'!$J188*AC384</f>
        <v>0</v>
      </c>
    </row>
    <row r="870" spans="3:29">
      <c r="C870" t="str">
        <f t="shared" si="304"/>
        <v>-</v>
      </c>
      <c r="D870">
        <f>'Fuel Costs'!$J189*D385</f>
        <v>0</v>
      </c>
      <c r="E870">
        <f>'Fuel Costs'!$J189*E385</f>
        <v>0</v>
      </c>
      <c r="F870">
        <f>'Fuel Costs'!$J189*F385</f>
        <v>0</v>
      </c>
      <c r="G870">
        <f>'Fuel Costs'!$J189*G385</f>
        <v>0</v>
      </c>
      <c r="H870">
        <f>'Fuel Costs'!$J189*H385</f>
        <v>0</v>
      </c>
      <c r="I870">
        <f ca="1">'Fuel Costs'!$J189*I385</f>
        <v>0</v>
      </c>
      <c r="J870">
        <f ca="1">'Fuel Costs'!$J189*J385</f>
        <v>0</v>
      </c>
      <c r="K870">
        <f ca="1">'Fuel Costs'!$J189*K385</f>
        <v>0</v>
      </c>
      <c r="L870">
        <f ca="1">'Fuel Costs'!$J189*L385</f>
        <v>0</v>
      </c>
      <c r="M870">
        <f ca="1">'Fuel Costs'!$J189*M385</f>
        <v>0</v>
      </c>
      <c r="N870">
        <f ca="1">'Fuel Costs'!$J189*N385</f>
        <v>0</v>
      </c>
      <c r="O870">
        <f ca="1">'Fuel Costs'!$J189*O385</f>
        <v>0</v>
      </c>
      <c r="P870">
        <f ca="1">'Fuel Costs'!$J189*P385</f>
        <v>0</v>
      </c>
      <c r="Q870">
        <f ca="1">'Fuel Costs'!$J189*Q385</f>
        <v>0</v>
      </c>
      <c r="R870">
        <f ca="1">'Fuel Costs'!$J189*R385</f>
        <v>0</v>
      </c>
      <c r="S870">
        <f ca="1">'Fuel Costs'!$J189*S385</f>
        <v>0</v>
      </c>
      <c r="T870">
        <f ca="1">'Fuel Costs'!$J189*T385</f>
        <v>0</v>
      </c>
      <c r="U870">
        <f ca="1">'Fuel Costs'!$J189*U385</f>
        <v>0</v>
      </c>
      <c r="V870">
        <f ca="1">'Fuel Costs'!$J189*V385</f>
        <v>0</v>
      </c>
      <c r="W870">
        <f ca="1">'Fuel Costs'!$J189*W385</f>
        <v>0</v>
      </c>
      <c r="X870">
        <f ca="1">'Fuel Costs'!$J189*X385</f>
        <v>0</v>
      </c>
      <c r="Y870">
        <f ca="1">'Fuel Costs'!$J189*Y385</f>
        <v>0</v>
      </c>
      <c r="Z870">
        <f ca="1">'Fuel Costs'!$J189*Z385</f>
        <v>0</v>
      </c>
      <c r="AA870">
        <f ca="1">'Fuel Costs'!$J189*AA385</f>
        <v>0</v>
      </c>
      <c r="AB870">
        <f ca="1">'Fuel Costs'!$J189*AB385</f>
        <v>0</v>
      </c>
      <c r="AC870">
        <f ca="1">'Fuel Costs'!$J189*AC385</f>
        <v>0</v>
      </c>
    </row>
    <row r="871" spans="3:29">
      <c r="C871" t="str">
        <f t="shared" si="304"/>
        <v>Pumped storage</v>
      </c>
      <c r="D871">
        <f>'Fuel Costs'!$J190*D386</f>
        <v>0</v>
      </c>
      <c r="E871">
        <f>'Fuel Costs'!$J190*E386</f>
        <v>0</v>
      </c>
      <c r="F871">
        <f>'Fuel Costs'!$J190*F386</f>
        <v>0</v>
      </c>
      <c r="G871">
        <f>'Fuel Costs'!$J190*G386</f>
        <v>0</v>
      </c>
      <c r="H871">
        <f>'Fuel Costs'!$J190*H386</f>
        <v>0</v>
      </c>
      <c r="I871">
        <f ca="1">'Fuel Costs'!$J190*I386</f>
        <v>0</v>
      </c>
      <c r="J871">
        <f ca="1">'Fuel Costs'!$J190*J386</f>
        <v>0</v>
      </c>
      <c r="K871">
        <f ca="1">'Fuel Costs'!$J190*K386</f>
        <v>0</v>
      </c>
      <c r="L871">
        <f ca="1">'Fuel Costs'!$J190*L386</f>
        <v>0</v>
      </c>
      <c r="M871">
        <f ca="1">'Fuel Costs'!$J190*M386</f>
        <v>0</v>
      </c>
      <c r="N871">
        <f ca="1">'Fuel Costs'!$J190*N386</f>
        <v>0</v>
      </c>
      <c r="O871">
        <f ca="1">'Fuel Costs'!$J190*O386</f>
        <v>0</v>
      </c>
      <c r="P871">
        <f ca="1">'Fuel Costs'!$J190*P386</f>
        <v>0</v>
      </c>
      <c r="Q871">
        <f ca="1">'Fuel Costs'!$J190*Q386</f>
        <v>0</v>
      </c>
      <c r="R871">
        <f ca="1">'Fuel Costs'!$J190*R386</f>
        <v>0</v>
      </c>
      <c r="S871">
        <f ca="1">'Fuel Costs'!$J190*S386</f>
        <v>0</v>
      </c>
      <c r="T871">
        <f ca="1">'Fuel Costs'!$J190*T386</f>
        <v>0</v>
      </c>
      <c r="U871">
        <f ca="1">'Fuel Costs'!$J190*U386</f>
        <v>0</v>
      </c>
      <c r="V871">
        <f ca="1">'Fuel Costs'!$J190*V386</f>
        <v>0</v>
      </c>
      <c r="W871">
        <f ca="1">'Fuel Costs'!$J190*W386</f>
        <v>0</v>
      </c>
      <c r="X871">
        <f ca="1">'Fuel Costs'!$J190*X386</f>
        <v>0</v>
      </c>
      <c r="Y871">
        <f ca="1">'Fuel Costs'!$J190*Y386</f>
        <v>0</v>
      </c>
      <c r="Z871">
        <f ca="1">'Fuel Costs'!$J190*Z386</f>
        <v>0</v>
      </c>
      <c r="AA871">
        <f ca="1">'Fuel Costs'!$J190*AA386</f>
        <v>0</v>
      </c>
      <c r="AB871">
        <f ca="1">'Fuel Costs'!$J190*AB386</f>
        <v>0</v>
      </c>
      <c r="AC871">
        <f ca="1">'Fuel Costs'!$J190*AC386</f>
        <v>0</v>
      </c>
    </row>
    <row r="872" spans="3:29">
      <c r="C872" s="4" t="s">
        <v>5</v>
      </c>
      <c r="D872">
        <f>SUM(D852:D871)</f>
        <v>1.1385203537867488E-2</v>
      </c>
      <c r="E872">
        <f t="shared" ref="E872:AC872" si="305">SUM(E852:E871)</f>
        <v>1.138520353786749E-2</v>
      </c>
      <c r="F872">
        <f t="shared" si="305"/>
        <v>1.17349102693673E-2</v>
      </c>
      <c r="G872">
        <f t="shared" si="305"/>
        <v>1.1856728296186855E-2</v>
      </c>
      <c r="H872">
        <f t="shared" si="305"/>
        <v>1.1856728296186855E-2</v>
      </c>
      <c r="I872">
        <f t="shared" ca="1" si="305"/>
        <v>1.2210517381132454E-2</v>
      </c>
      <c r="J872">
        <f t="shared" ca="1" si="305"/>
        <v>1.2480107480385777E-2</v>
      </c>
      <c r="K872">
        <f t="shared" ca="1" si="305"/>
        <v>1.2782867536815734E-2</v>
      </c>
      <c r="L872">
        <f t="shared" ca="1" si="305"/>
        <v>1.3152134144554619E-2</v>
      </c>
      <c r="M872">
        <f t="shared" ca="1" si="305"/>
        <v>1.3584968305987166E-2</v>
      </c>
      <c r="N872">
        <f t="shared" ca="1" si="305"/>
        <v>1.3988836333265947E-2</v>
      </c>
      <c r="O872">
        <f t="shared" ca="1" si="305"/>
        <v>1.441395188567679E-2</v>
      </c>
      <c r="P872">
        <f t="shared" ca="1" si="305"/>
        <v>1.4832057974583025E-2</v>
      </c>
      <c r="Q872">
        <f t="shared" ca="1" si="305"/>
        <v>1.5272736620845953E-2</v>
      </c>
      <c r="R872">
        <f t="shared" ca="1" si="305"/>
        <v>1.5734184047863302E-2</v>
      </c>
      <c r="S872">
        <f t="shared" ca="1" si="305"/>
        <v>1.6169003751792921E-2</v>
      </c>
      <c r="T872">
        <f t="shared" ca="1" si="305"/>
        <v>1.6628226773108989E-2</v>
      </c>
      <c r="U872">
        <f t="shared" ca="1" si="305"/>
        <v>1.7125339750508242E-2</v>
      </c>
      <c r="V872">
        <f t="shared" ca="1" si="305"/>
        <v>1.7658511618895503E-2</v>
      </c>
      <c r="W872">
        <f t="shared" ca="1" si="305"/>
        <v>1.8182050431721389E-2</v>
      </c>
      <c r="X872">
        <f t="shared" ca="1" si="305"/>
        <v>1.871575387192349E-2</v>
      </c>
      <c r="Y872">
        <f t="shared" ca="1" si="305"/>
        <v>1.9290467649753888E-2</v>
      </c>
      <c r="Z872">
        <f t="shared" ca="1" si="305"/>
        <v>1.990398010543349E-2</v>
      </c>
      <c r="AA872">
        <f t="shared" ca="1" si="305"/>
        <v>2.0530793503765115E-2</v>
      </c>
      <c r="AB872">
        <f t="shared" ca="1" si="305"/>
        <v>2.1133461674993886E-2</v>
      </c>
      <c r="AC872">
        <f t="shared" ca="1" si="305"/>
        <v>2.1601681338748104E-2</v>
      </c>
    </row>
    <row r="874" spans="3:29">
      <c r="C874" s="4" t="s">
        <v>167</v>
      </c>
    </row>
    <row r="875" spans="3:29">
      <c r="C875" t="str">
        <f>C8</f>
        <v>Existing coal Large</v>
      </c>
    </row>
    <row r="876" spans="3:29">
      <c r="C876" t="str">
        <f t="shared" ref="C876:C894" si="306">C9</f>
        <v>Existing coal Small</v>
      </c>
    </row>
    <row r="877" spans="3:29">
      <c r="C877" t="str">
        <f t="shared" si="306"/>
        <v>OCGT liquid fuels</v>
      </c>
    </row>
    <row r="878" spans="3:29">
      <c r="C878" t="str">
        <f t="shared" si="306"/>
        <v>PWR nuclear</v>
      </c>
    </row>
    <row r="879" spans="3:29">
      <c r="C879" t="str">
        <f t="shared" si="306"/>
        <v>Hydro</v>
      </c>
    </row>
    <row r="880" spans="3:29">
      <c r="C880" t="str">
        <f t="shared" si="306"/>
        <v>Landfill gas</v>
      </c>
    </row>
    <row r="881" spans="3:29">
      <c r="C881" t="str">
        <f t="shared" si="306"/>
        <v>Biomass</v>
      </c>
    </row>
    <row r="882" spans="3:29">
      <c r="C882" t="str">
        <f t="shared" si="306"/>
        <v>Supercritical coal</v>
      </c>
    </row>
    <row r="883" spans="3:29">
      <c r="C883" t="str">
        <f t="shared" si="306"/>
        <v xml:space="preserve">Wind 30% </v>
      </c>
    </row>
    <row r="884" spans="3:29">
      <c r="C884" t="str">
        <f t="shared" si="306"/>
        <v>Wind 25%</v>
      </c>
    </row>
    <row r="885" spans="3:29">
      <c r="C885" t="str">
        <f t="shared" si="306"/>
        <v>solar thermal central reciever</v>
      </c>
    </row>
    <row r="886" spans="3:29">
      <c r="C886" t="str">
        <f t="shared" si="306"/>
        <v>solar thermal trough</v>
      </c>
    </row>
    <row r="887" spans="3:29">
      <c r="C887" t="str">
        <f t="shared" si="306"/>
        <v>solar PV</v>
      </c>
    </row>
    <row r="888" spans="3:29">
      <c r="C888" t="str">
        <f t="shared" si="306"/>
        <v>combined cycle gas</v>
      </c>
    </row>
    <row r="889" spans="3:29">
      <c r="C889" t="str">
        <f t="shared" si="306"/>
        <v>PBMR</v>
      </c>
    </row>
    <row r="890" spans="3:29">
      <c r="C890" t="str">
        <f t="shared" si="306"/>
        <v>IGCC</v>
      </c>
    </row>
    <row r="891" spans="3:29">
      <c r="C891" t="str">
        <f t="shared" si="306"/>
        <v>-</v>
      </c>
    </row>
    <row r="892" spans="3:29">
      <c r="C892" t="str">
        <f t="shared" si="306"/>
        <v>-</v>
      </c>
    </row>
    <row r="893" spans="3:29">
      <c r="C893" t="str">
        <f t="shared" si="306"/>
        <v>-</v>
      </c>
    </row>
    <row r="894" spans="3:29">
      <c r="C894" t="str">
        <f t="shared" si="306"/>
        <v>Pumped storage</v>
      </c>
    </row>
    <row r="895" spans="3:29">
      <c r="C895" s="4" t="s">
        <v>5</v>
      </c>
      <c r="D895">
        <f t="shared" ref="D895:AC895" si="307">SUM(D875:D894)</f>
        <v>0</v>
      </c>
      <c r="E895">
        <f t="shared" si="307"/>
        <v>0</v>
      </c>
      <c r="F895">
        <f t="shared" si="307"/>
        <v>0</v>
      </c>
      <c r="G895">
        <f t="shared" si="307"/>
        <v>0</v>
      </c>
      <c r="H895">
        <f t="shared" si="307"/>
        <v>0</v>
      </c>
      <c r="I895">
        <f t="shared" si="307"/>
        <v>0</v>
      </c>
      <c r="J895">
        <f t="shared" si="307"/>
        <v>0</v>
      </c>
      <c r="K895">
        <f t="shared" si="307"/>
        <v>0</v>
      </c>
      <c r="L895">
        <f t="shared" si="307"/>
        <v>0</v>
      </c>
      <c r="M895">
        <f t="shared" si="307"/>
        <v>0</v>
      </c>
      <c r="N895">
        <f t="shared" si="307"/>
        <v>0</v>
      </c>
      <c r="O895">
        <f t="shared" si="307"/>
        <v>0</v>
      </c>
      <c r="P895">
        <f t="shared" si="307"/>
        <v>0</v>
      </c>
      <c r="Q895">
        <f t="shared" si="307"/>
        <v>0</v>
      </c>
      <c r="R895">
        <f t="shared" si="307"/>
        <v>0</v>
      </c>
      <c r="S895">
        <f t="shared" si="307"/>
        <v>0</v>
      </c>
      <c r="T895">
        <f t="shared" si="307"/>
        <v>0</v>
      </c>
      <c r="U895">
        <f t="shared" si="307"/>
        <v>0</v>
      </c>
      <c r="V895">
        <f t="shared" si="307"/>
        <v>0</v>
      </c>
      <c r="W895">
        <f t="shared" si="307"/>
        <v>0</v>
      </c>
      <c r="X895">
        <f t="shared" si="307"/>
        <v>0</v>
      </c>
      <c r="Y895">
        <f t="shared" si="307"/>
        <v>0</v>
      </c>
      <c r="Z895">
        <f t="shared" si="307"/>
        <v>0</v>
      </c>
      <c r="AA895">
        <f t="shared" si="307"/>
        <v>0</v>
      </c>
      <c r="AB895">
        <f t="shared" si="307"/>
        <v>0</v>
      </c>
      <c r="AC895">
        <f t="shared" si="307"/>
        <v>0</v>
      </c>
    </row>
    <row r="897" spans="3:3">
      <c r="C897" s="4" t="s">
        <v>168</v>
      </c>
    </row>
    <row r="898" spans="3:3">
      <c r="C898" t="str">
        <f>C8</f>
        <v>Existing coal Large</v>
      </c>
    </row>
    <row r="899" spans="3:3">
      <c r="C899" t="str">
        <f t="shared" ref="C899:C917" si="308">C9</f>
        <v>Existing coal Small</v>
      </c>
    </row>
    <row r="900" spans="3:3">
      <c r="C900" t="str">
        <f t="shared" si="308"/>
        <v>OCGT liquid fuels</v>
      </c>
    </row>
    <row r="901" spans="3:3">
      <c r="C901" t="str">
        <f t="shared" si="308"/>
        <v>PWR nuclear</v>
      </c>
    </row>
    <row r="902" spans="3:3">
      <c r="C902" t="str">
        <f t="shared" si="308"/>
        <v>Hydro</v>
      </c>
    </row>
    <row r="903" spans="3:3">
      <c r="C903" t="str">
        <f t="shared" si="308"/>
        <v>Landfill gas</v>
      </c>
    </row>
    <row r="904" spans="3:3">
      <c r="C904" t="str">
        <f t="shared" si="308"/>
        <v>Biomass</v>
      </c>
    </row>
    <row r="905" spans="3:3">
      <c r="C905" t="str">
        <f t="shared" si="308"/>
        <v>Supercritical coal</v>
      </c>
    </row>
    <row r="906" spans="3:3">
      <c r="C906" t="str">
        <f t="shared" si="308"/>
        <v xml:space="preserve">Wind 30% </v>
      </c>
    </row>
    <row r="907" spans="3:3">
      <c r="C907" t="str">
        <f t="shared" si="308"/>
        <v>Wind 25%</v>
      </c>
    </row>
    <row r="908" spans="3:3">
      <c r="C908" t="str">
        <f t="shared" si="308"/>
        <v>solar thermal central reciever</v>
      </c>
    </row>
    <row r="909" spans="3:3">
      <c r="C909" t="str">
        <f t="shared" si="308"/>
        <v>solar thermal trough</v>
      </c>
    </row>
    <row r="910" spans="3:3">
      <c r="C910" t="str">
        <f t="shared" si="308"/>
        <v>solar PV</v>
      </c>
    </row>
    <row r="911" spans="3:3">
      <c r="C911" t="str">
        <f t="shared" si="308"/>
        <v>combined cycle gas</v>
      </c>
    </row>
    <row r="912" spans="3:3">
      <c r="C912" t="str">
        <f t="shared" si="308"/>
        <v>PBMR</v>
      </c>
    </row>
    <row r="913" spans="2:29">
      <c r="C913" t="str">
        <f t="shared" si="308"/>
        <v>IGCC</v>
      </c>
    </row>
    <row r="914" spans="2:29">
      <c r="C914" t="str">
        <f t="shared" si="308"/>
        <v>-</v>
      </c>
    </row>
    <row r="915" spans="2:29">
      <c r="C915" t="str">
        <f t="shared" si="308"/>
        <v>-</v>
      </c>
    </row>
    <row r="916" spans="2:29">
      <c r="C916" t="str">
        <f t="shared" si="308"/>
        <v>-</v>
      </c>
    </row>
    <row r="917" spans="2:29">
      <c r="C917" t="str">
        <f t="shared" si="308"/>
        <v>Pumped storage</v>
      </c>
    </row>
    <row r="918" spans="2:29">
      <c r="C918" s="4" t="s">
        <v>5</v>
      </c>
      <c r="D918">
        <f t="shared" ref="D918:AC918" si="309">SUM(D898:D917)</f>
        <v>0</v>
      </c>
      <c r="E918">
        <f t="shared" si="309"/>
        <v>0</v>
      </c>
      <c r="F918">
        <f t="shared" si="309"/>
        <v>0</v>
      </c>
      <c r="G918">
        <f t="shared" si="309"/>
        <v>0</v>
      </c>
      <c r="H918">
        <f t="shared" si="309"/>
        <v>0</v>
      </c>
      <c r="I918">
        <f t="shared" si="309"/>
        <v>0</v>
      </c>
      <c r="J918">
        <f t="shared" si="309"/>
        <v>0</v>
      </c>
      <c r="K918">
        <f t="shared" si="309"/>
        <v>0</v>
      </c>
      <c r="L918">
        <f t="shared" si="309"/>
        <v>0</v>
      </c>
      <c r="M918">
        <f t="shared" si="309"/>
        <v>0</v>
      </c>
      <c r="N918">
        <f t="shared" si="309"/>
        <v>0</v>
      </c>
      <c r="O918">
        <f t="shared" si="309"/>
        <v>0</v>
      </c>
      <c r="P918">
        <f t="shared" si="309"/>
        <v>0</v>
      </c>
      <c r="Q918">
        <f t="shared" si="309"/>
        <v>0</v>
      </c>
      <c r="R918">
        <f t="shared" si="309"/>
        <v>0</v>
      </c>
      <c r="S918">
        <f t="shared" si="309"/>
        <v>0</v>
      </c>
      <c r="T918">
        <f t="shared" si="309"/>
        <v>0</v>
      </c>
      <c r="U918">
        <f t="shared" si="309"/>
        <v>0</v>
      </c>
      <c r="V918">
        <f t="shared" si="309"/>
        <v>0</v>
      </c>
      <c r="W918">
        <f t="shared" si="309"/>
        <v>0</v>
      </c>
      <c r="X918">
        <f t="shared" si="309"/>
        <v>0</v>
      </c>
      <c r="Y918">
        <f t="shared" si="309"/>
        <v>0</v>
      </c>
      <c r="Z918">
        <f t="shared" si="309"/>
        <v>0</v>
      </c>
      <c r="AA918">
        <f t="shared" si="309"/>
        <v>0</v>
      </c>
      <c r="AB918">
        <f t="shared" si="309"/>
        <v>0</v>
      </c>
      <c r="AC918">
        <f t="shared" si="309"/>
        <v>0</v>
      </c>
    </row>
    <row r="921" spans="2:29">
      <c r="G921" s="11" t="s">
        <v>272</v>
      </c>
      <c r="I921" t="str">
        <f>'Environmental Impacts'!$X$1</f>
        <v>Existing coal Large</v>
      </c>
    </row>
    <row r="922" spans="2:29">
      <c r="C922" s="4" t="s">
        <v>287</v>
      </c>
      <c r="G922" s="11" t="s">
        <v>273</v>
      </c>
      <c r="I922" t="str">
        <f>'Environmental Impacts'!$X$2</f>
        <v>Supercritical coal</v>
      </c>
    </row>
    <row r="924" spans="2:29">
      <c r="B924" s="11" t="s">
        <v>275</v>
      </c>
      <c r="C924" s="11" t="s">
        <v>289</v>
      </c>
      <c r="D924">
        <f>SUMIF($C$634:$C$653,$I$921,D$760:D$779)</f>
        <v>205.31813431055303</v>
      </c>
      <c r="E924">
        <f t="shared" ref="E924:AC924" si="310">SUMIF($C$634:$C$653,$I$921,E$760:E$779)</f>
        <v>205.31813431055303</v>
      </c>
      <c r="F924">
        <f t="shared" si="310"/>
        <v>212.08181220449086</v>
      </c>
      <c r="G924">
        <f t="shared" si="310"/>
        <v>214.43789466120785</v>
      </c>
      <c r="H924">
        <f t="shared" si="310"/>
        <v>214.43789466120785</v>
      </c>
      <c r="I924">
        <f t="shared" ca="1" si="310"/>
        <v>219.50036716210047</v>
      </c>
      <c r="J924">
        <f t="shared" ca="1" si="310"/>
        <v>223.33805865190286</v>
      </c>
      <c r="K924">
        <f t="shared" ca="1" si="310"/>
        <v>227.60396802282463</v>
      </c>
      <c r="L924">
        <f t="shared" ca="1" si="310"/>
        <v>231.56640772212245</v>
      </c>
      <c r="M924">
        <f t="shared" ca="1" si="310"/>
        <v>231.76564888474982</v>
      </c>
      <c r="N924">
        <f t="shared" ca="1" si="310"/>
        <v>231.76564888474982</v>
      </c>
      <c r="O924">
        <f t="shared" ca="1" si="310"/>
        <v>231.76564888474982</v>
      </c>
      <c r="P924">
        <f t="shared" ca="1" si="310"/>
        <v>231.76564888474982</v>
      </c>
      <c r="Q924">
        <f t="shared" ca="1" si="310"/>
        <v>231.76564888474982</v>
      </c>
      <c r="R924">
        <f t="shared" ca="1" si="310"/>
        <v>231.76564888474982</v>
      </c>
      <c r="S924">
        <f t="shared" ca="1" si="310"/>
        <v>231.76564888474982</v>
      </c>
      <c r="T924">
        <f t="shared" ca="1" si="310"/>
        <v>231.76564888474982</v>
      </c>
      <c r="U924">
        <f t="shared" ca="1" si="310"/>
        <v>231.76564888474982</v>
      </c>
      <c r="V924">
        <f t="shared" ca="1" si="310"/>
        <v>231.76564888474982</v>
      </c>
      <c r="W924">
        <f t="shared" ca="1" si="310"/>
        <v>223.09468830818147</v>
      </c>
      <c r="X924">
        <f t="shared" ca="1" si="310"/>
        <v>214.42372773161313</v>
      </c>
      <c r="Y924">
        <f t="shared" ca="1" si="310"/>
        <v>203.58502701090265</v>
      </c>
      <c r="Z924">
        <f t="shared" ca="1" si="310"/>
        <v>192.74632629019214</v>
      </c>
      <c r="AA924">
        <f t="shared" ca="1" si="310"/>
        <v>179.62579383880583</v>
      </c>
      <c r="AB924">
        <f t="shared" ca="1" si="310"/>
        <v>153.3847289360331</v>
      </c>
      <c r="AC924">
        <f t="shared" ca="1" si="310"/>
        <v>140.26419648464673</v>
      </c>
    </row>
    <row r="925" spans="2:29">
      <c r="C925" s="11" t="s">
        <v>284</v>
      </c>
      <c r="D925">
        <f>SUMIF($C$634:$C$653,$I$921,D$783:D$802)</f>
        <v>1.3295094949099666</v>
      </c>
      <c r="E925">
        <f t="shared" ref="E925:AC925" si="311">SUMIF($C$634:$C$653,$I$921,E$783:E$802)</f>
        <v>1.3295094949099666</v>
      </c>
      <c r="F925">
        <f t="shared" si="311"/>
        <v>1.3733067659630029</v>
      </c>
      <c r="G925">
        <f t="shared" si="311"/>
        <v>1.3885632556418837</v>
      </c>
      <c r="H925">
        <f t="shared" si="311"/>
        <v>1.3885632556418837</v>
      </c>
      <c r="I925">
        <f t="shared" ca="1" si="311"/>
        <v>1.4213446038664734</v>
      </c>
      <c r="J925">
        <f t="shared" ca="1" si="311"/>
        <v>1.4461950501817029</v>
      </c>
      <c r="K925">
        <f t="shared" ca="1" si="311"/>
        <v>1.4738183628136374</v>
      </c>
      <c r="L925">
        <f t="shared" ca="1" si="311"/>
        <v>1.4994765990961489</v>
      </c>
      <c r="M925">
        <f t="shared" ca="1" si="311"/>
        <v>1.5007667579921447</v>
      </c>
      <c r="N925">
        <f t="shared" ca="1" si="311"/>
        <v>1.5007667579921447</v>
      </c>
      <c r="O925">
        <f t="shared" ca="1" si="311"/>
        <v>1.5007667579921447</v>
      </c>
      <c r="P925">
        <f t="shared" ca="1" si="311"/>
        <v>1.5007667579921447</v>
      </c>
      <c r="Q925">
        <f t="shared" ca="1" si="311"/>
        <v>1.5007667579921447</v>
      </c>
      <c r="R925">
        <f t="shared" ca="1" si="311"/>
        <v>1.5007667579921447</v>
      </c>
      <c r="S925">
        <f t="shared" ca="1" si="311"/>
        <v>1.5007667579921447</v>
      </c>
      <c r="T925">
        <f t="shared" ca="1" si="311"/>
        <v>1.5007667579921447</v>
      </c>
      <c r="U925">
        <f t="shared" ca="1" si="311"/>
        <v>1.5007667579921447</v>
      </c>
      <c r="V925">
        <f t="shared" ca="1" si="311"/>
        <v>1.5007667579921447</v>
      </c>
      <c r="W925">
        <f t="shared" ca="1" si="311"/>
        <v>1.444619138809609</v>
      </c>
      <c r="X925">
        <f t="shared" ca="1" si="311"/>
        <v>1.3884715196270734</v>
      </c>
      <c r="Y925">
        <f t="shared" ca="1" si="311"/>
        <v>1.3182869956489038</v>
      </c>
      <c r="Z925">
        <f t="shared" ca="1" si="311"/>
        <v>1.2481024716707341</v>
      </c>
      <c r="AA925">
        <f t="shared" ca="1" si="311"/>
        <v>1.1631422584340025</v>
      </c>
      <c r="AB925">
        <f t="shared" ca="1" si="311"/>
        <v>0.99322183196053926</v>
      </c>
      <c r="AC925">
        <f t="shared" ca="1" si="311"/>
        <v>0.9082616187238074</v>
      </c>
    </row>
    <row r="926" spans="2:29">
      <c r="C926" s="11" t="s">
        <v>285</v>
      </c>
      <c r="D926">
        <f>SUMIF($C$634:$C$653,$I$921,D$806:D$825)</f>
        <v>0.63694162962789846</v>
      </c>
      <c r="E926">
        <f t="shared" ref="E926:AC926" si="312">SUMIF($C$634:$C$653,$I$921,E$806:E$825)</f>
        <v>0.63694162962789846</v>
      </c>
      <c r="F926">
        <f t="shared" si="312"/>
        <v>0.65792403351788709</v>
      </c>
      <c r="G926">
        <f t="shared" si="312"/>
        <v>0.66523311512706018</v>
      </c>
      <c r="H926">
        <f t="shared" si="312"/>
        <v>0.66523311512706018</v>
      </c>
      <c r="I926">
        <f t="shared" ca="1" si="312"/>
        <v>0.68093800887885991</v>
      </c>
      <c r="J926">
        <f t="shared" ca="1" si="312"/>
        <v>0.69284336482675002</v>
      </c>
      <c r="K926">
        <f t="shared" ca="1" si="312"/>
        <v>0.70607714603016802</v>
      </c>
      <c r="L926">
        <f t="shared" ca="1" si="312"/>
        <v>0.71836949812974238</v>
      </c>
      <c r="M926">
        <f t="shared" ca="1" si="312"/>
        <v>0.71898758766790716</v>
      </c>
      <c r="N926">
        <f t="shared" ca="1" si="312"/>
        <v>0.71898758766790716</v>
      </c>
      <c r="O926">
        <f t="shared" ca="1" si="312"/>
        <v>0.71898758766790716</v>
      </c>
      <c r="P926">
        <f t="shared" ca="1" si="312"/>
        <v>0.71898758766790716</v>
      </c>
      <c r="Q926">
        <f t="shared" ca="1" si="312"/>
        <v>0.71898758766790716</v>
      </c>
      <c r="R926">
        <f t="shared" ca="1" si="312"/>
        <v>0.71898758766790716</v>
      </c>
      <c r="S926">
        <f t="shared" ca="1" si="312"/>
        <v>0.71898758766790716</v>
      </c>
      <c r="T926">
        <f t="shared" ca="1" si="312"/>
        <v>0.71898758766790716</v>
      </c>
      <c r="U926">
        <f t="shared" ca="1" si="312"/>
        <v>0.71898758766790716</v>
      </c>
      <c r="V926">
        <f t="shared" ca="1" si="312"/>
        <v>0.71898758766790716</v>
      </c>
      <c r="W926">
        <f t="shared" ca="1" si="312"/>
        <v>0.69208837694487824</v>
      </c>
      <c r="X926">
        <f t="shared" ca="1" si="312"/>
        <v>0.66518916622184932</v>
      </c>
      <c r="Y926">
        <f t="shared" ca="1" si="312"/>
        <v>0.63156515281806325</v>
      </c>
      <c r="Z926">
        <f t="shared" ca="1" si="312"/>
        <v>0.59794113941427696</v>
      </c>
      <c r="AA926">
        <f t="shared" ca="1" si="312"/>
        <v>0.55723838634653589</v>
      </c>
      <c r="AB926">
        <f t="shared" ca="1" si="312"/>
        <v>0.47583288021105363</v>
      </c>
      <c r="AC926">
        <f t="shared" ca="1" si="312"/>
        <v>0.4351301271433124</v>
      </c>
    </row>
    <row r="927" spans="2:29">
      <c r="C927" s="11" t="s">
        <v>282</v>
      </c>
      <c r="D927">
        <f>SUMIF($C$634:$C$653,$I$921,D$829:D$848)</f>
        <v>4.246277530852656E-2</v>
      </c>
      <c r="E927">
        <f t="shared" ref="E927:AC927" si="313">SUMIF($C$634:$C$653,$I$921,E$829:E$848)</f>
        <v>4.246277530852656E-2</v>
      </c>
      <c r="F927">
        <f t="shared" si="313"/>
        <v>4.3861602234525808E-2</v>
      </c>
      <c r="G927">
        <f t="shared" si="313"/>
        <v>4.4348874341804019E-2</v>
      </c>
      <c r="H927">
        <f t="shared" si="313"/>
        <v>4.4348874341804019E-2</v>
      </c>
      <c r="I927">
        <f t="shared" ca="1" si="313"/>
        <v>4.5395867258590662E-2</v>
      </c>
      <c r="J927">
        <f t="shared" ca="1" si="313"/>
        <v>4.6189557655116668E-2</v>
      </c>
      <c r="K927">
        <f t="shared" ca="1" si="313"/>
        <v>4.7071809735344534E-2</v>
      </c>
      <c r="L927">
        <f t="shared" ca="1" si="313"/>
        <v>4.7891299875316158E-2</v>
      </c>
      <c r="M927">
        <f t="shared" ca="1" si="313"/>
        <v>4.7932505844527143E-2</v>
      </c>
      <c r="N927">
        <f t="shared" ca="1" si="313"/>
        <v>4.7932505844527143E-2</v>
      </c>
      <c r="O927">
        <f t="shared" ca="1" si="313"/>
        <v>4.7932505844527143E-2</v>
      </c>
      <c r="P927">
        <f t="shared" ca="1" si="313"/>
        <v>4.7932505844527143E-2</v>
      </c>
      <c r="Q927">
        <f t="shared" ca="1" si="313"/>
        <v>4.7932505844527143E-2</v>
      </c>
      <c r="R927">
        <f t="shared" ca="1" si="313"/>
        <v>4.7932505844527143E-2</v>
      </c>
      <c r="S927">
        <f t="shared" ca="1" si="313"/>
        <v>4.7932505844527143E-2</v>
      </c>
      <c r="T927">
        <f t="shared" ca="1" si="313"/>
        <v>4.7932505844527143E-2</v>
      </c>
      <c r="U927">
        <f t="shared" ca="1" si="313"/>
        <v>4.7932505844527143E-2</v>
      </c>
      <c r="V927">
        <f t="shared" ca="1" si="313"/>
        <v>4.7932505844527143E-2</v>
      </c>
      <c r="W927">
        <f t="shared" ca="1" si="313"/>
        <v>4.6139225129658547E-2</v>
      </c>
      <c r="X927">
        <f t="shared" ca="1" si="313"/>
        <v>4.4345944414789958E-2</v>
      </c>
      <c r="Y927">
        <f t="shared" ca="1" si="313"/>
        <v>4.2104343521204214E-2</v>
      </c>
      <c r="Z927">
        <f t="shared" ca="1" si="313"/>
        <v>3.9862742627618464E-2</v>
      </c>
      <c r="AA927">
        <f t="shared" ca="1" si="313"/>
        <v>3.7149225756435728E-2</v>
      </c>
      <c r="AB927">
        <f t="shared" ca="1" si="313"/>
        <v>3.1722192014070241E-2</v>
      </c>
      <c r="AC927">
        <f t="shared" ca="1" si="313"/>
        <v>2.9008675142887495E-2</v>
      </c>
    </row>
    <row r="928" spans="2:29">
      <c r="C928" s="11" t="s">
        <v>283</v>
      </c>
      <c r="D928">
        <f>SUMIF($C$634:$C$653,$I$921,D$852:D$871)</f>
        <v>1.061569382713164E-2</v>
      </c>
      <c r="E928">
        <f t="shared" ref="E928:AC928" si="314">SUMIF($C$634:$C$653,$I$921,E$852:E$871)</f>
        <v>1.061569382713164E-2</v>
      </c>
      <c r="F928">
        <f t="shared" si="314"/>
        <v>1.0965400558631452E-2</v>
      </c>
      <c r="G928">
        <f t="shared" si="314"/>
        <v>1.1087218585451005E-2</v>
      </c>
      <c r="H928">
        <f t="shared" si="314"/>
        <v>1.1087218585451005E-2</v>
      </c>
      <c r="I928">
        <f t="shared" ca="1" si="314"/>
        <v>1.1348966814647666E-2</v>
      </c>
      <c r="J928">
        <f t="shared" ca="1" si="314"/>
        <v>1.1547389413779167E-2</v>
      </c>
      <c r="K928">
        <f t="shared" ca="1" si="314"/>
        <v>1.1767952433836134E-2</v>
      </c>
      <c r="L928">
        <f t="shared" ca="1" si="314"/>
        <v>1.197282496882904E-2</v>
      </c>
      <c r="M928">
        <f t="shared" ca="1" si="314"/>
        <v>1.1983126461131786E-2</v>
      </c>
      <c r="N928">
        <f t="shared" ca="1" si="314"/>
        <v>1.1983126461131786E-2</v>
      </c>
      <c r="O928">
        <f t="shared" ca="1" si="314"/>
        <v>1.1983126461131786E-2</v>
      </c>
      <c r="P928">
        <f t="shared" ca="1" si="314"/>
        <v>1.1983126461131786E-2</v>
      </c>
      <c r="Q928">
        <f t="shared" ca="1" si="314"/>
        <v>1.1983126461131786E-2</v>
      </c>
      <c r="R928">
        <f t="shared" ca="1" si="314"/>
        <v>1.1983126461131786E-2</v>
      </c>
      <c r="S928">
        <f t="shared" ca="1" si="314"/>
        <v>1.1983126461131786E-2</v>
      </c>
      <c r="T928">
        <f t="shared" ca="1" si="314"/>
        <v>1.1983126461131786E-2</v>
      </c>
      <c r="U928">
        <f t="shared" ca="1" si="314"/>
        <v>1.1983126461131786E-2</v>
      </c>
      <c r="V928">
        <f t="shared" ca="1" si="314"/>
        <v>1.1983126461131786E-2</v>
      </c>
      <c r="W928">
        <f t="shared" ca="1" si="314"/>
        <v>1.1534806282414637E-2</v>
      </c>
      <c r="X928">
        <f t="shared" ca="1" si="314"/>
        <v>1.1086486103697489E-2</v>
      </c>
      <c r="Y928">
        <f t="shared" ca="1" si="314"/>
        <v>1.0526085880301054E-2</v>
      </c>
      <c r="Z928">
        <f t="shared" ca="1" si="314"/>
        <v>9.9656856569046159E-3</v>
      </c>
      <c r="AA928">
        <f t="shared" ca="1" si="314"/>
        <v>9.2873064391089319E-3</v>
      </c>
      <c r="AB928">
        <f t="shared" ca="1" si="314"/>
        <v>7.9305480035175603E-3</v>
      </c>
      <c r="AC928">
        <f t="shared" ca="1" si="314"/>
        <v>7.2521687857218737E-3</v>
      </c>
    </row>
    <row r="930" spans="2:29">
      <c r="B930" s="11" t="s">
        <v>276</v>
      </c>
      <c r="C930" s="11" t="s">
        <v>289</v>
      </c>
      <c r="D930">
        <f>SUMIF($C$634:$C$653,$I$922,D$760:D$779)</f>
        <v>0</v>
      </c>
      <c r="E930">
        <f t="shared" ref="E930:AC930" si="315">SUMIF($C$634:$C$653,$I$922,E$760:E$779)</f>
        <v>0</v>
      </c>
      <c r="F930">
        <f t="shared" si="315"/>
        <v>0</v>
      </c>
      <c r="G930">
        <f t="shared" si="315"/>
        <v>0</v>
      </c>
      <c r="H930">
        <f t="shared" si="315"/>
        <v>0</v>
      </c>
      <c r="I930">
        <f t="shared" ca="1" si="315"/>
        <v>0</v>
      </c>
      <c r="J930">
        <f t="shared" ca="1" si="315"/>
        <v>0</v>
      </c>
      <c r="K930">
        <f t="shared" ca="1" si="315"/>
        <v>1.5897728804899998</v>
      </c>
      <c r="L930">
        <f t="shared" ca="1" si="315"/>
        <v>4.76931864147</v>
      </c>
      <c r="M930">
        <f t="shared" ca="1" si="315"/>
        <v>12.941522995109445</v>
      </c>
      <c r="N930">
        <f t="shared" ca="1" si="315"/>
        <v>20.752734510708375</v>
      </c>
      <c r="O930">
        <f t="shared" ca="1" si="315"/>
        <v>29.072633915251078</v>
      </c>
      <c r="P930">
        <f t="shared" ca="1" si="315"/>
        <v>37.256963286151127</v>
      </c>
      <c r="Q930">
        <f t="shared" ca="1" si="315"/>
        <v>45.910448324008541</v>
      </c>
      <c r="R930">
        <f t="shared" ca="1" si="315"/>
        <v>54.965622350437165</v>
      </c>
      <c r="S930">
        <f t="shared" ca="1" si="315"/>
        <v>65.851537713376061</v>
      </c>
      <c r="T930">
        <f t="shared" ca="1" si="315"/>
        <v>77.209437637886197</v>
      </c>
      <c r="U930">
        <f t="shared" ca="1" si="315"/>
        <v>86.824099733765138</v>
      </c>
      <c r="V930">
        <f t="shared" ca="1" si="315"/>
        <v>96.920529941090919</v>
      </c>
      <c r="W930">
        <f t="shared" ca="1" si="315"/>
        <v>115.71725469652476</v>
      </c>
      <c r="X930">
        <f t="shared" ca="1" si="315"/>
        <v>135.85144693636423</v>
      </c>
      <c r="Y930">
        <f t="shared" ca="1" si="315"/>
        <v>158.73091336126248</v>
      </c>
      <c r="Z930">
        <f t="shared" ca="1" si="315"/>
        <v>181.43555848727209</v>
      </c>
      <c r="AA930">
        <f t="shared" ca="1" si="315"/>
        <v>206.67928887579041</v>
      </c>
      <c r="AB930">
        <f t="shared" ca="1" si="315"/>
        <v>244.36091197914661</v>
      </c>
      <c r="AC930">
        <f t="shared" ca="1" si="315"/>
        <v>266.58849708575184</v>
      </c>
    </row>
    <row r="931" spans="2:29">
      <c r="C931" s="11" t="s">
        <v>284</v>
      </c>
      <c r="D931">
        <f>SUMIF($C$634:$C$653,$I$922,D$783:D$802)</f>
        <v>0</v>
      </c>
      <c r="E931">
        <f t="shared" ref="E931:AC931" si="316">SUMIF($C$634:$C$653,$I$922,E$783:E$802)</f>
        <v>0</v>
      </c>
      <c r="F931">
        <f t="shared" si="316"/>
        <v>0</v>
      </c>
      <c r="G931">
        <f t="shared" si="316"/>
        <v>0</v>
      </c>
      <c r="H931">
        <f t="shared" si="316"/>
        <v>0</v>
      </c>
      <c r="I931">
        <f t="shared" ca="1" si="316"/>
        <v>0</v>
      </c>
      <c r="J931">
        <f t="shared" ca="1" si="316"/>
        <v>0</v>
      </c>
      <c r="K931">
        <f t="shared" ca="1" si="316"/>
        <v>0</v>
      </c>
      <c r="L931">
        <f t="shared" ca="1" si="316"/>
        <v>0</v>
      </c>
      <c r="M931">
        <f t="shared" ca="1" si="316"/>
        <v>0</v>
      </c>
      <c r="N931">
        <f t="shared" ca="1" si="316"/>
        <v>0</v>
      </c>
      <c r="O931">
        <f t="shared" ca="1" si="316"/>
        <v>0</v>
      </c>
      <c r="P931">
        <f t="shared" ca="1" si="316"/>
        <v>0</v>
      </c>
      <c r="Q931">
        <f t="shared" ca="1" si="316"/>
        <v>0</v>
      </c>
      <c r="R931">
        <f t="shared" ca="1" si="316"/>
        <v>0</v>
      </c>
      <c r="S931">
        <f t="shared" ca="1" si="316"/>
        <v>0</v>
      </c>
      <c r="T931">
        <f t="shared" ca="1" si="316"/>
        <v>0</v>
      </c>
      <c r="U931">
        <f t="shared" ca="1" si="316"/>
        <v>0</v>
      </c>
      <c r="V931">
        <f t="shared" ca="1" si="316"/>
        <v>0</v>
      </c>
      <c r="W931">
        <f t="shared" ca="1" si="316"/>
        <v>0</v>
      </c>
      <c r="X931">
        <f t="shared" ca="1" si="316"/>
        <v>0</v>
      </c>
      <c r="Y931">
        <f t="shared" ca="1" si="316"/>
        <v>0</v>
      </c>
      <c r="Z931">
        <f t="shared" ca="1" si="316"/>
        <v>0</v>
      </c>
      <c r="AA931">
        <f t="shared" ca="1" si="316"/>
        <v>0</v>
      </c>
      <c r="AB931">
        <f t="shared" ca="1" si="316"/>
        <v>0</v>
      </c>
      <c r="AC931">
        <f t="shared" ca="1" si="316"/>
        <v>0</v>
      </c>
    </row>
    <row r="932" spans="2:29">
      <c r="C932" s="11" t="s">
        <v>285</v>
      </c>
      <c r="D932">
        <f>SUMIF($C$634:$C$653,$I$922,D$806:D$825)</f>
        <v>0</v>
      </c>
      <c r="E932">
        <f t="shared" ref="E932:AC932" si="317">SUMIF($C$634:$C$653,$I$922,E$806:E$825)</f>
        <v>0</v>
      </c>
      <c r="F932">
        <f t="shared" si="317"/>
        <v>0</v>
      </c>
      <c r="G932">
        <f t="shared" si="317"/>
        <v>0</v>
      </c>
      <c r="H932">
        <f t="shared" si="317"/>
        <v>0</v>
      </c>
      <c r="I932">
        <f t="shared" ca="1" si="317"/>
        <v>0</v>
      </c>
      <c r="J932">
        <f t="shared" ca="1" si="317"/>
        <v>0</v>
      </c>
      <c r="K932">
        <f t="shared" ca="1" si="317"/>
        <v>4.9318221823794004E-3</v>
      </c>
      <c r="L932">
        <f t="shared" ca="1" si="317"/>
        <v>1.4795466547138203E-2</v>
      </c>
      <c r="M932">
        <f t="shared" ca="1" si="317"/>
        <v>4.0147426694926144E-2</v>
      </c>
      <c r="N932">
        <f t="shared" ca="1" si="317"/>
        <v>6.4379508331653096E-2</v>
      </c>
      <c r="O932">
        <f t="shared" ca="1" si="317"/>
        <v>9.0189650737555679E-2</v>
      </c>
      <c r="P932">
        <f t="shared" ca="1" si="317"/>
        <v>0.11557922533318173</v>
      </c>
      <c r="Q932">
        <f t="shared" ca="1" si="317"/>
        <v>0.14242422312396011</v>
      </c>
      <c r="R932">
        <f t="shared" ca="1" si="317"/>
        <v>0.1705153477600036</v>
      </c>
      <c r="S932">
        <f t="shared" ca="1" si="317"/>
        <v>0.20428583128083155</v>
      </c>
      <c r="T932">
        <f t="shared" ca="1" si="317"/>
        <v>0.23952051384484624</v>
      </c>
      <c r="U932">
        <f t="shared" ca="1" si="317"/>
        <v>0.2693472924888014</v>
      </c>
      <c r="V932">
        <f t="shared" ca="1" si="317"/>
        <v>0.30066862088131197</v>
      </c>
      <c r="W932">
        <f t="shared" ca="1" si="317"/>
        <v>0.35898016037389402</v>
      </c>
      <c r="X932">
        <f t="shared" ca="1" si="317"/>
        <v>0.42144081568594449</v>
      </c>
      <c r="Y932">
        <f t="shared" ca="1" si="317"/>
        <v>0.49241791022572506</v>
      </c>
      <c r="Z932">
        <f t="shared" ca="1" si="317"/>
        <v>0.56285267097028724</v>
      </c>
      <c r="AA932">
        <f t="shared" ca="1" si="317"/>
        <v>0.64116422793792582</v>
      </c>
      <c r="AB932">
        <f t="shared" ca="1" si="317"/>
        <v>0.75806084063640944</v>
      </c>
      <c r="AC932">
        <f t="shared" ca="1" si="317"/>
        <v>0.82701565716070058</v>
      </c>
    </row>
    <row r="933" spans="2:29">
      <c r="C933" s="11" t="s">
        <v>282</v>
      </c>
      <c r="D933">
        <f>SUMIF($C$634:$C$653,$I$922,D$829:D$848)</f>
        <v>0</v>
      </c>
      <c r="E933">
        <f t="shared" ref="E933:AC933" si="318">SUMIF($C$634:$C$653,$I$922,E$829:E$848)</f>
        <v>0</v>
      </c>
      <c r="F933">
        <f t="shared" si="318"/>
        <v>0</v>
      </c>
      <c r="G933">
        <f t="shared" si="318"/>
        <v>0</v>
      </c>
      <c r="H933">
        <f t="shared" si="318"/>
        <v>0</v>
      </c>
      <c r="I933">
        <f t="shared" ca="1" si="318"/>
        <v>0</v>
      </c>
      <c r="J933">
        <f t="shared" ca="1" si="318"/>
        <v>0</v>
      </c>
      <c r="K933">
        <f t="shared" ca="1" si="318"/>
        <v>3.2878814549196006E-4</v>
      </c>
      <c r="L933">
        <f t="shared" ca="1" si="318"/>
        <v>9.8636443647588017E-4</v>
      </c>
      <c r="M933">
        <f t="shared" ca="1" si="318"/>
        <v>2.6764951129950761E-3</v>
      </c>
      <c r="N933">
        <f t="shared" ca="1" si="318"/>
        <v>4.2919672221102059E-3</v>
      </c>
      <c r="O933">
        <f t="shared" ca="1" si="318"/>
        <v>6.0126433825037125E-3</v>
      </c>
      <c r="P933">
        <f t="shared" ca="1" si="318"/>
        <v>7.7052816888787817E-3</v>
      </c>
      <c r="Q933">
        <f t="shared" ca="1" si="318"/>
        <v>9.4949482082640063E-3</v>
      </c>
      <c r="R933">
        <f t="shared" ca="1" si="318"/>
        <v>1.1367689850666909E-2</v>
      </c>
      <c r="S933">
        <f t="shared" ca="1" si="318"/>
        <v>1.3619055418722104E-2</v>
      </c>
      <c r="T933">
        <f t="shared" ca="1" si="318"/>
        <v>1.5968034256323083E-2</v>
      </c>
      <c r="U933">
        <f t="shared" ca="1" si="318"/>
        <v>1.7956486165920094E-2</v>
      </c>
      <c r="V933">
        <f t="shared" ca="1" si="318"/>
        <v>2.0044574725420795E-2</v>
      </c>
      <c r="W933">
        <f t="shared" ca="1" si="318"/>
        <v>2.3932010691592936E-2</v>
      </c>
      <c r="X933">
        <f t="shared" ca="1" si="318"/>
        <v>2.8096054379062967E-2</v>
      </c>
      <c r="Y933">
        <f t="shared" ca="1" si="318"/>
        <v>3.2827860681715004E-2</v>
      </c>
      <c r="Z933">
        <f t="shared" ca="1" si="318"/>
        <v>3.7523511398019148E-2</v>
      </c>
      <c r="AA933">
        <f t="shared" ca="1" si="318"/>
        <v>4.2744281862528391E-2</v>
      </c>
      <c r="AB933">
        <f t="shared" ca="1" si="318"/>
        <v>5.0537389375760633E-2</v>
      </c>
      <c r="AC933">
        <f t="shared" ca="1" si="318"/>
        <v>5.513437714404671E-2</v>
      </c>
    </row>
    <row r="934" spans="2:29">
      <c r="C934" s="11" t="s">
        <v>283</v>
      </c>
      <c r="D934">
        <f>SUMIF($C$634:$C$653,$I$922,D$852:D$871)</f>
        <v>0</v>
      </c>
      <c r="E934">
        <f t="shared" ref="E934:AC934" si="319">SUMIF($C$634:$C$653,$I$922,E$852:E$871)</f>
        <v>0</v>
      </c>
      <c r="F934">
        <f t="shared" si="319"/>
        <v>0</v>
      </c>
      <c r="G934">
        <f t="shared" si="319"/>
        <v>0</v>
      </c>
      <c r="H934">
        <f t="shared" si="319"/>
        <v>0</v>
      </c>
      <c r="I934">
        <f t="shared" ca="1" si="319"/>
        <v>0</v>
      </c>
      <c r="J934">
        <f t="shared" ca="1" si="319"/>
        <v>0</v>
      </c>
      <c r="K934">
        <f t="shared" ca="1" si="319"/>
        <v>8.2197036372990014E-5</v>
      </c>
      <c r="L934">
        <f t="shared" ca="1" si="319"/>
        <v>2.4659110911897004E-4</v>
      </c>
      <c r="M934">
        <f t="shared" ca="1" si="319"/>
        <v>6.6912377824876901E-4</v>
      </c>
      <c r="N934">
        <f t="shared" ca="1" si="319"/>
        <v>1.0729918055275515E-3</v>
      </c>
      <c r="O934">
        <f t="shared" ca="1" si="319"/>
        <v>1.5031608456259281E-3</v>
      </c>
      <c r="P934">
        <f t="shared" ca="1" si="319"/>
        <v>1.9263204222196954E-3</v>
      </c>
      <c r="Q934">
        <f t="shared" ca="1" si="319"/>
        <v>2.3737370520660016E-3</v>
      </c>
      <c r="R934">
        <f t="shared" ca="1" si="319"/>
        <v>2.8419224626667272E-3</v>
      </c>
      <c r="S934">
        <f t="shared" ca="1" si="319"/>
        <v>3.4047638546805259E-3</v>
      </c>
      <c r="T934">
        <f t="shared" ca="1" si="319"/>
        <v>3.9920085640807708E-3</v>
      </c>
      <c r="U934">
        <f t="shared" ca="1" si="319"/>
        <v>4.4891215414800236E-3</v>
      </c>
      <c r="V934">
        <f t="shared" ca="1" si="319"/>
        <v>5.0111436813551988E-3</v>
      </c>
      <c r="W934">
        <f t="shared" ca="1" si="319"/>
        <v>5.9830026728982339E-3</v>
      </c>
      <c r="X934">
        <f t="shared" ca="1" si="319"/>
        <v>7.0240135947657418E-3</v>
      </c>
      <c r="Y934">
        <f t="shared" ca="1" si="319"/>
        <v>8.2069651704287511E-3</v>
      </c>
      <c r="Z934">
        <f t="shared" ca="1" si="319"/>
        <v>9.380877849504787E-3</v>
      </c>
      <c r="AA934">
        <f t="shared" ca="1" si="319"/>
        <v>1.0686070465632098E-2</v>
      </c>
      <c r="AB934">
        <f t="shared" ca="1" si="319"/>
        <v>1.2634347343940158E-2</v>
      </c>
      <c r="AC934">
        <f t="shared" ca="1" si="319"/>
        <v>1.3783594286011678E-2</v>
      </c>
    </row>
    <row r="936" spans="2:29">
      <c r="C936" s="4" t="s">
        <v>299</v>
      </c>
      <c r="G936" s="11" t="s">
        <v>256</v>
      </c>
      <c r="I936" t="str">
        <f>'Environmental Impacts'!AR122</f>
        <v>Supercritical coal</v>
      </c>
    </row>
    <row r="938" spans="2:29">
      <c r="C938" s="11" t="s">
        <v>289</v>
      </c>
      <c r="D938">
        <f>SUMIF($C$634:$C$653,$I$936,D$760:D$779)</f>
        <v>0</v>
      </c>
      <c r="E938">
        <f t="shared" ref="E938:AC938" si="320">SUMIF($C$634:$C$653,$I$936,E$760:E$779)</f>
        <v>0</v>
      </c>
      <c r="F938">
        <f t="shared" si="320"/>
        <v>0</v>
      </c>
      <c r="G938">
        <f t="shared" si="320"/>
        <v>0</v>
      </c>
      <c r="H938">
        <f t="shared" si="320"/>
        <v>0</v>
      </c>
      <c r="I938">
        <f t="shared" ca="1" si="320"/>
        <v>0</v>
      </c>
      <c r="J938">
        <f t="shared" ca="1" si="320"/>
        <v>0</v>
      </c>
      <c r="K938">
        <f t="shared" ca="1" si="320"/>
        <v>1.5897728804899998</v>
      </c>
      <c r="L938">
        <f t="shared" ca="1" si="320"/>
        <v>4.76931864147</v>
      </c>
      <c r="M938">
        <f t="shared" ca="1" si="320"/>
        <v>12.941522995109445</v>
      </c>
      <c r="N938">
        <f t="shared" ca="1" si="320"/>
        <v>20.752734510708375</v>
      </c>
      <c r="O938">
        <f t="shared" ca="1" si="320"/>
        <v>29.072633915251078</v>
      </c>
      <c r="P938">
        <f t="shared" ca="1" si="320"/>
        <v>37.256963286151127</v>
      </c>
      <c r="Q938">
        <f t="shared" ca="1" si="320"/>
        <v>45.910448324008541</v>
      </c>
      <c r="R938">
        <f t="shared" ca="1" si="320"/>
        <v>54.965622350437165</v>
      </c>
      <c r="S938">
        <f t="shared" ca="1" si="320"/>
        <v>65.851537713376061</v>
      </c>
      <c r="T938">
        <f t="shared" ca="1" si="320"/>
        <v>77.209437637886197</v>
      </c>
      <c r="U938">
        <f t="shared" ca="1" si="320"/>
        <v>86.824099733765138</v>
      </c>
      <c r="V938">
        <f t="shared" ca="1" si="320"/>
        <v>96.920529941090919</v>
      </c>
      <c r="W938">
        <f t="shared" ca="1" si="320"/>
        <v>115.71725469652476</v>
      </c>
      <c r="X938">
        <f t="shared" ca="1" si="320"/>
        <v>135.85144693636423</v>
      </c>
      <c r="Y938">
        <f t="shared" ca="1" si="320"/>
        <v>158.73091336126248</v>
      </c>
      <c r="Z938">
        <f t="shared" ca="1" si="320"/>
        <v>181.43555848727209</v>
      </c>
      <c r="AA938">
        <f t="shared" ca="1" si="320"/>
        <v>206.67928887579041</v>
      </c>
      <c r="AB938">
        <f t="shared" ca="1" si="320"/>
        <v>244.36091197914661</v>
      </c>
      <c r="AC938">
        <f t="shared" ca="1" si="320"/>
        <v>266.58849708575184</v>
      </c>
    </row>
    <row r="939" spans="2:29">
      <c r="C939" s="11" t="s">
        <v>284</v>
      </c>
      <c r="D939">
        <f>SUMIF($C$634:$C$653,$I$936,D$783:D$802)</f>
        <v>0</v>
      </c>
      <c r="E939">
        <f t="shared" ref="E939:AC939" si="321">SUMIF($C$634:$C$653,$I$936,E$783:E$802)</f>
        <v>0</v>
      </c>
      <c r="F939">
        <f t="shared" si="321"/>
        <v>0</v>
      </c>
      <c r="G939">
        <f t="shared" si="321"/>
        <v>0</v>
      </c>
      <c r="H939">
        <f t="shared" si="321"/>
        <v>0</v>
      </c>
      <c r="I939">
        <f t="shared" ca="1" si="321"/>
        <v>0</v>
      </c>
      <c r="J939">
        <f t="shared" ca="1" si="321"/>
        <v>0</v>
      </c>
      <c r="K939">
        <f t="shared" ca="1" si="321"/>
        <v>0</v>
      </c>
      <c r="L939">
        <f t="shared" ca="1" si="321"/>
        <v>0</v>
      </c>
      <c r="M939">
        <f t="shared" ca="1" si="321"/>
        <v>0</v>
      </c>
      <c r="N939">
        <f t="shared" ca="1" si="321"/>
        <v>0</v>
      </c>
      <c r="O939">
        <f t="shared" ca="1" si="321"/>
        <v>0</v>
      </c>
      <c r="P939">
        <f t="shared" ca="1" si="321"/>
        <v>0</v>
      </c>
      <c r="Q939">
        <f t="shared" ca="1" si="321"/>
        <v>0</v>
      </c>
      <c r="R939">
        <f t="shared" ca="1" si="321"/>
        <v>0</v>
      </c>
      <c r="S939">
        <f t="shared" ca="1" si="321"/>
        <v>0</v>
      </c>
      <c r="T939">
        <f t="shared" ca="1" si="321"/>
        <v>0</v>
      </c>
      <c r="U939">
        <f t="shared" ca="1" si="321"/>
        <v>0</v>
      </c>
      <c r="V939">
        <f t="shared" ca="1" si="321"/>
        <v>0</v>
      </c>
      <c r="W939">
        <f t="shared" ca="1" si="321"/>
        <v>0</v>
      </c>
      <c r="X939">
        <f t="shared" ca="1" si="321"/>
        <v>0</v>
      </c>
      <c r="Y939">
        <f t="shared" ca="1" si="321"/>
        <v>0</v>
      </c>
      <c r="Z939">
        <f t="shared" ca="1" si="321"/>
        <v>0</v>
      </c>
      <c r="AA939">
        <f t="shared" ca="1" si="321"/>
        <v>0</v>
      </c>
      <c r="AB939">
        <f t="shared" ca="1" si="321"/>
        <v>0</v>
      </c>
      <c r="AC939">
        <f t="shared" ca="1" si="321"/>
        <v>0</v>
      </c>
    </row>
    <row r="940" spans="2:29">
      <c r="C940" s="11" t="s">
        <v>285</v>
      </c>
      <c r="D940">
        <f>SUMIF($C$634:$C$653,$I$936,D$806:D$825)</f>
        <v>0</v>
      </c>
      <c r="E940">
        <f t="shared" ref="E940:AC940" si="322">SUMIF($C$634:$C$653,$I$936,E$806:E$825)</f>
        <v>0</v>
      </c>
      <c r="F940">
        <f t="shared" si="322"/>
        <v>0</v>
      </c>
      <c r="G940">
        <f t="shared" si="322"/>
        <v>0</v>
      </c>
      <c r="H940">
        <f t="shared" si="322"/>
        <v>0</v>
      </c>
      <c r="I940">
        <f t="shared" ca="1" si="322"/>
        <v>0</v>
      </c>
      <c r="J940">
        <f t="shared" ca="1" si="322"/>
        <v>0</v>
      </c>
      <c r="K940">
        <f t="shared" ca="1" si="322"/>
        <v>4.9318221823794004E-3</v>
      </c>
      <c r="L940">
        <f t="shared" ca="1" si="322"/>
        <v>1.4795466547138203E-2</v>
      </c>
      <c r="M940">
        <f t="shared" ca="1" si="322"/>
        <v>4.0147426694926144E-2</v>
      </c>
      <c r="N940">
        <f t="shared" ca="1" si="322"/>
        <v>6.4379508331653096E-2</v>
      </c>
      <c r="O940">
        <f t="shared" ca="1" si="322"/>
        <v>9.0189650737555679E-2</v>
      </c>
      <c r="P940">
        <f t="shared" ca="1" si="322"/>
        <v>0.11557922533318173</v>
      </c>
      <c r="Q940">
        <f t="shared" ca="1" si="322"/>
        <v>0.14242422312396011</v>
      </c>
      <c r="R940">
        <f t="shared" ca="1" si="322"/>
        <v>0.1705153477600036</v>
      </c>
      <c r="S940">
        <f t="shared" ca="1" si="322"/>
        <v>0.20428583128083155</v>
      </c>
      <c r="T940">
        <f t="shared" ca="1" si="322"/>
        <v>0.23952051384484624</v>
      </c>
      <c r="U940">
        <f t="shared" ca="1" si="322"/>
        <v>0.2693472924888014</v>
      </c>
      <c r="V940">
        <f t="shared" ca="1" si="322"/>
        <v>0.30066862088131197</v>
      </c>
      <c r="W940">
        <f t="shared" ca="1" si="322"/>
        <v>0.35898016037389402</v>
      </c>
      <c r="X940">
        <f t="shared" ca="1" si="322"/>
        <v>0.42144081568594449</v>
      </c>
      <c r="Y940">
        <f t="shared" ca="1" si="322"/>
        <v>0.49241791022572506</v>
      </c>
      <c r="Z940">
        <f t="shared" ca="1" si="322"/>
        <v>0.56285267097028724</v>
      </c>
      <c r="AA940">
        <f t="shared" ca="1" si="322"/>
        <v>0.64116422793792582</v>
      </c>
      <c r="AB940">
        <f t="shared" ca="1" si="322"/>
        <v>0.75806084063640944</v>
      </c>
      <c r="AC940">
        <f t="shared" ca="1" si="322"/>
        <v>0.82701565716070058</v>
      </c>
    </row>
    <row r="941" spans="2:29">
      <c r="C941" s="11" t="s">
        <v>282</v>
      </c>
      <c r="D941">
        <f>SUMIF($C$634:$C$653,$I$936,D$829:D$848)</f>
        <v>0</v>
      </c>
      <c r="E941">
        <f t="shared" ref="E941:AC941" si="323">SUMIF($C$634:$C$653,$I$936,E$829:E$848)</f>
        <v>0</v>
      </c>
      <c r="F941">
        <f t="shared" si="323"/>
        <v>0</v>
      </c>
      <c r="G941">
        <f t="shared" si="323"/>
        <v>0</v>
      </c>
      <c r="H941">
        <f t="shared" si="323"/>
        <v>0</v>
      </c>
      <c r="I941">
        <f t="shared" ca="1" si="323"/>
        <v>0</v>
      </c>
      <c r="J941">
        <f t="shared" ca="1" si="323"/>
        <v>0</v>
      </c>
      <c r="K941">
        <f t="shared" ca="1" si="323"/>
        <v>3.2878814549196006E-4</v>
      </c>
      <c r="L941">
        <f t="shared" ca="1" si="323"/>
        <v>9.8636443647588017E-4</v>
      </c>
      <c r="M941">
        <f t="shared" ca="1" si="323"/>
        <v>2.6764951129950761E-3</v>
      </c>
      <c r="N941">
        <f t="shared" ca="1" si="323"/>
        <v>4.2919672221102059E-3</v>
      </c>
      <c r="O941">
        <f t="shared" ca="1" si="323"/>
        <v>6.0126433825037125E-3</v>
      </c>
      <c r="P941">
        <f t="shared" ca="1" si="323"/>
        <v>7.7052816888787817E-3</v>
      </c>
      <c r="Q941">
        <f t="shared" ca="1" si="323"/>
        <v>9.4949482082640063E-3</v>
      </c>
      <c r="R941">
        <f t="shared" ca="1" si="323"/>
        <v>1.1367689850666909E-2</v>
      </c>
      <c r="S941">
        <f t="shared" ca="1" si="323"/>
        <v>1.3619055418722104E-2</v>
      </c>
      <c r="T941">
        <f t="shared" ca="1" si="323"/>
        <v>1.5968034256323083E-2</v>
      </c>
      <c r="U941">
        <f t="shared" ca="1" si="323"/>
        <v>1.7956486165920094E-2</v>
      </c>
      <c r="V941">
        <f t="shared" ca="1" si="323"/>
        <v>2.0044574725420795E-2</v>
      </c>
      <c r="W941">
        <f t="shared" ca="1" si="323"/>
        <v>2.3932010691592936E-2</v>
      </c>
      <c r="X941">
        <f t="shared" ca="1" si="323"/>
        <v>2.8096054379062967E-2</v>
      </c>
      <c r="Y941">
        <f t="shared" ca="1" si="323"/>
        <v>3.2827860681715004E-2</v>
      </c>
      <c r="Z941">
        <f t="shared" ca="1" si="323"/>
        <v>3.7523511398019148E-2</v>
      </c>
      <c r="AA941">
        <f t="shared" ca="1" si="323"/>
        <v>4.2744281862528391E-2</v>
      </c>
      <c r="AB941">
        <f t="shared" ca="1" si="323"/>
        <v>5.0537389375760633E-2</v>
      </c>
      <c r="AC941">
        <f t="shared" ca="1" si="323"/>
        <v>5.513437714404671E-2</v>
      </c>
    </row>
    <row r="942" spans="2:29">
      <c r="C942" s="11" t="s">
        <v>283</v>
      </c>
      <c r="D942">
        <f>SUMIF($C$634:$C$653,$I$936,D$852:D$871)</f>
        <v>0</v>
      </c>
      <c r="E942">
        <f t="shared" ref="E942:AC942" si="324">SUMIF($C$634:$C$653,$I$936,E$852:E$871)</f>
        <v>0</v>
      </c>
      <c r="F942">
        <f t="shared" si="324"/>
        <v>0</v>
      </c>
      <c r="G942">
        <f t="shared" si="324"/>
        <v>0</v>
      </c>
      <c r="H942">
        <f t="shared" si="324"/>
        <v>0</v>
      </c>
      <c r="I942">
        <f t="shared" ca="1" si="324"/>
        <v>0</v>
      </c>
      <c r="J942">
        <f t="shared" ca="1" si="324"/>
        <v>0</v>
      </c>
      <c r="K942">
        <f t="shared" ca="1" si="324"/>
        <v>8.2197036372990014E-5</v>
      </c>
      <c r="L942">
        <f t="shared" ca="1" si="324"/>
        <v>2.4659110911897004E-4</v>
      </c>
      <c r="M942">
        <f t="shared" ca="1" si="324"/>
        <v>6.6912377824876901E-4</v>
      </c>
      <c r="N942">
        <f t="shared" ca="1" si="324"/>
        <v>1.0729918055275515E-3</v>
      </c>
      <c r="O942">
        <f t="shared" ca="1" si="324"/>
        <v>1.5031608456259281E-3</v>
      </c>
      <c r="P942">
        <f t="shared" ca="1" si="324"/>
        <v>1.9263204222196954E-3</v>
      </c>
      <c r="Q942">
        <f t="shared" ca="1" si="324"/>
        <v>2.3737370520660016E-3</v>
      </c>
      <c r="R942">
        <f t="shared" ca="1" si="324"/>
        <v>2.8419224626667272E-3</v>
      </c>
      <c r="S942">
        <f t="shared" ca="1" si="324"/>
        <v>3.4047638546805259E-3</v>
      </c>
      <c r="T942">
        <f t="shared" ca="1" si="324"/>
        <v>3.9920085640807708E-3</v>
      </c>
      <c r="U942">
        <f t="shared" ca="1" si="324"/>
        <v>4.4891215414800236E-3</v>
      </c>
      <c r="V942">
        <f t="shared" ca="1" si="324"/>
        <v>5.0111436813551988E-3</v>
      </c>
      <c r="W942">
        <f t="shared" ca="1" si="324"/>
        <v>5.9830026728982339E-3</v>
      </c>
      <c r="X942">
        <f t="shared" ca="1" si="324"/>
        <v>7.0240135947657418E-3</v>
      </c>
      <c r="Y942">
        <f t="shared" ca="1" si="324"/>
        <v>8.2069651704287511E-3</v>
      </c>
      <c r="Z942">
        <f t="shared" ca="1" si="324"/>
        <v>9.380877849504787E-3</v>
      </c>
      <c r="AA942">
        <f t="shared" ca="1" si="324"/>
        <v>1.0686070465632098E-2</v>
      </c>
      <c r="AB942">
        <f t="shared" ca="1" si="324"/>
        <v>1.2634347343940158E-2</v>
      </c>
      <c r="AC942">
        <f t="shared" ca="1" si="324"/>
        <v>1.3783594286011678E-2</v>
      </c>
    </row>
    <row r="945" spans="3:57">
      <c r="C945" s="4" t="s">
        <v>641</v>
      </c>
    </row>
    <row r="946" spans="3:57">
      <c r="C946" s="4"/>
      <c r="AZ946" s="11" t="s">
        <v>646</v>
      </c>
    </row>
    <row r="947" spans="3:57">
      <c r="C947" s="11" t="s">
        <v>642</v>
      </c>
      <c r="D947">
        <v>0</v>
      </c>
      <c r="E947">
        <v>0</v>
      </c>
      <c r="F947">
        <v>0</v>
      </c>
      <c r="G947">
        <v>0</v>
      </c>
      <c r="H947">
        <v>0</v>
      </c>
      <c r="I947">
        <f>IF('Costs graphs'!$D$36="y",1,0)*'Costs graphs'!B38</f>
        <v>0</v>
      </c>
      <c r="J947">
        <f>IF('Costs graphs'!$D$36="y",1,0)*'Costs graphs'!C38</f>
        <v>0</v>
      </c>
      <c r="K947">
        <f>IF('Costs graphs'!$D$36="y",1,0)*'Costs graphs'!D38</f>
        <v>100</v>
      </c>
      <c r="L947">
        <f>IF('Costs graphs'!$D$36="y",1,0)*'Costs graphs'!E38</f>
        <v>100</v>
      </c>
      <c r="M947">
        <f>IF('Costs graphs'!$D$36="y",1,0)*'Costs graphs'!F38</f>
        <v>100</v>
      </c>
      <c r="N947">
        <f>IF('Costs graphs'!$D$36="y",1,0)*'Costs graphs'!G38</f>
        <v>100</v>
      </c>
      <c r="O947">
        <f>IF('Costs graphs'!$D$36="y",1,0)*'Costs graphs'!H38</f>
        <v>300</v>
      </c>
      <c r="P947">
        <f>IF('Costs graphs'!$D$36="y",1,0)*'Costs graphs'!I38</f>
        <v>300</v>
      </c>
      <c r="Q947">
        <f>IF('Costs graphs'!$D$36="y",1,0)*'Costs graphs'!J38</f>
        <v>300</v>
      </c>
      <c r="R947">
        <f>IF('Costs graphs'!$D$36="y",1,0)*'Costs graphs'!K38</f>
        <v>300</v>
      </c>
      <c r="S947">
        <f>IF('Costs graphs'!$D$36="y",1,0)*'Costs graphs'!L38</f>
        <v>500</v>
      </c>
      <c r="T947">
        <f>IF('Costs graphs'!$D$36="y",1,0)*'Costs graphs'!M38</f>
        <v>500</v>
      </c>
      <c r="U947">
        <f>IF('Costs graphs'!$D$36="y",1,0)*'Costs graphs'!N38</f>
        <v>500</v>
      </c>
      <c r="V947">
        <f>IF('Costs graphs'!$D$36="y",1,0)*'Costs graphs'!O38</f>
        <v>500</v>
      </c>
      <c r="W947">
        <f>IF('Costs graphs'!$D$36="y",1,0)*'Costs graphs'!P38</f>
        <v>500</v>
      </c>
      <c r="X947">
        <f>IF('Costs graphs'!$D$36="y",1,0)*'Costs graphs'!Q38</f>
        <v>500</v>
      </c>
      <c r="Y947">
        <f>IF('Costs graphs'!$D$36="y",1,0)*'Costs graphs'!R38</f>
        <v>500</v>
      </c>
      <c r="Z947">
        <f>IF('Costs graphs'!$D$36="y",1,0)*'Costs graphs'!S38</f>
        <v>500</v>
      </c>
      <c r="AA947">
        <f>IF('Costs graphs'!$D$36="y",1,0)*'Costs graphs'!T38</f>
        <v>500</v>
      </c>
      <c r="AB947">
        <f>IF('Costs graphs'!$D$36="y",1,0)*'Costs graphs'!U38</f>
        <v>500</v>
      </c>
      <c r="AC947">
        <f>IF('Costs graphs'!$D$36="y",1,0)*'Costs graphs'!V38</f>
        <v>500</v>
      </c>
    </row>
    <row r="948" spans="3:57">
      <c r="C948" s="11"/>
      <c r="BA948" s="11" t="s">
        <v>322</v>
      </c>
      <c r="BC948" s="11" t="s">
        <v>323</v>
      </c>
      <c r="BE948" s="11" t="s">
        <v>323</v>
      </c>
    </row>
    <row r="949" spans="3:57">
      <c r="C949" s="4" t="s">
        <v>643</v>
      </c>
      <c r="BA949" s="4" t="s">
        <v>321</v>
      </c>
      <c r="BC949" s="4" t="s">
        <v>324</v>
      </c>
      <c r="BE949" s="4" t="s">
        <v>325</v>
      </c>
    </row>
    <row r="950" spans="3:57">
      <c r="C950" t="str">
        <f>C8</f>
        <v>Existing coal Large</v>
      </c>
      <c r="D950">
        <f t="shared" ref="D950:D970" si="325">D$947*D691</f>
        <v>0</v>
      </c>
      <c r="E950">
        <f t="shared" ref="E950:AC960" si="326">E$947*E691</f>
        <v>0</v>
      </c>
      <c r="F950">
        <f t="shared" si="326"/>
        <v>0</v>
      </c>
      <c r="G950">
        <f t="shared" si="326"/>
        <v>0</v>
      </c>
      <c r="H950">
        <f t="shared" si="326"/>
        <v>0</v>
      </c>
      <c r="I950">
        <f t="shared" ca="1" si="326"/>
        <v>0</v>
      </c>
      <c r="J950">
        <f t="shared" ca="1" si="326"/>
        <v>0</v>
      </c>
      <c r="K950">
        <f t="shared" ca="1" si="326"/>
        <v>22653.308435134553</v>
      </c>
      <c r="L950">
        <f t="shared" ca="1" si="326"/>
        <v>23047.688064995898</v>
      </c>
      <c r="M950">
        <f t="shared" ca="1" si="326"/>
        <v>23067.518437678682</v>
      </c>
      <c r="N950">
        <f t="shared" ca="1" si="326"/>
        <v>23067.518437678682</v>
      </c>
      <c r="O950">
        <f t="shared" ca="1" si="326"/>
        <v>69202.555313036049</v>
      </c>
      <c r="P950">
        <f t="shared" ca="1" si="326"/>
        <v>69202.555313036049</v>
      </c>
      <c r="Q950">
        <f t="shared" ca="1" si="326"/>
        <v>69202.555313036049</v>
      </c>
      <c r="R950">
        <f t="shared" ca="1" si="326"/>
        <v>69202.555313036049</v>
      </c>
      <c r="S950">
        <f t="shared" ca="1" si="326"/>
        <v>115337.59218839342</v>
      </c>
      <c r="T950">
        <f t="shared" ca="1" si="326"/>
        <v>115337.59218839342</v>
      </c>
      <c r="U950">
        <f t="shared" ca="1" si="326"/>
        <v>115337.59218839342</v>
      </c>
      <c r="V950">
        <f t="shared" ca="1" si="326"/>
        <v>115337.59218839342</v>
      </c>
      <c r="W950">
        <f t="shared" ca="1" si="326"/>
        <v>111022.51046824087</v>
      </c>
      <c r="X950">
        <f t="shared" ca="1" si="326"/>
        <v>106707.42874808832</v>
      </c>
      <c r="Y950">
        <f t="shared" ca="1" si="326"/>
        <v>101313.57659789764</v>
      </c>
      <c r="Z950">
        <f t="shared" ca="1" si="326"/>
        <v>95919.724447706918</v>
      </c>
      <c r="AA950">
        <f t="shared" ca="1" si="326"/>
        <v>89390.324476423455</v>
      </c>
      <c r="AB950">
        <f t="shared" ca="1" si="326"/>
        <v>76331.524533856515</v>
      </c>
      <c r="AC950">
        <f t="shared" ca="1" si="326"/>
        <v>69802.124562573023</v>
      </c>
      <c r="AD950" s="316">
        <f t="shared" ref="AD950:AD970" ca="1" si="327">AC950</f>
        <v>69802.124562573023</v>
      </c>
      <c r="AE950" s="316">
        <f t="shared" ref="AE950:AW964" ca="1" si="328">AD950</f>
        <v>69802.124562573023</v>
      </c>
      <c r="AF950" s="316">
        <f t="shared" ca="1" si="328"/>
        <v>69802.124562573023</v>
      </c>
      <c r="AG950" s="316">
        <f t="shared" ca="1" si="328"/>
        <v>69802.124562573023</v>
      </c>
      <c r="AH950" s="316">
        <f t="shared" ca="1" si="328"/>
        <v>69802.124562573023</v>
      </c>
      <c r="AI950" s="316">
        <f t="shared" ca="1" si="328"/>
        <v>69802.124562573023</v>
      </c>
      <c r="AJ950" s="316">
        <f t="shared" ca="1" si="328"/>
        <v>69802.124562573023</v>
      </c>
      <c r="AK950" s="316">
        <f t="shared" ca="1" si="328"/>
        <v>69802.124562573023</v>
      </c>
      <c r="AL950" s="316">
        <f t="shared" ca="1" si="328"/>
        <v>69802.124562573023</v>
      </c>
      <c r="AM950" s="316">
        <f t="shared" ca="1" si="328"/>
        <v>69802.124562573023</v>
      </c>
      <c r="AN950" s="316">
        <f t="shared" ca="1" si="328"/>
        <v>69802.124562573023</v>
      </c>
      <c r="AO950" s="316">
        <f t="shared" ca="1" si="328"/>
        <v>69802.124562573023</v>
      </c>
      <c r="AP950" s="316">
        <f t="shared" ca="1" si="328"/>
        <v>69802.124562573023</v>
      </c>
      <c r="AQ950" s="316">
        <f t="shared" ca="1" si="328"/>
        <v>69802.124562573023</v>
      </c>
      <c r="AR950" s="316">
        <f t="shared" ca="1" si="328"/>
        <v>69802.124562573023</v>
      </c>
      <c r="AS950" s="316">
        <f t="shared" ca="1" si="328"/>
        <v>69802.124562573023</v>
      </c>
      <c r="AT950" s="316">
        <f t="shared" ca="1" si="328"/>
        <v>69802.124562573023</v>
      </c>
      <c r="AU950" s="316">
        <f t="shared" ca="1" si="328"/>
        <v>69802.124562573023</v>
      </c>
      <c r="AV950" s="316">
        <f t="shared" ca="1" si="328"/>
        <v>69802.124562573023</v>
      </c>
      <c r="AW950" s="316">
        <f t="shared" ca="1" si="328"/>
        <v>69802.124562573023</v>
      </c>
      <c r="BA950" s="49">
        <f ca="1">NPV(discount_rate,AD950:AW950)</f>
        <v>594264.83523798932</v>
      </c>
      <c r="BB950" s="49"/>
      <c r="BC950" s="49">
        <f ca="1">NPV(discount_rate,I950:AB950,AC950+BA950)</f>
        <v>527681.65096377593</v>
      </c>
      <c r="BD950" s="49"/>
      <c r="BE950" s="49">
        <f ca="1">NPV(discount_rate,I950:AC950)</f>
        <v>447378.30449382629</v>
      </c>
    </row>
    <row r="951" spans="3:57">
      <c r="C951" t="str">
        <f t="shared" ref="C951:C970" si="329">C9</f>
        <v>Existing coal Small</v>
      </c>
      <c r="D951">
        <f t="shared" si="325"/>
        <v>0</v>
      </c>
      <c r="E951">
        <f t="shared" ref="E951:S951" si="330">E$947*E692</f>
        <v>0</v>
      </c>
      <c r="F951">
        <f t="shared" si="330"/>
        <v>0</v>
      </c>
      <c r="G951">
        <f t="shared" si="330"/>
        <v>0</v>
      </c>
      <c r="H951">
        <f t="shared" si="330"/>
        <v>0</v>
      </c>
      <c r="I951">
        <f t="shared" ca="1" si="330"/>
        <v>0</v>
      </c>
      <c r="J951">
        <f t="shared" ca="1" si="330"/>
        <v>0</v>
      </c>
      <c r="K951">
        <f t="shared" ca="1" si="330"/>
        <v>1691.7433458531966</v>
      </c>
      <c r="L951">
        <f t="shared" ca="1" si="330"/>
        <v>1691.7433458531966</v>
      </c>
      <c r="M951">
        <f t="shared" ca="1" si="330"/>
        <v>1691.7433458531966</v>
      </c>
      <c r="N951">
        <f t="shared" ca="1" si="330"/>
        <v>1691.7433458531966</v>
      </c>
      <c r="O951">
        <f t="shared" ca="1" si="330"/>
        <v>5046.0461461640862</v>
      </c>
      <c r="P951">
        <f t="shared" ca="1" si="330"/>
        <v>5016.8622547685818</v>
      </c>
      <c r="Q951">
        <f t="shared" ca="1" si="330"/>
        <v>4977.9503995745754</v>
      </c>
      <c r="R951">
        <f t="shared" ca="1" si="330"/>
        <v>4939.038544380569</v>
      </c>
      <c r="S951">
        <f t="shared" ca="1" si="330"/>
        <v>6999.5221594907471</v>
      </c>
      <c r="T951">
        <f t="shared" ca="1" si="326"/>
        <v>5767.313411680545</v>
      </c>
      <c r="U951">
        <f t="shared" ca="1" si="326"/>
        <v>5767.313411680545</v>
      </c>
      <c r="V951">
        <f t="shared" ca="1" si="326"/>
        <v>5767.313411680545</v>
      </c>
      <c r="W951">
        <f t="shared" ca="1" si="326"/>
        <v>5767.313411680545</v>
      </c>
      <c r="X951">
        <f t="shared" ca="1" si="326"/>
        <v>5199.5606208035515</v>
      </c>
      <c r="Y951">
        <f t="shared" ca="1" si="326"/>
        <v>4631.807829926559</v>
      </c>
      <c r="Z951">
        <f t="shared" ca="1" si="326"/>
        <v>4631.807829926559</v>
      </c>
      <c r="AA951">
        <f t="shared" ca="1" si="326"/>
        <v>4631.807829926559</v>
      </c>
      <c r="AB951">
        <f t="shared" ca="1" si="326"/>
        <v>4631.807829926559</v>
      </c>
      <c r="AC951">
        <f t="shared" ca="1" si="326"/>
        <v>4631.807829926559</v>
      </c>
      <c r="AD951" s="316">
        <f t="shared" ca="1" si="327"/>
        <v>4631.807829926559</v>
      </c>
      <c r="AE951" s="316">
        <f t="shared" ref="AE951:AS951" ca="1" si="331">AD951</f>
        <v>4631.807829926559</v>
      </c>
      <c r="AF951" s="316">
        <f t="shared" ca="1" si="331"/>
        <v>4631.807829926559</v>
      </c>
      <c r="AG951" s="316">
        <f t="shared" ca="1" si="331"/>
        <v>4631.807829926559</v>
      </c>
      <c r="AH951" s="316">
        <f t="shared" ca="1" si="331"/>
        <v>4631.807829926559</v>
      </c>
      <c r="AI951" s="316">
        <f t="shared" ca="1" si="331"/>
        <v>4631.807829926559</v>
      </c>
      <c r="AJ951" s="316">
        <f t="shared" ca="1" si="331"/>
        <v>4631.807829926559</v>
      </c>
      <c r="AK951" s="316">
        <f t="shared" ca="1" si="331"/>
        <v>4631.807829926559</v>
      </c>
      <c r="AL951" s="316">
        <f t="shared" ca="1" si="331"/>
        <v>4631.807829926559</v>
      </c>
      <c r="AM951" s="316">
        <f t="shared" ca="1" si="331"/>
        <v>4631.807829926559</v>
      </c>
      <c r="AN951" s="316">
        <f t="shared" ca="1" si="331"/>
        <v>4631.807829926559</v>
      </c>
      <c r="AO951" s="316">
        <f t="shared" ca="1" si="331"/>
        <v>4631.807829926559</v>
      </c>
      <c r="AP951" s="316">
        <f t="shared" ca="1" si="331"/>
        <v>4631.807829926559</v>
      </c>
      <c r="AQ951" s="316">
        <f t="shared" ca="1" si="331"/>
        <v>4631.807829926559</v>
      </c>
      <c r="AR951" s="316">
        <f t="shared" ca="1" si="331"/>
        <v>4631.807829926559</v>
      </c>
      <c r="AS951" s="316">
        <f t="shared" ca="1" si="331"/>
        <v>4631.807829926559</v>
      </c>
      <c r="AT951" s="316">
        <f t="shared" ca="1" si="328"/>
        <v>4631.807829926559</v>
      </c>
      <c r="AU951" s="316">
        <f t="shared" ca="1" si="328"/>
        <v>4631.807829926559</v>
      </c>
      <c r="AV951" s="316">
        <f t="shared" ca="1" si="328"/>
        <v>4631.807829926559</v>
      </c>
      <c r="AW951" s="316">
        <f t="shared" ca="1" si="328"/>
        <v>4631.807829926559</v>
      </c>
      <c r="BA951" s="49">
        <f ca="1">NPV(discount_rate,AD951:AW951)</f>
        <v>39433.191097756368</v>
      </c>
      <c r="BB951" s="49"/>
      <c r="BC951" s="49">
        <f t="shared" ref="BC951:BC970" ca="1" si="332">NPV(discount_rate,I951:AB951,AC951+BA951)</f>
        <v>32519.334919161738</v>
      </c>
      <c r="BD951" s="49"/>
      <c r="BE951" s="49">
        <f t="shared" ref="BE951:BE970" ca="1" si="333">NPV(discount_rate,I951:AC951)</f>
        <v>27190.70529248914</v>
      </c>
    </row>
    <row r="952" spans="3:57">
      <c r="C952" t="str">
        <f t="shared" si="329"/>
        <v>OCGT liquid fuels</v>
      </c>
      <c r="D952">
        <f t="shared" si="325"/>
        <v>0</v>
      </c>
      <c r="E952">
        <f t="shared" si="326"/>
        <v>0</v>
      </c>
      <c r="F952">
        <f t="shared" si="326"/>
        <v>0</v>
      </c>
      <c r="G952">
        <f t="shared" si="326"/>
        <v>0</v>
      </c>
      <c r="H952">
        <f t="shared" si="326"/>
        <v>0</v>
      </c>
      <c r="I952">
        <f t="shared" ca="1" si="326"/>
        <v>0</v>
      </c>
      <c r="J952">
        <f t="shared" ca="1" si="326"/>
        <v>0</v>
      </c>
      <c r="K952">
        <f t="shared" ca="1" si="326"/>
        <v>79.829614355984958</v>
      </c>
      <c r="L952">
        <f t="shared" ca="1" si="326"/>
        <v>79.829614355984958</v>
      </c>
      <c r="M952">
        <f t="shared" ca="1" si="326"/>
        <v>79.829614355984958</v>
      </c>
      <c r="N952">
        <f t="shared" ca="1" si="326"/>
        <v>79.829614355984958</v>
      </c>
      <c r="O952">
        <f t="shared" ca="1" si="326"/>
        <v>239.48884306795486</v>
      </c>
      <c r="P952">
        <f t="shared" ca="1" si="326"/>
        <v>239.48884306795486</v>
      </c>
      <c r="Q952">
        <f t="shared" ca="1" si="326"/>
        <v>239.48884306795486</v>
      </c>
      <c r="R952">
        <f t="shared" ca="1" si="326"/>
        <v>239.48884306795486</v>
      </c>
      <c r="S952">
        <f t="shared" ca="1" si="326"/>
        <v>399.14807177992481</v>
      </c>
      <c r="T952">
        <f t="shared" ca="1" si="326"/>
        <v>399.14807177992481</v>
      </c>
      <c r="U952">
        <f t="shared" ca="1" si="326"/>
        <v>399.14807177992481</v>
      </c>
      <c r="V952">
        <f t="shared" ca="1" si="326"/>
        <v>481.73043145853006</v>
      </c>
      <c r="W952">
        <f t="shared" ca="1" si="326"/>
        <v>481.73043145853006</v>
      </c>
      <c r="X952">
        <f t="shared" ca="1" si="326"/>
        <v>481.73043145853006</v>
      </c>
      <c r="Y952">
        <f t="shared" ca="1" si="326"/>
        <v>564.31279113713504</v>
      </c>
      <c r="Z952">
        <f t="shared" ca="1" si="326"/>
        <v>564.31279113713504</v>
      </c>
      <c r="AA952">
        <f t="shared" ca="1" si="326"/>
        <v>564.31279113713504</v>
      </c>
      <c r="AB952">
        <f t="shared" ca="1" si="326"/>
        <v>646.89515081574007</v>
      </c>
      <c r="AC952">
        <f t="shared" ca="1" si="326"/>
        <v>627.28184039207144</v>
      </c>
      <c r="AD952" s="316">
        <f t="shared" ca="1" si="327"/>
        <v>627.28184039207144</v>
      </c>
      <c r="AE952" s="316">
        <f t="shared" ca="1" si="328"/>
        <v>627.28184039207144</v>
      </c>
      <c r="AF952" s="316">
        <f t="shared" ca="1" si="328"/>
        <v>627.28184039207144</v>
      </c>
      <c r="AG952" s="316">
        <f t="shared" ca="1" si="328"/>
        <v>627.28184039207144</v>
      </c>
      <c r="AH952" s="316">
        <f t="shared" ca="1" si="328"/>
        <v>627.28184039207144</v>
      </c>
      <c r="AI952" s="316">
        <f t="shared" ca="1" si="328"/>
        <v>627.28184039207144</v>
      </c>
      <c r="AJ952" s="316">
        <f t="shared" ca="1" si="328"/>
        <v>627.28184039207144</v>
      </c>
      <c r="AK952" s="316">
        <f t="shared" ca="1" si="328"/>
        <v>627.28184039207144</v>
      </c>
      <c r="AL952" s="316">
        <f t="shared" ca="1" si="328"/>
        <v>627.28184039207144</v>
      </c>
      <c r="AM952" s="316">
        <f t="shared" ca="1" si="328"/>
        <v>627.28184039207144</v>
      </c>
      <c r="AN952" s="316">
        <f t="shared" ca="1" si="328"/>
        <v>627.28184039207144</v>
      </c>
      <c r="AO952" s="316">
        <f t="shared" ca="1" si="328"/>
        <v>627.28184039207144</v>
      </c>
      <c r="AP952" s="316">
        <f t="shared" ca="1" si="328"/>
        <v>627.28184039207144</v>
      </c>
      <c r="AQ952" s="316">
        <f t="shared" ca="1" si="328"/>
        <v>627.28184039207144</v>
      </c>
      <c r="AR952" s="316">
        <f t="shared" ca="1" si="328"/>
        <v>627.28184039207144</v>
      </c>
      <c r="AS952" s="316">
        <f t="shared" ca="1" si="328"/>
        <v>627.28184039207144</v>
      </c>
      <c r="AT952" s="316">
        <f t="shared" ca="1" si="328"/>
        <v>627.28184039207144</v>
      </c>
      <c r="AU952" s="316">
        <f t="shared" ca="1" si="328"/>
        <v>627.28184039207144</v>
      </c>
      <c r="AV952" s="316">
        <f t="shared" ca="1" si="328"/>
        <v>627.28184039207144</v>
      </c>
      <c r="AW952" s="316">
        <f t="shared" ca="1" si="328"/>
        <v>627.28184039207144</v>
      </c>
      <c r="BA952" s="49">
        <f t="shared" ref="BA952:BA969" ca="1" si="334">NPV(discount_rate,AD952:AW952)</f>
        <v>5340.4039184253179</v>
      </c>
      <c r="BB952" s="49"/>
      <c r="BC952" s="49">
        <f t="shared" ca="1" si="332"/>
        <v>2575.3511189805517</v>
      </c>
      <c r="BD952" s="49"/>
      <c r="BE952" s="49">
        <f t="shared" ca="1" si="333"/>
        <v>1853.6992884813776</v>
      </c>
    </row>
    <row r="953" spans="3:57">
      <c r="C953" t="str">
        <f t="shared" si="329"/>
        <v>PWR nuclear</v>
      </c>
      <c r="D953">
        <f t="shared" si="325"/>
        <v>0</v>
      </c>
      <c r="E953">
        <f t="shared" si="326"/>
        <v>0</v>
      </c>
      <c r="F953">
        <f t="shared" si="326"/>
        <v>0</v>
      </c>
      <c r="G953">
        <f t="shared" si="326"/>
        <v>0</v>
      </c>
      <c r="H953">
        <f t="shared" si="326"/>
        <v>0</v>
      </c>
      <c r="I953">
        <f t="shared" ca="1" si="326"/>
        <v>0</v>
      </c>
      <c r="J953">
        <f t="shared" ca="1" si="326"/>
        <v>0</v>
      </c>
      <c r="K953">
        <f t="shared" ca="1" si="326"/>
        <v>0</v>
      </c>
      <c r="L953">
        <f t="shared" ca="1" si="326"/>
        <v>0</v>
      </c>
      <c r="M953">
        <f t="shared" ca="1" si="326"/>
        <v>0</v>
      </c>
      <c r="N953">
        <f t="shared" ca="1" si="326"/>
        <v>0</v>
      </c>
      <c r="O953">
        <f t="shared" ca="1" si="326"/>
        <v>0</v>
      </c>
      <c r="P953">
        <f t="shared" ca="1" si="326"/>
        <v>0</v>
      </c>
      <c r="Q953">
        <f t="shared" ca="1" si="326"/>
        <v>0</v>
      </c>
      <c r="R953">
        <f t="shared" ca="1" si="326"/>
        <v>0</v>
      </c>
      <c r="S953">
        <f t="shared" ca="1" si="326"/>
        <v>0</v>
      </c>
      <c r="T953">
        <f t="shared" ca="1" si="326"/>
        <v>0</v>
      </c>
      <c r="U953">
        <f t="shared" ca="1" si="326"/>
        <v>0</v>
      </c>
      <c r="V953">
        <f t="shared" ca="1" si="326"/>
        <v>0</v>
      </c>
      <c r="W953">
        <f t="shared" ca="1" si="326"/>
        <v>0</v>
      </c>
      <c r="X953">
        <f t="shared" ca="1" si="326"/>
        <v>0</v>
      </c>
      <c r="Y953">
        <f t="shared" ca="1" si="326"/>
        <v>0</v>
      </c>
      <c r="Z953">
        <f t="shared" ca="1" si="326"/>
        <v>0</v>
      </c>
      <c r="AA953">
        <f t="shared" ca="1" si="326"/>
        <v>0</v>
      </c>
      <c r="AB953">
        <f t="shared" ca="1" si="326"/>
        <v>0</v>
      </c>
      <c r="AC953">
        <f t="shared" ca="1" si="326"/>
        <v>0</v>
      </c>
      <c r="AD953" s="316">
        <f t="shared" ca="1" si="327"/>
        <v>0</v>
      </c>
      <c r="AE953" s="316">
        <f t="shared" ca="1" si="328"/>
        <v>0</v>
      </c>
      <c r="AF953" s="316">
        <f t="shared" ca="1" si="328"/>
        <v>0</v>
      </c>
      <c r="AG953" s="316">
        <f t="shared" ca="1" si="328"/>
        <v>0</v>
      </c>
      <c r="AH953" s="316">
        <f t="shared" ca="1" si="328"/>
        <v>0</v>
      </c>
      <c r="AI953" s="316">
        <f t="shared" ca="1" si="328"/>
        <v>0</v>
      </c>
      <c r="AJ953" s="316">
        <f t="shared" ca="1" si="328"/>
        <v>0</v>
      </c>
      <c r="AK953" s="316">
        <f t="shared" ca="1" si="328"/>
        <v>0</v>
      </c>
      <c r="AL953" s="316">
        <f t="shared" ca="1" si="328"/>
        <v>0</v>
      </c>
      <c r="AM953" s="316">
        <f t="shared" ca="1" si="328"/>
        <v>0</v>
      </c>
      <c r="AN953" s="316">
        <f t="shared" ca="1" si="328"/>
        <v>0</v>
      </c>
      <c r="AO953" s="316">
        <f t="shared" ca="1" si="328"/>
        <v>0</v>
      </c>
      <c r="AP953" s="316">
        <f t="shared" ca="1" si="328"/>
        <v>0</v>
      </c>
      <c r="AQ953" s="316">
        <f t="shared" ca="1" si="328"/>
        <v>0</v>
      </c>
      <c r="AR953" s="316">
        <f t="shared" ca="1" si="328"/>
        <v>0</v>
      </c>
      <c r="AS953" s="316">
        <f t="shared" ca="1" si="328"/>
        <v>0</v>
      </c>
      <c r="AT953" s="316">
        <f t="shared" ca="1" si="328"/>
        <v>0</v>
      </c>
      <c r="AU953" s="316">
        <f t="shared" ca="1" si="328"/>
        <v>0</v>
      </c>
      <c r="AV953" s="316">
        <f t="shared" ca="1" si="328"/>
        <v>0</v>
      </c>
      <c r="AW953" s="316">
        <f t="shared" ca="1" si="328"/>
        <v>0</v>
      </c>
      <c r="BA953" s="49">
        <f t="shared" ca="1" si="334"/>
        <v>0</v>
      </c>
      <c r="BB953" s="49"/>
      <c r="BC953" s="49">
        <f t="shared" ca="1" si="332"/>
        <v>0</v>
      </c>
      <c r="BD953" s="49"/>
      <c r="BE953" s="49">
        <f t="shared" ca="1" si="333"/>
        <v>0</v>
      </c>
    </row>
    <row r="954" spans="3:57">
      <c r="C954" t="str">
        <f t="shared" si="329"/>
        <v>Hydro</v>
      </c>
      <c r="D954">
        <f t="shared" si="325"/>
        <v>0</v>
      </c>
      <c r="E954">
        <f t="shared" si="326"/>
        <v>0</v>
      </c>
      <c r="F954">
        <f t="shared" si="326"/>
        <v>0</v>
      </c>
      <c r="G954">
        <f t="shared" si="326"/>
        <v>0</v>
      </c>
      <c r="H954">
        <f t="shared" si="326"/>
        <v>0</v>
      </c>
      <c r="I954">
        <f t="shared" ca="1" si="326"/>
        <v>0</v>
      </c>
      <c r="J954">
        <f t="shared" ca="1" si="326"/>
        <v>0</v>
      </c>
      <c r="K954">
        <f t="shared" ca="1" si="326"/>
        <v>0</v>
      </c>
      <c r="L954">
        <f t="shared" ca="1" si="326"/>
        <v>0</v>
      </c>
      <c r="M954">
        <f t="shared" ca="1" si="326"/>
        <v>0</v>
      </c>
      <c r="N954">
        <f t="shared" ca="1" si="326"/>
        <v>0</v>
      </c>
      <c r="O954">
        <f t="shared" ca="1" si="326"/>
        <v>0</v>
      </c>
      <c r="P954">
        <f t="shared" ca="1" si="326"/>
        <v>0</v>
      </c>
      <c r="Q954">
        <f t="shared" ca="1" si="326"/>
        <v>0</v>
      </c>
      <c r="R954">
        <f t="shared" ca="1" si="326"/>
        <v>0</v>
      </c>
      <c r="S954">
        <f t="shared" ca="1" si="326"/>
        <v>0</v>
      </c>
      <c r="T954">
        <f t="shared" ca="1" si="326"/>
        <v>0</v>
      </c>
      <c r="U954">
        <f t="shared" ca="1" si="326"/>
        <v>0</v>
      </c>
      <c r="V954">
        <f t="shared" ca="1" si="326"/>
        <v>0</v>
      </c>
      <c r="W954">
        <f t="shared" ca="1" si="326"/>
        <v>0</v>
      </c>
      <c r="X954">
        <f t="shared" ca="1" si="326"/>
        <v>0</v>
      </c>
      <c r="Y954">
        <f t="shared" ca="1" si="326"/>
        <v>0</v>
      </c>
      <c r="Z954">
        <f t="shared" ca="1" si="326"/>
        <v>0</v>
      </c>
      <c r="AA954">
        <f t="shared" ca="1" si="326"/>
        <v>0</v>
      </c>
      <c r="AB954">
        <f t="shared" ca="1" si="326"/>
        <v>0</v>
      </c>
      <c r="AC954">
        <f t="shared" ca="1" si="326"/>
        <v>0</v>
      </c>
      <c r="AD954" s="316">
        <f t="shared" ca="1" si="327"/>
        <v>0</v>
      </c>
      <c r="AE954" s="316">
        <f t="shared" ca="1" si="328"/>
        <v>0</v>
      </c>
      <c r="AF954" s="316">
        <f t="shared" ca="1" si="328"/>
        <v>0</v>
      </c>
      <c r="AG954" s="316">
        <f t="shared" ca="1" si="328"/>
        <v>0</v>
      </c>
      <c r="AH954" s="316">
        <f t="shared" ca="1" si="328"/>
        <v>0</v>
      </c>
      <c r="AI954" s="316">
        <f t="shared" ca="1" si="328"/>
        <v>0</v>
      </c>
      <c r="AJ954" s="316">
        <f t="shared" ca="1" si="328"/>
        <v>0</v>
      </c>
      <c r="AK954" s="316">
        <f t="shared" ca="1" si="328"/>
        <v>0</v>
      </c>
      <c r="AL954" s="316">
        <f t="shared" ca="1" si="328"/>
        <v>0</v>
      </c>
      <c r="AM954" s="316">
        <f t="shared" ca="1" si="328"/>
        <v>0</v>
      </c>
      <c r="AN954" s="316">
        <f t="shared" ca="1" si="328"/>
        <v>0</v>
      </c>
      <c r="AO954" s="316">
        <f t="shared" ca="1" si="328"/>
        <v>0</v>
      </c>
      <c r="AP954" s="316">
        <f t="shared" ca="1" si="328"/>
        <v>0</v>
      </c>
      <c r="AQ954" s="316">
        <f t="shared" ca="1" si="328"/>
        <v>0</v>
      </c>
      <c r="AR954" s="316">
        <f t="shared" ca="1" si="328"/>
        <v>0</v>
      </c>
      <c r="AS954" s="316">
        <f t="shared" ca="1" si="328"/>
        <v>0</v>
      </c>
      <c r="AT954" s="316">
        <f t="shared" ca="1" si="328"/>
        <v>0</v>
      </c>
      <c r="AU954" s="316">
        <f t="shared" ca="1" si="328"/>
        <v>0</v>
      </c>
      <c r="AV954" s="316">
        <f t="shared" ca="1" si="328"/>
        <v>0</v>
      </c>
      <c r="AW954" s="316">
        <f t="shared" ca="1" si="328"/>
        <v>0</v>
      </c>
      <c r="BA954" s="49">
        <f t="shared" ca="1" si="334"/>
        <v>0</v>
      </c>
      <c r="BB954" s="49"/>
      <c r="BC954" s="49">
        <f t="shared" ca="1" si="332"/>
        <v>0</v>
      </c>
      <c r="BD954" s="49"/>
      <c r="BE954" s="49">
        <f t="shared" ca="1" si="333"/>
        <v>0</v>
      </c>
    </row>
    <row r="955" spans="3:57">
      <c r="C955" t="str">
        <f t="shared" si="329"/>
        <v>Landfill gas</v>
      </c>
      <c r="D955">
        <f t="shared" si="325"/>
        <v>0</v>
      </c>
      <c r="E955">
        <f t="shared" si="326"/>
        <v>0</v>
      </c>
      <c r="F955">
        <f t="shared" si="326"/>
        <v>0</v>
      </c>
      <c r="G955">
        <f t="shared" si="326"/>
        <v>0</v>
      </c>
      <c r="H955">
        <f t="shared" si="326"/>
        <v>0</v>
      </c>
      <c r="I955">
        <f t="shared" ca="1" si="326"/>
        <v>0</v>
      </c>
      <c r="J955">
        <f t="shared" ca="1" si="326"/>
        <v>0</v>
      </c>
      <c r="K955">
        <f t="shared" ca="1" si="326"/>
        <v>0</v>
      </c>
      <c r="L955">
        <f t="shared" ca="1" si="326"/>
        <v>0</v>
      </c>
      <c r="M955">
        <f t="shared" ca="1" si="326"/>
        <v>0</v>
      </c>
      <c r="N955">
        <f t="shared" ca="1" si="326"/>
        <v>0</v>
      </c>
      <c r="O955">
        <f t="shared" ca="1" si="326"/>
        <v>0</v>
      </c>
      <c r="P955">
        <f t="shared" ca="1" si="326"/>
        <v>0</v>
      </c>
      <c r="Q955">
        <f t="shared" ca="1" si="326"/>
        <v>0</v>
      </c>
      <c r="R955">
        <f t="shared" ca="1" si="326"/>
        <v>0</v>
      </c>
      <c r="S955">
        <f t="shared" ca="1" si="326"/>
        <v>0</v>
      </c>
      <c r="T955">
        <f t="shared" ca="1" si="326"/>
        <v>0</v>
      </c>
      <c r="U955">
        <f t="shared" ca="1" si="326"/>
        <v>0</v>
      </c>
      <c r="V955">
        <f t="shared" ca="1" si="326"/>
        <v>0</v>
      </c>
      <c r="W955">
        <f t="shared" ca="1" si="326"/>
        <v>0</v>
      </c>
      <c r="X955">
        <f t="shared" ca="1" si="326"/>
        <v>0</v>
      </c>
      <c r="Y955">
        <f t="shared" ca="1" si="326"/>
        <v>0</v>
      </c>
      <c r="Z955">
        <f t="shared" ca="1" si="326"/>
        <v>0</v>
      </c>
      <c r="AA955">
        <f t="shared" ca="1" si="326"/>
        <v>0</v>
      </c>
      <c r="AB955">
        <f t="shared" ca="1" si="326"/>
        <v>0</v>
      </c>
      <c r="AC955">
        <f t="shared" ca="1" si="326"/>
        <v>0</v>
      </c>
      <c r="AD955" s="316">
        <f t="shared" ca="1" si="327"/>
        <v>0</v>
      </c>
      <c r="AE955" s="316">
        <f t="shared" ca="1" si="328"/>
        <v>0</v>
      </c>
      <c r="AF955" s="316">
        <f t="shared" ca="1" si="328"/>
        <v>0</v>
      </c>
      <c r="AG955" s="316">
        <f t="shared" ca="1" si="328"/>
        <v>0</v>
      </c>
      <c r="AH955" s="316">
        <f t="shared" ca="1" si="328"/>
        <v>0</v>
      </c>
      <c r="AI955" s="316">
        <f t="shared" ca="1" si="328"/>
        <v>0</v>
      </c>
      <c r="AJ955" s="316">
        <f t="shared" ca="1" si="328"/>
        <v>0</v>
      </c>
      <c r="AK955" s="316">
        <f t="shared" ca="1" si="328"/>
        <v>0</v>
      </c>
      <c r="AL955" s="316">
        <f t="shared" ca="1" si="328"/>
        <v>0</v>
      </c>
      <c r="AM955" s="316">
        <f t="shared" ca="1" si="328"/>
        <v>0</v>
      </c>
      <c r="AN955" s="316">
        <f t="shared" ca="1" si="328"/>
        <v>0</v>
      </c>
      <c r="AO955" s="316">
        <f t="shared" ca="1" si="328"/>
        <v>0</v>
      </c>
      <c r="AP955" s="316">
        <f t="shared" ca="1" si="328"/>
        <v>0</v>
      </c>
      <c r="AQ955" s="316">
        <f t="shared" ca="1" si="328"/>
        <v>0</v>
      </c>
      <c r="AR955" s="316">
        <f t="shared" ca="1" si="328"/>
        <v>0</v>
      </c>
      <c r="AS955" s="316">
        <f t="shared" ca="1" si="328"/>
        <v>0</v>
      </c>
      <c r="AT955" s="316">
        <f t="shared" ca="1" si="328"/>
        <v>0</v>
      </c>
      <c r="AU955" s="316">
        <f t="shared" ca="1" si="328"/>
        <v>0</v>
      </c>
      <c r="AV955" s="316">
        <f t="shared" ca="1" si="328"/>
        <v>0</v>
      </c>
      <c r="AW955" s="316">
        <f t="shared" ca="1" si="328"/>
        <v>0</v>
      </c>
      <c r="BA955" s="49">
        <f t="shared" ca="1" si="334"/>
        <v>0</v>
      </c>
      <c r="BB955" s="49"/>
      <c r="BC955" s="49">
        <f t="shared" ca="1" si="332"/>
        <v>0</v>
      </c>
      <c r="BD955" s="49"/>
      <c r="BE955" s="49">
        <f t="shared" ca="1" si="333"/>
        <v>0</v>
      </c>
    </row>
    <row r="956" spans="3:57">
      <c r="C956" t="str">
        <f t="shared" si="329"/>
        <v>Biomass</v>
      </c>
      <c r="D956">
        <f t="shared" si="325"/>
        <v>0</v>
      </c>
      <c r="E956">
        <f t="shared" si="326"/>
        <v>0</v>
      </c>
      <c r="F956">
        <f t="shared" si="326"/>
        <v>0</v>
      </c>
      <c r="G956">
        <f t="shared" si="326"/>
        <v>0</v>
      </c>
      <c r="H956">
        <f t="shared" si="326"/>
        <v>0</v>
      </c>
      <c r="I956">
        <f t="shared" ca="1" si="326"/>
        <v>0</v>
      </c>
      <c r="J956">
        <f t="shared" ca="1" si="326"/>
        <v>0</v>
      </c>
      <c r="K956">
        <f t="shared" ca="1" si="326"/>
        <v>0</v>
      </c>
      <c r="L956">
        <f t="shared" ca="1" si="326"/>
        <v>0</v>
      </c>
      <c r="M956">
        <f t="shared" ca="1" si="326"/>
        <v>0</v>
      </c>
      <c r="N956">
        <f t="shared" ca="1" si="326"/>
        <v>0</v>
      </c>
      <c r="O956">
        <f t="shared" ca="1" si="326"/>
        <v>0</v>
      </c>
      <c r="P956">
        <f t="shared" ca="1" si="326"/>
        <v>0</v>
      </c>
      <c r="Q956">
        <f t="shared" ca="1" si="326"/>
        <v>0</v>
      </c>
      <c r="R956">
        <f t="shared" ca="1" si="326"/>
        <v>0</v>
      </c>
      <c r="S956">
        <f t="shared" ca="1" si="326"/>
        <v>0</v>
      </c>
      <c r="T956">
        <f t="shared" ca="1" si="326"/>
        <v>0</v>
      </c>
      <c r="U956">
        <f t="shared" ca="1" si="326"/>
        <v>0</v>
      </c>
      <c r="V956">
        <f t="shared" ca="1" si="326"/>
        <v>0</v>
      </c>
      <c r="W956">
        <f t="shared" ca="1" si="326"/>
        <v>0</v>
      </c>
      <c r="X956">
        <f t="shared" ca="1" si="326"/>
        <v>0</v>
      </c>
      <c r="Y956">
        <f t="shared" ca="1" si="326"/>
        <v>0</v>
      </c>
      <c r="Z956">
        <f t="shared" ca="1" si="326"/>
        <v>0</v>
      </c>
      <c r="AA956">
        <f t="shared" ca="1" si="326"/>
        <v>0</v>
      </c>
      <c r="AB956">
        <f t="shared" ca="1" si="326"/>
        <v>0</v>
      </c>
      <c r="AC956">
        <f t="shared" ca="1" si="326"/>
        <v>0</v>
      </c>
      <c r="AD956" s="316">
        <f t="shared" ca="1" si="327"/>
        <v>0</v>
      </c>
      <c r="AE956" s="316">
        <f t="shared" ca="1" si="328"/>
        <v>0</v>
      </c>
      <c r="AF956" s="316">
        <f t="shared" ca="1" si="328"/>
        <v>0</v>
      </c>
      <c r="AG956" s="316">
        <f t="shared" ca="1" si="328"/>
        <v>0</v>
      </c>
      <c r="AH956" s="316">
        <f t="shared" ca="1" si="328"/>
        <v>0</v>
      </c>
      <c r="AI956" s="316">
        <f t="shared" ca="1" si="328"/>
        <v>0</v>
      </c>
      <c r="AJ956" s="316">
        <f t="shared" ca="1" si="328"/>
        <v>0</v>
      </c>
      <c r="AK956" s="316">
        <f t="shared" ca="1" si="328"/>
        <v>0</v>
      </c>
      <c r="AL956" s="316">
        <f t="shared" ca="1" si="328"/>
        <v>0</v>
      </c>
      <c r="AM956" s="316">
        <f t="shared" ca="1" si="328"/>
        <v>0</v>
      </c>
      <c r="AN956" s="316">
        <f t="shared" ca="1" si="328"/>
        <v>0</v>
      </c>
      <c r="AO956" s="316">
        <f t="shared" ca="1" si="328"/>
        <v>0</v>
      </c>
      <c r="AP956" s="316">
        <f t="shared" ca="1" si="328"/>
        <v>0</v>
      </c>
      <c r="AQ956" s="316">
        <f t="shared" ca="1" si="328"/>
        <v>0</v>
      </c>
      <c r="AR956" s="316">
        <f t="shared" ca="1" si="328"/>
        <v>0</v>
      </c>
      <c r="AS956" s="316">
        <f t="shared" ca="1" si="328"/>
        <v>0</v>
      </c>
      <c r="AT956" s="316">
        <f t="shared" ca="1" si="328"/>
        <v>0</v>
      </c>
      <c r="AU956" s="316">
        <f t="shared" ca="1" si="328"/>
        <v>0</v>
      </c>
      <c r="AV956" s="316">
        <f t="shared" ca="1" si="328"/>
        <v>0</v>
      </c>
      <c r="AW956" s="316">
        <f t="shared" ca="1" si="328"/>
        <v>0</v>
      </c>
      <c r="BA956" s="49">
        <f t="shared" ca="1" si="334"/>
        <v>0</v>
      </c>
      <c r="BB956" s="49"/>
      <c r="BC956" s="49">
        <f t="shared" ca="1" si="332"/>
        <v>0</v>
      </c>
      <c r="BD956" s="49"/>
      <c r="BE956" s="49">
        <f t="shared" ca="1" si="333"/>
        <v>0</v>
      </c>
    </row>
    <row r="957" spans="3:57">
      <c r="C957" t="str">
        <f t="shared" si="329"/>
        <v>Supercritical coal</v>
      </c>
      <c r="D957">
        <f t="shared" si="325"/>
        <v>0</v>
      </c>
      <c r="E957">
        <f t="shared" si="326"/>
        <v>0</v>
      </c>
      <c r="F957">
        <f t="shared" si="326"/>
        <v>0</v>
      </c>
      <c r="G957">
        <f t="shared" si="326"/>
        <v>0</v>
      </c>
      <c r="H957">
        <f t="shared" si="326"/>
        <v>0</v>
      </c>
      <c r="I957">
        <f t="shared" ca="1" si="326"/>
        <v>0</v>
      </c>
      <c r="J957">
        <f t="shared" ca="1" si="326"/>
        <v>0</v>
      </c>
      <c r="K957">
        <f t="shared" ca="1" si="326"/>
        <v>158.22929501800579</v>
      </c>
      <c r="L957">
        <f t="shared" ca="1" si="326"/>
        <v>474.68788505401739</v>
      </c>
      <c r="M957">
        <f t="shared" ca="1" si="326"/>
        <v>1288.0632731288806</v>
      </c>
      <c r="N957">
        <f t="shared" ca="1" si="326"/>
        <v>2065.5092256405369</v>
      </c>
      <c r="O957">
        <f t="shared" ca="1" si="326"/>
        <v>8680.753883489735</v>
      </c>
      <c r="P957">
        <f t="shared" ca="1" si="326"/>
        <v>11124.500438318741</v>
      </c>
      <c r="Q957">
        <f t="shared" ca="1" si="326"/>
        <v>13708.331475681161</v>
      </c>
      <c r="R957">
        <f t="shared" ca="1" si="326"/>
        <v>16412.10222190035</v>
      </c>
      <c r="S957">
        <f t="shared" ca="1" si="326"/>
        <v>32770.852101300065</v>
      </c>
      <c r="T957">
        <f t="shared" ca="1" si="326"/>
        <v>38423.08242927742</v>
      </c>
      <c r="U957">
        <f t="shared" ca="1" si="326"/>
        <v>43207.794836745226</v>
      </c>
      <c r="V957">
        <f t="shared" ca="1" si="326"/>
        <v>48232.257933043795</v>
      </c>
      <c r="W957">
        <f t="shared" ca="1" si="326"/>
        <v>57586.400726645508</v>
      </c>
      <c r="X957">
        <f t="shared" ca="1" si="326"/>
        <v>67606.130849620269</v>
      </c>
      <c r="Y957">
        <f t="shared" ca="1" si="326"/>
        <v>78992.039765376729</v>
      </c>
      <c r="Z957">
        <f t="shared" ca="1" si="326"/>
        <v>90290.949301483575</v>
      </c>
      <c r="AA957">
        <f t="shared" ca="1" si="326"/>
        <v>102853.42823170895</v>
      </c>
      <c r="AB957">
        <f t="shared" ca="1" si="326"/>
        <v>121605.59318542403</v>
      </c>
      <c r="AC957">
        <f t="shared" ca="1" si="326"/>
        <v>132667.09500286239</v>
      </c>
      <c r="AD957" s="316">
        <f t="shared" ca="1" si="327"/>
        <v>132667.09500286239</v>
      </c>
      <c r="AE957" s="316">
        <f t="shared" ca="1" si="328"/>
        <v>132667.09500286239</v>
      </c>
      <c r="AF957" s="316">
        <f t="shared" ca="1" si="328"/>
        <v>132667.09500286239</v>
      </c>
      <c r="AG957" s="316">
        <f t="shared" ca="1" si="328"/>
        <v>132667.09500286239</v>
      </c>
      <c r="AH957" s="316">
        <f t="shared" ca="1" si="328"/>
        <v>132667.09500286239</v>
      </c>
      <c r="AI957" s="316">
        <f t="shared" ca="1" si="328"/>
        <v>132667.09500286239</v>
      </c>
      <c r="AJ957" s="316">
        <f t="shared" ca="1" si="328"/>
        <v>132667.09500286239</v>
      </c>
      <c r="AK957" s="316">
        <f t="shared" ca="1" si="328"/>
        <v>132667.09500286239</v>
      </c>
      <c r="AL957" s="316">
        <f t="shared" ca="1" si="328"/>
        <v>132667.09500286239</v>
      </c>
      <c r="AM957" s="316">
        <f t="shared" ca="1" si="328"/>
        <v>132667.09500286239</v>
      </c>
      <c r="AN957" s="316">
        <f t="shared" ca="1" si="328"/>
        <v>132667.09500286239</v>
      </c>
      <c r="AO957" s="316">
        <f t="shared" ca="1" si="328"/>
        <v>132667.09500286239</v>
      </c>
      <c r="AP957" s="316">
        <f t="shared" ca="1" si="328"/>
        <v>132667.09500286239</v>
      </c>
      <c r="AQ957" s="316">
        <f t="shared" ca="1" si="328"/>
        <v>132667.09500286239</v>
      </c>
      <c r="AR957" s="316">
        <f t="shared" ca="1" si="328"/>
        <v>132667.09500286239</v>
      </c>
      <c r="AS957" s="316">
        <f t="shared" ca="1" si="328"/>
        <v>132667.09500286239</v>
      </c>
      <c r="AT957" s="316">
        <f t="shared" ca="1" si="328"/>
        <v>132667.09500286239</v>
      </c>
      <c r="AU957" s="316">
        <f t="shared" ca="1" si="328"/>
        <v>132667.09500286239</v>
      </c>
      <c r="AV957" s="316">
        <f t="shared" ca="1" si="328"/>
        <v>132667.09500286239</v>
      </c>
      <c r="AW957" s="316">
        <f t="shared" ca="1" si="328"/>
        <v>132667.09500286239</v>
      </c>
      <c r="BA957" s="49">
        <f t="shared" ca="1" si="334"/>
        <v>1129469.7668221311</v>
      </c>
      <c r="BB957" s="49"/>
      <c r="BC957" s="49">
        <f t="shared" ca="1" si="332"/>
        <v>338952.99360458483</v>
      </c>
      <c r="BD957" s="49"/>
      <c r="BE957" s="49">
        <f t="shared" ca="1" si="333"/>
        <v>186327.09916456215</v>
      </c>
    </row>
    <row r="958" spans="3:57">
      <c r="C958" t="str">
        <f t="shared" si="329"/>
        <v xml:space="preserve">Wind 30% </v>
      </c>
      <c r="D958">
        <f t="shared" si="325"/>
        <v>0</v>
      </c>
      <c r="E958">
        <f t="shared" si="326"/>
        <v>0</v>
      </c>
      <c r="F958">
        <f t="shared" si="326"/>
        <v>0</v>
      </c>
      <c r="G958">
        <f t="shared" si="326"/>
        <v>0</v>
      </c>
      <c r="H958">
        <f t="shared" si="326"/>
        <v>0</v>
      </c>
      <c r="I958">
        <f t="shared" ca="1" si="326"/>
        <v>0</v>
      </c>
      <c r="J958">
        <f t="shared" ca="1" si="326"/>
        <v>0</v>
      </c>
      <c r="K958">
        <f t="shared" ca="1" si="326"/>
        <v>0</v>
      </c>
      <c r="L958">
        <f t="shared" ca="1" si="326"/>
        <v>0</v>
      </c>
      <c r="M958">
        <f t="shared" ca="1" si="326"/>
        <v>0</v>
      </c>
      <c r="N958">
        <f t="shared" ca="1" si="326"/>
        <v>0</v>
      </c>
      <c r="O958">
        <f t="shared" ca="1" si="326"/>
        <v>0</v>
      </c>
      <c r="P958">
        <f t="shared" ca="1" si="326"/>
        <v>0</v>
      </c>
      <c r="Q958">
        <f t="shared" ca="1" si="326"/>
        <v>0</v>
      </c>
      <c r="R958">
        <f t="shared" ca="1" si="326"/>
        <v>0</v>
      </c>
      <c r="S958">
        <f t="shared" ca="1" si="326"/>
        <v>0</v>
      </c>
      <c r="T958">
        <f t="shared" ca="1" si="326"/>
        <v>0</v>
      </c>
      <c r="U958">
        <f t="shared" ca="1" si="326"/>
        <v>0</v>
      </c>
      <c r="V958">
        <f t="shared" ca="1" si="326"/>
        <v>0</v>
      </c>
      <c r="W958">
        <f t="shared" ca="1" si="326"/>
        <v>0</v>
      </c>
      <c r="X958">
        <f t="shared" ca="1" si="326"/>
        <v>0</v>
      </c>
      <c r="Y958">
        <f t="shared" ca="1" si="326"/>
        <v>0</v>
      </c>
      <c r="Z958">
        <f t="shared" ca="1" si="326"/>
        <v>0</v>
      </c>
      <c r="AA958">
        <f t="shared" ca="1" si="326"/>
        <v>0</v>
      </c>
      <c r="AB958">
        <f t="shared" ca="1" si="326"/>
        <v>0</v>
      </c>
      <c r="AC958">
        <f t="shared" ca="1" si="326"/>
        <v>0</v>
      </c>
      <c r="AD958" s="316">
        <f t="shared" ca="1" si="327"/>
        <v>0</v>
      </c>
      <c r="AE958" s="316">
        <f t="shared" ca="1" si="328"/>
        <v>0</v>
      </c>
      <c r="AF958" s="316">
        <f t="shared" ca="1" si="328"/>
        <v>0</v>
      </c>
      <c r="AG958" s="316">
        <f t="shared" ca="1" si="328"/>
        <v>0</v>
      </c>
      <c r="AH958" s="316">
        <f t="shared" ca="1" si="328"/>
        <v>0</v>
      </c>
      <c r="AI958" s="316">
        <f t="shared" ca="1" si="328"/>
        <v>0</v>
      </c>
      <c r="AJ958" s="316">
        <f t="shared" ca="1" si="328"/>
        <v>0</v>
      </c>
      <c r="AK958" s="316">
        <f t="shared" ca="1" si="328"/>
        <v>0</v>
      </c>
      <c r="AL958" s="316">
        <f t="shared" ca="1" si="328"/>
        <v>0</v>
      </c>
      <c r="AM958" s="316">
        <f t="shared" ca="1" si="328"/>
        <v>0</v>
      </c>
      <c r="AN958" s="316">
        <f t="shared" ca="1" si="328"/>
        <v>0</v>
      </c>
      <c r="AO958" s="316">
        <f t="shared" ca="1" si="328"/>
        <v>0</v>
      </c>
      <c r="AP958" s="316">
        <f t="shared" ca="1" si="328"/>
        <v>0</v>
      </c>
      <c r="AQ958" s="316">
        <f t="shared" ca="1" si="328"/>
        <v>0</v>
      </c>
      <c r="AR958" s="316">
        <f t="shared" ca="1" si="328"/>
        <v>0</v>
      </c>
      <c r="AS958" s="316">
        <f t="shared" ca="1" si="328"/>
        <v>0</v>
      </c>
      <c r="AT958" s="316">
        <f t="shared" ca="1" si="328"/>
        <v>0</v>
      </c>
      <c r="AU958" s="316">
        <f t="shared" ca="1" si="328"/>
        <v>0</v>
      </c>
      <c r="AV958" s="316">
        <f t="shared" ca="1" si="328"/>
        <v>0</v>
      </c>
      <c r="AW958" s="316">
        <f t="shared" ca="1" si="328"/>
        <v>0</v>
      </c>
      <c r="BA958" s="49">
        <f t="shared" ca="1" si="334"/>
        <v>0</v>
      </c>
      <c r="BB958" s="49"/>
      <c r="BC958" s="49">
        <f t="shared" ca="1" si="332"/>
        <v>0</v>
      </c>
      <c r="BD958" s="49"/>
      <c r="BE958" s="49">
        <f t="shared" ca="1" si="333"/>
        <v>0</v>
      </c>
    </row>
    <row r="959" spans="3:57">
      <c r="C959" t="str">
        <f t="shared" si="329"/>
        <v>Wind 25%</v>
      </c>
      <c r="D959">
        <f t="shared" si="325"/>
        <v>0</v>
      </c>
      <c r="E959">
        <f t="shared" si="326"/>
        <v>0</v>
      </c>
      <c r="F959">
        <f t="shared" si="326"/>
        <v>0</v>
      </c>
      <c r="G959">
        <f t="shared" si="326"/>
        <v>0</v>
      </c>
      <c r="H959">
        <f t="shared" si="326"/>
        <v>0</v>
      </c>
      <c r="I959">
        <f t="shared" ca="1" si="326"/>
        <v>0</v>
      </c>
      <c r="J959">
        <f t="shared" ca="1" si="326"/>
        <v>0</v>
      </c>
      <c r="K959">
        <f t="shared" ca="1" si="326"/>
        <v>0</v>
      </c>
      <c r="L959">
        <f t="shared" ca="1" si="326"/>
        <v>0</v>
      </c>
      <c r="M959">
        <f t="shared" ca="1" si="326"/>
        <v>0</v>
      </c>
      <c r="N959">
        <f t="shared" ca="1" si="326"/>
        <v>0</v>
      </c>
      <c r="O959">
        <f t="shared" ca="1" si="326"/>
        <v>0</v>
      </c>
      <c r="P959">
        <f t="shared" ca="1" si="326"/>
        <v>0</v>
      </c>
      <c r="Q959">
        <f t="shared" ca="1" si="326"/>
        <v>0</v>
      </c>
      <c r="R959">
        <f t="shared" ca="1" si="326"/>
        <v>0</v>
      </c>
      <c r="S959">
        <f t="shared" ca="1" si="326"/>
        <v>0</v>
      </c>
      <c r="T959">
        <f t="shared" ca="1" si="326"/>
        <v>0</v>
      </c>
      <c r="U959">
        <f t="shared" ca="1" si="326"/>
        <v>0</v>
      </c>
      <c r="V959">
        <f t="shared" ca="1" si="326"/>
        <v>0</v>
      </c>
      <c r="W959">
        <f t="shared" ca="1" si="326"/>
        <v>0</v>
      </c>
      <c r="X959">
        <f t="shared" ca="1" si="326"/>
        <v>0</v>
      </c>
      <c r="Y959">
        <f t="shared" ca="1" si="326"/>
        <v>0</v>
      </c>
      <c r="Z959">
        <f t="shared" ca="1" si="326"/>
        <v>0</v>
      </c>
      <c r="AA959">
        <f t="shared" ca="1" si="326"/>
        <v>0</v>
      </c>
      <c r="AB959">
        <f t="shared" ca="1" si="326"/>
        <v>0</v>
      </c>
      <c r="AC959">
        <f t="shared" ca="1" si="326"/>
        <v>0</v>
      </c>
      <c r="AD959" s="316">
        <f t="shared" ca="1" si="327"/>
        <v>0</v>
      </c>
      <c r="AE959" s="316">
        <f t="shared" ca="1" si="328"/>
        <v>0</v>
      </c>
      <c r="AF959" s="316">
        <f t="shared" ca="1" si="328"/>
        <v>0</v>
      </c>
      <c r="AG959" s="316">
        <f t="shared" ca="1" si="328"/>
        <v>0</v>
      </c>
      <c r="AH959" s="316">
        <f t="shared" ca="1" si="328"/>
        <v>0</v>
      </c>
      <c r="AI959" s="316">
        <f t="shared" ca="1" si="328"/>
        <v>0</v>
      </c>
      <c r="AJ959" s="316">
        <f t="shared" ca="1" si="328"/>
        <v>0</v>
      </c>
      <c r="AK959" s="316">
        <f t="shared" ca="1" si="328"/>
        <v>0</v>
      </c>
      <c r="AL959" s="316">
        <f t="shared" ca="1" si="328"/>
        <v>0</v>
      </c>
      <c r="AM959" s="316">
        <f t="shared" ca="1" si="328"/>
        <v>0</v>
      </c>
      <c r="AN959" s="316">
        <f t="shared" ca="1" si="328"/>
        <v>0</v>
      </c>
      <c r="AO959" s="316">
        <f t="shared" ca="1" si="328"/>
        <v>0</v>
      </c>
      <c r="AP959" s="316">
        <f t="shared" ca="1" si="328"/>
        <v>0</v>
      </c>
      <c r="AQ959" s="316">
        <f t="shared" ca="1" si="328"/>
        <v>0</v>
      </c>
      <c r="AR959" s="316">
        <f t="shared" ca="1" si="328"/>
        <v>0</v>
      </c>
      <c r="AS959" s="316">
        <f t="shared" ca="1" si="328"/>
        <v>0</v>
      </c>
      <c r="AT959" s="316">
        <f t="shared" ca="1" si="328"/>
        <v>0</v>
      </c>
      <c r="AU959" s="316">
        <f t="shared" ca="1" si="328"/>
        <v>0</v>
      </c>
      <c r="AV959" s="316">
        <f t="shared" ca="1" si="328"/>
        <v>0</v>
      </c>
      <c r="AW959" s="316">
        <f t="shared" ca="1" si="328"/>
        <v>0</v>
      </c>
      <c r="BA959" s="49">
        <f t="shared" ca="1" si="334"/>
        <v>0</v>
      </c>
      <c r="BB959" s="49"/>
      <c r="BC959" s="49">
        <f t="shared" ca="1" si="332"/>
        <v>0</v>
      </c>
      <c r="BD959" s="49"/>
      <c r="BE959" s="49">
        <f t="shared" ca="1" si="333"/>
        <v>0</v>
      </c>
    </row>
    <row r="960" spans="3:57">
      <c r="C960" t="str">
        <f t="shared" si="329"/>
        <v>solar thermal central reciever</v>
      </c>
      <c r="D960">
        <f t="shared" si="325"/>
        <v>0</v>
      </c>
      <c r="E960">
        <f t="shared" si="326"/>
        <v>0</v>
      </c>
      <c r="F960">
        <f t="shared" si="326"/>
        <v>0</v>
      </c>
      <c r="G960">
        <f t="shared" si="326"/>
        <v>0</v>
      </c>
      <c r="H960">
        <f t="shared" si="326"/>
        <v>0</v>
      </c>
      <c r="I960">
        <f t="shared" ca="1" si="326"/>
        <v>0</v>
      </c>
      <c r="J960">
        <f t="shared" ca="1" si="326"/>
        <v>0</v>
      </c>
      <c r="K960">
        <f t="shared" ca="1" si="326"/>
        <v>0</v>
      </c>
      <c r="L960">
        <f t="shared" ca="1" si="326"/>
        <v>0</v>
      </c>
      <c r="M960">
        <f t="shared" ca="1" si="326"/>
        <v>0</v>
      </c>
      <c r="N960">
        <f t="shared" ca="1" si="326"/>
        <v>0</v>
      </c>
      <c r="O960">
        <f t="shared" ca="1" si="326"/>
        <v>0</v>
      </c>
      <c r="P960">
        <f t="shared" ca="1" si="326"/>
        <v>0</v>
      </c>
      <c r="Q960">
        <f t="shared" ca="1" si="326"/>
        <v>0</v>
      </c>
      <c r="R960">
        <f t="shared" ca="1" si="326"/>
        <v>0</v>
      </c>
      <c r="S960">
        <f t="shared" ca="1" si="326"/>
        <v>0</v>
      </c>
      <c r="T960">
        <f t="shared" ca="1" si="326"/>
        <v>0</v>
      </c>
      <c r="U960">
        <f t="shared" ca="1" si="326"/>
        <v>0</v>
      </c>
      <c r="V960">
        <f t="shared" ca="1" si="326"/>
        <v>0</v>
      </c>
      <c r="W960">
        <f t="shared" ca="1" si="326"/>
        <v>0</v>
      </c>
      <c r="X960">
        <f t="shared" ca="1" si="326"/>
        <v>0</v>
      </c>
      <c r="Y960">
        <f t="shared" ref="E960:AC970" ca="1" si="335">Y$947*Y701</f>
        <v>0</v>
      </c>
      <c r="Z960">
        <f t="shared" ca="1" si="335"/>
        <v>0</v>
      </c>
      <c r="AA960">
        <f t="shared" ca="1" si="335"/>
        <v>0</v>
      </c>
      <c r="AB960">
        <f t="shared" ca="1" si="335"/>
        <v>0</v>
      </c>
      <c r="AC960">
        <f t="shared" ca="1" si="335"/>
        <v>0</v>
      </c>
      <c r="AD960" s="316">
        <f t="shared" ca="1" si="327"/>
        <v>0</v>
      </c>
      <c r="AE960" s="316">
        <f t="shared" ca="1" si="328"/>
        <v>0</v>
      </c>
      <c r="AF960" s="316">
        <f t="shared" ca="1" si="328"/>
        <v>0</v>
      </c>
      <c r="AG960" s="316">
        <f t="shared" ca="1" si="328"/>
        <v>0</v>
      </c>
      <c r="AH960" s="316">
        <f t="shared" ca="1" si="328"/>
        <v>0</v>
      </c>
      <c r="AI960" s="316">
        <f t="shared" ca="1" si="328"/>
        <v>0</v>
      </c>
      <c r="AJ960" s="316">
        <f t="shared" ca="1" si="328"/>
        <v>0</v>
      </c>
      <c r="AK960" s="316">
        <f t="shared" ca="1" si="328"/>
        <v>0</v>
      </c>
      <c r="AL960" s="316">
        <f t="shared" ca="1" si="328"/>
        <v>0</v>
      </c>
      <c r="AM960" s="316">
        <f t="shared" ca="1" si="328"/>
        <v>0</v>
      </c>
      <c r="AN960" s="316">
        <f t="shared" ca="1" si="328"/>
        <v>0</v>
      </c>
      <c r="AO960" s="316">
        <f t="shared" ca="1" si="328"/>
        <v>0</v>
      </c>
      <c r="AP960" s="316">
        <f t="shared" ca="1" si="328"/>
        <v>0</v>
      </c>
      <c r="AQ960" s="316">
        <f t="shared" ca="1" si="328"/>
        <v>0</v>
      </c>
      <c r="AR960" s="316">
        <f t="shared" ca="1" si="328"/>
        <v>0</v>
      </c>
      <c r="AS960" s="316">
        <f t="shared" ca="1" si="328"/>
        <v>0</v>
      </c>
      <c r="AT960" s="316">
        <f t="shared" ca="1" si="328"/>
        <v>0</v>
      </c>
      <c r="AU960" s="316">
        <f t="shared" ca="1" si="328"/>
        <v>0</v>
      </c>
      <c r="AV960" s="316">
        <f t="shared" ca="1" si="328"/>
        <v>0</v>
      </c>
      <c r="AW960" s="316">
        <f t="shared" ca="1" si="328"/>
        <v>0</v>
      </c>
      <c r="BA960" s="49">
        <f t="shared" ca="1" si="334"/>
        <v>0</v>
      </c>
      <c r="BB960" s="49"/>
      <c r="BC960" s="49">
        <f t="shared" ca="1" si="332"/>
        <v>0</v>
      </c>
      <c r="BD960" s="49"/>
      <c r="BE960" s="49">
        <f t="shared" ca="1" si="333"/>
        <v>0</v>
      </c>
    </row>
    <row r="961" spans="3:57">
      <c r="C961" t="str">
        <f t="shared" si="329"/>
        <v>solar thermal trough</v>
      </c>
      <c r="D961">
        <f t="shared" si="325"/>
        <v>0</v>
      </c>
      <c r="E961">
        <f t="shared" si="335"/>
        <v>0</v>
      </c>
      <c r="F961">
        <f t="shared" si="335"/>
        <v>0</v>
      </c>
      <c r="G961">
        <f t="shared" si="335"/>
        <v>0</v>
      </c>
      <c r="H961">
        <f t="shared" si="335"/>
        <v>0</v>
      </c>
      <c r="I961">
        <f t="shared" ca="1" si="335"/>
        <v>0</v>
      </c>
      <c r="J961">
        <f t="shared" ca="1" si="335"/>
        <v>0</v>
      </c>
      <c r="K961">
        <f t="shared" ca="1" si="335"/>
        <v>0</v>
      </c>
      <c r="L961">
        <f t="shared" ca="1" si="335"/>
        <v>0</v>
      </c>
      <c r="M961">
        <f t="shared" ca="1" si="335"/>
        <v>0</v>
      </c>
      <c r="N961">
        <f t="shared" ca="1" si="335"/>
        <v>0</v>
      </c>
      <c r="O961">
        <f t="shared" ca="1" si="335"/>
        <v>0</v>
      </c>
      <c r="P961">
        <f t="shared" ca="1" si="335"/>
        <v>0</v>
      </c>
      <c r="Q961">
        <f t="shared" ca="1" si="335"/>
        <v>0</v>
      </c>
      <c r="R961">
        <f t="shared" ca="1" si="335"/>
        <v>0</v>
      </c>
      <c r="S961">
        <f t="shared" ca="1" si="335"/>
        <v>0</v>
      </c>
      <c r="T961">
        <f t="shared" ca="1" si="335"/>
        <v>0</v>
      </c>
      <c r="U961">
        <f t="shared" ca="1" si="335"/>
        <v>0</v>
      </c>
      <c r="V961">
        <f t="shared" ca="1" si="335"/>
        <v>0</v>
      </c>
      <c r="W961">
        <f t="shared" ca="1" si="335"/>
        <v>0</v>
      </c>
      <c r="X961">
        <f t="shared" ca="1" si="335"/>
        <v>0</v>
      </c>
      <c r="Y961">
        <f t="shared" ca="1" si="335"/>
        <v>0</v>
      </c>
      <c r="Z961">
        <f t="shared" ca="1" si="335"/>
        <v>0</v>
      </c>
      <c r="AA961">
        <f t="shared" ca="1" si="335"/>
        <v>0</v>
      </c>
      <c r="AB961">
        <f t="shared" ca="1" si="335"/>
        <v>0</v>
      </c>
      <c r="AC961">
        <f t="shared" ca="1" si="335"/>
        <v>0</v>
      </c>
      <c r="AD961" s="316">
        <f t="shared" ca="1" si="327"/>
        <v>0</v>
      </c>
      <c r="AE961" s="316">
        <f t="shared" ca="1" si="328"/>
        <v>0</v>
      </c>
      <c r="AF961" s="316">
        <f t="shared" ca="1" si="328"/>
        <v>0</v>
      </c>
      <c r="AG961" s="316">
        <f t="shared" ca="1" si="328"/>
        <v>0</v>
      </c>
      <c r="AH961" s="316">
        <f t="shared" ca="1" si="328"/>
        <v>0</v>
      </c>
      <c r="AI961" s="316">
        <f t="shared" ca="1" si="328"/>
        <v>0</v>
      </c>
      <c r="AJ961" s="316">
        <f t="shared" ca="1" si="328"/>
        <v>0</v>
      </c>
      <c r="AK961" s="316">
        <f t="shared" ca="1" si="328"/>
        <v>0</v>
      </c>
      <c r="AL961" s="316">
        <f t="shared" ca="1" si="328"/>
        <v>0</v>
      </c>
      <c r="AM961" s="316">
        <f t="shared" ca="1" si="328"/>
        <v>0</v>
      </c>
      <c r="AN961" s="316">
        <f t="shared" ca="1" si="328"/>
        <v>0</v>
      </c>
      <c r="AO961" s="316">
        <f t="shared" ca="1" si="328"/>
        <v>0</v>
      </c>
      <c r="AP961" s="316">
        <f t="shared" ca="1" si="328"/>
        <v>0</v>
      </c>
      <c r="AQ961" s="316">
        <f t="shared" ca="1" si="328"/>
        <v>0</v>
      </c>
      <c r="AR961" s="316">
        <f t="shared" ca="1" si="328"/>
        <v>0</v>
      </c>
      <c r="AS961" s="316">
        <f t="shared" ca="1" si="328"/>
        <v>0</v>
      </c>
      <c r="AT961" s="316">
        <f t="shared" ca="1" si="328"/>
        <v>0</v>
      </c>
      <c r="AU961" s="316">
        <f t="shared" ca="1" si="328"/>
        <v>0</v>
      </c>
      <c r="AV961" s="316">
        <f t="shared" ca="1" si="328"/>
        <v>0</v>
      </c>
      <c r="AW961" s="316">
        <f t="shared" ca="1" si="328"/>
        <v>0</v>
      </c>
      <c r="BA961" s="49">
        <f t="shared" ca="1" si="334"/>
        <v>0</v>
      </c>
      <c r="BB961" s="49"/>
      <c r="BC961" s="49">
        <f t="shared" ca="1" si="332"/>
        <v>0</v>
      </c>
      <c r="BD961" s="49"/>
      <c r="BE961" s="49">
        <f t="shared" ca="1" si="333"/>
        <v>0</v>
      </c>
    </row>
    <row r="962" spans="3:57">
      <c r="C962" t="str">
        <f t="shared" si="329"/>
        <v>solar PV</v>
      </c>
      <c r="D962">
        <f t="shared" si="325"/>
        <v>0</v>
      </c>
      <c r="E962">
        <f t="shared" si="335"/>
        <v>0</v>
      </c>
      <c r="F962">
        <f t="shared" si="335"/>
        <v>0</v>
      </c>
      <c r="G962">
        <f t="shared" si="335"/>
        <v>0</v>
      </c>
      <c r="H962">
        <f t="shared" si="335"/>
        <v>0</v>
      </c>
      <c r="I962">
        <f t="shared" ca="1" si="335"/>
        <v>0</v>
      </c>
      <c r="J962">
        <f t="shared" ca="1" si="335"/>
        <v>0</v>
      </c>
      <c r="K962">
        <f t="shared" ca="1" si="335"/>
        <v>0</v>
      </c>
      <c r="L962">
        <f t="shared" ca="1" si="335"/>
        <v>0</v>
      </c>
      <c r="M962">
        <f t="shared" ca="1" si="335"/>
        <v>0</v>
      </c>
      <c r="N962">
        <f t="shared" ca="1" si="335"/>
        <v>0</v>
      </c>
      <c r="O962">
        <f t="shared" ca="1" si="335"/>
        <v>0</v>
      </c>
      <c r="P962">
        <f t="shared" ca="1" si="335"/>
        <v>0</v>
      </c>
      <c r="Q962">
        <f t="shared" ca="1" si="335"/>
        <v>0</v>
      </c>
      <c r="R962">
        <f t="shared" ca="1" si="335"/>
        <v>0</v>
      </c>
      <c r="S962">
        <f t="shared" ca="1" si="335"/>
        <v>0</v>
      </c>
      <c r="T962">
        <f t="shared" ca="1" si="335"/>
        <v>0</v>
      </c>
      <c r="U962">
        <f t="shared" ca="1" si="335"/>
        <v>0</v>
      </c>
      <c r="V962">
        <f t="shared" ca="1" si="335"/>
        <v>0</v>
      </c>
      <c r="W962">
        <f t="shared" ca="1" si="335"/>
        <v>0</v>
      </c>
      <c r="X962">
        <f t="shared" ca="1" si="335"/>
        <v>0</v>
      </c>
      <c r="Y962">
        <f t="shared" ca="1" si="335"/>
        <v>0</v>
      </c>
      <c r="Z962">
        <f t="shared" ca="1" si="335"/>
        <v>0</v>
      </c>
      <c r="AA962">
        <f t="shared" ca="1" si="335"/>
        <v>0</v>
      </c>
      <c r="AB962">
        <f t="shared" ca="1" si="335"/>
        <v>0</v>
      </c>
      <c r="AC962">
        <f t="shared" ca="1" si="335"/>
        <v>0</v>
      </c>
      <c r="AD962" s="316">
        <f t="shared" ca="1" si="327"/>
        <v>0</v>
      </c>
      <c r="AE962" s="316">
        <f t="shared" ca="1" si="328"/>
        <v>0</v>
      </c>
      <c r="AF962" s="316">
        <f t="shared" ca="1" si="328"/>
        <v>0</v>
      </c>
      <c r="AG962" s="316">
        <f t="shared" ca="1" si="328"/>
        <v>0</v>
      </c>
      <c r="AH962" s="316">
        <f t="shared" ca="1" si="328"/>
        <v>0</v>
      </c>
      <c r="AI962" s="316">
        <f t="shared" ca="1" si="328"/>
        <v>0</v>
      </c>
      <c r="AJ962" s="316">
        <f t="shared" ca="1" si="328"/>
        <v>0</v>
      </c>
      <c r="AK962" s="316">
        <f t="shared" ca="1" si="328"/>
        <v>0</v>
      </c>
      <c r="AL962" s="316">
        <f t="shared" ca="1" si="328"/>
        <v>0</v>
      </c>
      <c r="AM962" s="316">
        <f t="shared" ca="1" si="328"/>
        <v>0</v>
      </c>
      <c r="AN962" s="316">
        <f t="shared" ca="1" si="328"/>
        <v>0</v>
      </c>
      <c r="AO962" s="316">
        <f t="shared" ca="1" si="328"/>
        <v>0</v>
      </c>
      <c r="AP962" s="316">
        <f t="shared" ca="1" si="328"/>
        <v>0</v>
      </c>
      <c r="AQ962" s="316">
        <f t="shared" ca="1" si="328"/>
        <v>0</v>
      </c>
      <c r="AR962" s="316">
        <f t="shared" ca="1" si="328"/>
        <v>0</v>
      </c>
      <c r="AS962" s="316">
        <f t="shared" ca="1" si="328"/>
        <v>0</v>
      </c>
      <c r="AT962" s="316">
        <f t="shared" ca="1" si="328"/>
        <v>0</v>
      </c>
      <c r="AU962" s="316">
        <f t="shared" ca="1" si="328"/>
        <v>0</v>
      </c>
      <c r="AV962" s="316">
        <f t="shared" ca="1" si="328"/>
        <v>0</v>
      </c>
      <c r="AW962" s="316">
        <f t="shared" ca="1" si="328"/>
        <v>0</v>
      </c>
      <c r="BA962" s="49">
        <f t="shared" ca="1" si="334"/>
        <v>0</v>
      </c>
      <c r="BB962" s="49"/>
      <c r="BC962" s="49">
        <f t="shared" ca="1" si="332"/>
        <v>0</v>
      </c>
      <c r="BD962" s="49"/>
      <c r="BE962" s="49">
        <f t="shared" ca="1" si="333"/>
        <v>0</v>
      </c>
    </row>
    <row r="963" spans="3:57">
      <c r="C963" t="str">
        <f t="shared" si="329"/>
        <v>combined cycle gas</v>
      </c>
      <c r="D963">
        <f t="shared" si="325"/>
        <v>0</v>
      </c>
      <c r="E963">
        <f t="shared" si="335"/>
        <v>0</v>
      </c>
      <c r="F963">
        <f t="shared" si="335"/>
        <v>0</v>
      </c>
      <c r="G963">
        <f t="shared" si="335"/>
        <v>0</v>
      </c>
      <c r="H963">
        <f t="shared" si="335"/>
        <v>0</v>
      </c>
      <c r="I963">
        <f t="shared" ca="1" si="335"/>
        <v>0</v>
      </c>
      <c r="J963">
        <f t="shared" ca="1" si="335"/>
        <v>0</v>
      </c>
      <c r="K963">
        <f t="shared" ca="1" si="335"/>
        <v>0</v>
      </c>
      <c r="L963">
        <f t="shared" ca="1" si="335"/>
        <v>0</v>
      </c>
      <c r="M963">
        <f t="shared" ca="1" si="335"/>
        <v>0</v>
      </c>
      <c r="N963">
        <f t="shared" ca="1" si="335"/>
        <v>0</v>
      </c>
      <c r="O963">
        <f t="shared" ca="1" si="335"/>
        <v>0</v>
      </c>
      <c r="P963">
        <f t="shared" ca="1" si="335"/>
        <v>0</v>
      </c>
      <c r="Q963">
        <f t="shared" ca="1" si="335"/>
        <v>0</v>
      </c>
      <c r="R963">
        <f t="shared" ca="1" si="335"/>
        <v>0</v>
      </c>
      <c r="S963">
        <f t="shared" ca="1" si="335"/>
        <v>0</v>
      </c>
      <c r="T963">
        <f t="shared" ca="1" si="335"/>
        <v>0</v>
      </c>
      <c r="U963">
        <f t="shared" ca="1" si="335"/>
        <v>0</v>
      </c>
      <c r="V963">
        <f t="shared" ca="1" si="335"/>
        <v>0</v>
      </c>
      <c r="W963">
        <f t="shared" ca="1" si="335"/>
        <v>0</v>
      </c>
      <c r="X963">
        <f t="shared" ca="1" si="335"/>
        <v>0</v>
      </c>
      <c r="Y963">
        <f t="shared" ca="1" si="335"/>
        <v>0</v>
      </c>
      <c r="Z963">
        <f t="shared" ca="1" si="335"/>
        <v>0</v>
      </c>
      <c r="AA963">
        <f t="shared" ca="1" si="335"/>
        <v>0</v>
      </c>
      <c r="AB963">
        <f t="shared" ca="1" si="335"/>
        <v>0</v>
      </c>
      <c r="AC963">
        <f t="shared" ca="1" si="335"/>
        <v>0</v>
      </c>
      <c r="AD963" s="316">
        <f t="shared" ca="1" si="327"/>
        <v>0</v>
      </c>
      <c r="AE963" s="316">
        <f t="shared" ca="1" si="328"/>
        <v>0</v>
      </c>
      <c r="AF963" s="316">
        <f t="shared" ca="1" si="328"/>
        <v>0</v>
      </c>
      <c r="AG963" s="316">
        <f t="shared" ca="1" si="328"/>
        <v>0</v>
      </c>
      <c r="AH963" s="316">
        <f t="shared" ca="1" si="328"/>
        <v>0</v>
      </c>
      <c r="AI963" s="316">
        <f t="shared" ca="1" si="328"/>
        <v>0</v>
      </c>
      <c r="AJ963" s="316">
        <f t="shared" ca="1" si="328"/>
        <v>0</v>
      </c>
      <c r="AK963" s="316">
        <f t="shared" ca="1" si="328"/>
        <v>0</v>
      </c>
      <c r="AL963" s="316">
        <f t="shared" ca="1" si="328"/>
        <v>0</v>
      </c>
      <c r="AM963" s="316">
        <f t="shared" ca="1" si="328"/>
        <v>0</v>
      </c>
      <c r="AN963" s="316">
        <f t="shared" ca="1" si="328"/>
        <v>0</v>
      </c>
      <c r="AO963" s="316">
        <f t="shared" ca="1" si="328"/>
        <v>0</v>
      </c>
      <c r="AP963" s="316">
        <f t="shared" ca="1" si="328"/>
        <v>0</v>
      </c>
      <c r="AQ963" s="316">
        <f t="shared" ca="1" si="328"/>
        <v>0</v>
      </c>
      <c r="AR963" s="316">
        <f t="shared" ca="1" si="328"/>
        <v>0</v>
      </c>
      <c r="AS963" s="316">
        <f t="shared" ca="1" si="328"/>
        <v>0</v>
      </c>
      <c r="AT963" s="316">
        <f t="shared" ca="1" si="328"/>
        <v>0</v>
      </c>
      <c r="AU963" s="316">
        <f t="shared" ca="1" si="328"/>
        <v>0</v>
      </c>
      <c r="AV963" s="316">
        <f t="shared" ca="1" si="328"/>
        <v>0</v>
      </c>
      <c r="AW963" s="316">
        <f t="shared" ca="1" si="328"/>
        <v>0</v>
      </c>
      <c r="BA963" s="49">
        <f t="shared" ca="1" si="334"/>
        <v>0</v>
      </c>
      <c r="BB963" s="49"/>
      <c r="BC963" s="49">
        <f t="shared" ca="1" si="332"/>
        <v>0</v>
      </c>
      <c r="BD963" s="49"/>
      <c r="BE963" s="49">
        <f t="shared" ca="1" si="333"/>
        <v>0</v>
      </c>
    </row>
    <row r="964" spans="3:57">
      <c r="C964" t="str">
        <f t="shared" si="329"/>
        <v>PBMR</v>
      </c>
      <c r="D964">
        <f t="shared" si="325"/>
        <v>0</v>
      </c>
      <c r="E964">
        <f t="shared" si="335"/>
        <v>0</v>
      </c>
      <c r="F964">
        <f t="shared" si="335"/>
        <v>0</v>
      </c>
      <c r="G964">
        <f t="shared" si="335"/>
        <v>0</v>
      </c>
      <c r="H964">
        <f t="shared" si="335"/>
        <v>0</v>
      </c>
      <c r="I964">
        <f t="shared" ca="1" si="335"/>
        <v>0</v>
      </c>
      <c r="J964">
        <f t="shared" ca="1" si="335"/>
        <v>0</v>
      </c>
      <c r="K964">
        <f t="shared" ca="1" si="335"/>
        <v>0</v>
      </c>
      <c r="L964">
        <f t="shared" ca="1" si="335"/>
        <v>0</v>
      </c>
      <c r="M964">
        <f t="shared" ca="1" si="335"/>
        <v>0</v>
      </c>
      <c r="N964">
        <f t="shared" ca="1" si="335"/>
        <v>0</v>
      </c>
      <c r="O964">
        <f t="shared" ca="1" si="335"/>
        <v>0</v>
      </c>
      <c r="P964">
        <f t="shared" ca="1" si="335"/>
        <v>0</v>
      </c>
      <c r="Q964">
        <f t="shared" ca="1" si="335"/>
        <v>0</v>
      </c>
      <c r="R964">
        <f t="shared" ca="1" si="335"/>
        <v>0</v>
      </c>
      <c r="S964">
        <f t="shared" ca="1" si="335"/>
        <v>0</v>
      </c>
      <c r="T964">
        <f t="shared" ca="1" si="335"/>
        <v>0</v>
      </c>
      <c r="U964">
        <f t="shared" ca="1" si="335"/>
        <v>0</v>
      </c>
      <c r="V964">
        <f t="shared" ca="1" si="335"/>
        <v>0</v>
      </c>
      <c r="W964">
        <f t="shared" ca="1" si="335"/>
        <v>0</v>
      </c>
      <c r="X964">
        <f t="shared" ca="1" si="335"/>
        <v>0</v>
      </c>
      <c r="Y964">
        <f t="shared" ca="1" si="335"/>
        <v>0</v>
      </c>
      <c r="Z964">
        <f t="shared" ca="1" si="335"/>
        <v>0</v>
      </c>
      <c r="AA964">
        <f t="shared" ca="1" si="335"/>
        <v>0</v>
      </c>
      <c r="AB964">
        <f t="shared" ca="1" si="335"/>
        <v>0</v>
      </c>
      <c r="AC964">
        <f t="shared" ca="1" si="335"/>
        <v>0</v>
      </c>
      <c r="AD964" s="316">
        <f t="shared" ca="1" si="327"/>
        <v>0</v>
      </c>
      <c r="AE964" s="316">
        <f t="shared" ca="1" si="328"/>
        <v>0</v>
      </c>
      <c r="AF964" s="316">
        <f t="shared" ca="1" si="328"/>
        <v>0</v>
      </c>
      <c r="AG964" s="316">
        <f t="shared" ca="1" si="328"/>
        <v>0</v>
      </c>
      <c r="AH964" s="316">
        <f t="shared" ca="1" si="328"/>
        <v>0</v>
      </c>
      <c r="AI964" s="316">
        <f t="shared" ref="AE964:AW970" ca="1" si="336">AH964</f>
        <v>0</v>
      </c>
      <c r="AJ964" s="316">
        <f t="shared" ca="1" si="336"/>
        <v>0</v>
      </c>
      <c r="AK964" s="316">
        <f t="shared" ca="1" si="336"/>
        <v>0</v>
      </c>
      <c r="AL964" s="316">
        <f t="shared" ca="1" si="336"/>
        <v>0</v>
      </c>
      <c r="AM964" s="316">
        <f t="shared" ca="1" si="336"/>
        <v>0</v>
      </c>
      <c r="AN964" s="316">
        <f t="shared" ca="1" si="336"/>
        <v>0</v>
      </c>
      <c r="AO964" s="316">
        <f t="shared" ca="1" si="336"/>
        <v>0</v>
      </c>
      <c r="AP964" s="316">
        <f t="shared" ca="1" si="336"/>
        <v>0</v>
      </c>
      <c r="AQ964" s="316">
        <f t="shared" ca="1" si="336"/>
        <v>0</v>
      </c>
      <c r="AR964" s="316">
        <f t="shared" ca="1" si="336"/>
        <v>0</v>
      </c>
      <c r="AS964" s="316">
        <f t="shared" ca="1" si="336"/>
        <v>0</v>
      </c>
      <c r="AT964" s="316">
        <f t="shared" ca="1" si="336"/>
        <v>0</v>
      </c>
      <c r="AU964" s="316">
        <f t="shared" ca="1" si="336"/>
        <v>0</v>
      </c>
      <c r="AV964" s="316">
        <f t="shared" ca="1" si="336"/>
        <v>0</v>
      </c>
      <c r="AW964" s="316">
        <f t="shared" ca="1" si="336"/>
        <v>0</v>
      </c>
      <c r="BA964" s="49">
        <f t="shared" ca="1" si="334"/>
        <v>0</v>
      </c>
      <c r="BB964" s="49"/>
      <c r="BC964" s="49">
        <f t="shared" ca="1" si="332"/>
        <v>0</v>
      </c>
      <c r="BD964" s="49"/>
      <c r="BE964" s="49">
        <f t="shared" ca="1" si="333"/>
        <v>0</v>
      </c>
    </row>
    <row r="965" spans="3:57">
      <c r="C965" t="str">
        <f t="shared" si="329"/>
        <v>IGCC</v>
      </c>
      <c r="D965">
        <f t="shared" si="325"/>
        <v>0</v>
      </c>
      <c r="E965">
        <f t="shared" si="335"/>
        <v>0</v>
      </c>
      <c r="F965">
        <f t="shared" si="335"/>
        <v>0</v>
      </c>
      <c r="G965">
        <f t="shared" si="335"/>
        <v>0</v>
      </c>
      <c r="H965">
        <f t="shared" si="335"/>
        <v>0</v>
      </c>
      <c r="I965">
        <f t="shared" ca="1" si="335"/>
        <v>0</v>
      </c>
      <c r="J965">
        <f t="shared" ca="1" si="335"/>
        <v>0</v>
      </c>
      <c r="K965">
        <f t="shared" ca="1" si="335"/>
        <v>0</v>
      </c>
      <c r="L965">
        <f t="shared" ca="1" si="335"/>
        <v>0</v>
      </c>
      <c r="M965">
        <f t="shared" ca="1" si="335"/>
        <v>0</v>
      </c>
      <c r="N965">
        <f t="shared" ca="1" si="335"/>
        <v>0</v>
      </c>
      <c r="O965">
        <f t="shared" ca="1" si="335"/>
        <v>0</v>
      </c>
      <c r="P965">
        <f t="shared" ca="1" si="335"/>
        <v>0</v>
      </c>
      <c r="Q965">
        <f t="shared" ca="1" si="335"/>
        <v>0</v>
      </c>
      <c r="R965">
        <f t="shared" ca="1" si="335"/>
        <v>0</v>
      </c>
      <c r="S965">
        <f t="shared" ca="1" si="335"/>
        <v>0</v>
      </c>
      <c r="T965">
        <f t="shared" ca="1" si="335"/>
        <v>0</v>
      </c>
      <c r="U965">
        <f t="shared" ca="1" si="335"/>
        <v>0</v>
      </c>
      <c r="V965">
        <f t="shared" ca="1" si="335"/>
        <v>0</v>
      </c>
      <c r="W965">
        <f t="shared" ca="1" si="335"/>
        <v>0</v>
      </c>
      <c r="X965">
        <f t="shared" ca="1" si="335"/>
        <v>0</v>
      </c>
      <c r="Y965">
        <f t="shared" ca="1" si="335"/>
        <v>0</v>
      </c>
      <c r="Z965">
        <f t="shared" ca="1" si="335"/>
        <v>0</v>
      </c>
      <c r="AA965">
        <f t="shared" ca="1" si="335"/>
        <v>0</v>
      </c>
      <c r="AB965">
        <f t="shared" ca="1" si="335"/>
        <v>0</v>
      </c>
      <c r="AC965">
        <f t="shared" ca="1" si="335"/>
        <v>0</v>
      </c>
      <c r="AD965" s="316">
        <f t="shared" ca="1" si="327"/>
        <v>0</v>
      </c>
      <c r="AE965" s="316">
        <f t="shared" ca="1" si="336"/>
        <v>0</v>
      </c>
      <c r="AF965" s="316">
        <f t="shared" ca="1" si="336"/>
        <v>0</v>
      </c>
      <c r="AG965" s="316">
        <f t="shared" ca="1" si="336"/>
        <v>0</v>
      </c>
      <c r="AH965" s="316">
        <f t="shared" ca="1" si="336"/>
        <v>0</v>
      </c>
      <c r="AI965" s="316">
        <f t="shared" ca="1" si="336"/>
        <v>0</v>
      </c>
      <c r="AJ965" s="316">
        <f t="shared" ca="1" si="336"/>
        <v>0</v>
      </c>
      <c r="AK965" s="316">
        <f t="shared" ca="1" si="336"/>
        <v>0</v>
      </c>
      <c r="AL965" s="316">
        <f t="shared" ca="1" si="336"/>
        <v>0</v>
      </c>
      <c r="AM965" s="316">
        <f t="shared" ca="1" si="336"/>
        <v>0</v>
      </c>
      <c r="AN965" s="316">
        <f t="shared" ca="1" si="336"/>
        <v>0</v>
      </c>
      <c r="AO965" s="316">
        <f t="shared" ca="1" si="336"/>
        <v>0</v>
      </c>
      <c r="AP965" s="316">
        <f t="shared" ca="1" si="336"/>
        <v>0</v>
      </c>
      <c r="AQ965" s="316">
        <f t="shared" ca="1" si="336"/>
        <v>0</v>
      </c>
      <c r="AR965" s="316">
        <f t="shared" ca="1" si="336"/>
        <v>0</v>
      </c>
      <c r="AS965" s="316">
        <f t="shared" ca="1" si="336"/>
        <v>0</v>
      </c>
      <c r="AT965" s="316">
        <f t="shared" ca="1" si="336"/>
        <v>0</v>
      </c>
      <c r="AU965" s="316">
        <f t="shared" ca="1" si="336"/>
        <v>0</v>
      </c>
      <c r="AV965" s="316">
        <f t="shared" ca="1" si="336"/>
        <v>0</v>
      </c>
      <c r="AW965" s="316">
        <f t="shared" ca="1" si="336"/>
        <v>0</v>
      </c>
      <c r="BA965" s="49">
        <f t="shared" ca="1" si="334"/>
        <v>0</v>
      </c>
      <c r="BB965" s="49"/>
      <c r="BC965" s="49">
        <f t="shared" ca="1" si="332"/>
        <v>0</v>
      </c>
      <c r="BD965" s="49"/>
      <c r="BE965" s="49">
        <f t="shared" ca="1" si="333"/>
        <v>0</v>
      </c>
    </row>
    <row r="966" spans="3:57">
      <c r="C966" t="str">
        <f t="shared" si="329"/>
        <v>-</v>
      </c>
      <c r="D966">
        <f t="shared" si="325"/>
        <v>0</v>
      </c>
      <c r="E966">
        <f t="shared" si="335"/>
        <v>0</v>
      </c>
      <c r="F966">
        <f t="shared" si="335"/>
        <v>0</v>
      </c>
      <c r="G966">
        <f t="shared" si="335"/>
        <v>0</v>
      </c>
      <c r="H966">
        <f t="shared" si="335"/>
        <v>0</v>
      </c>
      <c r="I966">
        <f t="shared" ca="1" si="335"/>
        <v>0</v>
      </c>
      <c r="J966">
        <f t="shared" ca="1" si="335"/>
        <v>0</v>
      </c>
      <c r="K966">
        <f t="shared" ca="1" si="335"/>
        <v>0</v>
      </c>
      <c r="L966">
        <f t="shared" ca="1" si="335"/>
        <v>0</v>
      </c>
      <c r="M966">
        <f t="shared" ca="1" si="335"/>
        <v>0</v>
      </c>
      <c r="N966">
        <f t="shared" ca="1" si="335"/>
        <v>0</v>
      </c>
      <c r="O966">
        <f t="shared" ca="1" si="335"/>
        <v>0</v>
      </c>
      <c r="P966">
        <f t="shared" ca="1" si="335"/>
        <v>0</v>
      </c>
      <c r="Q966">
        <f t="shared" ca="1" si="335"/>
        <v>0</v>
      </c>
      <c r="R966">
        <f t="shared" ca="1" si="335"/>
        <v>0</v>
      </c>
      <c r="S966">
        <f t="shared" ca="1" si="335"/>
        <v>0</v>
      </c>
      <c r="T966">
        <f t="shared" ca="1" si="335"/>
        <v>0</v>
      </c>
      <c r="U966">
        <f t="shared" ca="1" si="335"/>
        <v>0</v>
      </c>
      <c r="V966">
        <f t="shared" ca="1" si="335"/>
        <v>0</v>
      </c>
      <c r="W966">
        <f t="shared" ca="1" si="335"/>
        <v>0</v>
      </c>
      <c r="X966">
        <f t="shared" ca="1" si="335"/>
        <v>0</v>
      </c>
      <c r="Y966">
        <f t="shared" ca="1" si="335"/>
        <v>0</v>
      </c>
      <c r="Z966">
        <f t="shared" ca="1" si="335"/>
        <v>0</v>
      </c>
      <c r="AA966">
        <f t="shared" ca="1" si="335"/>
        <v>0</v>
      </c>
      <c r="AB966">
        <f t="shared" ca="1" si="335"/>
        <v>0</v>
      </c>
      <c r="AC966">
        <f t="shared" ca="1" si="335"/>
        <v>0</v>
      </c>
      <c r="AD966" s="316">
        <f t="shared" ca="1" si="327"/>
        <v>0</v>
      </c>
      <c r="AE966" s="316">
        <f t="shared" ca="1" si="336"/>
        <v>0</v>
      </c>
      <c r="AF966" s="316">
        <f t="shared" ca="1" si="336"/>
        <v>0</v>
      </c>
      <c r="AG966" s="316">
        <f t="shared" ca="1" si="336"/>
        <v>0</v>
      </c>
      <c r="AH966" s="316">
        <f t="shared" ca="1" si="336"/>
        <v>0</v>
      </c>
      <c r="AI966" s="316">
        <f t="shared" ca="1" si="336"/>
        <v>0</v>
      </c>
      <c r="AJ966" s="316">
        <f t="shared" ca="1" si="336"/>
        <v>0</v>
      </c>
      <c r="AK966" s="316">
        <f t="shared" ca="1" si="336"/>
        <v>0</v>
      </c>
      <c r="AL966" s="316">
        <f t="shared" ca="1" si="336"/>
        <v>0</v>
      </c>
      <c r="AM966" s="316">
        <f t="shared" ca="1" si="336"/>
        <v>0</v>
      </c>
      <c r="AN966" s="316">
        <f t="shared" ca="1" si="336"/>
        <v>0</v>
      </c>
      <c r="AO966" s="316">
        <f t="shared" ca="1" si="336"/>
        <v>0</v>
      </c>
      <c r="AP966" s="316">
        <f t="shared" ca="1" si="336"/>
        <v>0</v>
      </c>
      <c r="AQ966" s="316">
        <f t="shared" ca="1" si="336"/>
        <v>0</v>
      </c>
      <c r="AR966" s="316">
        <f t="shared" ca="1" si="336"/>
        <v>0</v>
      </c>
      <c r="AS966" s="316">
        <f t="shared" ca="1" si="336"/>
        <v>0</v>
      </c>
      <c r="AT966" s="316">
        <f t="shared" ca="1" si="336"/>
        <v>0</v>
      </c>
      <c r="AU966" s="316">
        <f t="shared" ca="1" si="336"/>
        <v>0</v>
      </c>
      <c r="AV966" s="316">
        <f t="shared" ca="1" si="336"/>
        <v>0</v>
      </c>
      <c r="AW966" s="316">
        <f t="shared" ca="1" si="336"/>
        <v>0</v>
      </c>
      <c r="BA966" s="49">
        <f t="shared" ca="1" si="334"/>
        <v>0</v>
      </c>
      <c r="BB966" s="49"/>
      <c r="BC966" s="49">
        <f t="shared" ca="1" si="332"/>
        <v>0</v>
      </c>
      <c r="BD966" s="49"/>
      <c r="BE966" s="49">
        <f t="shared" ca="1" si="333"/>
        <v>0</v>
      </c>
    </row>
    <row r="967" spans="3:57">
      <c r="C967" t="str">
        <f t="shared" si="329"/>
        <v>-</v>
      </c>
      <c r="D967">
        <f t="shared" si="325"/>
        <v>0</v>
      </c>
      <c r="E967">
        <f t="shared" si="335"/>
        <v>0</v>
      </c>
      <c r="F967">
        <f t="shared" si="335"/>
        <v>0</v>
      </c>
      <c r="G967">
        <f t="shared" si="335"/>
        <v>0</v>
      </c>
      <c r="H967">
        <f t="shared" si="335"/>
        <v>0</v>
      </c>
      <c r="I967">
        <f t="shared" ca="1" si="335"/>
        <v>0</v>
      </c>
      <c r="J967">
        <f t="shared" ca="1" si="335"/>
        <v>0</v>
      </c>
      <c r="K967">
        <f t="shared" ca="1" si="335"/>
        <v>0</v>
      </c>
      <c r="L967">
        <f t="shared" ca="1" si="335"/>
        <v>0</v>
      </c>
      <c r="M967">
        <f t="shared" ca="1" si="335"/>
        <v>0</v>
      </c>
      <c r="N967">
        <f t="shared" ca="1" si="335"/>
        <v>0</v>
      </c>
      <c r="O967">
        <f t="shared" ca="1" si="335"/>
        <v>0</v>
      </c>
      <c r="P967">
        <f t="shared" ca="1" si="335"/>
        <v>0</v>
      </c>
      <c r="Q967">
        <f t="shared" ca="1" si="335"/>
        <v>0</v>
      </c>
      <c r="R967">
        <f t="shared" ca="1" si="335"/>
        <v>0</v>
      </c>
      <c r="S967">
        <f t="shared" ca="1" si="335"/>
        <v>0</v>
      </c>
      <c r="T967">
        <f t="shared" ca="1" si="335"/>
        <v>0</v>
      </c>
      <c r="U967">
        <f t="shared" ca="1" si="335"/>
        <v>0</v>
      </c>
      <c r="V967">
        <f t="shared" ca="1" si="335"/>
        <v>0</v>
      </c>
      <c r="W967">
        <f t="shared" ca="1" si="335"/>
        <v>0</v>
      </c>
      <c r="X967">
        <f t="shared" ca="1" si="335"/>
        <v>0</v>
      </c>
      <c r="Y967">
        <f t="shared" ca="1" si="335"/>
        <v>0</v>
      </c>
      <c r="Z967">
        <f t="shared" ca="1" si="335"/>
        <v>0</v>
      </c>
      <c r="AA967">
        <f t="shared" ca="1" si="335"/>
        <v>0</v>
      </c>
      <c r="AB967">
        <f t="shared" ca="1" si="335"/>
        <v>0</v>
      </c>
      <c r="AC967">
        <f t="shared" ca="1" si="335"/>
        <v>0</v>
      </c>
      <c r="AD967" s="316">
        <f t="shared" ca="1" si="327"/>
        <v>0</v>
      </c>
      <c r="AE967" s="316">
        <f t="shared" ca="1" si="336"/>
        <v>0</v>
      </c>
      <c r="AF967" s="316">
        <f t="shared" ca="1" si="336"/>
        <v>0</v>
      </c>
      <c r="AG967" s="316">
        <f t="shared" ca="1" si="336"/>
        <v>0</v>
      </c>
      <c r="AH967" s="316">
        <f t="shared" ca="1" si="336"/>
        <v>0</v>
      </c>
      <c r="AI967" s="316">
        <f t="shared" ca="1" si="336"/>
        <v>0</v>
      </c>
      <c r="AJ967" s="316">
        <f t="shared" ca="1" si="336"/>
        <v>0</v>
      </c>
      <c r="AK967" s="316">
        <f t="shared" ca="1" si="336"/>
        <v>0</v>
      </c>
      <c r="AL967" s="316">
        <f t="shared" ca="1" si="336"/>
        <v>0</v>
      </c>
      <c r="AM967" s="316">
        <f t="shared" ca="1" si="336"/>
        <v>0</v>
      </c>
      <c r="AN967" s="316">
        <f t="shared" ca="1" si="336"/>
        <v>0</v>
      </c>
      <c r="AO967" s="316">
        <f t="shared" ca="1" si="336"/>
        <v>0</v>
      </c>
      <c r="AP967" s="316">
        <f t="shared" ca="1" si="336"/>
        <v>0</v>
      </c>
      <c r="AQ967" s="316">
        <f t="shared" ca="1" si="336"/>
        <v>0</v>
      </c>
      <c r="AR967" s="316">
        <f t="shared" ca="1" si="336"/>
        <v>0</v>
      </c>
      <c r="AS967" s="316">
        <f t="shared" ca="1" si="336"/>
        <v>0</v>
      </c>
      <c r="AT967" s="316">
        <f t="shared" ca="1" si="336"/>
        <v>0</v>
      </c>
      <c r="AU967" s="316">
        <f t="shared" ca="1" si="336"/>
        <v>0</v>
      </c>
      <c r="AV967" s="316">
        <f t="shared" ca="1" si="336"/>
        <v>0</v>
      </c>
      <c r="AW967" s="316">
        <f t="shared" ca="1" si="336"/>
        <v>0</v>
      </c>
      <c r="AZ967" s="21"/>
      <c r="BA967" s="49">
        <f t="shared" ca="1" si="334"/>
        <v>0</v>
      </c>
      <c r="BB967" s="78"/>
      <c r="BC967" s="49">
        <f t="shared" ca="1" si="332"/>
        <v>0</v>
      </c>
      <c r="BD967" s="78"/>
      <c r="BE967" s="49">
        <f t="shared" ca="1" si="333"/>
        <v>0</v>
      </c>
    </row>
    <row r="968" spans="3:57">
      <c r="C968" t="str">
        <f t="shared" si="329"/>
        <v>-</v>
      </c>
      <c r="D968">
        <f t="shared" si="325"/>
        <v>0</v>
      </c>
      <c r="E968">
        <f t="shared" si="335"/>
        <v>0</v>
      </c>
      <c r="F968">
        <f t="shared" si="335"/>
        <v>0</v>
      </c>
      <c r="G968">
        <f t="shared" si="335"/>
        <v>0</v>
      </c>
      <c r="H968">
        <f t="shared" si="335"/>
        <v>0</v>
      </c>
      <c r="I968">
        <f t="shared" ca="1" si="335"/>
        <v>0</v>
      </c>
      <c r="J968">
        <f t="shared" ca="1" si="335"/>
        <v>0</v>
      </c>
      <c r="K968">
        <f t="shared" ca="1" si="335"/>
        <v>0</v>
      </c>
      <c r="L968">
        <f t="shared" ca="1" si="335"/>
        <v>0</v>
      </c>
      <c r="M968">
        <f t="shared" ca="1" si="335"/>
        <v>0</v>
      </c>
      <c r="N968">
        <f t="shared" ca="1" si="335"/>
        <v>0</v>
      </c>
      <c r="O968">
        <f t="shared" ca="1" si="335"/>
        <v>0</v>
      </c>
      <c r="P968">
        <f t="shared" ca="1" si="335"/>
        <v>0</v>
      </c>
      <c r="Q968">
        <f t="shared" ca="1" si="335"/>
        <v>0</v>
      </c>
      <c r="R968">
        <f t="shared" ca="1" si="335"/>
        <v>0</v>
      </c>
      <c r="S968">
        <f t="shared" ca="1" si="335"/>
        <v>0</v>
      </c>
      <c r="T968">
        <f t="shared" ca="1" si="335"/>
        <v>0</v>
      </c>
      <c r="U968">
        <f t="shared" ca="1" si="335"/>
        <v>0</v>
      </c>
      <c r="V968">
        <f t="shared" ca="1" si="335"/>
        <v>0</v>
      </c>
      <c r="W968">
        <f t="shared" ca="1" si="335"/>
        <v>0</v>
      </c>
      <c r="X968">
        <f t="shared" ca="1" si="335"/>
        <v>0</v>
      </c>
      <c r="Y968">
        <f t="shared" ca="1" si="335"/>
        <v>0</v>
      </c>
      <c r="Z968">
        <f t="shared" ca="1" si="335"/>
        <v>0</v>
      </c>
      <c r="AA968">
        <f t="shared" ca="1" si="335"/>
        <v>0</v>
      </c>
      <c r="AB968">
        <f t="shared" ca="1" si="335"/>
        <v>0</v>
      </c>
      <c r="AC968">
        <f t="shared" ca="1" si="335"/>
        <v>0</v>
      </c>
      <c r="AD968" s="316">
        <f t="shared" ca="1" si="327"/>
        <v>0</v>
      </c>
      <c r="AE968" s="316">
        <f t="shared" ca="1" si="336"/>
        <v>0</v>
      </c>
      <c r="AF968" s="316">
        <f t="shared" ca="1" si="336"/>
        <v>0</v>
      </c>
      <c r="AG968" s="316">
        <f t="shared" ca="1" si="336"/>
        <v>0</v>
      </c>
      <c r="AH968" s="316">
        <f t="shared" ca="1" si="336"/>
        <v>0</v>
      </c>
      <c r="AI968" s="316">
        <f t="shared" ca="1" si="336"/>
        <v>0</v>
      </c>
      <c r="AJ968" s="316">
        <f t="shared" ca="1" si="336"/>
        <v>0</v>
      </c>
      <c r="AK968" s="316">
        <f t="shared" ca="1" si="336"/>
        <v>0</v>
      </c>
      <c r="AL968" s="316">
        <f t="shared" ca="1" si="336"/>
        <v>0</v>
      </c>
      <c r="AM968" s="316">
        <f t="shared" ca="1" si="336"/>
        <v>0</v>
      </c>
      <c r="AN968" s="316">
        <f t="shared" ca="1" si="336"/>
        <v>0</v>
      </c>
      <c r="AO968" s="316">
        <f t="shared" ca="1" si="336"/>
        <v>0</v>
      </c>
      <c r="AP968" s="316">
        <f t="shared" ca="1" si="336"/>
        <v>0</v>
      </c>
      <c r="AQ968" s="316">
        <f t="shared" ca="1" si="336"/>
        <v>0</v>
      </c>
      <c r="AR968" s="316">
        <f t="shared" ca="1" si="336"/>
        <v>0</v>
      </c>
      <c r="AS968" s="316">
        <f t="shared" ca="1" si="336"/>
        <v>0</v>
      </c>
      <c r="AT968" s="316">
        <f t="shared" ca="1" si="336"/>
        <v>0</v>
      </c>
      <c r="AU968" s="316">
        <f t="shared" ca="1" si="336"/>
        <v>0</v>
      </c>
      <c r="AV968" s="316">
        <f t="shared" ca="1" si="336"/>
        <v>0</v>
      </c>
      <c r="AW968" s="316">
        <f t="shared" ca="1" si="336"/>
        <v>0</v>
      </c>
      <c r="AZ968" s="21"/>
      <c r="BA968" s="49">
        <f t="shared" ca="1" si="334"/>
        <v>0</v>
      </c>
      <c r="BB968" s="78"/>
      <c r="BC968" s="49">
        <f t="shared" ca="1" si="332"/>
        <v>0</v>
      </c>
      <c r="BD968" s="78"/>
      <c r="BE968" s="49">
        <f t="shared" ca="1" si="333"/>
        <v>0</v>
      </c>
    </row>
    <row r="969" spans="3:57">
      <c r="C969" t="str">
        <f>C27</f>
        <v>Pumped storage</v>
      </c>
      <c r="D969">
        <f t="shared" si="325"/>
        <v>0</v>
      </c>
      <c r="E969">
        <f t="shared" si="335"/>
        <v>0</v>
      </c>
      <c r="F969">
        <f t="shared" si="335"/>
        <v>0</v>
      </c>
      <c r="G969">
        <f t="shared" si="335"/>
        <v>0</v>
      </c>
      <c r="H969">
        <f t="shared" si="335"/>
        <v>0</v>
      </c>
      <c r="I969">
        <f t="shared" ca="1" si="335"/>
        <v>0</v>
      </c>
      <c r="J969">
        <f t="shared" ca="1" si="335"/>
        <v>0</v>
      </c>
      <c r="K969">
        <f t="shared" ca="1" si="335"/>
        <v>0</v>
      </c>
      <c r="L969">
        <f t="shared" ca="1" si="335"/>
        <v>0</v>
      </c>
      <c r="M969">
        <f t="shared" ca="1" si="335"/>
        <v>0</v>
      </c>
      <c r="N969">
        <f t="shared" ca="1" si="335"/>
        <v>0</v>
      </c>
      <c r="O969">
        <f t="shared" ca="1" si="335"/>
        <v>0</v>
      </c>
      <c r="P969">
        <f t="shared" ca="1" si="335"/>
        <v>0</v>
      </c>
      <c r="Q969">
        <f t="shared" ca="1" si="335"/>
        <v>0</v>
      </c>
      <c r="R969">
        <f t="shared" ca="1" si="335"/>
        <v>0</v>
      </c>
      <c r="S969">
        <f t="shared" ca="1" si="335"/>
        <v>0</v>
      </c>
      <c r="T969">
        <f t="shared" ca="1" si="335"/>
        <v>0</v>
      </c>
      <c r="U969">
        <f t="shared" ca="1" si="335"/>
        <v>0</v>
      </c>
      <c r="V969">
        <f t="shared" ca="1" si="335"/>
        <v>0</v>
      </c>
      <c r="W969">
        <f t="shared" ca="1" si="335"/>
        <v>0</v>
      </c>
      <c r="X969">
        <f t="shared" ca="1" si="335"/>
        <v>0</v>
      </c>
      <c r="Y969">
        <f t="shared" ca="1" si="335"/>
        <v>0</v>
      </c>
      <c r="Z969">
        <f t="shared" ca="1" si="335"/>
        <v>0</v>
      </c>
      <c r="AA969">
        <f t="shared" ca="1" si="335"/>
        <v>0</v>
      </c>
      <c r="AB969">
        <f t="shared" ca="1" si="335"/>
        <v>0</v>
      </c>
      <c r="AC969">
        <f t="shared" ca="1" si="335"/>
        <v>0</v>
      </c>
      <c r="AD969" s="316">
        <f t="shared" ca="1" si="327"/>
        <v>0</v>
      </c>
      <c r="AE969" s="316">
        <f t="shared" ca="1" si="336"/>
        <v>0</v>
      </c>
      <c r="AF969" s="316">
        <f t="shared" ca="1" si="336"/>
        <v>0</v>
      </c>
      <c r="AG969" s="316">
        <f t="shared" ca="1" si="336"/>
        <v>0</v>
      </c>
      <c r="AH969" s="316">
        <f t="shared" ca="1" si="336"/>
        <v>0</v>
      </c>
      <c r="AI969" s="316">
        <f t="shared" ca="1" si="336"/>
        <v>0</v>
      </c>
      <c r="AJ969" s="316">
        <f t="shared" ca="1" si="336"/>
        <v>0</v>
      </c>
      <c r="AK969" s="316">
        <f t="shared" ca="1" si="336"/>
        <v>0</v>
      </c>
      <c r="AL969" s="316">
        <f t="shared" ca="1" si="336"/>
        <v>0</v>
      </c>
      <c r="AM969" s="316">
        <f t="shared" ca="1" si="336"/>
        <v>0</v>
      </c>
      <c r="AN969" s="316">
        <f t="shared" ca="1" si="336"/>
        <v>0</v>
      </c>
      <c r="AO969" s="316">
        <f t="shared" ca="1" si="336"/>
        <v>0</v>
      </c>
      <c r="AP969" s="316">
        <f t="shared" ca="1" si="336"/>
        <v>0</v>
      </c>
      <c r="AQ969" s="316">
        <f t="shared" ca="1" si="336"/>
        <v>0</v>
      </c>
      <c r="AR969" s="316">
        <f t="shared" ca="1" si="336"/>
        <v>0</v>
      </c>
      <c r="AS969" s="316">
        <f t="shared" ca="1" si="336"/>
        <v>0</v>
      </c>
      <c r="AT969" s="316">
        <f t="shared" ca="1" si="336"/>
        <v>0</v>
      </c>
      <c r="AU969" s="316">
        <f t="shared" ca="1" si="336"/>
        <v>0</v>
      </c>
      <c r="AV969" s="316">
        <f t="shared" ca="1" si="336"/>
        <v>0</v>
      </c>
      <c r="AW969" s="316">
        <f t="shared" ca="1" si="336"/>
        <v>0</v>
      </c>
      <c r="BA969" s="49">
        <f t="shared" ca="1" si="334"/>
        <v>0</v>
      </c>
      <c r="BB969" s="49"/>
      <c r="BC969" s="49">
        <f t="shared" ca="1" si="332"/>
        <v>0</v>
      </c>
      <c r="BD969" s="49"/>
      <c r="BE969" s="49">
        <f t="shared" ca="1" si="333"/>
        <v>0</v>
      </c>
    </row>
    <row r="970" spans="3:57">
      <c r="C970" t="str">
        <f t="shared" si="329"/>
        <v>TOTAL</v>
      </c>
      <c r="D970">
        <f t="shared" si="325"/>
        <v>0</v>
      </c>
      <c r="E970">
        <f t="shared" si="335"/>
        <v>0</v>
      </c>
      <c r="F970">
        <f t="shared" si="335"/>
        <v>0</v>
      </c>
      <c r="G970">
        <f t="shared" si="335"/>
        <v>0</v>
      </c>
      <c r="H970">
        <f t="shared" si="335"/>
        <v>0</v>
      </c>
      <c r="I970">
        <f t="shared" ca="1" si="335"/>
        <v>0</v>
      </c>
      <c r="J970">
        <f t="shared" ca="1" si="335"/>
        <v>0</v>
      </c>
      <c r="K970">
        <f t="shared" ca="1" si="335"/>
        <v>24583.11069036174</v>
      </c>
      <c r="L970">
        <f t="shared" ca="1" si="335"/>
        <v>25293.9489102591</v>
      </c>
      <c r="M970">
        <f t="shared" ca="1" si="335"/>
        <v>26127.154671016746</v>
      </c>
      <c r="N970">
        <f t="shared" ca="1" si="335"/>
        <v>26904.600623528404</v>
      </c>
      <c r="O970">
        <f t="shared" ca="1" si="335"/>
        <v>83168.844185757815</v>
      </c>
      <c r="P970">
        <f t="shared" ca="1" si="335"/>
        <v>85583.406849191335</v>
      </c>
      <c r="Q970">
        <f t="shared" ca="1" si="335"/>
        <v>88128.326031359742</v>
      </c>
      <c r="R970">
        <f t="shared" ca="1" si="335"/>
        <v>90793.184922384913</v>
      </c>
      <c r="S970">
        <f t="shared" ca="1" si="335"/>
        <v>155507.11452096413</v>
      </c>
      <c r="T970">
        <f t="shared" ca="1" si="335"/>
        <v>159927.1361011313</v>
      </c>
      <c r="U970">
        <f t="shared" ca="1" si="335"/>
        <v>164711.8485085991</v>
      </c>
      <c r="V970">
        <f t="shared" ca="1" si="335"/>
        <v>169818.8939645763</v>
      </c>
      <c r="W970">
        <f t="shared" ca="1" si="335"/>
        <v>174857.95503802545</v>
      </c>
      <c r="X970">
        <f t="shared" ca="1" si="335"/>
        <v>179994.85064997067</v>
      </c>
      <c r="Y970">
        <f t="shared" ca="1" si="335"/>
        <v>185501.73698433806</v>
      </c>
      <c r="Z970">
        <f t="shared" ca="1" si="335"/>
        <v>191406.79437025421</v>
      </c>
      <c r="AA970">
        <f t="shared" ca="1" si="335"/>
        <v>197439.8733291961</v>
      </c>
      <c r="AB970">
        <f t="shared" ca="1" si="335"/>
        <v>203215.82070002286</v>
      </c>
      <c r="AC970">
        <f t="shared" ca="1" si="335"/>
        <v>207728.30923575407</v>
      </c>
      <c r="AD970" s="316">
        <f t="shared" ca="1" si="327"/>
        <v>207728.30923575407</v>
      </c>
      <c r="AE970" s="316">
        <f t="shared" ca="1" si="336"/>
        <v>207728.30923575407</v>
      </c>
      <c r="AF970" s="316">
        <f t="shared" ca="1" si="336"/>
        <v>207728.30923575407</v>
      </c>
      <c r="AG970" s="316">
        <f t="shared" ca="1" si="336"/>
        <v>207728.30923575407</v>
      </c>
      <c r="AH970" s="316">
        <f t="shared" ca="1" si="336"/>
        <v>207728.30923575407</v>
      </c>
      <c r="AI970" s="316">
        <f t="shared" ca="1" si="336"/>
        <v>207728.30923575407</v>
      </c>
      <c r="AJ970" s="316">
        <f t="shared" ca="1" si="336"/>
        <v>207728.30923575407</v>
      </c>
      <c r="AK970" s="316">
        <f t="shared" ca="1" si="336"/>
        <v>207728.30923575407</v>
      </c>
      <c r="AL970" s="316">
        <f t="shared" ca="1" si="336"/>
        <v>207728.30923575407</v>
      </c>
      <c r="AM970" s="316">
        <f t="shared" ca="1" si="336"/>
        <v>207728.30923575407</v>
      </c>
      <c r="AN970" s="316">
        <f t="shared" ca="1" si="336"/>
        <v>207728.30923575407</v>
      </c>
      <c r="AO970" s="316">
        <f t="shared" ca="1" si="336"/>
        <v>207728.30923575407</v>
      </c>
      <c r="AP970" s="316">
        <f t="shared" ca="1" si="336"/>
        <v>207728.30923575407</v>
      </c>
      <c r="AQ970" s="316">
        <f t="shared" ca="1" si="336"/>
        <v>207728.30923575407</v>
      </c>
      <c r="AR970" s="316">
        <f t="shared" ca="1" si="336"/>
        <v>207728.30923575407</v>
      </c>
      <c r="AS970" s="316">
        <f t="shared" ca="1" si="336"/>
        <v>207728.30923575407</v>
      </c>
      <c r="AT970" s="316">
        <f t="shared" ca="1" si="336"/>
        <v>207728.30923575407</v>
      </c>
      <c r="AU970" s="316">
        <f t="shared" ca="1" si="336"/>
        <v>207728.30923575407</v>
      </c>
      <c r="AV970" s="316">
        <f t="shared" ca="1" si="336"/>
        <v>207728.30923575407</v>
      </c>
      <c r="AW970" s="316">
        <f t="shared" ca="1" si="336"/>
        <v>207728.30923575407</v>
      </c>
      <c r="BA970" s="79">
        <f ca="1">NPV(discount_rate,AD970:AW970)</f>
        <v>1768508.1970763025</v>
      </c>
      <c r="BB970" s="49"/>
      <c r="BC970" s="79">
        <f t="shared" ca="1" si="332"/>
        <v>901729.33060650295</v>
      </c>
      <c r="BD970" s="49"/>
      <c r="BE970" s="79">
        <f t="shared" ca="1" si="333"/>
        <v>662749.80823935883</v>
      </c>
    </row>
  </sheetData>
  <conditionalFormatting sqref="I35:AI35 H33:AC35">
    <cfRule type="colorScale" priority="4">
      <colorScale>
        <cfvo type="min" val="0"/>
        <cfvo type="percentile" val="50"/>
        <cfvo type="max" val="0"/>
        <color rgb="FFF8696B"/>
        <color rgb="FFFFEB84"/>
        <color rgb="FF63BE7B"/>
      </colorScale>
    </cfRule>
  </conditionalFormatting>
  <conditionalFormatting sqref="I35:AI35">
    <cfRule type="colorScale" priority="1">
      <colorScale>
        <cfvo type="min" val="0"/>
        <cfvo type="percentile" val="50"/>
        <cfvo type="max" val="0"/>
        <color rgb="FF63BE7B"/>
        <color rgb="FFFFEB84"/>
        <color rgb="FFF8696B"/>
      </colorScale>
    </cfRule>
  </conditionalFormatting>
  <pageMargins left="0.7" right="0.7" top="0.75" bottom="0.75" header="0.3" footer="0.3"/>
  <pageSetup orientation="portrait" r:id="rId1"/>
  <drawing r:id="rId2"/>
  <legacyDrawing r:id="rId3"/>
</worksheet>
</file>

<file path=xl/worksheets/sheet11.xml><?xml version="1.0" encoding="utf-8"?>
<worksheet xmlns="http://schemas.openxmlformats.org/spreadsheetml/2006/main" xmlns:r="http://schemas.openxmlformats.org/officeDocument/2006/relationships">
  <sheetPr codeName="Sheet28">
    <tabColor theme="0" tint="-0.249977111117893"/>
  </sheetPr>
  <dimension ref="A3:BL970"/>
  <sheetViews>
    <sheetView zoomScale="80" zoomScaleNormal="80" workbookViewId="0">
      <pane xSplit="3" ySplit="7" topLeftCell="D16" activePane="bottomRight" state="frozen"/>
      <selection activeCell="C1" sqref="C1"/>
      <selection pane="topRight" activeCell="D1" sqref="D1"/>
      <selection pane="bottomLeft" activeCell="C5" sqref="C5"/>
      <selection pane="bottomRight" activeCell="I35" sqref="I35"/>
    </sheetView>
  </sheetViews>
  <sheetFormatPr defaultRowHeight="12.75"/>
  <cols>
    <col min="1" max="1" width="6.28515625" customWidth="1"/>
    <col min="2" max="2" width="6.5703125" customWidth="1"/>
    <col min="3" max="3" width="26.85546875" customWidth="1"/>
    <col min="4" max="4" width="13.5703125" customWidth="1"/>
    <col min="5" max="5" width="8.140625" customWidth="1"/>
    <col min="6" max="6" width="8.7109375" customWidth="1"/>
    <col min="7" max="7" width="9.28515625" customWidth="1"/>
    <col min="8" max="8" width="10.85546875" customWidth="1"/>
    <col min="9" max="9" width="12" customWidth="1"/>
    <col min="10" max="10" width="8.42578125" customWidth="1"/>
    <col min="11" max="11" width="8" customWidth="1"/>
    <col min="12" max="12" width="8.5703125" customWidth="1"/>
    <col min="13" max="13" width="7.7109375" customWidth="1"/>
    <col min="14" max="28" width="7.28515625" customWidth="1"/>
    <col min="29" max="29" width="10" customWidth="1"/>
    <col min="53" max="53" width="12.7109375" bestFit="1" customWidth="1"/>
    <col min="55" max="56" width="12.7109375" bestFit="1" customWidth="1"/>
    <col min="57" max="57" width="11.7109375" customWidth="1"/>
  </cols>
  <sheetData>
    <row r="3" spans="1:49" ht="20.25" thickBot="1">
      <c r="A3" s="283" t="s">
        <v>606</v>
      </c>
      <c r="B3" s="283"/>
      <c r="C3" s="283"/>
      <c r="D3" s="283"/>
    </row>
    <row r="4" spans="1:49" ht="13.5" thickTop="1">
      <c r="C4" s="36"/>
      <c r="D4" s="21"/>
    </row>
    <row r="5" spans="1:49">
      <c r="A5" s="4" t="s">
        <v>706</v>
      </c>
      <c r="C5" s="329" t="s">
        <v>733</v>
      </c>
    </row>
    <row r="6" spans="1:49">
      <c r="C6" s="4" t="s">
        <v>35</v>
      </c>
      <c r="D6" s="4" t="s">
        <v>315</v>
      </c>
      <c r="E6" s="4"/>
      <c r="F6" s="4"/>
      <c r="G6" s="4"/>
      <c r="I6" s="4" t="s">
        <v>316</v>
      </c>
      <c r="AD6" s="4" t="s">
        <v>313</v>
      </c>
    </row>
    <row r="7" spans="1:49" s="39" customFormat="1" ht="41.25" customHeight="1">
      <c r="A7" s="39" t="s">
        <v>40</v>
      </c>
      <c r="B7" s="39" t="s">
        <v>163</v>
      </c>
      <c r="D7" s="39">
        <v>2005</v>
      </c>
      <c r="E7" s="39">
        <v>2006</v>
      </c>
      <c r="F7" s="39">
        <v>2007</v>
      </c>
      <c r="G7" s="39">
        <v>2008</v>
      </c>
      <c r="H7" s="39">
        <v>2009</v>
      </c>
      <c r="I7" s="39">
        <f>H7+1</f>
        <v>2010</v>
      </c>
      <c r="J7" s="39">
        <f t="shared" ref="J7:AW7" si="0">I7+1</f>
        <v>2011</v>
      </c>
      <c r="K7" s="39">
        <f t="shared" si="0"/>
        <v>2012</v>
      </c>
      <c r="L7" s="39">
        <f t="shared" si="0"/>
        <v>2013</v>
      </c>
      <c r="M7" s="39">
        <f t="shared" si="0"/>
        <v>2014</v>
      </c>
      <c r="N7" s="39">
        <f t="shared" si="0"/>
        <v>2015</v>
      </c>
      <c r="O7" s="39">
        <f t="shared" si="0"/>
        <v>2016</v>
      </c>
      <c r="P7" s="39">
        <f t="shared" si="0"/>
        <v>2017</v>
      </c>
      <c r="Q7" s="39">
        <f t="shared" si="0"/>
        <v>2018</v>
      </c>
      <c r="R7" s="39">
        <f t="shared" si="0"/>
        <v>2019</v>
      </c>
      <c r="S7" s="39">
        <f t="shared" si="0"/>
        <v>2020</v>
      </c>
      <c r="T7" s="39">
        <f t="shared" si="0"/>
        <v>2021</v>
      </c>
      <c r="U7" s="39">
        <f t="shared" si="0"/>
        <v>2022</v>
      </c>
      <c r="V7" s="39">
        <f t="shared" si="0"/>
        <v>2023</v>
      </c>
      <c r="W7" s="39">
        <f t="shared" si="0"/>
        <v>2024</v>
      </c>
      <c r="X7" s="39">
        <f t="shared" si="0"/>
        <v>2025</v>
      </c>
      <c r="Y7" s="39">
        <f t="shared" si="0"/>
        <v>2026</v>
      </c>
      <c r="Z7" s="39">
        <f t="shared" si="0"/>
        <v>2027</v>
      </c>
      <c r="AA7" s="39">
        <f t="shared" si="0"/>
        <v>2028</v>
      </c>
      <c r="AB7" s="39">
        <f t="shared" si="0"/>
        <v>2029</v>
      </c>
      <c r="AC7" s="39">
        <f t="shared" si="0"/>
        <v>2030</v>
      </c>
      <c r="AD7" s="71">
        <f t="shared" si="0"/>
        <v>2031</v>
      </c>
      <c r="AE7" s="71">
        <f t="shared" si="0"/>
        <v>2032</v>
      </c>
      <c r="AF7" s="71">
        <f t="shared" si="0"/>
        <v>2033</v>
      </c>
      <c r="AG7" s="71">
        <f t="shared" si="0"/>
        <v>2034</v>
      </c>
      <c r="AH7" s="71">
        <f t="shared" si="0"/>
        <v>2035</v>
      </c>
      <c r="AI7" s="71">
        <f t="shared" si="0"/>
        <v>2036</v>
      </c>
      <c r="AJ7" s="71">
        <f t="shared" si="0"/>
        <v>2037</v>
      </c>
      <c r="AK7" s="71">
        <f t="shared" si="0"/>
        <v>2038</v>
      </c>
      <c r="AL7" s="71">
        <f t="shared" si="0"/>
        <v>2039</v>
      </c>
      <c r="AM7" s="71">
        <f t="shared" si="0"/>
        <v>2040</v>
      </c>
      <c r="AN7" s="71">
        <f t="shared" si="0"/>
        <v>2041</v>
      </c>
      <c r="AO7" s="71">
        <f t="shared" si="0"/>
        <v>2042</v>
      </c>
      <c r="AP7" s="71">
        <f t="shared" si="0"/>
        <v>2043</v>
      </c>
      <c r="AQ7" s="71">
        <f t="shared" si="0"/>
        <v>2044</v>
      </c>
      <c r="AR7" s="71">
        <f t="shared" si="0"/>
        <v>2045</v>
      </c>
      <c r="AS7" s="71">
        <f t="shared" si="0"/>
        <v>2046</v>
      </c>
      <c r="AT7" s="71">
        <f t="shared" si="0"/>
        <v>2047</v>
      </c>
      <c r="AU7" s="71">
        <f t="shared" si="0"/>
        <v>2048</v>
      </c>
      <c r="AV7" s="71">
        <f t="shared" si="0"/>
        <v>2049</v>
      </c>
      <c r="AW7" s="71">
        <f t="shared" si="0"/>
        <v>2050</v>
      </c>
    </row>
    <row r="8" spans="1:49" ht="15">
      <c r="A8">
        <v>1</v>
      </c>
      <c r="C8" t="str">
        <f>'Tech Parameters'!B6</f>
        <v>Existing coal Large</v>
      </c>
      <c r="D8" s="212">
        <f>RetiringCapacity!C6</f>
        <v>30.471</v>
      </c>
      <c r="E8" s="213">
        <f>RetiringCapacity!D6</f>
        <v>30.471</v>
      </c>
      <c r="F8" s="213">
        <f>RetiringCapacity!E6</f>
        <v>30.471</v>
      </c>
      <c r="G8" s="213">
        <f>RetiringCapacity!F6</f>
        <v>30.471</v>
      </c>
      <c r="H8" s="214">
        <f>RetiringCapacity!G6</f>
        <v>30.471</v>
      </c>
      <c r="I8" s="72">
        <f ca="1">H8+RetiringCapacity!H6+I121+I144</f>
        <v>30.471</v>
      </c>
      <c r="J8" s="72">
        <f ca="1">I8+RetiringCapacity!I6+J121+J144</f>
        <v>30.471</v>
      </c>
      <c r="K8" s="72">
        <f ca="1">J8+RetiringCapacity!J6+K121+K144</f>
        <v>30.471</v>
      </c>
      <c r="L8" s="72">
        <f ca="1">K8+RetiringCapacity!K6+L121+L144</f>
        <v>30.471</v>
      </c>
      <c r="M8" s="72">
        <f ca="1">L8+RetiringCapacity!L6+M121+M144</f>
        <v>30.471</v>
      </c>
      <c r="N8" s="72">
        <f ca="1">M8+RetiringCapacity!M6+N121+N144</f>
        <v>30.471</v>
      </c>
      <c r="O8" s="72">
        <f ca="1">N8+RetiringCapacity!N6+O121+O144</f>
        <v>30.471</v>
      </c>
      <c r="P8" s="72">
        <f ca="1">O8+RetiringCapacity!O6+P121+P144</f>
        <v>30.471</v>
      </c>
      <c r="Q8" s="72">
        <f ca="1">P8+RetiringCapacity!P6+Q121+Q144</f>
        <v>30.471</v>
      </c>
      <c r="R8" s="72">
        <f ca="1">Q8+RetiringCapacity!Q6+R121+R144</f>
        <v>30.471</v>
      </c>
      <c r="S8" s="72">
        <f ca="1">R8+RetiringCapacity!R6+S121+S144</f>
        <v>30.471</v>
      </c>
      <c r="T8" s="72">
        <f ca="1">S8+RetiringCapacity!S6+T121+T144</f>
        <v>30.471</v>
      </c>
      <c r="U8" s="72">
        <f ca="1">T8+RetiringCapacity!T6+U121+U144</f>
        <v>30.471</v>
      </c>
      <c r="V8" s="72">
        <f ca="1">U8+RetiringCapacity!U6+V121+V144</f>
        <v>30.471</v>
      </c>
      <c r="W8" s="72">
        <f ca="1">V8+RetiringCapacity!V6+W121+W144</f>
        <v>29.331</v>
      </c>
      <c r="X8" s="72">
        <f ca="1">W8+RetiringCapacity!W6+X121+X144</f>
        <v>28.190999999999999</v>
      </c>
      <c r="Y8" s="72">
        <f ca="1">X8+RetiringCapacity!X6+Y121+Y144</f>
        <v>26.765999999999998</v>
      </c>
      <c r="Z8" s="72">
        <f ca="1">Y8+RetiringCapacity!Y6+Z121+Z144</f>
        <v>25.340999999999998</v>
      </c>
      <c r="AA8" s="72">
        <f ca="1">Z8+RetiringCapacity!Z6+AA121+AA144</f>
        <v>23.615999999999996</v>
      </c>
      <c r="AB8" s="72">
        <f ca="1">AA8+RetiringCapacity!AA6+AB121+AB144</f>
        <v>20.165999999999997</v>
      </c>
      <c r="AC8" s="72">
        <f ca="1">AB8+RetiringCapacity!AB6+AC121+AC144</f>
        <v>18.440999999999995</v>
      </c>
      <c r="AD8" s="73">
        <f ca="1">AC8+RetiringCapacity!AC6+AD121+AD144</f>
        <v>18.440999999999995</v>
      </c>
      <c r="AE8" s="73">
        <f ca="1">AD8+RetiringCapacity!AD6+AE121+AE144</f>
        <v>18.440999999999995</v>
      </c>
      <c r="AF8" s="73">
        <f ca="1">AE8+RetiringCapacity!AE6+AF121+AF144</f>
        <v>18.440999999999995</v>
      </c>
      <c r="AG8" s="73">
        <f ca="1">AF8+RetiringCapacity!AF6+AG121+AG144</f>
        <v>14.906999999999996</v>
      </c>
      <c r="AH8" s="73">
        <f ca="1">AG8+RetiringCapacity!AG6+AH121+AH144</f>
        <v>11.372999999999998</v>
      </c>
      <c r="AI8" s="73">
        <f ca="1">AH8+RetiringCapacity!AH6+AI121+AI144</f>
        <v>9.5279999999999969</v>
      </c>
      <c r="AJ8" s="73">
        <f ca="1">AI8+RetiringCapacity!AI6+AJ121+AJ144</f>
        <v>5.7629999999999963</v>
      </c>
      <c r="AK8" s="73">
        <f ca="1">AJ8+RetiringCapacity!AJ6+AK121+AK144</f>
        <v>3.8429999999999964</v>
      </c>
      <c r="AL8" s="73">
        <f ca="1">AK8+RetiringCapacity!AK6+AL121+AL144</f>
        <v>3.8429999999999964</v>
      </c>
      <c r="AM8" s="73">
        <f ca="1">AL8+RetiringCapacity!AL6+AM121+AM144</f>
        <v>3.8429999999999964</v>
      </c>
      <c r="AN8" s="73">
        <f ca="1">AM8+RetiringCapacity!AM6+AN121+AN144</f>
        <v>3.8429999999999964</v>
      </c>
      <c r="AO8" s="73">
        <f ca="1">AN8+RetiringCapacity!AN6+AO121+AO144</f>
        <v>3.8429999999999964</v>
      </c>
      <c r="AP8" s="73">
        <f ca="1">AO8+RetiringCapacity!AO6+AP121+AP144</f>
        <v>3.8429999999999964</v>
      </c>
      <c r="AQ8" s="73">
        <f ca="1">AP8+RetiringCapacity!AP6+AQ121+AQ144</f>
        <v>3.8429999999999964</v>
      </c>
      <c r="AR8" s="73">
        <f ca="1">AQ8+RetiringCapacity!AQ6+AR121+AR144</f>
        <v>1.9214999999999964</v>
      </c>
      <c r="AS8" s="73">
        <f ca="1">AR8+RetiringCapacity!AR6+AS121+AS144</f>
        <v>-3.5527136788005009E-15</v>
      </c>
      <c r="AT8" s="73">
        <f ca="1">AS8+RetiringCapacity!AS6+AT121+AT144</f>
        <v>-3.5527136788005009E-15</v>
      </c>
      <c r="AU8" s="73">
        <f ca="1">AT8+RetiringCapacity!AT6+AU121+AU144</f>
        <v>-3.5527136788005009E-15</v>
      </c>
      <c r="AV8" s="73">
        <f ca="1">AU8+RetiringCapacity!AU6+AV121+AV144</f>
        <v>-3.5527136788005009E-15</v>
      </c>
      <c r="AW8" s="73">
        <f ca="1">AV8+RetiringCapacity!AV6+AW121+AW144</f>
        <v>-3.5527136788005009E-15</v>
      </c>
    </row>
    <row r="9" spans="1:49" ht="15">
      <c r="A9">
        <v>1</v>
      </c>
      <c r="C9" t="str">
        <f>'Tech Parameters'!B7</f>
        <v>Existing coal Small</v>
      </c>
      <c r="D9" s="224">
        <f>RetiringCapacity!C7</f>
        <v>5.434444444444444</v>
      </c>
      <c r="E9" s="225">
        <f>RetiringCapacity!D7</f>
        <v>5.434444444444444</v>
      </c>
      <c r="F9" s="225">
        <f>RetiringCapacity!E7</f>
        <v>5.434444444444444</v>
      </c>
      <c r="G9" s="225">
        <f>RetiringCapacity!F7</f>
        <v>5.434444444444444</v>
      </c>
      <c r="H9" s="226">
        <f>RetiringCapacity!G7</f>
        <v>5.434444444444444</v>
      </c>
      <c r="I9" s="72">
        <f ca="1">H9+RetiringCapacity!H7+I122+I145</f>
        <v>6.1174444444444438</v>
      </c>
      <c r="J9" s="72">
        <f ca="1">I9+RetiringCapacity!I7+J122+J145</f>
        <v>6.5214444444444437</v>
      </c>
      <c r="K9" s="72">
        <f ca="1">J9+RetiringCapacity!J7+K122+K145</f>
        <v>6.5214444444444437</v>
      </c>
      <c r="L9" s="72">
        <f ca="1">K9+RetiringCapacity!K7+L122+L145</f>
        <v>6.5214444444444437</v>
      </c>
      <c r="M9" s="72">
        <f ca="1">L9+RetiringCapacity!L7+M122+M145</f>
        <v>6.5214444444444437</v>
      </c>
      <c r="N9" s="72">
        <f ca="1">M9+RetiringCapacity!M7+N122+N145</f>
        <v>6.5214444444444437</v>
      </c>
      <c r="O9" s="72">
        <f ca="1">N9+RetiringCapacity!N7+O122+O145</f>
        <v>6.4839444444444441</v>
      </c>
      <c r="P9" s="72">
        <f ca="1">O9+RetiringCapacity!O7+P122+P145</f>
        <v>6.4464444444444444</v>
      </c>
      <c r="Q9" s="72">
        <f ca="1">P9+RetiringCapacity!P7+Q122+Q145</f>
        <v>6.3964444444444446</v>
      </c>
      <c r="R9" s="72">
        <f ca="1">Q9+RetiringCapacity!Q7+R122+R145</f>
        <v>6.3464444444444448</v>
      </c>
      <c r="S9" s="72">
        <f ca="1">R9+RetiringCapacity!R7+S122+S145</f>
        <v>5.3964444444444446</v>
      </c>
      <c r="T9" s="72">
        <f ca="1">S9+RetiringCapacity!S7+T122+T145</f>
        <v>4.4464444444444444</v>
      </c>
      <c r="U9" s="72">
        <f ca="1">T9+RetiringCapacity!T7+U122+U145</f>
        <v>4.4464444444444444</v>
      </c>
      <c r="V9" s="72">
        <f ca="1">U9+RetiringCapacity!U7+V122+V145</f>
        <v>4.4464444444444444</v>
      </c>
      <c r="W9" s="72">
        <f ca="1">V9+RetiringCapacity!V7+W122+W145</f>
        <v>4.4464444444444444</v>
      </c>
      <c r="X9" s="72">
        <f ca="1">W9+RetiringCapacity!W7+X122+X145</f>
        <v>4.0087222222222225</v>
      </c>
      <c r="Y9" s="72">
        <f ca="1">X9+RetiringCapacity!X7+Y122+Y145</f>
        <v>3.5710000000000002</v>
      </c>
      <c r="Z9" s="72">
        <f ca="1">Y9+RetiringCapacity!Y7+Z122+Z145</f>
        <v>3.5710000000000002</v>
      </c>
      <c r="AA9" s="72">
        <f ca="1">Z9+RetiringCapacity!Z7+AA122+AA145</f>
        <v>3.5710000000000002</v>
      </c>
      <c r="AB9" s="72">
        <f ca="1">AA9+RetiringCapacity!AA7+AB122+AB145</f>
        <v>3.5710000000000002</v>
      </c>
      <c r="AC9" s="72">
        <f ca="1">AB9+RetiringCapacity!AB7+AC122+AC145</f>
        <v>3.5710000000000002</v>
      </c>
      <c r="AD9" s="73">
        <f ca="1">AC9+RetiringCapacity!AC7+AD122+AD145</f>
        <v>3.5710000000000002</v>
      </c>
      <c r="AE9" s="73">
        <f ca="1">AD9+RetiringCapacity!AD7+AE122+AE145</f>
        <v>3.4690000000000003</v>
      </c>
      <c r="AF9" s="73">
        <f ca="1">AE9+RetiringCapacity!AE7+AF122+AF145</f>
        <v>3.3670000000000004</v>
      </c>
      <c r="AG9" s="73">
        <f ca="1">AF9+RetiringCapacity!AF7+AG122+AG145</f>
        <v>3.3670000000000004</v>
      </c>
      <c r="AH9" s="73">
        <f ca="1">AG9+RetiringCapacity!AG7+AH122+AH145</f>
        <v>3.3670000000000004</v>
      </c>
      <c r="AI9" s="73">
        <f ca="1">AH9+RetiringCapacity!AH7+AI122+AI145</f>
        <v>3.3670000000000004</v>
      </c>
      <c r="AJ9" s="73">
        <f ca="1">AI9+RetiringCapacity!AI7+AJ122+AJ145</f>
        <v>3.3670000000000004</v>
      </c>
      <c r="AK9" s="73">
        <f ca="1">AJ9+RetiringCapacity!AJ7+AK122+AK145</f>
        <v>2.9870000000000005</v>
      </c>
      <c r="AL9" s="73">
        <f ca="1">AK9+RetiringCapacity!AK7+AL122+AL145</f>
        <v>2.6070000000000007</v>
      </c>
      <c r="AM9" s="73">
        <f ca="1">AL9+RetiringCapacity!AL7+AM122+AM145</f>
        <v>2.6070000000000007</v>
      </c>
      <c r="AN9" s="73">
        <f ca="1">AM9+RetiringCapacity!AM7+AN122+AN145</f>
        <v>2.6070000000000007</v>
      </c>
      <c r="AO9" s="73">
        <f ca="1">AN9+RetiringCapacity!AN7+AO122+AO145</f>
        <v>2.6070000000000007</v>
      </c>
      <c r="AP9" s="73">
        <f ca="1">AO9+RetiringCapacity!AO7+AP122+AP145</f>
        <v>2.6070000000000007</v>
      </c>
      <c r="AQ9" s="73">
        <f ca="1">AP9+RetiringCapacity!AP7+AQ122+AQ145</f>
        <v>2.6070000000000007</v>
      </c>
      <c r="AR9" s="73">
        <f ca="1">AQ9+RetiringCapacity!AQ7+AR122+AR145</f>
        <v>2.6070000000000007</v>
      </c>
      <c r="AS9" s="73">
        <f ca="1">AR9+RetiringCapacity!AR7+AS122+AS145</f>
        <v>2.6070000000000007</v>
      </c>
      <c r="AT9" s="73">
        <f ca="1">AS9+RetiringCapacity!AS7+AT122+AT145</f>
        <v>2.6070000000000007</v>
      </c>
      <c r="AU9" s="73">
        <f ca="1">AT9+RetiringCapacity!AT7+AU122+AU145</f>
        <v>2.6070000000000007</v>
      </c>
      <c r="AV9" s="73">
        <f ca="1">AU9+RetiringCapacity!AU7+AV122+AV145</f>
        <v>2.6070000000000007</v>
      </c>
      <c r="AW9" s="73">
        <f ca="1">AV9+RetiringCapacity!AV7+AW122+AW145</f>
        <v>2.6070000000000007</v>
      </c>
    </row>
    <row r="10" spans="1:49" ht="15">
      <c r="A10" s="11">
        <v>1</v>
      </c>
      <c r="C10" t="str">
        <f>'Tech Parameters'!B8</f>
        <v>OCGT liquid fuels</v>
      </c>
      <c r="D10" s="218">
        <f>RetiringCapacity!C8</f>
        <v>2.4</v>
      </c>
      <c r="E10" s="219">
        <f>RetiringCapacity!D8</f>
        <v>2.4</v>
      </c>
      <c r="F10" s="219">
        <f>RetiringCapacity!E8</f>
        <v>2.4</v>
      </c>
      <c r="G10" s="219">
        <f>RetiringCapacity!F8</f>
        <v>2.4</v>
      </c>
      <c r="H10" s="220">
        <f>RetiringCapacity!G8</f>
        <v>2.4</v>
      </c>
      <c r="I10" s="72">
        <f ca="1">H10+RetiringCapacity!H8+I123+I146</f>
        <v>2.4</v>
      </c>
      <c r="J10" s="72">
        <f ca="1">I10+RetiringCapacity!I8+J123+J146</f>
        <v>3.48</v>
      </c>
      <c r="K10" s="72">
        <f ca="1">J10+RetiringCapacity!J8+K123+K146</f>
        <v>3.48</v>
      </c>
      <c r="L10" s="72">
        <f ca="1">K10+RetiringCapacity!K8+L123+L146</f>
        <v>3.48</v>
      </c>
      <c r="M10" s="72">
        <f ca="1">L10+RetiringCapacity!L8+M123+M146</f>
        <v>3.48</v>
      </c>
      <c r="N10" s="72">
        <f ca="1">M10+RetiringCapacity!M8+N123+N146</f>
        <v>3.48</v>
      </c>
      <c r="O10" s="72">
        <f ca="1">N10+RetiringCapacity!N8+O123+O146</f>
        <v>3.48</v>
      </c>
      <c r="P10" s="72">
        <f ca="1">O10+RetiringCapacity!O8+P123+P146</f>
        <v>3.48</v>
      </c>
      <c r="Q10" s="72">
        <f ca="1">P10+RetiringCapacity!P8+Q123+Q146</f>
        <v>3.48</v>
      </c>
      <c r="R10" s="72">
        <f ca="1">Q10+RetiringCapacity!Q8+R123+R146</f>
        <v>3.48</v>
      </c>
      <c r="S10" s="72">
        <f ca="1">R10+RetiringCapacity!R8+S123+S146</f>
        <v>3.48</v>
      </c>
      <c r="T10" s="72">
        <f ca="1">S10+RetiringCapacity!S8+T123+T146</f>
        <v>3.48</v>
      </c>
      <c r="U10" s="72">
        <f ca="1">T10+RetiringCapacity!T8+U123+U146</f>
        <v>3.48</v>
      </c>
      <c r="V10" s="72">
        <f ca="1">U10+RetiringCapacity!U8+V123+V146</f>
        <v>3.48</v>
      </c>
      <c r="W10" s="72">
        <f ca="1">V10+RetiringCapacity!V8+W123+W146</f>
        <v>3.48</v>
      </c>
      <c r="X10" s="72">
        <f ca="1">W10+RetiringCapacity!W8+X123+X146</f>
        <v>3.48</v>
      </c>
      <c r="Y10" s="72">
        <f ca="1">X10+RetiringCapacity!X8+Y123+Y146</f>
        <v>4.2</v>
      </c>
      <c r="Z10" s="72">
        <f ca="1">Y10+RetiringCapacity!Y8+Z123+Z146</f>
        <v>4.2</v>
      </c>
      <c r="AA10" s="72">
        <f ca="1">Z10+RetiringCapacity!Z8+AA123+AA146</f>
        <v>4.2</v>
      </c>
      <c r="AB10" s="72">
        <f ca="1">AA10+RetiringCapacity!AA8+AB123+AB146</f>
        <v>5.16</v>
      </c>
      <c r="AC10" s="72">
        <f ca="1">AB10+RetiringCapacity!AB8+AC123+AC146</f>
        <v>5.9489999999999998</v>
      </c>
      <c r="AD10" s="73">
        <f ca="1">AC10+RetiringCapacity!AC8+AD123+AD146</f>
        <v>4.7489999999999997</v>
      </c>
      <c r="AE10" s="73">
        <f ca="1">AD10+RetiringCapacity!AD8+AE123+AE146</f>
        <v>3.7199999999999998</v>
      </c>
      <c r="AF10" s="73">
        <f ca="1">AE10+RetiringCapacity!AE8+AF123+AF146</f>
        <v>3.7199999999999998</v>
      </c>
      <c r="AG10" s="73">
        <f ca="1">AF10+RetiringCapacity!AF8+AG123+AG146</f>
        <v>3.7199999999999998</v>
      </c>
      <c r="AH10" s="73">
        <f ca="1">AG10+RetiringCapacity!AG8+AH123+AH146</f>
        <v>3.7199999999999998</v>
      </c>
      <c r="AI10" s="73">
        <f ca="1">AH10+RetiringCapacity!AH8+AI123+AI146</f>
        <v>3.7199999999999998</v>
      </c>
      <c r="AJ10" s="73">
        <f ca="1">AI10+RetiringCapacity!AI8+AJ123+AJ146</f>
        <v>3.7199999999999998</v>
      </c>
      <c r="AK10" s="73">
        <f ca="1">AJ10+RetiringCapacity!AJ8+AK123+AK146</f>
        <v>3.7199999999999998</v>
      </c>
      <c r="AL10" s="73">
        <f ca="1">AK10+RetiringCapacity!AK8+AL123+AL146</f>
        <v>3.7199999999999998</v>
      </c>
      <c r="AM10" s="73">
        <f ca="1">AL10+RetiringCapacity!AL8+AM123+AM146</f>
        <v>3.7199999999999998</v>
      </c>
      <c r="AN10" s="73">
        <f ca="1">AM10+RetiringCapacity!AM8+AN123+AN146</f>
        <v>3.7199999999999998</v>
      </c>
      <c r="AO10" s="73">
        <f ca="1">AN10+RetiringCapacity!AN8+AO123+AO146</f>
        <v>3.7199999999999998</v>
      </c>
      <c r="AP10" s="73">
        <f ca="1">AO10+RetiringCapacity!AO8+AP123+AP146</f>
        <v>3.7199999999999998</v>
      </c>
      <c r="AQ10" s="73">
        <f ca="1">AP10+RetiringCapacity!AP8+AQ123+AQ146</f>
        <v>3.7199999999999998</v>
      </c>
      <c r="AR10" s="73">
        <f ca="1">AQ10+RetiringCapacity!AQ8+AR123+AR146</f>
        <v>3.7199999999999998</v>
      </c>
      <c r="AS10" s="73">
        <f ca="1">AR10+RetiringCapacity!AR8+AS123+AS146</f>
        <v>3.7199999999999998</v>
      </c>
      <c r="AT10" s="73">
        <f ca="1">AS10+RetiringCapacity!AS8+AT123+AT146</f>
        <v>3.7199999999999998</v>
      </c>
      <c r="AU10" s="73">
        <f ca="1">AT10+RetiringCapacity!AT8+AU123+AU146</f>
        <v>3.7199999999999998</v>
      </c>
      <c r="AV10" s="73">
        <f ca="1">AU10+RetiringCapacity!AU8+AV123+AV146</f>
        <v>3.7199999999999998</v>
      </c>
      <c r="AW10" s="73">
        <f ca="1">AV10+RetiringCapacity!AV8+AW123+AW146</f>
        <v>3.7199999999999998</v>
      </c>
    </row>
    <row r="11" spans="1:49" ht="15">
      <c r="A11" s="11">
        <v>1</v>
      </c>
      <c r="C11" t="str">
        <f>'Tech Parameters'!B9</f>
        <v>PWR nuclear</v>
      </c>
      <c r="D11" s="218">
        <f>RetiringCapacity!C9</f>
        <v>1.8</v>
      </c>
      <c r="E11" s="219">
        <f>RetiringCapacity!D9</f>
        <v>1.8</v>
      </c>
      <c r="F11" s="219">
        <f>RetiringCapacity!E9</f>
        <v>1.8</v>
      </c>
      <c r="G11" s="219">
        <f>RetiringCapacity!F9</f>
        <v>1.8</v>
      </c>
      <c r="H11" s="220">
        <f>RetiringCapacity!G9</f>
        <v>1.8</v>
      </c>
      <c r="I11" s="72">
        <f ca="1">H11+RetiringCapacity!H9+I124+I147</f>
        <v>1.8</v>
      </c>
      <c r="J11" s="72">
        <f ca="1">I11+RetiringCapacity!I9+J124+J147</f>
        <v>1.8</v>
      </c>
      <c r="K11" s="72">
        <f ca="1">J11+RetiringCapacity!J9+K124+K147</f>
        <v>1.8</v>
      </c>
      <c r="L11" s="72">
        <f ca="1">K11+RetiringCapacity!K9+L124+L147</f>
        <v>1.8</v>
      </c>
      <c r="M11" s="72">
        <f ca="1">L11+RetiringCapacity!L9+M124+M147</f>
        <v>1.8</v>
      </c>
      <c r="N11" s="72">
        <f ca="1">M11+RetiringCapacity!M9+N124+N147</f>
        <v>1.8</v>
      </c>
      <c r="O11" s="72">
        <f ca="1">N11+RetiringCapacity!N9+O124+O147</f>
        <v>1.8</v>
      </c>
      <c r="P11" s="72">
        <f ca="1">O11+RetiringCapacity!O9+P124+P147</f>
        <v>1.8</v>
      </c>
      <c r="Q11" s="72">
        <f ca="1">P11+RetiringCapacity!P9+Q124+Q147</f>
        <v>1.8</v>
      </c>
      <c r="R11" s="72">
        <f ca="1">Q11+RetiringCapacity!Q9+R124+R147</f>
        <v>1.8</v>
      </c>
      <c r="S11" s="72">
        <f ca="1">R11+RetiringCapacity!R9+S124+S147</f>
        <v>1.8</v>
      </c>
      <c r="T11" s="72">
        <f ca="1">S11+RetiringCapacity!S9+T124+T147</f>
        <v>1.8</v>
      </c>
      <c r="U11" s="72">
        <f ca="1">T11+RetiringCapacity!T9+U124+U147</f>
        <v>1.8</v>
      </c>
      <c r="V11" s="72">
        <f ca="1">U11+RetiringCapacity!U9+V124+V147</f>
        <v>1.8</v>
      </c>
      <c r="W11" s="72">
        <f ca="1">V11+RetiringCapacity!V9+W124+W147</f>
        <v>1.8</v>
      </c>
      <c r="X11" s="72">
        <f ca="1">W11+RetiringCapacity!W9+X124+X147</f>
        <v>1.8</v>
      </c>
      <c r="Y11" s="72">
        <f ca="1">X11+RetiringCapacity!X9+Y124+Y147</f>
        <v>1.8</v>
      </c>
      <c r="Z11" s="72">
        <f ca="1">Y11+RetiringCapacity!Y9+Z124+Z147</f>
        <v>1.8</v>
      </c>
      <c r="AA11" s="72">
        <f ca="1">Z11+RetiringCapacity!Z9+AA124+AA147</f>
        <v>1.8</v>
      </c>
      <c r="AB11" s="72">
        <f ca="1">AA11+RetiringCapacity!AA9+AB124+AB147</f>
        <v>1.8</v>
      </c>
      <c r="AC11" s="72">
        <f ca="1">AB11+RetiringCapacity!AB9+AC124+AC147</f>
        <v>1.8</v>
      </c>
      <c r="AD11" s="73">
        <f ca="1">AC11+RetiringCapacity!AC9+AD124+AD147</f>
        <v>1.1385000000000001</v>
      </c>
      <c r="AE11" s="73">
        <f ca="1">AD11+RetiringCapacity!AD9+AE124+AE147</f>
        <v>0.47700000000000009</v>
      </c>
      <c r="AF11" s="73">
        <f ca="1">AE11+RetiringCapacity!AE9+AF124+AF147</f>
        <v>0.47700000000000009</v>
      </c>
      <c r="AG11" s="73">
        <f ca="1">AF11+RetiringCapacity!AF9+AG124+AG147</f>
        <v>0.47700000000000009</v>
      </c>
      <c r="AH11" s="73">
        <f ca="1">AG11+RetiringCapacity!AG9+AH124+AH147</f>
        <v>0.47700000000000009</v>
      </c>
      <c r="AI11" s="73">
        <f ca="1">AH11+RetiringCapacity!AH9+AI124+AI147</f>
        <v>0.47700000000000009</v>
      </c>
      <c r="AJ11" s="73">
        <f ca="1">AI11+RetiringCapacity!AI9+AJ124+AJ147</f>
        <v>0.47700000000000009</v>
      </c>
      <c r="AK11" s="73">
        <f ca="1">AJ11+RetiringCapacity!AJ9+AK124+AK147</f>
        <v>0.47700000000000009</v>
      </c>
      <c r="AL11" s="73">
        <f ca="1">AK11+RetiringCapacity!AK9+AL124+AL147</f>
        <v>0.47700000000000009</v>
      </c>
      <c r="AM11" s="73">
        <f ca="1">AL11+RetiringCapacity!AL9+AM124+AM147</f>
        <v>0.47700000000000009</v>
      </c>
      <c r="AN11" s="73">
        <f ca="1">AM11+RetiringCapacity!AM9+AN124+AN147</f>
        <v>0.47700000000000009</v>
      </c>
      <c r="AO11" s="73">
        <f ca="1">AN11+RetiringCapacity!AN9+AO124+AO147</f>
        <v>0.47700000000000009</v>
      </c>
      <c r="AP11" s="73">
        <f ca="1">AO11+RetiringCapacity!AO9+AP124+AP147</f>
        <v>0.47700000000000009</v>
      </c>
      <c r="AQ11" s="73">
        <f ca="1">AP11+RetiringCapacity!AP9+AQ124+AQ147</f>
        <v>0.47700000000000009</v>
      </c>
      <c r="AR11" s="73">
        <f ca="1">AQ11+RetiringCapacity!AQ9+AR124+AR147</f>
        <v>0.47700000000000009</v>
      </c>
      <c r="AS11" s="73">
        <f ca="1">AR11+RetiringCapacity!AR9+AS124+AS147</f>
        <v>0.47700000000000009</v>
      </c>
      <c r="AT11" s="73">
        <f ca="1">AS11+RetiringCapacity!AS9+AT124+AT147</f>
        <v>0.47700000000000009</v>
      </c>
      <c r="AU11" s="73">
        <f ca="1">AT11+RetiringCapacity!AT9+AU124+AU147</f>
        <v>0.47700000000000009</v>
      </c>
      <c r="AV11" s="73">
        <f ca="1">AU11+RetiringCapacity!AU9+AV124+AV147</f>
        <v>0.47700000000000009</v>
      </c>
      <c r="AW11" s="73">
        <f ca="1">AV11+RetiringCapacity!AV9+AW124+AW147</f>
        <v>0.47700000000000009</v>
      </c>
    </row>
    <row r="12" spans="1:49" ht="15">
      <c r="A12" s="11">
        <v>1</v>
      </c>
      <c r="B12" s="11" t="s">
        <v>36</v>
      </c>
      <c r="C12" t="str">
        <f>'Tech Parameters'!B10</f>
        <v>Hydro</v>
      </c>
      <c r="D12" s="218">
        <f>RetiringCapacity!C10</f>
        <v>0.66500000000000004</v>
      </c>
      <c r="E12" s="219">
        <f>RetiringCapacity!D10</f>
        <v>0.66500000000000004</v>
      </c>
      <c r="F12" s="219">
        <f>RetiringCapacity!E10</f>
        <v>0.66500000000000004</v>
      </c>
      <c r="G12" s="219">
        <f>RetiringCapacity!F10</f>
        <v>0.66500000000000004</v>
      </c>
      <c r="H12" s="220">
        <f>RetiringCapacity!G10</f>
        <v>0.66500000000000004</v>
      </c>
      <c r="I12" s="72">
        <f ca="1">H12+RetiringCapacity!H10+I125+I148</f>
        <v>0.66500000000000004</v>
      </c>
      <c r="J12" s="72">
        <f ca="1">I12+RetiringCapacity!I10+J125+J148</f>
        <v>0.66500000000000004</v>
      </c>
      <c r="K12" s="72">
        <f ca="1">J12+RetiringCapacity!J10+K125+K148</f>
        <v>0.66500000000000004</v>
      </c>
      <c r="L12" s="72">
        <f ca="1">K12+RetiringCapacity!K10+L125+L148</f>
        <v>0.66500000000000004</v>
      </c>
      <c r="M12" s="72">
        <f ca="1">L12+RetiringCapacity!L10+M125+M148</f>
        <v>0.66500000000000004</v>
      </c>
      <c r="N12" s="72">
        <f ca="1">M12+RetiringCapacity!M10+N125+N148</f>
        <v>0.66500000000000004</v>
      </c>
      <c r="O12" s="72">
        <f ca="1">N12+RetiringCapacity!N10+O125+O148</f>
        <v>0.66500000000000004</v>
      </c>
      <c r="P12" s="72">
        <f ca="1">O12+RetiringCapacity!O10+P125+P148</f>
        <v>0.66500000000000004</v>
      </c>
      <c r="Q12" s="72">
        <f ca="1">P12+RetiringCapacity!P10+Q125+Q148</f>
        <v>0.66500000000000004</v>
      </c>
      <c r="R12" s="72">
        <f ca="1">Q12+RetiringCapacity!Q10+R125+R148</f>
        <v>0.66500000000000004</v>
      </c>
      <c r="S12" s="72">
        <f ca="1">R12+RetiringCapacity!R10+S125+S148</f>
        <v>0.66500000000000004</v>
      </c>
      <c r="T12" s="72">
        <f ca="1">S12+RetiringCapacity!S10+T125+T148</f>
        <v>0.66500000000000004</v>
      </c>
      <c r="U12" s="72">
        <f ca="1">T12+RetiringCapacity!T10+U125+U148</f>
        <v>0.66500000000000004</v>
      </c>
      <c r="V12" s="72">
        <f ca="1">U12+RetiringCapacity!U10+V125+V148</f>
        <v>0.66500000000000004</v>
      </c>
      <c r="W12" s="72">
        <f ca="1">V12+RetiringCapacity!V10+W125+W148</f>
        <v>0.66500000000000004</v>
      </c>
      <c r="X12" s="72">
        <f ca="1">W12+RetiringCapacity!W10+X125+X148</f>
        <v>0.66500000000000004</v>
      </c>
      <c r="Y12" s="72">
        <f ca="1">X12+RetiringCapacity!X10+Y125+Y148</f>
        <v>0.66500000000000004</v>
      </c>
      <c r="Z12" s="72">
        <f ca="1">Y12+RetiringCapacity!Y10+Z125+Z148</f>
        <v>0.66500000000000004</v>
      </c>
      <c r="AA12" s="72">
        <f ca="1">Z12+RetiringCapacity!Z10+AA125+AA148</f>
        <v>0.66500000000000004</v>
      </c>
      <c r="AB12" s="72">
        <f ca="1">AA12+RetiringCapacity!AA10+AB125+AB148</f>
        <v>0.66500000000000004</v>
      </c>
      <c r="AC12" s="72">
        <f ca="1">AB12+RetiringCapacity!AB10+AC125+AC148</f>
        <v>0.66500000000000004</v>
      </c>
      <c r="AD12" s="73">
        <f ca="1">AC12+RetiringCapacity!AC10+AD125+AD148</f>
        <v>0.66500000000000004</v>
      </c>
      <c r="AE12" s="73">
        <f ca="1">AD12+RetiringCapacity!AD10+AE125+AE148</f>
        <v>0.66500000000000004</v>
      </c>
      <c r="AF12" s="73">
        <f ca="1">AE12+RetiringCapacity!AE10+AF125+AF148</f>
        <v>0.66500000000000004</v>
      </c>
      <c r="AG12" s="73">
        <f ca="1">AF12+RetiringCapacity!AF10+AG125+AG148</f>
        <v>0.66500000000000004</v>
      </c>
      <c r="AH12" s="73">
        <f ca="1">AG12+RetiringCapacity!AG10+AH125+AH148</f>
        <v>0.66500000000000004</v>
      </c>
      <c r="AI12" s="73">
        <f ca="1">AH12+RetiringCapacity!AH10+AI125+AI148</f>
        <v>0.66500000000000004</v>
      </c>
      <c r="AJ12" s="73">
        <f ca="1">AI12+RetiringCapacity!AI10+AJ125+AJ148</f>
        <v>0.66500000000000004</v>
      </c>
      <c r="AK12" s="73">
        <f ca="1">AJ12+RetiringCapacity!AJ10+AK125+AK148</f>
        <v>0.66500000000000004</v>
      </c>
      <c r="AL12" s="73">
        <f ca="1">AK12+RetiringCapacity!AK10+AL125+AL148</f>
        <v>0.66500000000000004</v>
      </c>
      <c r="AM12" s="73">
        <f ca="1">AL12+RetiringCapacity!AL10+AM125+AM148</f>
        <v>0.66500000000000004</v>
      </c>
      <c r="AN12" s="73">
        <f ca="1">AM12+RetiringCapacity!AM10+AN125+AN148</f>
        <v>0.66500000000000004</v>
      </c>
      <c r="AO12" s="73">
        <f ca="1">AN12+RetiringCapacity!AN10+AO125+AO148</f>
        <v>0.66500000000000004</v>
      </c>
      <c r="AP12" s="73">
        <f ca="1">AO12+RetiringCapacity!AO10+AP125+AP148</f>
        <v>0.66500000000000004</v>
      </c>
      <c r="AQ12" s="73">
        <f ca="1">AP12+RetiringCapacity!AP10+AQ125+AQ148</f>
        <v>0.66500000000000004</v>
      </c>
      <c r="AR12" s="73">
        <f ca="1">AQ12+RetiringCapacity!AQ10+AR125+AR148</f>
        <v>0.66500000000000004</v>
      </c>
      <c r="AS12" s="73">
        <f ca="1">AR12+RetiringCapacity!AR10+AS125+AS148</f>
        <v>0.66500000000000004</v>
      </c>
      <c r="AT12" s="73">
        <f ca="1">AS12+RetiringCapacity!AS10+AT125+AT148</f>
        <v>0.66500000000000004</v>
      </c>
      <c r="AU12" s="73">
        <f ca="1">AT12+RetiringCapacity!AT10+AU125+AU148</f>
        <v>0.66500000000000004</v>
      </c>
      <c r="AV12" s="73">
        <f ca="1">AU12+RetiringCapacity!AU10+AV125+AV148</f>
        <v>0.66500000000000004</v>
      </c>
      <c r="AW12" s="73">
        <f ca="1">AV12+RetiringCapacity!AV10+AW125+AW148</f>
        <v>0.66500000000000004</v>
      </c>
    </row>
    <row r="13" spans="1:49" ht="15">
      <c r="A13" s="11">
        <v>1</v>
      </c>
      <c r="B13" s="11" t="s">
        <v>36</v>
      </c>
      <c r="C13" t="str">
        <f>'Tech Parameters'!B11</f>
        <v>Landfill gas</v>
      </c>
      <c r="D13" s="218">
        <f>RetiringCapacity!C11</f>
        <v>7.0000000000000007E-2</v>
      </c>
      <c r="E13" s="219">
        <f>RetiringCapacity!D11</f>
        <v>7.0000000000000007E-2</v>
      </c>
      <c r="F13" s="219">
        <f>RetiringCapacity!E11</f>
        <v>7.0000000000000007E-2</v>
      </c>
      <c r="G13" s="219">
        <f>RetiringCapacity!F11</f>
        <v>7.0000000000000007E-2</v>
      </c>
      <c r="H13" s="220">
        <f>RetiringCapacity!G11</f>
        <v>7.0000000000000007E-2</v>
      </c>
      <c r="I13" s="72">
        <f ca="1">H13+RetiringCapacity!H11+I126+I149</f>
        <v>7.0000000000000007E-2</v>
      </c>
      <c r="J13" s="72">
        <f ca="1">I13+RetiringCapacity!I11+J126+J149</f>
        <v>7.0000000000000007E-2</v>
      </c>
      <c r="K13" s="72">
        <f ca="1">J13+RetiringCapacity!J11+K126+K149</f>
        <v>7.0000000000000007E-2</v>
      </c>
      <c r="L13" s="72">
        <f ca="1">K13+RetiringCapacity!K11+L126+L149</f>
        <v>7.0000000000000007E-2</v>
      </c>
      <c r="M13" s="72">
        <f ca="1">L13+RetiringCapacity!L11+M126+M149</f>
        <v>7.0000000000000007E-2</v>
      </c>
      <c r="N13" s="72">
        <f ca="1">M13+RetiringCapacity!M11+N126+N149</f>
        <v>7.0000000000000007E-2</v>
      </c>
      <c r="O13" s="72">
        <f ca="1">N13+RetiringCapacity!N11+O126+O149</f>
        <v>7.0000000000000007E-2</v>
      </c>
      <c r="P13" s="72">
        <f ca="1">O13+RetiringCapacity!O11+P126+P149</f>
        <v>7.0000000000000007E-2</v>
      </c>
      <c r="Q13" s="72">
        <f ca="1">P13+RetiringCapacity!P11+Q126+Q149</f>
        <v>7.0000000000000007E-2</v>
      </c>
      <c r="R13" s="72">
        <f ca="1">Q13+RetiringCapacity!Q11+R126+R149</f>
        <v>7.0000000000000007E-2</v>
      </c>
      <c r="S13" s="72">
        <f ca="1">R13+RetiringCapacity!R11+S126+S149</f>
        <v>7.0000000000000007E-2</v>
      </c>
      <c r="T13" s="72">
        <f ca="1">S13+RetiringCapacity!S11+T126+T149</f>
        <v>7.0000000000000007E-2</v>
      </c>
      <c r="U13" s="72">
        <f ca="1">T13+RetiringCapacity!T11+U126+U149</f>
        <v>7.0000000000000007E-2</v>
      </c>
      <c r="V13" s="72">
        <f ca="1">U13+RetiringCapacity!U11+V126+V149</f>
        <v>7.0000000000000007E-2</v>
      </c>
      <c r="W13" s="72">
        <f ca="1">V13+RetiringCapacity!V11+W126+W149</f>
        <v>7.0000000000000007E-2</v>
      </c>
      <c r="X13" s="72">
        <f ca="1">W13+RetiringCapacity!W11+X126+X149</f>
        <v>7.0000000000000007E-2</v>
      </c>
      <c r="Y13" s="72">
        <f ca="1">X13+RetiringCapacity!X11+Y126+Y149</f>
        <v>7.0000000000000007E-2</v>
      </c>
      <c r="Z13" s="72">
        <f ca="1">Y13+RetiringCapacity!Y11+Z126+Z149</f>
        <v>7.0000000000000007E-2</v>
      </c>
      <c r="AA13" s="72">
        <f ca="1">Z13+RetiringCapacity!Z11+AA126+AA149</f>
        <v>7.0000000000000007E-2</v>
      </c>
      <c r="AB13" s="72">
        <f ca="1">AA13+RetiringCapacity!AA11+AB126+AB149</f>
        <v>7.0000000000000007E-2</v>
      </c>
      <c r="AC13" s="72">
        <f ca="1">AB13+RetiringCapacity!AB11+AC126+AC149</f>
        <v>7.0000000000000007E-2</v>
      </c>
      <c r="AD13" s="73">
        <f ca="1">AC13+RetiringCapacity!AC11+AD126+AD149</f>
        <v>7.0000000000000007E-2</v>
      </c>
      <c r="AE13" s="73">
        <f ca="1">AD13+RetiringCapacity!AD11+AE126+AE149</f>
        <v>7.0000000000000007E-2</v>
      </c>
      <c r="AF13" s="73">
        <f ca="1">AE13+RetiringCapacity!AE11+AF126+AF149</f>
        <v>7.0000000000000007E-2</v>
      </c>
      <c r="AG13" s="73">
        <f ca="1">AF13+RetiringCapacity!AF11+AG126+AG149</f>
        <v>7.0000000000000007E-2</v>
      </c>
      <c r="AH13" s="73">
        <f ca="1">AG13+RetiringCapacity!AG11+AH126+AH149</f>
        <v>7.0000000000000007E-2</v>
      </c>
      <c r="AI13" s="73">
        <f ca="1">AH13+RetiringCapacity!AH11+AI126+AI149</f>
        <v>7.0000000000000007E-2</v>
      </c>
      <c r="AJ13" s="73">
        <f ca="1">AI13+RetiringCapacity!AI11+AJ126+AJ149</f>
        <v>7.0000000000000007E-2</v>
      </c>
      <c r="AK13" s="73">
        <f ca="1">AJ13+RetiringCapacity!AJ11+AK126+AK149</f>
        <v>7.0000000000000007E-2</v>
      </c>
      <c r="AL13" s="73">
        <f ca="1">AK13+RetiringCapacity!AK11+AL126+AL149</f>
        <v>7.0000000000000007E-2</v>
      </c>
      <c r="AM13" s="73">
        <f ca="1">AL13+RetiringCapacity!AL11+AM126+AM149</f>
        <v>7.0000000000000007E-2</v>
      </c>
      <c r="AN13" s="73">
        <f ca="1">AM13+RetiringCapacity!AM11+AN126+AN149</f>
        <v>7.0000000000000007E-2</v>
      </c>
      <c r="AO13" s="73">
        <f ca="1">AN13+RetiringCapacity!AN11+AO126+AO149</f>
        <v>7.0000000000000007E-2</v>
      </c>
      <c r="AP13" s="73">
        <f ca="1">AO13+RetiringCapacity!AO11+AP126+AP149</f>
        <v>7.0000000000000007E-2</v>
      </c>
      <c r="AQ13" s="73">
        <f ca="1">AP13+RetiringCapacity!AP11+AQ126+AQ149</f>
        <v>7.0000000000000007E-2</v>
      </c>
      <c r="AR13" s="73">
        <f ca="1">AQ13+RetiringCapacity!AQ11+AR126+AR149</f>
        <v>7.0000000000000007E-2</v>
      </c>
      <c r="AS13" s="73">
        <f ca="1">AR13+RetiringCapacity!AR11+AS126+AS149</f>
        <v>7.0000000000000007E-2</v>
      </c>
      <c r="AT13" s="73">
        <f ca="1">AS13+RetiringCapacity!AS11+AT126+AT149</f>
        <v>7.0000000000000007E-2</v>
      </c>
      <c r="AU13" s="73">
        <f ca="1">AT13+RetiringCapacity!AT11+AU126+AU149</f>
        <v>7.0000000000000007E-2</v>
      </c>
      <c r="AV13" s="73">
        <f ca="1">AU13+RetiringCapacity!AU11+AV126+AV149</f>
        <v>7.0000000000000007E-2</v>
      </c>
      <c r="AW13" s="73">
        <f ca="1">AV13+RetiringCapacity!AV11+AW126+AW149</f>
        <v>7.0000000000000007E-2</v>
      </c>
    </row>
    <row r="14" spans="1:49" ht="15">
      <c r="A14" s="11">
        <v>1</v>
      </c>
      <c r="B14" s="11" t="s">
        <v>36</v>
      </c>
      <c r="C14" t="str">
        <f>'Tech Parameters'!B12</f>
        <v>Biomass</v>
      </c>
      <c r="D14" s="218">
        <f>RetiringCapacity!C12</f>
        <v>0.19</v>
      </c>
      <c r="E14" s="219">
        <f>RetiringCapacity!D12</f>
        <v>0.19</v>
      </c>
      <c r="F14" s="219">
        <f>RetiringCapacity!E12</f>
        <v>0.19</v>
      </c>
      <c r="G14" s="219">
        <f>RetiringCapacity!F12</f>
        <v>0.19</v>
      </c>
      <c r="H14" s="220">
        <f>RetiringCapacity!G12</f>
        <v>0.19</v>
      </c>
      <c r="I14" s="72">
        <f ca="1">H14+RetiringCapacity!H12+I127+I150</f>
        <v>0.19</v>
      </c>
      <c r="J14" s="72">
        <f ca="1">I14+RetiringCapacity!I12+J127+J150</f>
        <v>0.19</v>
      </c>
      <c r="K14" s="72">
        <f ca="1">J14+RetiringCapacity!J12+K127+K150</f>
        <v>0.19</v>
      </c>
      <c r="L14" s="72">
        <f ca="1">K14+RetiringCapacity!K12+L127+L150</f>
        <v>0.19</v>
      </c>
      <c r="M14" s="72">
        <f ca="1">L14+RetiringCapacity!L12+M127+M150</f>
        <v>0.19</v>
      </c>
      <c r="N14" s="72">
        <f ca="1">M14+RetiringCapacity!M12+N127+N150</f>
        <v>0.19</v>
      </c>
      <c r="O14" s="72">
        <f ca="1">N14+RetiringCapacity!N12+O127+O150</f>
        <v>0.19</v>
      </c>
      <c r="P14" s="72">
        <f ca="1">O14+RetiringCapacity!O12+P127+P150</f>
        <v>0.19</v>
      </c>
      <c r="Q14" s="72">
        <f ca="1">P14+RetiringCapacity!P12+Q127+Q150</f>
        <v>0.19</v>
      </c>
      <c r="R14" s="72">
        <f ca="1">Q14+RetiringCapacity!Q12+R127+R150</f>
        <v>0.19</v>
      </c>
      <c r="S14" s="72">
        <f ca="1">R14+RetiringCapacity!R12+S127+S150</f>
        <v>0.19</v>
      </c>
      <c r="T14" s="72">
        <f ca="1">S14+RetiringCapacity!S12+T127+T150</f>
        <v>0.19</v>
      </c>
      <c r="U14" s="72">
        <f ca="1">T14+RetiringCapacity!T12+U127+U150</f>
        <v>0.19</v>
      </c>
      <c r="V14" s="72">
        <f ca="1">U14+RetiringCapacity!U12+V127+V150</f>
        <v>0.19</v>
      </c>
      <c r="W14" s="72">
        <f ca="1">V14+RetiringCapacity!V12+W127+W150</f>
        <v>0.19</v>
      </c>
      <c r="X14" s="72">
        <f ca="1">W14+RetiringCapacity!W12+X127+X150</f>
        <v>0.19</v>
      </c>
      <c r="Y14" s="72">
        <f ca="1">X14+RetiringCapacity!X12+Y127+Y150</f>
        <v>0.19</v>
      </c>
      <c r="Z14" s="72">
        <f ca="1">Y14+RetiringCapacity!Y12+Z127+Z150</f>
        <v>0.19</v>
      </c>
      <c r="AA14" s="72">
        <f ca="1">Z14+RetiringCapacity!Z12+AA127+AA150</f>
        <v>0.19</v>
      </c>
      <c r="AB14" s="72">
        <f ca="1">AA14+RetiringCapacity!AA12+AB127+AB150</f>
        <v>0.19</v>
      </c>
      <c r="AC14" s="72">
        <f ca="1">AB14+RetiringCapacity!AB12+AC127+AC150</f>
        <v>0.19</v>
      </c>
      <c r="AD14" s="73">
        <f ca="1">AC14+RetiringCapacity!AC12+AD127+AD150</f>
        <v>0.19</v>
      </c>
      <c r="AE14" s="73">
        <f ca="1">AD14+RetiringCapacity!AD12+AE127+AE150</f>
        <v>0.19</v>
      </c>
      <c r="AF14" s="73">
        <f ca="1">AE14+RetiringCapacity!AE12+AF127+AF150</f>
        <v>0.19</v>
      </c>
      <c r="AG14" s="73">
        <f ca="1">AF14+RetiringCapacity!AF12+AG127+AG150</f>
        <v>0.19</v>
      </c>
      <c r="AH14" s="73">
        <f ca="1">AG14+RetiringCapacity!AG12+AH127+AH150</f>
        <v>0.19</v>
      </c>
      <c r="AI14" s="73">
        <f ca="1">AH14+RetiringCapacity!AH12+AI127+AI150</f>
        <v>0.19</v>
      </c>
      <c r="AJ14" s="73">
        <f ca="1">AI14+RetiringCapacity!AI12+AJ127+AJ150</f>
        <v>0.19</v>
      </c>
      <c r="AK14" s="73">
        <f ca="1">AJ14+RetiringCapacity!AJ12+AK127+AK150</f>
        <v>0.19</v>
      </c>
      <c r="AL14" s="73">
        <f ca="1">AK14+RetiringCapacity!AK12+AL127+AL150</f>
        <v>0.19</v>
      </c>
      <c r="AM14" s="73">
        <f ca="1">AL14+RetiringCapacity!AL12+AM127+AM150</f>
        <v>0.19</v>
      </c>
      <c r="AN14" s="73">
        <f ca="1">AM14+RetiringCapacity!AM12+AN127+AN150</f>
        <v>0.19</v>
      </c>
      <c r="AO14" s="73">
        <f ca="1">AN14+RetiringCapacity!AN12+AO127+AO150</f>
        <v>0.19</v>
      </c>
      <c r="AP14" s="73">
        <f ca="1">AO14+RetiringCapacity!AO12+AP127+AP150</f>
        <v>0.19</v>
      </c>
      <c r="AQ14" s="73">
        <f ca="1">AP14+RetiringCapacity!AP12+AQ127+AQ150</f>
        <v>0.19</v>
      </c>
      <c r="AR14" s="73">
        <f ca="1">AQ14+RetiringCapacity!AQ12+AR127+AR150</f>
        <v>0.19</v>
      </c>
      <c r="AS14" s="73">
        <f ca="1">AR14+RetiringCapacity!AR12+AS127+AS150</f>
        <v>0.19</v>
      </c>
      <c r="AT14" s="73">
        <f ca="1">AS14+RetiringCapacity!AS12+AT127+AT150</f>
        <v>0.19</v>
      </c>
      <c r="AU14" s="73">
        <f ca="1">AT14+RetiringCapacity!AT12+AU127+AU150</f>
        <v>0.19</v>
      </c>
      <c r="AV14" s="73">
        <f ca="1">AU14+RetiringCapacity!AU12+AV127+AV150</f>
        <v>0.19</v>
      </c>
      <c r="AW14" s="73">
        <f ca="1">AV14+RetiringCapacity!AV12+AW127+AW150</f>
        <v>0.19</v>
      </c>
    </row>
    <row r="15" spans="1:49" ht="15">
      <c r="A15" s="11">
        <v>1</v>
      </c>
      <c r="C15" t="str">
        <f>'Tech Parameters'!B13</f>
        <v>Supercritical coal</v>
      </c>
      <c r="D15" s="218">
        <f>RetiringCapacity!C13</f>
        <v>0</v>
      </c>
      <c r="E15" s="219">
        <f>RetiringCapacity!D13</f>
        <v>0</v>
      </c>
      <c r="F15" s="219">
        <f>RetiringCapacity!E13</f>
        <v>0</v>
      </c>
      <c r="G15" s="219">
        <f>RetiringCapacity!F13</f>
        <v>0</v>
      </c>
      <c r="H15" s="220">
        <f>RetiringCapacity!G13</f>
        <v>0</v>
      </c>
      <c r="I15" s="72">
        <f ca="1">H15+RetiringCapacity!H13+I128+I151</f>
        <v>0</v>
      </c>
      <c r="J15" s="72">
        <f ca="1">I15+RetiringCapacity!I13+J128+J151</f>
        <v>0</v>
      </c>
      <c r="K15" s="72">
        <f ca="1">J15+RetiringCapacity!J13+K128+K151</f>
        <v>0.79400000000000004</v>
      </c>
      <c r="L15" s="72">
        <f ca="1">K15+RetiringCapacity!K13+L128+L151</f>
        <v>2.3820000000000001</v>
      </c>
      <c r="M15" s="72">
        <f ca="1">L15+RetiringCapacity!L13+M128+M151</f>
        <v>4.7640000000000002</v>
      </c>
      <c r="N15" s="72">
        <f ca="1">M15+RetiringCapacity!M13+N128+N151</f>
        <v>7.1460000000000008</v>
      </c>
      <c r="O15" s="72">
        <f ca="1">N15+RetiringCapacity!N13+O128+O151</f>
        <v>8.7340000000000018</v>
      </c>
      <c r="P15" s="72">
        <f ca="1">O15+RetiringCapacity!O13+P128+P151</f>
        <v>9.5280000000000022</v>
      </c>
      <c r="Q15" s="72">
        <f ca="1">P15+RetiringCapacity!P13+Q128+Q151</f>
        <v>9.5280000000000022</v>
      </c>
      <c r="R15" s="72">
        <f ca="1">Q15+RetiringCapacity!Q13+R128+R151</f>
        <v>9.5280000000000022</v>
      </c>
      <c r="S15" s="72">
        <f ca="1">R15+RetiringCapacity!R13+S128+S151</f>
        <v>9.5280000000000022</v>
      </c>
      <c r="T15" s="72">
        <f ca="1">S15+RetiringCapacity!S13+T128+T151</f>
        <v>9.5280000000000022</v>
      </c>
      <c r="U15" s="72">
        <f ca="1">T15+RetiringCapacity!T13+U128+U151</f>
        <v>9.5280000000000022</v>
      </c>
      <c r="V15" s="72">
        <f ca="1">U15+RetiringCapacity!U13+V128+V151</f>
        <v>9.5280000000000022</v>
      </c>
      <c r="W15" s="72">
        <f ca="1">V15+RetiringCapacity!V13+W128+W151</f>
        <v>9.5280000000000022</v>
      </c>
      <c r="X15" s="72">
        <f ca="1">W15+RetiringCapacity!W13+X128+X151</f>
        <v>9.5280000000000022</v>
      </c>
      <c r="Y15" s="72">
        <f ca="1">X15+RetiringCapacity!X13+Y128+Y151</f>
        <v>9.5280000000000022</v>
      </c>
      <c r="Z15" s="72">
        <f ca="1">Y15+RetiringCapacity!Y13+Z128+Z151</f>
        <v>9.5280000000000022</v>
      </c>
      <c r="AA15" s="72">
        <f ca="1">Z15+RetiringCapacity!Z13+AA128+AA151</f>
        <v>9.5280000000000022</v>
      </c>
      <c r="AB15" s="72">
        <f ca="1">AA15+RetiringCapacity!AA13+AB128+AB151</f>
        <v>9.5280000000000022</v>
      </c>
      <c r="AC15" s="72">
        <f ca="1">AB15+RetiringCapacity!AB13+AC128+AC151</f>
        <v>9.5280000000000022</v>
      </c>
      <c r="AD15" s="73">
        <f ca="1">AC15+RetiringCapacity!AC13+AD128+AD151</f>
        <v>9.5280000000000022</v>
      </c>
      <c r="AE15" s="73">
        <f ca="1">AD15+RetiringCapacity!AD13+AE128+AE151</f>
        <v>9.5280000000000022</v>
      </c>
      <c r="AF15" s="73">
        <f ca="1">AE15+RetiringCapacity!AE13+AF128+AF151</f>
        <v>9.5280000000000022</v>
      </c>
      <c r="AG15" s="73">
        <f ca="1">AF15+RetiringCapacity!AF13+AG128+AG151</f>
        <v>9.5280000000000022</v>
      </c>
      <c r="AH15" s="73">
        <f ca="1">AG15+RetiringCapacity!AG13+AH128+AH151</f>
        <v>9.5280000000000022</v>
      </c>
      <c r="AI15" s="73">
        <f ca="1">AH15+RetiringCapacity!AH13+AI128+AI151</f>
        <v>9.5280000000000022</v>
      </c>
      <c r="AJ15" s="73">
        <f ca="1">AI15+RetiringCapacity!AI13+AJ128+AJ151</f>
        <v>9.5280000000000022</v>
      </c>
      <c r="AK15" s="73">
        <f ca="1">AJ15+RetiringCapacity!AJ13+AK128+AK151</f>
        <v>9.5280000000000022</v>
      </c>
      <c r="AL15" s="73">
        <f ca="1">AK15+RetiringCapacity!AK13+AL128+AL151</f>
        <v>9.5280000000000022</v>
      </c>
      <c r="AM15" s="73">
        <f ca="1">AL15+RetiringCapacity!AL13+AM128+AM151</f>
        <v>9.5280000000000022</v>
      </c>
      <c r="AN15" s="73">
        <f ca="1">AM15+RetiringCapacity!AM13+AN128+AN151</f>
        <v>9.5280000000000022</v>
      </c>
      <c r="AO15" s="73">
        <f ca="1">AN15+RetiringCapacity!AN13+AO128+AO151</f>
        <v>9.5280000000000022</v>
      </c>
      <c r="AP15" s="73">
        <f ca="1">AO15+RetiringCapacity!AO13+AP128+AP151</f>
        <v>9.5280000000000022</v>
      </c>
      <c r="AQ15" s="73">
        <f ca="1">AP15+RetiringCapacity!AP13+AQ128+AQ151</f>
        <v>9.5280000000000022</v>
      </c>
      <c r="AR15" s="73">
        <f ca="1">AQ15+RetiringCapacity!AQ13+AR128+AR151</f>
        <v>9.5280000000000022</v>
      </c>
      <c r="AS15" s="73">
        <f ca="1">AR15+RetiringCapacity!AR13+AS128+AS151</f>
        <v>9.5280000000000022</v>
      </c>
      <c r="AT15" s="73">
        <f ca="1">AS15+RetiringCapacity!AS13+AT128+AT151</f>
        <v>9.5280000000000022</v>
      </c>
      <c r="AU15" s="73">
        <f ca="1">AT15+RetiringCapacity!AT13+AU128+AU151</f>
        <v>9.5280000000000022</v>
      </c>
      <c r="AV15" s="73">
        <f ca="1">AU15+RetiringCapacity!AU13+AV128+AV151</f>
        <v>9.5280000000000022</v>
      </c>
      <c r="AW15" s="73">
        <f ca="1">AV15+RetiringCapacity!AV13+AW128+AW151</f>
        <v>9.5280000000000022</v>
      </c>
    </row>
    <row r="16" spans="1:49" ht="15">
      <c r="A16" s="11">
        <v>0.23</v>
      </c>
      <c r="B16" t="s">
        <v>36</v>
      </c>
      <c r="C16" t="str">
        <f>'Tech Parameters'!B14</f>
        <v xml:space="preserve">Wind 30% </v>
      </c>
      <c r="D16" s="218">
        <f>RetiringCapacity!C14</f>
        <v>0</v>
      </c>
      <c r="E16" s="219">
        <f>RetiringCapacity!D14</f>
        <v>0</v>
      </c>
      <c r="F16" s="219">
        <f>RetiringCapacity!E14</f>
        <v>0</v>
      </c>
      <c r="G16" s="219">
        <f>RetiringCapacity!F14</f>
        <v>0</v>
      </c>
      <c r="H16" s="220">
        <f>RetiringCapacity!G14</f>
        <v>0</v>
      </c>
      <c r="I16" s="72">
        <f ca="1">H16+RetiringCapacity!H14+I129+I152</f>
        <v>0.1</v>
      </c>
      <c r="J16" s="72">
        <f ca="1">I16+RetiringCapacity!I14+J129+J152</f>
        <v>0.30000000000000004</v>
      </c>
      <c r="K16" s="72">
        <f ca="1">J16+RetiringCapacity!J14+K129+K152</f>
        <v>0.5</v>
      </c>
      <c r="L16" s="72">
        <f ca="1">K16+RetiringCapacity!K14+L129+L152</f>
        <v>0.9</v>
      </c>
      <c r="M16" s="72">
        <f ca="1">L16+RetiringCapacity!L14+M129+M152</f>
        <v>1.3</v>
      </c>
      <c r="N16" s="72">
        <f ca="1">M16+RetiringCapacity!M14+N129+N152</f>
        <v>2.1</v>
      </c>
      <c r="O16" s="72">
        <f ca="1">N16+RetiringCapacity!N14+O129+O152</f>
        <v>2.9000000000000004</v>
      </c>
      <c r="P16" s="72">
        <f ca="1">O16+RetiringCapacity!O14+P129+P152</f>
        <v>3.9000000000000004</v>
      </c>
      <c r="Q16" s="72">
        <f ca="1">P16+RetiringCapacity!P14+Q129+Q152</f>
        <v>4.9000000000000004</v>
      </c>
      <c r="R16" s="72">
        <f ca="1">Q16+RetiringCapacity!Q14+R129+R152</f>
        <v>6.4</v>
      </c>
      <c r="S16" s="72">
        <f ca="1">R16+RetiringCapacity!R14+S129+S152</f>
        <v>7.9</v>
      </c>
      <c r="T16" s="72">
        <f ca="1">S16+RetiringCapacity!S14+T129+T152</f>
        <v>9.9</v>
      </c>
      <c r="U16" s="72">
        <f ca="1">T16+RetiringCapacity!T14+U129+U152</f>
        <v>9.9</v>
      </c>
      <c r="V16" s="72">
        <f ca="1">U16+RetiringCapacity!U14+V129+V152</f>
        <v>9.9</v>
      </c>
      <c r="W16" s="72">
        <f ca="1">V16+RetiringCapacity!V14+W129+W152</f>
        <v>9.9</v>
      </c>
      <c r="X16" s="72">
        <f ca="1">W16+RetiringCapacity!W14+X129+X152</f>
        <v>9.9</v>
      </c>
      <c r="Y16" s="72">
        <f ca="1">X16+RetiringCapacity!X14+Y129+Y152</f>
        <v>9.9</v>
      </c>
      <c r="Z16" s="72">
        <f ca="1">Y16+RetiringCapacity!Y14+Z129+Z152</f>
        <v>9.9</v>
      </c>
      <c r="AA16" s="72">
        <f ca="1">Z16+RetiringCapacity!Z14+AA129+AA152</f>
        <v>9.9</v>
      </c>
      <c r="AB16" s="72">
        <f ca="1">AA16+RetiringCapacity!AA14+AB129+AB152</f>
        <v>9.9</v>
      </c>
      <c r="AC16" s="72">
        <f ca="1">AB16+RetiringCapacity!AB14+AC129+AC152</f>
        <v>9.8000000000000007</v>
      </c>
      <c r="AD16" s="73">
        <f ca="1">AC16+RetiringCapacity!AC14+AD129+AD152</f>
        <v>9.8000000000000007</v>
      </c>
      <c r="AE16" s="73">
        <f ca="1">AD16+RetiringCapacity!AD14+AE129+AE152</f>
        <v>9.8000000000000007</v>
      </c>
      <c r="AF16" s="73">
        <f ca="1">AE16+RetiringCapacity!AE14+AF129+AF152</f>
        <v>9.8000000000000007</v>
      </c>
      <c r="AG16" s="73">
        <f ca="1">AF16+RetiringCapacity!AF14+AG129+AG152</f>
        <v>9.8000000000000007</v>
      </c>
      <c r="AH16" s="73">
        <f ca="1">AG16+RetiringCapacity!AG14+AH129+AH152</f>
        <v>9.8000000000000007</v>
      </c>
      <c r="AI16" s="73">
        <f ca="1">AH16+RetiringCapacity!AH14+AI129+AI152</f>
        <v>9.8000000000000007</v>
      </c>
      <c r="AJ16" s="73">
        <f ca="1">AI16+RetiringCapacity!AI14+AJ129+AJ152</f>
        <v>9.8000000000000007</v>
      </c>
      <c r="AK16" s="73">
        <f ca="1">AJ16+RetiringCapacity!AJ14+AK129+AK152</f>
        <v>9.8000000000000007</v>
      </c>
      <c r="AL16" s="73">
        <f ca="1">AK16+RetiringCapacity!AK14+AL129+AL152</f>
        <v>9.8000000000000007</v>
      </c>
      <c r="AM16" s="73">
        <f ca="1">AL16+RetiringCapacity!AL14+AM129+AM152</f>
        <v>9.8000000000000007</v>
      </c>
      <c r="AN16" s="73">
        <f ca="1">AM16+RetiringCapacity!AM14+AN129+AN152</f>
        <v>9.8000000000000007</v>
      </c>
      <c r="AO16" s="73">
        <f ca="1">AN16+RetiringCapacity!AN14+AO129+AO152</f>
        <v>9.8000000000000007</v>
      </c>
      <c r="AP16" s="73">
        <f ca="1">AO16+RetiringCapacity!AO14+AP129+AP152</f>
        <v>9.8000000000000007</v>
      </c>
      <c r="AQ16" s="73">
        <f ca="1">AP16+RetiringCapacity!AP14+AQ129+AQ152</f>
        <v>9.8000000000000007</v>
      </c>
      <c r="AR16" s="73">
        <f ca="1">AQ16+RetiringCapacity!AQ14+AR129+AR152</f>
        <v>9.8000000000000007</v>
      </c>
      <c r="AS16" s="73">
        <f ca="1">AR16+RetiringCapacity!AR14+AS129+AS152</f>
        <v>9.8000000000000007</v>
      </c>
      <c r="AT16" s="73">
        <f ca="1">AS16+RetiringCapacity!AS14+AT129+AT152</f>
        <v>9.8000000000000007</v>
      </c>
      <c r="AU16" s="73">
        <f ca="1">AT16+RetiringCapacity!AT14+AU129+AU152</f>
        <v>9.8000000000000007</v>
      </c>
      <c r="AV16" s="73">
        <f ca="1">AU16+RetiringCapacity!AU14+AV129+AV152</f>
        <v>9.8000000000000007</v>
      </c>
      <c r="AW16" s="73">
        <f ca="1">AV16+RetiringCapacity!AV14+AW129+AW152</f>
        <v>9.8000000000000007</v>
      </c>
    </row>
    <row r="17" spans="1:49" ht="15">
      <c r="A17" s="11">
        <v>0.23</v>
      </c>
      <c r="B17" t="s">
        <v>36</v>
      </c>
      <c r="C17" t="str">
        <f>'Tech Parameters'!B15</f>
        <v>Wind 25%</v>
      </c>
      <c r="D17" s="218">
        <f>RetiringCapacity!C15</f>
        <v>0</v>
      </c>
      <c r="E17" s="219">
        <f>RetiringCapacity!D15</f>
        <v>0</v>
      </c>
      <c r="F17" s="219">
        <f>RetiringCapacity!E15</f>
        <v>0</v>
      </c>
      <c r="G17" s="219">
        <f>RetiringCapacity!F15</f>
        <v>0</v>
      </c>
      <c r="H17" s="220">
        <f>RetiringCapacity!G15</f>
        <v>0</v>
      </c>
      <c r="I17" s="72">
        <f ca="1">H17+RetiringCapacity!H15+I130+I153</f>
        <v>0</v>
      </c>
      <c r="J17" s="72">
        <f ca="1">I17+RetiringCapacity!I15+J130+J153</f>
        <v>0</v>
      </c>
      <c r="K17" s="72">
        <f ca="1">J17+RetiringCapacity!J15+K130+K153</f>
        <v>0</v>
      </c>
      <c r="L17" s="72">
        <f ca="1">K17+RetiringCapacity!K15+L130+L153</f>
        <v>0</v>
      </c>
      <c r="M17" s="72">
        <f ca="1">L17+RetiringCapacity!L15+M130+M153</f>
        <v>0</v>
      </c>
      <c r="N17" s="72">
        <f ca="1">M17+RetiringCapacity!M15+N130+N153</f>
        <v>0</v>
      </c>
      <c r="O17" s="72">
        <f ca="1">N17+RetiringCapacity!N15+O130+O153</f>
        <v>0</v>
      </c>
      <c r="P17" s="72">
        <f ca="1">O17+RetiringCapacity!O15+P130+P153</f>
        <v>0</v>
      </c>
      <c r="Q17" s="72">
        <f ca="1">P17+RetiringCapacity!P15+Q130+Q153</f>
        <v>0</v>
      </c>
      <c r="R17" s="72">
        <f ca="1">Q17+RetiringCapacity!Q15+R130+R153</f>
        <v>0</v>
      </c>
      <c r="S17" s="72">
        <f ca="1">R17+RetiringCapacity!R15+S130+S153</f>
        <v>0</v>
      </c>
      <c r="T17" s="72">
        <f ca="1">S17+RetiringCapacity!S15+T130+T153</f>
        <v>0</v>
      </c>
      <c r="U17" s="72">
        <f ca="1">T17+RetiringCapacity!T15+U130+U153</f>
        <v>1</v>
      </c>
      <c r="V17" s="72">
        <f ca="1">U17+RetiringCapacity!U15+V130+V153</f>
        <v>2</v>
      </c>
      <c r="W17" s="72">
        <f ca="1">V17+RetiringCapacity!V15+W130+W153</f>
        <v>3</v>
      </c>
      <c r="X17" s="72">
        <f ca="1">W17+RetiringCapacity!W15+X130+X153</f>
        <v>4</v>
      </c>
      <c r="Y17" s="72">
        <f ca="1">X17+RetiringCapacity!X15+Y130+Y153</f>
        <v>5</v>
      </c>
      <c r="Z17" s="72">
        <f ca="1">Y17+RetiringCapacity!Y15+Z130+Z153</f>
        <v>6</v>
      </c>
      <c r="AA17" s="72">
        <f ca="1">Z17+RetiringCapacity!Z15+AA130+AA153</f>
        <v>7</v>
      </c>
      <c r="AB17" s="72">
        <f ca="1">AA17+RetiringCapacity!AA15+AB130+AB153</f>
        <v>8</v>
      </c>
      <c r="AC17" s="72">
        <f ca="1">AB17+RetiringCapacity!AB15+AC130+AC153</f>
        <v>9</v>
      </c>
      <c r="AD17" s="73">
        <f ca="1">AC17+RetiringCapacity!AC15+AD130+AD153</f>
        <v>9</v>
      </c>
      <c r="AE17" s="73">
        <f ca="1">AD17+RetiringCapacity!AD15+AE130+AE153</f>
        <v>9</v>
      </c>
      <c r="AF17" s="73">
        <f ca="1">AE17+RetiringCapacity!AE15+AF130+AF153</f>
        <v>9</v>
      </c>
      <c r="AG17" s="73">
        <f ca="1">AF17+RetiringCapacity!AF15+AG130+AG153</f>
        <v>9</v>
      </c>
      <c r="AH17" s="73">
        <f ca="1">AG17+RetiringCapacity!AG15+AH130+AH153</f>
        <v>9</v>
      </c>
      <c r="AI17" s="73">
        <f ca="1">AH17+RetiringCapacity!AH15+AI130+AI153</f>
        <v>9</v>
      </c>
      <c r="AJ17" s="73">
        <f ca="1">AI17+RetiringCapacity!AI15+AJ130+AJ153</f>
        <v>9</v>
      </c>
      <c r="AK17" s="73">
        <f ca="1">AJ17+RetiringCapacity!AJ15+AK130+AK153</f>
        <v>9</v>
      </c>
      <c r="AL17" s="73">
        <f ca="1">AK17+RetiringCapacity!AK15+AL130+AL153</f>
        <v>9</v>
      </c>
      <c r="AM17" s="73">
        <f ca="1">AL17+RetiringCapacity!AL15+AM130+AM153</f>
        <v>9</v>
      </c>
      <c r="AN17" s="73">
        <f ca="1">AM17+RetiringCapacity!AM15+AN130+AN153</f>
        <v>9</v>
      </c>
      <c r="AO17" s="73">
        <f ca="1">AN17+RetiringCapacity!AN15+AO130+AO153</f>
        <v>9</v>
      </c>
      <c r="AP17" s="73">
        <f ca="1">AO17+RetiringCapacity!AO15+AP130+AP153</f>
        <v>9</v>
      </c>
      <c r="AQ17" s="73">
        <f ca="1">AP17+RetiringCapacity!AP15+AQ130+AQ153</f>
        <v>9</v>
      </c>
      <c r="AR17" s="73">
        <f ca="1">AQ17+RetiringCapacity!AQ15+AR130+AR153</f>
        <v>9</v>
      </c>
      <c r="AS17" s="73">
        <f ca="1">AR17+RetiringCapacity!AR15+AS130+AS153</f>
        <v>9</v>
      </c>
      <c r="AT17" s="73">
        <f ca="1">AS17+RetiringCapacity!AS15+AT130+AT153</f>
        <v>9</v>
      </c>
      <c r="AU17" s="73">
        <f ca="1">AT17+RetiringCapacity!AT15+AU130+AU153</f>
        <v>9</v>
      </c>
      <c r="AV17" s="73">
        <f ca="1">AU17+RetiringCapacity!AU15+AV130+AV153</f>
        <v>9</v>
      </c>
      <c r="AW17" s="73">
        <f ca="1">AV17+RetiringCapacity!AV15+AW130+AW153</f>
        <v>9</v>
      </c>
    </row>
    <row r="18" spans="1:49" ht="15">
      <c r="A18" s="11">
        <v>1</v>
      </c>
      <c r="B18" t="s">
        <v>36</v>
      </c>
      <c r="C18" t="str">
        <f>'Tech Parameters'!B16</f>
        <v>solar thermal central reciever</v>
      </c>
      <c r="D18" s="218">
        <f>RetiringCapacity!C16</f>
        <v>0</v>
      </c>
      <c r="E18" s="219">
        <f>RetiringCapacity!D16</f>
        <v>0</v>
      </c>
      <c r="F18" s="219">
        <f>RetiringCapacity!E16</f>
        <v>0</v>
      </c>
      <c r="G18" s="219">
        <f>RetiringCapacity!F16</f>
        <v>0</v>
      </c>
      <c r="H18" s="220">
        <f>RetiringCapacity!G16</f>
        <v>0</v>
      </c>
      <c r="I18" s="72">
        <f ca="1">H18+RetiringCapacity!H16+I131+I154</f>
        <v>0</v>
      </c>
      <c r="J18" s="72">
        <f ca="1">I18+RetiringCapacity!I16+J131+J154</f>
        <v>0</v>
      </c>
      <c r="K18" s="72">
        <f ca="1">J18+RetiringCapacity!J16+K131+K154</f>
        <v>0</v>
      </c>
      <c r="L18" s="72">
        <f ca="1">K18+RetiringCapacity!K16+L131+L154</f>
        <v>0</v>
      </c>
      <c r="M18" s="72">
        <f ca="1">L18+RetiringCapacity!L16+M131+M154</f>
        <v>0</v>
      </c>
      <c r="N18" s="72">
        <f ca="1">M18+RetiringCapacity!M16+N131+N154</f>
        <v>0.1</v>
      </c>
      <c r="O18" s="72">
        <f ca="1">N18+RetiringCapacity!N16+O131+O154</f>
        <v>0.30000000000000004</v>
      </c>
      <c r="P18" s="72">
        <f ca="1">O18+RetiringCapacity!O16+P131+P154</f>
        <v>0.70000000000000007</v>
      </c>
      <c r="Q18" s="72">
        <f ca="1">P18+RetiringCapacity!P16+Q131+Q154</f>
        <v>1.5</v>
      </c>
      <c r="R18" s="72">
        <f ca="1">Q18+RetiringCapacity!Q16+R131+R154</f>
        <v>2.7</v>
      </c>
      <c r="S18" s="72">
        <f ca="1">R18+RetiringCapacity!R16+S131+S154</f>
        <v>4.3000000000000007</v>
      </c>
      <c r="T18" s="72">
        <f ca="1">S18+RetiringCapacity!S16+T131+T154</f>
        <v>6.3000000000000007</v>
      </c>
      <c r="U18" s="72">
        <f ca="1">T18+RetiringCapacity!T16+U131+U154</f>
        <v>8.3000000000000007</v>
      </c>
      <c r="V18" s="72">
        <f ca="1">U18+RetiringCapacity!U16+V131+V154</f>
        <v>11.3</v>
      </c>
      <c r="W18" s="72">
        <f ca="1">V18+RetiringCapacity!V16+W131+W154</f>
        <v>14.3</v>
      </c>
      <c r="X18" s="72">
        <f ca="1">W18+RetiringCapacity!W16+X131+X154</f>
        <v>17.3</v>
      </c>
      <c r="Y18" s="72">
        <f ca="1">X18+RetiringCapacity!X16+Y131+Y154</f>
        <v>20.3</v>
      </c>
      <c r="Z18" s="72">
        <f ca="1">Y18+RetiringCapacity!Y16+Z131+Z154</f>
        <v>23.3</v>
      </c>
      <c r="AA18" s="72">
        <f ca="1">Z18+RetiringCapacity!Z16+AA131+AA154</f>
        <v>26.3</v>
      </c>
      <c r="AB18" s="72">
        <f ca="1">AA18+RetiringCapacity!AA16+AB131+AB154</f>
        <v>29.3</v>
      </c>
      <c r="AC18" s="72">
        <f ca="1">AB18+RetiringCapacity!AB16+AC131+AC154</f>
        <v>32.299999999999997</v>
      </c>
      <c r="AD18" s="73">
        <f ca="1">AC18+RetiringCapacity!AC16+AD131+AD154</f>
        <v>32.299999999999997</v>
      </c>
      <c r="AE18" s="73">
        <f ca="1">AD18+RetiringCapacity!AD16+AE131+AE154</f>
        <v>32.299999999999997</v>
      </c>
      <c r="AF18" s="73">
        <f ca="1">AE18+RetiringCapacity!AE16+AF131+AF154</f>
        <v>32.299999999999997</v>
      </c>
      <c r="AG18" s="73">
        <f ca="1">AF18+RetiringCapacity!AF16+AG131+AG154</f>
        <v>32.299999999999997</v>
      </c>
      <c r="AH18" s="73">
        <f ca="1">AG18+RetiringCapacity!AG16+AH131+AH154</f>
        <v>32.299999999999997</v>
      </c>
      <c r="AI18" s="73">
        <f ca="1">AH18+RetiringCapacity!AH16+AI131+AI154</f>
        <v>32.299999999999997</v>
      </c>
      <c r="AJ18" s="73">
        <f ca="1">AI18+RetiringCapacity!AI16+AJ131+AJ154</f>
        <v>32.299999999999997</v>
      </c>
      <c r="AK18" s="73">
        <f ca="1">AJ18+RetiringCapacity!AJ16+AK131+AK154</f>
        <v>32.299999999999997</v>
      </c>
      <c r="AL18" s="73">
        <f ca="1">AK18+RetiringCapacity!AK16+AL131+AL154</f>
        <v>32.299999999999997</v>
      </c>
      <c r="AM18" s="73">
        <f ca="1">AL18+RetiringCapacity!AL16+AM131+AM154</f>
        <v>32.299999999999997</v>
      </c>
      <c r="AN18" s="73">
        <f ca="1">AM18+RetiringCapacity!AM16+AN131+AN154</f>
        <v>32.299999999999997</v>
      </c>
      <c r="AO18" s="73">
        <f ca="1">AN18+RetiringCapacity!AN16+AO131+AO154</f>
        <v>32.299999999999997</v>
      </c>
      <c r="AP18" s="73">
        <f ca="1">AO18+RetiringCapacity!AO16+AP131+AP154</f>
        <v>32.299999999999997</v>
      </c>
      <c r="AQ18" s="73">
        <f ca="1">AP18+RetiringCapacity!AP16+AQ131+AQ154</f>
        <v>32.299999999999997</v>
      </c>
      <c r="AR18" s="73">
        <f ca="1">AQ18+RetiringCapacity!AQ16+AR131+AR154</f>
        <v>32.299999999999997</v>
      </c>
      <c r="AS18" s="73">
        <f ca="1">AR18+RetiringCapacity!AR16+AS131+AS154</f>
        <v>32.299999999999997</v>
      </c>
      <c r="AT18" s="73">
        <f ca="1">AS18+RetiringCapacity!AS16+AT131+AT154</f>
        <v>32.299999999999997</v>
      </c>
      <c r="AU18" s="73">
        <f ca="1">AT18+RetiringCapacity!AT16+AU131+AU154</f>
        <v>32.299999999999997</v>
      </c>
      <c r="AV18" s="73">
        <f ca="1">AU18+RetiringCapacity!AU16+AV131+AV154</f>
        <v>32.299999999999997</v>
      </c>
      <c r="AW18" s="73">
        <f ca="1">AV18+RetiringCapacity!AV16+AW131+AW154</f>
        <v>32.299999999999997</v>
      </c>
    </row>
    <row r="19" spans="1:49" ht="15">
      <c r="A19" s="11">
        <v>1</v>
      </c>
      <c r="B19" t="s">
        <v>36</v>
      </c>
      <c r="C19" t="str">
        <f>'Tech Parameters'!B17</f>
        <v>solar thermal trough</v>
      </c>
      <c r="D19" s="218">
        <f>RetiringCapacity!C17</f>
        <v>0</v>
      </c>
      <c r="E19" s="219">
        <f>RetiringCapacity!D17</f>
        <v>0</v>
      </c>
      <c r="F19" s="219">
        <f>RetiringCapacity!E17</f>
        <v>0</v>
      </c>
      <c r="G19" s="219">
        <f>RetiringCapacity!F17</f>
        <v>0</v>
      </c>
      <c r="H19" s="220">
        <f>RetiringCapacity!G17</f>
        <v>0</v>
      </c>
      <c r="I19" s="72">
        <f ca="1">H19+RetiringCapacity!H17+I132+I155</f>
        <v>0</v>
      </c>
      <c r="J19" s="72">
        <f ca="1">I19+RetiringCapacity!I17+J132+J155</f>
        <v>0</v>
      </c>
      <c r="K19" s="72">
        <f ca="1">J19+RetiringCapacity!J17+K132+K155</f>
        <v>0</v>
      </c>
      <c r="L19" s="72">
        <f ca="1">K19+RetiringCapacity!K17+L132+L155</f>
        <v>0</v>
      </c>
      <c r="M19" s="72">
        <f ca="1">L19+RetiringCapacity!L17+M132+M155</f>
        <v>0</v>
      </c>
      <c r="N19" s="72">
        <f ca="1">M19+RetiringCapacity!M17+N132+N155</f>
        <v>0</v>
      </c>
      <c r="O19" s="72">
        <f ca="1">N19+RetiringCapacity!N17+O132+O155</f>
        <v>0</v>
      </c>
      <c r="P19" s="72">
        <f ca="1">O19+RetiringCapacity!O17+P132+P155</f>
        <v>0</v>
      </c>
      <c r="Q19" s="72">
        <f ca="1">P19+RetiringCapacity!P17+Q132+Q155</f>
        <v>0</v>
      </c>
      <c r="R19" s="72">
        <f ca="1">Q19+RetiringCapacity!Q17+R132+R155</f>
        <v>0</v>
      </c>
      <c r="S19" s="72">
        <f ca="1">R19+RetiringCapacity!R17+S132+S155</f>
        <v>0</v>
      </c>
      <c r="T19" s="72">
        <f ca="1">S19+RetiringCapacity!S17+T132+T155</f>
        <v>0</v>
      </c>
      <c r="U19" s="72">
        <f ca="1">T19+RetiringCapacity!T17+U132+U155</f>
        <v>0</v>
      </c>
      <c r="V19" s="72">
        <f ca="1">U19+RetiringCapacity!U17+V132+V155</f>
        <v>0</v>
      </c>
      <c r="W19" s="72">
        <f ca="1">V19+RetiringCapacity!V17+W132+W155</f>
        <v>0</v>
      </c>
      <c r="X19" s="72">
        <f ca="1">W19+RetiringCapacity!W17+X132+X155</f>
        <v>0</v>
      </c>
      <c r="Y19" s="72">
        <f ca="1">X19+RetiringCapacity!X17+Y132+Y155</f>
        <v>0</v>
      </c>
      <c r="Z19" s="72">
        <f ca="1">Y19+RetiringCapacity!Y17+Z132+Z155</f>
        <v>0</v>
      </c>
      <c r="AA19" s="72">
        <f ca="1">Z19+RetiringCapacity!Z17+AA132+AA155</f>
        <v>0</v>
      </c>
      <c r="AB19" s="72">
        <f ca="1">AA19+RetiringCapacity!AA17+AB132+AB155</f>
        <v>0</v>
      </c>
      <c r="AC19" s="72">
        <f ca="1">AB19+RetiringCapacity!AB17+AC132+AC155</f>
        <v>0</v>
      </c>
      <c r="AD19" s="73">
        <f ca="1">AC19+RetiringCapacity!AC17+AD132+AD155</f>
        <v>0</v>
      </c>
      <c r="AE19" s="73">
        <f ca="1">AD19+RetiringCapacity!AD17+AE132+AE155</f>
        <v>0</v>
      </c>
      <c r="AF19" s="73">
        <f ca="1">AE19+RetiringCapacity!AE17+AF132+AF155</f>
        <v>0</v>
      </c>
      <c r="AG19" s="73">
        <f ca="1">AF19+RetiringCapacity!AF17+AG132+AG155</f>
        <v>0</v>
      </c>
      <c r="AH19" s="73">
        <f ca="1">AG19+RetiringCapacity!AG17+AH132+AH155</f>
        <v>0</v>
      </c>
      <c r="AI19" s="73">
        <f ca="1">AH19+RetiringCapacity!AH17+AI132+AI155</f>
        <v>0</v>
      </c>
      <c r="AJ19" s="73">
        <f ca="1">AI19+RetiringCapacity!AI17+AJ132+AJ155</f>
        <v>0</v>
      </c>
      <c r="AK19" s="73">
        <f ca="1">AJ19+RetiringCapacity!AJ17+AK132+AK155</f>
        <v>0</v>
      </c>
      <c r="AL19" s="73">
        <f ca="1">AK19+RetiringCapacity!AK17+AL132+AL155</f>
        <v>0</v>
      </c>
      <c r="AM19" s="73">
        <f ca="1">AL19+RetiringCapacity!AL17+AM132+AM155</f>
        <v>0</v>
      </c>
      <c r="AN19" s="73">
        <f ca="1">AM19+RetiringCapacity!AM17+AN132+AN155</f>
        <v>0</v>
      </c>
      <c r="AO19" s="73">
        <f ca="1">AN19+RetiringCapacity!AN17+AO132+AO155</f>
        <v>0</v>
      </c>
      <c r="AP19" s="73">
        <f ca="1">AO19+RetiringCapacity!AO17+AP132+AP155</f>
        <v>0</v>
      </c>
      <c r="AQ19" s="73">
        <f ca="1">AP19+RetiringCapacity!AP17+AQ132+AQ155</f>
        <v>0</v>
      </c>
      <c r="AR19" s="73">
        <f ca="1">AQ19+RetiringCapacity!AQ17+AR132+AR155</f>
        <v>0</v>
      </c>
      <c r="AS19" s="73">
        <f ca="1">AR19+RetiringCapacity!AR17+AS132+AS155</f>
        <v>0</v>
      </c>
      <c r="AT19" s="73">
        <f ca="1">AS19+RetiringCapacity!AS17+AT132+AT155</f>
        <v>0</v>
      </c>
      <c r="AU19" s="73">
        <f ca="1">AT19+RetiringCapacity!AT17+AU132+AU155</f>
        <v>0</v>
      </c>
      <c r="AV19" s="73">
        <f ca="1">AU19+RetiringCapacity!AU17+AV132+AV155</f>
        <v>0</v>
      </c>
      <c r="AW19" s="73">
        <f ca="1">AV19+RetiringCapacity!AV17+AW132+AW155</f>
        <v>0</v>
      </c>
    </row>
    <row r="20" spans="1:49" ht="15">
      <c r="A20" s="11">
        <v>0</v>
      </c>
      <c r="B20" t="s">
        <v>36</v>
      </c>
      <c r="C20" t="str">
        <f>'Tech Parameters'!B18</f>
        <v>solar PV</v>
      </c>
      <c r="D20" s="218">
        <f>RetiringCapacity!C18</f>
        <v>0</v>
      </c>
      <c r="E20" s="219">
        <f>RetiringCapacity!D18</f>
        <v>0</v>
      </c>
      <c r="F20" s="219">
        <f>RetiringCapacity!E18</f>
        <v>0</v>
      </c>
      <c r="G20" s="219">
        <f>RetiringCapacity!F18</f>
        <v>0</v>
      </c>
      <c r="H20" s="220">
        <f>RetiringCapacity!G18</f>
        <v>0</v>
      </c>
      <c r="I20" s="72">
        <f ca="1">H20+RetiringCapacity!H18+I133+I156</f>
        <v>0</v>
      </c>
      <c r="J20" s="72">
        <f ca="1">I20+RetiringCapacity!I18+J133+J156</f>
        <v>0</v>
      </c>
      <c r="K20" s="72">
        <f ca="1">J20+RetiringCapacity!J18+K133+K156</f>
        <v>0</v>
      </c>
      <c r="L20" s="72">
        <f ca="1">K20+RetiringCapacity!K18+L133+L156</f>
        <v>0</v>
      </c>
      <c r="M20" s="72">
        <f ca="1">L20+RetiringCapacity!L18+M133+M156</f>
        <v>0</v>
      </c>
      <c r="N20" s="72">
        <f ca="1">M20+RetiringCapacity!M18+N133+N156</f>
        <v>0</v>
      </c>
      <c r="O20" s="72">
        <f ca="1">N20+RetiringCapacity!N18+O133+O156</f>
        <v>0</v>
      </c>
      <c r="P20" s="72">
        <f ca="1">O20+RetiringCapacity!O18+P133+P156</f>
        <v>0</v>
      </c>
      <c r="Q20" s="72">
        <f ca="1">P20+RetiringCapacity!P18+Q133+Q156</f>
        <v>0</v>
      </c>
      <c r="R20" s="72">
        <f ca="1">Q20+RetiringCapacity!Q18+R133+R156</f>
        <v>0</v>
      </c>
      <c r="S20" s="72">
        <f ca="1">R20+RetiringCapacity!R18+S133+S156</f>
        <v>0</v>
      </c>
      <c r="T20" s="72">
        <f ca="1">S20+RetiringCapacity!S18+T133+T156</f>
        <v>0</v>
      </c>
      <c r="U20" s="72">
        <f ca="1">T20+RetiringCapacity!T18+U133+U156</f>
        <v>0</v>
      </c>
      <c r="V20" s="72">
        <f ca="1">U20+RetiringCapacity!U18+V133+V156</f>
        <v>0</v>
      </c>
      <c r="W20" s="72">
        <f ca="1">V20+RetiringCapacity!V18+W133+W156</f>
        <v>0</v>
      </c>
      <c r="X20" s="72">
        <f ca="1">W20+RetiringCapacity!W18+X133+X156</f>
        <v>0</v>
      </c>
      <c r="Y20" s="72">
        <f ca="1">X20+RetiringCapacity!X18+Y133+Y156</f>
        <v>0</v>
      </c>
      <c r="Z20" s="72">
        <f ca="1">Y20+RetiringCapacity!Y18+Z133+Z156</f>
        <v>0</v>
      </c>
      <c r="AA20" s="72">
        <f ca="1">Z20+RetiringCapacity!Z18+AA133+AA156</f>
        <v>0</v>
      </c>
      <c r="AB20" s="72">
        <f ca="1">AA20+RetiringCapacity!AA18+AB133+AB156</f>
        <v>0</v>
      </c>
      <c r="AC20" s="72">
        <f ca="1">AB20+RetiringCapacity!AB18+AC133+AC156</f>
        <v>0</v>
      </c>
      <c r="AD20" s="73">
        <f ca="1">AC20+RetiringCapacity!AC18+AD133+AD156</f>
        <v>0</v>
      </c>
      <c r="AE20" s="73">
        <f ca="1">AD20+RetiringCapacity!AD18+AE133+AE156</f>
        <v>0</v>
      </c>
      <c r="AF20" s="73">
        <f ca="1">AE20+RetiringCapacity!AE18+AF133+AF156</f>
        <v>0</v>
      </c>
      <c r="AG20" s="73">
        <f ca="1">AF20+RetiringCapacity!AF18+AG133+AG156</f>
        <v>0</v>
      </c>
      <c r="AH20" s="73">
        <f ca="1">AG20+RetiringCapacity!AG18+AH133+AH156</f>
        <v>0</v>
      </c>
      <c r="AI20" s="73">
        <f ca="1">AH20+RetiringCapacity!AH18+AI133+AI156</f>
        <v>0</v>
      </c>
      <c r="AJ20" s="73">
        <f ca="1">AI20+RetiringCapacity!AI18+AJ133+AJ156</f>
        <v>0</v>
      </c>
      <c r="AK20" s="73">
        <f ca="1">AJ20+RetiringCapacity!AJ18+AK133+AK156</f>
        <v>0</v>
      </c>
      <c r="AL20" s="73">
        <f ca="1">AK20+RetiringCapacity!AK18+AL133+AL156</f>
        <v>0</v>
      </c>
      <c r="AM20" s="73">
        <f ca="1">AL20+RetiringCapacity!AL18+AM133+AM156</f>
        <v>0</v>
      </c>
      <c r="AN20" s="73">
        <f ca="1">AM20+RetiringCapacity!AM18+AN133+AN156</f>
        <v>0</v>
      </c>
      <c r="AO20" s="73">
        <f ca="1">AN20+RetiringCapacity!AN18+AO133+AO156</f>
        <v>0</v>
      </c>
      <c r="AP20" s="73">
        <f ca="1">AO20+RetiringCapacity!AO18+AP133+AP156</f>
        <v>0</v>
      </c>
      <c r="AQ20" s="73">
        <f ca="1">AP20+RetiringCapacity!AP18+AQ133+AQ156</f>
        <v>0</v>
      </c>
      <c r="AR20" s="73">
        <f ca="1">AQ20+RetiringCapacity!AQ18+AR133+AR156</f>
        <v>0</v>
      </c>
      <c r="AS20" s="73">
        <f ca="1">AR20+RetiringCapacity!AR18+AS133+AS156</f>
        <v>0</v>
      </c>
      <c r="AT20" s="73">
        <f ca="1">AS20+RetiringCapacity!AS18+AT133+AT156</f>
        <v>0</v>
      </c>
      <c r="AU20" s="73">
        <f ca="1">AT20+RetiringCapacity!AT18+AU133+AU156</f>
        <v>0</v>
      </c>
      <c r="AV20" s="73">
        <f ca="1">AU20+RetiringCapacity!AU18+AV133+AV156</f>
        <v>0</v>
      </c>
      <c r="AW20" s="73">
        <f ca="1">AV20+RetiringCapacity!AV18+AW133+AW156</f>
        <v>0</v>
      </c>
    </row>
    <row r="21" spans="1:49" ht="15">
      <c r="A21" s="11">
        <v>1</v>
      </c>
      <c r="C21" t="str">
        <f>'Tech Parameters'!B19</f>
        <v>combined cycle gas</v>
      </c>
      <c r="D21" s="218">
        <f>RetiringCapacity!C19</f>
        <v>0</v>
      </c>
      <c r="E21" s="219">
        <f>RetiringCapacity!D19</f>
        <v>0</v>
      </c>
      <c r="F21" s="219">
        <f>RetiringCapacity!E19</f>
        <v>0</v>
      </c>
      <c r="G21" s="219">
        <f>RetiringCapacity!F19</f>
        <v>0</v>
      </c>
      <c r="H21" s="220">
        <f>RetiringCapacity!G19</f>
        <v>0</v>
      </c>
      <c r="I21" s="72">
        <f ca="1">H21+RetiringCapacity!H19+I134+I157</f>
        <v>0</v>
      </c>
      <c r="J21" s="72">
        <f ca="1">I21+RetiringCapacity!I19+J134+J157</f>
        <v>0</v>
      </c>
      <c r="K21" s="72">
        <f ca="1">J21+RetiringCapacity!J19+K134+K157</f>
        <v>0</v>
      </c>
      <c r="L21" s="72">
        <f ca="1">K21+RetiringCapacity!K19+L134+L157</f>
        <v>0</v>
      </c>
      <c r="M21" s="72">
        <f ca="1">L21+RetiringCapacity!L19+M134+M157</f>
        <v>0</v>
      </c>
      <c r="N21" s="72">
        <f ca="1">M21+RetiringCapacity!M19+N134+N157</f>
        <v>0</v>
      </c>
      <c r="O21" s="72">
        <f ca="1">N21+RetiringCapacity!N19+O134+O157</f>
        <v>0</v>
      </c>
      <c r="P21" s="72">
        <f ca="1">O21+RetiringCapacity!O19+P134+P157</f>
        <v>0</v>
      </c>
      <c r="Q21" s="72">
        <f ca="1">P21+RetiringCapacity!P19+Q134+Q157</f>
        <v>0</v>
      </c>
      <c r="R21" s="72">
        <f ca="1">Q21+RetiringCapacity!Q19+R134+R157</f>
        <v>0</v>
      </c>
      <c r="S21" s="72">
        <f ca="1">R21+RetiringCapacity!R19+S134+S157</f>
        <v>0</v>
      </c>
      <c r="T21" s="72">
        <f ca="1">S21+RetiringCapacity!S19+T134+T157</f>
        <v>0</v>
      </c>
      <c r="U21" s="72">
        <f ca="1">T21+RetiringCapacity!T19+U134+U157</f>
        <v>0</v>
      </c>
      <c r="V21" s="72">
        <f ca="1">U21+RetiringCapacity!U19+V134+V157</f>
        <v>0</v>
      </c>
      <c r="W21" s="72">
        <f ca="1">V21+RetiringCapacity!V19+W134+W157</f>
        <v>0</v>
      </c>
      <c r="X21" s="72">
        <f ca="1">W21+RetiringCapacity!W19+X134+X157</f>
        <v>0</v>
      </c>
      <c r="Y21" s="72">
        <f ca="1">X21+RetiringCapacity!X19+Y134+Y157</f>
        <v>0</v>
      </c>
      <c r="Z21" s="72">
        <f ca="1">Y21+RetiringCapacity!Y19+Z134+Z157</f>
        <v>0.77400000000000002</v>
      </c>
      <c r="AA21" s="72">
        <f ca="1">Z21+RetiringCapacity!Z19+AA134+AA157</f>
        <v>1.9350000000000001</v>
      </c>
      <c r="AB21" s="72">
        <f ca="1">AA21+RetiringCapacity!AA19+AB134+AB157</f>
        <v>3.0960000000000001</v>
      </c>
      <c r="AC21" s="72">
        <f ca="1">AB21+RetiringCapacity!AB19+AC134+AC157</f>
        <v>3.0960000000000001</v>
      </c>
      <c r="AD21" s="73">
        <f ca="1">AC21+RetiringCapacity!AC19+AD134+AD157</f>
        <v>3.0960000000000001</v>
      </c>
      <c r="AE21" s="73">
        <f ca="1">AD21+RetiringCapacity!AD19+AE134+AE157</f>
        <v>3.0960000000000001</v>
      </c>
      <c r="AF21" s="73">
        <f ca="1">AE21+RetiringCapacity!AE19+AF134+AF157</f>
        <v>3.0960000000000001</v>
      </c>
      <c r="AG21" s="73">
        <f ca="1">AF21+RetiringCapacity!AF19+AG134+AG157</f>
        <v>3.0960000000000001</v>
      </c>
      <c r="AH21" s="73">
        <f ca="1">AG21+RetiringCapacity!AG19+AH134+AH157</f>
        <v>3.0960000000000001</v>
      </c>
      <c r="AI21" s="73">
        <f ca="1">AH21+RetiringCapacity!AH19+AI134+AI157</f>
        <v>3.0960000000000001</v>
      </c>
      <c r="AJ21" s="73">
        <f ca="1">AI21+RetiringCapacity!AI19+AJ134+AJ157</f>
        <v>3.0960000000000001</v>
      </c>
      <c r="AK21" s="73">
        <f ca="1">AJ21+RetiringCapacity!AJ19+AK134+AK157</f>
        <v>3.0960000000000001</v>
      </c>
      <c r="AL21" s="73">
        <f ca="1">AK21+RetiringCapacity!AK19+AL134+AL157</f>
        <v>3.0960000000000001</v>
      </c>
      <c r="AM21" s="73">
        <f ca="1">AL21+RetiringCapacity!AL19+AM134+AM157</f>
        <v>3.0960000000000001</v>
      </c>
      <c r="AN21" s="73">
        <f ca="1">AM21+RetiringCapacity!AM19+AN134+AN157</f>
        <v>3.0960000000000001</v>
      </c>
      <c r="AO21" s="73">
        <f ca="1">AN21+RetiringCapacity!AN19+AO134+AO157</f>
        <v>3.0960000000000001</v>
      </c>
      <c r="AP21" s="73">
        <f ca="1">AO21+RetiringCapacity!AO19+AP134+AP157</f>
        <v>3.0960000000000001</v>
      </c>
      <c r="AQ21" s="73">
        <f ca="1">AP21+RetiringCapacity!AP19+AQ134+AQ157</f>
        <v>3.0960000000000001</v>
      </c>
      <c r="AR21" s="73">
        <f ca="1">AQ21+RetiringCapacity!AQ19+AR134+AR157</f>
        <v>3.0960000000000001</v>
      </c>
      <c r="AS21" s="73">
        <f ca="1">AR21+RetiringCapacity!AR19+AS134+AS157</f>
        <v>3.0960000000000001</v>
      </c>
      <c r="AT21" s="73">
        <f ca="1">AS21+RetiringCapacity!AS19+AT134+AT157</f>
        <v>3.0960000000000001</v>
      </c>
      <c r="AU21" s="73">
        <f ca="1">AT21+RetiringCapacity!AT19+AU134+AU157</f>
        <v>3.0960000000000001</v>
      </c>
      <c r="AV21" s="73">
        <f ca="1">AU21+RetiringCapacity!AU19+AV134+AV157</f>
        <v>3.0960000000000001</v>
      </c>
      <c r="AW21" s="73">
        <f ca="1">AV21+RetiringCapacity!AV19+AW134+AW157</f>
        <v>3.0960000000000001</v>
      </c>
    </row>
    <row r="22" spans="1:49" ht="15">
      <c r="A22" s="11">
        <v>1</v>
      </c>
      <c r="C22" t="str">
        <f>'Tech Parameters'!B20</f>
        <v>PBMR</v>
      </c>
      <c r="D22" s="218">
        <f>RetiringCapacity!C20</f>
        <v>0</v>
      </c>
      <c r="E22" s="219">
        <f>RetiringCapacity!D20</f>
        <v>0</v>
      </c>
      <c r="F22" s="219">
        <f>RetiringCapacity!E20</f>
        <v>0</v>
      </c>
      <c r="G22" s="219">
        <f>RetiringCapacity!F20</f>
        <v>0</v>
      </c>
      <c r="H22" s="220">
        <f>RetiringCapacity!G20</f>
        <v>0</v>
      </c>
      <c r="I22" s="72">
        <f ca="1">H22+RetiringCapacity!H20+I135+I158</f>
        <v>0</v>
      </c>
      <c r="J22" s="72">
        <f ca="1">I22+RetiringCapacity!I20+J135+J158</f>
        <v>0</v>
      </c>
      <c r="K22" s="72">
        <f ca="1">J22+RetiringCapacity!J20+K135+K158</f>
        <v>0</v>
      </c>
      <c r="L22" s="72">
        <f ca="1">K22+RetiringCapacity!K20+L135+L158</f>
        <v>0</v>
      </c>
      <c r="M22" s="72">
        <f ca="1">L22+RetiringCapacity!L20+M135+M158</f>
        <v>0</v>
      </c>
      <c r="N22" s="72">
        <f ca="1">M22+RetiringCapacity!M20+N135+N158</f>
        <v>0</v>
      </c>
      <c r="O22" s="72">
        <f ca="1">N22+RetiringCapacity!N20+O135+O158</f>
        <v>0</v>
      </c>
      <c r="P22" s="72">
        <f ca="1">O22+RetiringCapacity!O20+P135+P158</f>
        <v>0</v>
      </c>
      <c r="Q22" s="72">
        <f ca="1">P22+RetiringCapacity!P20+Q135+Q158</f>
        <v>0</v>
      </c>
      <c r="R22" s="72">
        <f ca="1">Q22+RetiringCapacity!Q20+R135+R158</f>
        <v>0</v>
      </c>
      <c r="S22" s="72">
        <f ca="1">R22+RetiringCapacity!R20+S135+S158</f>
        <v>0</v>
      </c>
      <c r="T22" s="72">
        <f ca="1">S22+RetiringCapacity!S20+T135+T158</f>
        <v>0</v>
      </c>
      <c r="U22" s="72">
        <f ca="1">T22+RetiringCapacity!T20+U135+U158</f>
        <v>0</v>
      </c>
      <c r="V22" s="72">
        <f ca="1">U22+RetiringCapacity!U20+V135+V158</f>
        <v>0</v>
      </c>
      <c r="W22" s="72">
        <f ca="1">V22+RetiringCapacity!V20+W135+W158</f>
        <v>0</v>
      </c>
      <c r="X22" s="72">
        <f ca="1">W22+RetiringCapacity!W20+X135+X158</f>
        <v>0</v>
      </c>
      <c r="Y22" s="72">
        <f ca="1">X22+RetiringCapacity!X20+Y135+Y158</f>
        <v>0</v>
      </c>
      <c r="Z22" s="72">
        <f ca="1">Y22+RetiringCapacity!Y20+Z135+Z158</f>
        <v>0</v>
      </c>
      <c r="AA22" s="72">
        <f ca="1">Z22+RetiringCapacity!Z20+AA135+AA158</f>
        <v>0</v>
      </c>
      <c r="AB22" s="72">
        <f ca="1">AA22+RetiringCapacity!AA20+AB135+AB158</f>
        <v>0</v>
      </c>
      <c r="AC22" s="72">
        <f ca="1">AB22+RetiringCapacity!AB20+AC135+AC158</f>
        <v>0</v>
      </c>
      <c r="AD22" s="73">
        <f ca="1">AC22+RetiringCapacity!AC20+AD135+AD158</f>
        <v>0</v>
      </c>
      <c r="AE22" s="73">
        <f ca="1">AD22+RetiringCapacity!AD20+AE135+AE158</f>
        <v>0</v>
      </c>
      <c r="AF22" s="73">
        <f ca="1">AE22+RetiringCapacity!AE20+AF135+AF158</f>
        <v>0</v>
      </c>
      <c r="AG22" s="73">
        <f ca="1">AF22+RetiringCapacity!AF20+AG135+AG158</f>
        <v>0</v>
      </c>
      <c r="AH22" s="73">
        <f ca="1">AG22+RetiringCapacity!AG20+AH135+AH158</f>
        <v>0</v>
      </c>
      <c r="AI22" s="73">
        <f ca="1">AH22+RetiringCapacity!AH20+AI135+AI158</f>
        <v>0</v>
      </c>
      <c r="AJ22" s="73">
        <f ca="1">AI22+RetiringCapacity!AI20+AJ135+AJ158</f>
        <v>0</v>
      </c>
      <c r="AK22" s="73">
        <f ca="1">AJ22+RetiringCapacity!AJ20+AK135+AK158</f>
        <v>0</v>
      </c>
      <c r="AL22" s="73">
        <f ca="1">AK22+RetiringCapacity!AK20+AL135+AL158</f>
        <v>0</v>
      </c>
      <c r="AM22" s="73">
        <f ca="1">AL22+RetiringCapacity!AL20+AM135+AM158</f>
        <v>0</v>
      </c>
      <c r="AN22" s="73">
        <f ca="1">AM22+RetiringCapacity!AM20+AN135+AN158</f>
        <v>0</v>
      </c>
      <c r="AO22" s="73">
        <f ca="1">AN22+RetiringCapacity!AN20+AO135+AO158</f>
        <v>0</v>
      </c>
      <c r="AP22" s="73">
        <f ca="1">AO22+RetiringCapacity!AO20+AP135+AP158</f>
        <v>0</v>
      </c>
      <c r="AQ22" s="73">
        <f ca="1">AP22+RetiringCapacity!AP20+AQ135+AQ158</f>
        <v>0</v>
      </c>
      <c r="AR22" s="73">
        <f ca="1">AQ22+RetiringCapacity!AQ20+AR135+AR158</f>
        <v>0</v>
      </c>
      <c r="AS22" s="73">
        <f ca="1">AR22+RetiringCapacity!AR20+AS135+AS158</f>
        <v>0</v>
      </c>
      <c r="AT22" s="73">
        <f ca="1">AS22+RetiringCapacity!AS20+AT135+AT158</f>
        <v>0</v>
      </c>
      <c r="AU22" s="73">
        <f ca="1">AT22+RetiringCapacity!AT20+AU135+AU158</f>
        <v>0</v>
      </c>
      <c r="AV22" s="73">
        <f ca="1">AU22+RetiringCapacity!AU20+AV135+AV158</f>
        <v>0</v>
      </c>
      <c r="AW22" s="73">
        <f ca="1">AV22+RetiringCapacity!AV20+AW135+AW158</f>
        <v>0</v>
      </c>
    </row>
    <row r="23" spans="1:49" ht="15">
      <c r="A23" s="11"/>
      <c r="C23" t="str">
        <f>'Tech Parameters'!B21</f>
        <v>IGCC</v>
      </c>
      <c r="D23" s="218">
        <f>RetiringCapacity!C21</f>
        <v>0</v>
      </c>
      <c r="E23" s="219">
        <f>RetiringCapacity!D21</f>
        <v>0</v>
      </c>
      <c r="F23" s="219">
        <f>RetiringCapacity!E21</f>
        <v>0</v>
      </c>
      <c r="G23" s="219">
        <f>RetiringCapacity!F21</f>
        <v>0</v>
      </c>
      <c r="H23" s="220">
        <f>RetiringCapacity!G21</f>
        <v>0</v>
      </c>
      <c r="I23" s="72">
        <f ca="1">H23+RetiringCapacity!H21+I136+I159</f>
        <v>0</v>
      </c>
      <c r="J23" s="72">
        <f ca="1">I23+RetiringCapacity!I21+J136+J159</f>
        <v>0</v>
      </c>
      <c r="K23" s="72">
        <f ca="1">J23+RetiringCapacity!J21+K136+K159</f>
        <v>0</v>
      </c>
      <c r="L23" s="72">
        <f ca="1">K23+RetiringCapacity!K21+L136+L159</f>
        <v>0</v>
      </c>
      <c r="M23" s="72">
        <f ca="1">L23+RetiringCapacity!L21+M136+M159</f>
        <v>0</v>
      </c>
      <c r="N23" s="72">
        <f ca="1">M23+RetiringCapacity!M21+N136+N159</f>
        <v>0</v>
      </c>
      <c r="O23" s="72">
        <f ca="1">N23+RetiringCapacity!N21+O136+O159</f>
        <v>0</v>
      </c>
      <c r="P23" s="72">
        <f ca="1">O23+RetiringCapacity!O21+P136+P159</f>
        <v>0</v>
      </c>
      <c r="Q23" s="72">
        <f ca="1">P23+RetiringCapacity!P21+Q136+Q159</f>
        <v>0</v>
      </c>
      <c r="R23" s="72">
        <f ca="1">Q23+RetiringCapacity!Q21+R136+R159</f>
        <v>0</v>
      </c>
      <c r="S23" s="72">
        <f ca="1">R23+RetiringCapacity!R21+S136+S159</f>
        <v>0</v>
      </c>
      <c r="T23" s="72">
        <f ca="1">S23+RetiringCapacity!S21+T136+T159</f>
        <v>0</v>
      </c>
      <c r="U23" s="72">
        <f ca="1">T23+RetiringCapacity!T21+U136+U159</f>
        <v>0</v>
      </c>
      <c r="V23" s="72">
        <f ca="1">U23+RetiringCapacity!U21+V136+V159</f>
        <v>0</v>
      </c>
      <c r="W23" s="72">
        <f ca="1">V23+RetiringCapacity!V21+W136+W159</f>
        <v>0</v>
      </c>
      <c r="X23" s="72">
        <f ca="1">W23+RetiringCapacity!W21+X136+X159</f>
        <v>0</v>
      </c>
      <c r="Y23" s="72">
        <f ca="1">X23+RetiringCapacity!X21+Y136+Y159</f>
        <v>0</v>
      </c>
      <c r="Z23" s="72">
        <f ca="1">Y23+RetiringCapacity!Y21+Z136+Z159</f>
        <v>0</v>
      </c>
      <c r="AA23" s="72">
        <f ca="1">Z23+RetiringCapacity!Z21+AA136+AA159</f>
        <v>0</v>
      </c>
      <c r="AB23" s="72">
        <f ca="1">AA23+RetiringCapacity!AA21+AB136+AB159</f>
        <v>0.55000000000000004</v>
      </c>
      <c r="AC23" s="72">
        <f ca="1">AB23+RetiringCapacity!AB21+AC136+AC159</f>
        <v>1.1000000000000001</v>
      </c>
      <c r="AD23" s="73">
        <f ca="1">AC23+RetiringCapacity!AC21+AD136+AD159</f>
        <v>1.1000000000000001</v>
      </c>
      <c r="AE23" s="73">
        <f ca="1">AD23+RetiringCapacity!AD21+AE136+AE159</f>
        <v>1.1000000000000001</v>
      </c>
      <c r="AF23" s="73">
        <f ca="1">AE23+RetiringCapacity!AE21+AF136+AF159</f>
        <v>1.1000000000000001</v>
      </c>
      <c r="AG23" s="73">
        <f ca="1">AF23+RetiringCapacity!AF21+AG136+AG159</f>
        <v>1.1000000000000001</v>
      </c>
      <c r="AH23" s="73">
        <f ca="1">AG23+RetiringCapacity!AG21+AH136+AH159</f>
        <v>1.1000000000000001</v>
      </c>
      <c r="AI23" s="73">
        <f ca="1">AH23+RetiringCapacity!AH21+AI136+AI159</f>
        <v>1.1000000000000001</v>
      </c>
      <c r="AJ23" s="73">
        <f ca="1">AI23+RetiringCapacity!AI21+AJ136+AJ159</f>
        <v>1.1000000000000001</v>
      </c>
      <c r="AK23" s="73">
        <f ca="1">AJ23+RetiringCapacity!AJ21+AK136+AK159</f>
        <v>1.1000000000000001</v>
      </c>
      <c r="AL23" s="73">
        <f ca="1">AK23+RetiringCapacity!AK21+AL136+AL159</f>
        <v>1.1000000000000001</v>
      </c>
      <c r="AM23" s="73">
        <f ca="1">AL23+RetiringCapacity!AL21+AM136+AM159</f>
        <v>1.1000000000000001</v>
      </c>
      <c r="AN23" s="73">
        <f ca="1">AM23+RetiringCapacity!AM21+AN136+AN159</f>
        <v>1.1000000000000001</v>
      </c>
      <c r="AO23" s="73">
        <f ca="1">AN23+RetiringCapacity!AN21+AO136+AO159</f>
        <v>1.1000000000000001</v>
      </c>
      <c r="AP23" s="73">
        <f ca="1">AO23+RetiringCapacity!AO21+AP136+AP159</f>
        <v>1.1000000000000001</v>
      </c>
      <c r="AQ23" s="73">
        <f ca="1">AP23+RetiringCapacity!AP21+AQ136+AQ159</f>
        <v>1.1000000000000001</v>
      </c>
      <c r="AR23" s="73">
        <f ca="1">AQ23+RetiringCapacity!AQ21+AR136+AR159</f>
        <v>1.1000000000000001</v>
      </c>
      <c r="AS23" s="73">
        <f ca="1">AR23+RetiringCapacity!AR21+AS136+AS159</f>
        <v>1.1000000000000001</v>
      </c>
      <c r="AT23" s="73">
        <f ca="1">AS23+RetiringCapacity!AS21+AT136+AT159</f>
        <v>1.1000000000000001</v>
      </c>
      <c r="AU23" s="73">
        <f ca="1">AT23+RetiringCapacity!AT21+AU136+AU159</f>
        <v>1.1000000000000001</v>
      </c>
      <c r="AV23" s="73">
        <f ca="1">AU23+RetiringCapacity!AU21+AV136+AV159</f>
        <v>1.1000000000000001</v>
      </c>
      <c r="AW23" s="73">
        <f ca="1">AV23+RetiringCapacity!AV21+AW136+AW159</f>
        <v>1.1000000000000001</v>
      </c>
    </row>
    <row r="24" spans="1:49" ht="15">
      <c r="A24" s="11"/>
      <c r="C24" t="str">
        <f>'Tech Parameters'!B22</f>
        <v>-</v>
      </c>
      <c r="D24" s="218">
        <f>RetiringCapacity!C22</f>
        <v>0</v>
      </c>
      <c r="E24" s="219">
        <f>RetiringCapacity!D22</f>
        <v>0</v>
      </c>
      <c r="F24" s="219">
        <f>RetiringCapacity!E22</f>
        <v>0</v>
      </c>
      <c r="G24" s="219">
        <f>RetiringCapacity!F22</f>
        <v>0</v>
      </c>
      <c r="H24" s="220">
        <f>RetiringCapacity!G22</f>
        <v>0</v>
      </c>
      <c r="I24" s="72">
        <f ca="1">H24+RetiringCapacity!H22+I137+I160</f>
        <v>0</v>
      </c>
      <c r="J24" s="72">
        <f ca="1">I24+RetiringCapacity!I22+J137+J160</f>
        <v>0</v>
      </c>
      <c r="K24" s="72">
        <f ca="1">J24+RetiringCapacity!J22+K137+K160</f>
        <v>0</v>
      </c>
      <c r="L24" s="72">
        <f ca="1">K24+RetiringCapacity!K22+L137+L160</f>
        <v>0</v>
      </c>
      <c r="M24" s="72">
        <f ca="1">L24+RetiringCapacity!L22+M137+M160</f>
        <v>0</v>
      </c>
      <c r="N24" s="72">
        <f ca="1">M24+RetiringCapacity!M22+N137+N160</f>
        <v>0</v>
      </c>
      <c r="O24" s="72">
        <f ca="1">N24+RetiringCapacity!N22+O137+O160</f>
        <v>0</v>
      </c>
      <c r="P24" s="72">
        <f ca="1">O24+RetiringCapacity!O22+P137+P160</f>
        <v>0</v>
      </c>
      <c r="Q24" s="72">
        <f ca="1">P24+RetiringCapacity!P22+Q137+Q160</f>
        <v>0</v>
      </c>
      <c r="R24" s="72">
        <f ca="1">Q24+RetiringCapacity!Q22+R137+R160</f>
        <v>0</v>
      </c>
      <c r="S24" s="72">
        <f ca="1">R24+RetiringCapacity!R22+S137+S160</f>
        <v>0</v>
      </c>
      <c r="T24" s="72">
        <f ca="1">S24+RetiringCapacity!S22+T137+T160</f>
        <v>0</v>
      </c>
      <c r="U24" s="72">
        <f ca="1">T24+RetiringCapacity!T22+U137+U160</f>
        <v>0</v>
      </c>
      <c r="V24" s="72">
        <f ca="1">U24+RetiringCapacity!U22+V137+V160</f>
        <v>0</v>
      </c>
      <c r="W24" s="72">
        <f ca="1">V24+RetiringCapacity!V22+W137+W160</f>
        <v>0</v>
      </c>
      <c r="X24" s="72">
        <f ca="1">W24+RetiringCapacity!W22+X137+X160</f>
        <v>0</v>
      </c>
      <c r="Y24" s="72">
        <f ca="1">X24+RetiringCapacity!X22+Y137+Y160</f>
        <v>0</v>
      </c>
      <c r="Z24" s="72">
        <f ca="1">Y24+RetiringCapacity!Y22+Z137+Z160</f>
        <v>0</v>
      </c>
      <c r="AA24" s="72">
        <f ca="1">Z24+RetiringCapacity!Z22+AA137+AA160</f>
        <v>0</v>
      </c>
      <c r="AB24" s="72">
        <f ca="1">AA24+RetiringCapacity!AA22+AB137+AB160</f>
        <v>0</v>
      </c>
      <c r="AC24" s="72">
        <f ca="1">AB24+RetiringCapacity!AB22+AC137+AC160</f>
        <v>0</v>
      </c>
      <c r="AD24" s="73">
        <f ca="1">AC24+RetiringCapacity!AC22+AD137+AD160</f>
        <v>0</v>
      </c>
      <c r="AE24" s="73">
        <f ca="1">AD24+RetiringCapacity!AD22+AE137+AE160</f>
        <v>0</v>
      </c>
      <c r="AF24" s="73">
        <f ca="1">AE24+RetiringCapacity!AE22+AF137+AF160</f>
        <v>0</v>
      </c>
      <c r="AG24" s="73">
        <f ca="1">AF24+RetiringCapacity!AF22+AG137+AG160</f>
        <v>0</v>
      </c>
      <c r="AH24" s="73">
        <f ca="1">AG24+RetiringCapacity!AG22+AH137+AH160</f>
        <v>0</v>
      </c>
      <c r="AI24" s="73">
        <f ca="1">AH24+RetiringCapacity!AH22+AI137+AI160</f>
        <v>0</v>
      </c>
      <c r="AJ24" s="73">
        <f ca="1">AI24+RetiringCapacity!AI22+AJ137+AJ160</f>
        <v>0</v>
      </c>
      <c r="AK24" s="73">
        <f ca="1">AJ24+RetiringCapacity!AJ22+AK137+AK160</f>
        <v>0</v>
      </c>
      <c r="AL24" s="73">
        <f ca="1">AK24+RetiringCapacity!AK22+AL137+AL160</f>
        <v>0</v>
      </c>
      <c r="AM24" s="73">
        <f ca="1">AL24+RetiringCapacity!AL22+AM137+AM160</f>
        <v>0</v>
      </c>
      <c r="AN24" s="73">
        <f ca="1">AM24+RetiringCapacity!AM22+AN137+AN160</f>
        <v>0</v>
      </c>
      <c r="AO24" s="73">
        <f ca="1">AN24+RetiringCapacity!AN22+AO137+AO160</f>
        <v>0</v>
      </c>
      <c r="AP24" s="73">
        <f ca="1">AO24+RetiringCapacity!AO22+AP137+AP160</f>
        <v>0</v>
      </c>
      <c r="AQ24" s="73">
        <f ca="1">AP24+RetiringCapacity!AP22+AQ137+AQ160</f>
        <v>0</v>
      </c>
      <c r="AR24" s="73">
        <f ca="1">AQ24+RetiringCapacity!AQ22+AR137+AR160</f>
        <v>0</v>
      </c>
      <c r="AS24" s="73">
        <f ca="1">AR24+RetiringCapacity!AR22+AS137+AS160</f>
        <v>0</v>
      </c>
      <c r="AT24" s="73">
        <f ca="1">AS24+RetiringCapacity!AS22+AT137+AT160</f>
        <v>0</v>
      </c>
      <c r="AU24" s="73">
        <f ca="1">AT24+RetiringCapacity!AT22+AU137+AU160</f>
        <v>0</v>
      </c>
      <c r="AV24" s="73">
        <f ca="1">AU24+RetiringCapacity!AU22+AV137+AV160</f>
        <v>0</v>
      </c>
      <c r="AW24" s="73">
        <f ca="1">AV24+RetiringCapacity!AV22+AW137+AW160</f>
        <v>0</v>
      </c>
    </row>
    <row r="25" spans="1:49" ht="15">
      <c r="A25" s="11"/>
      <c r="C25" t="str">
        <f>'Tech Parameters'!B23</f>
        <v>-</v>
      </c>
      <c r="D25" s="218">
        <f>RetiringCapacity!C23</f>
        <v>0</v>
      </c>
      <c r="E25" s="219">
        <f>RetiringCapacity!D23</f>
        <v>0</v>
      </c>
      <c r="F25" s="219">
        <f>RetiringCapacity!E23</f>
        <v>0</v>
      </c>
      <c r="G25" s="219">
        <f>RetiringCapacity!F23</f>
        <v>0</v>
      </c>
      <c r="H25" s="220">
        <f>RetiringCapacity!G23</f>
        <v>0</v>
      </c>
      <c r="I25" s="72">
        <f ca="1">H25+RetiringCapacity!H23+I138+I161</f>
        <v>0</v>
      </c>
      <c r="J25" s="72">
        <f ca="1">I25+RetiringCapacity!I23+J138+J161</f>
        <v>0</v>
      </c>
      <c r="K25" s="72">
        <f ca="1">J25+RetiringCapacity!J23+K138+K161</f>
        <v>0</v>
      </c>
      <c r="L25" s="72">
        <f ca="1">K25+RetiringCapacity!K23+L138+L161</f>
        <v>0</v>
      </c>
      <c r="M25" s="72">
        <f ca="1">L25+RetiringCapacity!L23+M138+M161</f>
        <v>0</v>
      </c>
      <c r="N25" s="72">
        <f ca="1">M25+RetiringCapacity!M23+N138+N161</f>
        <v>0</v>
      </c>
      <c r="O25" s="72">
        <f ca="1">N25+RetiringCapacity!N23+O138+O161</f>
        <v>0</v>
      </c>
      <c r="P25" s="72">
        <f ca="1">O25+RetiringCapacity!O23+P138+P161</f>
        <v>0</v>
      </c>
      <c r="Q25" s="72">
        <f ca="1">P25+RetiringCapacity!P23+Q138+Q161</f>
        <v>0</v>
      </c>
      <c r="R25" s="72">
        <f ca="1">Q25+RetiringCapacity!Q23+R138+R161</f>
        <v>0</v>
      </c>
      <c r="S25" s="72">
        <f ca="1">R25+RetiringCapacity!R23+S138+S161</f>
        <v>0</v>
      </c>
      <c r="T25" s="72">
        <f ca="1">S25+RetiringCapacity!S23+T138+T161</f>
        <v>0</v>
      </c>
      <c r="U25" s="72">
        <f ca="1">T25+RetiringCapacity!T23+U138+U161</f>
        <v>0</v>
      </c>
      <c r="V25" s="72">
        <f ca="1">U25+RetiringCapacity!U23+V138+V161</f>
        <v>0</v>
      </c>
      <c r="W25" s="72">
        <f ca="1">V25+RetiringCapacity!V23+W138+W161</f>
        <v>0</v>
      </c>
      <c r="X25" s="72">
        <f ca="1">W25+RetiringCapacity!W23+X138+X161</f>
        <v>0</v>
      </c>
      <c r="Y25" s="72">
        <f ca="1">X25+RetiringCapacity!X23+Y138+Y161</f>
        <v>0</v>
      </c>
      <c r="Z25" s="72">
        <f ca="1">Y25+RetiringCapacity!Y23+Z138+Z161</f>
        <v>0</v>
      </c>
      <c r="AA25" s="72">
        <f ca="1">Z25+RetiringCapacity!Z23+AA138+AA161</f>
        <v>0</v>
      </c>
      <c r="AB25" s="72">
        <f ca="1">AA25+RetiringCapacity!AA23+AB138+AB161</f>
        <v>0</v>
      </c>
      <c r="AC25" s="72">
        <f ca="1">AB25+RetiringCapacity!AB23+AC138+AC161</f>
        <v>0</v>
      </c>
      <c r="AD25" s="73">
        <f ca="1">AC25+RetiringCapacity!AC23+AD138+AD161</f>
        <v>0</v>
      </c>
      <c r="AE25" s="73">
        <f ca="1">AD25+RetiringCapacity!AD23+AE138+AE161</f>
        <v>0</v>
      </c>
      <c r="AF25" s="73">
        <f ca="1">AE25+RetiringCapacity!AE23+AF138+AF161</f>
        <v>0</v>
      </c>
      <c r="AG25" s="73">
        <f ca="1">AF25+RetiringCapacity!AF23+AG138+AG161</f>
        <v>0</v>
      </c>
      <c r="AH25" s="73">
        <f ca="1">AG25+RetiringCapacity!AG23+AH138+AH161</f>
        <v>0</v>
      </c>
      <c r="AI25" s="73">
        <f ca="1">AH25+RetiringCapacity!AH23+AI138+AI161</f>
        <v>0</v>
      </c>
      <c r="AJ25" s="73">
        <f ca="1">AI25+RetiringCapacity!AI23+AJ138+AJ161</f>
        <v>0</v>
      </c>
      <c r="AK25" s="73">
        <f ca="1">AJ25+RetiringCapacity!AJ23+AK138+AK161</f>
        <v>0</v>
      </c>
      <c r="AL25" s="73">
        <f ca="1">AK25+RetiringCapacity!AK23+AL138+AL161</f>
        <v>0</v>
      </c>
      <c r="AM25" s="73">
        <f ca="1">AL25+RetiringCapacity!AL23+AM138+AM161</f>
        <v>0</v>
      </c>
      <c r="AN25" s="73">
        <f ca="1">AM25+RetiringCapacity!AM23+AN138+AN161</f>
        <v>0</v>
      </c>
      <c r="AO25" s="73">
        <f ca="1">AN25+RetiringCapacity!AN23+AO138+AO161</f>
        <v>0</v>
      </c>
      <c r="AP25" s="73">
        <f ca="1">AO25+RetiringCapacity!AO23+AP138+AP161</f>
        <v>0</v>
      </c>
      <c r="AQ25" s="73">
        <f ca="1">AP25+RetiringCapacity!AP23+AQ138+AQ161</f>
        <v>0</v>
      </c>
      <c r="AR25" s="73">
        <f ca="1">AQ25+RetiringCapacity!AQ23+AR138+AR161</f>
        <v>0</v>
      </c>
      <c r="AS25" s="73">
        <f ca="1">AR25+RetiringCapacity!AR23+AS138+AS161</f>
        <v>0</v>
      </c>
      <c r="AT25" s="73">
        <f ca="1">AS25+RetiringCapacity!AS23+AT138+AT161</f>
        <v>0</v>
      </c>
      <c r="AU25" s="73">
        <f ca="1">AT25+RetiringCapacity!AT23+AU138+AU161</f>
        <v>0</v>
      </c>
      <c r="AV25" s="73">
        <f ca="1">AU25+RetiringCapacity!AU23+AV138+AV161</f>
        <v>0</v>
      </c>
      <c r="AW25" s="73">
        <f ca="1">AV25+RetiringCapacity!AV23+AW138+AW161</f>
        <v>0</v>
      </c>
    </row>
    <row r="26" spans="1:49" ht="15">
      <c r="A26" s="11"/>
      <c r="C26" t="str">
        <f>'Tech Parameters'!B24</f>
        <v>-</v>
      </c>
      <c r="D26" s="218">
        <f>RetiringCapacity!C24</f>
        <v>0</v>
      </c>
      <c r="E26" s="219">
        <f>RetiringCapacity!D24</f>
        <v>0</v>
      </c>
      <c r="F26" s="219">
        <f>RetiringCapacity!E24</f>
        <v>0</v>
      </c>
      <c r="G26" s="219">
        <f>RetiringCapacity!F24</f>
        <v>0</v>
      </c>
      <c r="H26" s="220">
        <f>RetiringCapacity!G24</f>
        <v>0</v>
      </c>
      <c r="I26" s="72">
        <f ca="1">H26+RetiringCapacity!H24+I139+I162</f>
        <v>0</v>
      </c>
      <c r="J26" s="72">
        <f ca="1">I26+RetiringCapacity!I24+J139+J162</f>
        <v>0</v>
      </c>
      <c r="K26" s="72">
        <f ca="1">J26+RetiringCapacity!J24+K139+K162</f>
        <v>0</v>
      </c>
      <c r="L26" s="72">
        <f ca="1">K26+RetiringCapacity!K24+L139+L162</f>
        <v>0</v>
      </c>
      <c r="M26" s="72">
        <f ca="1">L26+RetiringCapacity!L24+M139+M162</f>
        <v>0</v>
      </c>
      <c r="N26" s="72">
        <f ca="1">M26+RetiringCapacity!M24+N139+N162</f>
        <v>0</v>
      </c>
      <c r="O26" s="72">
        <f ca="1">N26+RetiringCapacity!N24+O139+O162</f>
        <v>0</v>
      </c>
      <c r="P26" s="72">
        <f ca="1">O26+RetiringCapacity!O24+P139+P162</f>
        <v>0</v>
      </c>
      <c r="Q26" s="72">
        <f ca="1">P26+RetiringCapacity!P24+Q139+Q162</f>
        <v>0</v>
      </c>
      <c r="R26" s="72">
        <f ca="1">Q26+RetiringCapacity!Q24+R139+R162</f>
        <v>0</v>
      </c>
      <c r="S26" s="72">
        <f ca="1">R26+RetiringCapacity!R24+S139+S162</f>
        <v>0</v>
      </c>
      <c r="T26" s="72">
        <f ca="1">S26+RetiringCapacity!S24+T139+T162</f>
        <v>0</v>
      </c>
      <c r="U26" s="72">
        <f ca="1">T26+RetiringCapacity!T24+U139+U162</f>
        <v>0</v>
      </c>
      <c r="V26" s="72">
        <f ca="1">U26+RetiringCapacity!U24+V139+V162</f>
        <v>0</v>
      </c>
      <c r="W26" s="72">
        <f ca="1">V26+RetiringCapacity!V24+W139+W162</f>
        <v>0</v>
      </c>
      <c r="X26" s="72">
        <f ca="1">W26+RetiringCapacity!W24+X139+X162</f>
        <v>0</v>
      </c>
      <c r="Y26" s="72">
        <f ca="1">X26+RetiringCapacity!X24+Y139+Y162</f>
        <v>0</v>
      </c>
      <c r="Z26" s="72">
        <f ca="1">Y26+RetiringCapacity!Y24+Z139+Z162</f>
        <v>0</v>
      </c>
      <c r="AA26" s="72">
        <f ca="1">Z26+RetiringCapacity!Z24+AA139+AA162</f>
        <v>0</v>
      </c>
      <c r="AB26" s="72">
        <f ca="1">AA26+RetiringCapacity!AA24+AB139+AB162</f>
        <v>0</v>
      </c>
      <c r="AC26" s="72">
        <f ca="1">AB26+RetiringCapacity!AB24+AC139+AC162</f>
        <v>0</v>
      </c>
      <c r="AD26" s="73">
        <f ca="1">AC26+RetiringCapacity!AC24+AD139+AD162</f>
        <v>0</v>
      </c>
      <c r="AE26" s="73">
        <f ca="1">AD26+RetiringCapacity!AD24+AE139+AE162</f>
        <v>0</v>
      </c>
      <c r="AF26" s="73">
        <f ca="1">AE26+RetiringCapacity!AE24+AF139+AF162</f>
        <v>0</v>
      </c>
      <c r="AG26" s="73">
        <f ca="1">AF26+RetiringCapacity!AF24+AG139+AG162</f>
        <v>0</v>
      </c>
      <c r="AH26" s="73">
        <f ca="1">AG26+RetiringCapacity!AG24+AH139+AH162</f>
        <v>0</v>
      </c>
      <c r="AI26" s="73">
        <f ca="1">AH26+RetiringCapacity!AH24+AI139+AI162</f>
        <v>0</v>
      </c>
      <c r="AJ26" s="73">
        <f ca="1">AI26+RetiringCapacity!AI24+AJ139+AJ162</f>
        <v>0</v>
      </c>
      <c r="AK26" s="73">
        <f ca="1">AJ26+RetiringCapacity!AJ24+AK139+AK162</f>
        <v>0</v>
      </c>
      <c r="AL26" s="73">
        <f ca="1">AK26+RetiringCapacity!AK24+AL139+AL162</f>
        <v>0</v>
      </c>
      <c r="AM26" s="73">
        <f ca="1">AL26+RetiringCapacity!AL24+AM139+AM162</f>
        <v>0</v>
      </c>
      <c r="AN26" s="73">
        <f ca="1">AM26+RetiringCapacity!AM24+AN139+AN162</f>
        <v>0</v>
      </c>
      <c r="AO26" s="73">
        <f ca="1">AN26+RetiringCapacity!AN24+AO139+AO162</f>
        <v>0</v>
      </c>
      <c r="AP26" s="73">
        <f ca="1">AO26+RetiringCapacity!AO24+AP139+AP162</f>
        <v>0</v>
      </c>
      <c r="AQ26" s="73">
        <f ca="1">AP26+RetiringCapacity!AP24+AQ139+AQ162</f>
        <v>0</v>
      </c>
      <c r="AR26" s="73">
        <f ca="1">AQ26+RetiringCapacity!AQ24+AR139+AR162</f>
        <v>0</v>
      </c>
      <c r="AS26" s="73">
        <f ca="1">AR26+RetiringCapacity!AR24+AS139+AS162</f>
        <v>0</v>
      </c>
      <c r="AT26" s="73">
        <f ca="1">AS26+RetiringCapacity!AS24+AT139+AT162</f>
        <v>0</v>
      </c>
      <c r="AU26" s="73">
        <f ca="1">AT26+RetiringCapacity!AT24+AU139+AU162</f>
        <v>0</v>
      </c>
      <c r="AV26" s="73">
        <f ca="1">AU26+RetiringCapacity!AU24+AV139+AV162</f>
        <v>0</v>
      </c>
      <c r="AW26" s="73">
        <f ca="1">AV26+RetiringCapacity!AV24+AW139+AW162</f>
        <v>0</v>
      </c>
    </row>
    <row r="27" spans="1:49" ht="15">
      <c r="A27" s="11">
        <v>1</v>
      </c>
      <c r="C27" t="str">
        <f>'Tech Parameters'!B25</f>
        <v>Pumped storage</v>
      </c>
      <c r="D27" s="221">
        <f>RetiringCapacity!C25</f>
        <v>1.5799999999999998</v>
      </c>
      <c r="E27" s="222">
        <f>RetiringCapacity!D25</f>
        <v>1.5799999999999998</v>
      </c>
      <c r="F27" s="222">
        <f>RetiringCapacity!E25</f>
        <v>1.5799999999999998</v>
      </c>
      <c r="G27" s="222">
        <f>RetiringCapacity!F25</f>
        <v>1.5799999999999998</v>
      </c>
      <c r="H27" s="223">
        <f>RetiringCapacity!G25</f>
        <v>1.5799999999999998</v>
      </c>
      <c r="I27" s="72">
        <f ca="1">H27+RetiringCapacity!H25+I140+I163</f>
        <v>1.5799999999999998</v>
      </c>
      <c r="J27" s="72">
        <f ca="1">I27+RetiringCapacity!I25+J140+J163</f>
        <v>1.5799999999999998</v>
      </c>
      <c r="K27" s="72">
        <f ca="1">J27+RetiringCapacity!J25+K140+K163</f>
        <v>1.5799999999999998</v>
      </c>
      <c r="L27" s="72">
        <f ca="1">K27+RetiringCapacity!K25+L140+L163</f>
        <v>2.246</v>
      </c>
      <c r="M27" s="72">
        <f ca="1">L27+RetiringCapacity!L25+M140+M163</f>
        <v>2.9119999999999999</v>
      </c>
      <c r="N27" s="72">
        <f ca="1">M27+RetiringCapacity!M25+N140+N163</f>
        <v>3.5779999999999998</v>
      </c>
      <c r="O27" s="72">
        <f ca="1">N27+RetiringCapacity!N25+O140+O163</f>
        <v>4.2439999999999998</v>
      </c>
      <c r="P27" s="72">
        <f ca="1">O27+RetiringCapacity!O25+P140+P163</f>
        <v>4.2439999999999998</v>
      </c>
      <c r="Q27" s="72">
        <f ca="1">P27+RetiringCapacity!P25+Q140+Q163</f>
        <v>4.2439999999999998</v>
      </c>
      <c r="R27" s="72">
        <f ca="1">Q27+RetiringCapacity!Q25+R140+R163</f>
        <v>4.2439999999999998</v>
      </c>
      <c r="S27" s="72">
        <f ca="1">R27+RetiringCapacity!R25+S140+S163</f>
        <v>4.2439999999999998</v>
      </c>
      <c r="T27" s="72">
        <f ca="1">S27+RetiringCapacity!S25+T140+T163</f>
        <v>4.2439999999999998</v>
      </c>
      <c r="U27" s="72">
        <f ca="1">T27+RetiringCapacity!T25+U140+U163</f>
        <v>4.2439999999999998</v>
      </c>
      <c r="V27" s="72">
        <f ca="1">U27+RetiringCapacity!U25+V140+V163</f>
        <v>4.2439999999999998</v>
      </c>
      <c r="W27" s="72">
        <f ca="1">V27+RetiringCapacity!V25+W140+W163</f>
        <v>4.2439999999999998</v>
      </c>
      <c r="X27" s="72">
        <f ca="1">W27+RetiringCapacity!W25+X140+X163</f>
        <v>4.2439999999999998</v>
      </c>
      <c r="Y27" s="72">
        <f ca="1">X27+RetiringCapacity!X25+Y140+Y163</f>
        <v>4.2439999999999998</v>
      </c>
      <c r="Z27" s="72">
        <f ca="1">Y27+RetiringCapacity!Y25+Z140+Z163</f>
        <v>4.2439999999999998</v>
      </c>
      <c r="AA27" s="72">
        <f ca="1">Z27+RetiringCapacity!Z25+AA140+AA163</f>
        <v>4.2439999999999998</v>
      </c>
      <c r="AB27" s="72">
        <f ca="1">AA27+RetiringCapacity!AA25+AB140+AB163</f>
        <v>4.2439999999999998</v>
      </c>
      <c r="AC27" s="72">
        <f ca="1">AB27+RetiringCapacity!AB25+AC140+AC163</f>
        <v>4.2439999999999998</v>
      </c>
      <c r="AD27" s="73">
        <f ca="1">AC27+RetiringCapacity!AC25+AD140+AD163</f>
        <v>4.2439999999999998</v>
      </c>
      <c r="AE27" s="73">
        <f ca="1">AD27+RetiringCapacity!AD25+AE140+AE163</f>
        <v>4.2439999999999998</v>
      </c>
      <c r="AF27" s="73">
        <f ca="1">AE27+RetiringCapacity!AE25+AF140+AF163</f>
        <v>4.2439999999999998</v>
      </c>
      <c r="AG27" s="73">
        <f ca="1">AF27+RetiringCapacity!AF25+AG140+AG163</f>
        <v>4.2439999999999998</v>
      </c>
      <c r="AH27" s="73">
        <f ca="1">AG27+RetiringCapacity!AG25+AH140+AH163</f>
        <v>4.2439999999999998</v>
      </c>
      <c r="AI27" s="73">
        <f ca="1">AH27+RetiringCapacity!AH25+AI140+AI163</f>
        <v>4.2439999999999998</v>
      </c>
      <c r="AJ27" s="73">
        <f ca="1">AI27+RetiringCapacity!AI25+AJ140+AJ163</f>
        <v>4.2439999999999998</v>
      </c>
      <c r="AK27" s="73">
        <f ca="1">AJ27+RetiringCapacity!AJ25+AK140+AK163</f>
        <v>4.2439999999999998</v>
      </c>
      <c r="AL27" s="73">
        <f ca="1">AK27+RetiringCapacity!AK25+AL140+AL163</f>
        <v>4.2439999999999998</v>
      </c>
      <c r="AM27" s="73">
        <f ca="1">AL27+RetiringCapacity!AL25+AM140+AM163</f>
        <v>4.2439999999999998</v>
      </c>
      <c r="AN27" s="73">
        <f ca="1">AM27+RetiringCapacity!AM25+AN140+AN163</f>
        <v>4.2439999999999998</v>
      </c>
      <c r="AO27" s="73">
        <f ca="1">AN27+RetiringCapacity!AN25+AO140+AO163</f>
        <v>4.2439999999999998</v>
      </c>
      <c r="AP27" s="73">
        <f ca="1">AO27+RetiringCapacity!AO25+AP140+AP163</f>
        <v>4.2439999999999998</v>
      </c>
      <c r="AQ27" s="73">
        <f ca="1">AP27+RetiringCapacity!AP25+AQ140+AQ163</f>
        <v>4.2439999999999998</v>
      </c>
      <c r="AR27" s="73">
        <f ca="1">AQ27+RetiringCapacity!AQ25+AR140+AR163</f>
        <v>4.2439999999999998</v>
      </c>
      <c r="AS27" s="73">
        <f ca="1">AR27+RetiringCapacity!AR25+AS140+AS163</f>
        <v>4.2439999999999998</v>
      </c>
      <c r="AT27" s="73">
        <f ca="1">AS27+RetiringCapacity!AS25+AT140+AT163</f>
        <v>4.2439999999999998</v>
      </c>
      <c r="AU27" s="73">
        <f ca="1">AT27+RetiringCapacity!AT25+AU140+AU163</f>
        <v>4.2439999999999998</v>
      </c>
      <c r="AV27" s="73">
        <f ca="1">AU27+RetiringCapacity!AU25+AV140+AV163</f>
        <v>4.2439999999999998</v>
      </c>
      <c r="AW27" s="73">
        <f ca="1">AV27+RetiringCapacity!AV25+AW140+AW163</f>
        <v>4.2439999999999998</v>
      </c>
    </row>
    <row r="28" spans="1:49" s="4" customFormat="1">
      <c r="C28" s="3" t="s">
        <v>5</v>
      </c>
      <c r="D28" s="20">
        <f t="shared" ref="D28:I28" si="1">SUM(D8:D27)</f>
        <v>42.610444444444433</v>
      </c>
      <c r="E28" s="20">
        <f t="shared" si="1"/>
        <v>42.610444444444433</v>
      </c>
      <c r="F28" s="20">
        <f t="shared" si="1"/>
        <v>42.610444444444433</v>
      </c>
      <c r="G28" s="20">
        <f t="shared" si="1"/>
        <v>42.610444444444433</v>
      </c>
      <c r="H28" s="20">
        <f>SUM(H8:H27)</f>
        <v>42.610444444444433</v>
      </c>
      <c r="I28" s="20">
        <f t="shared" ca="1" si="1"/>
        <v>43.393444444444434</v>
      </c>
      <c r="J28" s="20">
        <f ca="1">SUM(J8:J27)</f>
        <v>45.077444444444431</v>
      </c>
      <c r="K28" s="20">
        <f t="shared" ref="K28:AW28" ca="1" si="2">SUM(K8:K27)</f>
        <v>46.071444444444431</v>
      </c>
      <c r="L28" s="20">
        <f t="shared" ca="1" si="2"/>
        <v>48.725444444444435</v>
      </c>
      <c r="M28" s="20">
        <f t="shared" ca="1" si="2"/>
        <v>52.173444444444435</v>
      </c>
      <c r="N28" s="20">
        <f t="shared" ca="1" si="2"/>
        <v>56.121444444444442</v>
      </c>
      <c r="O28" s="20">
        <f t="shared" ca="1" si="2"/>
        <v>59.337944444444432</v>
      </c>
      <c r="P28" s="20">
        <f t="shared" ca="1" si="2"/>
        <v>61.494444444444433</v>
      </c>
      <c r="Q28" s="20">
        <f t="shared" ca="1" si="2"/>
        <v>63.244444444444433</v>
      </c>
      <c r="R28" s="20">
        <f t="shared" ca="1" si="2"/>
        <v>65.894444444444446</v>
      </c>
      <c r="S28" s="20">
        <f t="shared" ca="1" si="2"/>
        <v>68.044444444444437</v>
      </c>
      <c r="T28" s="20">
        <f t="shared" ca="1" si="2"/>
        <v>71.094444444444434</v>
      </c>
      <c r="U28" s="20">
        <f t="shared" ca="1" si="2"/>
        <v>74.094444444444434</v>
      </c>
      <c r="V28" s="20">
        <f t="shared" ca="1" si="2"/>
        <v>78.094444444444434</v>
      </c>
      <c r="W28" s="20">
        <f t="shared" ca="1" si="2"/>
        <v>80.954444444444434</v>
      </c>
      <c r="X28" s="20">
        <f t="shared" ca="1" si="2"/>
        <v>83.376722222222213</v>
      </c>
      <c r="Y28" s="20">
        <f t="shared" ca="1" si="2"/>
        <v>86.233999999999995</v>
      </c>
      <c r="Z28" s="20">
        <f t="shared" ca="1" si="2"/>
        <v>89.582999999999998</v>
      </c>
      <c r="AA28" s="20">
        <f t="shared" ca="1" si="2"/>
        <v>93.019000000000005</v>
      </c>
      <c r="AB28" s="20">
        <f t="shared" ca="1" si="2"/>
        <v>96.240000000000009</v>
      </c>
      <c r="AC28" s="20">
        <f t="shared" ca="1" si="2"/>
        <v>99.753999999999991</v>
      </c>
      <c r="AD28" s="74">
        <f t="shared" ca="1" si="2"/>
        <v>97.892499999999998</v>
      </c>
      <c r="AE28" s="74">
        <f t="shared" ca="1" si="2"/>
        <v>96.1</v>
      </c>
      <c r="AF28" s="74">
        <f t="shared" ca="1" si="2"/>
        <v>95.99799999999999</v>
      </c>
      <c r="AG28" s="74">
        <f t="shared" ca="1" si="2"/>
        <v>92.463999999999999</v>
      </c>
      <c r="AH28" s="74">
        <f t="shared" ca="1" si="2"/>
        <v>88.929999999999993</v>
      </c>
      <c r="AI28" s="74">
        <f t="shared" ca="1" si="2"/>
        <v>87.084999999999994</v>
      </c>
      <c r="AJ28" s="74">
        <f t="shared" ca="1" si="2"/>
        <v>83.32</v>
      </c>
      <c r="AK28" s="74">
        <f t="shared" ca="1" si="2"/>
        <v>81.02</v>
      </c>
      <c r="AL28" s="74">
        <f t="shared" ca="1" si="2"/>
        <v>80.64</v>
      </c>
      <c r="AM28" s="74">
        <f t="shared" ca="1" si="2"/>
        <v>80.64</v>
      </c>
      <c r="AN28" s="74">
        <f t="shared" ca="1" si="2"/>
        <v>80.64</v>
      </c>
      <c r="AO28" s="74">
        <f t="shared" ca="1" si="2"/>
        <v>80.64</v>
      </c>
      <c r="AP28" s="74">
        <f t="shared" ca="1" si="2"/>
        <v>80.64</v>
      </c>
      <c r="AQ28" s="74">
        <f t="shared" ca="1" si="2"/>
        <v>80.64</v>
      </c>
      <c r="AR28" s="74">
        <f t="shared" ca="1" si="2"/>
        <v>78.718499999999992</v>
      </c>
      <c r="AS28" s="74">
        <f t="shared" ca="1" si="2"/>
        <v>76.796999999999997</v>
      </c>
      <c r="AT28" s="74">
        <f t="shared" ca="1" si="2"/>
        <v>76.796999999999997</v>
      </c>
      <c r="AU28" s="74">
        <f t="shared" ca="1" si="2"/>
        <v>76.796999999999997</v>
      </c>
      <c r="AV28" s="74">
        <f t="shared" ca="1" si="2"/>
        <v>76.796999999999997</v>
      </c>
      <c r="AW28" s="74">
        <f t="shared" ca="1" si="2"/>
        <v>76.796999999999997</v>
      </c>
    </row>
    <row r="29" spans="1:49">
      <c r="C29" s="3" t="s">
        <v>708</v>
      </c>
      <c r="D29" s="335">
        <f>D28+D40</f>
        <v>44.110444444444433</v>
      </c>
      <c r="E29" s="335">
        <f t="shared" ref="E29:AC29" si="3">E28+E40</f>
        <v>44.110444444444433</v>
      </c>
      <c r="F29" s="335">
        <f t="shared" si="3"/>
        <v>44.110444444444433</v>
      </c>
      <c r="G29" s="335">
        <f t="shared" si="3"/>
        <v>44.110444444444433</v>
      </c>
      <c r="H29" s="335">
        <f t="shared" si="3"/>
        <v>44.110444444444433</v>
      </c>
      <c r="I29" s="335">
        <f t="shared" ca="1" si="3"/>
        <v>44.893444444444434</v>
      </c>
      <c r="J29" s="335">
        <f t="shared" ca="1" si="3"/>
        <v>46.577444444444431</v>
      </c>
      <c r="K29" s="335">
        <f t="shared" ca="1" si="3"/>
        <v>47.571444444444431</v>
      </c>
      <c r="L29" s="335">
        <f t="shared" ca="1" si="3"/>
        <v>50.225444444444435</v>
      </c>
      <c r="M29" s="335">
        <f t="shared" ca="1" si="3"/>
        <v>53.673444444444435</v>
      </c>
      <c r="N29" s="335">
        <f t="shared" ca="1" si="3"/>
        <v>57.621444444444442</v>
      </c>
      <c r="O29" s="335">
        <f t="shared" ca="1" si="3"/>
        <v>60.837944444444432</v>
      </c>
      <c r="P29" s="335">
        <f t="shared" ca="1" si="3"/>
        <v>62.994444444444433</v>
      </c>
      <c r="Q29" s="335">
        <f t="shared" ca="1" si="3"/>
        <v>64.74444444444444</v>
      </c>
      <c r="R29" s="335">
        <f t="shared" ca="1" si="3"/>
        <v>67.394444444444446</v>
      </c>
      <c r="S29" s="335">
        <f t="shared" ca="1" si="3"/>
        <v>69.544444444444437</v>
      </c>
      <c r="T29" s="335">
        <f t="shared" ca="1" si="3"/>
        <v>72.594444444444434</v>
      </c>
      <c r="U29" s="335">
        <f t="shared" ca="1" si="3"/>
        <v>75.594444444444434</v>
      </c>
      <c r="V29" s="335">
        <f t="shared" ca="1" si="3"/>
        <v>79.594444444444434</v>
      </c>
      <c r="W29" s="335">
        <f t="shared" ca="1" si="3"/>
        <v>82.454444444444434</v>
      </c>
      <c r="X29" s="335">
        <f t="shared" ca="1" si="3"/>
        <v>84.876722222222213</v>
      </c>
      <c r="Y29" s="335">
        <f t="shared" ca="1" si="3"/>
        <v>87.733999999999995</v>
      </c>
      <c r="Z29" s="335">
        <f t="shared" ca="1" si="3"/>
        <v>91.082999999999998</v>
      </c>
      <c r="AA29" s="335">
        <f t="shared" ca="1" si="3"/>
        <v>94.519000000000005</v>
      </c>
      <c r="AB29" s="335">
        <f t="shared" ca="1" si="3"/>
        <v>97.740000000000009</v>
      </c>
      <c r="AC29" s="335">
        <f t="shared" ca="1" si="3"/>
        <v>101.25399999999999</v>
      </c>
    </row>
    <row r="30" spans="1:49">
      <c r="C30" s="3" t="s">
        <v>306</v>
      </c>
      <c r="D30" s="22"/>
      <c r="E30" s="22"/>
      <c r="F30" s="22"/>
      <c r="G30" s="22"/>
      <c r="H30" s="15"/>
      <c r="I30" s="82"/>
      <c r="J30" s="15"/>
      <c r="K30" s="15"/>
      <c r="L30" s="15"/>
      <c r="M30" s="15"/>
      <c r="N30" s="15"/>
      <c r="O30" s="15"/>
      <c r="P30" s="15"/>
      <c r="Q30" s="15"/>
      <c r="R30" s="15"/>
      <c r="S30" s="15"/>
      <c r="T30" s="15"/>
      <c r="U30" s="15"/>
      <c r="V30" s="15"/>
      <c r="W30" s="15"/>
      <c r="X30" s="15"/>
      <c r="Y30" s="15"/>
      <c r="Z30" s="15"/>
      <c r="AA30" s="15"/>
      <c r="AB30" s="15"/>
      <c r="AC30" s="15"/>
    </row>
    <row r="31" spans="1:49">
      <c r="C31" s="22"/>
      <c r="N31" s="31"/>
      <c r="O31" s="31"/>
      <c r="P31" s="31"/>
      <c r="Q31" s="31"/>
      <c r="R31" s="31"/>
      <c r="S31" s="31"/>
      <c r="T31" s="31"/>
      <c r="U31" s="31"/>
      <c r="V31" s="31"/>
      <c r="W31" s="31"/>
      <c r="X31" s="31"/>
      <c r="Y31" s="31"/>
      <c r="Z31" s="31"/>
      <c r="AA31" s="31"/>
      <c r="AB31" s="31"/>
      <c r="AC31" s="31"/>
    </row>
    <row r="32" spans="1:49">
      <c r="C32" s="22"/>
      <c r="D32" s="22"/>
      <c r="E32" s="22"/>
      <c r="F32" s="22"/>
      <c r="G32" s="22"/>
      <c r="H32" s="15"/>
      <c r="I32" s="15"/>
      <c r="J32" s="15"/>
      <c r="K32" s="15"/>
      <c r="L32" s="15"/>
      <c r="M32" s="15"/>
      <c r="N32" s="15"/>
      <c r="O32" s="15"/>
      <c r="P32" s="15"/>
      <c r="Q32" s="15"/>
      <c r="R32" s="15"/>
      <c r="S32" s="15"/>
      <c r="T32" s="15"/>
      <c r="U32" s="15"/>
      <c r="V32" s="15"/>
      <c r="W32" s="15"/>
      <c r="X32" s="15"/>
      <c r="Y32" s="15"/>
      <c r="Z32" s="15"/>
      <c r="AA32" s="15"/>
      <c r="AB32" s="15"/>
      <c r="AC32" s="15"/>
    </row>
    <row r="33" spans="3:35">
      <c r="C33" s="22" t="s">
        <v>62</v>
      </c>
      <c r="D33" s="22"/>
      <c r="E33" s="22"/>
      <c r="F33" s="22"/>
      <c r="G33" s="22"/>
      <c r="H33" s="15">
        <f>H28/H38-1</f>
        <v>0.12696112152073136</v>
      </c>
      <c r="I33" s="15">
        <f t="shared" ref="I33:AC33" ca="1" si="4">I28/I38-1</f>
        <v>0.1176776042581642</v>
      </c>
      <c r="J33" s="15">
        <f t="shared" ca="1" si="4"/>
        <v>0.1391272033913542</v>
      </c>
      <c r="K33" s="15">
        <f t="shared" ca="1" si="4"/>
        <v>0.13854370603465105</v>
      </c>
      <c r="L33" s="15">
        <f t="shared" ca="1" si="4"/>
        <v>0.17427052189682701</v>
      </c>
      <c r="M33" s="15">
        <f t="shared" ca="1" si="4"/>
        <v>0.22030274951157747</v>
      </c>
      <c r="N33" s="15">
        <f t="shared" ca="1" si="4"/>
        <v>0.27549936412607212</v>
      </c>
      <c r="O33" s="15">
        <f t="shared" ca="1" si="4"/>
        <v>0.30948676225533611</v>
      </c>
      <c r="P33" s="15">
        <f t="shared" ca="1" si="4"/>
        <v>0.31943661264865764</v>
      </c>
      <c r="Q33" s="15">
        <f t="shared" ca="1" si="4"/>
        <v>0.31841326528033198</v>
      </c>
      <c r="R33" s="15">
        <f t="shared" ca="1" si="4"/>
        <v>0.3339583335356</v>
      </c>
      <c r="S33" s="15">
        <f t="shared" ca="1" si="4"/>
        <v>0.33859915476877434</v>
      </c>
      <c r="T33" s="15">
        <f t="shared" ca="1" si="4"/>
        <v>0.35824925663174123</v>
      </c>
      <c r="U33" s="15">
        <f t="shared" ca="1" si="4"/>
        <v>0.3752965533050121</v>
      </c>
      <c r="V33" s="15">
        <f t="shared" ca="1" si="4"/>
        <v>0.40675640615017583</v>
      </c>
      <c r="W33" s="15">
        <f t="shared" ca="1" si="4"/>
        <v>0.41505871855320886</v>
      </c>
      <c r="X33" s="15">
        <f t="shared" ca="1" si="4"/>
        <v>0.41365617610860661</v>
      </c>
      <c r="Y33" s="15">
        <f t="shared" ca="1" si="4"/>
        <v>0.41619350017595846</v>
      </c>
      <c r="Z33" s="15">
        <f t="shared" ca="1" si="4"/>
        <v>0.42456324610134999</v>
      </c>
      <c r="AA33" s="15">
        <f t="shared" ca="1" si="4"/>
        <v>0.43238143924908568</v>
      </c>
      <c r="AB33" s="15">
        <f t="shared" ca="1" si="4"/>
        <v>0.43557605213025274</v>
      </c>
      <c r="AC33" s="15">
        <f t="shared" ca="1" si="4"/>
        <v>0.45482218647838901</v>
      </c>
    </row>
    <row r="34" spans="3:35">
      <c r="C34" s="22" t="s">
        <v>63</v>
      </c>
      <c r="D34" s="22"/>
      <c r="E34" s="22"/>
      <c r="F34" s="22"/>
      <c r="G34" s="22"/>
      <c r="H34" s="15">
        <f>SUMPRODUCT($A$8:$A$27,H8:H27)/H38-1</f>
        <v>0.12696112152073136</v>
      </c>
      <c r="I34" s="15">
        <f t="shared" ref="I34:AC34" ca="1" si="5">SUMPRODUCT($A$8:$A$27,I8:I27)/I38-1</f>
        <v>0.11569432829033777</v>
      </c>
      <c r="J34" s="15">
        <f t="shared" ca="1" si="5"/>
        <v>0.13328972996697463</v>
      </c>
      <c r="K34" s="15">
        <f t="shared" ca="1" si="5"/>
        <v>0.12902936733507087</v>
      </c>
      <c r="L34" s="15">
        <f t="shared" ca="1" si="5"/>
        <v>0.15756940236979355</v>
      </c>
      <c r="M34" s="15">
        <f t="shared" ca="1" si="5"/>
        <v>0.19689001406219009</v>
      </c>
      <c r="N34" s="15">
        <f t="shared" ca="1" si="5"/>
        <v>0.2387490186528094</v>
      </c>
      <c r="O34" s="15">
        <f t="shared" ca="1" si="5"/>
        <v>0.26020827835278282</v>
      </c>
      <c r="P34" s="15">
        <f t="shared" ca="1" si="5"/>
        <v>0.25500366779355721</v>
      </c>
      <c r="Q34" s="15">
        <f t="shared" ca="1" si="5"/>
        <v>0.23976013940344476</v>
      </c>
      <c r="R34" s="15">
        <f t="shared" ca="1" si="5"/>
        <v>0.23419655963968733</v>
      </c>
      <c r="S34" s="15">
        <f t="shared" ca="1" si="5"/>
        <v>0.2189318002192544</v>
      </c>
      <c r="T34" s="15">
        <f t="shared" ca="1" si="5"/>
        <v>0.21261292507007212</v>
      </c>
      <c r="U34" s="15">
        <f t="shared" ca="1" si="5"/>
        <v>0.21951073078570382</v>
      </c>
      <c r="V34" s="15">
        <f t="shared" ca="1" si="5"/>
        <v>0.24169845559744552</v>
      </c>
      <c r="W34" s="15">
        <f t="shared" ca="1" si="5"/>
        <v>0.24143294237936441</v>
      </c>
      <c r="X34" s="15">
        <f t="shared" ca="1" si="5"/>
        <v>0.23218631678067836</v>
      </c>
      <c r="Y34" s="15">
        <f t="shared" ca="1" si="5"/>
        <v>0.22777607749443174</v>
      </c>
      <c r="Z34" s="15">
        <f t="shared" ca="1" si="5"/>
        <v>0.22987309482243745</v>
      </c>
      <c r="AA34" s="15">
        <f t="shared" ca="1" si="5"/>
        <v>0.23199679021019737</v>
      </c>
      <c r="AB34" s="15">
        <f t="shared" ca="1" si="5"/>
        <v>0.22177605675220913</v>
      </c>
      <c r="AC34" s="15">
        <f t="shared" ca="1" si="5"/>
        <v>0.22766026438416342</v>
      </c>
    </row>
    <row r="35" spans="3:35">
      <c r="C35" s="22" t="s">
        <v>157</v>
      </c>
      <c r="D35" s="328"/>
      <c r="E35" s="22"/>
      <c r="F35" s="22"/>
      <c r="G35" s="22"/>
      <c r="H35" s="15"/>
      <c r="I35" s="312">
        <v>2.2169999999999999E-2</v>
      </c>
      <c r="J35" s="312">
        <v>5.4799999999999996E-3</v>
      </c>
      <c r="K35" s="312">
        <v>6.9300000000000004E-3</v>
      </c>
      <c r="L35" s="312">
        <v>6.2E-4</v>
      </c>
      <c r="M35" s="312">
        <v>2.0000000000000002E-5</v>
      </c>
      <c r="N35" s="312">
        <v>0</v>
      </c>
      <c r="O35" s="312">
        <v>0</v>
      </c>
      <c r="P35" s="312">
        <v>0</v>
      </c>
      <c r="Q35" s="312">
        <v>0</v>
      </c>
      <c r="R35" s="312">
        <v>0</v>
      </c>
      <c r="S35" s="312">
        <v>0</v>
      </c>
      <c r="T35" s="312">
        <v>0</v>
      </c>
      <c r="U35" s="312">
        <v>0</v>
      </c>
      <c r="V35" s="312">
        <v>0</v>
      </c>
      <c r="W35" s="312">
        <v>0</v>
      </c>
      <c r="X35" s="312">
        <v>0</v>
      </c>
      <c r="Y35" s="312">
        <v>0</v>
      </c>
      <c r="Z35" s="312">
        <v>0</v>
      </c>
      <c r="AA35" s="312">
        <v>0</v>
      </c>
      <c r="AB35" s="312">
        <v>0</v>
      </c>
      <c r="AC35" s="312">
        <v>0</v>
      </c>
      <c r="AD35" s="30"/>
      <c r="AE35" s="30"/>
      <c r="AF35" s="30"/>
      <c r="AG35" s="30"/>
      <c r="AH35" s="30"/>
      <c r="AI35" s="30"/>
    </row>
    <row r="36" spans="3:35">
      <c r="C36" s="14"/>
      <c r="D36" s="14"/>
      <c r="E36" s="14"/>
      <c r="F36" s="14"/>
      <c r="G36" s="14"/>
      <c r="I36" s="20"/>
    </row>
    <row r="37" spans="3:35">
      <c r="C37" s="3" t="s">
        <v>361</v>
      </c>
      <c r="D37" s="14"/>
      <c r="E37" s="14"/>
      <c r="F37" s="14"/>
      <c r="G37" s="14"/>
      <c r="I37" s="20"/>
    </row>
    <row r="38" spans="3:35">
      <c r="C38" s="22" t="s">
        <v>30</v>
      </c>
      <c r="D38" s="281">
        <f>'Elec Demand'!F33</f>
        <v>35.095999999999997</v>
      </c>
      <c r="E38" s="281">
        <f>'Elec Demand'!G33</f>
        <v>36.442</v>
      </c>
      <c r="F38" s="281">
        <f>'Elec Demand'!H33</f>
        <v>37.47473089407427</v>
      </c>
      <c r="G38" s="281">
        <f>'Elec Demand'!I33</f>
        <v>37.810039433255263</v>
      </c>
      <c r="H38" s="281">
        <f>'Elec Demand'!J33</f>
        <v>37.810039433255263</v>
      </c>
      <c r="I38" s="281">
        <f>'Elec Demand'!K33</f>
        <v>38.824652367661919</v>
      </c>
      <c r="J38" s="281">
        <f>'Elec Demand'!L33</f>
        <v>39.571914629237234</v>
      </c>
      <c r="K38" s="281">
        <f>'Elec Demand'!M33</f>
        <v>40.465240113533476</v>
      </c>
      <c r="L38" s="281">
        <f>'Elec Demand'!N33</f>
        <v>41.494224317014336</v>
      </c>
      <c r="M38" s="281">
        <f>'Elec Demand'!O33</f>
        <v>42.754508637571043</v>
      </c>
      <c r="N38" s="281">
        <f>'Elec Demand'!P33</f>
        <v>43.999586376036262</v>
      </c>
      <c r="O38" s="281">
        <f>'Elec Demand'!Q33</f>
        <v>45.313894080339054</v>
      </c>
      <c r="P38" s="281">
        <f>'Elec Demand'!R33</f>
        <v>46.606592431143419</v>
      </c>
      <c r="Q38" s="281">
        <f>'Elec Demand'!S33</f>
        <v>47.970121440637108</v>
      </c>
      <c r="R38" s="281">
        <f>'Elec Demand'!T33</f>
        <v>49.397678164200236</v>
      </c>
      <c r="S38" s="281">
        <f>'Elec Demand'!U33</f>
        <v>50.832576878623705</v>
      </c>
      <c r="T38" s="281">
        <f>'Elec Demand'!V33</f>
        <v>52.342708157078782</v>
      </c>
      <c r="U38" s="281">
        <f>'Elec Demand'!W33</f>
        <v>53.875249135458155</v>
      </c>
      <c r="V38" s="281">
        <f>'Elec Demand'!X33</f>
        <v>55.513836015265028</v>
      </c>
      <c r="W38" s="281">
        <f>'Elec Demand'!Y33</f>
        <v>57.209247491308531</v>
      </c>
      <c r="X38" s="281">
        <f>'Elec Demand'!Z33</f>
        <v>58.979491358170705</v>
      </c>
      <c r="Y38" s="281">
        <f>'Elec Demand'!AA33</f>
        <v>60.891396542411499</v>
      </c>
      <c r="Z38" s="281">
        <f>'Elec Demand'!AB33</f>
        <v>62.884536888877911</v>
      </c>
      <c r="AA38" s="281">
        <f>'Elec Demand'!AC33</f>
        <v>64.940104256562037</v>
      </c>
      <c r="AB38" s="281">
        <f>'Elec Demand'!AD33</f>
        <v>67.039290504455948</v>
      </c>
      <c r="AC38" s="281">
        <f>'Elec Demand'!AE33</f>
        <v>68.567829750705968</v>
      </c>
    </row>
    <row r="39" spans="3:35">
      <c r="C39" s="22" t="s">
        <v>358</v>
      </c>
      <c r="D39" s="13">
        <f>RetiringCapacity!C27</f>
        <v>2.5350000000000001</v>
      </c>
      <c r="E39" s="13">
        <f>RetiringCapacity!D27</f>
        <v>2.5350000000000001</v>
      </c>
      <c r="F39" s="13">
        <f>RetiringCapacity!E27</f>
        <v>2.5350000000000001</v>
      </c>
      <c r="G39" s="13">
        <f>RetiringCapacity!F27</f>
        <v>2.5350000000000001</v>
      </c>
      <c r="H39" s="13">
        <f>RetiringCapacity!G27</f>
        <v>2.5350000000000001</v>
      </c>
      <c r="I39" s="13">
        <f>H39+RetiringCapacity!H27+'Investment Plan'!C27/1000</f>
        <v>2.5350000000000001</v>
      </c>
      <c r="J39" s="13">
        <f>I39+RetiringCapacity!I27+'Investment Plan'!D27/1000</f>
        <v>2.5350000000000001</v>
      </c>
      <c r="K39" s="13">
        <f>J39+RetiringCapacity!J27+'Investment Plan'!E27/1000</f>
        <v>2.5350000000000001</v>
      </c>
      <c r="L39" s="13">
        <f>K39+RetiringCapacity!K27+'Investment Plan'!F27/1000</f>
        <v>1.9850000000000001</v>
      </c>
      <c r="M39" s="13">
        <f>L39+RetiringCapacity!L27+'Investment Plan'!G27/1000</f>
        <v>1.4350000000000001</v>
      </c>
      <c r="N39" s="13">
        <f>M39+RetiringCapacity!M27+'Investment Plan'!H27/1000</f>
        <v>1.4350000000000001</v>
      </c>
      <c r="O39" s="13">
        <f>N39+RetiringCapacity!N27+'Investment Plan'!I27/1000</f>
        <v>1.4350000000000001</v>
      </c>
      <c r="P39" s="13">
        <f>O39+RetiringCapacity!O27+'Investment Plan'!J27/1000</f>
        <v>1.4350000000000001</v>
      </c>
      <c r="Q39" s="13">
        <f>P39+RetiringCapacity!P27+'Investment Plan'!K27/1000</f>
        <v>1.4125000000000001</v>
      </c>
      <c r="R39" s="13">
        <f>Q39+RetiringCapacity!Q27+'Investment Plan'!L27/1000</f>
        <v>1.3900000000000001</v>
      </c>
      <c r="S39" s="13">
        <f>R39+RetiringCapacity!R27+'Investment Plan'!M27/1000</f>
        <v>1.3900000000000001</v>
      </c>
      <c r="T39" s="13">
        <f>S39+RetiringCapacity!S27+'Investment Plan'!N27/1000</f>
        <v>1.3900000000000001</v>
      </c>
      <c r="U39" s="13">
        <f>T39+RetiringCapacity!T27+'Investment Plan'!O27/1000</f>
        <v>1.3900000000000001</v>
      </c>
      <c r="V39" s="13">
        <f>U39+RetiringCapacity!U27+'Investment Plan'!P27/1000</f>
        <v>1.3900000000000001</v>
      </c>
      <c r="W39" s="13">
        <f>V39+RetiringCapacity!V27+'Investment Plan'!Q27/1000</f>
        <v>1.3900000000000001</v>
      </c>
      <c r="X39" s="13">
        <f>W39+RetiringCapacity!W27+'Investment Plan'!R27/1000</f>
        <v>0.9900000000000001</v>
      </c>
      <c r="Y39" s="13">
        <f>X39+RetiringCapacity!X27+'Investment Plan'!S27/1000</f>
        <v>0.9900000000000001</v>
      </c>
      <c r="Z39" s="13">
        <f>Y39+RetiringCapacity!Y27+'Investment Plan'!T27/1000</f>
        <v>0.9900000000000001</v>
      </c>
      <c r="AA39" s="13">
        <f>Z39+RetiringCapacity!Z27+'Investment Plan'!U27/1000</f>
        <v>0.9900000000000001</v>
      </c>
      <c r="AB39" s="13">
        <f>AA39+RetiringCapacity!AA27+'Investment Plan'!V27/1000</f>
        <v>0.9900000000000001</v>
      </c>
      <c r="AC39" s="13">
        <f>AB39+RetiringCapacity!AB27+'Investment Plan'!W27/1000</f>
        <v>0.9900000000000001</v>
      </c>
    </row>
    <row r="40" spans="3:35">
      <c r="C40" s="22" t="s">
        <v>357</v>
      </c>
      <c r="D40" s="14">
        <f>'Elec Demand'!F27</f>
        <v>1.5</v>
      </c>
      <c r="E40" s="14">
        <f>'Elec Demand'!G27</f>
        <v>1.5</v>
      </c>
      <c r="F40" s="14">
        <f>'Elec Demand'!H27</f>
        <v>1.5</v>
      </c>
      <c r="G40" s="14">
        <f>'Elec Demand'!I27</f>
        <v>1.5</v>
      </c>
      <c r="H40" s="14">
        <f>'Elec Demand'!J27</f>
        <v>1.5</v>
      </c>
      <c r="I40" s="14">
        <f>'Elec Demand'!K27</f>
        <v>1.5</v>
      </c>
      <c r="J40" s="14">
        <f>'Elec Demand'!L27</f>
        <v>1.5</v>
      </c>
      <c r="K40" s="14">
        <f>'Elec Demand'!M27</f>
        <v>1.5</v>
      </c>
      <c r="L40" s="14">
        <f>'Elec Demand'!N27</f>
        <v>1.5</v>
      </c>
      <c r="M40" s="14">
        <f>'Elec Demand'!O27</f>
        <v>1.5</v>
      </c>
      <c r="N40" s="14">
        <f>'Elec Demand'!P27</f>
        <v>1.5</v>
      </c>
      <c r="O40" s="14">
        <f>'Elec Demand'!Q27</f>
        <v>1.5</v>
      </c>
      <c r="P40" s="14">
        <f>'Elec Demand'!R27</f>
        <v>1.5</v>
      </c>
      <c r="Q40" s="14">
        <f>'Elec Demand'!S27</f>
        <v>1.5</v>
      </c>
      <c r="R40" s="14">
        <f>'Elec Demand'!T27</f>
        <v>1.5</v>
      </c>
      <c r="S40" s="14">
        <f>'Elec Demand'!U27</f>
        <v>1.5</v>
      </c>
      <c r="T40" s="14">
        <f>'Elec Demand'!V27</f>
        <v>1.5</v>
      </c>
      <c r="U40" s="14">
        <f>'Elec Demand'!W27</f>
        <v>1.5</v>
      </c>
      <c r="V40" s="14">
        <f>'Elec Demand'!X27</f>
        <v>1.5</v>
      </c>
      <c r="W40" s="14">
        <f>'Elec Demand'!Y27</f>
        <v>1.5</v>
      </c>
      <c r="X40" s="14">
        <f>'Elec Demand'!Z27</f>
        <v>1.5</v>
      </c>
      <c r="Y40" s="14">
        <f>'Elec Demand'!AA27</f>
        <v>1.5</v>
      </c>
      <c r="Z40" s="14">
        <f>'Elec Demand'!AB27</f>
        <v>1.5</v>
      </c>
      <c r="AA40" s="14">
        <f>'Elec Demand'!AC27</f>
        <v>1.5</v>
      </c>
      <c r="AB40" s="14">
        <f>'Elec Demand'!AD27</f>
        <v>1.5</v>
      </c>
      <c r="AC40" s="14">
        <f>'Elec Demand'!AE27</f>
        <v>1.5</v>
      </c>
    </row>
    <row r="41" spans="3:35">
      <c r="C41" s="22" t="s">
        <v>360</v>
      </c>
      <c r="D41" s="14">
        <f>SUMPRODUCT($A$8:$A$27,D8:D27)</f>
        <v>42.610444444444433</v>
      </c>
      <c r="E41" s="14">
        <f t="shared" ref="E41:AC41" si="6">SUMPRODUCT($A$8:$A$27,E8:E27)</f>
        <v>42.610444444444433</v>
      </c>
      <c r="F41" s="14">
        <f t="shared" si="6"/>
        <v>42.610444444444433</v>
      </c>
      <c r="G41" s="14">
        <f t="shared" si="6"/>
        <v>42.610444444444433</v>
      </c>
      <c r="H41" s="14">
        <f t="shared" si="6"/>
        <v>42.610444444444433</v>
      </c>
      <c r="I41" s="14">
        <f t="shared" ca="1" si="6"/>
        <v>43.316444444444436</v>
      </c>
      <c r="J41" s="14">
        <f t="shared" ca="1" si="6"/>
        <v>44.846444444444437</v>
      </c>
      <c r="K41" s="14">
        <f t="shared" ca="1" si="6"/>
        <v>45.686444444444433</v>
      </c>
      <c r="L41" s="14">
        <f t="shared" ca="1" si="6"/>
        <v>48.032444444444437</v>
      </c>
      <c r="M41" s="14">
        <f t="shared" ca="1" si="6"/>
        <v>51.172444444444437</v>
      </c>
      <c r="N41" s="14">
        <f t="shared" ca="1" si="6"/>
        <v>54.504444444444438</v>
      </c>
      <c r="O41" s="14">
        <f t="shared" ca="1" si="6"/>
        <v>57.104944444444435</v>
      </c>
      <c r="P41" s="14">
        <f t="shared" ca="1" si="6"/>
        <v>58.491444444444433</v>
      </c>
      <c r="Q41" s="14">
        <f t="shared" ca="1" si="6"/>
        <v>59.471444444444437</v>
      </c>
      <c r="R41" s="14">
        <f t="shared" ca="1" si="6"/>
        <v>60.966444444444441</v>
      </c>
      <c r="S41" s="14">
        <f t="shared" ca="1" si="6"/>
        <v>61.961444444444439</v>
      </c>
      <c r="T41" s="14">
        <f t="shared" ca="1" si="6"/>
        <v>63.47144444444443</v>
      </c>
      <c r="U41" s="14">
        <f t="shared" ca="1" si="6"/>
        <v>65.701444444444434</v>
      </c>
      <c r="V41" s="14">
        <f t="shared" ca="1" si="6"/>
        <v>68.931444444444438</v>
      </c>
      <c r="W41" s="14">
        <f t="shared" ca="1" si="6"/>
        <v>71.021444444444427</v>
      </c>
      <c r="X41" s="14">
        <f t="shared" ca="1" si="6"/>
        <v>72.67372222222221</v>
      </c>
      <c r="Y41" s="14">
        <f t="shared" ca="1" si="6"/>
        <v>74.760999999999996</v>
      </c>
      <c r="Z41" s="14">
        <f t="shared" ca="1" si="6"/>
        <v>77.34</v>
      </c>
      <c r="AA41" s="14">
        <f t="shared" ca="1" si="6"/>
        <v>80.006</v>
      </c>
      <c r="AB41" s="14">
        <f t="shared" ca="1" si="6"/>
        <v>81.907000000000011</v>
      </c>
      <c r="AC41" s="14">
        <f t="shared" ca="1" si="6"/>
        <v>84.177999999999997</v>
      </c>
    </row>
    <row r="42" spans="3:35">
      <c r="C42" s="14"/>
      <c r="D42" s="14"/>
      <c r="E42" s="14"/>
      <c r="F42" s="14"/>
      <c r="G42" s="14"/>
      <c r="H42" s="14"/>
      <c r="I42" s="14"/>
      <c r="J42" s="14"/>
      <c r="K42" s="14"/>
      <c r="L42" s="14"/>
      <c r="M42" s="14"/>
      <c r="N42" s="14"/>
      <c r="O42" s="14"/>
      <c r="P42" s="14"/>
      <c r="Q42" s="14"/>
      <c r="R42" s="14"/>
      <c r="S42" s="14"/>
      <c r="T42" s="14"/>
      <c r="U42" s="14"/>
      <c r="V42" s="14"/>
      <c r="W42" s="14"/>
      <c r="X42" s="14"/>
      <c r="Y42" s="14"/>
      <c r="Z42" s="14"/>
      <c r="AA42" s="14"/>
      <c r="AB42" s="14"/>
      <c r="AC42" s="14"/>
    </row>
    <row r="43" spans="3:35">
      <c r="C43" s="3" t="s">
        <v>62</v>
      </c>
      <c r="D43" s="14"/>
      <c r="E43" s="14"/>
      <c r="F43" s="14"/>
      <c r="G43" s="14"/>
      <c r="H43" s="14"/>
      <c r="I43" s="14"/>
      <c r="J43" s="14"/>
      <c r="K43" s="14"/>
      <c r="L43" s="14"/>
      <c r="M43" s="14"/>
      <c r="N43" s="14"/>
      <c r="O43" s="14"/>
      <c r="P43" s="14"/>
      <c r="Q43" s="14"/>
      <c r="R43" s="14"/>
      <c r="S43" s="14"/>
      <c r="T43" s="14"/>
      <c r="U43" s="14"/>
      <c r="V43" s="14"/>
      <c r="W43" s="14"/>
      <c r="X43" s="14"/>
      <c r="Y43" s="14"/>
      <c r="Z43" s="14"/>
      <c r="AA43" s="14"/>
      <c r="AB43" s="14"/>
      <c r="AC43" s="14"/>
    </row>
    <row r="44" spans="3:35">
      <c r="C44" s="22" t="s">
        <v>353</v>
      </c>
      <c r="D44" s="6">
        <f>D41/D38-1</f>
        <v>0.21411113643846691</v>
      </c>
      <c r="E44" s="6">
        <f t="shared" ref="E44:AC44" si="7">E41/E38-1</f>
        <v>0.16926745086560646</v>
      </c>
      <c r="F44" s="6">
        <f t="shared" si="7"/>
        <v>0.13704470793630841</v>
      </c>
      <c r="G44" s="6">
        <f t="shared" si="7"/>
        <v>0.12696112152073136</v>
      </c>
      <c r="H44" s="6">
        <f t="shared" si="7"/>
        <v>0.12696112152073136</v>
      </c>
      <c r="I44" s="6">
        <f t="shared" ca="1" si="7"/>
        <v>0.11569432829033777</v>
      </c>
      <c r="J44" s="6">
        <f t="shared" ca="1" si="7"/>
        <v>0.13328972996697463</v>
      </c>
      <c r="K44" s="6">
        <f t="shared" ca="1" si="7"/>
        <v>0.12902936733507087</v>
      </c>
      <c r="L44" s="6">
        <f t="shared" ca="1" si="7"/>
        <v>0.15756940236979355</v>
      </c>
      <c r="M44" s="6">
        <f t="shared" ca="1" si="7"/>
        <v>0.19689001406219009</v>
      </c>
      <c r="N44" s="6">
        <f t="shared" ca="1" si="7"/>
        <v>0.2387490186528094</v>
      </c>
      <c r="O44" s="6">
        <f t="shared" ca="1" si="7"/>
        <v>0.26020827835278282</v>
      </c>
      <c r="P44" s="6">
        <f t="shared" ca="1" si="7"/>
        <v>0.25500366779355721</v>
      </c>
      <c r="Q44" s="6">
        <f t="shared" ca="1" si="7"/>
        <v>0.23976013940344476</v>
      </c>
      <c r="R44" s="6">
        <f t="shared" ca="1" si="7"/>
        <v>0.23419655963968733</v>
      </c>
      <c r="S44" s="6">
        <f t="shared" ca="1" si="7"/>
        <v>0.2189318002192544</v>
      </c>
      <c r="T44" s="6">
        <f t="shared" ca="1" si="7"/>
        <v>0.21261292507007212</v>
      </c>
      <c r="U44" s="6">
        <f t="shared" ca="1" si="7"/>
        <v>0.21951073078570382</v>
      </c>
      <c r="V44" s="6">
        <f t="shared" ca="1" si="7"/>
        <v>0.24169845559744552</v>
      </c>
      <c r="W44" s="6">
        <f t="shared" ca="1" si="7"/>
        <v>0.24143294237936441</v>
      </c>
      <c r="X44" s="6">
        <f t="shared" ca="1" si="7"/>
        <v>0.23218631678067836</v>
      </c>
      <c r="Y44" s="6">
        <f t="shared" ca="1" si="7"/>
        <v>0.22777607749443174</v>
      </c>
      <c r="Z44" s="6">
        <f t="shared" ca="1" si="7"/>
        <v>0.22987309482243745</v>
      </c>
      <c r="AA44" s="6">
        <f t="shared" ca="1" si="7"/>
        <v>0.23199679021019737</v>
      </c>
      <c r="AB44" s="6">
        <f t="shared" ca="1" si="7"/>
        <v>0.22177605675220913</v>
      </c>
      <c r="AC44" s="6">
        <f t="shared" ca="1" si="7"/>
        <v>0.22766026438416342</v>
      </c>
    </row>
    <row r="45" spans="3:35">
      <c r="C45" s="22" t="s">
        <v>354</v>
      </c>
      <c r="D45" s="6">
        <f>D41/(D38-D39)-1</f>
        <v>0.30863439220062161</v>
      </c>
      <c r="E45" s="6">
        <f t="shared" ref="E45:AC45" si="8">E41/(E38-E39)-1</f>
        <v>0.25668577121079528</v>
      </c>
      <c r="F45" s="6">
        <f t="shared" si="8"/>
        <v>0.21954128878740442</v>
      </c>
      <c r="G45" s="6">
        <f t="shared" si="8"/>
        <v>0.20794888195854933</v>
      </c>
      <c r="H45" s="6">
        <f t="shared" si="8"/>
        <v>0.20794888195854933</v>
      </c>
      <c r="I45" s="6">
        <f t="shared" ca="1" si="8"/>
        <v>0.19363073543917908</v>
      </c>
      <c r="J45" s="6">
        <f t="shared" ca="1" si="8"/>
        <v>0.21085800189852488</v>
      </c>
      <c r="K45" s="6">
        <f t="shared" ca="1" si="8"/>
        <v>0.20448603298304868</v>
      </c>
      <c r="L45" s="6">
        <f t="shared" ca="1" si="8"/>
        <v>0.21572734658219161</v>
      </c>
      <c r="M45" s="6">
        <f t="shared" ca="1" si="8"/>
        <v>0.23845723561955223</v>
      </c>
      <c r="N45" s="6">
        <f t="shared" ca="1" si="8"/>
        <v>0.28051154927069333</v>
      </c>
      <c r="O45" s="6">
        <f t="shared" ca="1" si="8"/>
        <v>0.30142168897624111</v>
      </c>
      <c r="P45" s="6">
        <f t="shared" ca="1" si="8"/>
        <v>0.29487231457701912</v>
      </c>
      <c r="Q45" s="6">
        <f t="shared" ca="1" si="8"/>
        <v>0.2773729113346779</v>
      </c>
      <c r="R45" s="6">
        <f t="shared" ca="1" si="8"/>
        <v>0.2699311188498108</v>
      </c>
      <c r="S45" s="6">
        <f t="shared" ca="1" si="8"/>
        <v>0.25320014360402832</v>
      </c>
      <c r="T45" s="6">
        <f t="shared" ca="1" si="8"/>
        <v>0.2456932465448638</v>
      </c>
      <c r="U45" s="6">
        <f t="shared" ca="1" si="8"/>
        <v>0.25180780365311506</v>
      </c>
      <c r="V45" s="6">
        <f t="shared" ca="1" si="8"/>
        <v>0.273587563619901</v>
      </c>
      <c r="W45" s="6">
        <f t="shared" ca="1" si="8"/>
        <v>0.27234686306910527</v>
      </c>
      <c r="X45" s="6">
        <f t="shared" ca="1" si="8"/>
        <v>0.25322227390053675</v>
      </c>
      <c r="Y45" s="6">
        <f t="shared" ca="1" si="8"/>
        <v>0.24806772989119841</v>
      </c>
      <c r="Z45" s="6">
        <f t="shared" ca="1" si="8"/>
        <v>0.2495448530272073</v>
      </c>
      <c r="AA45" s="6">
        <f t="shared" ca="1" si="8"/>
        <v>0.25106910973941754</v>
      </c>
      <c r="AB45" s="6">
        <f t="shared" ca="1" si="8"/>
        <v>0.24008902100885154</v>
      </c>
      <c r="AC45" s="6">
        <f t="shared" ca="1" si="8"/>
        <v>0.24564521101864178</v>
      </c>
    </row>
    <row r="46" spans="3:35">
      <c r="C46" s="22" t="s">
        <v>355</v>
      </c>
      <c r="D46" s="6">
        <f>(D41+D40)/D38-1</f>
        <v>0.25685104981890916</v>
      </c>
      <c r="E46" s="6">
        <f t="shared" ref="E46:AC46" si="9">(E41+E40)/E38-1</f>
        <v>0.21042874826970071</v>
      </c>
      <c r="F46" s="6">
        <f t="shared" si="9"/>
        <v>0.17707167982410899</v>
      </c>
      <c r="G46" s="6">
        <f t="shared" si="9"/>
        <v>0.16663312457822355</v>
      </c>
      <c r="H46" s="6">
        <f t="shared" si="9"/>
        <v>0.16663312457822355</v>
      </c>
      <c r="I46" s="6">
        <f t="shared" ca="1" si="9"/>
        <v>0.15432957441682693</v>
      </c>
      <c r="J46" s="6">
        <f t="shared" ca="1" si="9"/>
        <v>0.1711954015538566</v>
      </c>
      <c r="K46" s="6">
        <f t="shared" ca="1" si="9"/>
        <v>0.16609821941135783</v>
      </c>
      <c r="L46" s="6">
        <f t="shared" ca="1" si="9"/>
        <v>0.19371901173566708</v>
      </c>
      <c r="M46" s="6">
        <f t="shared" ca="1" si="9"/>
        <v>0.23197403321711629</v>
      </c>
      <c r="N46" s="6">
        <f t="shared" ca="1" si="9"/>
        <v>0.27284024821984354</v>
      </c>
      <c r="O46" s="6">
        <f t="shared" ca="1" si="9"/>
        <v>0.29331070820223659</v>
      </c>
      <c r="P46" s="6">
        <f t="shared" ca="1" si="9"/>
        <v>0.28718795593296798</v>
      </c>
      <c r="Q46" s="6">
        <f t="shared" ca="1" si="9"/>
        <v>0.27102960370647455</v>
      </c>
      <c r="R46" s="6">
        <f t="shared" ca="1" si="9"/>
        <v>0.26456235932391392</v>
      </c>
      <c r="S46" s="6">
        <f t="shared" ca="1" si="9"/>
        <v>0.24844043606082589</v>
      </c>
      <c r="T46" s="6">
        <f t="shared" ca="1" si="9"/>
        <v>0.24127021187874376</v>
      </c>
      <c r="U46" s="6">
        <f t="shared" ca="1" si="9"/>
        <v>0.24735282941300785</v>
      </c>
      <c r="V46" s="6">
        <f t="shared" ca="1" si="9"/>
        <v>0.26871874653153882</v>
      </c>
      <c r="W46" s="6">
        <f t="shared" ca="1" si="9"/>
        <v>0.26765247970552641</v>
      </c>
      <c r="X46" s="6">
        <f t="shared" ca="1" si="9"/>
        <v>0.25761888605956207</v>
      </c>
      <c r="Y46" s="6">
        <f t="shared" ca="1" si="9"/>
        <v>0.25241009946098725</v>
      </c>
      <c r="Z46" s="6">
        <f t="shared" ca="1" si="9"/>
        <v>0.25372633560642566</v>
      </c>
      <c r="AA46" s="6">
        <f t="shared" ca="1" si="9"/>
        <v>0.25509499766107968</v>
      </c>
      <c r="AB46" s="6">
        <f t="shared" ca="1" si="9"/>
        <v>0.2441509952205736</v>
      </c>
      <c r="AC46" s="6">
        <f t="shared" ca="1" si="9"/>
        <v>0.24953641250571823</v>
      </c>
    </row>
    <row r="47" spans="3:35">
      <c r="C47" s="22" t="s">
        <v>356</v>
      </c>
      <c r="D47" s="6">
        <f>(D41+D40)/(D38-D39)-1</f>
        <v>0.35470177342355713</v>
      </c>
      <c r="E47" s="6">
        <f t="shared" ref="E47:AC47" si="10">(E41+E40)/(E38-E39)-1</f>
        <v>0.30092442399635577</v>
      </c>
      <c r="F47" s="6">
        <f t="shared" si="10"/>
        <v>0.26247235784879774</v>
      </c>
      <c r="G47" s="6">
        <f t="shared" si="10"/>
        <v>0.25047186773261743</v>
      </c>
      <c r="H47" s="6">
        <f t="shared" si="10"/>
        <v>0.25047186773261743</v>
      </c>
      <c r="I47" s="6">
        <f t="shared" ca="1" si="10"/>
        <v>0.23496483213437536</v>
      </c>
      <c r="J47" s="6">
        <f t="shared" ca="1" si="10"/>
        <v>0.25135813575189636</v>
      </c>
      <c r="K47" s="6">
        <f t="shared" ca="1" si="10"/>
        <v>0.24403231572500261</v>
      </c>
      <c r="L47" s="6">
        <f t="shared" ca="1" si="10"/>
        <v>0.2536931640825375</v>
      </c>
      <c r="M47" s="6">
        <f t="shared" ca="1" si="10"/>
        <v>0.27475970022911622</v>
      </c>
      <c r="N47" s="6">
        <f t="shared" ca="1" si="10"/>
        <v>0.31575211255840552</v>
      </c>
      <c r="O47" s="6">
        <f t="shared" ca="1" si="10"/>
        <v>0.33560668910987279</v>
      </c>
      <c r="P47" s="6">
        <f t="shared" ca="1" si="10"/>
        <v>0.32807902523895782</v>
      </c>
      <c r="Q47" s="6">
        <f t="shared" ca="1" si="10"/>
        <v>0.3095910520726568</v>
      </c>
      <c r="R47" s="6">
        <f t="shared" ca="1" si="10"/>
        <v>0.30117612084448275</v>
      </c>
      <c r="S47" s="6">
        <f t="shared" ca="1" si="10"/>
        <v>0.28353836816061539</v>
      </c>
      <c r="T47" s="6">
        <f t="shared" ca="1" si="10"/>
        <v>0.27513230983028802</v>
      </c>
      <c r="U47" s="6">
        <f t="shared" ca="1" si="10"/>
        <v>0.28038726216208931</v>
      </c>
      <c r="V47" s="6">
        <f t="shared" ca="1" si="10"/>
        <v>0.30130178549391862</v>
      </c>
      <c r="W47" s="6">
        <f t="shared" ca="1" si="10"/>
        <v>0.29921931419330861</v>
      </c>
      <c r="X47" s="6">
        <f t="shared" ca="1" si="10"/>
        <v>0.27908902949484404</v>
      </c>
      <c r="Y47" s="6">
        <f t="shared" ca="1" si="10"/>
        <v>0.27310888229468144</v>
      </c>
      <c r="Z47" s="6">
        <f t="shared" ca="1" si="10"/>
        <v>0.27377962519608245</v>
      </c>
      <c r="AA47" s="6">
        <f t="shared" ca="1" si="10"/>
        <v>0.2745248963630349</v>
      </c>
      <c r="AB47" s="6">
        <f t="shared" ca="1" si="10"/>
        <v>0.26279933308856718</v>
      </c>
      <c r="AC47" s="6">
        <f t="shared" ca="1" si="10"/>
        <v>0.26784183978777354</v>
      </c>
    </row>
    <row r="48" spans="3:35">
      <c r="C48" s="14"/>
      <c r="D48" s="14"/>
      <c r="E48" s="14"/>
      <c r="F48" s="14"/>
      <c r="G48" s="14"/>
      <c r="H48" s="14"/>
      <c r="I48" s="14"/>
      <c r="J48" s="14"/>
      <c r="K48" s="14"/>
      <c r="L48" s="14"/>
      <c r="M48" s="14"/>
      <c r="N48" s="14"/>
      <c r="O48" s="14"/>
      <c r="P48" s="14"/>
      <c r="Q48" s="14"/>
      <c r="R48" s="14"/>
      <c r="S48" s="14"/>
      <c r="T48" s="14"/>
      <c r="U48" s="14"/>
      <c r="V48" s="14"/>
      <c r="W48" s="14"/>
      <c r="X48" s="14"/>
      <c r="Y48" s="14"/>
      <c r="Z48" s="14"/>
      <c r="AA48" s="14"/>
      <c r="AB48" s="14"/>
      <c r="AC48" s="14"/>
    </row>
    <row r="49" spans="2:29">
      <c r="B49" s="4" t="s">
        <v>7</v>
      </c>
      <c r="C49" s="3" t="s">
        <v>41</v>
      </c>
      <c r="D49" s="3"/>
      <c r="E49" s="3"/>
      <c r="F49" s="3"/>
      <c r="G49" s="3"/>
      <c r="I49" s="27">
        <f>I7</f>
        <v>2010</v>
      </c>
      <c r="J49" s="27">
        <f t="shared" ref="J49:AC49" si="11">J7</f>
        <v>2011</v>
      </c>
      <c r="K49" s="27">
        <f t="shared" si="11"/>
        <v>2012</v>
      </c>
      <c r="L49" s="27">
        <f t="shared" si="11"/>
        <v>2013</v>
      </c>
      <c r="M49" s="27">
        <f t="shared" si="11"/>
        <v>2014</v>
      </c>
      <c r="N49" s="27">
        <f t="shared" si="11"/>
        <v>2015</v>
      </c>
      <c r="O49" s="27">
        <f t="shared" si="11"/>
        <v>2016</v>
      </c>
      <c r="P49" s="27">
        <f t="shared" si="11"/>
        <v>2017</v>
      </c>
      <c r="Q49" s="27">
        <f t="shared" si="11"/>
        <v>2018</v>
      </c>
      <c r="R49" s="27">
        <f t="shared" si="11"/>
        <v>2019</v>
      </c>
      <c r="S49" s="27">
        <f t="shared" si="11"/>
        <v>2020</v>
      </c>
      <c r="T49" s="27">
        <f t="shared" si="11"/>
        <v>2021</v>
      </c>
      <c r="U49" s="27">
        <f t="shared" si="11"/>
        <v>2022</v>
      </c>
      <c r="V49" s="27">
        <f t="shared" si="11"/>
        <v>2023</v>
      </c>
      <c r="W49" s="27">
        <f t="shared" si="11"/>
        <v>2024</v>
      </c>
      <c r="X49" s="27">
        <f t="shared" si="11"/>
        <v>2025</v>
      </c>
      <c r="Y49" s="27">
        <f t="shared" si="11"/>
        <v>2026</v>
      </c>
      <c r="Z49" s="27">
        <f t="shared" si="11"/>
        <v>2027</v>
      </c>
      <c r="AA49" s="27">
        <f t="shared" si="11"/>
        <v>2028</v>
      </c>
      <c r="AB49" s="27">
        <f t="shared" si="11"/>
        <v>2029</v>
      </c>
      <c r="AC49" s="27">
        <f t="shared" si="11"/>
        <v>2030</v>
      </c>
    </row>
    <row r="50" spans="2:29" ht="15">
      <c r="B50" s="228">
        <f>'Tech Parameters'!J6/1000</f>
        <v>0.56427777777777788</v>
      </c>
      <c r="C50" t="str">
        <f>C8</f>
        <v>Existing coal Large</v>
      </c>
      <c r="D50" s="14"/>
      <c r="E50" s="14"/>
      <c r="F50" s="14"/>
      <c r="G50" s="14"/>
      <c r="I50" s="227">
        <f>IF('Investment Plan'!C66&gt;0,'Investment Plan'!C66,0)</f>
        <v>0</v>
      </c>
      <c r="J50" s="227">
        <f>IF('Investment Plan'!D66&gt;0,'Investment Plan'!D66,0)</f>
        <v>0</v>
      </c>
      <c r="K50" s="227">
        <f>IF('Investment Plan'!E66&gt;0,'Investment Plan'!E66,0)</f>
        <v>0</v>
      </c>
      <c r="L50" s="227">
        <f>IF('Investment Plan'!F66&gt;0,'Investment Plan'!F66,0)</f>
        <v>0</v>
      </c>
      <c r="M50" s="227">
        <f>IF('Investment Plan'!G66&gt;0,'Investment Plan'!G66,0)</f>
        <v>0</v>
      </c>
      <c r="N50" s="227">
        <f>IF('Investment Plan'!H66&gt;0,'Investment Plan'!H66,0)</f>
        <v>0</v>
      </c>
      <c r="O50" s="227">
        <f>IF('Investment Plan'!I66&gt;0,'Investment Plan'!I66,0)</f>
        <v>0</v>
      </c>
      <c r="P50" s="227">
        <f>IF('Investment Plan'!J66&gt;0,'Investment Plan'!J66,0)</f>
        <v>0</v>
      </c>
      <c r="Q50" s="227">
        <f>IF('Investment Plan'!K66&gt;0,'Investment Plan'!K66,0)</f>
        <v>0</v>
      </c>
      <c r="R50" s="227">
        <f>IF('Investment Plan'!L66&gt;0,'Investment Plan'!L66,0)</f>
        <v>0</v>
      </c>
      <c r="S50" s="227">
        <f>IF('Investment Plan'!M66&gt;0,'Investment Plan'!M66,0)</f>
        <v>0</v>
      </c>
      <c r="T50" s="227">
        <f>IF('Investment Plan'!N66&gt;0,'Investment Plan'!N66,0)</f>
        <v>0</v>
      </c>
      <c r="U50" s="227">
        <f>IF('Investment Plan'!O66&gt;0,'Investment Plan'!O66,0)</f>
        <v>0</v>
      </c>
      <c r="V50" s="227">
        <f>IF('Investment Plan'!P66&gt;0,'Investment Plan'!P66,0)</f>
        <v>0</v>
      </c>
      <c r="W50" s="227">
        <f>IF('Investment Plan'!Q66&gt;0,'Investment Plan'!Q66,0)</f>
        <v>0</v>
      </c>
      <c r="X50" s="227">
        <f>IF('Investment Plan'!R66&gt;0,'Investment Plan'!R66,0)</f>
        <v>0</v>
      </c>
      <c r="Y50" s="227">
        <f>IF('Investment Plan'!S66&gt;0,'Investment Plan'!S66,0)</f>
        <v>0</v>
      </c>
      <c r="Z50" s="227">
        <f>IF('Investment Plan'!T66&gt;0,'Investment Plan'!T66,0)</f>
        <v>0</v>
      </c>
      <c r="AA50" s="227">
        <f>IF('Investment Plan'!U66&gt;0,'Investment Plan'!U66,0)</f>
        <v>0</v>
      </c>
      <c r="AB50" s="227">
        <f>IF('Investment Plan'!V66&gt;0,'Investment Plan'!V66,0)</f>
        <v>0</v>
      </c>
      <c r="AC50" s="227">
        <f>IF('Investment Plan'!W66&gt;0,'Investment Plan'!W66,0)</f>
        <v>0</v>
      </c>
    </row>
    <row r="51" spans="2:29" ht="15">
      <c r="B51" s="228">
        <f>'Tech Parameters'!J7/1000</f>
        <v>0.11443859649122806</v>
      </c>
      <c r="C51" t="str">
        <f t="shared" ref="C51:C69" si="12">C9</f>
        <v>Existing coal Small</v>
      </c>
      <c r="D51" s="14"/>
      <c r="E51" s="14"/>
      <c r="F51" s="14"/>
      <c r="G51" s="14"/>
      <c r="I51" s="227">
        <f>IF('Investment Plan'!C67&gt;0,'Investment Plan'!C67,0)</f>
        <v>0</v>
      </c>
      <c r="J51" s="227">
        <f>IF('Investment Plan'!D67&gt;0,'Investment Plan'!D67,0)</f>
        <v>0</v>
      </c>
      <c r="K51" s="227">
        <f>IF('Investment Plan'!E67&gt;0,'Investment Plan'!E67,0)</f>
        <v>0</v>
      </c>
      <c r="L51" s="227">
        <f>IF('Investment Plan'!F67&gt;0,'Investment Plan'!F67,0)</f>
        <v>0</v>
      </c>
      <c r="M51" s="227">
        <f>IF('Investment Plan'!G67&gt;0,'Investment Plan'!G67,0)</f>
        <v>0</v>
      </c>
      <c r="N51" s="227">
        <f>IF('Investment Plan'!H67&gt;0,'Investment Plan'!H67,0)</f>
        <v>0</v>
      </c>
      <c r="O51" s="227">
        <f>IF('Investment Plan'!I67&gt;0,'Investment Plan'!I67,0)</f>
        <v>0</v>
      </c>
      <c r="P51" s="227">
        <f>IF('Investment Plan'!J67&gt;0,'Investment Plan'!J67,0)</f>
        <v>0</v>
      </c>
      <c r="Q51" s="227">
        <f>IF('Investment Plan'!K67&gt;0,'Investment Plan'!K67,0)</f>
        <v>0</v>
      </c>
      <c r="R51" s="227">
        <f>IF('Investment Plan'!L67&gt;0,'Investment Plan'!L67,0)</f>
        <v>0</v>
      </c>
      <c r="S51" s="227">
        <f>IF('Investment Plan'!M67&gt;0,'Investment Plan'!M67,0)</f>
        <v>0</v>
      </c>
      <c r="T51" s="227">
        <f>IF('Investment Plan'!N67&gt;0,'Investment Plan'!N67,0)</f>
        <v>0</v>
      </c>
      <c r="U51" s="227">
        <f>IF('Investment Plan'!O67&gt;0,'Investment Plan'!O67,0)</f>
        <v>0</v>
      </c>
      <c r="V51" s="227">
        <f>IF('Investment Plan'!P67&gt;0,'Investment Plan'!P67,0)</f>
        <v>0</v>
      </c>
      <c r="W51" s="227">
        <f>IF('Investment Plan'!Q67&gt;0,'Investment Plan'!Q67,0)</f>
        <v>0</v>
      </c>
      <c r="X51" s="227">
        <f>IF('Investment Plan'!R67&gt;0,'Investment Plan'!R67,0)</f>
        <v>0</v>
      </c>
      <c r="Y51" s="227">
        <f>IF('Investment Plan'!S67&gt;0,'Investment Plan'!S67,0)</f>
        <v>0</v>
      </c>
      <c r="Z51" s="227">
        <f>IF('Investment Plan'!T67&gt;0,'Investment Plan'!T67,0)</f>
        <v>0</v>
      </c>
      <c r="AA51" s="227">
        <f>IF('Investment Plan'!U67&gt;0,'Investment Plan'!U67,0)</f>
        <v>0</v>
      </c>
      <c r="AB51" s="227">
        <f>IF('Investment Plan'!V67&gt;0,'Investment Plan'!V67,0)</f>
        <v>0</v>
      </c>
      <c r="AC51" s="227">
        <f>IF('Investment Plan'!W67&gt;0,'Investment Plan'!W67,0)</f>
        <v>0</v>
      </c>
    </row>
    <row r="52" spans="2:29" ht="15">
      <c r="B52" s="228">
        <f>'Tech Parameters'!J8/1000</f>
        <v>0.12</v>
      </c>
      <c r="C52" t="str">
        <f t="shared" si="12"/>
        <v>OCGT liquid fuels</v>
      </c>
      <c r="D52" s="14"/>
      <c r="E52" s="14"/>
      <c r="F52" s="14"/>
      <c r="G52" s="14"/>
      <c r="I52" s="227">
        <f>IF('Investment Plan'!C68&gt;0,'Investment Plan'!C68,0)</f>
        <v>0</v>
      </c>
      <c r="J52" s="227">
        <f>IF('Investment Plan'!D68&gt;0,'Investment Plan'!D68,0)</f>
        <v>9</v>
      </c>
      <c r="K52" s="227">
        <f>IF('Investment Plan'!E68&gt;0,'Investment Plan'!E68,0)</f>
        <v>0</v>
      </c>
      <c r="L52" s="227">
        <f>IF('Investment Plan'!F68&gt;0,'Investment Plan'!F68,0)</f>
        <v>0</v>
      </c>
      <c r="M52" s="227">
        <f>IF('Investment Plan'!G68&gt;0,'Investment Plan'!G68,0)</f>
        <v>0</v>
      </c>
      <c r="N52" s="227">
        <f>IF('Investment Plan'!H68&gt;0,'Investment Plan'!H68,0)</f>
        <v>0</v>
      </c>
      <c r="O52" s="227">
        <f>IF('Investment Plan'!I68&gt;0,'Investment Plan'!I68,0)</f>
        <v>0</v>
      </c>
      <c r="P52" s="227">
        <f>IF('Investment Plan'!J68&gt;0,'Investment Plan'!J68,0)</f>
        <v>0</v>
      </c>
      <c r="Q52" s="227">
        <f>IF('Investment Plan'!K68&gt;0,'Investment Plan'!K68,0)</f>
        <v>0</v>
      </c>
      <c r="R52" s="227">
        <f>IF('Investment Plan'!L68&gt;0,'Investment Plan'!L68,0)</f>
        <v>0</v>
      </c>
      <c r="S52" s="227">
        <f>IF('Investment Plan'!M68&gt;0,'Investment Plan'!M68,0)</f>
        <v>0</v>
      </c>
      <c r="T52" s="227">
        <f>IF('Investment Plan'!N68&gt;0,'Investment Plan'!N68,0)</f>
        <v>0</v>
      </c>
      <c r="U52" s="227">
        <f>IF('Investment Plan'!O68&gt;0,'Investment Plan'!O68,0)</f>
        <v>0</v>
      </c>
      <c r="V52" s="227">
        <f>IF('Investment Plan'!P68&gt;0,'Investment Plan'!P68,0)</f>
        <v>0</v>
      </c>
      <c r="W52" s="227">
        <f>IF('Investment Plan'!Q68&gt;0,'Investment Plan'!Q68,0)</f>
        <v>0</v>
      </c>
      <c r="X52" s="227">
        <f>IF('Investment Plan'!R68&gt;0,'Investment Plan'!R68,0)</f>
        <v>0</v>
      </c>
      <c r="Y52" s="227">
        <f>IF('Investment Plan'!S68&gt;0,'Investment Plan'!S68,0)</f>
        <v>6</v>
      </c>
      <c r="Z52" s="227">
        <f>IF('Investment Plan'!T68&gt;0,'Investment Plan'!T68,0)</f>
        <v>0</v>
      </c>
      <c r="AA52" s="227">
        <f>IF('Investment Plan'!U68&gt;0,'Investment Plan'!U68,0)</f>
        <v>0</v>
      </c>
      <c r="AB52" s="227">
        <f>IF('Investment Plan'!V68&gt;0,'Investment Plan'!V68,0)</f>
        <v>8</v>
      </c>
      <c r="AC52" s="227">
        <f>IF('Investment Plan'!W68&gt;0,'Investment Plan'!W68,0)</f>
        <v>8</v>
      </c>
    </row>
    <row r="53" spans="2:29" ht="15">
      <c r="B53" s="228">
        <f>'Tech Parameters'!J9/1000</f>
        <v>1.35</v>
      </c>
      <c r="C53" t="str">
        <f t="shared" si="12"/>
        <v>PWR nuclear</v>
      </c>
      <c r="D53" s="14"/>
      <c r="E53" s="14"/>
      <c r="F53" s="14"/>
      <c r="G53" s="14"/>
      <c r="I53" s="227">
        <f>IF('Investment Plan'!C69&gt;0,'Investment Plan'!C69,0)</f>
        <v>0</v>
      </c>
      <c r="J53" s="227">
        <f>IF('Investment Plan'!D69&gt;0,'Investment Plan'!D69,0)</f>
        <v>0</v>
      </c>
      <c r="K53" s="227">
        <f>IF('Investment Plan'!E69&gt;0,'Investment Plan'!E69,0)</f>
        <v>0</v>
      </c>
      <c r="L53" s="227">
        <f>IF('Investment Plan'!F69&gt;0,'Investment Plan'!F69,0)</f>
        <v>0</v>
      </c>
      <c r="M53" s="227">
        <f>IF('Investment Plan'!G69&gt;0,'Investment Plan'!G69,0)</f>
        <v>0</v>
      </c>
      <c r="N53" s="227">
        <f>IF('Investment Plan'!H69&gt;0,'Investment Plan'!H69,0)</f>
        <v>0</v>
      </c>
      <c r="O53" s="227">
        <f>IF('Investment Plan'!I69&gt;0,'Investment Plan'!I69,0)</f>
        <v>0</v>
      </c>
      <c r="P53" s="227">
        <f>IF('Investment Plan'!J69&gt;0,'Investment Plan'!J69,0)</f>
        <v>0</v>
      </c>
      <c r="Q53" s="227">
        <f>IF('Investment Plan'!K69&gt;0,'Investment Plan'!K69,0)</f>
        <v>0</v>
      </c>
      <c r="R53" s="227">
        <f>IF('Investment Plan'!L69&gt;0,'Investment Plan'!L69,0)</f>
        <v>0</v>
      </c>
      <c r="S53" s="227">
        <f>IF('Investment Plan'!M69&gt;0,'Investment Plan'!M69,0)</f>
        <v>0</v>
      </c>
      <c r="T53" s="227">
        <f>IF('Investment Plan'!N69&gt;0,'Investment Plan'!N69,0)</f>
        <v>0</v>
      </c>
      <c r="U53" s="227">
        <f>IF('Investment Plan'!O69&gt;0,'Investment Plan'!O69,0)</f>
        <v>0</v>
      </c>
      <c r="V53" s="227">
        <f>IF('Investment Plan'!P69&gt;0,'Investment Plan'!P69,0)</f>
        <v>0</v>
      </c>
      <c r="W53" s="227">
        <f>IF('Investment Plan'!Q69&gt;0,'Investment Plan'!Q69,0)</f>
        <v>0</v>
      </c>
      <c r="X53" s="227">
        <f>IF('Investment Plan'!R69&gt;0,'Investment Plan'!R69,0)</f>
        <v>0</v>
      </c>
      <c r="Y53" s="227">
        <f>IF('Investment Plan'!S69&gt;0,'Investment Plan'!S69,0)</f>
        <v>0</v>
      </c>
      <c r="Z53" s="227">
        <f>IF('Investment Plan'!T69&gt;0,'Investment Plan'!T69,0)</f>
        <v>0</v>
      </c>
      <c r="AA53" s="227">
        <f>IF('Investment Plan'!U69&gt;0,'Investment Plan'!U69,0)</f>
        <v>0</v>
      </c>
      <c r="AB53" s="227">
        <f>IF('Investment Plan'!V69&gt;0,'Investment Plan'!V69,0)</f>
        <v>0</v>
      </c>
      <c r="AC53" s="227">
        <f>IF('Investment Plan'!W69&gt;0,'Investment Plan'!W69,0)</f>
        <v>0</v>
      </c>
    </row>
    <row r="54" spans="2:29" ht="15">
      <c r="B54" s="228">
        <f>'Tech Parameters'!J10/1000</f>
        <v>9.5000000000000001E-2</v>
      </c>
      <c r="C54" t="str">
        <f t="shared" si="12"/>
        <v>Hydro</v>
      </c>
      <c r="D54" s="14"/>
      <c r="E54" s="14"/>
      <c r="F54" s="14"/>
      <c r="G54" s="14"/>
      <c r="I54" s="227">
        <f>IF('Investment Plan'!C70&gt;0,'Investment Plan'!C70,0)</f>
        <v>0</v>
      </c>
      <c r="J54" s="227">
        <f>IF('Investment Plan'!D70&gt;0,'Investment Plan'!D70,0)</f>
        <v>0</v>
      </c>
      <c r="K54" s="227">
        <f>IF('Investment Plan'!E70&gt;0,'Investment Plan'!E70,0)</f>
        <v>0</v>
      </c>
      <c r="L54" s="227">
        <f>IF('Investment Plan'!F70&gt;0,'Investment Plan'!F70,0)</f>
        <v>0</v>
      </c>
      <c r="M54" s="227">
        <f>IF('Investment Plan'!G70&gt;0,'Investment Plan'!G70,0)</f>
        <v>0</v>
      </c>
      <c r="N54" s="227">
        <f>IF('Investment Plan'!H70&gt;0,'Investment Plan'!H70,0)</f>
        <v>0</v>
      </c>
      <c r="O54" s="227">
        <f>IF('Investment Plan'!I70&gt;0,'Investment Plan'!I70,0)</f>
        <v>0</v>
      </c>
      <c r="P54" s="227">
        <f>IF('Investment Plan'!J70&gt;0,'Investment Plan'!J70,0)</f>
        <v>0</v>
      </c>
      <c r="Q54" s="227">
        <f>IF('Investment Plan'!K70&gt;0,'Investment Plan'!K70,0)</f>
        <v>0</v>
      </c>
      <c r="R54" s="227">
        <f>IF('Investment Plan'!L70&gt;0,'Investment Plan'!L70,0)</f>
        <v>0</v>
      </c>
      <c r="S54" s="227">
        <f>IF('Investment Plan'!M70&gt;0,'Investment Plan'!M70,0)</f>
        <v>0</v>
      </c>
      <c r="T54" s="227">
        <f>IF('Investment Plan'!N70&gt;0,'Investment Plan'!N70,0)</f>
        <v>0</v>
      </c>
      <c r="U54" s="227">
        <f>IF('Investment Plan'!O70&gt;0,'Investment Plan'!O70,0)</f>
        <v>0</v>
      </c>
      <c r="V54" s="227">
        <f>IF('Investment Plan'!P70&gt;0,'Investment Plan'!P70,0)</f>
        <v>0</v>
      </c>
      <c r="W54" s="227">
        <f>IF('Investment Plan'!Q70&gt;0,'Investment Plan'!Q70,0)</f>
        <v>0</v>
      </c>
      <c r="X54" s="227">
        <f>IF('Investment Plan'!R70&gt;0,'Investment Plan'!R70,0)</f>
        <v>0</v>
      </c>
      <c r="Y54" s="227">
        <f>IF('Investment Plan'!S70&gt;0,'Investment Plan'!S70,0)</f>
        <v>0</v>
      </c>
      <c r="Z54" s="227">
        <f>IF('Investment Plan'!T70&gt;0,'Investment Plan'!T70,0)</f>
        <v>0</v>
      </c>
      <c r="AA54" s="227">
        <f>IF('Investment Plan'!U70&gt;0,'Investment Plan'!U70,0)</f>
        <v>0</v>
      </c>
      <c r="AB54" s="227">
        <f>IF('Investment Plan'!V70&gt;0,'Investment Plan'!V70,0)</f>
        <v>0</v>
      </c>
      <c r="AC54" s="227">
        <f>IF('Investment Plan'!W70&gt;0,'Investment Plan'!W70,0)</f>
        <v>0</v>
      </c>
    </row>
    <row r="55" spans="2:29" ht="15">
      <c r="B55" s="228">
        <f>'Tech Parameters'!J11/1000</f>
        <v>0.03</v>
      </c>
      <c r="C55" t="str">
        <f t="shared" si="12"/>
        <v>Landfill gas</v>
      </c>
      <c r="D55" s="14"/>
      <c r="E55" s="14"/>
      <c r="F55" s="14"/>
      <c r="G55" s="14"/>
      <c r="I55" s="227">
        <f>IF('Investment Plan'!C71&gt;0,'Investment Plan'!C71,0)</f>
        <v>0</v>
      </c>
      <c r="J55" s="227">
        <f>IF('Investment Plan'!D71&gt;0,'Investment Plan'!D71,0)</f>
        <v>0</v>
      </c>
      <c r="K55" s="227">
        <f>IF('Investment Plan'!E71&gt;0,'Investment Plan'!E71,0)</f>
        <v>0</v>
      </c>
      <c r="L55" s="227">
        <f>IF('Investment Plan'!F71&gt;0,'Investment Plan'!F71,0)</f>
        <v>0</v>
      </c>
      <c r="M55" s="227">
        <f>IF('Investment Plan'!G71&gt;0,'Investment Plan'!G71,0)</f>
        <v>0</v>
      </c>
      <c r="N55" s="227">
        <f>IF('Investment Plan'!H71&gt;0,'Investment Plan'!H71,0)</f>
        <v>0</v>
      </c>
      <c r="O55" s="227">
        <f>IF('Investment Plan'!I71&gt;0,'Investment Plan'!I71,0)</f>
        <v>0</v>
      </c>
      <c r="P55" s="227">
        <f>IF('Investment Plan'!J71&gt;0,'Investment Plan'!J71,0)</f>
        <v>0</v>
      </c>
      <c r="Q55" s="227">
        <f>IF('Investment Plan'!K71&gt;0,'Investment Plan'!K71,0)</f>
        <v>0</v>
      </c>
      <c r="R55" s="227">
        <f>IF('Investment Plan'!L71&gt;0,'Investment Plan'!L71,0)</f>
        <v>0</v>
      </c>
      <c r="S55" s="227">
        <f>IF('Investment Plan'!M71&gt;0,'Investment Plan'!M71,0)</f>
        <v>0</v>
      </c>
      <c r="T55" s="227">
        <f>IF('Investment Plan'!N71&gt;0,'Investment Plan'!N71,0)</f>
        <v>0</v>
      </c>
      <c r="U55" s="227">
        <f>IF('Investment Plan'!O71&gt;0,'Investment Plan'!O71,0)</f>
        <v>0</v>
      </c>
      <c r="V55" s="227">
        <f>IF('Investment Plan'!P71&gt;0,'Investment Plan'!P71,0)</f>
        <v>0</v>
      </c>
      <c r="W55" s="227">
        <f>IF('Investment Plan'!Q71&gt;0,'Investment Plan'!Q71,0)</f>
        <v>0</v>
      </c>
      <c r="X55" s="227">
        <f>IF('Investment Plan'!R71&gt;0,'Investment Plan'!R71,0)</f>
        <v>0</v>
      </c>
      <c r="Y55" s="227">
        <f>IF('Investment Plan'!S71&gt;0,'Investment Plan'!S71,0)</f>
        <v>0</v>
      </c>
      <c r="Z55" s="227">
        <f>IF('Investment Plan'!T71&gt;0,'Investment Plan'!T71,0)</f>
        <v>0</v>
      </c>
      <c r="AA55" s="227">
        <f>IF('Investment Plan'!U71&gt;0,'Investment Plan'!U71,0)</f>
        <v>0</v>
      </c>
      <c r="AB55" s="227">
        <f>IF('Investment Plan'!V71&gt;0,'Investment Plan'!V71,0)</f>
        <v>0</v>
      </c>
      <c r="AC55" s="227">
        <f>IF('Investment Plan'!W71&gt;0,'Investment Plan'!W71,0)</f>
        <v>0</v>
      </c>
    </row>
    <row r="56" spans="2:29" ht="15">
      <c r="B56" s="228">
        <f>'Tech Parameters'!J12/1000</f>
        <v>0.08</v>
      </c>
      <c r="C56" t="str">
        <f t="shared" si="12"/>
        <v>Biomass</v>
      </c>
      <c r="D56" s="14"/>
      <c r="E56" s="14"/>
      <c r="F56" s="14"/>
      <c r="G56" s="14"/>
      <c r="I56" s="227">
        <f>IF('Investment Plan'!C72&gt;0,'Investment Plan'!C72,0)</f>
        <v>0</v>
      </c>
      <c r="J56" s="227">
        <f>IF('Investment Plan'!D72&gt;0,'Investment Plan'!D72,0)</f>
        <v>0</v>
      </c>
      <c r="K56" s="227">
        <f>IF('Investment Plan'!E72&gt;0,'Investment Plan'!E72,0)</f>
        <v>0</v>
      </c>
      <c r="L56" s="227">
        <f>IF('Investment Plan'!F72&gt;0,'Investment Plan'!F72,0)</f>
        <v>0</v>
      </c>
      <c r="M56" s="227">
        <f>IF('Investment Plan'!G72&gt;0,'Investment Plan'!G72,0)</f>
        <v>0</v>
      </c>
      <c r="N56" s="227">
        <f>IF('Investment Plan'!H72&gt;0,'Investment Plan'!H72,0)</f>
        <v>0</v>
      </c>
      <c r="O56" s="227">
        <f>IF('Investment Plan'!I72&gt;0,'Investment Plan'!I72,0)</f>
        <v>0</v>
      </c>
      <c r="P56" s="227">
        <f>IF('Investment Plan'!J72&gt;0,'Investment Plan'!J72,0)</f>
        <v>0</v>
      </c>
      <c r="Q56" s="227">
        <f>IF('Investment Plan'!K72&gt;0,'Investment Plan'!K72,0)</f>
        <v>0</v>
      </c>
      <c r="R56" s="227">
        <f>IF('Investment Plan'!L72&gt;0,'Investment Plan'!L72,0)</f>
        <v>0</v>
      </c>
      <c r="S56" s="227">
        <f>IF('Investment Plan'!M72&gt;0,'Investment Plan'!M72,0)</f>
        <v>0</v>
      </c>
      <c r="T56" s="227">
        <f>IF('Investment Plan'!N72&gt;0,'Investment Plan'!N72,0)</f>
        <v>0</v>
      </c>
      <c r="U56" s="227">
        <f>IF('Investment Plan'!O72&gt;0,'Investment Plan'!O72,0)</f>
        <v>0</v>
      </c>
      <c r="V56" s="227">
        <f>IF('Investment Plan'!P72&gt;0,'Investment Plan'!P72,0)</f>
        <v>0</v>
      </c>
      <c r="W56" s="227">
        <f>IF('Investment Plan'!Q72&gt;0,'Investment Plan'!Q72,0)</f>
        <v>0</v>
      </c>
      <c r="X56" s="227">
        <f>IF('Investment Plan'!R72&gt;0,'Investment Plan'!R72,0)</f>
        <v>0</v>
      </c>
      <c r="Y56" s="227">
        <f>IF('Investment Plan'!S72&gt;0,'Investment Plan'!S72,0)</f>
        <v>0</v>
      </c>
      <c r="Z56" s="227">
        <f>IF('Investment Plan'!T72&gt;0,'Investment Plan'!T72,0)</f>
        <v>0</v>
      </c>
      <c r="AA56" s="227">
        <f>IF('Investment Plan'!U72&gt;0,'Investment Plan'!U72,0)</f>
        <v>0</v>
      </c>
      <c r="AB56" s="227">
        <f>IF('Investment Plan'!V72&gt;0,'Investment Plan'!V72,0)</f>
        <v>0</v>
      </c>
      <c r="AC56" s="227">
        <f>IF('Investment Plan'!W72&gt;0,'Investment Plan'!W72,0)</f>
        <v>0</v>
      </c>
    </row>
    <row r="57" spans="2:29" ht="15">
      <c r="B57" s="228">
        <f>'Tech Parameters'!J13/1000</f>
        <v>0.79400000000000004</v>
      </c>
      <c r="C57" t="str">
        <f t="shared" si="12"/>
        <v>Supercritical coal</v>
      </c>
      <c r="D57" s="14"/>
      <c r="E57" s="14"/>
      <c r="F57" s="14"/>
      <c r="G57" s="14"/>
      <c r="I57" s="227">
        <f>IF('Investment Plan'!C73&gt;0,'Investment Plan'!C73,0)</f>
        <v>0</v>
      </c>
      <c r="J57" s="227">
        <f>IF('Investment Plan'!D73&gt;0,'Investment Plan'!D73,0)</f>
        <v>0</v>
      </c>
      <c r="K57" s="227">
        <f>IF('Investment Plan'!E73&gt;0,'Investment Plan'!E73,0)</f>
        <v>1</v>
      </c>
      <c r="L57" s="227">
        <f>IF('Investment Plan'!F73&gt;0,'Investment Plan'!F73,0)</f>
        <v>2</v>
      </c>
      <c r="M57" s="227">
        <f>IF('Investment Plan'!G73&gt;0,'Investment Plan'!G73,0)</f>
        <v>3</v>
      </c>
      <c r="N57" s="227">
        <f>IF('Investment Plan'!H73&gt;0,'Investment Plan'!H73,0)</f>
        <v>3</v>
      </c>
      <c r="O57" s="227">
        <f>IF('Investment Plan'!I73&gt;0,'Investment Plan'!I73,0)</f>
        <v>2</v>
      </c>
      <c r="P57" s="227">
        <f>IF('Investment Plan'!J73&gt;0,'Investment Plan'!J73,0)</f>
        <v>1</v>
      </c>
      <c r="Q57" s="227">
        <f>IF('Investment Plan'!K73&gt;0,'Investment Plan'!K73,0)</f>
        <v>0</v>
      </c>
      <c r="R57" s="227">
        <f>IF('Investment Plan'!L73&gt;0,'Investment Plan'!L73,0)</f>
        <v>0</v>
      </c>
      <c r="S57" s="227">
        <f>IF('Investment Plan'!M73&gt;0,'Investment Plan'!M73,0)</f>
        <v>0</v>
      </c>
      <c r="T57" s="227">
        <f>IF('Investment Plan'!N73&gt;0,'Investment Plan'!N73,0)</f>
        <v>0</v>
      </c>
      <c r="U57" s="227">
        <f>IF('Investment Plan'!O73&gt;0,'Investment Plan'!O73,0)</f>
        <v>0</v>
      </c>
      <c r="V57" s="227">
        <f>IF('Investment Plan'!P73&gt;0,'Investment Plan'!P73,0)</f>
        <v>0</v>
      </c>
      <c r="W57" s="227">
        <f>IF('Investment Plan'!Q73&gt;0,'Investment Plan'!Q73,0)</f>
        <v>0</v>
      </c>
      <c r="X57" s="227">
        <f>IF('Investment Plan'!R73&gt;0,'Investment Plan'!R73,0)</f>
        <v>0</v>
      </c>
      <c r="Y57" s="227">
        <f>IF('Investment Plan'!S73&gt;0,'Investment Plan'!S73,0)</f>
        <v>0</v>
      </c>
      <c r="Z57" s="227">
        <f>IF('Investment Plan'!T73&gt;0,'Investment Plan'!T73,0)</f>
        <v>0</v>
      </c>
      <c r="AA57" s="227">
        <f>IF('Investment Plan'!U73&gt;0,'Investment Plan'!U73,0)</f>
        <v>0</v>
      </c>
      <c r="AB57" s="227">
        <f>IF('Investment Plan'!V73&gt;0,'Investment Plan'!V73,0)</f>
        <v>0</v>
      </c>
      <c r="AC57" s="227">
        <f>IF('Investment Plan'!W73&gt;0,'Investment Plan'!W73,0)</f>
        <v>0</v>
      </c>
    </row>
    <row r="58" spans="2:29" ht="15">
      <c r="B58" s="228">
        <f>'Tech Parameters'!J14/1000</f>
        <v>1E-3</v>
      </c>
      <c r="C58" t="str">
        <f t="shared" si="12"/>
        <v xml:space="preserve">Wind 30% </v>
      </c>
      <c r="D58" s="14"/>
      <c r="E58" s="14"/>
      <c r="F58" s="14"/>
      <c r="G58" s="14"/>
      <c r="I58" s="227">
        <f>IF('Investment Plan'!C74&gt;0,'Investment Plan'!C74,0)</f>
        <v>100</v>
      </c>
      <c r="J58" s="227">
        <f>IF('Investment Plan'!D74&gt;0,'Investment Plan'!D74,0)</f>
        <v>200</v>
      </c>
      <c r="K58" s="227">
        <f>IF('Investment Plan'!E74&gt;0,'Investment Plan'!E74,0)</f>
        <v>200</v>
      </c>
      <c r="L58" s="227">
        <f>IF('Investment Plan'!F74&gt;0,'Investment Plan'!F74,0)</f>
        <v>400</v>
      </c>
      <c r="M58" s="227">
        <f>IF('Investment Plan'!G74&gt;0,'Investment Plan'!G74,0)</f>
        <v>400</v>
      </c>
      <c r="N58" s="227">
        <f>IF('Investment Plan'!H74&gt;0,'Investment Plan'!H74,0)</f>
        <v>800</v>
      </c>
      <c r="O58" s="227">
        <f>IF('Investment Plan'!I74&gt;0,'Investment Plan'!I74,0)</f>
        <v>800</v>
      </c>
      <c r="P58" s="227">
        <f>IF('Investment Plan'!J74&gt;0,'Investment Plan'!J74,0)</f>
        <v>1000</v>
      </c>
      <c r="Q58" s="227">
        <f>IF('Investment Plan'!K74&gt;0,'Investment Plan'!K74,0)</f>
        <v>1000</v>
      </c>
      <c r="R58" s="227">
        <f>IF('Investment Plan'!L74&gt;0,'Investment Plan'!L74,0)</f>
        <v>1500</v>
      </c>
      <c r="S58" s="227">
        <f>IF('Investment Plan'!M74&gt;0,'Investment Plan'!M74,0)</f>
        <v>1500</v>
      </c>
      <c r="T58" s="227">
        <f>IF('Investment Plan'!N74&gt;0,'Investment Plan'!N74,0)</f>
        <v>2000</v>
      </c>
      <c r="U58" s="227">
        <f>IF('Investment Plan'!O74&gt;0,'Investment Plan'!O74,0)</f>
        <v>0</v>
      </c>
      <c r="V58" s="227">
        <f>IF('Investment Plan'!P74&gt;0,'Investment Plan'!P74,0)</f>
        <v>0</v>
      </c>
      <c r="W58" s="227">
        <f>IF('Investment Plan'!Q74&gt;0,'Investment Plan'!Q74,0)</f>
        <v>0</v>
      </c>
      <c r="X58" s="227">
        <f>IF('Investment Plan'!R74&gt;0,'Investment Plan'!R74,0)</f>
        <v>0</v>
      </c>
      <c r="Y58" s="227">
        <f>IF('Investment Plan'!S74&gt;0,'Investment Plan'!S74,0)</f>
        <v>0</v>
      </c>
      <c r="Z58" s="227">
        <f>IF('Investment Plan'!T74&gt;0,'Investment Plan'!T74,0)</f>
        <v>0</v>
      </c>
      <c r="AA58" s="227">
        <f>IF('Investment Plan'!U74&gt;0,'Investment Plan'!U74,0)</f>
        <v>0</v>
      </c>
      <c r="AB58" s="227">
        <f>IF('Investment Plan'!V74&gt;0,'Investment Plan'!V74,0)</f>
        <v>0</v>
      </c>
      <c r="AC58" s="227">
        <f>IF('Investment Plan'!W74&gt;0,'Investment Plan'!W74,0)</f>
        <v>0</v>
      </c>
    </row>
    <row r="59" spans="2:29" ht="15">
      <c r="B59" s="228">
        <f>'Tech Parameters'!J15/1000</f>
        <v>1E-3</v>
      </c>
      <c r="C59" t="str">
        <f t="shared" si="12"/>
        <v>Wind 25%</v>
      </c>
      <c r="D59" s="14"/>
      <c r="E59" s="14"/>
      <c r="F59" s="14"/>
      <c r="G59" s="14"/>
      <c r="I59" s="227">
        <f>IF('Investment Plan'!C75&gt;0,'Investment Plan'!C75,0)</f>
        <v>0</v>
      </c>
      <c r="J59" s="227">
        <f>IF('Investment Plan'!D75&gt;0,'Investment Plan'!D75,0)</f>
        <v>0</v>
      </c>
      <c r="K59" s="227">
        <f>IF('Investment Plan'!E75&gt;0,'Investment Plan'!E75,0)</f>
        <v>0</v>
      </c>
      <c r="L59" s="227">
        <f>IF('Investment Plan'!F75&gt;0,'Investment Plan'!F75,0)</f>
        <v>0</v>
      </c>
      <c r="M59" s="227">
        <f>IF('Investment Plan'!G75&gt;0,'Investment Plan'!G75,0)</f>
        <v>0</v>
      </c>
      <c r="N59" s="227">
        <f>IF('Investment Plan'!H75&gt;0,'Investment Plan'!H75,0)</f>
        <v>0</v>
      </c>
      <c r="O59" s="227">
        <f>IF('Investment Plan'!I75&gt;0,'Investment Plan'!I75,0)</f>
        <v>0</v>
      </c>
      <c r="P59" s="227">
        <f>IF('Investment Plan'!J75&gt;0,'Investment Plan'!J75,0)</f>
        <v>0</v>
      </c>
      <c r="Q59" s="227">
        <f>IF('Investment Plan'!K75&gt;0,'Investment Plan'!K75,0)</f>
        <v>0</v>
      </c>
      <c r="R59" s="227">
        <f>IF('Investment Plan'!L75&gt;0,'Investment Plan'!L75,0)</f>
        <v>0</v>
      </c>
      <c r="S59" s="227">
        <f>IF('Investment Plan'!M75&gt;0,'Investment Plan'!M75,0)</f>
        <v>0</v>
      </c>
      <c r="T59" s="227">
        <f>IF('Investment Plan'!N75&gt;0,'Investment Plan'!N75,0)</f>
        <v>0</v>
      </c>
      <c r="U59" s="227">
        <f>IF('Investment Plan'!O75&gt;0,'Investment Plan'!O75,0)</f>
        <v>1000</v>
      </c>
      <c r="V59" s="227">
        <f>IF('Investment Plan'!P75&gt;0,'Investment Plan'!P75,0)</f>
        <v>1000</v>
      </c>
      <c r="W59" s="227">
        <f>IF('Investment Plan'!Q75&gt;0,'Investment Plan'!Q75,0)</f>
        <v>1000</v>
      </c>
      <c r="X59" s="227">
        <f>IF('Investment Plan'!R75&gt;0,'Investment Plan'!R75,0)</f>
        <v>1000</v>
      </c>
      <c r="Y59" s="227">
        <f>IF('Investment Plan'!S75&gt;0,'Investment Plan'!S75,0)</f>
        <v>1000</v>
      </c>
      <c r="Z59" s="227">
        <f>IF('Investment Plan'!T75&gt;0,'Investment Plan'!T75,0)</f>
        <v>1000</v>
      </c>
      <c r="AA59" s="227">
        <f>IF('Investment Plan'!U75&gt;0,'Investment Plan'!U75,0)</f>
        <v>1000</v>
      </c>
      <c r="AB59" s="227">
        <f>IF('Investment Plan'!V75&gt;0,'Investment Plan'!V75,0)</f>
        <v>1000</v>
      </c>
      <c r="AC59" s="227">
        <f>IF('Investment Plan'!W75&gt;0,'Investment Plan'!W75,0)</f>
        <v>1000</v>
      </c>
    </row>
    <row r="60" spans="2:29" ht="15">
      <c r="B60" s="228">
        <f>'Tech Parameters'!J16/1000</f>
        <v>0.1</v>
      </c>
      <c r="C60" t="str">
        <f t="shared" si="12"/>
        <v>solar thermal central reciever</v>
      </c>
      <c r="D60" s="14"/>
      <c r="E60" s="14"/>
      <c r="F60" s="14"/>
      <c r="G60" s="14"/>
      <c r="I60" s="227">
        <f>IF('Investment Plan'!C76&gt;0,'Investment Plan'!C76,0)</f>
        <v>0</v>
      </c>
      <c r="J60" s="227">
        <f>IF('Investment Plan'!D76&gt;0,'Investment Plan'!D76,0)</f>
        <v>0</v>
      </c>
      <c r="K60" s="227">
        <f>IF('Investment Plan'!E76&gt;0,'Investment Plan'!E76,0)</f>
        <v>0</v>
      </c>
      <c r="L60" s="227">
        <f>IF('Investment Plan'!F76&gt;0,'Investment Plan'!F76,0)</f>
        <v>0</v>
      </c>
      <c r="M60" s="227">
        <f>IF('Investment Plan'!G76&gt;0,'Investment Plan'!G76,0)</f>
        <v>0</v>
      </c>
      <c r="N60" s="227">
        <f>IF('Investment Plan'!H76&gt;0,'Investment Plan'!H76,0)</f>
        <v>1</v>
      </c>
      <c r="O60" s="227">
        <f>IF('Investment Plan'!I76&gt;0,'Investment Plan'!I76,0)</f>
        <v>2</v>
      </c>
      <c r="P60" s="227">
        <f>IF('Investment Plan'!J76&gt;0,'Investment Plan'!J76,0)</f>
        <v>4</v>
      </c>
      <c r="Q60" s="227">
        <f>IF('Investment Plan'!K76&gt;0,'Investment Plan'!K76,0)</f>
        <v>8</v>
      </c>
      <c r="R60" s="227">
        <f>IF('Investment Plan'!L76&gt;0,'Investment Plan'!L76,0)</f>
        <v>12</v>
      </c>
      <c r="S60" s="227">
        <f>IF('Investment Plan'!M76&gt;0,'Investment Plan'!M76,0)</f>
        <v>16</v>
      </c>
      <c r="T60" s="227">
        <f>IF('Investment Plan'!N76&gt;0,'Investment Plan'!N76,0)</f>
        <v>20</v>
      </c>
      <c r="U60" s="227">
        <f>IF('Investment Plan'!O76&gt;0,'Investment Plan'!O76,0)</f>
        <v>20</v>
      </c>
      <c r="V60" s="227">
        <f>IF('Investment Plan'!P76&gt;0,'Investment Plan'!P76,0)</f>
        <v>30</v>
      </c>
      <c r="W60" s="227">
        <f>IF('Investment Plan'!Q76&gt;0,'Investment Plan'!Q76,0)</f>
        <v>30</v>
      </c>
      <c r="X60" s="227">
        <f>IF('Investment Plan'!R76&gt;0,'Investment Plan'!R76,0)</f>
        <v>30</v>
      </c>
      <c r="Y60" s="227">
        <f>IF('Investment Plan'!S76&gt;0,'Investment Plan'!S76,0)</f>
        <v>30</v>
      </c>
      <c r="Z60" s="227">
        <f>IF('Investment Plan'!T76&gt;0,'Investment Plan'!T76,0)</f>
        <v>30</v>
      </c>
      <c r="AA60" s="227">
        <f>IF('Investment Plan'!U76&gt;0,'Investment Plan'!U76,0)</f>
        <v>30</v>
      </c>
      <c r="AB60" s="227">
        <f>IF('Investment Plan'!V76&gt;0,'Investment Plan'!V76,0)</f>
        <v>30</v>
      </c>
      <c r="AC60" s="227">
        <f>IF('Investment Plan'!W76&gt;0,'Investment Plan'!W76,0)</f>
        <v>30</v>
      </c>
    </row>
    <row r="61" spans="2:29" ht="15">
      <c r="B61" s="228">
        <f>'Tech Parameters'!J17/1000</f>
        <v>0.1</v>
      </c>
      <c r="C61" t="str">
        <f t="shared" si="12"/>
        <v>solar thermal trough</v>
      </c>
      <c r="D61" s="14"/>
      <c r="E61" s="14"/>
      <c r="F61" s="14"/>
      <c r="G61" s="14"/>
      <c r="I61" s="227">
        <f>IF('Investment Plan'!C77&gt;0,'Investment Plan'!C77,0)</f>
        <v>0</v>
      </c>
      <c r="J61" s="227">
        <f>IF('Investment Plan'!D77&gt;0,'Investment Plan'!D77,0)</f>
        <v>0</v>
      </c>
      <c r="K61" s="227">
        <f>IF('Investment Plan'!E77&gt;0,'Investment Plan'!E77,0)</f>
        <v>0</v>
      </c>
      <c r="L61" s="227">
        <f>IF('Investment Plan'!F77&gt;0,'Investment Plan'!F77,0)</f>
        <v>0</v>
      </c>
      <c r="M61" s="227">
        <f>IF('Investment Plan'!G77&gt;0,'Investment Plan'!G77,0)</f>
        <v>0</v>
      </c>
      <c r="N61" s="227">
        <f>IF('Investment Plan'!H77&gt;0,'Investment Plan'!H77,0)</f>
        <v>0</v>
      </c>
      <c r="O61" s="227">
        <f>IF('Investment Plan'!I77&gt;0,'Investment Plan'!I77,0)</f>
        <v>0</v>
      </c>
      <c r="P61" s="227">
        <f>IF('Investment Plan'!J77&gt;0,'Investment Plan'!J77,0)</f>
        <v>0</v>
      </c>
      <c r="Q61" s="227">
        <f>IF('Investment Plan'!K77&gt;0,'Investment Plan'!K77,0)</f>
        <v>0</v>
      </c>
      <c r="R61" s="227">
        <f>IF('Investment Plan'!L77&gt;0,'Investment Plan'!L77,0)</f>
        <v>0</v>
      </c>
      <c r="S61" s="227">
        <f>IF('Investment Plan'!M77&gt;0,'Investment Plan'!M77,0)</f>
        <v>0</v>
      </c>
      <c r="T61" s="227">
        <f>IF('Investment Plan'!N77&gt;0,'Investment Plan'!N77,0)</f>
        <v>0</v>
      </c>
      <c r="U61" s="227">
        <f>IF('Investment Plan'!O77&gt;0,'Investment Plan'!O77,0)</f>
        <v>0</v>
      </c>
      <c r="V61" s="227">
        <f>IF('Investment Plan'!P77&gt;0,'Investment Plan'!P77,0)</f>
        <v>0</v>
      </c>
      <c r="W61" s="227">
        <f>IF('Investment Plan'!Q77&gt;0,'Investment Plan'!Q77,0)</f>
        <v>0</v>
      </c>
      <c r="X61" s="227">
        <f>IF('Investment Plan'!R77&gt;0,'Investment Plan'!R77,0)</f>
        <v>0</v>
      </c>
      <c r="Y61" s="227">
        <f>IF('Investment Plan'!S77&gt;0,'Investment Plan'!S77,0)</f>
        <v>0</v>
      </c>
      <c r="Z61" s="227">
        <f>IF('Investment Plan'!T77&gt;0,'Investment Plan'!T77,0)</f>
        <v>0</v>
      </c>
      <c r="AA61" s="227">
        <f>IF('Investment Plan'!U77&gt;0,'Investment Plan'!U77,0)</f>
        <v>0</v>
      </c>
      <c r="AB61" s="227">
        <f>IF('Investment Plan'!V77&gt;0,'Investment Plan'!V77,0)</f>
        <v>0</v>
      </c>
      <c r="AC61" s="227">
        <f>IF('Investment Plan'!W77&gt;0,'Investment Plan'!W77,0)</f>
        <v>0</v>
      </c>
    </row>
    <row r="62" spans="2:29" ht="15">
      <c r="B62" s="228">
        <f>'Tech Parameters'!J18/1000</f>
        <v>5.0000000000000001E-3</v>
      </c>
      <c r="C62" t="str">
        <f t="shared" si="12"/>
        <v>solar PV</v>
      </c>
      <c r="D62" s="14"/>
      <c r="E62" s="14"/>
      <c r="F62" s="14"/>
      <c r="G62" s="14"/>
      <c r="I62" s="227">
        <f>IF('Investment Plan'!C78&gt;0,'Investment Plan'!C78,0)</f>
        <v>0</v>
      </c>
      <c r="J62" s="227">
        <f>IF('Investment Plan'!D78&gt;0,'Investment Plan'!D78,0)</f>
        <v>0</v>
      </c>
      <c r="K62" s="227">
        <f>IF('Investment Plan'!E78&gt;0,'Investment Plan'!E78,0)</f>
        <v>0</v>
      </c>
      <c r="L62" s="227">
        <f>IF('Investment Plan'!F78&gt;0,'Investment Plan'!F78,0)</f>
        <v>0</v>
      </c>
      <c r="M62" s="227">
        <f>IF('Investment Plan'!G78&gt;0,'Investment Plan'!G78,0)</f>
        <v>0</v>
      </c>
      <c r="N62" s="227">
        <f>IF('Investment Plan'!H78&gt;0,'Investment Plan'!H78,0)</f>
        <v>0</v>
      </c>
      <c r="O62" s="227">
        <f>IF('Investment Plan'!I78&gt;0,'Investment Plan'!I78,0)</f>
        <v>0</v>
      </c>
      <c r="P62" s="227">
        <f>IF('Investment Plan'!J78&gt;0,'Investment Plan'!J78,0)</f>
        <v>0</v>
      </c>
      <c r="Q62" s="227">
        <f>IF('Investment Plan'!K78&gt;0,'Investment Plan'!K78,0)</f>
        <v>0</v>
      </c>
      <c r="R62" s="227">
        <f>IF('Investment Plan'!L78&gt;0,'Investment Plan'!L78,0)</f>
        <v>0</v>
      </c>
      <c r="S62" s="227">
        <f>IF('Investment Plan'!M78&gt;0,'Investment Plan'!M78,0)</f>
        <v>0</v>
      </c>
      <c r="T62" s="227">
        <f>IF('Investment Plan'!N78&gt;0,'Investment Plan'!N78,0)</f>
        <v>0</v>
      </c>
      <c r="U62" s="227">
        <f>IF('Investment Plan'!O78&gt;0,'Investment Plan'!O78,0)</f>
        <v>0</v>
      </c>
      <c r="V62" s="227">
        <f>IF('Investment Plan'!P78&gt;0,'Investment Plan'!P78,0)</f>
        <v>0</v>
      </c>
      <c r="W62" s="227">
        <f>IF('Investment Plan'!Q78&gt;0,'Investment Plan'!Q78,0)</f>
        <v>0</v>
      </c>
      <c r="X62" s="227">
        <f>IF('Investment Plan'!R78&gt;0,'Investment Plan'!R78,0)</f>
        <v>0</v>
      </c>
      <c r="Y62" s="227">
        <f>IF('Investment Plan'!S78&gt;0,'Investment Plan'!S78,0)</f>
        <v>0</v>
      </c>
      <c r="Z62" s="227">
        <f>IF('Investment Plan'!T78&gt;0,'Investment Plan'!T78,0)</f>
        <v>0</v>
      </c>
      <c r="AA62" s="227">
        <f>IF('Investment Plan'!U78&gt;0,'Investment Plan'!U78,0)</f>
        <v>0</v>
      </c>
      <c r="AB62" s="227">
        <f>IF('Investment Plan'!V78&gt;0,'Investment Plan'!V78,0)</f>
        <v>0</v>
      </c>
      <c r="AC62" s="227">
        <f>IF('Investment Plan'!W78&gt;0,'Investment Plan'!W78,0)</f>
        <v>0</v>
      </c>
    </row>
    <row r="63" spans="2:29" ht="15">
      <c r="B63" s="228">
        <f>'Tech Parameters'!J19/1000</f>
        <v>0.38700000000000001</v>
      </c>
      <c r="C63" t="str">
        <f t="shared" si="12"/>
        <v>combined cycle gas</v>
      </c>
      <c r="D63" s="14"/>
      <c r="E63" s="14"/>
      <c r="F63" s="14"/>
      <c r="G63" s="14"/>
      <c r="I63" s="227">
        <f>IF('Investment Plan'!C79&gt;0,'Investment Plan'!C79,0)</f>
        <v>0</v>
      </c>
      <c r="J63" s="227">
        <f>IF('Investment Plan'!D79&gt;0,'Investment Plan'!D79,0)</f>
        <v>0</v>
      </c>
      <c r="K63" s="227">
        <f>IF('Investment Plan'!E79&gt;0,'Investment Plan'!E79,0)</f>
        <v>0</v>
      </c>
      <c r="L63" s="227">
        <f>IF('Investment Plan'!F79&gt;0,'Investment Plan'!F79,0)</f>
        <v>0</v>
      </c>
      <c r="M63" s="227">
        <f>IF('Investment Plan'!G79&gt;0,'Investment Plan'!G79,0)</f>
        <v>0</v>
      </c>
      <c r="N63" s="227">
        <f>IF('Investment Plan'!H79&gt;0,'Investment Plan'!H79,0)</f>
        <v>0</v>
      </c>
      <c r="O63" s="227">
        <f>IF('Investment Plan'!I79&gt;0,'Investment Plan'!I79,0)</f>
        <v>0</v>
      </c>
      <c r="P63" s="227">
        <f>IF('Investment Plan'!J79&gt;0,'Investment Plan'!J79,0)</f>
        <v>0</v>
      </c>
      <c r="Q63" s="227">
        <f>IF('Investment Plan'!K79&gt;0,'Investment Plan'!K79,0)</f>
        <v>0</v>
      </c>
      <c r="R63" s="227">
        <f>IF('Investment Plan'!L79&gt;0,'Investment Plan'!L79,0)</f>
        <v>0</v>
      </c>
      <c r="S63" s="227">
        <f>IF('Investment Plan'!M79&gt;0,'Investment Plan'!M79,0)</f>
        <v>0</v>
      </c>
      <c r="T63" s="227">
        <f>IF('Investment Plan'!N79&gt;0,'Investment Plan'!N79,0)</f>
        <v>0</v>
      </c>
      <c r="U63" s="227">
        <f>IF('Investment Plan'!O79&gt;0,'Investment Plan'!O79,0)</f>
        <v>0</v>
      </c>
      <c r="V63" s="227">
        <f>IF('Investment Plan'!P79&gt;0,'Investment Plan'!P79,0)</f>
        <v>0</v>
      </c>
      <c r="W63" s="227">
        <f>IF('Investment Plan'!Q79&gt;0,'Investment Plan'!Q79,0)</f>
        <v>0</v>
      </c>
      <c r="X63" s="227">
        <f>IF('Investment Plan'!R79&gt;0,'Investment Plan'!R79,0)</f>
        <v>0</v>
      </c>
      <c r="Y63" s="227">
        <f>IF('Investment Plan'!S79&gt;0,'Investment Plan'!S79,0)</f>
        <v>0</v>
      </c>
      <c r="Z63" s="227">
        <f>IF('Investment Plan'!T79&gt;0,'Investment Plan'!T79,0)</f>
        <v>2</v>
      </c>
      <c r="AA63" s="227">
        <f>IF('Investment Plan'!U79&gt;0,'Investment Plan'!U79,0)</f>
        <v>3</v>
      </c>
      <c r="AB63" s="227">
        <f>IF('Investment Plan'!V79&gt;0,'Investment Plan'!V79,0)</f>
        <v>3</v>
      </c>
      <c r="AC63" s="227">
        <f>IF('Investment Plan'!W79&gt;0,'Investment Plan'!W79,0)</f>
        <v>0</v>
      </c>
    </row>
    <row r="64" spans="2:29" ht="15">
      <c r="B64" s="228">
        <f>'Tech Parameters'!J20/1000</f>
        <v>0.16500000000000001</v>
      </c>
      <c r="C64" t="str">
        <f t="shared" si="12"/>
        <v>PBMR</v>
      </c>
      <c r="D64" s="14"/>
      <c r="E64" s="14"/>
      <c r="F64" s="14"/>
      <c r="G64" s="14"/>
      <c r="I64" s="227">
        <f>IF('Investment Plan'!C80&gt;0,'Investment Plan'!C80,0)</f>
        <v>0</v>
      </c>
      <c r="J64" s="227">
        <f>IF('Investment Plan'!D80&gt;0,'Investment Plan'!D80,0)</f>
        <v>0</v>
      </c>
      <c r="K64" s="227">
        <f>IF('Investment Plan'!E80&gt;0,'Investment Plan'!E80,0)</f>
        <v>0</v>
      </c>
      <c r="L64" s="227">
        <f>IF('Investment Plan'!F80&gt;0,'Investment Plan'!F80,0)</f>
        <v>0</v>
      </c>
      <c r="M64" s="227">
        <f>IF('Investment Plan'!G80&gt;0,'Investment Plan'!G80,0)</f>
        <v>0</v>
      </c>
      <c r="N64" s="227">
        <f>IF('Investment Plan'!H80&gt;0,'Investment Plan'!H80,0)</f>
        <v>0</v>
      </c>
      <c r="O64" s="227">
        <f>IF('Investment Plan'!I80&gt;0,'Investment Plan'!I80,0)</f>
        <v>0</v>
      </c>
      <c r="P64" s="227">
        <f>IF('Investment Plan'!J80&gt;0,'Investment Plan'!J80,0)</f>
        <v>0</v>
      </c>
      <c r="Q64" s="227">
        <f>IF('Investment Plan'!K80&gt;0,'Investment Plan'!K80,0)</f>
        <v>0</v>
      </c>
      <c r="R64" s="227">
        <f>IF('Investment Plan'!L80&gt;0,'Investment Plan'!L80,0)</f>
        <v>0</v>
      </c>
      <c r="S64" s="227">
        <f>IF('Investment Plan'!M80&gt;0,'Investment Plan'!M80,0)</f>
        <v>0</v>
      </c>
      <c r="T64" s="227">
        <f>IF('Investment Plan'!N80&gt;0,'Investment Plan'!N80,0)</f>
        <v>0</v>
      </c>
      <c r="U64" s="227">
        <f>IF('Investment Plan'!O80&gt;0,'Investment Plan'!O80,0)</f>
        <v>0</v>
      </c>
      <c r="V64" s="227">
        <f>IF('Investment Plan'!P80&gt;0,'Investment Plan'!P80,0)</f>
        <v>0</v>
      </c>
      <c r="W64" s="227">
        <f>IF('Investment Plan'!Q80&gt;0,'Investment Plan'!Q80,0)</f>
        <v>0</v>
      </c>
      <c r="X64" s="227">
        <f>IF('Investment Plan'!R80&gt;0,'Investment Plan'!R80,0)</f>
        <v>0</v>
      </c>
      <c r="Y64" s="227">
        <f>IF('Investment Plan'!S80&gt;0,'Investment Plan'!S80,0)</f>
        <v>0</v>
      </c>
      <c r="Z64" s="227">
        <f>IF('Investment Plan'!T80&gt;0,'Investment Plan'!T80,0)</f>
        <v>0</v>
      </c>
      <c r="AA64" s="227">
        <f>IF('Investment Plan'!U80&gt;0,'Investment Plan'!U80,0)</f>
        <v>0</v>
      </c>
      <c r="AB64" s="227">
        <f>IF('Investment Plan'!V80&gt;0,'Investment Plan'!V80,0)</f>
        <v>0</v>
      </c>
      <c r="AC64" s="227">
        <f>IF('Investment Plan'!W80&gt;0,'Investment Plan'!W80,0)</f>
        <v>0</v>
      </c>
    </row>
    <row r="65" spans="2:29" ht="15">
      <c r="B65" s="228">
        <f>'Tech Parameters'!J21/1000</f>
        <v>0.55000000000000004</v>
      </c>
      <c r="C65" t="str">
        <f t="shared" si="12"/>
        <v>IGCC</v>
      </c>
      <c r="D65" s="14"/>
      <c r="E65" s="14"/>
      <c r="F65" s="14"/>
      <c r="G65" s="14"/>
      <c r="I65" s="227">
        <f>IF('Investment Plan'!C81&gt;0,'Investment Plan'!C81,0)</f>
        <v>0</v>
      </c>
      <c r="J65" s="227">
        <f>IF('Investment Plan'!D81&gt;0,'Investment Plan'!D81,0)</f>
        <v>0</v>
      </c>
      <c r="K65" s="227">
        <f>IF('Investment Plan'!E81&gt;0,'Investment Plan'!E81,0)</f>
        <v>0</v>
      </c>
      <c r="L65" s="227">
        <f>IF('Investment Plan'!F81&gt;0,'Investment Plan'!F81,0)</f>
        <v>0</v>
      </c>
      <c r="M65" s="227">
        <f>IF('Investment Plan'!G81&gt;0,'Investment Plan'!G81,0)</f>
        <v>0</v>
      </c>
      <c r="N65" s="227">
        <f>IF('Investment Plan'!H81&gt;0,'Investment Plan'!H81,0)</f>
        <v>0</v>
      </c>
      <c r="O65" s="227">
        <f>IF('Investment Plan'!I81&gt;0,'Investment Plan'!I81,0)</f>
        <v>0</v>
      </c>
      <c r="P65" s="227">
        <f>IF('Investment Plan'!J81&gt;0,'Investment Plan'!J81,0)</f>
        <v>0</v>
      </c>
      <c r="Q65" s="227">
        <f>IF('Investment Plan'!K81&gt;0,'Investment Plan'!K81,0)</f>
        <v>0</v>
      </c>
      <c r="R65" s="227">
        <f>IF('Investment Plan'!L81&gt;0,'Investment Plan'!L81,0)</f>
        <v>0</v>
      </c>
      <c r="S65" s="227">
        <f>IF('Investment Plan'!M81&gt;0,'Investment Plan'!M81,0)</f>
        <v>0</v>
      </c>
      <c r="T65" s="227">
        <f>IF('Investment Plan'!N81&gt;0,'Investment Plan'!N81,0)</f>
        <v>0</v>
      </c>
      <c r="U65" s="227">
        <f>IF('Investment Plan'!O81&gt;0,'Investment Plan'!O81,0)</f>
        <v>0</v>
      </c>
      <c r="V65" s="227">
        <f>IF('Investment Plan'!P81&gt;0,'Investment Plan'!P81,0)</f>
        <v>0</v>
      </c>
      <c r="W65" s="227">
        <f>IF('Investment Plan'!Q81&gt;0,'Investment Plan'!Q81,0)</f>
        <v>0</v>
      </c>
      <c r="X65" s="227">
        <f>IF('Investment Plan'!R81&gt;0,'Investment Plan'!R81,0)</f>
        <v>0</v>
      </c>
      <c r="Y65" s="227">
        <f>IF('Investment Plan'!S81&gt;0,'Investment Plan'!S81,0)</f>
        <v>0</v>
      </c>
      <c r="Z65" s="227">
        <f>IF('Investment Plan'!T81&gt;0,'Investment Plan'!T81,0)</f>
        <v>0</v>
      </c>
      <c r="AA65" s="227">
        <f>IF('Investment Plan'!U81&gt;0,'Investment Plan'!U81,0)</f>
        <v>0</v>
      </c>
      <c r="AB65" s="227">
        <f>IF('Investment Plan'!V81&gt;0,'Investment Plan'!V81,0)</f>
        <v>1</v>
      </c>
      <c r="AC65" s="227">
        <f>IF('Investment Plan'!W81&gt;0,'Investment Plan'!W81,0)</f>
        <v>1</v>
      </c>
    </row>
    <row r="66" spans="2:29" ht="15">
      <c r="B66" s="228">
        <f>'Tech Parameters'!J22/1000</f>
        <v>0</v>
      </c>
      <c r="C66" t="str">
        <f t="shared" si="12"/>
        <v>-</v>
      </c>
      <c r="D66" s="14"/>
      <c r="E66" s="14"/>
      <c r="F66" s="14"/>
      <c r="G66" s="14"/>
      <c r="I66" s="227">
        <f>IF('Investment Plan'!C82&gt;0,'Investment Plan'!C82,0)</f>
        <v>0</v>
      </c>
      <c r="J66" s="227">
        <f>IF('Investment Plan'!D82&gt;0,'Investment Plan'!D82,0)</f>
        <v>0</v>
      </c>
      <c r="K66" s="227">
        <f>IF('Investment Plan'!E82&gt;0,'Investment Plan'!E82,0)</f>
        <v>0</v>
      </c>
      <c r="L66" s="227">
        <f>IF('Investment Plan'!F82&gt;0,'Investment Plan'!F82,0)</f>
        <v>0</v>
      </c>
      <c r="M66" s="227">
        <f>IF('Investment Plan'!G82&gt;0,'Investment Plan'!G82,0)</f>
        <v>0</v>
      </c>
      <c r="N66" s="227">
        <f>IF('Investment Plan'!H82&gt;0,'Investment Plan'!H82,0)</f>
        <v>0</v>
      </c>
      <c r="O66" s="227">
        <f>IF('Investment Plan'!I82&gt;0,'Investment Plan'!I82,0)</f>
        <v>0</v>
      </c>
      <c r="P66" s="227">
        <f>IF('Investment Plan'!J82&gt;0,'Investment Plan'!J82,0)</f>
        <v>0</v>
      </c>
      <c r="Q66" s="227">
        <f>IF('Investment Plan'!K82&gt;0,'Investment Plan'!K82,0)</f>
        <v>0</v>
      </c>
      <c r="R66" s="227">
        <f>IF('Investment Plan'!L82&gt;0,'Investment Plan'!L82,0)</f>
        <v>0</v>
      </c>
      <c r="S66" s="227">
        <f>IF('Investment Plan'!M82&gt;0,'Investment Plan'!M82,0)</f>
        <v>0</v>
      </c>
      <c r="T66" s="227">
        <f>IF('Investment Plan'!N82&gt;0,'Investment Plan'!N82,0)</f>
        <v>0</v>
      </c>
      <c r="U66" s="227">
        <f>IF('Investment Plan'!O82&gt;0,'Investment Plan'!O82,0)</f>
        <v>0</v>
      </c>
      <c r="V66" s="227">
        <f>IF('Investment Plan'!P82&gt;0,'Investment Plan'!P82,0)</f>
        <v>0</v>
      </c>
      <c r="W66" s="227">
        <f>IF('Investment Plan'!Q82&gt;0,'Investment Plan'!Q82,0)</f>
        <v>0</v>
      </c>
      <c r="X66" s="227">
        <f>IF('Investment Plan'!R82&gt;0,'Investment Plan'!R82,0)</f>
        <v>0</v>
      </c>
      <c r="Y66" s="227">
        <f>IF('Investment Plan'!S82&gt;0,'Investment Plan'!S82,0)</f>
        <v>0</v>
      </c>
      <c r="Z66" s="227">
        <f>IF('Investment Plan'!T82&gt;0,'Investment Plan'!T82,0)</f>
        <v>0</v>
      </c>
      <c r="AA66" s="227">
        <f>IF('Investment Plan'!U82&gt;0,'Investment Plan'!U82,0)</f>
        <v>0</v>
      </c>
      <c r="AB66" s="227">
        <f>IF('Investment Plan'!V82&gt;0,'Investment Plan'!V82,0)</f>
        <v>0</v>
      </c>
      <c r="AC66" s="227">
        <f>IF('Investment Plan'!W82&gt;0,'Investment Plan'!W82,0)</f>
        <v>0</v>
      </c>
    </row>
    <row r="67" spans="2:29" ht="15">
      <c r="B67" s="228">
        <f>'Tech Parameters'!J23/1000</f>
        <v>0</v>
      </c>
      <c r="C67" t="str">
        <f t="shared" si="12"/>
        <v>-</v>
      </c>
      <c r="D67" s="14"/>
      <c r="E67" s="14"/>
      <c r="F67" s="14"/>
      <c r="G67" s="14"/>
      <c r="I67" s="227">
        <f>IF('Investment Plan'!C83&gt;0,'Investment Plan'!C83,0)</f>
        <v>0</v>
      </c>
      <c r="J67" s="227">
        <f>IF('Investment Plan'!D83&gt;0,'Investment Plan'!D83,0)</f>
        <v>0</v>
      </c>
      <c r="K67" s="227">
        <f>IF('Investment Plan'!E83&gt;0,'Investment Plan'!E83,0)</f>
        <v>0</v>
      </c>
      <c r="L67" s="227">
        <f>IF('Investment Plan'!F83&gt;0,'Investment Plan'!F83,0)</f>
        <v>0</v>
      </c>
      <c r="M67" s="227">
        <f>IF('Investment Plan'!G83&gt;0,'Investment Plan'!G83,0)</f>
        <v>0</v>
      </c>
      <c r="N67" s="227">
        <f>IF('Investment Plan'!H83&gt;0,'Investment Plan'!H83,0)</f>
        <v>0</v>
      </c>
      <c r="O67" s="227">
        <f>IF('Investment Plan'!I83&gt;0,'Investment Plan'!I83,0)</f>
        <v>0</v>
      </c>
      <c r="P67" s="227">
        <f>IF('Investment Plan'!J83&gt;0,'Investment Plan'!J83,0)</f>
        <v>0</v>
      </c>
      <c r="Q67" s="227">
        <f>IF('Investment Plan'!K83&gt;0,'Investment Plan'!K83,0)</f>
        <v>0</v>
      </c>
      <c r="R67" s="227">
        <f>IF('Investment Plan'!L83&gt;0,'Investment Plan'!L83,0)</f>
        <v>0</v>
      </c>
      <c r="S67" s="227">
        <f>IF('Investment Plan'!M83&gt;0,'Investment Plan'!M83,0)</f>
        <v>0</v>
      </c>
      <c r="T67" s="227">
        <f>IF('Investment Plan'!N83&gt;0,'Investment Plan'!N83,0)</f>
        <v>0</v>
      </c>
      <c r="U67" s="227">
        <f>IF('Investment Plan'!O83&gt;0,'Investment Plan'!O83,0)</f>
        <v>0</v>
      </c>
      <c r="V67" s="227">
        <f>IF('Investment Plan'!P83&gt;0,'Investment Plan'!P83,0)</f>
        <v>0</v>
      </c>
      <c r="W67" s="227">
        <f>IF('Investment Plan'!Q83&gt;0,'Investment Plan'!Q83,0)</f>
        <v>0</v>
      </c>
      <c r="X67" s="227">
        <f>IF('Investment Plan'!R83&gt;0,'Investment Plan'!R83,0)</f>
        <v>0</v>
      </c>
      <c r="Y67" s="227">
        <f>IF('Investment Plan'!S83&gt;0,'Investment Plan'!S83,0)</f>
        <v>0</v>
      </c>
      <c r="Z67" s="227">
        <f>IF('Investment Plan'!T83&gt;0,'Investment Plan'!T83,0)</f>
        <v>0</v>
      </c>
      <c r="AA67" s="227">
        <f>IF('Investment Plan'!U83&gt;0,'Investment Plan'!U83,0)</f>
        <v>0</v>
      </c>
      <c r="AB67" s="227">
        <f>IF('Investment Plan'!V83&gt;0,'Investment Plan'!V83,0)</f>
        <v>0</v>
      </c>
      <c r="AC67" s="227">
        <f>IF('Investment Plan'!W83&gt;0,'Investment Plan'!W83,0)</f>
        <v>0</v>
      </c>
    </row>
    <row r="68" spans="2:29" ht="15">
      <c r="B68" s="228">
        <f>'Tech Parameters'!J24/1000</f>
        <v>0</v>
      </c>
      <c r="C68" t="str">
        <f t="shared" si="12"/>
        <v>-</v>
      </c>
      <c r="D68" s="14"/>
      <c r="E68" s="14"/>
      <c r="F68" s="14"/>
      <c r="G68" s="14"/>
      <c r="I68" s="227">
        <f>IF('Investment Plan'!C84&gt;0,'Investment Plan'!C84,0)</f>
        <v>0</v>
      </c>
      <c r="J68" s="227">
        <f>IF('Investment Plan'!D84&gt;0,'Investment Plan'!D84,0)</f>
        <v>0</v>
      </c>
      <c r="K68" s="227">
        <f>IF('Investment Plan'!E84&gt;0,'Investment Plan'!E84,0)</f>
        <v>0</v>
      </c>
      <c r="L68" s="227">
        <f>IF('Investment Plan'!F84&gt;0,'Investment Plan'!F84,0)</f>
        <v>0</v>
      </c>
      <c r="M68" s="227">
        <f>IF('Investment Plan'!G84&gt;0,'Investment Plan'!G84,0)</f>
        <v>0</v>
      </c>
      <c r="N68" s="227">
        <f>IF('Investment Plan'!H84&gt;0,'Investment Plan'!H84,0)</f>
        <v>0</v>
      </c>
      <c r="O68" s="227">
        <f>IF('Investment Plan'!I84&gt;0,'Investment Plan'!I84,0)</f>
        <v>0</v>
      </c>
      <c r="P68" s="227">
        <f>IF('Investment Plan'!J84&gt;0,'Investment Plan'!J84,0)</f>
        <v>0</v>
      </c>
      <c r="Q68" s="227">
        <f>IF('Investment Plan'!K84&gt;0,'Investment Plan'!K84,0)</f>
        <v>0</v>
      </c>
      <c r="R68" s="227">
        <f>IF('Investment Plan'!L84&gt;0,'Investment Plan'!L84,0)</f>
        <v>0</v>
      </c>
      <c r="S68" s="227">
        <f>IF('Investment Plan'!M84&gt;0,'Investment Plan'!M84,0)</f>
        <v>0</v>
      </c>
      <c r="T68" s="227">
        <f>IF('Investment Plan'!N84&gt;0,'Investment Plan'!N84,0)</f>
        <v>0</v>
      </c>
      <c r="U68" s="227">
        <f>IF('Investment Plan'!O84&gt;0,'Investment Plan'!O84,0)</f>
        <v>0</v>
      </c>
      <c r="V68" s="227">
        <f>IF('Investment Plan'!P84&gt;0,'Investment Plan'!P84,0)</f>
        <v>0</v>
      </c>
      <c r="W68" s="227">
        <f>IF('Investment Plan'!Q84&gt;0,'Investment Plan'!Q84,0)</f>
        <v>0</v>
      </c>
      <c r="X68" s="227">
        <f>IF('Investment Plan'!R84&gt;0,'Investment Plan'!R84,0)</f>
        <v>0</v>
      </c>
      <c r="Y68" s="227">
        <f>IF('Investment Plan'!S84&gt;0,'Investment Plan'!S84,0)</f>
        <v>0</v>
      </c>
      <c r="Z68" s="227">
        <f>IF('Investment Plan'!T84&gt;0,'Investment Plan'!T84,0)</f>
        <v>0</v>
      </c>
      <c r="AA68" s="227">
        <f>IF('Investment Plan'!U84&gt;0,'Investment Plan'!U84,0)</f>
        <v>0</v>
      </c>
      <c r="AB68" s="227">
        <f>IF('Investment Plan'!V84&gt;0,'Investment Plan'!V84,0)</f>
        <v>0</v>
      </c>
      <c r="AC68" s="227">
        <f>IF('Investment Plan'!W84&gt;0,'Investment Plan'!W84,0)</f>
        <v>0</v>
      </c>
    </row>
    <row r="69" spans="2:29" ht="15">
      <c r="B69" s="228">
        <f>'Tech Parameters'!J25/1000</f>
        <v>0.33300000000000002</v>
      </c>
      <c r="C69" t="str">
        <f t="shared" si="12"/>
        <v>Pumped storage</v>
      </c>
      <c r="D69" s="14"/>
      <c r="E69" s="14"/>
      <c r="F69" s="14"/>
      <c r="G69" s="14"/>
      <c r="I69" s="227">
        <f>IF('Investment Plan'!C85&gt;0,'Investment Plan'!C85,0)</f>
        <v>0</v>
      </c>
      <c r="J69" s="227">
        <f>IF('Investment Plan'!D85&gt;0,'Investment Plan'!D85,0)</f>
        <v>0</v>
      </c>
      <c r="K69" s="227">
        <f>IF('Investment Plan'!E85&gt;0,'Investment Plan'!E85,0)</f>
        <v>0</v>
      </c>
      <c r="L69" s="227">
        <f>IF('Investment Plan'!F85&gt;0,'Investment Plan'!F85,0)</f>
        <v>2</v>
      </c>
      <c r="M69" s="227">
        <f>IF('Investment Plan'!G85&gt;0,'Investment Plan'!G85,0)</f>
        <v>2</v>
      </c>
      <c r="N69" s="227">
        <f>IF('Investment Plan'!H85&gt;0,'Investment Plan'!H85,0)</f>
        <v>2</v>
      </c>
      <c r="O69" s="227">
        <f>IF('Investment Plan'!I85&gt;0,'Investment Plan'!I85,0)</f>
        <v>2</v>
      </c>
      <c r="P69" s="227">
        <f>IF('Investment Plan'!J85&gt;0,'Investment Plan'!J85,0)</f>
        <v>0</v>
      </c>
      <c r="Q69" s="227">
        <f>IF('Investment Plan'!K85&gt;0,'Investment Plan'!K85,0)</f>
        <v>0</v>
      </c>
      <c r="R69" s="227">
        <f>IF('Investment Plan'!L85&gt;0,'Investment Plan'!L85,0)</f>
        <v>0</v>
      </c>
      <c r="S69" s="227">
        <f>IF('Investment Plan'!M85&gt;0,'Investment Plan'!M85,0)</f>
        <v>0</v>
      </c>
      <c r="T69" s="227">
        <f>IF('Investment Plan'!N85&gt;0,'Investment Plan'!N85,0)</f>
        <v>0</v>
      </c>
      <c r="U69" s="227">
        <f>IF('Investment Plan'!O85&gt;0,'Investment Plan'!O85,0)</f>
        <v>0</v>
      </c>
      <c r="V69" s="227">
        <f>IF('Investment Plan'!P85&gt;0,'Investment Plan'!P85,0)</f>
        <v>0</v>
      </c>
      <c r="W69" s="227">
        <f>IF('Investment Plan'!Q85&gt;0,'Investment Plan'!Q85,0)</f>
        <v>0</v>
      </c>
      <c r="X69" s="227">
        <f>IF('Investment Plan'!R85&gt;0,'Investment Plan'!R85,0)</f>
        <v>0</v>
      </c>
      <c r="Y69" s="227">
        <f>IF('Investment Plan'!S85&gt;0,'Investment Plan'!S85,0)</f>
        <v>0</v>
      </c>
      <c r="Z69" s="227">
        <f>IF('Investment Plan'!T85&gt;0,'Investment Plan'!T85,0)</f>
        <v>0</v>
      </c>
      <c r="AA69" s="227">
        <f>IF('Investment Plan'!U85&gt;0,'Investment Plan'!U85,0)</f>
        <v>0</v>
      </c>
      <c r="AB69" s="227">
        <f>IF('Investment Plan'!V85&gt;0,'Investment Plan'!V85,0)</f>
        <v>0</v>
      </c>
      <c r="AC69" s="227">
        <f>IF('Investment Plan'!W85&gt;0,'Investment Plan'!W85,0)</f>
        <v>0</v>
      </c>
    </row>
    <row r="70" spans="2:29" ht="15">
      <c r="B70" s="228">
        <f>'Tech Parameters'!J26/1000</f>
        <v>0.375</v>
      </c>
      <c r="C70" s="1" t="s">
        <v>538</v>
      </c>
      <c r="D70" s="14"/>
      <c r="E70" s="14"/>
      <c r="F70" s="14"/>
      <c r="G70" s="14"/>
      <c r="I70" s="20"/>
    </row>
    <row r="71" spans="2:29">
      <c r="C71" s="38" t="s">
        <v>162</v>
      </c>
      <c r="D71" s="21"/>
      <c r="E71" s="21"/>
      <c r="F71" s="21"/>
      <c r="G71" s="21"/>
      <c r="H71" s="21"/>
      <c r="I71" s="21"/>
      <c r="J71" s="21"/>
      <c r="K71" s="21"/>
      <c r="L71" s="21"/>
      <c r="M71" s="21"/>
      <c r="N71" s="21"/>
      <c r="O71" s="21"/>
      <c r="P71" s="21"/>
      <c r="Q71" s="21"/>
      <c r="R71" s="21"/>
      <c r="S71" s="21"/>
      <c r="T71" s="21"/>
      <c r="U71" s="21"/>
      <c r="V71" s="21"/>
      <c r="W71" s="21"/>
      <c r="X71" s="21"/>
      <c r="Y71" s="21"/>
    </row>
    <row r="72" spans="2:29">
      <c r="C72" s="53" t="str">
        <f t="shared" ref="C72:C91" si="13">C8</f>
        <v>Existing coal Large</v>
      </c>
      <c r="D72" s="54">
        <f t="shared" ref="D72:AC72" si="14">ROUND(D8/($B50+eps),0)</f>
        <v>54</v>
      </c>
      <c r="E72" s="54">
        <f t="shared" si="14"/>
        <v>54</v>
      </c>
      <c r="F72" s="54">
        <f t="shared" si="14"/>
        <v>54</v>
      </c>
      <c r="G72" s="54">
        <f t="shared" si="14"/>
        <v>54</v>
      </c>
      <c r="H72" s="54">
        <f t="shared" si="14"/>
        <v>54</v>
      </c>
      <c r="I72" s="54">
        <f t="shared" ca="1" si="14"/>
        <v>54</v>
      </c>
      <c r="J72" s="54">
        <f t="shared" ca="1" si="14"/>
        <v>54</v>
      </c>
      <c r="K72" s="54">
        <f t="shared" ca="1" si="14"/>
        <v>54</v>
      </c>
      <c r="L72" s="54">
        <f t="shared" ca="1" si="14"/>
        <v>54</v>
      </c>
      <c r="M72" s="54">
        <f t="shared" ca="1" si="14"/>
        <v>54</v>
      </c>
      <c r="N72" s="54">
        <f t="shared" ca="1" si="14"/>
        <v>54</v>
      </c>
      <c r="O72" s="54">
        <f t="shared" ca="1" si="14"/>
        <v>54</v>
      </c>
      <c r="P72" s="54">
        <f t="shared" ca="1" si="14"/>
        <v>54</v>
      </c>
      <c r="Q72" s="54">
        <f t="shared" ca="1" si="14"/>
        <v>54</v>
      </c>
      <c r="R72" s="54">
        <f t="shared" ca="1" si="14"/>
        <v>54</v>
      </c>
      <c r="S72" s="54">
        <f t="shared" ca="1" si="14"/>
        <v>54</v>
      </c>
      <c r="T72" s="54">
        <f t="shared" ca="1" si="14"/>
        <v>54</v>
      </c>
      <c r="U72" s="54">
        <f t="shared" ca="1" si="14"/>
        <v>54</v>
      </c>
      <c r="V72" s="54">
        <f t="shared" ca="1" si="14"/>
        <v>54</v>
      </c>
      <c r="W72" s="54">
        <f t="shared" ca="1" si="14"/>
        <v>52</v>
      </c>
      <c r="X72" s="54">
        <f t="shared" ca="1" si="14"/>
        <v>50</v>
      </c>
      <c r="Y72" s="54">
        <f t="shared" ca="1" si="14"/>
        <v>47</v>
      </c>
      <c r="Z72" s="54">
        <f t="shared" ca="1" si="14"/>
        <v>45</v>
      </c>
      <c r="AA72" s="54">
        <f t="shared" ca="1" si="14"/>
        <v>42</v>
      </c>
      <c r="AB72" s="54">
        <f t="shared" ca="1" si="14"/>
        <v>36</v>
      </c>
      <c r="AC72" s="54">
        <f t="shared" ca="1" si="14"/>
        <v>33</v>
      </c>
    </row>
    <row r="73" spans="2:29">
      <c r="C73" s="53" t="str">
        <f t="shared" si="13"/>
        <v>Existing coal Small</v>
      </c>
      <c r="D73" s="54">
        <f t="shared" ref="D73:AC73" si="15">ROUND(D9/($B51+eps),0)</f>
        <v>47</v>
      </c>
      <c r="E73" s="54">
        <f t="shared" si="15"/>
        <v>47</v>
      </c>
      <c r="F73" s="54">
        <f t="shared" si="15"/>
        <v>47</v>
      </c>
      <c r="G73" s="54">
        <f t="shared" si="15"/>
        <v>47</v>
      </c>
      <c r="H73" s="54">
        <f t="shared" si="15"/>
        <v>47</v>
      </c>
      <c r="I73" s="54">
        <f t="shared" ca="1" si="15"/>
        <v>53</v>
      </c>
      <c r="J73" s="54">
        <f t="shared" ca="1" si="15"/>
        <v>57</v>
      </c>
      <c r="K73" s="54">
        <f t="shared" ca="1" si="15"/>
        <v>57</v>
      </c>
      <c r="L73" s="54">
        <f t="shared" ca="1" si="15"/>
        <v>57</v>
      </c>
      <c r="M73" s="54">
        <f t="shared" ca="1" si="15"/>
        <v>57</v>
      </c>
      <c r="N73" s="54">
        <f t="shared" ca="1" si="15"/>
        <v>57</v>
      </c>
      <c r="O73" s="54">
        <f t="shared" ca="1" si="15"/>
        <v>57</v>
      </c>
      <c r="P73" s="54">
        <f t="shared" ca="1" si="15"/>
        <v>56</v>
      </c>
      <c r="Q73" s="54">
        <f t="shared" ca="1" si="15"/>
        <v>56</v>
      </c>
      <c r="R73" s="54">
        <f t="shared" ca="1" si="15"/>
        <v>55</v>
      </c>
      <c r="S73" s="54">
        <f t="shared" ca="1" si="15"/>
        <v>47</v>
      </c>
      <c r="T73" s="54">
        <f t="shared" ca="1" si="15"/>
        <v>39</v>
      </c>
      <c r="U73" s="54">
        <f t="shared" ca="1" si="15"/>
        <v>39</v>
      </c>
      <c r="V73" s="54">
        <f t="shared" ca="1" si="15"/>
        <v>39</v>
      </c>
      <c r="W73" s="54">
        <f t="shared" ca="1" si="15"/>
        <v>39</v>
      </c>
      <c r="X73" s="54">
        <f t="shared" ca="1" si="15"/>
        <v>35</v>
      </c>
      <c r="Y73" s="54">
        <f t="shared" ca="1" si="15"/>
        <v>31</v>
      </c>
      <c r="Z73" s="54">
        <f t="shared" ca="1" si="15"/>
        <v>31</v>
      </c>
      <c r="AA73" s="54">
        <f t="shared" ca="1" si="15"/>
        <v>31</v>
      </c>
      <c r="AB73" s="54">
        <f t="shared" ca="1" si="15"/>
        <v>31</v>
      </c>
      <c r="AC73" s="54">
        <f t="shared" ca="1" si="15"/>
        <v>31</v>
      </c>
    </row>
    <row r="74" spans="2:29">
      <c r="C74" s="53" t="str">
        <f t="shared" si="13"/>
        <v>OCGT liquid fuels</v>
      </c>
      <c r="D74" s="54">
        <f t="shared" ref="D74:AC74" si="16">ROUND(D10/($B52+eps),0)</f>
        <v>20</v>
      </c>
      <c r="E74" s="54">
        <f t="shared" si="16"/>
        <v>20</v>
      </c>
      <c r="F74" s="54">
        <f t="shared" si="16"/>
        <v>20</v>
      </c>
      <c r="G74" s="54">
        <f t="shared" si="16"/>
        <v>20</v>
      </c>
      <c r="H74" s="54">
        <f t="shared" si="16"/>
        <v>20</v>
      </c>
      <c r="I74" s="54">
        <f t="shared" ca="1" si="16"/>
        <v>20</v>
      </c>
      <c r="J74" s="54">
        <f t="shared" ca="1" si="16"/>
        <v>29</v>
      </c>
      <c r="K74" s="54">
        <f t="shared" ca="1" si="16"/>
        <v>29</v>
      </c>
      <c r="L74" s="54">
        <f t="shared" ca="1" si="16"/>
        <v>29</v>
      </c>
      <c r="M74" s="54">
        <f t="shared" ca="1" si="16"/>
        <v>29</v>
      </c>
      <c r="N74" s="54">
        <f t="shared" ca="1" si="16"/>
        <v>29</v>
      </c>
      <c r="O74" s="54">
        <f t="shared" ca="1" si="16"/>
        <v>29</v>
      </c>
      <c r="P74" s="54">
        <f t="shared" ca="1" si="16"/>
        <v>29</v>
      </c>
      <c r="Q74" s="54">
        <f t="shared" ca="1" si="16"/>
        <v>29</v>
      </c>
      <c r="R74" s="54">
        <f t="shared" ca="1" si="16"/>
        <v>29</v>
      </c>
      <c r="S74" s="54">
        <f t="shared" ca="1" si="16"/>
        <v>29</v>
      </c>
      <c r="T74" s="54">
        <f t="shared" ca="1" si="16"/>
        <v>29</v>
      </c>
      <c r="U74" s="54">
        <f t="shared" ca="1" si="16"/>
        <v>29</v>
      </c>
      <c r="V74" s="54">
        <f t="shared" ca="1" si="16"/>
        <v>29</v>
      </c>
      <c r="W74" s="54">
        <f t="shared" ca="1" si="16"/>
        <v>29</v>
      </c>
      <c r="X74" s="54">
        <f t="shared" ca="1" si="16"/>
        <v>29</v>
      </c>
      <c r="Y74" s="54">
        <f t="shared" ca="1" si="16"/>
        <v>35</v>
      </c>
      <c r="Z74" s="54">
        <f t="shared" ca="1" si="16"/>
        <v>35</v>
      </c>
      <c r="AA74" s="54">
        <f t="shared" ca="1" si="16"/>
        <v>35</v>
      </c>
      <c r="AB74" s="54">
        <f t="shared" ca="1" si="16"/>
        <v>43</v>
      </c>
      <c r="AC74" s="54">
        <f t="shared" ca="1" si="16"/>
        <v>50</v>
      </c>
    </row>
    <row r="75" spans="2:29">
      <c r="C75" s="53" t="str">
        <f t="shared" si="13"/>
        <v>PWR nuclear</v>
      </c>
      <c r="D75" s="54">
        <f t="shared" ref="D75:AC75" si="17">ROUND(D11/($B53+eps),0)</f>
        <v>1</v>
      </c>
      <c r="E75" s="54">
        <f t="shared" si="17"/>
        <v>1</v>
      </c>
      <c r="F75" s="54">
        <f t="shared" si="17"/>
        <v>1</v>
      </c>
      <c r="G75" s="54">
        <f t="shared" si="17"/>
        <v>1</v>
      </c>
      <c r="H75" s="54">
        <f t="shared" si="17"/>
        <v>1</v>
      </c>
      <c r="I75" s="54">
        <f t="shared" ca="1" si="17"/>
        <v>1</v>
      </c>
      <c r="J75" s="54">
        <f t="shared" ca="1" si="17"/>
        <v>1</v>
      </c>
      <c r="K75" s="54">
        <f t="shared" ca="1" si="17"/>
        <v>1</v>
      </c>
      <c r="L75" s="54">
        <f t="shared" ca="1" si="17"/>
        <v>1</v>
      </c>
      <c r="M75" s="54">
        <f t="shared" ca="1" si="17"/>
        <v>1</v>
      </c>
      <c r="N75" s="54">
        <f t="shared" ca="1" si="17"/>
        <v>1</v>
      </c>
      <c r="O75" s="54">
        <f t="shared" ca="1" si="17"/>
        <v>1</v>
      </c>
      <c r="P75" s="54">
        <f t="shared" ca="1" si="17"/>
        <v>1</v>
      </c>
      <c r="Q75" s="54">
        <f t="shared" ca="1" si="17"/>
        <v>1</v>
      </c>
      <c r="R75" s="54">
        <f t="shared" ca="1" si="17"/>
        <v>1</v>
      </c>
      <c r="S75" s="54">
        <f t="shared" ca="1" si="17"/>
        <v>1</v>
      </c>
      <c r="T75" s="54">
        <f t="shared" ca="1" si="17"/>
        <v>1</v>
      </c>
      <c r="U75" s="54">
        <f t="shared" ca="1" si="17"/>
        <v>1</v>
      </c>
      <c r="V75" s="54">
        <f t="shared" ca="1" si="17"/>
        <v>1</v>
      </c>
      <c r="W75" s="54">
        <f t="shared" ca="1" si="17"/>
        <v>1</v>
      </c>
      <c r="X75" s="54">
        <f t="shared" ca="1" si="17"/>
        <v>1</v>
      </c>
      <c r="Y75" s="54">
        <f t="shared" ca="1" si="17"/>
        <v>1</v>
      </c>
      <c r="Z75" s="54">
        <f t="shared" ca="1" si="17"/>
        <v>1</v>
      </c>
      <c r="AA75" s="54">
        <f t="shared" ca="1" si="17"/>
        <v>1</v>
      </c>
      <c r="AB75" s="54">
        <f t="shared" ca="1" si="17"/>
        <v>1</v>
      </c>
      <c r="AC75" s="54">
        <f t="shared" ca="1" si="17"/>
        <v>1</v>
      </c>
    </row>
    <row r="76" spans="2:29">
      <c r="C76" s="53" t="str">
        <f t="shared" si="13"/>
        <v>Hydro</v>
      </c>
      <c r="D76" s="54">
        <f t="shared" ref="D76:AC76" si="18">ROUND(D12/($B54+eps),0)</f>
        <v>7</v>
      </c>
      <c r="E76" s="54">
        <f t="shared" si="18"/>
        <v>7</v>
      </c>
      <c r="F76" s="54">
        <f t="shared" si="18"/>
        <v>7</v>
      </c>
      <c r="G76" s="54">
        <f t="shared" si="18"/>
        <v>7</v>
      </c>
      <c r="H76" s="54">
        <f t="shared" si="18"/>
        <v>7</v>
      </c>
      <c r="I76" s="54">
        <f t="shared" ca="1" si="18"/>
        <v>7</v>
      </c>
      <c r="J76" s="54">
        <f t="shared" ca="1" si="18"/>
        <v>7</v>
      </c>
      <c r="K76" s="54">
        <f t="shared" ca="1" si="18"/>
        <v>7</v>
      </c>
      <c r="L76" s="54">
        <f t="shared" ca="1" si="18"/>
        <v>7</v>
      </c>
      <c r="M76" s="54">
        <f t="shared" ca="1" si="18"/>
        <v>7</v>
      </c>
      <c r="N76" s="54">
        <f t="shared" ca="1" si="18"/>
        <v>7</v>
      </c>
      <c r="O76" s="54">
        <f t="shared" ca="1" si="18"/>
        <v>7</v>
      </c>
      <c r="P76" s="54">
        <f t="shared" ca="1" si="18"/>
        <v>7</v>
      </c>
      <c r="Q76" s="54">
        <f t="shared" ca="1" si="18"/>
        <v>7</v>
      </c>
      <c r="R76" s="54">
        <f t="shared" ca="1" si="18"/>
        <v>7</v>
      </c>
      <c r="S76" s="54">
        <f t="shared" ca="1" si="18"/>
        <v>7</v>
      </c>
      <c r="T76" s="54">
        <f t="shared" ca="1" si="18"/>
        <v>7</v>
      </c>
      <c r="U76" s="54">
        <f t="shared" ca="1" si="18"/>
        <v>7</v>
      </c>
      <c r="V76" s="54">
        <f t="shared" ca="1" si="18"/>
        <v>7</v>
      </c>
      <c r="W76" s="54">
        <f t="shared" ca="1" si="18"/>
        <v>7</v>
      </c>
      <c r="X76" s="54">
        <f t="shared" ca="1" si="18"/>
        <v>7</v>
      </c>
      <c r="Y76" s="54">
        <f t="shared" ca="1" si="18"/>
        <v>7</v>
      </c>
      <c r="Z76" s="54">
        <f t="shared" ca="1" si="18"/>
        <v>7</v>
      </c>
      <c r="AA76" s="54">
        <f t="shared" ca="1" si="18"/>
        <v>7</v>
      </c>
      <c r="AB76" s="54">
        <f t="shared" ca="1" si="18"/>
        <v>7</v>
      </c>
      <c r="AC76" s="54">
        <f t="shared" ca="1" si="18"/>
        <v>7</v>
      </c>
    </row>
    <row r="77" spans="2:29">
      <c r="C77" s="53" t="str">
        <f t="shared" si="13"/>
        <v>Landfill gas</v>
      </c>
      <c r="D77" s="54">
        <f t="shared" ref="D77:AC77" si="19">ROUND(D13/($B55+eps),0)</f>
        <v>2</v>
      </c>
      <c r="E77" s="54">
        <f t="shared" si="19"/>
        <v>2</v>
      </c>
      <c r="F77" s="54">
        <f t="shared" si="19"/>
        <v>2</v>
      </c>
      <c r="G77" s="54">
        <f t="shared" si="19"/>
        <v>2</v>
      </c>
      <c r="H77" s="54">
        <f t="shared" si="19"/>
        <v>2</v>
      </c>
      <c r="I77" s="54">
        <f t="shared" ca="1" si="19"/>
        <v>2</v>
      </c>
      <c r="J77" s="54">
        <f t="shared" ca="1" si="19"/>
        <v>2</v>
      </c>
      <c r="K77" s="54">
        <f t="shared" ca="1" si="19"/>
        <v>2</v>
      </c>
      <c r="L77" s="54">
        <f t="shared" ca="1" si="19"/>
        <v>2</v>
      </c>
      <c r="M77" s="54">
        <f t="shared" ca="1" si="19"/>
        <v>2</v>
      </c>
      <c r="N77" s="54">
        <f t="shared" ca="1" si="19"/>
        <v>2</v>
      </c>
      <c r="O77" s="54">
        <f t="shared" ca="1" si="19"/>
        <v>2</v>
      </c>
      <c r="P77" s="54">
        <f t="shared" ca="1" si="19"/>
        <v>2</v>
      </c>
      <c r="Q77" s="54">
        <f t="shared" ca="1" si="19"/>
        <v>2</v>
      </c>
      <c r="R77" s="54">
        <f t="shared" ca="1" si="19"/>
        <v>2</v>
      </c>
      <c r="S77" s="54">
        <f t="shared" ca="1" si="19"/>
        <v>2</v>
      </c>
      <c r="T77" s="54">
        <f t="shared" ca="1" si="19"/>
        <v>2</v>
      </c>
      <c r="U77" s="54">
        <f t="shared" ca="1" si="19"/>
        <v>2</v>
      </c>
      <c r="V77" s="54">
        <f t="shared" ca="1" si="19"/>
        <v>2</v>
      </c>
      <c r="W77" s="54">
        <f t="shared" ca="1" si="19"/>
        <v>2</v>
      </c>
      <c r="X77" s="54">
        <f t="shared" ca="1" si="19"/>
        <v>2</v>
      </c>
      <c r="Y77" s="54">
        <f t="shared" ca="1" si="19"/>
        <v>2</v>
      </c>
      <c r="Z77" s="54">
        <f t="shared" ca="1" si="19"/>
        <v>2</v>
      </c>
      <c r="AA77" s="54">
        <f t="shared" ca="1" si="19"/>
        <v>2</v>
      </c>
      <c r="AB77" s="54">
        <f t="shared" ca="1" si="19"/>
        <v>2</v>
      </c>
      <c r="AC77" s="54">
        <f t="shared" ca="1" si="19"/>
        <v>2</v>
      </c>
    </row>
    <row r="78" spans="2:29">
      <c r="C78" s="53" t="str">
        <f t="shared" si="13"/>
        <v>Biomass</v>
      </c>
      <c r="D78" s="54">
        <f t="shared" ref="D78:AC78" si="20">ROUND(D14/($B56+eps),0)</f>
        <v>2</v>
      </c>
      <c r="E78" s="54">
        <f t="shared" si="20"/>
        <v>2</v>
      </c>
      <c r="F78" s="54">
        <f t="shared" si="20"/>
        <v>2</v>
      </c>
      <c r="G78" s="54">
        <f t="shared" si="20"/>
        <v>2</v>
      </c>
      <c r="H78" s="54">
        <f t="shared" si="20"/>
        <v>2</v>
      </c>
      <c r="I78" s="54">
        <f t="shared" ca="1" si="20"/>
        <v>2</v>
      </c>
      <c r="J78" s="54">
        <f t="shared" ca="1" si="20"/>
        <v>2</v>
      </c>
      <c r="K78" s="54">
        <f t="shared" ca="1" si="20"/>
        <v>2</v>
      </c>
      <c r="L78" s="54">
        <f t="shared" ca="1" si="20"/>
        <v>2</v>
      </c>
      <c r="M78" s="54">
        <f t="shared" ca="1" si="20"/>
        <v>2</v>
      </c>
      <c r="N78" s="54">
        <f t="shared" ca="1" si="20"/>
        <v>2</v>
      </c>
      <c r="O78" s="54">
        <f t="shared" ca="1" si="20"/>
        <v>2</v>
      </c>
      <c r="P78" s="54">
        <f t="shared" ca="1" si="20"/>
        <v>2</v>
      </c>
      <c r="Q78" s="54">
        <f t="shared" ca="1" si="20"/>
        <v>2</v>
      </c>
      <c r="R78" s="54">
        <f t="shared" ca="1" si="20"/>
        <v>2</v>
      </c>
      <c r="S78" s="54">
        <f t="shared" ca="1" si="20"/>
        <v>2</v>
      </c>
      <c r="T78" s="54">
        <f t="shared" ca="1" si="20"/>
        <v>2</v>
      </c>
      <c r="U78" s="54">
        <f t="shared" ca="1" si="20"/>
        <v>2</v>
      </c>
      <c r="V78" s="54">
        <f t="shared" ca="1" si="20"/>
        <v>2</v>
      </c>
      <c r="W78" s="54">
        <f t="shared" ca="1" si="20"/>
        <v>2</v>
      </c>
      <c r="X78" s="54">
        <f t="shared" ca="1" si="20"/>
        <v>2</v>
      </c>
      <c r="Y78" s="54">
        <f t="shared" ca="1" si="20"/>
        <v>2</v>
      </c>
      <c r="Z78" s="54">
        <f t="shared" ca="1" si="20"/>
        <v>2</v>
      </c>
      <c r="AA78" s="54">
        <f t="shared" ca="1" si="20"/>
        <v>2</v>
      </c>
      <c r="AB78" s="54">
        <f t="shared" ca="1" si="20"/>
        <v>2</v>
      </c>
      <c r="AC78" s="54">
        <f t="shared" ca="1" si="20"/>
        <v>2</v>
      </c>
    </row>
    <row r="79" spans="2:29">
      <c r="C79" s="53" t="str">
        <f t="shared" si="13"/>
        <v>Supercritical coal</v>
      </c>
      <c r="D79" s="54">
        <f t="shared" ref="D79:AC79" si="21">ROUND(D15/($B57+eps),0)</f>
        <v>0</v>
      </c>
      <c r="E79" s="54">
        <f t="shared" si="21"/>
        <v>0</v>
      </c>
      <c r="F79" s="54">
        <f t="shared" si="21"/>
        <v>0</v>
      </c>
      <c r="G79" s="54">
        <f t="shared" si="21"/>
        <v>0</v>
      </c>
      <c r="H79" s="54">
        <f t="shared" si="21"/>
        <v>0</v>
      </c>
      <c r="I79" s="54">
        <f t="shared" ca="1" si="21"/>
        <v>0</v>
      </c>
      <c r="J79" s="54">
        <f t="shared" ca="1" si="21"/>
        <v>0</v>
      </c>
      <c r="K79" s="54">
        <f t="shared" ca="1" si="21"/>
        <v>1</v>
      </c>
      <c r="L79" s="54">
        <f t="shared" ca="1" si="21"/>
        <v>3</v>
      </c>
      <c r="M79" s="54">
        <f t="shared" ca="1" si="21"/>
        <v>6</v>
      </c>
      <c r="N79" s="54">
        <f t="shared" ca="1" si="21"/>
        <v>9</v>
      </c>
      <c r="O79" s="54">
        <f t="shared" ca="1" si="21"/>
        <v>11</v>
      </c>
      <c r="P79" s="54">
        <f t="shared" ca="1" si="21"/>
        <v>12</v>
      </c>
      <c r="Q79" s="54">
        <f t="shared" ca="1" si="21"/>
        <v>12</v>
      </c>
      <c r="R79" s="54">
        <f t="shared" ca="1" si="21"/>
        <v>12</v>
      </c>
      <c r="S79" s="54">
        <f t="shared" ca="1" si="21"/>
        <v>12</v>
      </c>
      <c r="T79" s="54">
        <f t="shared" ca="1" si="21"/>
        <v>12</v>
      </c>
      <c r="U79" s="54">
        <f t="shared" ca="1" si="21"/>
        <v>12</v>
      </c>
      <c r="V79" s="54">
        <f t="shared" ca="1" si="21"/>
        <v>12</v>
      </c>
      <c r="W79" s="54">
        <f t="shared" ca="1" si="21"/>
        <v>12</v>
      </c>
      <c r="X79" s="54">
        <f t="shared" ca="1" si="21"/>
        <v>12</v>
      </c>
      <c r="Y79" s="54">
        <f t="shared" ca="1" si="21"/>
        <v>12</v>
      </c>
      <c r="Z79" s="54">
        <f t="shared" ca="1" si="21"/>
        <v>12</v>
      </c>
      <c r="AA79" s="54">
        <f t="shared" ca="1" si="21"/>
        <v>12</v>
      </c>
      <c r="AB79" s="54">
        <f t="shared" ca="1" si="21"/>
        <v>12</v>
      </c>
      <c r="AC79" s="54">
        <f t="shared" ca="1" si="21"/>
        <v>12</v>
      </c>
    </row>
    <row r="80" spans="2:29">
      <c r="C80" s="53" t="str">
        <f t="shared" si="13"/>
        <v xml:space="preserve">Wind 30% </v>
      </c>
      <c r="D80" s="54">
        <f t="shared" ref="D80:AC80" si="22">ROUND(D16/($B58+eps),0)</f>
        <v>0</v>
      </c>
      <c r="E80" s="54">
        <f t="shared" si="22"/>
        <v>0</v>
      </c>
      <c r="F80" s="54">
        <f t="shared" si="22"/>
        <v>0</v>
      </c>
      <c r="G80" s="54">
        <f t="shared" si="22"/>
        <v>0</v>
      </c>
      <c r="H80" s="54">
        <f t="shared" si="22"/>
        <v>0</v>
      </c>
      <c r="I80" s="54">
        <f t="shared" ca="1" si="22"/>
        <v>100</v>
      </c>
      <c r="J80" s="54">
        <f t="shared" ca="1" si="22"/>
        <v>300</v>
      </c>
      <c r="K80" s="54">
        <f t="shared" ca="1" si="22"/>
        <v>500</v>
      </c>
      <c r="L80" s="54">
        <f t="shared" ca="1" si="22"/>
        <v>900</v>
      </c>
      <c r="M80" s="54">
        <f t="shared" ca="1" si="22"/>
        <v>1300</v>
      </c>
      <c r="N80" s="54">
        <f t="shared" ca="1" si="22"/>
        <v>2100</v>
      </c>
      <c r="O80" s="54">
        <f t="shared" ca="1" si="22"/>
        <v>2900</v>
      </c>
      <c r="P80" s="54">
        <f t="shared" ca="1" si="22"/>
        <v>3900</v>
      </c>
      <c r="Q80" s="54">
        <f t="shared" ca="1" si="22"/>
        <v>4900</v>
      </c>
      <c r="R80" s="54">
        <f t="shared" ca="1" si="22"/>
        <v>6400</v>
      </c>
      <c r="S80" s="54">
        <f t="shared" ca="1" si="22"/>
        <v>7900</v>
      </c>
      <c r="T80" s="54">
        <f t="shared" ca="1" si="22"/>
        <v>9900</v>
      </c>
      <c r="U80" s="54">
        <f t="shared" ca="1" si="22"/>
        <v>9900</v>
      </c>
      <c r="V80" s="54">
        <f t="shared" ca="1" si="22"/>
        <v>9900</v>
      </c>
      <c r="W80" s="54">
        <f t="shared" ca="1" si="22"/>
        <v>9900</v>
      </c>
      <c r="X80" s="54">
        <f t="shared" ca="1" si="22"/>
        <v>9900</v>
      </c>
      <c r="Y80" s="54">
        <f t="shared" ca="1" si="22"/>
        <v>9900</v>
      </c>
      <c r="Z80" s="54">
        <f t="shared" ca="1" si="22"/>
        <v>9900</v>
      </c>
      <c r="AA80" s="54">
        <f t="shared" ca="1" si="22"/>
        <v>9900</v>
      </c>
      <c r="AB80" s="54">
        <f t="shared" ca="1" si="22"/>
        <v>9900</v>
      </c>
      <c r="AC80" s="54">
        <f t="shared" ca="1" si="22"/>
        <v>9800</v>
      </c>
    </row>
    <row r="81" spans="3:29">
      <c r="C81" s="53" t="str">
        <f t="shared" si="13"/>
        <v>Wind 25%</v>
      </c>
      <c r="D81" s="54">
        <f t="shared" ref="D81:AC81" si="23">ROUND(D17/($B59+eps),0)</f>
        <v>0</v>
      </c>
      <c r="E81" s="54">
        <f t="shared" si="23"/>
        <v>0</v>
      </c>
      <c r="F81" s="54">
        <f t="shared" si="23"/>
        <v>0</v>
      </c>
      <c r="G81" s="54">
        <f t="shared" si="23"/>
        <v>0</v>
      </c>
      <c r="H81" s="54">
        <f t="shared" si="23"/>
        <v>0</v>
      </c>
      <c r="I81" s="54">
        <f t="shared" ca="1" si="23"/>
        <v>0</v>
      </c>
      <c r="J81" s="54">
        <f t="shared" ca="1" si="23"/>
        <v>0</v>
      </c>
      <c r="K81" s="54">
        <f t="shared" ca="1" si="23"/>
        <v>0</v>
      </c>
      <c r="L81" s="54">
        <f t="shared" ca="1" si="23"/>
        <v>0</v>
      </c>
      <c r="M81" s="54">
        <f t="shared" ca="1" si="23"/>
        <v>0</v>
      </c>
      <c r="N81" s="54">
        <f t="shared" ca="1" si="23"/>
        <v>0</v>
      </c>
      <c r="O81" s="54">
        <f t="shared" ca="1" si="23"/>
        <v>0</v>
      </c>
      <c r="P81" s="54">
        <f t="shared" ca="1" si="23"/>
        <v>0</v>
      </c>
      <c r="Q81" s="54">
        <f t="shared" ca="1" si="23"/>
        <v>0</v>
      </c>
      <c r="R81" s="54">
        <f t="shared" ca="1" si="23"/>
        <v>0</v>
      </c>
      <c r="S81" s="54">
        <f t="shared" ca="1" si="23"/>
        <v>0</v>
      </c>
      <c r="T81" s="54">
        <f t="shared" ca="1" si="23"/>
        <v>0</v>
      </c>
      <c r="U81" s="54">
        <f t="shared" ca="1" si="23"/>
        <v>1000</v>
      </c>
      <c r="V81" s="54">
        <f t="shared" ca="1" si="23"/>
        <v>2000</v>
      </c>
      <c r="W81" s="54">
        <f t="shared" ca="1" si="23"/>
        <v>3000</v>
      </c>
      <c r="X81" s="54">
        <f t="shared" ca="1" si="23"/>
        <v>4000</v>
      </c>
      <c r="Y81" s="54">
        <f t="shared" ca="1" si="23"/>
        <v>5000</v>
      </c>
      <c r="Z81" s="54">
        <f t="shared" ca="1" si="23"/>
        <v>6000</v>
      </c>
      <c r="AA81" s="54">
        <f t="shared" ca="1" si="23"/>
        <v>7000</v>
      </c>
      <c r="AB81" s="54">
        <f t="shared" ca="1" si="23"/>
        <v>8000</v>
      </c>
      <c r="AC81" s="54">
        <f t="shared" ca="1" si="23"/>
        <v>9000</v>
      </c>
    </row>
    <row r="82" spans="3:29">
      <c r="C82" s="53" t="str">
        <f t="shared" si="13"/>
        <v>solar thermal central reciever</v>
      </c>
      <c r="D82" s="54">
        <f t="shared" ref="D82:AC82" si="24">ROUND(D18/($B60+eps),0)</f>
        <v>0</v>
      </c>
      <c r="E82" s="54">
        <f t="shared" si="24"/>
        <v>0</v>
      </c>
      <c r="F82" s="54">
        <f t="shared" si="24"/>
        <v>0</v>
      </c>
      <c r="G82" s="54">
        <f t="shared" si="24"/>
        <v>0</v>
      </c>
      <c r="H82" s="54">
        <f t="shared" si="24"/>
        <v>0</v>
      </c>
      <c r="I82" s="54">
        <f t="shared" ca="1" si="24"/>
        <v>0</v>
      </c>
      <c r="J82" s="54">
        <f t="shared" ca="1" si="24"/>
        <v>0</v>
      </c>
      <c r="K82" s="54">
        <f t="shared" ca="1" si="24"/>
        <v>0</v>
      </c>
      <c r="L82" s="54">
        <f t="shared" ca="1" si="24"/>
        <v>0</v>
      </c>
      <c r="M82" s="54">
        <f t="shared" ca="1" si="24"/>
        <v>0</v>
      </c>
      <c r="N82" s="54">
        <f t="shared" ca="1" si="24"/>
        <v>1</v>
      </c>
      <c r="O82" s="54">
        <f t="shared" ca="1" si="24"/>
        <v>3</v>
      </c>
      <c r="P82" s="54">
        <f t="shared" ca="1" si="24"/>
        <v>7</v>
      </c>
      <c r="Q82" s="54">
        <f t="shared" ca="1" si="24"/>
        <v>15</v>
      </c>
      <c r="R82" s="54">
        <f t="shared" ca="1" si="24"/>
        <v>27</v>
      </c>
      <c r="S82" s="54">
        <f t="shared" ca="1" si="24"/>
        <v>43</v>
      </c>
      <c r="T82" s="54">
        <f t="shared" ca="1" si="24"/>
        <v>63</v>
      </c>
      <c r="U82" s="54">
        <f t="shared" ca="1" si="24"/>
        <v>83</v>
      </c>
      <c r="V82" s="54">
        <f t="shared" ca="1" si="24"/>
        <v>113</v>
      </c>
      <c r="W82" s="54">
        <f t="shared" ca="1" si="24"/>
        <v>143</v>
      </c>
      <c r="X82" s="54">
        <f t="shared" ca="1" si="24"/>
        <v>173</v>
      </c>
      <c r="Y82" s="54">
        <f t="shared" ca="1" si="24"/>
        <v>203</v>
      </c>
      <c r="Z82" s="54">
        <f t="shared" ca="1" si="24"/>
        <v>233</v>
      </c>
      <c r="AA82" s="54">
        <f t="shared" ca="1" si="24"/>
        <v>263</v>
      </c>
      <c r="AB82" s="54">
        <f t="shared" ca="1" si="24"/>
        <v>293</v>
      </c>
      <c r="AC82" s="54">
        <f t="shared" ca="1" si="24"/>
        <v>323</v>
      </c>
    </row>
    <row r="83" spans="3:29">
      <c r="C83" s="53" t="str">
        <f t="shared" si="13"/>
        <v>solar thermal trough</v>
      </c>
      <c r="D83" s="54">
        <f t="shared" ref="D83:AC83" si="25">ROUND(D19/($B61+eps),0)</f>
        <v>0</v>
      </c>
      <c r="E83" s="54">
        <f t="shared" si="25"/>
        <v>0</v>
      </c>
      <c r="F83" s="54">
        <f t="shared" si="25"/>
        <v>0</v>
      </c>
      <c r="G83" s="54">
        <f t="shared" si="25"/>
        <v>0</v>
      </c>
      <c r="H83" s="54">
        <f t="shared" si="25"/>
        <v>0</v>
      </c>
      <c r="I83" s="54">
        <f t="shared" ca="1" si="25"/>
        <v>0</v>
      </c>
      <c r="J83" s="54">
        <f t="shared" ca="1" si="25"/>
        <v>0</v>
      </c>
      <c r="K83" s="54">
        <f t="shared" ca="1" si="25"/>
        <v>0</v>
      </c>
      <c r="L83" s="54">
        <f t="shared" ca="1" si="25"/>
        <v>0</v>
      </c>
      <c r="M83" s="54">
        <f t="shared" ca="1" si="25"/>
        <v>0</v>
      </c>
      <c r="N83" s="54">
        <f t="shared" ca="1" si="25"/>
        <v>0</v>
      </c>
      <c r="O83" s="54">
        <f t="shared" ca="1" si="25"/>
        <v>0</v>
      </c>
      <c r="P83" s="54">
        <f t="shared" ca="1" si="25"/>
        <v>0</v>
      </c>
      <c r="Q83" s="54">
        <f t="shared" ca="1" si="25"/>
        <v>0</v>
      </c>
      <c r="R83" s="54">
        <f t="shared" ca="1" si="25"/>
        <v>0</v>
      </c>
      <c r="S83" s="54">
        <f t="shared" ca="1" si="25"/>
        <v>0</v>
      </c>
      <c r="T83" s="54">
        <f t="shared" ca="1" si="25"/>
        <v>0</v>
      </c>
      <c r="U83" s="54">
        <f t="shared" ca="1" si="25"/>
        <v>0</v>
      </c>
      <c r="V83" s="54">
        <f t="shared" ca="1" si="25"/>
        <v>0</v>
      </c>
      <c r="W83" s="54">
        <f t="shared" ca="1" si="25"/>
        <v>0</v>
      </c>
      <c r="X83" s="54">
        <f t="shared" ca="1" si="25"/>
        <v>0</v>
      </c>
      <c r="Y83" s="54">
        <f t="shared" ca="1" si="25"/>
        <v>0</v>
      </c>
      <c r="Z83" s="54">
        <f t="shared" ca="1" si="25"/>
        <v>0</v>
      </c>
      <c r="AA83" s="54">
        <f t="shared" ca="1" si="25"/>
        <v>0</v>
      </c>
      <c r="AB83" s="54">
        <f t="shared" ca="1" si="25"/>
        <v>0</v>
      </c>
      <c r="AC83" s="54">
        <f t="shared" ca="1" si="25"/>
        <v>0</v>
      </c>
    </row>
    <row r="84" spans="3:29">
      <c r="C84" s="53" t="str">
        <f t="shared" si="13"/>
        <v>solar PV</v>
      </c>
      <c r="D84" s="54">
        <f t="shared" ref="D84:AC84" si="26">ROUND(D20/($B62+eps),0)</f>
        <v>0</v>
      </c>
      <c r="E84" s="54">
        <f t="shared" si="26"/>
        <v>0</v>
      </c>
      <c r="F84" s="54">
        <f t="shared" si="26"/>
        <v>0</v>
      </c>
      <c r="G84" s="54">
        <f t="shared" si="26"/>
        <v>0</v>
      </c>
      <c r="H84" s="54">
        <f t="shared" si="26"/>
        <v>0</v>
      </c>
      <c r="I84" s="54">
        <f t="shared" ca="1" si="26"/>
        <v>0</v>
      </c>
      <c r="J84" s="54">
        <f t="shared" ca="1" si="26"/>
        <v>0</v>
      </c>
      <c r="K84" s="54">
        <f t="shared" ca="1" si="26"/>
        <v>0</v>
      </c>
      <c r="L84" s="54">
        <f t="shared" ca="1" si="26"/>
        <v>0</v>
      </c>
      <c r="M84" s="54">
        <f t="shared" ca="1" si="26"/>
        <v>0</v>
      </c>
      <c r="N84" s="54">
        <f t="shared" ca="1" si="26"/>
        <v>0</v>
      </c>
      <c r="O84" s="54">
        <f t="shared" ca="1" si="26"/>
        <v>0</v>
      </c>
      <c r="P84" s="54">
        <f t="shared" ca="1" si="26"/>
        <v>0</v>
      </c>
      <c r="Q84" s="54">
        <f t="shared" ca="1" si="26"/>
        <v>0</v>
      </c>
      <c r="R84" s="54">
        <f t="shared" ca="1" si="26"/>
        <v>0</v>
      </c>
      <c r="S84" s="54">
        <f t="shared" ca="1" si="26"/>
        <v>0</v>
      </c>
      <c r="T84" s="54">
        <f t="shared" ca="1" si="26"/>
        <v>0</v>
      </c>
      <c r="U84" s="54">
        <f t="shared" ca="1" si="26"/>
        <v>0</v>
      </c>
      <c r="V84" s="54">
        <f t="shared" ca="1" si="26"/>
        <v>0</v>
      </c>
      <c r="W84" s="54">
        <f t="shared" ca="1" si="26"/>
        <v>0</v>
      </c>
      <c r="X84" s="54">
        <f t="shared" ca="1" si="26"/>
        <v>0</v>
      </c>
      <c r="Y84" s="54">
        <f t="shared" ca="1" si="26"/>
        <v>0</v>
      </c>
      <c r="Z84" s="54">
        <f t="shared" ca="1" si="26"/>
        <v>0</v>
      </c>
      <c r="AA84" s="54">
        <f t="shared" ca="1" si="26"/>
        <v>0</v>
      </c>
      <c r="AB84" s="54">
        <f t="shared" ca="1" si="26"/>
        <v>0</v>
      </c>
      <c r="AC84" s="54">
        <f t="shared" ca="1" si="26"/>
        <v>0</v>
      </c>
    </row>
    <row r="85" spans="3:29">
      <c r="C85" s="53" t="str">
        <f t="shared" si="13"/>
        <v>combined cycle gas</v>
      </c>
      <c r="D85" s="54">
        <f t="shared" ref="D85:AC85" si="27">ROUND(D21/($B63+eps),0)</f>
        <v>0</v>
      </c>
      <c r="E85" s="54">
        <f t="shared" si="27"/>
        <v>0</v>
      </c>
      <c r="F85" s="54">
        <f t="shared" si="27"/>
        <v>0</v>
      </c>
      <c r="G85" s="54">
        <f t="shared" si="27"/>
        <v>0</v>
      </c>
      <c r="H85" s="54">
        <f t="shared" si="27"/>
        <v>0</v>
      </c>
      <c r="I85" s="54">
        <f t="shared" ca="1" si="27"/>
        <v>0</v>
      </c>
      <c r="J85" s="54">
        <f t="shared" ca="1" si="27"/>
        <v>0</v>
      </c>
      <c r="K85" s="54">
        <f t="shared" ca="1" si="27"/>
        <v>0</v>
      </c>
      <c r="L85" s="54">
        <f t="shared" ca="1" si="27"/>
        <v>0</v>
      </c>
      <c r="M85" s="54">
        <f t="shared" ca="1" si="27"/>
        <v>0</v>
      </c>
      <c r="N85" s="54">
        <f t="shared" ca="1" si="27"/>
        <v>0</v>
      </c>
      <c r="O85" s="54">
        <f t="shared" ca="1" si="27"/>
        <v>0</v>
      </c>
      <c r="P85" s="54">
        <f t="shared" ca="1" si="27"/>
        <v>0</v>
      </c>
      <c r="Q85" s="54">
        <f t="shared" ca="1" si="27"/>
        <v>0</v>
      </c>
      <c r="R85" s="54">
        <f t="shared" ca="1" si="27"/>
        <v>0</v>
      </c>
      <c r="S85" s="54">
        <f t="shared" ca="1" si="27"/>
        <v>0</v>
      </c>
      <c r="T85" s="54">
        <f t="shared" ca="1" si="27"/>
        <v>0</v>
      </c>
      <c r="U85" s="54">
        <f t="shared" ca="1" si="27"/>
        <v>0</v>
      </c>
      <c r="V85" s="54">
        <f t="shared" ca="1" si="27"/>
        <v>0</v>
      </c>
      <c r="W85" s="54">
        <f t="shared" ca="1" si="27"/>
        <v>0</v>
      </c>
      <c r="X85" s="54">
        <f t="shared" ca="1" si="27"/>
        <v>0</v>
      </c>
      <c r="Y85" s="54">
        <f t="shared" ca="1" si="27"/>
        <v>0</v>
      </c>
      <c r="Z85" s="54">
        <f t="shared" ca="1" si="27"/>
        <v>2</v>
      </c>
      <c r="AA85" s="54">
        <f t="shared" ca="1" si="27"/>
        <v>5</v>
      </c>
      <c r="AB85" s="54">
        <f t="shared" ca="1" si="27"/>
        <v>8</v>
      </c>
      <c r="AC85" s="54">
        <f t="shared" ca="1" si="27"/>
        <v>8</v>
      </c>
    </row>
    <row r="86" spans="3:29">
      <c r="C86" s="53" t="str">
        <f t="shared" si="13"/>
        <v>PBMR</v>
      </c>
      <c r="D86" s="54">
        <f t="shared" ref="D86:AC86" si="28">ROUND(D22/($B64+eps),0)</f>
        <v>0</v>
      </c>
      <c r="E86" s="54">
        <f t="shared" si="28"/>
        <v>0</v>
      </c>
      <c r="F86" s="54">
        <f t="shared" si="28"/>
        <v>0</v>
      </c>
      <c r="G86" s="54">
        <f t="shared" si="28"/>
        <v>0</v>
      </c>
      <c r="H86" s="54">
        <f t="shared" si="28"/>
        <v>0</v>
      </c>
      <c r="I86" s="54">
        <f t="shared" ca="1" si="28"/>
        <v>0</v>
      </c>
      <c r="J86" s="54">
        <f t="shared" ca="1" si="28"/>
        <v>0</v>
      </c>
      <c r="K86" s="54">
        <f t="shared" ca="1" si="28"/>
        <v>0</v>
      </c>
      <c r="L86" s="54">
        <f t="shared" ca="1" si="28"/>
        <v>0</v>
      </c>
      <c r="M86" s="54">
        <f t="shared" ca="1" si="28"/>
        <v>0</v>
      </c>
      <c r="N86" s="54">
        <f t="shared" ca="1" si="28"/>
        <v>0</v>
      </c>
      <c r="O86" s="54">
        <f t="shared" ca="1" si="28"/>
        <v>0</v>
      </c>
      <c r="P86" s="54">
        <f t="shared" ca="1" si="28"/>
        <v>0</v>
      </c>
      <c r="Q86" s="54">
        <f t="shared" ca="1" si="28"/>
        <v>0</v>
      </c>
      <c r="R86" s="54">
        <f t="shared" ca="1" si="28"/>
        <v>0</v>
      </c>
      <c r="S86" s="54">
        <f t="shared" ca="1" si="28"/>
        <v>0</v>
      </c>
      <c r="T86" s="54">
        <f t="shared" ca="1" si="28"/>
        <v>0</v>
      </c>
      <c r="U86" s="54">
        <f t="shared" ca="1" si="28"/>
        <v>0</v>
      </c>
      <c r="V86" s="54">
        <f t="shared" ca="1" si="28"/>
        <v>0</v>
      </c>
      <c r="W86" s="54">
        <f t="shared" ca="1" si="28"/>
        <v>0</v>
      </c>
      <c r="X86" s="54">
        <f t="shared" ca="1" si="28"/>
        <v>0</v>
      </c>
      <c r="Y86" s="54">
        <f t="shared" ca="1" si="28"/>
        <v>0</v>
      </c>
      <c r="Z86" s="54">
        <f t="shared" ca="1" si="28"/>
        <v>0</v>
      </c>
      <c r="AA86" s="54">
        <f t="shared" ca="1" si="28"/>
        <v>0</v>
      </c>
      <c r="AB86" s="54">
        <f t="shared" ca="1" si="28"/>
        <v>0</v>
      </c>
      <c r="AC86" s="54">
        <f t="shared" ca="1" si="28"/>
        <v>0</v>
      </c>
    </row>
    <row r="87" spans="3:29">
      <c r="C87" s="53" t="str">
        <f t="shared" si="13"/>
        <v>IGCC</v>
      </c>
      <c r="D87" s="54">
        <f t="shared" ref="D87:AC87" si="29">ROUND(D23/($B65+eps),0)</f>
        <v>0</v>
      </c>
      <c r="E87" s="54">
        <f t="shared" si="29"/>
        <v>0</v>
      </c>
      <c r="F87" s="54">
        <f t="shared" si="29"/>
        <v>0</v>
      </c>
      <c r="G87" s="54">
        <f t="shared" si="29"/>
        <v>0</v>
      </c>
      <c r="H87" s="54">
        <f t="shared" si="29"/>
        <v>0</v>
      </c>
      <c r="I87" s="54">
        <f t="shared" ca="1" si="29"/>
        <v>0</v>
      </c>
      <c r="J87" s="54">
        <f t="shared" ca="1" si="29"/>
        <v>0</v>
      </c>
      <c r="K87" s="54">
        <f t="shared" ca="1" si="29"/>
        <v>0</v>
      </c>
      <c r="L87" s="54">
        <f t="shared" ca="1" si="29"/>
        <v>0</v>
      </c>
      <c r="M87" s="54">
        <f t="shared" ca="1" si="29"/>
        <v>0</v>
      </c>
      <c r="N87" s="54">
        <f t="shared" ca="1" si="29"/>
        <v>0</v>
      </c>
      <c r="O87" s="54">
        <f t="shared" ca="1" si="29"/>
        <v>0</v>
      </c>
      <c r="P87" s="54">
        <f t="shared" ca="1" si="29"/>
        <v>0</v>
      </c>
      <c r="Q87" s="54">
        <f t="shared" ca="1" si="29"/>
        <v>0</v>
      </c>
      <c r="R87" s="54">
        <f t="shared" ca="1" si="29"/>
        <v>0</v>
      </c>
      <c r="S87" s="54">
        <f t="shared" ca="1" si="29"/>
        <v>0</v>
      </c>
      <c r="T87" s="54">
        <f t="shared" ca="1" si="29"/>
        <v>0</v>
      </c>
      <c r="U87" s="54">
        <f t="shared" ca="1" si="29"/>
        <v>0</v>
      </c>
      <c r="V87" s="54">
        <f t="shared" ca="1" si="29"/>
        <v>0</v>
      </c>
      <c r="W87" s="54">
        <f t="shared" ca="1" si="29"/>
        <v>0</v>
      </c>
      <c r="X87" s="54">
        <f t="shared" ca="1" si="29"/>
        <v>0</v>
      </c>
      <c r="Y87" s="54">
        <f t="shared" ca="1" si="29"/>
        <v>0</v>
      </c>
      <c r="Z87" s="54">
        <f t="shared" ca="1" si="29"/>
        <v>0</v>
      </c>
      <c r="AA87" s="54">
        <f t="shared" ca="1" si="29"/>
        <v>0</v>
      </c>
      <c r="AB87" s="54">
        <f t="shared" ca="1" si="29"/>
        <v>1</v>
      </c>
      <c r="AC87" s="54">
        <f t="shared" ca="1" si="29"/>
        <v>2</v>
      </c>
    </row>
    <row r="88" spans="3:29">
      <c r="C88" s="53" t="str">
        <f t="shared" si="13"/>
        <v>-</v>
      </c>
      <c r="D88" s="54">
        <f t="shared" ref="D88:AC88" si="30">ROUND(D24/($B66+eps),0)</f>
        <v>0</v>
      </c>
      <c r="E88" s="54">
        <f t="shared" si="30"/>
        <v>0</v>
      </c>
      <c r="F88" s="54">
        <f t="shared" si="30"/>
        <v>0</v>
      </c>
      <c r="G88" s="54">
        <f t="shared" si="30"/>
        <v>0</v>
      </c>
      <c r="H88" s="54">
        <f t="shared" si="30"/>
        <v>0</v>
      </c>
      <c r="I88" s="54">
        <f t="shared" ca="1" si="30"/>
        <v>0</v>
      </c>
      <c r="J88" s="54">
        <f t="shared" ca="1" si="30"/>
        <v>0</v>
      </c>
      <c r="K88" s="54">
        <f t="shared" ca="1" si="30"/>
        <v>0</v>
      </c>
      <c r="L88" s="54">
        <f t="shared" ca="1" si="30"/>
        <v>0</v>
      </c>
      <c r="M88" s="54">
        <f t="shared" ca="1" si="30"/>
        <v>0</v>
      </c>
      <c r="N88" s="54">
        <f t="shared" ca="1" si="30"/>
        <v>0</v>
      </c>
      <c r="O88" s="54">
        <f t="shared" ca="1" si="30"/>
        <v>0</v>
      </c>
      <c r="P88" s="54">
        <f t="shared" ca="1" si="30"/>
        <v>0</v>
      </c>
      <c r="Q88" s="54">
        <f t="shared" ca="1" si="30"/>
        <v>0</v>
      </c>
      <c r="R88" s="54">
        <f t="shared" ca="1" si="30"/>
        <v>0</v>
      </c>
      <c r="S88" s="54">
        <f t="shared" ca="1" si="30"/>
        <v>0</v>
      </c>
      <c r="T88" s="54">
        <f t="shared" ca="1" si="30"/>
        <v>0</v>
      </c>
      <c r="U88" s="54">
        <f t="shared" ca="1" si="30"/>
        <v>0</v>
      </c>
      <c r="V88" s="54">
        <f t="shared" ca="1" si="30"/>
        <v>0</v>
      </c>
      <c r="W88" s="54">
        <f t="shared" ca="1" si="30"/>
        <v>0</v>
      </c>
      <c r="X88" s="54">
        <f t="shared" ca="1" si="30"/>
        <v>0</v>
      </c>
      <c r="Y88" s="54">
        <f t="shared" ca="1" si="30"/>
        <v>0</v>
      </c>
      <c r="Z88" s="54">
        <f t="shared" ca="1" si="30"/>
        <v>0</v>
      </c>
      <c r="AA88" s="54">
        <f t="shared" ca="1" si="30"/>
        <v>0</v>
      </c>
      <c r="AB88" s="54">
        <f t="shared" ca="1" si="30"/>
        <v>0</v>
      </c>
      <c r="AC88" s="54">
        <f t="shared" ca="1" si="30"/>
        <v>0</v>
      </c>
    </row>
    <row r="89" spans="3:29">
      <c r="C89" s="53" t="str">
        <f t="shared" si="13"/>
        <v>-</v>
      </c>
      <c r="D89" s="54">
        <f t="shared" ref="D89:AC89" si="31">ROUND(D25/($B67+eps),0)</f>
        <v>0</v>
      </c>
      <c r="E89" s="54">
        <f t="shared" si="31"/>
        <v>0</v>
      </c>
      <c r="F89" s="54">
        <f t="shared" si="31"/>
        <v>0</v>
      </c>
      <c r="G89" s="54">
        <f t="shared" si="31"/>
        <v>0</v>
      </c>
      <c r="H89" s="54">
        <f t="shared" si="31"/>
        <v>0</v>
      </c>
      <c r="I89" s="54">
        <f t="shared" ca="1" si="31"/>
        <v>0</v>
      </c>
      <c r="J89" s="54">
        <f t="shared" ca="1" si="31"/>
        <v>0</v>
      </c>
      <c r="K89" s="54">
        <f t="shared" ca="1" si="31"/>
        <v>0</v>
      </c>
      <c r="L89" s="54">
        <f t="shared" ca="1" si="31"/>
        <v>0</v>
      </c>
      <c r="M89" s="54">
        <f t="shared" ca="1" si="31"/>
        <v>0</v>
      </c>
      <c r="N89" s="54">
        <f t="shared" ca="1" si="31"/>
        <v>0</v>
      </c>
      <c r="O89" s="54">
        <f t="shared" ca="1" si="31"/>
        <v>0</v>
      </c>
      <c r="P89" s="54">
        <f t="shared" ca="1" si="31"/>
        <v>0</v>
      </c>
      <c r="Q89" s="54">
        <f t="shared" ca="1" si="31"/>
        <v>0</v>
      </c>
      <c r="R89" s="54">
        <f t="shared" ca="1" si="31"/>
        <v>0</v>
      </c>
      <c r="S89" s="54">
        <f t="shared" ca="1" si="31"/>
        <v>0</v>
      </c>
      <c r="T89" s="54">
        <f t="shared" ca="1" si="31"/>
        <v>0</v>
      </c>
      <c r="U89" s="54">
        <f t="shared" ca="1" si="31"/>
        <v>0</v>
      </c>
      <c r="V89" s="54">
        <f t="shared" ca="1" si="31"/>
        <v>0</v>
      </c>
      <c r="W89" s="54">
        <f t="shared" ca="1" si="31"/>
        <v>0</v>
      </c>
      <c r="X89" s="54">
        <f t="shared" ca="1" si="31"/>
        <v>0</v>
      </c>
      <c r="Y89" s="54">
        <f t="shared" ca="1" si="31"/>
        <v>0</v>
      </c>
      <c r="Z89" s="54">
        <f t="shared" ca="1" si="31"/>
        <v>0</v>
      </c>
      <c r="AA89" s="54">
        <f t="shared" ca="1" si="31"/>
        <v>0</v>
      </c>
      <c r="AB89" s="54">
        <f t="shared" ca="1" si="31"/>
        <v>0</v>
      </c>
      <c r="AC89" s="54">
        <f t="shared" ca="1" si="31"/>
        <v>0</v>
      </c>
    </row>
    <row r="90" spans="3:29">
      <c r="C90" s="53" t="str">
        <f t="shared" si="13"/>
        <v>-</v>
      </c>
      <c r="D90" s="54">
        <f t="shared" ref="D90:AC90" si="32">ROUND(D26/($B68+eps),0)</f>
        <v>0</v>
      </c>
      <c r="E90" s="54">
        <f t="shared" si="32"/>
        <v>0</v>
      </c>
      <c r="F90" s="54">
        <f t="shared" si="32"/>
        <v>0</v>
      </c>
      <c r="G90" s="54">
        <f t="shared" si="32"/>
        <v>0</v>
      </c>
      <c r="H90" s="54">
        <f t="shared" si="32"/>
        <v>0</v>
      </c>
      <c r="I90" s="54">
        <f t="shared" ca="1" si="32"/>
        <v>0</v>
      </c>
      <c r="J90" s="54">
        <f t="shared" ca="1" si="32"/>
        <v>0</v>
      </c>
      <c r="K90" s="54">
        <f t="shared" ca="1" si="32"/>
        <v>0</v>
      </c>
      <c r="L90" s="54">
        <f t="shared" ca="1" si="32"/>
        <v>0</v>
      </c>
      <c r="M90" s="54">
        <f t="shared" ca="1" si="32"/>
        <v>0</v>
      </c>
      <c r="N90" s="54">
        <f t="shared" ca="1" si="32"/>
        <v>0</v>
      </c>
      <c r="O90" s="54">
        <f t="shared" ca="1" si="32"/>
        <v>0</v>
      </c>
      <c r="P90" s="54">
        <f t="shared" ca="1" si="32"/>
        <v>0</v>
      </c>
      <c r="Q90" s="54">
        <f t="shared" ca="1" si="32"/>
        <v>0</v>
      </c>
      <c r="R90" s="54">
        <f t="shared" ca="1" si="32"/>
        <v>0</v>
      </c>
      <c r="S90" s="54">
        <f t="shared" ca="1" si="32"/>
        <v>0</v>
      </c>
      <c r="T90" s="54">
        <f t="shared" ca="1" si="32"/>
        <v>0</v>
      </c>
      <c r="U90" s="54">
        <f t="shared" ca="1" si="32"/>
        <v>0</v>
      </c>
      <c r="V90" s="54">
        <f t="shared" ca="1" si="32"/>
        <v>0</v>
      </c>
      <c r="W90" s="54">
        <f t="shared" ca="1" si="32"/>
        <v>0</v>
      </c>
      <c r="X90" s="54">
        <f t="shared" ca="1" si="32"/>
        <v>0</v>
      </c>
      <c r="Y90" s="54">
        <f t="shared" ca="1" si="32"/>
        <v>0</v>
      </c>
      <c r="Z90" s="54">
        <f t="shared" ca="1" si="32"/>
        <v>0</v>
      </c>
      <c r="AA90" s="54">
        <f t="shared" ca="1" si="32"/>
        <v>0</v>
      </c>
      <c r="AB90" s="54">
        <f t="shared" ca="1" si="32"/>
        <v>0</v>
      </c>
      <c r="AC90" s="54">
        <f t="shared" ca="1" si="32"/>
        <v>0</v>
      </c>
    </row>
    <row r="91" spans="3:29">
      <c r="C91" s="53" t="str">
        <f t="shared" si="13"/>
        <v>Pumped storage</v>
      </c>
      <c r="D91" s="54">
        <f t="shared" ref="D91:AC91" si="33">ROUND(D27/($B69+eps),0)</f>
        <v>5</v>
      </c>
      <c r="E91" s="54">
        <f t="shared" si="33"/>
        <v>5</v>
      </c>
      <c r="F91" s="54">
        <f t="shared" si="33"/>
        <v>5</v>
      </c>
      <c r="G91" s="54">
        <f t="shared" si="33"/>
        <v>5</v>
      </c>
      <c r="H91" s="54">
        <f t="shared" si="33"/>
        <v>5</v>
      </c>
      <c r="I91" s="54">
        <f t="shared" ca="1" si="33"/>
        <v>5</v>
      </c>
      <c r="J91" s="54">
        <f t="shared" ca="1" si="33"/>
        <v>5</v>
      </c>
      <c r="K91" s="54">
        <f t="shared" ca="1" si="33"/>
        <v>5</v>
      </c>
      <c r="L91" s="54">
        <f t="shared" ca="1" si="33"/>
        <v>7</v>
      </c>
      <c r="M91" s="54">
        <f t="shared" ca="1" si="33"/>
        <v>9</v>
      </c>
      <c r="N91" s="54">
        <f t="shared" ca="1" si="33"/>
        <v>11</v>
      </c>
      <c r="O91" s="54">
        <f t="shared" ca="1" si="33"/>
        <v>13</v>
      </c>
      <c r="P91" s="54">
        <f t="shared" ca="1" si="33"/>
        <v>13</v>
      </c>
      <c r="Q91" s="54">
        <f t="shared" ca="1" si="33"/>
        <v>13</v>
      </c>
      <c r="R91" s="54">
        <f t="shared" ca="1" si="33"/>
        <v>13</v>
      </c>
      <c r="S91" s="54">
        <f t="shared" ca="1" si="33"/>
        <v>13</v>
      </c>
      <c r="T91" s="54">
        <f t="shared" ca="1" si="33"/>
        <v>13</v>
      </c>
      <c r="U91" s="54">
        <f t="shared" ca="1" si="33"/>
        <v>13</v>
      </c>
      <c r="V91" s="54">
        <f t="shared" ca="1" si="33"/>
        <v>13</v>
      </c>
      <c r="W91" s="54">
        <f t="shared" ca="1" si="33"/>
        <v>13</v>
      </c>
      <c r="X91" s="54">
        <f t="shared" ca="1" si="33"/>
        <v>13</v>
      </c>
      <c r="Y91" s="54">
        <f t="shared" ca="1" si="33"/>
        <v>13</v>
      </c>
      <c r="Z91" s="54">
        <f t="shared" ca="1" si="33"/>
        <v>13</v>
      </c>
      <c r="AA91" s="54">
        <f t="shared" ca="1" si="33"/>
        <v>13</v>
      </c>
      <c r="AB91" s="54">
        <f t="shared" ca="1" si="33"/>
        <v>13</v>
      </c>
      <c r="AC91" s="54">
        <f t="shared" ca="1" si="33"/>
        <v>13</v>
      </c>
    </row>
    <row r="92" spans="3:29">
      <c r="C92" s="22" t="s">
        <v>538</v>
      </c>
      <c r="D92" s="14"/>
      <c r="E92" s="14"/>
      <c r="F92" s="14"/>
      <c r="G92" s="14"/>
      <c r="I92" s="54">
        <f t="shared" ref="I92:AC92" si="34">ROUND(I40/($B70+eps),0)</f>
        <v>4</v>
      </c>
      <c r="J92" s="54">
        <f t="shared" si="34"/>
        <v>4</v>
      </c>
      <c r="K92" s="54">
        <f t="shared" si="34"/>
        <v>4</v>
      </c>
      <c r="L92" s="54">
        <f t="shared" si="34"/>
        <v>4</v>
      </c>
      <c r="M92" s="54">
        <f t="shared" si="34"/>
        <v>4</v>
      </c>
      <c r="N92" s="54">
        <f t="shared" si="34"/>
        <v>4</v>
      </c>
      <c r="O92" s="54">
        <f t="shared" si="34"/>
        <v>4</v>
      </c>
      <c r="P92" s="54">
        <f t="shared" si="34"/>
        <v>4</v>
      </c>
      <c r="Q92" s="54">
        <f t="shared" si="34"/>
        <v>4</v>
      </c>
      <c r="R92" s="54">
        <f t="shared" si="34"/>
        <v>4</v>
      </c>
      <c r="S92" s="54">
        <f t="shared" si="34"/>
        <v>4</v>
      </c>
      <c r="T92" s="54">
        <f t="shared" si="34"/>
        <v>4</v>
      </c>
      <c r="U92" s="54">
        <f t="shared" si="34"/>
        <v>4</v>
      </c>
      <c r="V92" s="54">
        <f t="shared" si="34"/>
        <v>4</v>
      </c>
      <c r="W92" s="54">
        <f t="shared" si="34"/>
        <v>4</v>
      </c>
      <c r="X92" s="54">
        <f t="shared" si="34"/>
        <v>4</v>
      </c>
      <c r="Y92" s="54">
        <f t="shared" si="34"/>
        <v>4</v>
      </c>
      <c r="Z92" s="54">
        <f t="shared" si="34"/>
        <v>4</v>
      </c>
      <c r="AA92" s="54">
        <f t="shared" si="34"/>
        <v>4</v>
      </c>
      <c r="AB92" s="54">
        <f t="shared" si="34"/>
        <v>4</v>
      </c>
      <c r="AC92" s="54">
        <f t="shared" si="34"/>
        <v>4</v>
      </c>
    </row>
    <row r="93" spans="3:29">
      <c r="C93" s="22" t="s">
        <v>329</v>
      </c>
      <c r="D93" s="14"/>
      <c r="E93" s="14"/>
      <c r="F93" s="14"/>
      <c r="G93" s="14"/>
      <c r="I93" s="81">
        <f ca="1">SUMIF('Tech Parameters'!$L$6:$L$25,"PDF_1",'Alt scen Calcs'!I$8:I$27)</f>
        <v>0.1</v>
      </c>
      <c r="J93" s="81">
        <f ca="1">SUMIF('Tech Parameters'!$L$6:$L$25,"PDF_1",'Alt scen Calcs'!J$8:J$27)</f>
        <v>0.30000000000000004</v>
      </c>
      <c r="K93" s="81">
        <f ca="1">SUMIF('Tech Parameters'!$L$6:$L$25,"PDF_1",'Alt scen Calcs'!K$8:K$27)</f>
        <v>0.5</v>
      </c>
      <c r="L93" s="81">
        <f ca="1">SUMIF('Tech Parameters'!$L$6:$L$25,"PDF_1",'Alt scen Calcs'!L$8:L$27)</f>
        <v>0.9</v>
      </c>
      <c r="M93" s="81">
        <f ca="1">SUMIF('Tech Parameters'!$L$6:$L$25,"PDF_1",'Alt scen Calcs'!M$8:M$27)</f>
        <v>1.3</v>
      </c>
      <c r="N93" s="81">
        <f ca="1">SUMIF('Tech Parameters'!$L$6:$L$25,"PDF_1",'Alt scen Calcs'!N$8:N$27)</f>
        <v>2.1</v>
      </c>
      <c r="O93" s="81">
        <f ca="1">SUMIF('Tech Parameters'!$L$6:$L$25,"PDF_1",'Alt scen Calcs'!O$8:O$27)</f>
        <v>2.9000000000000004</v>
      </c>
      <c r="P93" s="81">
        <f ca="1">SUMIF('Tech Parameters'!$L$6:$L$25,"PDF_1",'Alt scen Calcs'!P$8:P$27)</f>
        <v>3.9000000000000004</v>
      </c>
      <c r="Q93" s="81">
        <f ca="1">SUMIF('Tech Parameters'!$L$6:$L$25,"PDF_1",'Alt scen Calcs'!Q$8:Q$27)</f>
        <v>4.9000000000000004</v>
      </c>
      <c r="R93" s="81">
        <f ca="1">SUMIF('Tech Parameters'!$L$6:$L$25,"PDF_1",'Alt scen Calcs'!R$8:R$27)</f>
        <v>6.4</v>
      </c>
      <c r="S93" s="81">
        <f ca="1">SUMIF('Tech Parameters'!$L$6:$L$25,"PDF_1",'Alt scen Calcs'!S$8:S$27)</f>
        <v>7.9</v>
      </c>
      <c r="T93" s="81">
        <f ca="1">SUMIF('Tech Parameters'!$L$6:$L$25,"PDF_1",'Alt scen Calcs'!T$8:T$27)</f>
        <v>9.9</v>
      </c>
      <c r="U93" s="81">
        <f ca="1">SUMIF('Tech Parameters'!$L$6:$L$25,"PDF_1",'Alt scen Calcs'!U$8:U$27)</f>
        <v>9.9</v>
      </c>
      <c r="V93" s="81">
        <f ca="1">SUMIF('Tech Parameters'!$L$6:$L$25,"PDF_1",'Alt scen Calcs'!V$8:V$27)</f>
        <v>9.9</v>
      </c>
      <c r="W93" s="81">
        <f ca="1">SUMIF('Tech Parameters'!$L$6:$L$25,"PDF_1",'Alt scen Calcs'!W$8:W$27)</f>
        <v>9.9</v>
      </c>
      <c r="X93" s="81">
        <f ca="1">SUMIF('Tech Parameters'!$L$6:$L$25,"PDF_1",'Alt scen Calcs'!X$8:X$27)</f>
        <v>9.9</v>
      </c>
      <c r="Y93" s="81">
        <f ca="1">SUMIF('Tech Parameters'!$L$6:$L$25,"PDF_1",'Alt scen Calcs'!Y$8:Y$27)</f>
        <v>9.9</v>
      </c>
      <c r="Z93" s="81">
        <f ca="1">SUMIF('Tech Parameters'!$L$6:$L$25,"PDF_1",'Alt scen Calcs'!Z$8:Z$27)</f>
        <v>9.9</v>
      </c>
      <c r="AA93" s="81">
        <f ca="1">SUMIF('Tech Parameters'!$L$6:$L$25,"PDF_1",'Alt scen Calcs'!AA$8:AA$27)</f>
        <v>9.9</v>
      </c>
      <c r="AB93" s="81">
        <f ca="1">SUMIF('Tech Parameters'!$L$6:$L$25,"PDF_1",'Alt scen Calcs'!AB$8:AB$27)</f>
        <v>9.9</v>
      </c>
      <c r="AC93" s="81">
        <f ca="1">SUMIF('Tech Parameters'!$L$6:$L$25,"PDF_1",'Alt scen Calcs'!AC$8:AC$27)</f>
        <v>9.8000000000000007</v>
      </c>
    </row>
    <row r="94" spans="3:29">
      <c r="C94" s="22" t="s">
        <v>330</v>
      </c>
      <c r="D94" s="14"/>
      <c r="E94" s="14"/>
      <c r="F94" s="14"/>
      <c r="G94" s="14"/>
      <c r="I94" s="81">
        <f ca="1">SUMIF('Tech Parameters'!$L$6:$L$25,"PDF_2",'Alt scen Calcs'!I$8:I$27)</f>
        <v>0</v>
      </c>
      <c r="J94" s="81">
        <f ca="1">SUMIF('Tech Parameters'!$L$6:$L$25,"PDF_2",'Alt scen Calcs'!J$8:J$27)</f>
        <v>0</v>
      </c>
      <c r="K94" s="81">
        <f ca="1">SUMIF('Tech Parameters'!$L$6:$L$25,"PDF_2",'Alt scen Calcs'!K$8:K$27)</f>
        <v>0</v>
      </c>
      <c r="L94" s="81">
        <f ca="1">SUMIF('Tech Parameters'!$L$6:$L$25,"PDF_2",'Alt scen Calcs'!L$8:L$27)</f>
        <v>0</v>
      </c>
      <c r="M94" s="81">
        <f ca="1">SUMIF('Tech Parameters'!$L$6:$L$25,"PDF_2",'Alt scen Calcs'!M$8:M$27)</f>
        <v>0</v>
      </c>
      <c r="N94" s="81">
        <f ca="1">SUMIF('Tech Parameters'!$L$6:$L$25,"PDF_2",'Alt scen Calcs'!N$8:N$27)</f>
        <v>0</v>
      </c>
      <c r="O94" s="81">
        <f ca="1">SUMIF('Tech Parameters'!$L$6:$L$25,"PDF_2",'Alt scen Calcs'!O$8:O$27)</f>
        <v>0</v>
      </c>
      <c r="P94" s="81">
        <f ca="1">SUMIF('Tech Parameters'!$L$6:$L$25,"PDF_2",'Alt scen Calcs'!P$8:P$27)</f>
        <v>0</v>
      </c>
      <c r="Q94" s="81">
        <f ca="1">SUMIF('Tech Parameters'!$L$6:$L$25,"PDF_2",'Alt scen Calcs'!Q$8:Q$27)</f>
        <v>0</v>
      </c>
      <c r="R94" s="81">
        <f ca="1">SUMIF('Tech Parameters'!$L$6:$L$25,"PDF_2",'Alt scen Calcs'!R$8:R$27)</f>
        <v>0</v>
      </c>
      <c r="S94" s="81">
        <f ca="1">SUMIF('Tech Parameters'!$L$6:$L$25,"PDF_2",'Alt scen Calcs'!S$8:S$27)</f>
        <v>0</v>
      </c>
      <c r="T94" s="81">
        <f ca="1">SUMIF('Tech Parameters'!$L$6:$L$25,"PDF_2",'Alt scen Calcs'!T$8:T$27)</f>
        <v>0</v>
      </c>
      <c r="U94" s="81">
        <f ca="1">SUMIF('Tech Parameters'!$L$6:$L$25,"PDF_2",'Alt scen Calcs'!U$8:U$27)</f>
        <v>1</v>
      </c>
      <c r="V94" s="81">
        <f ca="1">SUMIF('Tech Parameters'!$L$6:$L$25,"PDF_2",'Alt scen Calcs'!V$8:V$27)</f>
        <v>2</v>
      </c>
      <c r="W94" s="81">
        <f ca="1">SUMIF('Tech Parameters'!$L$6:$L$25,"PDF_2",'Alt scen Calcs'!W$8:W$27)</f>
        <v>3</v>
      </c>
      <c r="X94" s="81">
        <f ca="1">SUMIF('Tech Parameters'!$L$6:$L$25,"PDF_2",'Alt scen Calcs'!X$8:X$27)</f>
        <v>4</v>
      </c>
      <c r="Y94" s="81">
        <f ca="1">SUMIF('Tech Parameters'!$L$6:$L$25,"PDF_2",'Alt scen Calcs'!Y$8:Y$27)</f>
        <v>5</v>
      </c>
      <c r="Z94" s="81">
        <f ca="1">SUMIF('Tech Parameters'!$L$6:$L$25,"PDF_2",'Alt scen Calcs'!Z$8:Z$27)</f>
        <v>6</v>
      </c>
      <c r="AA94" s="81">
        <f ca="1">SUMIF('Tech Parameters'!$L$6:$L$25,"PDF_2",'Alt scen Calcs'!AA$8:AA$27)</f>
        <v>7</v>
      </c>
      <c r="AB94" s="81">
        <f ca="1">SUMIF('Tech Parameters'!$L$6:$L$25,"PDF_2",'Alt scen Calcs'!AB$8:AB$27)</f>
        <v>8</v>
      </c>
      <c r="AC94" s="81">
        <f ca="1">SUMIF('Tech Parameters'!$L$6:$L$25,"PDF_2",'Alt scen Calcs'!AC$8:AC$27)</f>
        <v>9</v>
      </c>
    </row>
    <row r="95" spans="3:29">
      <c r="C95" s="14"/>
      <c r="D95" s="14"/>
      <c r="E95" s="14"/>
      <c r="F95" s="14"/>
      <c r="G95" s="14"/>
      <c r="I95" s="20"/>
    </row>
    <row r="96" spans="3:29">
      <c r="C96" s="14"/>
      <c r="D96" s="14"/>
      <c r="E96" s="14"/>
      <c r="F96" s="14"/>
      <c r="G96" s="14"/>
      <c r="I96" s="20"/>
    </row>
    <row r="97" spans="3:9">
      <c r="C97" s="14"/>
      <c r="D97" s="14"/>
      <c r="E97" s="14"/>
      <c r="F97" s="14"/>
      <c r="G97" s="14"/>
      <c r="I97" s="20"/>
    </row>
    <row r="98" spans="3:9">
      <c r="C98" s="14"/>
      <c r="D98" s="14"/>
      <c r="E98" s="14"/>
      <c r="F98" s="14"/>
      <c r="G98" s="14"/>
      <c r="I98" s="20"/>
    </row>
    <row r="99" spans="3:9">
      <c r="C99" s="14"/>
      <c r="D99" s="14"/>
      <c r="E99" s="14"/>
      <c r="F99" s="14"/>
      <c r="G99" s="14"/>
      <c r="I99" s="20"/>
    </row>
    <row r="100" spans="3:9">
      <c r="C100" s="14"/>
      <c r="D100" s="14"/>
      <c r="E100" s="14"/>
      <c r="F100" s="14"/>
      <c r="G100" s="14"/>
      <c r="I100" s="20"/>
    </row>
    <row r="101" spans="3:9">
      <c r="C101" s="14"/>
      <c r="D101" s="14"/>
      <c r="E101" s="14"/>
      <c r="F101" s="14"/>
      <c r="G101" s="14"/>
      <c r="I101" s="20"/>
    </row>
    <row r="102" spans="3:9">
      <c r="C102" s="14"/>
      <c r="D102" s="14"/>
      <c r="E102" s="14"/>
      <c r="F102" s="14"/>
      <c r="G102" s="14"/>
      <c r="I102" s="20"/>
    </row>
    <row r="103" spans="3:9">
      <c r="C103" s="14"/>
      <c r="D103" s="14"/>
      <c r="E103" s="14"/>
      <c r="F103" s="14"/>
      <c r="G103" s="14"/>
      <c r="I103" s="20"/>
    </row>
    <row r="104" spans="3:9">
      <c r="C104" s="14"/>
      <c r="D104" s="14"/>
      <c r="E104" s="14"/>
      <c r="F104" s="14"/>
      <c r="G104" s="14"/>
      <c r="I104" s="20"/>
    </row>
    <row r="105" spans="3:9">
      <c r="C105" s="14"/>
      <c r="D105" s="14"/>
      <c r="E105" s="14"/>
      <c r="F105" s="14"/>
      <c r="G105" s="14"/>
      <c r="I105" s="20"/>
    </row>
    <row r="106" spans="3:9">
      <c r="C106" s="14"/>
      <c r="D106" s="14"/>
      <c r="E106" s="14"/>
      <c r="F106" s="14"/>
      <c r="G106" s="14"/>
      <c r="I106" s="20"/>
    </row>
    <row r="107" spans="3:9">
      <c r="C107" s="14"/>
      <c r="D107" s="14"/>
      <c r="E107" s="14"/>
      <c r="F107" s="14"/>
      <c r="G107" s="14"/>
      <c r="I107" s="20"/>
    </row>
    <row r="108" spans="3:9">
      <c r="C108" s="14"/>
      <c r="D108" s="14"/>
      <c r="E108" s="14"/>
      <c r="F108" s="14"/>
      <c r="G108" s="14"/>
      <c r="I108" s="20"/>
    </row>
    <row r="109" spans="3:9">
      <c r="C109" s="14"/>
      <c r="D109" s="14"/>
      <c r="E109" s="14"/>
      <c r="F109" s="14"/>
      <c r="G109" s="14"/>
      <c r="I109" s="20"/>
    </row>
    <row r="110" spans="3:9">
      <c r="C110" s="14"/>
      <c r="D110" s="14"/>
      <c r="E110" s="14"/>
      <c r="F110" s="14"/>
      <c r="G110" s="14"/>
      <c r="I110" s="20"/>
    </row>
    <row r="111" spans="3:9">
      <c r="C111" s="14"/>
      <c r="D111" s="14"/>
      <c r="E111" s="14"/>
      <c r="F111" s="14"/>
      <c r="G111" s="14"/>
      <c r="I111" s="20"/>
    </row>
    <row r="112" spans="3:9">
      <c r="C112" s="14"/>
      <c r="D112" s="14"/>
      <c r="E112" s="14"/>
      <c r="F112" s="14"/>
      <c r="G112" s="14"/>
      <c r="I112" s="20"/>
    </row>
    <row r="113" spans="3:49">
      <c r="C113" s="14"/>
      <c r="D113" s="14"/>
      <c r="E113" s="14"/>
      <c r="F113" s="14"/>
      <c r="G113" s="14"/>
      <c r="I113" s="20"/>
    </row>
    <row r="114" spans="3:49">
      <c r="C114" s="14"/>
      <c r="D114" s="14"/>
      <c r="E114" s="14"/>
      <c r="F114" s="14"/>
      <c r="G114" s="14"/>
      <c r="I114" s="20"/>
    </row>
    <row r="115" spans="3:49">
      <c r="C115" s="14"/>
      <c r="D115" s="14"/>
      <c r="E115" s="14"/>
      <c r="F115" s="14"/>
      <c r="G115" s="14"/>
      <c r="I115" s="20"/>
    </row>
    <row r="116" spans="3:49">
      <c r="C116" s="14"/>
      <c r="D116" s="14"/>
      <c r="E116" s="14"/>
      <c r="F116" s="14"/>
      <c r="G116" s="14"/>
      <c r="I116" s="20"/>
    </row>
    <row r="117" spans="3:49">
      <c r="C117" s="14"/>
      <c r="D117" s="14"/>
      <c r="E117" s="14"/>
      <c r="F117" s="14"/>
      <c r="G117" s="14"/>
      <c r="I117" s="20"/>
    </row>
    <row r="118" spans="3:49">
      <c r="C118" s="14"/>
      <c r="D118" s="14"/>
      <c r="E118" s="14"/>
      <c r="F118" s="14"/>
      <c r="G118" s="14"/>
      <c r="I118" s="20"/>
    </row>
    <row r="119" spans="3:49">
      <c r="C119" s="14"/>
      <c r="D119" s="14"/>
      <c r="E119" s="14"/>
      <c r="F119" s="14"/>
      <c r="G119" s="14"/>
      <c r="I119" s="20"/>
      <c r="AD119" s="11" t="s">
        <v>317</v>
      </c>
    </row>
    <row r="120" spans="3:49" s="4" customFormat="1">
      <c r="C120" s="4" t="s">
        <v>34</v>
      </c>
      <c r="AD120" s="4" t="s">
        <v>314</v>
      </c>
    </row>
    <row r="121" spans="3:49">
      <c r="C121" t="str">
        <f>C8</f>
        <v>Existing coal Large</v>
      </c>
      <c r="D121" s="1"/>
      <c r="E121" s="1"/>
      <c r="F121" s="1"/>
      <c r="G121" s="1"/>
      <c r="I121" s="19">
        <f t="shared" ref="I121:AC130" si="35">I50*$B50</f>
        <v>0</v>
      </c>
      <c r="J121" s="19">
        <f t="shared" si="35"/>
        <v>0</v>
      </c>
      <c r="K121" s="19">
        <f t="shared" si="35"/>
        <v>0</v>
      </c>
      <c r="L121" s="19">
        <f t="shared" si="35"/>
        <v>0</v>
      </c>
      <c r="M121" s="19">
        <f t="shared" si="35"/>
        <v>0</v>
      </c>
      <c r="N121" s="19">
        <f t="shared" si="35"/>
        <v>0</v>
      </c>
      <c r="O121" s="19">
        <f t="shared" si="35"/>
        <v>0</v>
      </c>
      <c r="P121" s="19">
        <f t="shared" si="35"/>
        <v>0</v>
      </c>
      <c r="Q121" s="19">
        <f t="shared" si="35"/>
        <v>0</v>
      </c>
      <c r="R121" s="19">
        <f t="shared" si="35"/>
        <v>0</v>
      </c>
      <c r="S121" s="19">
        <f t="shared" si="35"/>
        <v>0</v>
      </c>
      <c r="T121" s="19">
        <f t="shared" si="35"/>
        <v>0</v>
      </c>
      <c r="U121" s="19">
        <f t="shared" si="35"/>
        <v>0</v>
      </c>
      <c r="V121" s="19">
        <f t="shared" si="35"/>
        <v>0</v>
      </c>
      <c r="W121" s="19">
        <f t="shared" si="35"/>
        <v>0</v>
      </c>
      <c r="X121" s="19">
        <f t="shared" si="35"/>
        <v>0</v>
      </c>
      <c r="Y121" s="19">
        <f t="shared" si="35"/>
        <v>0</v>
      </c>
      <c r="Z121" s="19">
        <f t="shared" si="35"/>
        <v>0</v>
      </c>
      <c r="AA121" s="19">
        <f t="shared" si="35"/>
        <v>0</v>
      </c>
      <c r="AB121" s="19">
        <f t="shared" si="35"/>
        <v>0</v>
      </c>
      <c r="AC121" s="19">
        <f t="shared" si="35"/>
        <v>0</v>
      </c>
      <c r="AD121" s="75"/>
      <c r="AE121" s="75"/>
      <c r="AF121" s="75"/>
      <c r="AG121" s="75"/>
      <c r="AH121" s="75"/>
      <c r="AI121" s="75"/>
      <c r="AJ121" s="75"/>
      <c r="AK121" s="75"/>
      <c r="AL121" s="75"/>
      <c r="AM121" s="75"/>
      <c r="AN121" s="75"/>
      <c r="AO121" s="75"/>
      <c r="AP121" s="75"/>
      <c r="AQ121" s="75"/>
      <c r="AR121" s="75"/>
      <c r="AS121" s="75"/>
      <c r="AT121" s="75"/>
      <c r="AU121" s="75"/>
      <c r="AV121" s="75"/>
      <c r="AW121" s="75"/>
    </row>
    <row r="122" spans="3:49">
      <c r="C122" t="str">
        <f t="shared" ref="C122:C140" si="36">C9</f>
        <v>Existing coal Small</v>
      </c>
      <c r="D122" s="1"/>
      <c r="E122" s="1"/>
      <c r="F122" s="1"/>
      <c r="G122" s="1"/>
      <c r="I122" s="19">
        <f t="shared" si="35"/>
        <v>0</v>
      </c>
      <c r="J122" s="19">
        <f t="shared" si="35"/>
        <v>0</v>
      </c>
      <c r="K122" s="19">
        <f t="shared" si="35"/>
        <v>0</v>
      </c>
      <c r="L122" s="19">
        <f t="shared" si="35"/>
        <v>0</v>
      </c>
      <c r="M122" s="19">
        <f t="shared" si="35"/>
        <v>0</v>
      </c>
      <c r="N122" s="19">
        <f t="shared" si="35"/>
        <v>0</v>
      </c>
      <c r="O122" s="19">
        <f t="shared" si="35"/>
        <v>0</v>
      </c>
      <c r="P122" s="19">
        <f t="shared" si="35"/>
        <v>0</v>
      </c>
      <c r="Q122" s="19">
        <f t="shared" si="35"/>
        <v>0</v>
      </c>
      <c r="R122" s="19">
        <f t="shared" si="35"/>
        <v>0</v>
      </c>
      <c r="S122" s="19">
        <f t="shared" si="35"/>
        <v>0</v>
      </c>
      <c r="T122" s="19">
        <f t="shared" si="35"/>
        <v>0</v>
      </c>
      <c r="U122" s="19">
        <f t="shared" si="35"/>
        <v>0</v>
      </c>
      <c r="V122" s="19">
        <f t="shared" si="35"/>
        <v>0</v>
      </c>
      <c r="W122" s="19">
        <f t="shared" si="35"/>
        <v>0</v>
      </c>
      <c r="X122" s="19">
        <f t="shared" si="35"/>
        <v>0</v>
      </c>
      <c r="Y122" s="19">
        <f t="shared" si="35"/>
        <v>0</v>
      </c>
      <c r="Z122" s="19">
        <f t="shared" si="35"/>
        <v>0</v>
      </c>
      <c r="AA122" s="19">
        <f t="shared" si="35"/>
        <v>0</v>
      </c>
      <c r="AB122" s="19">
        <f t="shared" si="35"/>
        <v>0</v>
      </c>
      <c r="AC122" s="19">
        <f t="shared" si="35"/>
        <v>0</v>
      </c>
      <c r="AD122" s="75"/>
      <c r="AE122" s="75"/>
      <c r="AF122" s="75"/>
      <c r="AG122" s="75"/>
      <c r="AH122" s="75"/>
      <c r="AI122" s="75"/>
      <c r="AJ122" s="75"/>
      <c r="AK122" s="75"/>
      <c r="AL122" s="75"/>
      <c r="AM122" s="75"/>
      <c r="AN122" s="75"/>
      <c r="AO122" s="75"/>
      <c r="AP122" s="75"/>
      <c r="AQ122" s="75"/>
      <c r="AR122" s="75"/>
      <c r="AS122" s="75"/>
      <c r="AT122" s="75"/>
      <c r="AU122" s="75"/>
      <c r="AV122" s="75"/>
      <c r="AW122" s="75"/>
    </row>
    <row r="123" spans="3:49">
      <c r="C123" t="str">
        <f t="shared" si="36"/>
        <v>OCGT liquid fuels</v>
      </c>
      <c r="D123" s="1"/>
      <c r="E123" s="1"/>
      <c r="F123" s="1"/>
      <c r="G123" s="1"/>
      <c r="I123" s="19">
        <f t="shared" si="35"/>
        <v>0</v>
      </c>
      <c r="J123" s="19">
        <f t="shared" si="35"/>
        <v>1.08</v>
      </c>
      <c r="K123" s="19">
        <f t="shared" si="35"/>
        <v>0</v>
      </c>
      <c r="L123" s="19">
        <f t="shared" si="35"/>
        <v>0</v>
      </c>
      <c r="M123" s="19">
        <f t="shared" si="35"/>
        <v>0</v>
      </c>
      <c r="N123" s="19">
        <f t="shared" si="35"/>
        <v>0</v>
      </c>
      <c r="O123" s="19">
        <f t="shared" si="35"/>
        <v>0</v>
      </c>
      <c r="P123" s="19">
        <f t="shared" si="35"/>
        <v>0</v>
      </c>
      <c r="Q123" s="19">
        <f t="shared" si="35"/>
        <v>0</v>
      </c>
      <c r="R123" s="19">
        <f t="shared" si="35"/>
        <v>0</v>
      </c>
      <c r="S123" s="19">
        <f t="shared" si="35"/>
        <v>0</v>
      </c>
      <c r="T123" s="19">
        <f t="shared" si="35"/>
        <v>0</v>
      </c>
      <c r="U123" s="19">
        <f t="shared" si="35"/>
        <v>0</v>
      </c>
      <c r="V123" s="19">
        <f t="shared" si="35"/>
        <v>0</v>
      </c>
      <c r="W123" s="19">
        <f t="shared" si="35"/>
        <v>0</v>
      </c>
      <c r="X123" s="19">
        <f t="shared" si="35"/>
        <v>0</v>
      </c>
      <c r="Y123" s="19">
        <f t="shared" si="35"/>
        <v>0.72</v>
      </c>
      <c r="Z123" s="19">
        <f t="shared" si="35"/>
        <v>0</v>
      </c>
      <c r="AA123" s="19">
        <f t="shared" si="35"/>
        <v>0</v>
      </c>
      <c r="AB123" s="19">
        <f t="shared" si="35"/>
        <v>0.96</v>
      </c>
      <c r="AC123" s="19">
        <f t="shared" si="35"/>
        <v>0.96</v>
      </c>
      <c r="AD123" s="75">
        <f t="shared" ref="AD123:AW136" ca="1" si="37">-AD146</f>
        <v>0</v>
      </c>
      <c r="AE123" s="75">
        <f t="shared" ca="1" si="37"/>
        <v>0</v>
      </c>
      <c r="AF123" s="75">
        <f t="shared" ca="1" si="37"/>
        <v>0</v>
      </c>
      <c r="AG123" s="75">
        <f t="shared" ca="1" si="37"/>
        <v>0</v>
      </c>
      <c r="AH123" s="75">
        <f t="shared" ca="1" si="37"/>
        <v>0</v>
      </c>
      <c r="AI123" s="75">
        <f t="shared" ca="1" si="37"/>
        <v>1.08</v>
      </c>
      <c r="AJ123" s="75">
        <f t="shared" ca="1" si="37"/>
        <v>0</v>
      </c>
      <c r="AK123" s="75">
        <f t="shared" ca="1" si="37"/>
        <v>0</v>
      </c>
      <c r="AL123" s="75">
        <f t="shared" ca="1" si="37"/>
        <v>0</v>
      </c>
      <c r="AM123" s="75">
        <f t="shared" ca="1" si="37"/>
        <v>0</v>
      </c>
      <c r="AN123" s="75">
        <f t="shared" ca="1" si="37"/>
        <v>0</v>
      </c>
      <c r="AO123" s="75">
        <f t="shared" ca="1" si="37"/>
        <v>0</v>
      </c>
      <c r="AP123" s="75">
        <f t="shared" ca="1" si="37"/>
        <v>0</v>
      </c>
      <c r="AQ123" s="75">
        <f t="shared" ca="1" si="37"/>
        <v>0</v>
      </c>
      <c r="AR123" s="75">
        <f t="shared" ca="1" si="37"/>
        <v>0</v>
      </c>
      <c r="AS123" s="75">
        <f t="shared" ca="1" si="37"/>
        <v>0</v>
      </c>
      <c r="AT123" s="75">
        <f t="shared" ca="1" si="37"/>
        <v>0</v>
      </c>
      <c r="AU123" s="75">
        <f t="shared" ca="1" si="37"/>
        <v>0</v>
      </c>
      <c r="AV123" s="75">
        <f t="shared" ca="1" si="37"/>
        <v>0</v>
      </c>
      <c r="AW123" s="75">
        <f t="shared" ca="1" si="37"/>
        <v>0</v>
      </c>
    </row>
    <row r="124" spans="3:49">
      <c r="C124" t="str">
        <f t="shared" si="36"/>
        <v>PWR nuclear</v>
      </c>
      <c r="D124" s="1"/>
      <c r="E124" s="1"/>
      <c r="F124" s="1"/>
      <c r="G124" s="1"/>
      <c r="I124" s="19">
        <f t="shared" si="35"/>
        <v>0</v>
      </c>
      <c r="J124" s="19">
        <f t="shared" si="35"/>
        <v>0</v>
      </c>
      <c r="K124" s="19">
        <f t="shared" si="35"/>
        <v>0</v>
      </c>
      <c r="L124" s="19">
        <f t="shared" si="35"/>
        <v>0</v>
      </c>
      <c r="M124" s="19">
        <f t="shared" si="35"/>
        <v>0</v>
      </c>
      <c r="N124" s="19">
        <f t="shared" si="35"/>
        <v>0</v>
      </c>
      <c r="O124" s="19">
        <f t="shared" si="35"/>
        <v>0</v>
      </c>
      <c r="P124" s="19">
        <f t="shared" si="35"/>
        <v>0</v>
      </c>
      <c r="Q124" s="19">
        <f t="shared" si="35"/>
        <v>0</v>
      </c>
      <c r="R124" s="19">
        <f t="shared" si="35"/>
        <v>0</v>
      </c>
      <c r="S124" s="19">
        <f t="shared" si="35"/>
        <v>0</v>
      </c>
      <c r="T124" s="19">
        <f t="shared" si="35"/>
        <v>0</v>
      </c>
      <c r="U124" s="19">
        <f t="shared" si="35"/>
        <v>0</v>
      </c>
      <c r="V124" s="19">
        <f t="shared" si="35"/>
        <v>0</v>
      </c>
      <c r="W124" s="19">
        <f t="shared" si="35"/>
        <v>0</v>
      </c>
      <c r="X124" s="19">
        <f t="shared" si="35"/>
        <v>0</v>
      </c>
      <c r="Y124" s="19">
        <f t="shared" si="35"/>
        <v>0</v>
      </c>
      <c r="Z124" s="19">
        <f t="shared" si="35"/>
        <v>0</v>
      </c>
      <c r="AA124" s="19">
        <f t="shared" si="35"/>
        <v>0</v>
      </c>
      <c r="AB124" s="19">
        <f t="shared" si="35"/>
        <v>0</v>
      </c>
      <c r="AC124" s="19">
        <f t="shared" si="35"/>
        <v>0</v>
      </c>
      <c r="AD124" s="75">
        <f t="shared" ca="1" si="37"/>
        <v>0</v>
      </c>
      <c r="AE124" s="75">
        <f t="shared" ca="1" si="37"/>
        <v>0</v>
      </c>
      <c r="AF124" s="75">
        <f t="shared" ca="1" si="37"/>
        <v>0</v>
      </c>
      <c r="AG124" s="75">
        <f t="shared" ca="1" si="37"/>
        <v>0</v>
      </c>
      <c r="AH124" s="75">
        <f t="shared" ca="1" si="37"/>
        <v>0</v>
      </c>
      <c r="AI124" s="75">
        <f t="shared" ca="1" si="37"/>
        <v>0</v>
      </c>
      <c r="AJ124" s="75">
        <f t="shared" ca="1" si="37"/>
        <v>0</v>
      </c>
      <c r="AK124" s="75">
        <f t="shared" ca="1" si="37"/>
        <v>0</v>
      </c>
      <c r="AL124" s="75">
        <f t="shared" ca="1" si="37"/>
        <v>0</v>
      </c>
      <c r="AM124" s="75">
        <f t="shared" ca="1" si="37"/>
        <v>0</v>
      </c>
      <c r="AN124" s="75">
        <f t="shared" ca="1" si="37"/>
        <v>0</v>
      </c>
      <c r="AO124" s="75">
        <f t="shared" ca="1" si="37"/>
        <v>0</v>
      </c>
      <c r="AP124" s="75">
        <f t="shared" ca="1" si="37"/>
        <v>0</v>
      </c>
      <c r="AQ124" s="75">
        <f t="shared" ca="1" si="37"/>
        <v>0</v>
      </c>
      <c r="AR124" s="75">
        <f t="shared" ca="1" si="37"/>
        <v>0</v>
      </c>
      <c r="AS124" s="75">
        <f t="shared" ca="1" si="37"/>
        <v>0</v>
      </c>
      <c r="AT124" s="75">
        <f t="shared" ca="1" si="37"/>
        <v>0</v>
      </c>
      <c r="AU124" s="75">
        <f t="shared" ca="1" si="37"/>
        <v>0</v>
      </c>
      <c r="AV124" s="75">
        <f t="shared" ca="1" si="37"/>
        <v>0</v>
      </c>
      <c r="AW124" s="75">
        <f t="shared" ca="1" si="37"/>
        <v>0</v>
      </c>
    </row>
    <row r="125" spans="3:49">
      <c r="C125" t="str">
        <f t="shared" si="36"/>
        <v>Hydro</v>
      </c>
      <c r="D125" s="1"/>
      <c r="E125" s="1"/>
      <c r="F125" s="1"/>
      <c r="G125" s="1"/>
      <c r="I125" s="19">
        <f t="shared" si="35"/>
        <v>0</v>
      </c>
      <c r="J125" s="19">
        <f t="shared" si="35"/>
        <v>0</v>
      </c>
      <c r="K125" s="19">
        <f t="shared" si="35"/>
        <v>0</v>
      </c>
      <c r="L125" s="19">
        <f t="shared" si="35"/>
        <v>0</v>
      </c>
      <c r="M125" s="19">
        <f t="shared" si="35"/>
        <v>0</v>
      </c>
      <c r="N125" s="19">
        <f t="shared" si="35"/>
        <v>0</v>
      </c>
      <c r="O125" s="19">
        <f t="shared" si="35"/>
        <v>0</v>
      </c>
      <c r="P125" s="19">
        <f t="shared" si="35"/>
        <v>0</v>
      </c>
      <c r="Q125" s="19">
        <f t="shared" si="35"/>
        <v>0</v>
      </c>
      <c r="R125" s="19">
        <f t="shared" si="35"/>
        <v>0</v>
      </c>
      <c r="S125" s="19">
        <f t="shared" si="35"/>
        <v>0</v>
      </c>
      <c r="T125" s="19">
        <f t="shared" si="35"/>
        <v>0</v>
      </c>
      <c r="U125" s="19">
        <f t="shared" si="35"/>
        <v>0</v>
      </c>
      <c r="V125" s="19">
        <f t="shared" si="35"/>
        <v>0</v>
      </c>
      <c r="W125" s="19">
        <f t="shared" si="35"/>
        <v>0</v>
      </c>
      <c r="X125" s="19">
        <f t="shared" si="35"/>
        <v>0</v>
      </c>
      <c r="Y125" s="19">
        <f t="shared" si="35"/>
        <v>0</v>
      </c>
      <c r="Z125" s="19">
        <f t="shared" si="35"/>
        <v>0</v>
      </c>
      <c r="AA125" s="19">
        <f t="shared" si="35"/>
        <v>0</v>
      </c>
      <c r="AB125" s="19">
        <f t="shared" si="35"/>
        <v>0</v>
      </c>
      <c r="AC125" s="19">
        <f t="shared" si="35"/>
        <v>0</v>
      </c>
      <c r="AD125" s="75">
        <f t="shared" ca="1" si="37"/>
        <v>0</v>
      </c>
      <c r="AE125" s="75">
        <f t="shared" ca="1" si="37"/>
        <v>0</v>
      </c>
      <c r="AF125" s="75">
        <f t="shared" ca="1" si="37"/>
        <v>0</v>
      </c>
      <c r="AG125" s="75">
        <f t="shared" ca="1" si="37"/>
        <v>0</v>
      </c>
      <c r="AH125" s="75">
        <f t="shared" ca="1" si="37"/>
        <v>0</v>
      </c>
      <c r="AI125" s="75">
        <f t="shared" ca="1" si="37"/>
        <v>0</v>
      </c>
      <c r="AJ125" s="75">
        <f t="shared" ca="1" si="37"/>
        <v>0</v>
      </c>
      <c r="AK125" s="75">
        <f t="shared" ca="1" si="37"/>
        <v>0</v>
      </c>
      <c r="AL125" s="75">
        <f t="shared" ca="1" si="37"/>
        <v>0</v>
      </c>
      <c r="AM125" s="75">
        <f t="shared" ca="1" si="37"/>
        <v>0</v>
      </c>
      <c r="AN125" s="75">
        <f t="shared" ca="1" si="37"/>
        <v>0</v>
      </c>
      <c r="AO125" s="75">
        <f t="shared" ca="1" si="37"/>
        <v>0</v>
      </c>
      <c r="AP125" s="75">
        <f t="shared" ca="1" si="37"/>
        <v>0</v>
      </c>
      <c r="AQ125" s="75">
        <f t="shared" ca="1" si="37"/>
        <v>0</v>
      </c>
      <c r="AR125" s="75">
        <f t="shared" ca="1" si="37"/>
        <v>0</v>
      </c>
      <c r="AS125" s="75">
        <f t="shared" ca="1" si="37"/>
        <v>0</v>
      </c>
      <c r="AT125" s="75">
        <f t="shared" ca="1" si="37"/>
        <v>0</v>
      </c>
      <c r="AU125" s="75">
        <f t="shared" ca="1" si="37"/>
        <v>0</v>
      </c>
      <c r="AV125" s="75">
        <f t="shared" ca="1" si="37"/>
        <v>0</v>
      </c>
      <c r="AW125" s="75">
        <f t="shared" ca="1" si="37"/>
        <v>0</v>
      </c>
    </row>
    <row r="126" spans="3:49">
      <c r="C126" t="str">
        <f t="shared" si="36"/>
        <v>Landfill gas</v>
      </c>
      <c r="D126" s="1"/>
      <c r="E126" s="1"/>
      <c r="F126" s="1"/>
      <c r="G126" s="1"/>
      <c r="I126" s="19">
        <f t="shared" si="35"/>
        <v>0</v>
      </c>
      <c r="J126" s="19">
        <f t="shared" si="35"/>
        <v>0</v>
      </c>
      <c r="K126" s="19">
        <f t="shared" si="35"/>
        <v>0</v>
      </c>
      <c r="L126" s="19">
        <f t="shared" si="35"/>
        <v>0</v>
      </c>
      <c r="M126" s="19">
        <f t="shared" si="35"/>
        <v>0</v>
      </c>
      <c r="N126" s="19">
        <f t="shared" si="35"/>
        <v>0</v>
      </c>
      <c r="O126" s="19">
        <f t="shared" si="35"/>
        <v>0</v>
      </c>
      <c r="P126" s="19">
        <f t="shared" si="35"/>
        <v>0</v>
      </c>
      <c r="Q126" s="19">
        <f t="shared" si="35"/>
        <v>0</v>
      </c>
      <c r="R126" s="19">
        <f t="shared" si="35"/>
        <v>0</v>
      </c>
      <c r="S126" s="19">
        <f t="shared" si="35"/>
        <v>0</v>
      </c>
      <c r="T126" s="19">
        <f t="shared" si="35"/>
        <v>0</v>
      </c>
      <c r="U126" s="19">
        <f t="shared" si="35"/>
        <v>0</v>
      </c>
      <c r="V126" s="19">
        <f t="shared" si="35"/>
        <v>0</v>
      </c>
      <c r="W126" s="19">
        <f t="shared" si="35"/>
        <v>0</v>
      </c>
      <c r="X126" s="19">
        <f t="shared" si="35"/>
        <v>0</v>
      </c>
      <c r="Y126" s="19">
        <f t="shared" si="35"/>
        <v>0</v>
      </c>
      <c r="Z126" s="19">
        <f t="shared" si="35"/>
        <v>0</v>
      </c>
      <c r="AA126" s="19">
        <f t="shared" si="35"/>
        <v>0</v>
      </c>
      <c r="AB126" s="19">
        <f t="shared" si="35"/>
        <v>0</v>
      </c>
      <c r="AC126" s="19">
        <f t="shared" si="35"/>
        <v>0</v>
      </c>
      <c r="AD126" s="75">
        <f t="shared" ca="1" si="37"/>
        <v>0</v>
      </c>
      <c r="AE126" s="75">
        <f t="shared" ca="1" si="37"/>
        <v>0</v>
      </c>
      <c r="AF126" s="75">
        <f t="shared" ca="1" si="37"/>
        <v>0</v>
      </c>
      <c r="AG126" s="75">
        <f t="shared" ca="1" si="37"/>
        <v>0</v>
      </c>
      <c r="AH126" s="75">
        <f t="shared" ca="1" si="37"/>
        <v>0</v>
      </c>
      <c r="AI126" s="75">
        <f t="shared" ca="1" si="37"/>
        <v>0</v>
      </c>
      <c r="AJ126" s="75">
        <f t="shared" ca="1" si="37"/>
        <v>0</v>
      </c>
      <c r="AK126" s="75">
        <f t="shared" ca="1" si="37"/>
        <v>0</v>
      </c>
      <c r="AL126" s="75">
        <f t="shared" ca="1" si="37"/>
        <v>0</v>
      </c>
      <c r="AM126" s="75">
        <f t="shared" ca="1" si="37"/>
        <v>0</v>
      </c>
      <c r="AN126" s="75">
        <f t="shared" ca="1" si="37"/>
        <v>0</v>
      </c>
      <c r="AO126" s="75">
        <f t="shared" ca="1" si="37"/>
        <v>0</v>
      </c>
      <c r="AP126" s="75">
        <f t="shared" ca="1" si="37"/>
        <v>0</v>
      </c>
      <c r="AQ126" s="75">
        <f t="shared" ca="1" si="37"/>
        <v>0</v>
      </c>
      <c r="AR126" s="75">
        <f t="shared" ca="1" si="37"/>
        <v>0</v>
      </c>
      <c r="AS126" s="75">
        <f t="shared" ca="1" si="37"/>
        <v>0</v>
      </c>
      <c r="AT126" s="75">
        <f t="shared" ca="1" si="37"/>
        <v>0</v>
      </c>
      <c r="AU126" s="75">
        <f t="shared" ca="1" si="37"/>
        <v>0</v>
      </c>
      <c r="AV126" s="75">
        <f t="shared" ca="1" si="37"/>
        <v>0</v>
      </c>
      <c r="AW126" s="75">
        <f t="shared" ca="1" si="37"/>
        <v>0</v>
      </c>
    </row>
    <row r="127" spans="3:49">
      <c r="C127" t="str">
        <f t="shared" si="36"/>
        <v>Biomass</v>
      </c>
      <c r="D127" s="1"/>
      <c r="E127" s="1"/>
      <c r="F127" s="1"/>
      <c r="G127" s="1"/>
      <c r="I127" s="19">
        <f t="shared" si="35"/>
        <v>0</v>
      </c>
      <c r="J127" s="19">
        <f t="shared" si="35"/>
        <v>0</v>
      </c>
      <c r="K127" s="19">
        <f t="shared" si="35"/>
        <v>0</v>
      </c>
      <c r="L127" s="19">
        <f t="shared" si="35"/>
        <v>0</v>
      </c>
      <c r="M127" s="19">
        <f t="shared" si="35"/>
        <v>0</v>
      </c>
      <c r="N127" s="19">
        <f t="shared" si="35"/>
        <v>0</v>
      </c>
      <c r="O127" s="19">
        <f t="shared" si="35"/>
        <v>0</v>
      </c>
      <c r="P127" s="19">
        <f t="shared" si="35"/>
        <v>0</v>
      </c>
      <c r="Q127" s="19">
        <f t="shared" si="35"/>
        <v>0</v>
      </c>
      <c r="R127" s="19">
        <f t="shared" si="35"/>
        <v>0</v>
      </c>
      <c r="S127" s="19">
        <f t="shared" si="35"/>
        <v>0</v>
      </c>
      <c r="T127" s="19">
        <f t="shared" si="35"/>
        <v>0</v>
      </c>
      <c r="U127" s="19">
        <f t="shared" si="35"/>
        <v>0</v>
      </c>
      <c r="V127" s="19">
        <f t="shared" si="35"/>
        <v>0</v>
      </c>
      <c r="W127" s="19">
        <f t="shared" si="35"/>
        <v>0</v>
      </c>
      <c r="X127" s="19">
        <f t="shared" si="35"/>
        <v>0</v>
      </c>
      <c r="Y127" s="19">
        <f t="shared" si="35"/>
        <v>0</v>
      </c>
      <c r="Z127" s="19">
        <f t="shared" si="35"/>
        <v>0</v>
      </c>
      <c r="AA127" s="19">
        <f t="shared" si="35"/>
        <v>0</v>
      </c>
      <c r="AB127" s="19">
        <f t="shared" si="35"/>
        <v>0</v>
      </c>
      <c r="AC127" s="19">
        <f t="shared" si="35"/>
        <v>0</v>
      </c>
      <c r="AD127" s="75">
        <f t="shared" ca="1" si="37"/>
        <v>0</v>
      </c>
      <c r="AE127" s="75">
        <f t="shared" ca="1" si="37"/>
        <v>0</v>
      </c>
      <c r="AF127" s="75">
        <f t="shared" ca="1" si="37"/>
        <v>0</v>
      </c>
      <c r="AG127" s="75">
        <f t="shared" ca="1" si="37"/>
        <v>0</v>
      </c>
      <c r="AH127" s="75">
        <f t="shared" ca="1" si="37"/>
        <v>0</v>
      </c>
      <c r="AI127" s="75">
        <f t="shared" ca="1" si="37"/>
        <v>0</v>
      </c>
      <c r="AJ127" s="75">
        <f t="shared" ca="1" si="37"/>
        <v>0</v>
      </c>
      <c r="AK127" s="75">
        <f t="shared" ca="1" si="37"/>
        <v>0</v>
      </c>
      <c r="AL127" s="75">
        <f t="shared" ca="1" si="37"/>
        <v>0</v>
      </c>
      <c r="AM127" s="75">
        <f t="shared" ca="1" si="37"/>
        <v>0</v>
      </c>
      <c r="AN127" s="75">
        <f t="shared" ca="1" si="37"/>
        <v>0</v>
      </c>
      <c r="AO127" s="75">
        <f t="shared" ca="1" si="37"/>
        <v>0</v>
      </c>
      <c r="AP127" s="75">
        <f t="shared" ca="1" si="37"/>
        <v>0</v>
      </c>
      <c r="AQ127" s="75">
        <f t="shared" ca="1" si="37"/>
        <v>0</v>
      </c>
      <c r="AR127" s="75">
        <f t="shared" ca="1" si="37"/>
        <v>0</v>
      </c>
      <c r="AS127" s="75">
        <f t="shared" ca="1" si="37"/>
        <v>0</v>
      </c>
      <c r="AT127" s="75">
        <f t="shared" ca="1" si="37"/>
        <v>0</v>
      </c>
      <c r="AU127" s="75">
        <f t="shared" ca="1" si="37"/>
        <v>0</v>
      </c>
      <c r="AV127" s="75">
        <f t="shared" ca="1" si="37"/>
        <v>0</v>
      </c>
      <c r="AW127" s="75">
        <f t="shared" ca="1" si="37"/>
        <v>0</v>
      </c>
    </row>
    <row r="128" spans="3:49">
      <c r="C128" t="str">
        <f t="shared" si="36"/>
        <v>Supercritical coal</v>
      </c>
      <c r="D128" s="1"/>
      <c r="E128" s="1"/>
      <c r="F128" s="1"/>
      <c r="G128" s="1"/>
      <c r="I128" s="19">
        <f t="shared" si="35"/>
        <v>0</v>
      </c>
      <c r="J128" s="19">
        <f t="shared" si="35"/>
        <v>0</v>
      </c>
      <c r="K128" s="19">
        <f t="shared" si="35"/>
        <v>0.79400000000000004</v>
      </c>
      <c r="L128" s="19">
        <f t="shared" si="35"/>
        <v>1.5880000000000001</v>
      </c>
      <c r="M128" s="19">
        <f t="shared" si="35"/>
        <v>2.3820000000000001</v>
      </c>
      <c r="N128" s="19">
        <f t="shared" si="35"/>
        <v>2.3820000000000001</v>
      </c>
      <c r="O128" s="19">
        <f t="shared" si="35"/>
        <v>1.5880000000000001</v>
      </c>
      <c r="P128" s="19">
        <f t="shared" si="35"/>
        <v>0.79400000000000004</v>
      </c>
      <c r="Q128" s="19">
        <f t="shared" si="35"/>
        <v>0</v>
      </c>
      <c r="R128" s="19">
        <f t="shared" si="35"/>
        <v>0</v>
      </c>
      <c r="S128" s="19">
        <f t="shared" si="35"/>
        <v>0</v>
      </c>
      <c r="T128" s="19">
        <f t="shared" si="35"/>
        <v>0</v>
      </c>
      <c r="U128" s="19">
        <f t="shared" si="35"/>
        <v>0</v>
      </c>
      <c r="V128" s="19">
        <f t="shared" si="35"/>
        <v>0</v>
      </c>
      <c r="W128" s="19">
        <f t="shared" si="35"/>
        <v>0</v>
      </c>
      <c r="X128" s="19">
        <f t="shared" si="35"/>
        <v>0</v>
      </c>
      <c r="Y128" s="19">
        <f t="shared" si="35"/>
        <v>0</v>
      </c>
      <c r="Z128" s="19">
        <f t="shared" si="35"/>
        <v>0</v>
      </c>
      <c r="AA128" s="19">
        <f t="shared" si="35"/>
        <v>0</v>
      </c>
      <c r="AB128" s="19">
        <f t="shared" si="35"/>
        <v>0</v>
      </c>
      <c r="AC128" s="19">
        <f t="shared" si="35"/>
        <v>0</v>
      </c>
      <c r="AD128" s="75">
        <f ca="1">-AD151-AD144-AD145</f>
        <v>0</v>
      </c>
      <c r="AE128" s="75">
        <f t="shared" ref="AE128:AW128" ca="1" si="38">-AE151-AE144-AE145</f>
        <v>0</v>
      </c>
      <c r="AF128" s="75">
        <f t="shared" ca="1" si="38"/>
        <v>0</v>
      </c>
      <c r="AG128" s="75">
        <f t="shared" ca="1" si="38"/>
        <v>0</v>
      </c>
      <c r="AH128" s="75">
        <f t="shared" ca="1" si="38"/>
        <v>0</v>
      </c>
      <c r="AI128" s="75">
        <f t="shared" ca="1" si="38"/>
        <v>0</v>
      </c>
      <c r="AJ128" s="75">
        <f t="shared" ca="1" si="38"/>
        <v>0</v>
      </c>
      <c r="AK128" s="75">
        <f t="shared" ca="1" si="38"/>
        <v>0</v>
      </c>
      <c r="AL128" s="75">
        <f t="shared" ca="1" si="38"/>
        <v>0</v>
      </c>
      <c r="AM128" s="75">
        <f t="shared" ca="1" si="38"/>
        <v>0</v>
      </c>
      <c r="AN128" s="75">
        <f t="shared" ca="1" si="38"/>
        <v>0</v>
      </c>
      <c r="AO128" s="75">
        <f t="shared" ca="1" si="38"/>
        <v>0.79400000000000004</v>
      </c>
      <c r="AP128" s="75">
        <f t="shared" ca="1" si="38"/>
        <v>1.5880000000000001</v>
      </c>
      <c r="AQ128" s="75">
        <f t="shared" ca="1" si="38"/>
        <v>2.3820000000000001</v>
      </c>
      <c r="AR128" s="75">
        <f t="shared" ca="1" si="38"/>
        <v>2.3820000000000001</v>
      </c>
      <c r="AS128" s="75">
        <f t="shared" ca="1" si="38"/>
        <v>1.5880000000000001</v>
      </c>
      <c r="AT128" s="75">
        <f t="shared" ca="1" si="38"/>
        <v>0.79400000000000004</v>
      </c>
      <c r="AU128" s="75">
        <f t="shared" ca="1" si="38"/>
        <v>0</v>
      </c>
      <c r="AV128" s="75">
        <f t="shared" ca="1" si="38"/>
        <v>0</v>
      </c>
      <c r="AW128" s="75">
        <f t="shared" ca="1" si="38"/>
        <v>0</v>
      </c>
    </row>
    <row r="129" spans="1:49">
      <c r="C129" t="str">
        <f t="shared" si="36"/>
        <v xml:space="preserve">Wind 30% </v>
      </c>
      <c r="D129" s="1"/>
      <c r="E129" s="1"/>
      <c r="F129" s="1"/>
      <c r="G129" s="1"/>
      <c r="I129" s="19">
        <f t="shared" si="35"/>
        <v>0.1</v>
      </c>
      <c r="J129" s="63">
        <f t="shared" si="35"/>
        <v>0.2</v>
      </c>
      <c r="K129" s="19">
        <f t="shared" si="35"/>
        <v>0.2</v>
      </c>
      <c r="L129" s="19">
        <f t="shared" si="35"/>
        <v>0.4</v>
      </c>
      <c r="M129" s="19">
        <f t="shared" si="35"/>
        <v>0.4</v>
      </c>
      <c r="N129" s="19">
        <f t="shared" si="35"/>
        <v>0.8</v>
      </c>
      <c r="O129" s="19">
        <f t="shared" si="35"/>
        <v>0.8</v>
      </c>
      <c r="P129" s="19">
        <f t="shared" si="35"/>
        <v>1</v>
      </c>
      <c r="Q129" s="19">
        <f t="shared" si="35"/>
        <v>1</v>
      </c>
      <c r="R129" s="19">
        <f t="shared" si="35"/>
        <v>1.5</v>
      </c>
      <c r="S129" s="19">
        <f t="shared" si="35"/>
        <v>1.5</v>
      </c>
      <c r="T129" s="19">
        <f t="shared" si="35"/>
        <v>2</v>
      </c>
      <c r="U129" s="19">
        <f t="shared" si="35"/>
        <v>0</v>
      </c>
      <c r="V129" s="19">
        <f t="shared" si="35"/>
        <v>0</v>
      </c>
      <c r="W129" s="19">
        <f t="shared" si="35"/>
        <v>0</v>
      </c>
      <c r="X129" s="19">
        <f t="shared" si="35"/>
        <v>0</v>
      </c>
      <c r="Y129" s="19">
        <f t="shared" si="35"/>
        <v>0</v>
      </c>
      <c r="Z129" s="19">
        <f t="shared" si="35"/>
        <v>0</v>
      </c>
      <c r="AA129" s="19">
        <f t="shared" si="35"/>
        <v>0</v>
      </c>
      <c r="AB129" s="19">
        <f t="shared" si="35"/>
        <v>0</v>
      </c>
      <c r="AC129" s="19">
        <f t="shared" si="35"/>
        <v>0</v>
      </c>
      <c r="AD129" s="75">
        <f t="shared" ca="1" si="37"/>
        <v>0.2</v>
      </c>
      <c r="AE129" s="75">
        <f t="shared" ca="1" si="37"/>
        <v>0.2</v>
      </c>
      <c r="AF129" s="75">
        <f t="shared" ca="1" si="37"/>
        <v>0.4</v>
      </c>
      <c r="AG129" s="75">
        <f t="shared" ca="1" si="37"/>
        <v>0.4</v>
      </c>
      <c r="AH129" s="75">
        <f t="shared" ca="1" si="37"/>
        <v>0.8</v>
      </c>
      <c r="AI129" s="75">
        <f t="shared" ca="1" si="37"/>
        <v>0.8</v>
      </c>
      <c r="AJ129" s="75">
        <f t="shared" ca="1" si="37"/>
        <v>1</v>
      </c>
      <c r="AK129" s="75">
        <f t="shared" ca="1" si="37"/>
        <v>1</v>
      </c>
      <c r="AL129" s="75">
        <f t="shared" ca="1" si="37"/>
        <v>1.5</v>
      </c>
      <c r="AM129" s="75">
        <f t="shared" ca="1" si="37"/>
        <v>1.5</v>
      </c>
      <c r="AN129" s="75">
        <f t="shared" ca="1" si="37"/>
        <v>2</v>
      </c>
      <c r="AO129" s="75">
        <f t="shared" ca="1" si="37"/>
        <v>0</v>
      </c>
      <c r="AP129" s="75">
        <f t="shared" ca="1" si="37"/>
        <v>0</v>
      </c>
      <c r="AQ129" s="75">
        <f t="shared" ca="1" si="37"/>
        <v>0</v>
      </c>
      <c r="AR129" s="75">
        <f t="shared" ca="1" si="37"/>
        <v>0</v>
      </c>
      <c r="AS129" s="75">
        <f t="shared" ca="1" si="37"/>
        <v>0</v>
      </c>
      <c r="AT129" s="75">
        <f t="shared" ca="1" si="37"/>
        <v>0</v>
      </c>
      <c r="AU129" s="75">
        <f t="shared" ca="1" si="37"/>
        <v>0</v>
      </c>
      <c r="AV129" s="75">
        <f t="shared" ca="1" si="37"/>
        <v>0</v>
      </c>
      <c r="AW129" s="75">
        <f t="shared" ca="1" si="37"/>
        <v>0</v>
      </c>
    </row>
    <row r="130" spans="1:49">
      <c r="C130" t="str">
        <f t="shared" si="36"/>
        <v>Wind 25%</v>
      </c>
      <c r="D130" s="1"/>
      <c r="E130" s="1"/>
      <c r="F130" s="1"/>
      <c r="G130" s="1"/>
      <c r="I130" s="19">
        <f>I59*$B59</f>
        <v>0</v>
      </c>
      <c r="J130" s="19">
        <f t="shared" si="35"/>
        <v>0</v>
      </c>
      <c r="K130" s="19">
        <f t="shared" si="35"/>
        <v>0</v>
      </c>
      <c r="L130" s="19">
        <f t="shared" si="35"/>
        <v>0</v>
      </c>
      <c r="M130" s="19">
        <f t="shared" si="35"/>
        <v>0</v>
      </c>
      <c r="N130" s="19">
        <f t="shared" si="35"/>
        <v>0</v>
      </c>
      <c r="O130" s="19">
        <f t="shared" si="35"/>
        <v>0</v>
      </c>
      <c r="P130" s="19">
        <f t="shared" si="35"/>
        <v>0</v>
      </c>
      <c r="Q130" s="19">
        <f t="shared" si="35"/>
        <v>0</v>
      </c>
      <c r="R130" s="19">
        <f t="shared" si="35"/>
        <v>0</v>
      </c>
      <c r="S130" s="19">
        <f t="shared" si="35"/>
        <v>0</v>
      </c>
      <c r="T130" s="19">
        <f t="shared" si="35"/>
        <v>0</v>
      </c>
      <c r="U130" s="19">
        <f t="shared" si="35"/>
        <v>1</v>
      </c>
      <c r="V130" s="19">
        <f t="shared" si="35"/>
        <v>1</v>
      </c>
      <c r="W130" s="19">
        <f t="shared" si="35"/>
        <v>1</v>
      </c>
      <c r="X130" s="19">
        <f t="shared" si="35"/>
        <v>1</v>
      </c>
      <c r="Y130" s="19">
        <f t="shared" si="35"/>
        <v>1</v>
      </c>
      <c r="Z130" s="19">
        <f t="shared" si="35"/>
        <v>1</v>
      </c>
      <c r="AA130" s="19">
        <f t="shared" si="35"/>
        <v>1</v>
      </c>
      <c r="AB130" s="19">
        <f t="shared" si="35"/>
        <v>1</v>
      </c>
      <c r="AC130" s="19">
        <f t="shared" si="35"/>
        <v>1</v>
      </c>
      <c r="AD130" s="75">
        <f t="shared" ca="1" si="37"/>
        <v>0</v>
      </c>
      <c r="AE130" s="75">
        <f t="shared" ca="1" si="37"/>
        <v>0</v>
      </c>
      <c r="AF130" s="75">
        <f t="shared" ca="1" si="37"/>
        <v>0</v>
      </c>
      <c r="AG130" s="75">
        <f t="shared" ca="1" si="37"/>
        <v>0</v>
      </c>
      <c r="AH130" s="75">
        <f t="shared" ca="1" si="37"/>
        <v>0</v>
      </c>
      <c r="AI130" s="75">
        <f t="shared" ca="1" si="37"/>
        <v>0</v>
      </c>
      <c r="AJ130" s="75">
        <f t="shared" ca="1" si="37"/>
        <v>0</v>
      </c>
      <c r="AK130" s="75">
        <f t="shared" ca="1" si="37"/>
        <v>0</v>
      </c>
      <c r="AL130" s="75">
        <f t="shared" ca="1" si="37"/>
        <v>0</v>
      </c>
      <c r="AM130" s="75">
        <f t="shared" ca="1" si="37"/>
        <v>0</v>
      </c>
      <c r="AN130" s="75">
        <f t="shared" ca="1" si="37"/>
        <v>0</v>
      </c>
      <c r="AO130" s="75">
        <f t="shared" ca="1" si="37"/>
        <v>1</v>
      </c>
      <c r="AP130" s="75">
        <f t="shared" ca="1" si="37"/>
        <v>1</v>
      </c>
      <c r="AQ130" s="75">
        <f t="shared" ca="1" si="37"/>
        <v>1</v>
      </c>
      <c r="AR130" s="75">
        <f t="shared" ca="1" si="37"/>
        <v>1</v>
      </c>
      <c r="AS130" s="75">
        <f t="shared" ca="1" si="37"/>
        <v>1</v>
      </c>
      <c r="AT130" s="75">
        <f t="shared" ca="1" si="37"/>
        <v>1</v>
      </c>
      <c r="AU130" s="75">
        <f t="shared" ca="1" si="37"/>
        <v>1</v>
      </c>
      <c r="AV130" s="75">
        <f t="shared" ca="1" si="37"/>
        <v>1</v>
      </c>
      <c r="AW130" s="75">
        <f t="shared" ca="1" si="37"/>
        <v>1</v>
      </c>
    </row>
    <row r="131" spans="1:49">
      <c r="C131" t="str">
        <f t="shared" si="36"/>
        <v>solar thermal central reciever</v>
      </c>
      <c r="D131" s="1"/>
      <c r="E131" s="1"/>
      <c r="F131" s="1"/>
      <c r="G131" s="1"/>
      <c r="I131" s="19">
        <f t="shared" ref="I131:AC140" si="39">I60*$B60</f>
        <v>0</v>
      </c>
      <c r="J131" s="19">
        <f t="shared" si="39"/>
        <v>0</v>
      </c>
      <c r="K131" s="19">
        <f t="shared" si="39"/>
        <v>0</v>
      </c>
      <c r="L131" s="19">
        <f t="shared" si="39"/>
        <v>0</v>
      </c>
      <c r="M131" s="19">
        <f t="shared" si="39"/>
        <v>0</v>
      </c>
      <c r="N131" s="19">
        <f t="shared" si="39"/>
        <v>0.1</v>
      </c>
      <c r="O131" s="19">
        <f t="shared" si="39"/>
        <v>0.2</v>
      </c>
      <c r="P131" s="19">
        <f t="shared" si="39"/>
        <v>0.4</v>
      </c>
      <c r="Q131" s="19">
        <f t="shared" si="39"/>
        <v>0.8</v>
      </c>
      <c r="R131" s="19">
        <f t="shared" si="39"/>
        <v>1.2000000000000002</v>
      </c>
      <c r="S131" s="19">
        <f t="shared" si="39"/>
        <v>1.6</v>
      </c>
      <c r="T131" s="19">
        <f t="shared" si="39"/>
        <v>2</v>
      </c>
      <c r="U131" s="19">
        <f t="shared" si="39"/>
        <v>2</v>
      </c>
      <c r="V131" s="19">
        <f t="shared" si="39"/>
        <v>3</v>
      </c>
      <c r="W131" s="19">
        <f t="shared" si="39"/>
        <v>3</v>
      </c>
      <c r="X131" s="19">
        <f t="shared" si="39"/>
        <v>3</v>
      </c>
      <c r="Y131" s="19">
        <f t="shared" si="39"/>
        <v>3</v>
      </c>
      <c r="Z131" s="19">
        <f t="shared" si="39"/>
        <v>3</v>
      </c>
      <c r="AA131" s="19">
        <f t="shared" si="39"/>
        <v>3</v>
      </c>
      <c r="AB131" s="19">
        <f t="shared" si="39"/>
        <v>3</v>
      </c>
      <c r="AC131" s="19">
        <f t="shared" si="39"/>
        <v>3</v>
      </c>
      <c r="AD131" s="75">
        <f t="shared" ca="1" si="37"/>
        <v>0</v>
      </c>
      <c r="AE131" s="75">
        <f t="shared" ca="1" si="37"/>
        <v>0</v>
      </c>
      <c r="AF131" s="75">
        <f t="shared" ca="1" si="37"/>
        <v>0</v>
      </c>
      <c r="AG131" s="75">
        <f t="shared" ca="1" si="37"/>
        <v>0</v>
      </c>
      <c r="AH131" s="75">
        <f t="shared" ca="1" si="37"/>
        <v>0</v>
      </c>
      <c r="AI131" s="75">
        <f t="shared" ca="1" si="37"/>
        <v>0</v>
      </c>
      <c r="AJ131" s="75">
        <f t="shared" ca="1" si="37"/>
        <v>0</v>
      </c>
      <c r="AK131" s="75">
        <f t="shared" ca="1" si="37"/>
        <v>0</v>
      </c>
      <c r="AL131" s="75">
        <f t="shared" ca="1" si="37"/>
        <v>0</v>
      </c>
      <c r="AM131" s="75">
        <f t="shared" ca="1" si="37"/>
        <v>0</v>
      </c>
      <c r="AN131" s="75">
        <f t="shared" ca="1" si="37"/>
        <v>0</v>
      </c>
      <c r="AO131" s="75">
        <f t="shared" ca="1" si="37"/>
        <v>0</v>
      </c>
      <c r="AP131" s="75">
        <f t="shared" ca="1" si="37"/>
        <v>0</v>
      </c>
      <c r="AQ131" s="75">
        <f t="shared" ca="1" si="37"/>
        <v>0</v>
      </c>
      <c r="AR131" s="75">
        <f t="shared" ca="1" si="37"/>
        <v>0.1</v>
      </c>
      <c r="AS131" s="75">
        <f t="shared" ca="1" si="37"/>
        <v>0.2</v>
      </c>
      <c r="AT131" s="75">
        <f t="shared" ca="1" si="37"/>
        <v>0.4</v>
      </c>
      <c r="AU131" s="75">
        <f t="shared" ca="1" si="37"/>
        <v>0.8</v>
      </c>
      <c r="AV131" s="75">
        <f t="shared" ca="1" si="37"/>
        <v>1.2000000000000002</v>
      </c>
      <c r="AW131" s="75">
        <f t="shared" ca="1" si="37"/>
        <v>1.6</v>
      </c>
    </row>
    <row r="132" spans="1:49">
      <c r="C132" t="str">
        <f t="shared" si="36"/>
        <v>solar thermal trough</v>
      </c>
      <c r="D132" s="1"/>
      <c r="E132" s="1"/>
      <c r="F132" s="1"/>
      <c r="G132" s="1"/>
      <c r="I132" s="19">
        <f t="shared" si="39"/>
        <v>0</v>
      </c>
      <c r="J132" s="19">
        <f t="shared" si="39"/>
        <v>0</v>
      </c>
      <c r="K132" s="19">
        <f t="shared" si="39"/>
        <v>0</v>
      </c>
      <c r="L132" s="19">
        <f t="shared" si="39"/>
        <v>0</v>
      </c>
      <c r="M132" s="19">
        <f t="shared" si="39"/>
        <v>0</v>
      </c>
      <c r="N132" s="19">
        <f t="shared" si="39"/>
        <v>0</v>
      </c>
      <c r="O132" s="19">
        <f t="shared" si="39"/>
        <v>0</v>
      </c>
      <c r="P132" s="19">
        <f t="shared" si="39"/>
        <v>0</v>
      </c>
      <c r="Q132" s="19">
        <f t="shared" si="39"/>
        <v>0</v>
      </c>
      <c r="R132" s="19">
        <f t="shared" si="39"/>
        <v>0</v>
      </c>
      <c r="S132" s="19">
        <f t="shared" si="39"/>
        <v>0</v>
      </c>
      <c r="T132" s="19">
        <f t="shared" si="39"/>
        <v>0</v>
      </c>
      <c r="U132" s="19">
        <f t="shared" si="39"/>
        <v>0</v>
      </c>
      <c r="V132" s="19">
        <f t="shared" si="39"/>
        <v>0</v>
      </c>
      <c r="W132" s="19">
        <f t="shared" si="39"/>
        <v>0</v>
      </c>
      <c r="X132" s="19">
        <f t="shared" si="39"/>
        <v>0</v>
      </c>
      <c r="Y132" s="19">
        <f t="shared" si="39"/>
        <v>0</v>
      </c>
      <c r="Z132" s="19">
        <f t="shared" si="39"/>
        <v>0</v>
      </c>
      <c r="AA132" s="19">
        <f t="shared" si="39"/>
        <v>0</v>
      </c>
      <c r="AB132" s="19">
        <f t="shared" si="39"/>
        <v>0</v>
      </c>
      <c r="AC132" s="19">
        <f t="shared" si="39"/>
        <v>0</v>
      </c>
      <c r="AD132" s="75">
        <f t="shared" ca="1" si="37"/>
        <v>0</v>
      </c>
      <c r="AE132" s="75">
        <f t="shared" ca="1" si="37"/>
        <v>0</v>
      </c>
      <c r="AF132" s="75">
        <f t="shared" ca="1" si="37"/>
        <v>0</v>
      </c>
      <c r="AG132" s="75">
        <f t="shared" ca="1" si="37"/>
        <v>0</v>
      </c>
      <c r="AH132" s="75">
        <f t="shared" ca="1" si="37"/>
        <v>0</v>
      </c>
      <c r="AI132" s="75">
        <f t="shared" ca="1" si="37"/>
        <v>0</v>
      </c>
      <c r="AJ132" s="75">
        <f t="shared" ca="1" si="37"/>
        <v>0</v>
      </c>
      <c r="AK132" s="75">
        <f t="shared" ca="1" si="37"/>
        <v>0</v>
      </c>
      <c r="AL132" s="75">
        <f t="shared" ca="1" si="37"/>
        <v>0</v>
      </c>
      <c r="AM132" s="75">
        <f t="shared" ca="1" si="37"/>
        <v>0</v>
      </c>
      <c r="AN132" s="75">
        <f t="shared" ca="1" si="37"/>
        <v>0</v>
      </c>
      <c r="AO132" s="75">
        <f t="shared" ca="1" si="37"/>
        <v>0</v>
      </c>
      <c r="AP132" s="75">
        <f t="shared" ca="1" si="37"/>
        <v>0</v>
      </c>
      <c r="AQ132" s="75">
        <f t="shared" ca="1" si="37"/>
        <v>0</v>
      </c>
      <c r="AR132" s="75">
        <f t="shared" ca="1" si="37"/>
        <v>0</v>
      </c>
      <c r="AS132" s="75">
        <f t="shared" ca="1" si="37"/>
        <v>0</v>
      </c>
      <c r="AT132" s="75">
        <f t="shared" ca="1" si="37"/>
        <v>0</v>
      </c>
      <c r="AU132" s="75">
        <f t="shared" ca="1" si="37"/>
        <v>0</v>
      </c>
      <c r="AV132" s="75">
        <f t="shared" ca="1" si="37"/>
        <v>0</v>
      </c>
      <c r="AW132" s="75">
        <f t="shared" ca="1" si="37"/>
        <v>0</v>
      </c>
    </row>
    <row r="133" spans="1:49">
      <c r="A133" s="11"/>
      <c r="C133" t="str">
        <f t="shared" si="36"/>
        <v>solar PV</v>
      </c>
      <c r="D133" s="1"/>
      <c r="E133" s="1"/>
      <c r="F133" s="1"/>
      <c r="G133" s="1"/>
      <c r="I133" s="19">
        <f t="shared" si="39"/>
        <v>0</v>
      </c>
      <c r="J133" s="19">
        <f t="shared" si="39"/>
        <v>0</v>
      </c>
      <c r="K133" s="19">
        <f t="shared" si="39"/>
        <v>0</v>
      </c>
      <c r="L133" s="19">
        <f t="shared" si="39"/>
        <v>0</v>
      </c>
      <c r="M133" s="19">
        <f t="shared" si="39"/>
        <v>0</v>
      </c>
      <c r="N133" s="19">
        <f t="shared" si="39"/>
        <v>0</v>
      </c>
      <c r="O133" s="19">
        <f t="shared" si="39"/>
        <v>0</v>
      </c>
      <c r="P133" s="19">
        <f t="shared" si="39"/>
        <v>0</v>
      </c>
      <c r="Q133" s="19">
        <f t="shared" si="39"/>
        <v>0</v>
      </c>
      <c r="R133" s="19">
        <f t="shared" si="39"/>
        <v>0</v>
      </c>
      <c r="S133" s="19">
        <f t="shared" si="39"/>
        <v>0</v>
      </c>
      <c r="T133" s="19">
        <f t="shared" si="39"/>
        <v>0</v>
      </c>
      <c r="U133" s="19">
        <f t="shared" si="39"/>
        <v>0</v>
      </c>
      <c r="V133" s="19">
        <f t="shared" si="39"/>
        <v>0</v>
      </c>
      <c r="W133" s="19">
        <f t="shared" si="39"/>
        <v>0</v>
      </c>
      <c r="X133" s="19">
        <f t="shared" si="39"/>
        <v>0</v>
      </c>
      <c r="Y133" s="19">
        <f t="shared" si="39"/>
        <v>0</v>
      </c>
      <c r="Z133" s="19">
        <f t="shared" si="39"/>
        <v>0</v>
      </c>
      <c r="AA133" s="19">
        <f t="shared" si="39"/>
        <v>0</v>
      </c>
      <c r="AB133" s="19">
        <f t="shared" si="39"/>
        <v>0</v>
      </c>
      <c r="AC133" s="19">
        <f t="shared" si="39"/>
        <v>0</v>
      </c>
      <c r="AD133" s="75">
        <f t="shared" ca="1" si="37"/>
        <v>0</v>
      </c>
      <c r="AE133" s="75">
        <f t="shared" ca="1" si="37"/>
        <v>0</v>
      </c>
      <c r="AF133" s="75">
        <f t="shared" ca="1" si="37"/>
        <v>0</v>
      </c>
      <c r="AG133" s="75">
        <f t="shared" ca="1" si="37"/>
        <v>0</v>
      </c>
      <c r="AH133" s="75">
        <f t="shared" ca="1" si="37"/>
        <v>0</v>
      </c>
      <c r="AI133" s="75">
        <f t="shared" ca="1" si="37"/>
        <v>0</v>
      </c>
      <c r="AJ133" s="75">
        <f t="shared" ca="1" si="37"/>
        <v>0</v>
      </c>
      <c r="AK133" s="75">
        <f t="shared" ca="1" si="37"/>
        <v>0</v>
      </c>
      <c r="AL133" s="75">
        <f t="shared" ca="1" si="37"/>
        <v>0</v>
      </c>
      <c r="AM133" s="75">
        <f t="shared" ca="1" si="37"/>
        <v>0</v>
      </c>
      <c r="AN133" s="75">
        <f t="shared" ca="1" si="37"/>
        <v>0</v>
      </c>
      <c r="AO133" s="75">
        <f t="shared" ca="1" si="37"/>
        <v>0</v>
      </c>
      <c r="AP133" s="75">
        <f t="shared" ca="1" si="37"/>
        <v>0</v>
      </c>
      <c r="AQ133" s="75">
        <f t="shared" ca="1" si="37"/>
        <v>0</v>
      </c>
      <c r="AR133" s="75">
        <f t="shared" ca="1" si="37"/>
        <v>0</v>
      </c>
      <c r="AS133" s="75">
        <f t="shared" ca="1" si="37"/>
        <v>0</v>
      </c>
      <c r="AT133" s="75">
        <f t="shared" ca="1" si="37"/>
        <v>0</v>
      </c>
      <c r="AU133" s="75">
        <f t="shared" ca="1" si="37"/>
        <v>0</v>
      </c>
      <c r="AV133" s="75">
        <f t="shared" ca="1" si="37"/>
        <v>0</v>
      </c>
      <c r="AW133" s="75">
        <f t="shared" ca="1" si="37"/>
        <v>0</v>
      </c>
    </row>
    <row r="134" spans="1:49">
      <c r="A134" s="11"/>
      <c r="C134" t="str">
        <f t="shared" si="36"/>
        <v>combined cycle gas</v>
      </c>
      <c r="D134" s="1"/>
      <c r="E134" s="1"/>
      <c r="F134" s="1"/>
      <c r="G134" s="1"/>
      <c r="I134" s="19">
        <f t="shared" si="39"/>
        <v>0</v>
      </c>
      <c r="J134" s="19">
        <f t="shared" si="39"/>
        <v>0</v>
      </c>
      <c r="K134" s="19">
        <f t="shared" si="39"/>
        <v>0</v>
      </c>
      <c r="L134" s="19">
        <f t="shared" si="39"/>
        <v>0</v>
      </c>
      <c r="M134" s="19">
        <f t="shared" si="39"/>
        <v>0</v>
      </c>
      <c r="N134" s="19">
        <f t="shared" si="39"/>
        <v>0</v>
      </c>
      <c r="O134" s="19">
        <f t="shared" si="39"/>
        <v>0</v>
      </c>
      <c r="P134" s="19">
        <f t="shared" si="39"/>
        <v>0</v>
      </c>
      <c r="Q134" s="19">
        <f t="shared" si="39"/>
        <v>0</v>
      </c>
      <c r="R134" s="19">
        <f t="shared" si="39"/>
        <v>0</v>
      </c>
      <c r="S134" s="19">
        <f t="shared" si="39"/>
        <v>0</v>
      </c>
      <c r="T134" s="19">
        <f t="shared" si="39"/>
        <v>0</v>
      </c>
      <c r="U134" s="19">
        <f t="shared" si="39"/>
        <v>0</v>
      </c>
      <c r="V134" s="19">
        <f t="shared" si="39"/>
        <v>0</v>
      </c>
      <c r="W134" s="19">
        <f t="shared" si="39"/>
        <v>0</v>
      </c>
      <c r="X134" s="19">
        <f t="shared" si="39"/>
        <v>0</v>
      </c>
      <c r="Y134" s="19">
        <f t="shared" si="39"/>
        <v>0</v>
      </c>
      <c r="Z134" s="19">
        <f t="shared" si="39"/>
        <v>0.77400000000000002</v>
      </c>
      <c r="AA134" s="19">
        <f t="shared" si="39"/>
        <v>1.161</v>
      </c>
      <c r="AB134" s="19">
        <f t="shared" si="39"/>
        <v>1.161</v>
      </c>
      <c r="AC134" s="19">
        <f t="shared" si="39"/>
        <v>0</v>
      </c>
      <c r="AD134" s="75">
        <f t="shared" ca="1" si="37"/>
        <v>0</v>
      </c>
      <c r="AE134" s="75">
        <f t="shared" ca="1" si="37"/>
        <v>0</v>
      </c>
      <c r="AF134" s="75">
        <f t="shared" ca="1" si="37"/>
        <v>0</v>
      </c>
      <c r="AG134" s="75">
        <f t="shared" ca="1" si="37"/>
        <v>0</v>
      </c>
      <c r="AH134" s="75">
        <f t="shared" ca="1" si="37"/>
        <v>0</v>
      </c>
      <c r="AI134" s="75">
        <f t="shared" ca="1" si="37"/>
        <v>0</v>
      </c>
      <c r="AJ134" s="75">
        <f t="shared" ca="1" si="37"/>
        <v>0</v>
      </c>
      <c r="AK134" s="75">
        <f t="shared" ca="1" si="37"/>
        <v>0</v>
      </c>
      <c r="AL134" s="75">
        <f t="shared" ca="1" si="37"/>
        <v>0</v>
      </c>
      <c r="AM134" s="75">
        <f t="shared" ca="1" si="37"/>
        <v>0</v>
      </c>
      <c r="AN134" s="75">
        <f t="shared" ca="1" si="37"/>
        <v>0</v>
      </c>
      <c r="AO134" s="75">
        <f t="shared" ca="1" si="37"/>
        <v>0</v>
      </c>
      <c r="AP134" s="75">
        <f t="shared" ca="1" si="37"/>
        <v>0</v>
      </c>
      <c r="AQ134" s="75">
        <f t="shared" ca="1" si="37"/>
        <v>0</v>
      </c>
      <c r="AR134" s="75">
        <f t="shared" ca="1" si="37"/>
        <v>0</v>
      </c>
      <c r="AS134" s="75">
        <f t="shared" ca="1" si="37"/>
        <v>0</v>
      </c>
      <c r="AT134" s="75">
        <f t="shared" ca="1" si="37"/>
        <v>0</v>
      </c>
      <c r="AU134" s="75">
        <f t="shared" ca="1" si="37"/>
        <v>0</v>
      </c>
      <c r="AV134" s="75">
        <f t="shared" ca="1" si="37"/>
        <v>0</v>
      </c>
      <c r="AW134" s="75">
        <f t="shared" ca="1" si="37"/>
        <v>0</v>
      </c>
    </row>
    <row r="135" spans="1:49">
      <c r="C135" t="str">
        <f t="shared" si="36"/>
        <v>PBMR</v>
      </c>
      <c r="D135" s="1"/>
      <c r="E135" s="1"/>
      <c r="F135" s="1"/>
      <c r="G135" s="1"/>
      <c r="I135" s="19">
        <f t="shared" si="39"/>
        <v>0</v>
      </c>
      <c r="J135" s="19">
        <f t="shared" si="39"/>
        <v>0</v>
      </c>
      <c r="K135" s="19">
        <f t="shared" si="39"/>
        <v>0</v>
      </c>
      <c r="L135" s="19">
        <f t="shared" si="39"/>
        <v>0</v>
      </c>
      <c r="M135" s="19">
        <f t="shared" si="39"/>
        <v>0</v>
      </c>
      <c r="N135" s="19">
        <f t="shared" si="39"/>
        <v>0</v>
      </c>
      <c r="O135" s="19">
        <f t="shared" si="39"/>
        <v>0</v>
      </c>
      <c r="P135" s="19">
        <f t="shared" si="39"/>
        <v>0</v>
      </c>
      <c r="Q135" s="19">
        <f t="shared" si="39"/>
        <v>0</v>
      </c>
      <c r="R135" s="19">
        <f t="shared" si="39"/>
        <v>0</v>
      </c>
      <c r="S135" s="19">
        <f t="shared" si="39"/>
        <v>0</v>
      </c>
      <c r="T135" s="19">
        <f t="shared" si="39"/>
        <v>0</v>
      </c>
      <c r="U135" s="19">
        <f t="shared" si="39"/>
        <v>0</v>
      </c>
      <c r="V135" s="19">
        <f t="shared" si="39"/>
        <v>0</v>
      </c>
      <c r="W135" s="19">
        <f t="shared" si="39"/>
        <v>0</v>
      </c>
      <c r="X135" s="19">
        <f t="shared" si="39"/>
        <v>0</v>
      </c>
      <c r="Y135" s="19">
        <f t="shared" si="39"/>
        <v>0</v>
      </c>
      <c r="Z135" s="19">
        <f t="shared" si="39"/>
        <v>0</v>
      </c>
      <c r="AA135" s="19">
        <f t="shared" si="39"/>
        <v>0</v>
      </c>
      <c r="AB135" s="19">
        <f t="shared" si="39"/>
        <v>0</v>
      </c>
      <c r="AC135" s="19">
        <f t="shared" si="39"/>
        <v>0</v>
      </c>
      <c r="AD135" s="75">
        <f t="shared" ca="1" si="37"/>
        <v>0</v>
      </c>
      <c r="AE135" s="75">
        <f t="shared" ca="1" si="37"/>
        <v>0</v>
      </c>
      <c r="AF135" s="75">
        <f t="shared" ca="1" si="37"/>
        <v>0</v>
      </c>
      <c r="AG135" s="75">
        <f t="shared" ca="1" si="37"/>
        <v>0</v>
      </c>
      <c r="AH135" s="75">
        <f t="shared" ca="1" si="37"/>
        <v>0</v>
      </c>
      <c r="AI135" s="75">
        <f t="shared" ca="1" si="37"/>
        <v>0</v>
      </c>
      <c r="AJ135" s="75">
        <f t="shared" ca="1" si="37"/>
        <v>0</v>
      </c>
      <c r="AK135" s="75">
        <f t="shared" ca="1" si="37"/>
        <v>0</v>
      </c>
      <c r="AL135" s="75">
        <f t="shared" ca="1" si="37"/>
        <v>0</v>
      </c>
      <c r="AM135" s="75">
        <f t="shared" ca="1" si="37"/>
        <v>0</v>
      </c>
      <c r="AN135" s="75">
        <f t="shared" ca="1" si="37"/>
        <v>0</v>
      </c>
      <c r="AO135" s="75">
        <f t="shared" ca="1" si="37"/>
        <v>0</v>
      </c>
      <c r="AP135" s="75">
        <f t="shared" ca="1" si="37"/>
        <v>0</v>
      </c>
      <c r="AQ135" s="75">
        <f t="shared" ca="1" si="37"/>
        <v>0</v>
      </c>
      <c r="AR135" s="75">
        <f t="shared" ca="1" si="37"/>
        <v>0</v>
      </c>
      <c r="AS135" s="75">
        <f t="shared" ca="1" si="37"/>
        <v>0</v>
      </c>
      <c r="AT135" s="75">
        <f t="shared" ca="1" si="37"/>
        <v>0</v>
      </c>
      <c r="AU135" s="75">
        <f t="shared" ca="1" si="37"/>
        <v>0</v>
      </c>
      <c r="AV135" s="75">
        <f t="shared" ca="1" si="37"/>
        <v>0</v>
      </c>
      <c r="AW135" s="75">
        <f t="shared" ca="1" si="37"/>
        <v>0</v>
      </c>
    </row>
    <row r="136" spans="1:49">
      <c r="C136" t="str">
        <f t="shared" si="36"/>
        <v>IGCC</v>
      </c>
      <c r="D136" s="1"/>
      <c r="E136" s="1"/>
      <c r="F136" s="1"/>
      <c r="G136" s="1"/>
      <c r="I136" s="19">
        <f t="shared" si="39"/>
        <v>0</v>
      </c>
      <c r="J136" s="19">
        <f t="shared" si="39"/>
        <v>0</v>
      </c>
      <c r="K136" s="19">
        <f t="shared" si="39"/>
        <v>0</v>
      </c>
      <c r="L136" s="19">
        <f t="shared" si="39"/>
        <v>0</v>
      </c>
      <c r="M136" s="19">
        <f t="shared" si="39"/>
        <v>0</v>
      </c>
      <c r="N136" s="19">
        <f t="shared" si="39"/>
        <v>0</v>
      </c>
      <c r="O136" s="19">
        <f t="shared" si="39"/>
        <v>0</v>
      </c>
      <c r="P136" s="19">
        <f t="shared" si="39"/>
        <v>0</v>
      </c>
      <c r="Q136" s="19">
        <f t="shared" si="39"/>
        <v>0</v>
      </c>
      <c r="R136" s="19">
        <f t="shared" si="39"/>
        <v>0</v>
      </c>
      <c r="S136" s="19">
        <f t="shared" si="39"/>
        <v>0</v>
      </c>
      <c r="T136" s="19">
        <f t="shared" si="39"/>
        <v>0</v>
      </c>
      <c r="U136" s="19">
        <f t="shared" si="39"/>
        <v>0</v>
      </c>
      <c r="V136" s="19">
        <f t="shared" si="39"/>
        <v>0</v>
      </c>
      <c r="W136" s="19">
        <f t="shared" si="39"/>
        <v>0</v>
      </c>
      <c r="X136" s="19">
        <f t="shared" si="39"/>
        <v>0</v>
      </c>
      <c r="Y136" s="19">
        <f t="shared" si="39"/>
        <v>0</v>
      </c>
      <c r="Z136" s="19">
        <f t="shared" si="39"/>
        <v>0</v>
      </c>
      <c r="AA136" s="19">
        <f t="shared" si="39"/>
        <v>0</v>
      </c>
      <c r="AB136" s="19">
        <f t="shared" si="39"/>
        <v>0.55000000000000004</v>
      </c>
      <c r="AC136" s="19">
        <f t="shared" si="39"/>
        <v>0.55000000000000004</v>
      </c>
      <c r="AD136" s="75">
        <f t="shared" ca="1" si="37"/>
        <v>0</v>
      </c>
      <c r="AE136" s="75">
        <f t="shared" ca="1" si="37"/>
        <v>0</v>
      </c>
      <c r="AF136" s="75">
        <f t="shared" ca="1" si="37"/>
        <v>0</v>
      </c>
      <c r="AG136" s="75">
        <f t="shared" ca="1" si="37"/>
        <v>0</v>
      </c>
      <c r="AH136" s="75">
        <f t="shared" ca="1" si="37"/>
        <v>0</v>
      </c>
      <c r="AI136" s="75">
        <f t="shared" ca="1" si="37"/>
        <v>0</v>
      </c>
      <c r="AJ136" s="75">
        <f t="shared" ca="1" si="37"/>
        <v>0</v>
      </c>
      <c r="AK136" s="75">
        <f t="shared" ca="1" si="37"/>
        <v>0</v>
      </c>
      <c r="AL136" s="75">
        <f t="shared" ca="1" si="37"/>
        <v>0</v>
      </c>
      <c r="AM136" s="75">
        <f t="shared" ca="1" si="37"/>
        <v>0</v>
      </c>
      <c r="AN136" s="75">
        <f t="shared" ca="1" si="37"/>
        <v>0</v>
      </c>
      <c r="AO136" s="75">
        <f t="shared" ca="1" si="37"/>
        <v>0</v>
      </c>
      <c r="AP136" s="75">
        <f t="shared" ca="1" si="37"/>
        <v>0</v>
      </c>
      <c r="AQ136" s="75">
        <f t="shared" ca="1" si="37"/>
        <v>0</v>
      </c>
      <c r="AR136" s="75">
        <f t="shared" ca="1" si="37"/>
        <v>0</v>
      </c>
      <c r="AS136" s="75">
        <f t="shared" ref="AS136:AW140" ca="1" si="40">-AS159</f>
        <v>0</v>
      </c>
      <c r="AT136" s="75">
        <f t="shared" ca="1" si="40"/>
        <v>0</v>
      </c>
      <c r="AU136" s="75">
        <f t="shared" ca="1" si="40"/>
        <v>0</v>
      </c>
      <c r="AV136" s="75">
        <f t="shared" ca="1" si="40"/>
        <v>0</v>
      </c>
      <c r="AW136" s="75">
        <f t="shared" ca="1" si="40"/>
        <v>0</v>
      </c>
    </row>
    <row r="137" spans="1:49">
      <c r="C137" t="str">
        <f t="shared" si="36"/>
        <v>-</v>
      </c>
      <c r="D137" s="1"/>
      <c r="E137" s="1"/>
      <c r="F137" s="1"/>
      <c r="G137" s="1"/>
      <c r="I137" s="19">
        <f t="shared" si="39"/>
        <v>0</v>
      </c>
      <c r="J137" s="19">
        <f t="shared" si="39"/>
        <v>0</v>
      </c>
      <c r="K137" s="19">
        <f t="shared" si="39"/>
        <v>0</v>
      </c>
      <c r="L137" s="19">
        <f t="shared" si="39"/>
        <v>0</v>
      </c>
      <c r="M137" s="19">
        <f t="shared" si="39"/>
        <v>0</v>
      </c>
      <c r="N137" s="19">
        <f t="shared" si="39"/>
        <v>0</v>
      </c>
      <c r="O137" s="19">
        <f t="shared" si="39"/>
        <v>0</v>
      </c>
      <c r="P137" s="19">
        <f t="shared" si="39"/>
        <v>0</v>
      </c>
      <c r="Q137" s="19">
        <f t="shared" si="39"/>
        <v>0</v>
      </c>
      <c r="R137" s="19">
        <f t="shared" si="39"/>
        <v>0</v>
      </c>
      <c r="S137" s="19">
        <f t="shared" si="39"/>
        <v>0</v>
      </c>
      <c r="T137" s="19">
        <f t="shared" si="39"/>
        <v>0</v>
      </c>
      <c r="U137" s="19">
        <f t="shared" si="39"/>
        <v>0</v>
      </c>
      <c r="V137" s="19">
        <f t="shared" si="39"/>
        <v>0</v>
      </c>
      <c r="W137" s="19">
        <f t="shared" si="39"/>
        <v>0</v>
      </c>
      <c r="X137" s="19">
        <f t="shared" si="39"/>
        <v>0</v>
      </c>
      <c r="Y137" s="19">
        <f t="shared" si="39"/>
        <v>0</v>
      </c>
      <c r="Z137" s="19">
        <f t="shared" si="39"/>
        <v>0</v>
      </c>
      <c r="AA137" s="19">
        <f t="shared" si="39"/>
        <v>0</v>
      </c>
      <c r="AB137" s="19">
        <f t="shared" si="39"/>
        <v>0</v>
      </c>
      <c r="AC137" s="19">
        <f t="shared" si="39"/>
        <v>0</v>
      </c>
      <c r="AD137" s="75">
        <f t="shared" ref="AD137:AR137" ca="1" si="41">-AD160</f>
        <v>0</v>
      </c>
      <c r="AE137" s="75">
        <f t="shared" ca="1" si="41"/>
        <v>0</v>
      </c>
      <c r="AF137" s="75">
        <f t="shared" ca="1" si="41"/>
        <v>0</v>
      </c>
      <c r="AG137" s="75">
        <f t="shared" ca="1" si="41"/>
        <v>0</v>
      </c>
      <c r="AH137" s="75">
        <f t="shared" ca="1" si="41"/>
        <v>0</v>
      </c>
      <c r="AI137" s="75">
        <f t="shared" ca="1" si="41"/>
        <v>0</v>
      </c>
      <c r="AJ137" s="75">
        <f t="shared" ca="1" si="41"/>
        <v>0</v>
      </c>
      <c r="AK137" s="75">
        <f t="shared" ca="1" si="41"/>
        <v>0</v>
      </c>
      <c r="AL137" s="75">
        <f t="shared" ca="1" si="41"/>
        <v>0</v>
      </c>
      <c r="AM137" s="75">
        <f t="shared" ca="1" si="41"/>
        <v>0</v>
      </c>
      <c r="AN137" s="75">
        <f t="shared" ca="1" si="41"/>
        <v>0</v>
      </c>
      <c r="AO137" s="75">
        <f t="shared" ca="1" si="41"/>
        <v>0</v>
      </c>
      <c r="AP137" s="75">
        <f t="shared" ca="1" si="41"/>
        <v>0</v>
      </c>
      <c r="AQ137" s="75">
        <f t="shared" ca="1" si="41"/>
        <v>0</v>
      </c>
      <c r="AR137" s="75">
        <f t="shared" ca="1" si="41"/>
        <v>0</v>
      </c>
      <c r="AS137" s="75">
        <f t="shared" ca="1" si="40"/>
        <v>0</v>
      </c>
      <c r="AT137" s="75">
        <f t="shared" ca="1" si="40"/>
        <v>0</v>
      </c>
      <c r="AU137" s="75">
        <f t="shared" ca="1" si="40"/>
        <v>0</v>
      </c>
      <c r="AV137" s="75">
        <f t="shared" ca="1" si="40"/>
        <v>0</v>
      </c>
      <c r="AW137" s="75">
        <f t="shared" ca="1" si="40"/>
        <v>0</v>
      </c>
    </row>
    <row r="138" spans="1:49">
      <c r="C138" t="str">
        <f t="shared" si="36"/>
        <v>-</v>
      </c>
      <c r="D138" s="1"/>
      <c r="E138" s="1"/>
      <c r="F138" s="1"/>
      <c r="G138" s="1"/>
      <c r="I138" s="19">
        <f t="shared" si="39"/>
        <v>0</v>
      </c>
      <c r="J138" s="19">
        <f t="shared" si="39"/>
        <v>0</v>
      </c>
      <c r="K138" s="19">
        <f t="shared" si="39"/>
        <v>0</v>
      </c>
      <c r="L138" s="19">
        <f t="shared" si="39"/>
        <v>0</v>
      </c>
      <c r="M138" s="19">
        <f t="shared" si="39"/>
        <v>0</v>
      </c>
      <c r="N138" s="19">
        <f t="shared" si="39"/>
        <v>0</v>
      </c>
      <c r="O138" s="19">
        <f t="shared" si="39"/>
        <v>0</v>
      </c>
      <c r="P138" s="19">
        <f t="shared" si="39"/>
        <v>0</v>
      </c>
      <c r="Q138" s="19">
        <f t="shared" si="39"/>
        <v>0</v>
      </c>
      <c r="R138" s="19">
        <f t="shared" si="39"/>
        <v>0</v>
      </c>
      <c r="S138" s="19">
        <f t="shared" si="39"/>
        <v>0</v>
      </c>
      <c r="T138" s="19">
        <f t="shared" si="39"/>
        <v>0</v>
      </c>
      <c r="U138" s="19">
        <f t="shared" si="39"/>
        <v>0</v>
      </c>
      <c r="V138" s="19">
        <f t="shared" si="39"/>
        <v>0</v>
      </c>
      <c r="W138" s="19">
        <f t="shared" si="39"/>
        <v>0</v>
      </c>
      <c r="X138" s="19">
        <f t="shared" si="39"/>
        <v>0</v>
      </c>
      <c r="Y138" s="19">
        <f t="shared" si="39"/>
        <v>0</v>
      </c>
      <c r="Z138" s="19">
        <f t="shared" si="39"/>
        <v>0</v>
      </c>
      <c r="AA138" s="19">
        <f t="shared" si="39"/>
        <v>0</v>
      </c>
      <c r="AB138" s="19">
        <f t="shared" si="39"/>
        <v>0</v>
      </c>
      <c r="AC138" s="19">
        <f t="shared" si="39"/>
        <v>0</v>
      </c>
      <c r="AD138" s="75">
        <f t="shared" ref="AD138:AR138" ca="1" si="42">-AD161</f>
        <v>0</v>
      </c>
      <c r="AE138" s="75">
        <f t="shared" ca="1" si="42"/>
        <v>0</v>
      </c>
      <c r="AF138" s="75">
        <f t="shared" ca="1" si="42"/>
        <v>0</v>
      </c>
      <c r="AG138" s="75">
        <f t="shared" ca="1" si="42"/>
        <v>0</v>
      </c>
      <c r="AH138" s="75">
        <f t="shared" ca="1" si="42"/>
        <v>0</v>
      </c>
      <c r="AI138" s="75">
        <f t="shared" ca="1" si="42"/>
        <v>0</v>
      </c>
      <c r="AJ138" s="75">
        <f t="shared" ca="1" si="42"/>
        <v>0</v>
      </c>
      <c r="AK138" s="75">
        <f t="shared" ca="1" si="42"/>
        <v>0</v>
      </c>
      <c r="AL138" s="75">
        <f t="shared" ca="1" si="42"/>
        <v>0</v>
      </c>
      <c r="AM138" s="75">
        <f t="shared" ca="1" si="42"/>
        <v>0</v>
      </c>
      <c r="AN138" s="75">
        <f t="shared" ca="1" si="42"/>
        <v>0</v>
      </c>
      <c r="AO138" s="75">
        <f t="shared" ca="1" si="42"/>
        <v>0</v>
      </c>
      <c r="AP138" s="75">
        <f t="shared" ca="1" si="42"/>
        <v>0</v>
      </c>
      <c r="AQ138" s="75">
        <f t="shared" ca="1" si="42"/>
        <v>0</v>
      </c>
      <c r="AR138" s="75">
        <f t="shared" ca="1" si="42"/>
        <v>0</v>
      </c>
      <c r="AS138" s="75">
        <f t="shared" ca="1" si="40"/>
        <v>0</v>
      </c>
      <c r="AT138" s="75">
        <f t="shared" ca="1" si="40"/>
        <v>0</v>
      </c>
      <c r="AU138" s="75">
        <f t="shared" ca="1" si="40"/>
        <v>0</v>
      </c>
      <c r="AV138" s="75">
        <f t="shared" ca="1" si="40"/>
        <v>0</v>
      </c>
      <c r="AW138" s="75">
        <f t="shared" ca="1" si="40"/>
        <v>0</v>
      </c>
    </row>
    <row r="139" spans="1:49">
      <c r="C139" t="str">
        <f t="shared" si="36"/>
        <v>-</v>
      </c>
      <c r="D139" s="1"/>
      <c r="E139" s="1"/>
      <c r="F139" s="1"/>
      <c r="G139" s="1"/>
      <c r="I139" s="19">
        <f t="shared" si="39"/>
        <v>0</v>
      </c>
      <c r="J139" s="19">
        <f t="shared" si="39"/>
        <v>0</v>
      </c>
      <c r="K139" s="19">
        <f t="shared" si="39"/>
        <v>0</v>
      </c>
      <c r="L139" s="19">
        <f t="shared" si="39"/>
        <v>0</v>
      </c>
      <c r="M139" s="19">
        <f t="shared" si="39"/>
        <v>0</v>
      </c>
      <c r="N139" s="19">
        <f t="shared" si="39"/>
        <v>0</v>
      </c>
      <c r="O139" s="19">
        <f t="shared" si="39"/>
        <v>0</v>
      </c>
      <c r="P139" s="19">
        <f t="shared" si="39"/>
        <v>0</v>
      </c>
      <c r="Q139" s="19">
        <f t="shared" si="39"/>
        <v>0</v>
      </c>
      <c r="R139" s="19">
        <f t="shared" si="39"/>
        <v>0</v>
      </c>
      <c r="S139" s="19">
        <f t="shared" si="39"/>
        <v>0</v>
      </c>
      <c r="T139" s="19">
        <f t="shared" si="39"/>
        <v>0</v>
      </c>
      <c r="U139" s="19">
        <f t="shared" si="39"/>
        <v>0</v>
      </c>
      <c r="V139" s="19">
        <f t="shared" si="39"/>
        <v>0</v>
      </c>
      <c r="W139" s="19">
        <f t="shared" si="39"/>
        <v>0</v>
      </c>
      <c r="X139" s="19">
        <f t="shared" si="39"/>
        <v>0</v>
      </c>
      <c r="Y139" s="19">
        <f t="shared" si="39"/>
        <v>0</v>
      </c>
      <c r="Z139" s="19">
        <f t="shared" si="39"/>
        <v>0</v>
      </c>
      <c r="AA139" s="19">
        <f t="shared" si="39"/>
        <v>0</v>
      </c>
      <c r="AB139" s="19">
        <f t="shared" si="39"/>
        <v>0</v>
      </c>
      <c r="AC139" s="19">
        <f t="shared" si="39"/>
        <v>0</v>
      </c>
      <c r="AD139" s="75">
        <f t="shared" ref="AD139:AR139" ca="1" si="43">-AD162</f>
        <v>0</v>
      </c>
      <c r="AE139" s="75">
        <f t="shared" ca="1" si="43"/>
        <v>0</v>
      </c>
      <c r="AF139" s="75">
        <f t="shared" ca="1" si="43"/>
        <v>0</v>
      </c>
      <c r="AG139" s="75">
        <f t="shared" ca="1" si="43"/>
        <v>0</v>
      </c>
      <c r="AH139" s="75">
        <f t="shared" ca="1" si="43"/>
        <v>0</v>
      </c>
      <c r="AI139" s="75">
        <f t="shared" ca="1" si="43"/>
        <v>0</v>
      </c>
      <c r="AJ139" s="75">
        <f t="shared" ca="1" si="43"/>
        <v>0</v>
      </c>
      <c r="AK139" s="75">
        <f t="shared" ca="1" si="43"/>
        <v>0</v>
      </c>
      <c r="AL139" s="75">
        <f t="shared" ca="1" si="43"/>
        <v>0</v>
      </c>
      <c r="AM139" s="75">
        <f t="shared" ca="1" si="43"/>
        <v>0</v>
      </c>
      <c r="AN139" s="75">
        <f t="shared" ca="1" si="43"/>
        <v>0</v>
      </c>
      <c r="AO139" s="75">
        <f t="shared" ca="1" si="43"/>
        <v>0</v>
      </c>
      <c r="AP139" s="75">
        <f t="shared" ca="1" si="43"/>
        <v>0</v>
      </c>
      <c r="AQ139" s="75">
        <f t="shared" ca="1" si="43"/>
        <v>0</v>
      </c>
      <c r="AR139" s="75">
        <f t="shared" ca="1" si="43"/>
        <v>0</v>
      </c>
      <c r="AS139" s="75">
        <f t="shared" ca="1" si="40"/>
        <v>0</v>
      </c>
      <c r="AT139" s="75">
        <f t="shared" ca="1" si="40"/>
        <v>0</v>
      </c>
      <c r="AU139" s="75">
        <f t="shared" ca="1" si="40"/>
        <v>0</v>
      </c>
      <c r="AV139" s="75">
        <f t="shared" ca="1" si="40"/>
        <v>0</v>
      </c>
      <c r="AW139" s="75">
        <f t="shared" ca="1" si="40"/>
        <v>0</v>
      </c>
    </row>
    <row r="140" spans="1:49">
      <c r="C140" t="str">
        <f t="shared" si="36"/>
        <v>Pumped storage</v>
      </c>
      <c r="D140" s="1"/>
      <c r="E140" s="1"/>
      <c r="F140" s="1"/>
      <c r="G140" s="1"/>
      <c r="I140" s="19">
        <f t="shared" si="39"/>
        <v>0</v>
      </c>
      <c r="J140" s="19">
        <f t="shared" si="39"/>
        <v>0</v>
      </c>
      <c r="K140" s="19">
        <f t="shared" si="39"/>
        <v>0</v>
      </c>
      <c r="L140" s="19">
        <f t="shared" si="39"/>
        <v>0.66600000000000004</v>
      </c>
      <c r="M140" s="19">
        <f t="shared" si="39"/>
        <v>0.66600000000000004</v>
      </c>
      <c r="N140" s="19">
        <f t="shared" si="39"/>
        <v>0.66600000000000004</v>
      </c>
      <c r="O140" s="19">
        <f t="shared" si="39"/>
        <v>0.66600000000000004</v>
      </c>
      <c r="P140" s="19">
        <f t="shared" si="39"/>
        <v>0</v>
      </c>
      <c r="Q140" s="19">
        <f t="shared" si="39"/>
        <v>0</v>
      </c>
      <c r="R140" s="19">
        <f t="shared" si="39"/>
        <v>0</v>
      </c>
      <c r="S140" s="19">
        <f t="shared" si="39"/>
        <v>0</v>
      </c>
      <c r="T140" s="19">
        <f t="shared" si="39"/>
        <v>0</v>
      </c>
      <c r="U140" s="19">
        <f t="shared" si="39"/>
        <v>0</v>
      </c>
      <c r="V140" s="19">
        <f t="shared" si="39"/>
        <v>0</v>
      </c>
      <c r="W140" s="19">
        <f t="shared" si="39"/>
        <v>0</v>
      </c>
      <c r="X140" s="19">
        <f t="shared" si="39"/>
        <v>0</v>
      </c>
      <c r="Y140" s="19">
        <f t="shared" si="39"/>
        <v>0</v>
      </c>
      <c r="Z140" s="19">
        <f t="shared" si="39"/>
        <v>0</v>
      </c>
      <c r="AA140" s="19">
        <f t="shared" si="39"/>
        <v>0</v>
      </c>
      <c r="AB140" s="19">
        <f t="shared" si="39"/>
        <v>0</v>
      </c>
      <c r="AC140" s="19">
        <f t="shared" si="39"/>
        <v>0</v>
      </c>
      <c r="AD140" s="75">
        <f t="shared" ref="AD140:AR140" ca="1" si="44">-AD163</f>
        <v>0</v>
      </c>
      <c r="AE140" s="75">
        <f t="shared" ca="1" si="44"/>
        <v>0</v>
      </c>
      <c r="AF140" s="75">
        <f t="shared" ca="1" si="44"/>
        <v>0</v>
      </c>
      <c r="AG140" s="75">
        <f t="shared" ca="1" si="44"/>
        <v>0</v>
      </c>
      <c r="AH140" s="75">
        <f t="shared" ca="1" si="44"/>
        <v>0</v>
      </c>
      <c r="AI140" s="75">
        <f t="shared" ca="1" si="44"/>
        <v>0</v>
      </c>
      <c r="AJ140" s="75">
        <f t="shared" ca="1" si="44"/>
        <v>0</v>
      </c>
      <c r="AK140" s="75">
        <f t="shared" ca="1" si="44"/>
        <v>0</v>
      </c>
      <c r="AL140" s="75">
        <f t="shared" ca="1" si="44"/>
        <v>0</v>
      </c>
      <c r="AM140" s="75">
        <f t="shared" ca="1" si="44"/>
        <v>0</v>
      </c>
      <c r="AN140" s="75">
        <f t="shared" ca="1" si="44"/>
        <v>0</v>
      </c>
      <c r="AO140" s="75">
        <f t="shared" ca="1" si="44"/>
        <v>0</v>
      </c>
      <c r="AP140" s="75">
        <f t="shared" ca="1" si="44"/>
        <v>0</v>
      </c>
      <c r="AQ140" s="75">
        <f t="shared" ca="1" si="44"/>
        <v>0</v>
      </c>
      <c r="AR140" s="75">
        <f t="shared" ca="1" si="44"/>
        <v>0</v>
      </c>
      <c r="AS140" s="75">
        <f t="shared" ca="1" si="40"/>
        <v>0</v>
      </c>
      <c r="AT140" s="75">
        <f t="shared" ca="1" si="40"/>
        <v>0</v>
      </c>
      <c r="AU140" s="75">
        <f t="shared" ca="1" si="40"/>
        <v>0</v>
      </c>
      <c r="AV140" s="75">
        <f t="shared" ca="1" si="40"/>
        <v>0</v>
      </c>
      <c r="AW140" s="75">
        <f t="shared" ca="1" si="40"/>
        <v>0</v>
      </c>
    </row>
    <row r="141" spans="1:49" s="4" customFormat="1">
      <c r="C141" s="3" t="s">
        <v>5</v>
      </c>
      <c r="D141" s="4">
        <f>SUM(D121:D140)</f>
        <v>0</v>
      </c>
      <c r="E141" s="4">
        <f>SUM(E121:E140)</f>
        <v>0</v>
      </c>
      <c r="F141" s="4">
        <f>SUM(F121:F140)</f>
        <v>0</v>
      </c>
      <c r="G141" s="4">
        <f>SUM(G121:G140)</f>
        <v>0</v>
      </c>
      <c r="H141" s="4">
        <f>SUM(H121:H140)</f>
        <v>0</v>
      </c>
      <c r="I141" s="4">
        <f t="shared" ref="I141:AW141" si="45">SUM(I121:I140)</f>
        <v>0.1</v>
      </c>
      <c r="J141" s="4">
        <f t="shared" si="45"/>
        <v>1.28</v>
      </c>
      <c r="K141" s="4">
        <f t="shared" si="45"/>
        <v>0.99399999999999999</v>
      </c>
      <c r="L141" s="4">
        <f t="shared" si="45"/>
        <v>2.6539999999999999</v>
      </c>
      <c r="M141" s="4">
        <f t="shared" si="45"/>
        <v>3.448</v>
      </c>
      <c r="N141" s="4">
        <f t="shared" si="45"/>
        <v>3.9480000000000004</v>
      </c>
      <c r="O141" s="4">
        <f t="shared" si="45"/>
        <v>3.254</v>
      </c>
      <c r="P141" s="4">
        <f t="shared" si="45"/>
        <v>2.194</v>
      </c>
      <c r="Q141" s="4">
        <f t="shared" si="45"/>
        <v>1.8</v>
      </c>
      <c r="R141" s="4">
        <f t="shared" si="45"/>
        <v>2.7</v>
      </c>
      <c r="S141" s="4">
        <f t="shared" si="45"/>
        <v>3.1</v>
      </c>
      <c r="T141" s="4">
        <f t="shared" si="45"/>
        <v>4</v>
      </c>
      <c r="U141" s="4">
        <f t="shared" si="45"/>
        <v>3</v>
      </c>
      <c r="V141" s="4">
        <f t="shared" si="45"/>
        <v>4</v>
      </c>
      <c r="W141" s="4">
        <f t="shared" si="45"/>
        <v>4</v>
      </c>
      <c r="X141" s="4">
        <f t="shared" si="45"/>
        <v>4</v>
      </c>
      <c r="Y141" s="4">
        <f t="shared" si="45"/>
        <v>4.72</v>
      </c>
      <c r="Z141" s="4">
        <f t="shared" si="45"/>
        <v>4.774</v>
      </c>
      <c r="AA141" s="4">
        <f t="shared" si="45"/>
        <v>5.1609999999999996</v>
      </c>
      <c r="AB141" s="4">
        <f t="shared" si="45"/>
        <v>6.6710000000000003</v>
      </c>
      <c r="AC141" s="4">
        <f t="shared" si="45"/>
        <v>5.51</v>
      </c>
      <c r="AD141" s="4">
        <f t="shared" ca="1" si="45"/>
        <v>0.2</v>
      </c>
      <c r="AE141" s="4">
        <f t="shared" ca="1" si="45"/>
        <v>0.2</v>
      </c>
      <c r="AF141" s="4">
        <f t="shared" ca="1" si="45"/>
        <v>0.4</v>
      </c>
      <c r="AG141" s="4">
        <f t="shared" ca="1" si="45"/>
        <v>0.4</v>
      </c>
      <c r="AH141" s="4">
        <f t="shared" ca="1" si="45"/>
        <v>0.8</v>
      </c>
      <c r="AI141" s="4">
        <f t="shared" ca="1" si="45"/>
        <v>1.8800000000000001</v>
      </c>
      <c r="AJ141" s="4">
        <f t="shared" ca="1" si="45"/>
        <v>1</v>
      </c>
      <c r="AK141" s="4">
        <f t="shared" ca="1" si="45"/>
        <v>1</v>
      </c>
      <c r="AL141" s="4">
        <f t="shared" ca="1" si="45"/>
        <v>1.5</v>
      </c>
      <c r="AM141" s="4">
        <f t="shared" ca="1" si="45"/>
        <v>1.5</v>
      </c>
      <c r="AN141" s="4">
        <f t="shared" ca="1" si="45"/>
        <v>2</v>
      </c>
      <c r="AO141" s="4">
        <f t="shared" ca="1" si="45"/>
        <v>1.794</v>
      </c>
      <c r="AP141" s="4">
        <f t="shared" ca="1" si="45"/>
        <v>2.5880000000000001</v>
      </c>
      <c r="AQ141" s="4">
        <f t="shared" ca="1" si="45"/>
        <v>3.3820000000000001</v>
      </c>
      <c r="AR141" s="4">
        <f t="shared" ca="1" si="45"/>
        <v>3.4820000000000002</v>
      </c>
      <c r="AS141" s="4">
        <f t="shared" ca="1" si="45"/>
        <v>2.7880000000000003</v>
      </c>
      <c r="AT141" s="4">
        <f t="shared" ca="1" si="45"/>
        <v>2.194</v>
      </c>
      <c r="AU141" s="4">
        <f t="shared" ca="1" si="45"/>
        <v>1.8</v>
      </c>
      <c r="AV141" s="4">
        <f t="shared" ca="1" si="45"/>
        <v>2.2000000000000002</v>
      </c>
      <c r="AW141" s="4">
        <f t="shared" ca="1" si="45"/>
        <v>2.6</v>
      </c>
    </row>
    <row r="143" spans="1:49">
      <c r="C143" s="4" t="s">
        <v>312</v>
      </c>
    </row>
    <row r="144" spans="1:49">
      <c r="C144" t="str">
        <f>C8</f>
        <v>Existing coal Large</v>
      </c>
      <c r="D144">
        <f ca="1">IF(D$7-'Tech Parameters'!$I6&lt;2006,0,-OFFSET(D121,0,-'Tech Parameters'!$I6))</f>
        <v>0</v>
      </c>
      <c r="E144">
        <f ca="1">IF(E$7-'Tech Parameters'!$I6&lt;2006,0,-OFFSET(E121,0,-'Tech Parameters'!$I6))</f>
        <v>0</v>
      </c>
      <c r="F144">
        <f ca="1">IF(F$7-'Tech Parameters'!$I6&lt;2006,0,-OFFSET(F121,0,-'Tech Parameters'!$I6))</f>
        <v>0</v>
      </c>
      <c r="G144">
        <f ca="1">IF(G$7-'Tech Parameters'!$I6&lt;2006,0,-OFFSET(G121,0,-'Tech Parameters'!$I6))</f>
        <v>0</v>
      </c>
      <c r="H144">
        <f ca="1">IF(H$7-'Tech Parameters'!$I6&lt;2006,0,-OFFSET(H121,0,-'Tech Parameters'!$I6))</f>
        <v>0</v>
      </c>
      <c r="I144">
        <f ca="1">IF(I$7-'Tech Parameters'!$I6&lt;2006,0,-OFFSET(I121,0,-'Tech Parameters'!$I6))</f>
        <v>0</v>
      </c>
      <c r="J144">
        <f ca="1">IF(J$7-'Tech Parameters'!$I6&lt;2006,0,-OFFSET(J121,0,-'Tech Parameters'!$I6))</f>
        <v>0</v>
      </c>
      <c r="K144">
        <f ca="1">IF(K$7-'Tech Parameters'!$I6&lt;2006,0,-OFFSET(K121,0,-'Tech Parameters'!$I6))</f>
        <v>0</v>
      </c>
      <c r="L144">
        <f ca="1">IF(L$7-'Tech Parameters'!$I6&lt;2006,0,-OFFSET(L121,0,-'Tech Parameters'!$I6))</f>
        <v>0</v>
      </c>
      <c r="M144">
        <f ca="1">IF(M$7-'Tech Parameters'!$I6&lt;2006,0,-OFFSET(M121,0,-'Tech Parameters'!$I6))</f>
        <v>0</v>
      </c>
      <c r="N144">
        <f ca="1">IF(N$7-'Tech Parameters'!$I6&lt;2006,0,-OFFSET(N121,0,-'Tech Parameters'!$I6))</f>
        <v>0</v>
      </c>
      <c r="O144">
        <f ca="1">IF(O$7-'Tech Parameters'!$I6&lt;2006,0,-OFFSET(O121,0,-'Tech Parameters'!$I6))</f>
        <v>0</v>
      </c>
      <c r="P144">
        <f ca="1">IF(P$7-'Tech Parameters'!$I6&lt;2006,0,-OFFSET(P121,0,-'Tech Parameters'!$I6))</f>
        <v>0</v>
      </c>
      <c r="Q144">
        <f ca="1">IF(Q$7-'Tech Parameters'!$I6&lt;2006,0,-OFFSET(Q121,0,-'Tech Parameters'!$I6))</f>
        <v>0</v>
      </c>
      <c r="R144">
        <f ca="1">IF(R$7-'Tech Parameters'!$I6&lt;2006,0,-OFFSET(R121,0,-'Tech Parameters'!$I6))</f>
        <v>0</v>
      </c>
      <c r="S144">
        <f ca="1">IF(S$7-'Tech Parameters'!$I6&lt;2006,0,-OFFSET(S121,0,-'Tech Parameters'!$I6))</f>
        <v>0</v>
      </c>
      <c r="T144">
        <f ca="1">IF(T$7-'Tech Parameters'!$I6&lt;2006,0,-OFFSET(T121,0,-'Tech Parameters'!$I6))</f>
        <v>0</v>
      </c>
      <c r="U144">
        <f ca="1">IF(U$7-'Tech Parameters'!$I6&lt;2006,0,-OFFSET(U121,0,-'Tech Parameters'!$I6))</f>
        <v>0</v>
      </c>
      <c r="V144">
        <f ca="1">IF(V$7-'Tech Parameters'!$I6&lt;2006,0,-OFFSET(V121,0,-'Tech Parameters'!$I6))</f>
        <v>0</v>
      </c>
      <c r="W144">
        <f ca="1">IF(W$7-'Tech Parameters'!$I6&lt;2006,0,-OFFSET(W121,0,-'Tech Parameters'!$I6))</f>
        <v>0</v>
      </c>
      <c r="X144">
        <f ca="1">IF(X$7-'Tech Parameters'!$I6&lt;2006,0,-OFFSET(X121,0,-'Tech Parameters'!$I6))</f>
        <v>0</v>
      </c>
      <c r="Y144">
        <f ca="1">IF(Y$7-'Tech Parameters'!$I6&lt;2006,0,-OFFSET(Y121,0,-'Tech Parameters'!$I6))</f>
        <v>0</v>
      </c>
      <c r="Z144">
        <f ca="1">IF(Z$7-'Tech Parameters'!$I6&lt;2006,0,-OFFSET(Z121,0,-'Tech Parameters'!$I6))</f>
        <v>0</v>
      </c>
      <c r="AA144">
        <f ca="1">IF(AA$7-'Tech Parameters'!$I6&lt;2006,0,-OFFSET(AA121,0,-'Tech Parameters'!$I6))</f>
        <v>0</v>
      </c>
      <c r="AB144">
        <f ca="1">IF(AB$7-'Tech Parameters'!$I6&lt;2006,0,-OFFSET(AB121,0,-'Tech Parameters'!$I6))</f>
        <v>0</v>
      </c>
      <c r="AC144">
        <f ca="1">IF(AC$7-'Tech Parameters'!$I6&lt;2006,0,-OFFSET(AC121,0,-'Tech Parameters'!$I6))</f>
        <v>0</v>
      </c>
      <c r="AD144">
        <f ca="1">IF(OR(AD$7-'Tech Parameters'!$I6&lt;2006,'Tech Parameters'!$I6=0),0,-OFFSET(AD121,0,-'Tech Parameters'!$I6))</f>
        <v>0</v>
      </c>
      <c r="AE144">
        <f ca="1">IF(OR(AE$7-'Tech Parameters'!$I6&lt;2006,'Tech Parameters'!$I6=0),0,-OFFSET(AE121,0,-'Tech Parameters'!$I6))</f>
        <v>0</v>
      </c>
      <c r="AF144">
        <f ca="1">IF(OR(AF$7-'Tech Parameters'!$I6&lt;2006,'Tech Parameters'!$I6=0),0,-OFFSET(AF121,0,-'Tech Parameters'!$I6))</f>
        <v>0</v>
      </c>
      <c r="AG144">
        <f ca="1">IF(OR(AG$7-'Tech Parameters'!$I6&lt;2006,'Tech Parameters'!$I6=0),0,-OFFSET(AG121,0,-'Tech Parameters'!$I6))</f>
        <v>0</v>
      </c>
      <c r="AH144">
        <f ca="1">IF(OR(AH$7-'Tech Parameters'!$I6&lt;2006,'Tech Parameters'!$I6=0),0,-OFFSET(AH121,0,-'Tech Parameters'!$I6))</f>
        <v>0</v>
      </c>
      <c r="AI144">
        <f ca="1">IF(OR(AI$7-'Tech Parameters'!$I6&lt;2006,'Tech Parameters'!$I6=0),0,-OFFSET(AI121,0,-'Tech Parameters'!$I6))</f>
        <v>0</v>
      </c>
      <c r="AJ144">
        <f ca="1">IF(OR(AJ$7-'Tech Parameters'!$I6&lt;2006,'Tech Parameters'!$I6=0),0,-OFFSET(AJ121,0,-'Tech Parameters'!$I6))</f>
        <v>0</v>
      </c>
      <c r="AK144">
        <f ca="1">IF(OR(AK$7-'Tech Parameters'!$I6&lt;2006,'Tech Parameters'!$I6=0),0,-OFFSET(AK121,0,-'Tech Parameters'!$I6))</f>
        <v>0</v>
      </c>
      <c r="AL144">
        <f ca="1">IF(OR(AL$7-'Tech Parameters'!$I6&lt;2006,'Tech Parameters'!$I6=0),0,-OFFSET(AL121,0,-'Tech Parameters'!$I6))</f>
        <v>0</v>
      </c>
      <c r="AM144">
        <f ca="1">IF(OR(AM$7-'Tech Parameters'!$I6&lt;2006,'Tech Parameters'!$I6=0),0,-OFFSET(AM121,0,-'Tech Parameters'!$I6))</f>
        <v>0</v>
      </c>
      <c r="AN144">
        <f ca="1">IF(OR(AN$7-'Tech Parameters'!$I6&lt;2006,'Tech Parameters'!$I6=0),0,-OFFSET(AN121,0,-'Tech Parameters'!$I6))</f>
        <v>0</v>
      </c>
      <c r="AO144">
        <f ca="1">IF(OR(AO$7-'Tech Parameters'!$I6&lt;2006,'Tech Parameters'!$I6=0),0,-OFFSET(AO121,0,-'Tech Parameters'!$I6))</f>
        <v>0</v>
      </c>
      <c r="AP144">
        <f ca="1">IF(OR(AP$7-'Tech Parameters'!$I6&lt;2006,'Tech Parameters'!$I6=0),0,-OFFSET(AP121,0,-'Tech Parameters'!$I6))</f>
        <v>0</v>
      </c>
      <c r="AQ144">
        <f ca="1">IF(OR(AQ$7-'Tech Parameters'!$I6&lt;2006,'Tech Parameters'!$I6=0),0,-OFFSET(AQ121,0,-'Tech Parameters'!$I6))</f>
        <v>0</v>
      </c>
      <c r="AR144">
        <f ca="1">IF(OR(AR$7-'Tech Parameters'!$I6&lt;2006,'Tech Parameters'!$I6=0),0,-OFFSET(AR121,0,-'Tech Parameters'!$I6))</f>
        <v>0</v>
      </c>
      <c r="AS144">
        <f ca="1">IF(OR(AS$7-'Tech Parameters'!$I6&lt;2006,'Tech Parameters'!$I6=0),0,-OFFSET(AS121,0,-'Tech Parameters'!$I6))</f>
        <v>0</v>
      </c>
      <c r="AT144">
        <f ca="1">IF(OR(AT$7-'Tech Parameters'!$I6&lt;2006,'Tech Parameters'!$I6=0),0,-OFFSET(AT121,0,-'Tech Parameters'!$I6))</f>
        <v>0</v>
      </c>
      <c r="AU144">
        <f ca="1">IF(OR(AU$7-'Tech Parameters'!$I6&lt;2006,'Tech Parameters'!$I6=0),0,-OFFSET(AU121,0,-'Tech Parameters'!$I6))</f>
        <v>0</v>
      </c>
      <c r="AV144">
        <f ca="1">IF(OR(AV$7-'Tech Parameters'!$I6&lt;2006,'Tech Parameters'!$I6=0),0,-OFFSET(AV121,0,-'Tech Parameters'!$I6))</f>
        <v>0</v>
      </c>
      <c r="AW144">
        <f ca="1">IF(OR(AW$7-'Tech Parameters'!$I6&lt;2006,'Tech Parameters'!$I6=0),0,-OFFSET(AW121,0,-'Tech Parameters'!$I6))</f>
        <v>0</v>
      </c>
    </row>
    <row r="145" spans="3:49">
      <c r="C145" t="str">
        <f t="shared" ref="C145:C164" si="46">C9</f>
        <v>Existing coal Small</v>
      </c>
      <c r="D145">
        <f ca="1">IF(D$7-'Tech Parameters'!$I7&lt;2006,0,-OFFSET(D122,0,-'Tech Parameters'!$I7))</f>
        <v>0</v>
      </c>
      <c r="E145">
        <f ca="1">IF(E$7-'Tech Parameters'!$I7&lt;2006,0,-OFFSET(E122,0,-'Tech Parameters'!$I7))</f>
        <v>0</v>
      </c>
      <c r="F145">
        <f ca="1">IF(F$7-'Tech Parameters'!$I7&lt;2006,0,-OFFSET(F122,0,-'Tech Parameters'!$I7))</f>
        <v>0</v>
      </c>
      <c r="G145">
        <f ca="1">IF(G$7-'Tech Parameters'!$I7&lt;2006,0,-OFFSET(G122,0,-'Tech Parameters'!$I7))</f>
        <v>0</v>
      </c>
      <c r="H145">
        <f ca="1">IF(H$7-'Tech Parameters'!$I7&lt;2006,0,-OFFSET(H122,0,-'Tech Parameters'!$I7))</f>
        <v>0</v>
      </c>
      <c r="I145">
        <f ca="1">IF(I$7-'Tech Parameters'!$I7&lt;2006,0,-OFFSET(I122,0,-'Tech Parameters'!$I7))</f>
        <v>0</v>
      </c>
      <c r="J145">
        <f ca="1">IF(J$7-'Tech Parameters'!$I7&lt;2006,0,-OFFSET(J122,0,-'Tech Parameters'!$I7))</f>
        <v>0</v>
      </c>
      <c r="K145">
        <f ca="1">IF(K$7-'Tech Parameters'!$I7&lt;2006,0,-OFFSET(K122,0,-'Tech Parameters'!$I7))</f>
        <v>0</v>
      </c>
      <c r="L145">
        <f ca="1">IF(L$7-'Tech Parameters'!$I7&lt;2006,0,-OFFSET(L122,0,-'Tech Parameters'!$I7))</f>
        <v>0</v>
      </c>
      <c r="M145">
        <f ca="1">IF(M$7-'Tech Parameters'!$I7&lt;2006,0,-OFFSET(M122,0,-'Tech Parameters'!$I7))</f>
        <v>0</v>
      </c>
      <c r="N145">
        <f ca="1">IF(N$7-'Tech Parameters'!$I7&lt;2006,0,-OFFSET(N122,0,-'Tech Parameters'!$I7))</f>
        <v>0</v>
      </c>
      <c r="O145">
        <f ca="1">IF(O$7-'Tech Parameters'!$I7&lt;2006,0,-OFFSET(O122,0,-'Tech Parameters'!$I7))</f>
        <v>0</v>
      </c>
      <c r="P145">
        <f ca="1">IF(P$7-'Tech Parameters'!$I7&lt;2006,0,-OFFSET(P122,0,-'Tech Parameters'!$I7))</f>
        <v>0</v>
      </c>
      <c r="Q145">
        <f ca="1">IF(Q$7-'Tech Parameters'!$I7&lt;2006,0,-OFFSET(Q122,0,-'Tech Parameters'!$I7))</f>
        <v>0</v>
      </c>
      <c r="R145">
        <f ca="1">IF(R$7-'Tech Parameters'!$I7&lt;2006,0,-OFFSET(R122,0,-'Tech Parameters'!$I7))</f>
        <v>0</v>
      </c>
      <c r="S145">
        <f ca="1">IF(S$7-'Tech Parameters'!$I7&lt;2006,0,-OFFSET(S122,0,-'Tech Parameters'!$I7))</f>
        <v>0</v>
      </c>
      <c r="T145">
        <f ca="1">IF(T$7-'Tech Parameters'!$I7&lt;2006,0,-OFFSET(T122,0,-'Tech Parameters'!$I7))</f>
        <v>0</v>
      </c>
      <c r="U145">
        <f ca="1">IF(U$7-'Tech Parameters'!$I7&lt;2006,0,-OFFSET(U122,0,-'Tech Parameters'!$I7))</f>
        <v>0</v>
      </c>
      <c r="V145">
        <f ca="1">IF(V$7-'Tech Parameters'!$I7&lt;2006,0,-OFFSET(V122,0,-'Tech Parameters'!$I7))</f>
        <v>0</v>
      </c>
      <c r="W145">
        <f ca="1">IF(W$7-'Tech Parameters'!$I7&lt;2006,0,-OFFSET(W122,0,-'Tech Parameters'!$I7))</f>
        <v>0</v>
      </c>
      <c r="X145">
        <f ca="1">IF(X$7-'Tech Parameters'!$I7&lt;2006,0,-OFFSET(X122,0,-'Tech Parameters'!$I7))</f>
        <v>0</v>
      </c>
      <c r="Y145">
        <f ca="1">IF(Y$7-'Tech Parameters'!$I7&lt;2006,0,-OFFSET(Y122,0,-'Tech Parameters'!$I7))</f>
        <v>0</v>
      </c>
      <c r="Z145">
        <f ca="1">IF(Z$7-'Tech Parameters'!$I7&lt;2006,0,-OFFSET(Z122,0,-'Tech Parameters'!$I7))</f>
        <v>0</v>
      </c>
      <c r="AA145">
        <f ca="1">IF(AA$7-'Tech Parameters'!$I7&lt;2006,0,-OFFSET(AA122,0,-'Tech Parameters'!$I7))</f>
        <v>0</v>
      </c>
      <c r="AB145">
        <f ca="1">IF(AB$7-'Tech Parameters'!$I7&lt;2006,0,-OFFSET(AB122,0,-'Tech Parameters'!$I7))</f>
        <v>0</v>
      </c>
      <c r="AC145">
        <f ca="1">IF(AC$7-'Tech Parameters'!$I7&lt;2006,0,-OFFSET(AC122,0,-'Tech Parameters'!$I7))</f>
        <v>0</v>
      </c>
      <c r="AD145">
        <f ca="1">IF(OR(AD$7-'Tech Parameters'!$I7&lt;2006,'Tech Parameters'!$I7=0),0,-OFFSET(AD122,0,-'Tech Parameters'!$I7))</f>
        <v>0</v>
      </c>
      <c r="AE145">
        <f ca="1">IF(OR(AE$7-'Tech Parameters'!$I7&lt;2006,'Tech Parameters'!$I7=0),0,-OFFSET(AE122,0,-'Tech Parameters'!$I7))</f>
        <v>0</v>
      </c>
      <c r="AF145">
        <f ca="1">IF(OR(AF$7-'Tech Parameters'!$I7&lt;2006,'Tech Parameters'!$I7=0),0,-OFFSET(AF122,0,-'Tech Parameters'!$I7))</f>
        <v>0</v>
      </c>
      <c r="AG145">
        <f ca="1">IF(OR(AG$7-'Tech Parameters'!$I7&lt;2006,'Tech Parameters'!$I7=0),0,-OFFSET(AG122,0,-'Tech Parameters'!$I7))</f>
        <v>0</v>
      </c>
      <c r="AH145">
        <f ca="1">IF(OR(AH$7-'Tech Parameters'!$I7&lt;2006,'Tech Parameters'!$I7=0),0,-OFFSET(AH122,0,-'Tech Parameters'!$I7))</f>
        <v>0</v>
      </c>
      <c r="AI145">
        <f ca="1">IF(OR(AI$7-'Tech Parameters'!$I7&lt;2006,'Tech Parameters'!$I7=0),0,-OFFSET(AI122,0,-'Tech Parameters'!$I7))</f>
        <v>0</v>
      </c>
      <c r="AJ145">
        <f ca="1">IF(OR(AJ$7-'Tech Parameters'!$I7&lt;2006,'Tech Parameters'!$I7=0),0,-OFFSET(AJ122,0,-'Tech Parameters'!$I7))</f>
        <v>0</v>
      </c>
      <c r="AK145">
        <f ca="1">IF(OR(AK$7-'Tech Parameters'!$I7&lt;2006,'Tech Parameters'!$I7=0),0,-OFFSET(AK122,0,-'Tech Parameters'!$I7))</f>
        <v>0</v>
      </c>
      <c r="AL145">
        <f ca="1">IF(OR(AL$7-'Tech Parameters'!$I7&lt;2006,'Tech Parameters'!$I7=0),0,-OFFSET(AL122,0,-'Tech Parameters'!$I7))</f>
        <v>0</v>
      </c>
      <c r="AM145">
        <f ca="1">IF(OR(AM$7-'Tech Parameters'!$I7&lt;2006,'Tech Parameters'!$I7=0),0,-OFFSET(AM122,0,-'Tech Parameters'!$I7))</f>
        <v>0</v>
      </c>
      <c r="AN145">
        <f ca="1">IF(OR(AN$7-'Tech Parameters'!$I7&lt;2006,'Tech Parameters'!$I7=0),0,-OFFSET(AN122,0,-'Tech Parameters'!$I7))</f>
        <v>0</v>
      </c>
      <c r="AO145">
        <f ca="1">IF(OR(AO$7-'Tech Parameters'!$I7&lt;2006,'Tech Parameters'!$I7=0),0,-OFFSET(AO122,0,-'Tech Parameters'!$I7))</f>
        <v>0</v>
      </c>
      <c r="AP145">
        <f ca="1">IF(OR(AP$7-'Tech Parameters'!$I7&lt;2006,'Tech Parameters'!$I7=0),0,-OFFSET(AP122,0,-'Tech Parameters'!$I7))</f>
        <v>0</v>
      </c>
      <c r="AQ145">
        <f ca="1">IF(OR(AQ$7-'Tech Parameters'!$I7&lt;2006,'Tech Parameters'!$I7=0),0,-OFFSET(AQ122,0,-'Tech Parameters'!$I7))</f>
        <v>0</v>
      </c>
      <c r="AR145">
        <f ca="1">IF(OR(AR$7-'Tech Parameters'!$I7&lt;2006,'Tech Parameters'!$I7=0),0,-OFFSET(AR122,0,-'Tech Parameters'!$I7))</f>
        <v>0</v>
      </c>
      <c r="AS145">
        <f ca="1">IF(OR(AS$7-'Tech Parameters'!$I7&lt;2006,'Tech Parameters'!$I7=0),0,-OFFSET(AS122,0,-'Tech Parameters'!$I7))</f>
        <v>0</v>
      </c>
      <c r="AT145">
        <f ca="1">IF(OR(AT$7-'Tech Parameters'!$I7&lt;2006,'Tech Parameters'!$I7=0),0,-OFFSET(AT122,0,-'Tech Parameters'!$I7))</f>
        <v>0</v>
      </c>
      <c r="AU145">
        <f ca="1">IF(OR(AU$7-'Tech Parameters'!$I7&lt;2006,'Tech Parameters'!$I7=0),0,-OFFSET(AU122,0,-'Tech Parameters'!$I7))</f>
        <v>0</v>
      </c>
      <c r="AV145">
        <f ca="1">IF(OR(AV$7-'Tech Parameters'!$I7&lt;2006,'Tech Parameters'!$I7=0),0,-OFFSET(AV122,0,-'Tech Parameters'!$I7))</f>
        <v>0</v>
      </c>
      <c r="AW145">
        <f ca="1">IF(OR(AW$7-'Tech Parameters'!$I7&lt;2006,'Tech Parameters'!$I7=0),0,-OFFSET(AW122,0,-'Tech Parameters'!$I7))</f>
        <v>0</v>
      </c>
    </row>
    <row r="146" spans="3:49">
      <c r="C146" t="str">
        <f t="shared" si="46"/>
        <v>OCGT liquid fuels</v>
      </c>
      <c r="D146">
        <f ca="1">IF(D$7-'Tech Parameters'!$I8&lt;2006,0,-OFFSET(D123,0,-'Tech Parameters'!$I8))</f>
        <v>0</v>
      </c>
      <c r="E146">
        <f ca="1">IF(E$7-'Tech Parameters'!$I8&lt;2006,0,-OFFSET(E123,0,-'Tech Parameters'!$I8))</f>
        <v>0</v>
      </c>
      <c r="F146">
        <f ca="1">IF(F$7-'Tech Parameters'!$I8&lt;2006,0,-OFFSET(F123,0,-'Tech Parameters'!$I8))</f>
        <v>0</v>
      </c>
      <c r="G146">
        <f ca="1">IF(G$7-'Tech Parameters'!$I8&lt;2006,0,-OFFSET(G123,0,-'Tech Parameters'!$I8))</f>
        <v>0</v>
      </c>
      <c r="H146">
        <f ca="1">IF(H$7-'Tech Parameters'!$I8&lt;2006,0,-OFFSET(H123,0,-'Tech Parameters'!$I8))</f>
        <v>0</v>
      </c>
      <c r="I146">
        <f ca="1">IF(I$7-'Tech Parameters'!$I8&lt;2006,0,-OFFSET(I123,0,-'Tech Parameters'!$I8))</f>
        <v>0</v>
      </c>
      <c r="J146">
        <f ca="1">IF(J$7-'Tech Parameters'!$I8&lt;2006,0,-OFFSET(J123,0,-'Tech Parameters'!$I8))</f>
        <v>0</v>
      </c>
      <c r="K146">
        <f ca="1">IF(K$7-'Tech Parameters'!$I8&lt;2006,0,-OFFSET(K123,0,-'Tech Parameters'!$I8))</f>
        <v>0</v>
      </c>
      <c r="L146">
        <f ca="1">IF(L$7-'Tech Parameters'!$I8&lt;2006,0,-OFFSET(L123,0,-'Tech Parameters'!$I8))</f>
        <v>0</v>
      </c>
      <c r="M146">
        <f ca="1">IF(M$7-'Tech Parameters'!$I8&lt;2006,0,-OFFSET(M123,0,-'Tech Parameters'!$I8))</f>
        <v>0</v>
      </c>
      <c r="N146">
        <f ca="1">IF(N$7-'Tech Parameters'!$I8&lt;2006,0,-OFFSET(N123,0,-'Tech Parameters'!$I8))</f>
        <v>0</v>
      </c>
      <c r="O146">
        <f ca="1">IF(O$7-'Tech Parameters'!$I8&lt;2006,0,-OFFSET(O123,0,-'Tech Parameters'!$I8))</f>
        <v>0</v>
      </c>
      <c r="P146">
        <f ca="1">IF(P$7-'Tech Parameters'!$I8&lt;2006,0,-OFFSET(P123,0,-'Tech Parameters'!$I8))</f>
        <v>0</v>
      </c>
      <c r="Q146">
        <f ca="1">IF(Q$7-'Tech Parameters'!$I8&lt;2006,0,-OFFSET(Q123,0,-'Tech Parameters'!$I8))</f>
        <v>0</v>
      </c>
      <c r="R146">
        <f ca="1">IF(R$7-'Tech Parameters'!$I8&lt;2006,0,-OFFSET(R123,0,-'Tech Parameters'!$I8))</f>
        <v>0</v>
      </c>
      <c r="S146">
        <f ca="1">IF(S$7-'Tech Parameters'!$I8&lt;2006,0,-OFFSET(S123,0,-'Tech Parameters'!$I8))</f>
        <v>0</v>
      </c>
      <c r="T146">
        <f ca="1">IF(T$7-'Tech Parameters'!$I8&lt;2006,0,-OFFSET(T123,0,-'Tech Parameters'!$I8))</f>
        <v>0</v>
      </c>
      <c r="U146">
        <f ca="1">IF(U$7-'Tech Parameters'!$I8&lt;2006,0,-OFFSET(U123,0,-'Tech Parameters'!$I8))</f>
        <v>0</v>
      </c>
      <c r="V146">
        <f ca="1">IF(V$7-'Tech Parameters'!$I8&lt;2006,0,-OFFSET(V123,0,-'Tech Parameters'!$I8))</f>
        <v>0</v>
      </c>
      <c r="W146">
        <f ca="1">IF(W$7-'Tech Parameters'!$I8&lt;2006,0,-OFFSET(W123,0,-'Tech Parameters'!$I8))</f>
        <v>0</v>
      </c>
      <c r="X146">
        <f ca="1">IF(X$7-'Tech Parameters'!$I8&lt;2006,0,-OFFSET(X123,0,-'Tech Parameters'!$I8))</f>
        <v>0</v>
      </c>
      <c r="Y146">
        <f ca="1">IF(Y$7-'Tech Parameters'!$I8&lt;2006,0,-OFFSET(Y123,0,-'Tech Parameters'!$I8))</f>
        <v>0</v>
      </c>
      <c r="Z146">
        <f ca="1">IF(Z$7-'Tech Parameters'!$I8&lt;2006,0,-OFFSET(Z123,0,-'Tech Parameters'!$I8))</f>
        <v>0</v>
      </c>
      <c r="AA146">
        <f ca="1">IF(AA$7-'Tech Parameters'!$I8&lt;2006,0,-OFFSET(AA123,0,-'Tech Parameters'!$I8))</f>
        <v>0</v>
      </c>
      <c r="AB146">
        <f ca="1">IF(AB$7-'Tech Parameters'!$I8&lt;2006,0,-OFFSET(AB123,0,-'Tech Parameters'!$I8))</f>
        <v>0</v>
      </c>
      <c r="AC146">
        <f ca="1">IF(AC$7-'Tech Parameters'!$I8&lt;2006,0,-OFFSET(AC123,0,-'Tech Parameters'!$I8))</f>
        <v>0</v>
      </c>
      <c r="AD146">
        <f ca="1">IF(OR(AD$7-'Tech Parameters'!$I8&lt;2006,'Tech Parameters'!$I8=0),0,-OFFSET(AD123,0,-'Tech Parameters'!$I8))</f>
        <v>0</v>
      </c>
      <c r="AE146">
        <f ca="1">IF(OR(AE$7-'Tech Parameters'!$I8&lt;2006,'Tech Parameters'!$I8=0),0,-OFFSET(AE123,0,-'Tech Parameters'!$I8))</f>
        <v>0</v>
      </c>
      <c r="AF146">
        <f ca="1">IF(OR(AF$7-'Tech Parameters'!$I8&lt;2006,'Tech Parameters'!$I8=0),0,-OFFSET(AF123,0,-'Tech Parameters'!$I8))</f>
        <v>0</v>
      </c>
      <c r="AG146">
        <f ca="1">IF(OR(AG$7-'Tech Parameters'!$I8&lt;2006,'Tech Parameters'!$I8=0),0,-OFFSET(AG123,0,-'Tech Parameters'!$I8))</f>
        <v>0</v>
      </c>
      <c r="AH146">
        <f ca="1">IF(OR(AH$7-'Tech Parameters'!$I8&lt;2006,'Tech Parameters'!$I8=0),0,-OFFSET(AH123,0,-'Tech Parameters'!$I8))</f>
        <v>0</v>
      </c>
      <c r="AI146">
        <f ca="1">IF(OR(AI$7-'Tech Parameters'!$I8&lt;2006,'Tech Parameters'!$I8=0),0,-OFFSET(AI123,0,-'Tech Parameters'!$I8))</f>
        <v>-1.08</v>
      </c>
      <c r="AJ146">
        <f ca="1">IF(OR(AJ$7-'Tech Parameters'!$I8&lt;2006,'Tech Parameters'!$I8=0),0,-OFFSET(AJ123,0,-'Tech Parameters'!$I8))</f>
        <v>0</v>
      </c>
      <c r="AK146">
        <f ca="1">IF(OR(AK$7-'Tech Parameters'!$I8&lt;2006,'Tech Parameters'!$I8=0),0,-OFFSET(AK123,0,-'Tech Parameters'!$I8))</f>
        <v>0</v>
      </c>
      <c r="AL146">
        <f ca="1">IF(OR(AL$7-'Tech Parameters'!$I8&lt;2006,'Tech Parameters'!$I8=0),0,-OFFSET(AL123,0,-'Tech Parameters'!$I8))</f>
        <v>0</v>
      </c>
      <c r="AM146">
        <f ca="1">IF(OR(AM$7-'Tech Parameters'!$I8&lt;2006,'Tech Parameters'!$I8=0),0,-OFFSET(AM123,0,-'Tech Parameters'!$I8))</f>
        <v>0</v>
      </c>
      <c r="AN146">
        <f ca="1">IF(OR(AN$7-'Tech Parameters'!$I8&lt;2006,'Tech Parameters'!$I8=0),0,-OFFSET(AN123,0,-'Tech Parameters'!$I8))</f>
        <v>0</v>
      </c>
      <c r="AO146">
        <f ca="1">IF(OR(AO$7-'Tech Parameters'!$I8&lt;2006,'Tech Parameters'!$I8=0),0,-OFFSET(AO123,0,-'Tech Parameters'!$I8))</f>
        <v>0</v>
      </c>
      <c r="AP146">
        <f ca="1">IF(OR(AP$7-'Tech Parameters'!$I8&lt;2006,'Tech Parameters'!$I8=0),0,-OFFSET(AP123,0,-'Tech Parameters'!$I8))</f>
        <v>0</v>
      </c>
      <c r="AQ146">
        <f ca="1">IF(OR(AQ$7-'Tech Parameters'!$I8&lt;2006,'Tech Parameters'!$I8=0),0,-OFFSET(AQ123,0,-'Tech Parameters'!$I8))</f>
        <v>0</v>
      </c>
      <c r="AR146">
        <f ca="1">IF(OR(AR$7-'Tech Parameters'!$I8&lt;2006,'Tech Parameters'!$I8=0),0,-OFFSET(AR123,0,-'Tech Parameters'!$I8))</f>
        <v>0</v>
      </c>
      <c r="AS146">
        <f ca="1">IF(OR(AS$7-'Tech Parameters'!$I8&lt;2006,'Tech Parameters'!$I8=0),0,-OFFSET(AS123,0,-'Tech Parameters'!$I8))</f>
        <v>0</v>
      </c>
      <c r="AT146">
        <f ca="1">IF(OR(AT$7-'Tech Parameters'!$I8&lt;2006,'Tech Parameters'!$I8=0),0,-OFFSET(AT123,0,-'Tech Parameters'!$I8))</f>
        <v>0</v>
      </c>
      <c r="AU146">
        <f ca="1">IF(OR(AU$7-'Tech Parameters'!$I8&lt;2006,'Tech Parameters'!$I8=0),0,-OFFSET(AU123,0,-'Tech Parameters'!$I8))</f>
        <v>0</v>
      </c>
      <c r="AV146">
        <f ca="1">IF(OR(AV$7-'Tech Parameters'!$I8&lt;2006,'Tech Parameters'!$I8=0),0,-OFFSET(AV123,0,-'Tech Parameters'!$I8))</f>
        <v>0</v>
      </c>
      <c r="AW146">
        <f ca="1">IF(OR(AW$7-'Tech Parameters'!$I8&lt;2006,'Tech Parameters'!$I8=0),0,-OFFSET(AW123,0,-'Tech Parameters'!$I8))</f>
        <v>0</v>
      </c>
    </row>
    <row r="147" spans="3:49">
      <c r="C147" t="str">
        <f t="shared" si="46"/>
        <v>PWR nuclear</v>
      </c>
      <c r="D147">
        <f ca="1">IF(D$7-'Tech Parameters'!$I9&lt;2006,0,-OFFSET(D124,0,-'Tech Parameters'!$I9))</f>
        <v>0</v>
      </c>
      <c r="E147">
        <f ca="1">IF(E$7-'Tech Parameters'!$I9&lt;2006,0,-OFFSET(E124,0,-'Tech Parameters'!$I9))</f>
        <v>0</v>
      </c>
      <c r="F147">
        <f ca="1">IF(F$7-'Tech Parameters'!$I9&lt;2006,0,-OFFSET(F124,0,-'Tech Parameters'!$I9))</f>
        <v>0</v>
      </c>
      <c r="G147">
        <f ca="1">IF(G$7-'Tech Parameters'!$I9&lt;2006,0,-OFFSET(G124,0,-'Tech Parameters'!$I9))</f>
        <v>0</v>
      </c>
      <c r="H147">
        <f ca="1">IF(H$7-'Tech Parameters'!$I9&lt;2006,0,-OFFSET(H124,0,-'Tech Parameters'!$I9))</f>
        <v>0</v>
      </c>
      <c r="I147">
        <f ca="1">IF(I$7-'Tech Parameters'!$I9&lt;2006,0,-OFFSET(I124,0,-'Tech Parameters'!$I9))</f>
        <v>0</v>
      </c>
      <c r="J147">
        <f ca="1">IF(J$7-'Tech Parameters'!$I9&lt;2006,0,-OFFSET(J124,0,-'Tech Parameters'!$I9))</f>
        <v>0</v>
      </c>
      <c r="K147">
        <f ca="1">IF(K$7-'Tech Parameters'!$I9&lt;2006,0,-OFFSET(K124,0,-'Tech Parameters'!$I9))</f>
        <v>0</v>
      </c>
      <c r="L147">
        <f ca="1">IF(L$7-'Tech Parameters'!$I9&lt;2006,0,-OFFSET(L124,0,-'Tech Parameters'!$I9))</f>
        <v>0</v>
      </c>
      <c r="M147">
        <f ca="1">IF(M$7-'Tech Parameters'!$I9&lt;2006,0,-OFFSET(M124,0,-'Tech Parameters'!$I9))</f>
        <v>0</v>
      </c>
      <c r="N147">
        <f ca="1">IF(N$7-'Tech Parameters'!$I9&lt;2006,0,-OFFSET(N124,0,-'Tech Parameters'!$I9))</f>
        <v>0</v>
      </c>
      <c r="O147">
        <f ca="1">IF(O$7-'Tech Parameters'!$I9&lt;2006,0,-OFFSET(O124,0,-'Tech Parameters'!$I9))</f>
        <v>0</v>
      </c>
      <c r="P147">
        <f ca="1">IF(P$7-'Tech Parameters'!$I9&lt;2006,0,-OFFSET(P124,0,-'Tech Parameters'!$I9))</f>
        <v>0</v>
      </c>
      <c r="Q147">
        <f ca="1">IF(Q$7-'Tech Parameters'!$I9&lt;2006,0,-OFFSET(Q124,0,-'Tech Parameters'!$I9))</f>
        <v>0</v>
      </c>
      <c r="R147">
        <f ca="1">IF(R$7-'Tech Parameters'!$I9&lt;2006,0,-OFFSET(R124,0,-'Tech Parameters'!$I9))</f>
        <v>0</v>
      </c>
      <c r="S147">
        <f ca="1">IF(S$7-'Tech Parameters'!$I9&lt;2006,0,-OFFSET(S124,0,-'Tech Parameters'!$I9))</f>
        <v>0</v>
      </c>
      <c r="T147">
        <f ca="1">IF(T$7-'Tech Parameters'!$I9&lt;2006,0,-OFFSET(T124,0,-'Tech Parameters'!$I9))</f>
        <v>0</v>
      </c>
      <c r="U147">
        <f ca="1">IF(U$7-'Tech Parameters'!$I9&lt;2006,0,-OFFSET(U124,0,-'Tech Parameters'!$I9))</f>
        <v>0</v>
      </c>
      <c r="V147">
        <f ca="1">IF(V$7-'Tech Parameters'!$I9&lt;2006,0,-OFFSET(V124,0,-'Tech Parameters'!$I9))</f>
        <v>0</v>
      </c>
      <c r="W147">
        <f ca="1">IF(W$7-'Tech Parameters'!$I9&lt;2006,0,-OFFSET(W124,0,-'Tech Parameters'!$I9))</f>
        <v>0</v>
      </c>
      <c r="X147">
        <f ca="1">IF(X$7-'Tech Parameters'!$I9&lt;2006,0,-OFFSET(X124,0,-'Tech Parameters'!$I9))</f>
        <v>0</v>
      </c>
      <c r="Y147">
        <f ca="1">IF(Y$7-'Tech Parameters'!$I9&lt;2006,0,-OFFSET(Y124,0,-'Tech Parameters'!$I9))</f>
        <v>0</v>
      </c>
      <c r="Z147">
        <f ca="1">IF(Z$7-'Tech Parameters'!$I9&lt;2006,0,-OFFSET(Z124,0,-'Tech Parameters'!$I9))</f>
        <v>0</v>
      </c>
      <c r="AA147">
        <f ca="1">IF(AA$7-'Tech Parameters'!$I9&lt;2006,0,-OFFSET(AA124,0,-'Tech Parameters'!$I9))</f>
        <v>0</v>
      </c>
      <c r="AB147">
        <f ca="1">IF(AB$7-'Tech Parameters'!$I9&lt;2006,0,-OFFSET(AB124,0,-'Tech Parameters'!$I9))</f>
        <v>0</v>
      </c>
      <c r="AC147">
        <f ca="1">IF(AC$7-'Tech Parameters'!$I9&lt;2006,0,-OFFSET(AC124,0,-'Tech Parameters'!$I9))</f>
        <v>0</v>
      </c>
      <c r="AD147">
        <f ca="1">IF(OR(AD$7-'Tech Parameters'!$I9&lt;2006,'Tech Parameters'!$I9=0),0,-OFFSET(AD124,0,-'Tech Parameters'!$I9))</f>
        <v>0</v>
      </c>
      <c r="AE147">
        <f ca="1">IF(OR(AE$7-'Tech Parameters'!$I9&lt;2006,'Tech Parameters'!$I9=0),0,-OFFSET(AE124,0,-'Tech Parameters'!$I9))</f>
        <v>0</v>
      </c>
      <c r="AF147">
        <f ca="1">IF(OR(AF$7-'Tech Parameters'!$I9&lt;2006,'Tech Parameters'!$I9=0),0,-OFFSET(AF124,0,-'Tech Parameters'!$I9))</f>
        <v>0</v>
      </c>
      <c r="AG147">
        <f ca="1">IF(OR(AG$7-'Tech Parameters'!$I9&lt;2006,'Tech Parameters'!$I9=0),0,-OFFSET(AG124,0,-'Tech Parameters'!$I9))</f>
        <v>0</v>
      </c>
      <c r="AH147">
        <f ca="1">IF(OR(AH$7-'Tech Parameters'!$I9&lt;2006,'Tech Parameters'!$I9=0),0,-OFFSET(AH124,0,-'Tech Parameters'!$I9))</f>
        <v>0</v>
      </c>
      <c r="AI147">
        <f ca="1">IF(OR(AI$7-'Tech Parameters'!$I9&lt;2006,'Tech Parameters'!$I9=0),0,-OFFSET(AI124,0,-'Tech Parameters'!$I9))</f>
        <v>0</v>
      </c>
      <c r="AJ147">
        <f ca="1">IF(OR(AJ$7-'Tech Parameters'!$I9&lt;2006,'Tech Parameters'!$I9=0),0,-OFFSET(AJ124,0,-'Tech Parameters'!$I9))</f>
        <v>0</v>
      </c>
      <c r="AK147">
        <f ca="1">IF(OR(AK$7-'Tech Parameters'!$I9&lt;2006,'Tech Parameters'!$I9=0),0,-OFFSET(AK124,0,-'Tech Parameters'!$I9))</f>
        <v>0</v>
      </c>
      <c r="AL147">
        <f ca="1">IF(OR(AL$7-'Tech Parameters'!$I9&lt;2006,'Tech Parameters'!$I9=0),0,-OFFSET(AL124,0,-'Tech Parameters'!$I9))</f>
        <v>0</v>
      </c>
      <c r="AM147">
        <f ca="1">IF(OR(AM$7-'Tech Parameters'!$I9&lt;2006,'Tech Parameters'!$I9=0),0,-OFFSET(AM124,0,-'Tech Parameters'!$I9))</f>
        <v>0</v>
      </c>
      <c r="AN147">
        <f ca="1">IF(OR(AN$7-'Tech Parameters'!$I9&lt;2006,'Tech Parameters'!$I9=0),0,-OFFSET(AN124,0,-'Tech Parameters'!$I9))</f>
        <v>0</v>
      </c>
      <c r="AO147">
        <f ca="1">IF(OR(AO$7-'Tech Parameters'!$I9&lt;2006,'Tech Parameters'!$I9=0),0,-OFFSET(AO124,0,-'Tech Parameters'!$I9))</f>
        <v>0</v>
      </c>
      <c r="AP147">
        <f ca="1">IF(OR(AP$7-'Tech Parameters'!$I9&lt;2006,'Tech Parameters'!$I9=0),0,-OFFSET(AP124,0,-'Tech Parameters'!$I9))</f>
        <v>0</v>
      </c>
      <c r="AQ147">
        <f ca="1">IF(OR(AQ$7-'Tech Parameters'!$I9&lt;2006,'Tech Parameters'!$I9=0),0,-OFFSET(AQ124,0,-'Tech Parameters'!$I9))</f>
        <v>0</v>
      </c>
      <c r="AR147">
        <f ca="1">IF(OR(AR$7-'Tech Parameters'!$I9&lt;2006,'Tech Parameters'!$I9=0),0,-OFFSET(AR124,0,-'Tech Parameters'!$I9))</f>
        <v>0</v>
      </c>
      <c r="AS147">
        <f ca="1">IF(OR(AS$7-'Tech Parameters'!$I9&lt;2006,'Tech Parameters'!$I9=0),0,-OFFSET(AS124,0,-'Tech Parameters'!$I9))</f>
        <v>0</v>
      </c>
      <c r="AT147">
        <f ca="1">IF(OR(AT$7-'Tech Parameters'!$I9&lt;2006,'Tech Parameters'!$I9=0),0,-OFFSET(AT124,0,-'Tech Parameters'!$I9))</f>
        <v>0</v>
      </c>
      <c r="AU147">
        <f ca="1">IF(OR(AU$7-'Tech Parameters'!$I9&lt;2006,'Tech Parameters'!$I9=0),0,-OFFSET(AU124,0,-'Tech Parameters'!$I9))</f>
        <v>0</v>
      </c>
      <c r="AV147">
        <f ca="1">IF(OR(AV$7-'Tech Parameters'!$I9&lt;2006,'Tech Parameters'!$I9=0),0,-OFFSET(AV124,0,-'Tech Parameters'!$I9))</f>
        <v>0</v>
      </c>
      <c r="AW147">
        <f ca="1">IF(OR(AW$7-'Tech Parameters'!$I9&lt;2006,'Tech Parameters'!$I9=0),0,-OFFSET(AW124,0,-'Tech Parameters'!$I9))</f>
        <v>0</v>
      </c>
    </row>
    <row r="148" spans="3:49">
      <c r="C148" t="str">
        <f t="shared" si="46"/>
        <v>Hydro</v>
      </c>
      <c r="D148">
        <f ca="1">IF(D$7-'Tech Parameters'!$I10&lt;2006,0,-OFFSET(D125,0,-'Tech Parameters'!$I10))</f>
        <v>0</v>
      </c>
      <c r="E148">
        <f ca="1">IF(E$7-'Tech Parameters'!$I10&lt;2006,0,-OFFSET(E125,0,-'Tech Parameters'!$I10))</f>
        <v>0</v>
      </c>
      <c r="F148">
        <f ca="1">IF(F$7-'Tech Parameters'!$I10&lt;2006,0,-OFFSET(F125,0,-'Tech Parameters'!$I10))</f>
        <v>0</v>
      </c>
      <c r="G148">
        <f ca="1">IF(G$7-'Tech Parameters'!$I10&lt;2006,0,-OFFSET(G125,0,-'Tech Parameters'!$I10))</f>
        <v>0</v>
      </c>
      <c r="H148">
        <f ca="1">IF(H$7-'Tech Parameters'!$I10&lt;2006,0,-OFFSET(H125,0,-'Tech Parameters'!$I10))</f>
        <v>0</v>
      </c>
      <c r="I148">
        <f ca="1">IF(I$7-'Tech Parameters'!$I10&lt;2006,0,-OFFSET(I125,0,-'Tech Parameters'!$I10))</f>
        <v>0</v>
      </c>
      <c r="J148">
        <f ca="1">IF(J$7-'Tech Parameters'!$I10&lt;2006,0,-OFFSET(J125,0,-'Tech Parameters'!$I10))</f>
        <v>0</v>
      </c>
      <c r="K148">
        <f ca="1">IF(K$7-'Tech Parameters'!$I10&lt;2006,0,-OFFSET(K125,0,-'Tech Parameters'!$I10))</f>
        <v>0</v>
      </c>
      <c r="L148">
        <f ca="1">IF(L$7-'Tech Parameters'!$I10&lt;2006,0,-OFFSET(L125,0,-'Tech Parameters'!$I10))</f>
        <v>0</v>
      </c>
      <c r="M148">
        <f ca="1">IF(M$7-'Tech Parameters'!$I10&lt;2006,0,-OFFSET(M125,0,-'Tech Parameters'!$I10))</f>
        <v>0</v>
      </c>
      <c r="N148">
        <f ca="1">IF(N$7-'Tech Parameters'!$I10&lt;2006,0,-OFFSET(N125,0,-'Tech Parameters'!$I10))</f>
        <v>0</v>
      </c>
      <c r="O148">
        <f ca="1">IF(O$7-'Tech Parameters'!$I10&lt;2006,0,-OFFSET(O125,0,-'Tech Parameters'!$I10))</f>
        <v>0</v>
      </c>
      <c r="P148">
        <f ca="1">IF(P$7-'Tech Parameters'!$I10&lt;2006,0,-OFFSET(P125,0,-'Tech Parameters'!$I10))</f>
        <v>0</v>
      </c>
      <c r="Q148">
        <f ca="1">IF(Q$7-'Tech Parameters'!$I10&lt;2006,0,-OFFSET(Q125,0,-'Tech Parameters'!$I10))</f>
        <v>0</v>
      </c>
      <c r="R148">
        <f ca="1">IF(R$7-'Tech Parameters'!$I10&lt;2006,0,-OFFSET(R125,0,-'Tech Parameters'!$I10))</f>
        <v>0</v>
      </c>
      <c r="S148">
        <f ca="1">IF(S$7-'Tech Parameters'!$I10&lt;2006,0,-OFFSET(S125,0,-'Tech Parameters'!$I10))</f>
        <v>0</v>
      </c>
      <c r="T148">
        <f ca="1">IF(T$7-'Tech Parameters'!$I10&lt;2006,0,-OFFSET(T125,0,-'Tech Parameters'!$I10))</f>
        <v>0</v>
      </c>
      <c r="U148">
        <f ca="1">IF(U$7-'Tech Parameters'!$I10&lt;2006,0,-OFFSET(U125,0,-'Tech Parameters'!$I10))</f>
        <v>0</v>
      </c>
      <c r="V148">
        <f ca="1">IF(V$7-'Tech Parameters'!$I10&lt;2006,0,-OFFSET(V125,0,-'Tech Parameters'!$I10))</f>
        <v>0</v>
      </c>
      <c r="W148">
        <f ca="1">IF(W$7-'Tech Parameters'!$I10&lt;2006,0,-OFFSET(W125,0,-'Tech Parameters'!$I10))</f>
        <v>0</v>
      </c>
      <c r="X148">
        <f ca="1">IF(X$7-'Tech Parameters'!$I10&lt;2006,0,-OFFSET(X125,0,-'Tech Parameters'!$I10))</f>
        <v>0</v>
      </c>
      <c r="Y148">
        <f ca="1">IF(Y$7-'Tech Parameters'!$I10&lt;2006,0,-OFFSET(Y125,0,-'Tech Parameters'!$I10))</f>
        <v>0</v>
      </c>
      <c r="Z148">
        <f ca="1">IF(Z$7-'Tech Parameters'!$I10&lt;2006,0,-OFFSET(Z125,0,-'Tech Parameters'!$I10))</f>
        <v>0</v>
      </c>
      <c r="AA148">
        <f ca="1">IF(AA$7-'Tech Parameters'!$I10&lt;2006,0,-OFFSET(AA125,0,-'Tech Parameters'!$I10))</f>
        <v>0</v>
      </c>
      <c r="AB148">
        <f ca="1">IF(AB$7-'Tech Parameters'!$I10&lt;2006,0,-OFFSET(AB125,0,-'Tech Parameters'!$I10))</f>
        <v>0</v>
      </c>
      <c r="AC148">
        <f ca="1">IF(AC$7-'Tech Parameters'!$I10&lt;2006,0,-OFFSET(AC125,0,-'Tech Parameters'!$I10))</f>
        <v>0</v>
      </c>
      <c r="AD148">
        <f ca="1">IF(OR(AD$7-'Tech Parameters'!$I10&lt;2006,'Tech Parameters'!$I10=0),0,-OFFSET(AD125,0,-'Tech Parameters'!$I10))</f>
        <v>0</v>
      </c>
      <c r="AE148">
        <f ca="1">IF(OR(AE$7-'Tech Parameters'!$I10&lt;2006,'Tech Parameters'!$I10=0),0,-OFFSET(AE125,0,-'Tech Parameters'!$I10))</f>
        <v>0</v>
      </c>
      <c r="AF148">
        <f ca="1">IF(OR(AF$7-'Tech Parameters'!$I10&lt;2006,'Tech Parameters'!$I10=0),0,-OFFSET(AF125,0,-'Tech Parameters'!$I10))</f>
        <v>0</v>
      </c>
      <c r="AG148">
        <f ca="1">IF(OR(AG$7-'Tech Parameters'!$I10&lt;2006,'Tech Parameters'!$I10=0),0,-OFFSET(AG125,0,-'Tech Parameters'!$I10))</f>
        <v>0</v>
      </c>
      <c r="AH148">
        <f ca="1">IF(OR(AH$7-'Tech Parameters'!$I10&lt;2006,'Tech Parameters'!$I10=0),0,-OFFSET(AH125,0,-'Tech Parameters'!$I10))</f>
        <v>0</v>
      </c>
      <c r="AI148">
        <f ca="1">IF(OR(AI$7-'Tech Parameters'!$I10&lt;2006,'Tech Parameters'!$I10=0),0,-OFFSET(AI125,0,-'Tech Parameters'!$I10))</f>
        <v>0</v>
      </c>
      <c r="AJ148">
        <f ca="1">IF(OR(AJ$7-'Tech Parameters'!$I10&lt;2006,'Tech Parameters'!$I10=0),0,-OFFSET(AJ125,0,-'Tech Parameters'!$I10))</f>
        <v>0</v>
      </c>
      <c r="AK148">
        <f ca="1">IF(OR(AK$7-'Tech Parameters'!$I10&lt;2006,'Tech Parameters'!$I10=0),0,-OFFSET(AK125,0,-'Tech Parameters'!$I10))</f>
        <v>0</v>
      </c>
      <c r="AL148">
        <f ca="1">IF(OR(AL$7-'Tech Parameters'!$I10&lt;2006,'Tech Parameters'!$I10=0),0,-OFFSET(AL125,0,-'Tech Parameters'!$I10))</f>
        <v>0</v>
      </c>
      <c r="AM148">
        <f ca="1">IF(OR(AM$7-'Tech Parameters'!$I10&lt;2006,'Tech Parameters'!$I10=0),0,-OFFSET(AM125,0,-'Tech Parameters'!$I10))</f>
        <v>0</v>
      </c>
      <c r="AN148">
        <f ca="1">IF(OR(AN$7-'Tech Parameters'!$I10&lt;2006,'Tech Parameters'!$I10=0),0,-OFFSET(AN125,0,-'Tech Parameters'!$I10))</f>
        <v>0</v>
      </c>
      <c r="AO148">
        <f ca="1">IF(OR(AO$7-'Tech Parameters'!$I10&lt;2006,'Tech Parameters'!$I10=0),0,-OFFSET(AO125,0,-'Tech Parameters'!$I10))</f>
        <v>0</v>
      </c>
      <c r="AP148">
        <f ca="1">IF(OR(AP$7-'Tech Parameters'!$I10&lt;2006,'Tech Parameters'!$I10=0),0,-OFFSET(AP125,0,-'Tech Parameters'!$I10))</f>
        <v>0</v>
      </c>
      <c r="AQ148">
        <f ca="1">IF(OR(AQ$7-'Tech Parameters'!$I10&lt;2006,'Tech Parameters'!$I10=0),0,-OFFSET(AQ125,0,-'Tech Parameters'!$I10))</f>
        <v>0</v>
      </c>
      <c r="AR148">
        <f ca="1">IF(OR(AR$7-'Tech Parameters'!$I10&lt;2006,'Tech Parameters'!$I10=0),0,-OFFSET(AR125,0,-'Tech Parameters'!$I10))</f>
        <v>0</v>
      </c>
      <c r="AS148">
        <f ca="1">IF(OR(AS$7-'Tech Parameters'!$I10&lt;2006,'Tech Parameters'!$I10=0),0,-OFFSET(AS125,0,-'Tech Parameters'!$I10))</f>
        <v>0</v>
      </c>
      <c r="AT148">
        <f ca="1">IF(OR(AT$7-'Tech Parameters'!$I10&lt;2006,'Tech Parameters'!$I10=0),0,-OFFSET(AT125,0,-'Tech Parameters'!$I10))</f>
        <v>0</v>
      </c>
      <c r="AU148">
        <f ca="1">IF(OR(AU$7-'Tech Parameters'!$I10&lt;2006,'Tech Parameters'!$I10=0),0,-OFFSET(AU125,0,-'Tech Parameters'!$I10))</f>
        <v>0</v>
      </c>
      <c r="AV148">
        <f ca="1">IF(OR(AV$7-'Tech Parameters'!$I10&lt;2006,'Tech Parameters'!$I10=0),0,-OFFSET(AV125,0,-'Tech Parameters'!$I10))</f>
        <v>0</v>
      </c>
      <c r="AW148">
        <f ca="1">IF(OR(AW$7-'Tech Parameters'!$I10&lt;2006,'Tech Parameters'!$I10=0),0,-OFFSET(AW125,0,-'Tech Parameters'!$I10))</f>
        <v>0</v>
      </c>
    </row>
    <row r="149" spans="3:49">
      <c r="C149" t="str">
        <f t="shared" si="46"/>
        <v>Landfill gas</v>
      </c>
      <c r="D149">
        <f ca="1">IF(D$7-'Tech Parameters'!$I11&lt;2006,0,-OFFSET(D126,0,-'Tech Parameters'!$I11))</f>
        <v>0</v>
      </c>
      <c r="E149">
        <f ca="1">IF(E$7-'Tech Parameters'!$I11&lt;2006,0,-OFFSET(E126,0,-'Tech Parameters'!$I11))</f>
        <v>0</v>
      </c>
      <c r="F149">
        <f ca="1">IF(F$7-'Tech Parameters'!$I11&lt;2006,0,-OFFSET(F126,0,-'Tech Parameters'!$I11))</f>
        <v>0</v>
      </c>
      <c r="G149">
        <f ca="1">IF(G$7-'Tech Parameters'!$I11&lt;2006,0,-OFFSET(G126,0,-'Tech Parameters'!$I11))</f>
        <v>0</v>
      </c>
      <c r="H149">
        <f ca="1">IF(H$7-'Tech Parameters'!$I11&lt;2006,0,-OFFSET(H126,0,-'Tech Parameters'!$I11))</f>
        <v>0</v>
      </c>
      <c r="I149">
        <f ca="1">IF(I$7-'Tech Parameters'!$I11&lt;2006,0,-OFFSET(I126,0,-'Tech Parameters'!$I11))</f>
        <v>0</v>
      </c>
      <c r="J149">
        <f ca="1">IF(J$7-'Tech Parameters'!$I11&lt;2006,0,-OFFSET(J126,0,-'Tech Parameters'!$I11))</f>
        <v>0</v>
      </c>
      <c r="K149">
        <f ca="1">IF(K$7-'Tech Parameters'!$I11&lt;2006,0,-OFFSET(K126,0,-'Tech Parameters'!$I11))</f>
        <v>0</v>
      </c>
      <c r="L149">
        <f ca="1">IF(L$7-'Tech Parameters'!$I11&lt;2006,0,-OFFSET(L126,0,-'Tech Parameters'!$I11))</f>
        <v>0</v>
      </c>
      <c r="M149">
        <f ca="1">IF(M$7-'Tech Parameters'!$I11&lt;2006,0,-OFFSET(M126,0,-'Tech Parameters'!$I11))</f>
        <v>0</v>
      </c>
      <c r="N149">
        <f ca="1">IF(N$7-'Tech Parameters'!$I11&lt;2006,0,-OFFSET(N126,0,-'Tech Parameters'!$I11))</f>
        <v>0</v>
      </c>
      <c r="O149">
        <f ca="1">IF(O$7-'Tech Parameters'!$I11&lt;2006,0,-OFFSET(O126,0,-'Tech Parameters'!$I11))</f>
        <v>0</v>
      </c>
      <c r="P149">
        <f ca="1">IF(P$7-'Tech Parameters'!$I11&lt;2006,0,-OFFSET(P126,0,-'Tech Parameters'!$I11))</f>
        <v>0</v>
      </c>
      <c r="Q149">
        <f ca="1">IF(Q$7-'Tech Parameters'!$I11&lt;2006,0,-OFFSET(Q126,0,-'Tech Parameters'!$I11))</f>
        <v>0</v>
      </c>
      <c r="R149">
        <f ca="1">IF(R$7-'Tech Parameters'!$I11&lt;2006,0,-OFFSET(R126,0,-'Tech Parameters'!$I11))</f>
        <v>0</v>
      </c>
      <c r="S149">
        <f ca="1">IF(S$7-'Tech Parameters'!$I11&lt;2006,0,-OFFSET(S126,0,-'Tech Parameters'!$I11))</f>
        <v>0</v>
      </c>
      <c r="T149">
        <f ca="1">IF(T$7-'Tech Parameters'!$I11&lt;2006,0,-OFFSET(T126,0,-'Tech Parameters'!$I11))</f>
        <v>0</v>
      </c>
      <c r="U149">
        <f ca="1">IF(U$7-'Tech Parameters'!$I11&lt;2006,0,-OFFSET(U126,0,-'Tech Parameters'!$I11))</f>
        <v>0</v>
      </c>
      <c r="V149">
        <f ca="1">IF(V$7-'Tech Parameters'!$I11&lt;2006,0,-OFFSET(V126,0,-'Tech Parameters'!$I11))</f>
        <v>0</v>
      </c>
      <c r="W149">
        <f ca="1">IF(W$7-'Tech Parameters'!$I11&lt;2006,0,-OFFSET(W126,0,-'Tech Parameters'!$I11))</f>
        <v>0</v>
      </c>
      <c r="X149">
        <f ca="1">IF(X$7-'Tech Parameters'!$I11&lt;2006,0,-OFFSET(X126,0,-'Tech Parameters'!$I11))</f>
        <v>0</v>
      </c>
      <c r="Y149">
        <f ca="1">IF(Y$7-'Tech Parameters'!$I11&lt;2006,0,-OFFSET(Y126,0,-'Tech Parameters'!$I11))</f>
        <v>0</v>
      </c>
      <c r="Z149">
        <f ca="1">IF(Z$7-'Tech Parameters'!$I11&lt;2006,0,-OFFSET(Z126,0,-'Tech Parameters'!$I11))</f>
        <v>0</v>
      </c>
      <c r="AA149">
        <f ca="1">IF(AA$7-'Tech Parameters'!$I11&lt;2006,0,-OFFSET(AA126,0,-'Tech Parameters'!$I11))</f>
        <v>0</v>
      </c>
      <c r="AB149">
        <f ca="1">IF(AB$7-'Tech Parameters'!$I11&lt;2006,0,-OFFSET(AB126,0,-'Tech Parameters'!$I11))</f>
        <v>0</v>
      </c>
      <c r="AC149">
        <f ca="1">IF(AC$7-'Tech Parameters'!$I11&lt;2006,0,-OFFSET(AC126,0,-'Tech Parameters'!$I11))</f>
        <v>0</v>
      </c>
      <c r="AD149">
        <f ca="1">IF(OR(AD$7-'Tech Parameters'!$I11&lt;2006,'Tech Parameters'!$I11=0),0,-OFFSET(AD126,0,-'Tech Parameters'!$I11))</f>
        <v>0</v>
      </c>
      <c r="AE149">
        <f ca="1">IF(OR(AE$7-'Tech Parameters'!$I11&lt;2006,'Tech Parameters'!$I11=0),0,-OFFSET(AE126,0,-'Tech Parameters'!$I11))</f>
        <v>0</v>
      </c>
      <c r="AF149">
        <f ca="1">IF(OR(AF$7-'Tech Parameters'!$I11&lt;2006,'Tech Parameters'!$I11=0),0,-OFFSET(AF126,0,-'Tech Parameters'!$I11))</f>
        <v>0</v>
      </c>
      <c r="AG149">
        <f ca="1">IF(OR(AG$7-'Tech Parameters'!$I11&lt;2006,'Tech Parameters'!$I11=0),0,-OFFSET(AG126,0,-'Tech Parameters'!$I11))</f>
        <v>0</v>
      </c>
      <c r="AH149">
        <f ca="1">IF(OR(AH$7-'Tech Parameters'!$I11&lt;2006,'Tech Parameters'!$I11=0),0,-OFFSET(AH126,0,-'Tech Parameters'!$I11))</f>
        <v>0</v>
      </c>
      <c r="AI149">
        <f ca="1">IF(OR(AI$7-'Tech Parameters'!$I11&lt;2006,'Tech Parameters'!$I11=0),0,-OFFSET(AI126,0,-'Tech Parameters'!$I11))</f>
        <v>0</v>
      </c>
      <c r="AJ149">
        <f ca="1">IF(OR(AJ$7-'Tech Parameters'!$I11&lt;2006,'Tech Parameters'!$I11=0),0,-OFFSET(AJ126,0,-'Tech Parameters'!$I11))</f>
        <v>0</v>
      </c>
      <c r="AK149">
        <f ca="1">IF(OR(AK$7-'Tech Parameters'!$I11&lt;2006,'Tech Parameters'!$I11=0),0,-OFFSET(AK126,0,-'Tech Parameters'!$I11))</f>
        <v>0</v>
      </c>
      <c r="AL149">
        <f ca="1">IF(OR(AL$7-'Tech Parameters'!$I11&lt;2006,'Tech Parameters'!$I11=0),0,-OFFSET(AL126,0,-'Tech Parameters'!$I11))</f>
        <v>0</v>
      </c>
      <c r="AM149">
        <f ca="1">IF(OR(AM$7-'Tech Parameters'!$I11&lt;2006,'Tech Parameters'!$I11=0),0,-OFFSET(AM126,0,-'Tech Parameters'!$I11))</f>
        <v>0</v>
      </c>
      <c r="AN149">
        <f ca="1">IF(OR(AN$7-'Tech Parameters'!$I11&lt;2006,'Tech Parameters'!$I11=0),0,-OFFSET(AN126,0,-'Tech Parameters'!$I11))</f>
        <v>0</v>
      </c>
      <c r="AO149">
        <f ca="1">IF(OR(AO$7-'Tech Parameters'!$I11&lt;2006,'Tech Parameters'!$I11=0),0,-OFFSET(AO126,0,-'Tech Parameters'!$I11))</f>
        <v>0</v>
      </c>
      <c r="AP149">
        <f ca="1">IF(OR(AP$7-'Tech Parameters'!$I11&lt;2006,'Tech Parameters'!$I11=0),0,-OFFSET(AP126,0,-'Tech Parameters'!$I11))</f>
        <v>0</v>
      </c>
      <c r="AQ149">
        <f ca="1">IF(OR(AQ$7-'Tech Parameters'!$I11&lt;2006,'Tech Parameters'!$I11=0),0,-OFFSET(AQ126,0,-'Tech Parameters'!$I11))</f>
        <v>0</v>
      </c>
      <c r="AR149">
        <f ca="1">IF(OR(AR$7-'Tech Parameters'!$I11&lt;2006,'Tech Parameters'!$I11=0),0,-OFFSET(AR126,0,-'Tech Parameters'!$I11))</f>
        <v>0</v>
      </c>
      <c r="AS149">
        <f ca="1">IF(OR(AS$7-'Tech Parameters'!$I11&lt;2006,'Tech Parameters'!$I11=0),0,-OFFSET(AS126,0,-'Tech Parameters'!$I11))</f>
        <v>0</v>
      </c>
      <c r="AT149">
        <f ca="1">IF(OR(AT$7-'Tech Parameters'!$I11&lt;2006,'Tech Parameters'!$I11=0),0,-OFFSET(AT126,0,-'Tech Parameters'!$I11))</f>
        <v>0</v>
      </c>
      <c r="AU149">
        <f ca="1">IF(OR(AU$7-'Tech Parameters'!$I11&lt;2006,'Tech Parameters'!$I11=0),0,-OFFSET(AU126,0,-'Tech Parameters'!$I11))</f>
        <v>0</v>
      </c>
      <c r="AV149">
        <f ca="1">IF(OR(AV$7-'Tech Parameters'!$I11&lt;2006,'Tech Parameters'!$I11=0),0,-OFFSET(AV126,0,-'Tech Parameters'!$I11))</f>
        <v>0</v>
      </c>
      <c r="AW149">
        <f ca="1">IF(OR(AW$7-'Tech Parameters'!$I11&lt;2006,'Tech Parameters'!$I11=0),0,-OFFSET(AW126,0,-'Tech Parameters'!$I11))</f>
        <v>0</v>
      </c>
    </row>
    <row r="150" spans="3:49">
      <c r="C150" t="str">
        <f t="shared" si="46"/>
        <v>Biomass</v>
      </c>
      <c r="D150">
        <f ca="1">IF(D$7-'Tech Parameters'!$I12&lt;2006,0,-OFFSET(D127,0,-'Tech Parameters'!$I12))</f>
        <v>0</v>
      </c>
      <c r="E150">
        <f ca="1">IF(E$7-'Tech Parameters'!$I12&lt;2006,0,-OFFSET(E127,0,-'Tech Parameters'!$I12))</f>
        <v>0</v>
      </c>
      <c r="F150">
        <f ca="1">IF(F$7-'Tech Parameters'!$I12&lt;2006,0,-OFFSET(F127,0,-'Tech Parameters'!$I12))</f>
        <v>0</v>
      </c>
      <c r="G150">
        <f ca="1">IF(G$7-'Tech Parameters'!$I12&lt;2006,0,-OFFSET(G127,0,-'Tech Parameters'!$I12))</f>
        <v>0</v>
      </c>
      <c r="H150">
        <f ca="1">IF(H$7-'Tech Parameters'!$I12&lt;2006,0,-OFFSET(H127,0,-'Tech Parameters'!$I12))</f>
        <v>0</v>
      </c>
      <c r="I150">
        <f ca="1">IF(I$7-'Tech Parameters'!$I12&lt;2006,0,-OFFSET(I127,0,-'Tech Parameters'!$I12))</f>
        <v>0</v>
      </c>
      <c r="J150">
        <f ca="1">IF(J$7-'Tech Parameters'!$I12&lt;2006,0,-OFFSET(J127,0,-'Tech Parameters'!$I12))</f>
        <v>0</v>
      </c>
      <c r="K150">
        <f ca="1">IF(K$7-'Tech Parameters'!$I12&lt;2006,0,-OFFSET(K127,0,-'Tech Parameters'!$I12))</f>
        <v>0</v>
      </c>
      <c r="L150">
        <f ca="1">IF(L$7-'Tech Parameters'!$I12&lt;2006,0,-OFFSET(L127,0,-'Tech Parameters'!$I12))</f>
        <v>0</v>
      </c>
      <c r="M150">
        <f ca="1">IF(M$7-'Tech Parameters'!$I12&lt;2006,0,-OFFSET(M127,0,-'Tech Parameters'!$I12))</f>
        <v>0</v>
      </c>
      <c r="N150">
        <f ca="1">IF(N$7-'Tech Parameters'!$I12&lt;2006,0,-OFFSET(N127,0,-'Tech Parameters'!$I12))</f>
        <v>0</v>
      </c>
      <c r="O150">
        <f ca="1">IF(O$7-'Tech Parameters'!$I12&lt;2006,0,-OFFSET(O127,0,-'Tech Parameters'!$I12))</f>
        <v>0</v>
      </c>
      <c r="P150">
        <f ca="1">IF(P$7-'Tech Parameters'!$I12&lt;2006,0,-OFFSET(P127,0,-'Tech Parameters'!$I12))</f>
        <v>0</v>
      </c>
      <c r="Q150">
        <f ca="1">IF(Q$7-'Tech Parameters'!$I12&lt;2006,0,-OFFSET(Q127,0,-'Tech Parameters'!$I12))</f>
        <v>0</v>
      </c>
      <c r="R150">
        <f ca="1">IF(R$7-'Tech Parameters'!$I12&lt;2006,0,-OFFSET(R127,0,-'Tech Parameters'!$I12))</f>
        <v>0</v>
      </c>
      <c r="S150">
        <f ca="1">IF(S$7-'Tech Parameters'!$I12&lt;2006,0,-OFFSET(S127,0,-'Tech Parameters'!$I12))</f>
        <v>0</v>
      </c>
      <c r="T150">
        <f ca="1">IF(T$7-'Tech Parameters'!$I12&lt;2006,0,-OFFSET(T127,0,-'Tech Parameters'!$I12))</f>
        <v>0</v>
      </c>
      <c r="U150">
        <f ca="1">IF(U$7-'Tech Parameters'!$I12&lt;2006,0,-OFFSET(U127,0,-'Tech Parameters'!$I12))</f>
        <v>0</v>
      </c>
      <c r="V150">
        <f ca="1">IF(V$7-'Tech Parameters'!$I12&lt;2006,0,-OFFSET(V127,0,-'Tech Parameters'!$I12))</f>
        <v>0</v>
      </c>
      <c r="W150">
        <f ca="1">IF(W$7-'Tech Parameters'!$I12&lt;2006,0,-OFFSET(W127,0,-'Tech Parameters'!$I12))</f>
        <v>0</v>
      </c>
      <c r="X150">
        <f ca="1">IF(X$7-'Tech Parameters'!$I12&lt;2006,0,-OFFSET(X127,0,-'Tech Parameters'!$I12))</f>
        <v>0</v>
      </c>
      <c r="Y150">
        <f ca="1">IF(Y$7-'Tech Parameters'!$I12&lt;2006,0,-OFFSET(Y127,0,-'Tech Parameters'!$I12))</f>
        <v>0</v>
      </c>
      <c r="Z150">
        <f ca="1">IF(Z$7-'Tech Parameters'!$I12&lt;2006,0,-OFFSET(Z127,0,-'Tech Parameters'!$I12))</f>
        <v>0</v>
      </c>
      <c r="AA150">
        <f ca="1">IF(AA$7-'Tech Parameters'!$I12&lt;2006,0,-OFFSET(AA127,0,-'Tech Parameters'!$I12))</f>
        <v>0</v>
      </c>
      <c r="AB150">
        <f ca="1">IF(AB$7-'Tech Parameters'!$I12&lt;2006,0,-OFFSET(AB127,0,-'Tech Parameters'!$I12))</f>
        <v>0</v>
      </c>
      <c r="AC150">
        <f ca="1">IF(AC$7-'Tech Parameters'!$I12&lt;2006,0,-OFFSET(AC127,0,-'Tech Parameters'!$I12))</f>
        <v>0</v>
      </c>
      <c r="AD150">
        <f ca="1">IF(OR(AD$7-'Tech Parameters'!$I12&lt;2006,'Tech Parameters'!$I12=0),0,-OFFSET(AD127,0,-'Tech Parameters'!$I12))</f>
        <v>0</v>
      </c>
      <c r="AE150">
        <f ca="1">IF(OR(AE$7-'Tech Parameters'!$I12&lt;2006,'Tech Parameters'!$I12=0),0,-OFFSET(AE127,0,-'Tech Parameters'!$I12))</f>
        <v>0</v>
      </c>
      <c r="AF150">
        <f ca="1">IF(OR(AF$7-'Tech Parameters'!$I12&lt;2006,'Tech Parameters'!$I12=0),0,-OFFSET(AF127,0,-'Tech Parameters'!$I12))</f>
        <v>0</v>
      </c>
      <c r="AG150">
        <f ca="1">IF(OR(AG$7-'Tech Parameters'!$I12&lt;2006,'Tech Parameters'!$I12=0),0,-OFFSET(AG127,0,-'Tech Parameters'!$I12))</f>
        <v>0</v>
      </c>
      <c r="AH150">
        <f ca="1">IF(OR(AH$7-'Tech Parameters'!$I12&lt;2006,'Tech Parameters'!$I12=0),0,-OFFSET(AH127,0,-'Tech Parameters'!$I12))</f>
        <v>0</v>
      </c>
      <c r="AI150">
        <f ca="1">IF(OR(AI$7-'Tech Parameters'!$I12&lt;2006,'Tech Parameters'!$I12=0),0,-OFFSET(AI127,0,-'Tech Parameters'!$I12))</f>
        <v>0</v>
      </c>
      <c r="AJ150">
        <f ca="1">IF(OR(AJ$7-'Tech Parameters'!$I12&lt;2006,'Tech Parameters'!$I12=0),0,-OFFSET(AJ127,0,-'Tech Parameters'!$I12))</f>
        <v>0</v>
      </c>
      <c r="AK150">
        <f ca="1">IF(OR(AK$7-'Tech Parameters'!$I12&lt;2006,'Tech Parameters'!$I12=0),0,-OFFSET(AK127,0,-'Tech Parameters'!$I12))</f>
        <v>0</v>
      </c>
      <c r="AL150">
        <f ca="1">IF(OR(AL$7-'Tech Parameters'!$I12&lt;2006,'Tech Parameters'!$I12=0),0,-OFFSET(AL127,0,-'Tech Parameters'!$I12))</f>
        <v>0</v>
      </c>
      <c r="AM150">
        <f ca="1">IF(OR(AM$7-'Tech Parameters'!$I12&lt;2006,'Tech Parameters'!$I12=0),0,-OFFSET(AM127,0,-'Tech Parameters'!$I12))</f>
        <v>0</v>
      </c>
      <c r="AN150">
        <f ca="1">IF(OR(AN$7-'Tech Parameters'!$I12&lt;2006,'Tech Parameters'!$I12=0),0,-OFFSET(AN127,0,-'Tech Parameters'!$I12))</f>
        <v>0</v>
      </c>
      <c r="AO150">
        <f ca="1">IF(OR(AO$7-'Tech Parameters'!$I12&lt;2006,'Tech Parameters'!$I12=0),0,-OFFSET(AO127,0,-'Tech Parameters'!$I12))</f>
        <v>0</v>
      </c>
      <c r="AP150">
        <f ca="1">IF(OR(AP$7-'Tech Parameters'!$I12&lt;2006,'Tech Parameters'!$I12=0),0,-OFFSET(AP127,0,-'Tech Parameters'!$I12))</f>
        <v>0</v>
      </c>
      <c r="AQ150">
        <f ca="1">IF(OR(AQ$7-'Tech Parameters'!$I12&lt;2006,'Tech Parameters'!$I12=0),0,-OFFSET(AQ127,0,-'Tech Parameters'!$I12))</f>
        <v>0</v>
      </c>
      <c r="AR150">
        <f ca="1">IF(OR(AR$7-'Tech Parameters'!$I12&lt;2006,'Tech Parameters'!$I12=0),0,-OFFSET(AR127,0,-'Tech Parameters'!$I12))</f>
        <v>0</v>
      </c>
      <c r="AS150">
        <f ca="1">IF(OR(AS$7-'Tech Parameters'!$I12&lt;2006,'Tech Parameters'!$I12=0),0,-OFFSET(AS127,0,-'Tech Parameters'!$I12))</f>
        <v>0</v>
      </c>
      <c r="AT150">
        <f ca="1">IF(OR(AT$7-'Tech Parameters'!$I12&lt;2006,'Tech Parameters'!$I12=0),0,-OFFSET(AT127,0,-'Tech Parameters'!$I12))</f>
        <v>0</v>
      </c>
      <c r="AU150">
        <f ca="1">IF(OR(AU$7-'Tech Parameters'!$I12&lt;2006,'Tech Parameters'!$I12=0),0,-OFFSET(AU127,0,-'Tech Parameters'!$I12))</f>
        <v>0</v>
      </c>
      <c r="AV150">
        <f ca="1">IF(OR(AV$7-'Tech Parameters'!$I12&lt;2006,'Tech Parameters'!$I12=0),0,-OFFSET(AV127,0,-'Tech Parameters'!$I12))</f>
        <v>0</v>
      </c>
      <c r="AW150">
        <f ca="1">IF(OR(AW$7-'Tech Parameters'!$I12&lt;2006,'Tech Parameters'!$I12=0),0,-OFFSET(AW127,0,-'Tech Parameters'!$I12))</f>
        <v>0</v>
      </c>
    </row>
    <row r="151" spans="3:49">
      <c r="C151" t="str">
        <f t="shared" si="46"/>
        <v>Supercritical coal</v>
      </c>
      <c r="D151">
        <f ca="1">IF(D$7-'Tech Parameters'!$I13&lt;2006,0,-OFFSET(D128,0,-'Tech Parameters'!$I13))</f>
        <v>0</v>
      </c>
      <c r="E151">
        <f ca="1">IF(E$7-'Tech Parameters'!$I13&lt;2006,0,-OFFSET(E128,0,-'Tech Parameters'!$I13))</f>
        <v>0</v>
      </c>
      <c r="F151">
        <f ca="1">IF(F$7-'Tech Parameters'!$I13&lt;2006,0,-OFFSET(F128,0,-'Tech Parameters'!$I13))</f>
        <v>0</v>
      </c>
      <c r="G151">
        <f ca="1">IF(G$7-'Tech Parameters'!$I13&lt;2006,0,-OFFSET(G128,0,-'Tech Parameters'!$I13))</f>
        <v>0</v>
      </c>
      <c r="H151">
        <f ca="1">IF(H$7-'Tech Parameters'!$I13&lt;2006,0,-OFFSET(H128,0,-'Tech Parameters'!$I13))</f>
        <v>0</v>
      </c>
      <c r="I151">
        <f ca="1">IF(I$7-'Tech Parameters'!$I13&lt;2006,0,-OFFSET(I128,0,-'Tech Parameters'!$I13))</f>
        <v>0</v>
      </c>
      <c r="J151">
        <f ca="1">IF(J$7-'Tech Parameters'!$I13&lt;2006,0,-OFFSET(J128,0,-'Tech Parameters'!$I13))</f>
        <v>0</v>
      </c>
      <c r="K151">
        <f ca="1">IF(K$7-'Tech Parameters'!$I13&lt;2006,0,-OFFSET(K128,0,-'Tech Parameters'!$I13))</f>
        <v>0</v>
      </c>
      <c r="L151">
        <f ca="1">IF(L$7-'Tech Parameters'!$I13&lt;2006,0,-OFFSET(L128,0,-'Tech Parameters'!$I13))</f>
        <v>0</v>
      </c>
      <c r="M151">
        <f ca="1">IF(M$7-'Tech Parameters'!$I13&lt;2006,0,-OFFSET(M128,0,-'Tech Parameters'!$I13))</f>
        <v>0</v>
      </c>
      <c r="N151">
        <f ca="1">IF(N$7-'Tech Parameters'!$I13&lt;2006,0,-OFFSET(N128,0,-'Tech Parameters'!$I13))</f>
        <v>0</v>
      </c>
      <c r="O151">
        <f ca="1">IF(O$7-'Tech Parameters'!$I13&lt;2006,0,-OFFSET(O128,0,-'Tech Parameters'!$I13))</f>
        <v>0</v>
      </c>
      <c r="P151">
        <f ca="1">IF(P$7-'Tech Parameters'!$I13&lt;2006,0,-OFFSET(P128,0,-'Tech Parameters'!$I13))</f>
        <v>0</v>
      </c>
      <c r="Q151">
        <f ca="1">IF(Q$7-'Tech Parameters'!$I13&lt;2006,0,-OFFSET(Q128,0,-'Tech Parameters'!$I13))</f>
        <v>0</v>
      </c>
      <c r="R151">
        <f ca="1">IF(R$7-'Tech Parameters'!$I13&lt;2006,0,-OFFSET(R128,0,-'Tech Parameters'!$I13))</f>
        <v>0</v>
      </c>
      <c r="S151">
        <f ca="1">IF(S$7-'Tech Parameters'!$I13&lt;2006,0,-OFFSET(S128,0,-'Tech Parameters'!$I13))</f>
        <v>0</v>
      </c>
      <c r="T151">
        <f ca="1">IF(T$7-'Tech Parameters'!$I13&lt;2006,0,-OFFSET(T128,0,-'Tech Parameters'!$I13))</f>
        <v>0</v>
      </c>
      <c r="U151">
        <f ca="1">IF(U$7-'Tech Parameters'!$I13&lt;2006,0,-OFFSET(U128,0,-'Tech Parameters'!$I13))</f>
        <v>0</v>
      </c>
      <c r="V151">
        <f ca="1">IF(V$7-'Tech Parameters'!$I13&lt;2006,0,-OFFSET(V128,0,-'Tech Parameters'!$I13))</f>
        <v>0</v>
      </c>
      <c r="W151">
        <f ca="1">IF(W$7-'Tech Parameters'!$I13&lt;2006,0,-OFFSET(W128,0,-'Tech Parameters'!$I13))</f>
        <v>0</v>
      </c>
      <c r="X151">
        <f ca="1">IF(X$7-'Tech Parameters'!$I13&lt;2006,0,-OFFSET(X128,0,-'Tech Parameters'!$I13))</f>
        <v>0</v>
      </c>
      <c r="Y151">
        <f ca="1">IF(Y$7-'Tech Parameters'!$I13&lt;2006,0,-OFFSET(Y128,0,-'Tech Parameters'!$I13))</f>
        <v>0</v>
      </c>
      <c r="Z151">
        <f ca="1">IF(Z$7-'Tech Parameters'!$I13&lt;2006,0,-OFFSET(Z128,0,-'Tech Parameters'!$I13))</f>
        <v>0</v>
      </c>
      <c r="AA151">
        <f ca="1">IF(AA$7-'Tech Parameters'!$I13&lt;2006,0,-OFFSET(AA128,0,-'Tech Parameters'!$I13))</f>
        <v>0</v>
      </c>
      <c r="AB151">
        <f ca="1">IF(AB$7-'Tech Parameters'!$I13&lt;2006,0,-OFFSET(AB128,0,-'Tech Parameters'!$I13))</f>
        <v>0</v>
      </c>
      <c r="AC151">
        <f ca="1">IF(AC$7-'Tech Parameters'!$I13&lt;2006,0,-OFFSET(AC128,0,-'Tech Parameters'!$I13))</f>
        <v>0</v>
      </c>
      <c r="AD151">
        <f ca="1">IF(OR(AD$7-'Tech Parameters'!$I13&lt;2006,'Tech Parameters'!$I13=0),0,-OFFSET(AD128,0,-'Tech Parameters'!$I13))</f>
        <v>0</v>
      </c>
      <c r="AE151">
        <f ca="1">IF(OR(AE$7-'Tech Parameters'!$I13&lt;2006,'Tech Parameters'!$I13=0),0,-OFFSET(AE128,0,-'Tech Parameters'!$I13))</f>
        <v>0</v>
      </c>
      <c r="AF151">
        <f ca="1">IF(OR(AF$7-'Tech Parameters'!$I13&lt;2006,'Tech Parameters'!$I13=0),0,-OFFSET(AF128,0,-'Tech Parameters'!$I13))</f>
        <v>0</v>
      </c>
      <c r="AG151">
        <f ca="1">IF(OR(AG$7-'Tech Parameters'!$I13&lt;2006,'Tech Parameters'!$I13=0),0,-OFFSET(AG128,0,-'Tech Parameters'!$I13))</f>
        <v>0</v>
      </c>
      <c r="AH151">
        <f ca="1">IF(OR(AH$7-'Tech Parameters'!$I13&lt;2006,'Tech Parameters'!$I13=0),0,-OFFSET(AH128,0,-'Tech Parameters'!$I13))</f>
        <v>0</v>
      </c>
      <c r="AI151">
        <f ca="1">IF(OR(AI$7-'Tech Parameters'!$I13&lt;2006,'Tech Parameters'!$I13=0),0,-OFFSET(AI128,0,-'Tech Parameters'!$I13))</f>
        <v>0</v>
      </c>
      <c r="AJ151">
        <f ca="1">IF(OR(AJ$7-'Tech Parameters'!$I13&lt;2006,'Tech Parameters'!$I13=0),0,-OFFSET(AJ128,0,-'Tech Parameters'!$I13))</f>
        <v>0</v>
      </c>
      <c r="AK151">
        <f ca="1">IF(OR(AK$7-'Tech Parameters'!$I13&lt;2006,'Tech Parameters'!$I13=0),0,-OFFSET(AK128,0,-'Tech Parameters'!$I13))</f>
        <v>0</v>
      </c>
      <c r="AL151">
        <f ca="1">IF(OR(AL$7-'Tech Parameters'!$I13&lt;2006,'Tech Parameters'!$I13=0),0,-OFFSET(AL128,0,-'Tech Parameters'!$I13))</f>
        <v>0</v>
      </c>
      <c r="AM151">
        <f ca="1">IF(OR(AM$7-'Tech Parameters'!$I13&lt;2006,'Tech Parameters'!$I13=0),0,-OFFSET(AM128,0,-'Tech Parameters'!$I13))</f>
        <v>0</v>
      </c>
      <c r="AN151">
        <f ca="1">IF(OR(AN$7-'Tech Parameters'!$I13&lt;2006,'Tech Parameters'!$I13=0),0,-OFFSET(AN128,0,-'Tech Parameters'!$I13))</f>
        <v>0</v>
      </c>
      <c r="AO151">
        <f ca="1">IF(OR(AO$7-'Tech Parameters'!$I13&lt;2006,'Tech Parameters'!$I13=0),0,-OFFSET(AO128,0,-'Tech Parameters'!$I13))</f>
        <v>-0.79400000000000004</v>
      </c>
      <c r="AP151">
        <f ca="1">IF(OR(AP$7-'Tech Parameters'!$I13&lt;2006,'Tech Parameters'!$I13=0),0,-OFFSET(AP128,0,-'Tech Parameters'!$I13))</f>
        <v>-1.5880000000000001</v>
      </c>
      <c r="AQ151">
        <f ca="1">IF(OR(AQ$7-'Tech Parameters'!$I13&lt;2006,'Tech Parameters'!$I13=0),0,-OFFSET(AQ128,0,-'Tech Parameters'!$I13))</f>
        <v>-2.3820000000000001</v>
      </c>
      <c r="AR151">
        <f ca="1">IF(OR(AR$7-'Tech Parameters'!$I13&lt;2006,'Tech Parameters'!$I13=0),0,-OFFSET(AR128,0,-'Tech Parameters'!$I13))</f>
        <v>-2.3820000000000001</v>
      </c>
      <c r="AS151">
        <f ca="1">IF(OR(AS$7-'Tech Parameters'!$I13&lt;2006,'Tech Parameters'!$I13=0),0,-OFFSET(AS128,0,-'Tech Parameters'!$I13))</f>
        <v>-1.5880000000000001</v>
      </c>
      <c r="AT151">
        <f ca="1">IF(OR(AT$7-'Tech Parameters'!$I13&lt;2006,'Tech Parameters'!$I13=0),0,-OFFSET(AT128,0,-'Tech Parameters'!$I13))</f>
        <v>-0.79400000000000004</v>
      </c>
      <c r="AU151">
        <f ca="1">IF(OR(AU$7-'Tech Parameters'!$I13&lt;2006,'Tech Parameters'!$I13=0),0,-OFFSET(AU128,0,-'Tech Parameters'!$I13))</f>
        <v>0</v>
      </c>
      <c r="AV151">
        <f ca="1">IF(OR(AV$7-'Tech Parameters'!$I13&lt;2006,'Tech Parameters'!$I13=0),0,-OFFSET(AV128,0,-'Tech Parameters'!$I13))</f>
        <v>0</v>
      </c>
      <c r="AW151">
        <f ca="1">IF(OR(AW$7-'Tech Parameters'!$I13&lt;2006,'Tech Parameters'!$I13=0),0,-OFFSET(AW128,0,-'Tech Parameters'!$I13))</f>
        <v>0</v>
      </c>
    </row>
    <row r="152" spans="3:49">
      <c r="C152" t="str">
        <f t="shared" si="46"/>
        <v xml:space="preserve">Wind 30% </v>
      </c>
      <c r="D152">
        <f ca="1">IF(D$7-'Tech Parameters'!$I14&lt;2006,0,-OFFSET(D129,0,-'Tech Parameters'!$I14))</f>
        <v>0</v>
      </c>
      <c r="E152">
        <f ca="1">IF(E$7-'Tech Parameters'!$I14&lt;2006,0,-OFFSET(E129,0,-'Tech Parameters'!$I14))</f>
        <v>0</v>
      </c>
      <c r="F152">
        <f ca="1">IF(F$7-'Tech Parameters'!$I14&lt;2006,0,-OFFSET(F129,0,-'Tech Parameters'!$I14))</f>
        <v>0</v>
      </c>
      <c r="G152">
        <f ca="1">IF(G$7-'Tech Parameters'!$I14&lt;2006,0,-OFFSET(G129,0,-'Tech Parameters'!$I14))</f>
        <v>0</v>
      </c>
      <c r="H152">
        <f ca="1">IF(H$7-'Tech Parameters'!$I14&lt;2006,0,-OFFSET(H129,0,-'Tech Parameters'!$I14))</f>
        <v>0</v>
      </c>
      <c r="I152">
        <f ca="1">IF(I$7-'Tech Parameters'!$I14&lt;2006,0,-OFFSET(I129,0,-'Tech Parameters'!$I14))</f>
        <v>0</v>
      </c>
      <c r="J152">
        <f ca="1">IF(J$7-'Tech Parameters'!$I14&lt;2006,0,-OFFSET(J129,0,-'Tech Parameters'!$I14))</f>
        <v>0</v>
      </c>
      <c r="K152">
        <f ca="1">IF(K$7-'Tech Parameters'!$I14&lt;2006,0,-OFFSET(K129,0,-'Tech Parameters'!$I14))</f>
        <v>0</v>
      </c>
      <c r="L152">
        <f ca="1">IF(L$7-'Tech Parameters'!$I14&lt;2006,0,-OFFSET(L129,0,-'Tech Parameters'!$I14))</f>
        <v>0</v>
      </c>
      <c r="M152">
        <f ca="1">IF(M$7-'Tech Parameters'!$I14&lt;2006,0,-OFFSET(M129,0,-'Tech Parameters'!$I14))</f>
        <v>0</v>
      </c>
      <c r="N152">
        <f ca="1">IF(N$7-'Tech Parameters'!$I14&lt;2006,0,-OFFSET(N129,0,-'Tech Parameters'!$I14))</f>
        <v>0</v>
      </c>
      <c r="O152">
        <f ca="1">IF(O$7-'Tech Parameters'!$I14&lt;2006,0,-OFFSET(O129,0,-'Tech Parameters'!$I14))</f>
        <v>0</v>
      </c>
      <c r="P152">
        <f ca="1">IF(P$7-'Tech Parameters'!$I14&lt;2006,0,-OFFSET(P129,0,-'Tech Parameters'!$I14))</f>
        <v>0</v>
      </c>
      <c r="Q152">
        <f ca="1">IF(Q$7-'Tech Parameters'!$I14&lt;2006,0,-OFFSET(Q129,0,-'Tech Parameters'!$I14))</f>
        <v>0</v>
      </c>
      <c r="R152">
        <f ca="1">IF(R$7-'Tech Parameters'!$I14&lt;2006,0,-OFFSET(R129,0,-'Tech Parameters'!$I14))</f>
        <v>0</v>
      </c>
      <c r="S152">
        <f ca="1">IF(S$7-'Tech Parameters'!$I14&lt;2006,0,-OFFSET(S129,0,-'Tech Parameters'!$I14))</f>
        <v>0</v>
      </c>
      <c r="T152">
        <f ca="1">IF(T$7-'Tech Parameters'!$I14&lt;2006,0,-OFFSET(T129,0,-'Tech Parameters'!$I14))</f>
        <v>0</v>
      </c>
      <c r="U152">
        <f ca="1">IF(U$7-'Tech Parameters'!$I14&lt;2006,0,-OFFSET(U129,0,-'Tech Parameters'!$I14))</f>
        <v>0</v>
      </c>
      <c r="V152">
        <f ca="1">IF(V$7-'Tech Parameters'!$I14&lt;2006,0,-OFFSET(V129,0,-'Tech Parameters'!$I14))</f>
        <v>0</v>
      </c>
      <c r="W152">
        <f ca="1">IF(W$7-'Tech Parameters'!$I14&lt;2006,0,-OFFSET(W129,0,-'Tech Parameters'!$I14))</f>
        <v>0</v>
      </c>
      <c r="X152">
        <f ca="1">IF(X$7-'Tech Parameters'!$I14&lt;2006,0,-OFFSET(X129,0,-'Tech Parameters'!$I14))</f>
        <v>0</v>
      </c>
      <c r="Y152">
        <f ca="1">IF(Y$7-'Tech Parameters'!$I14&lt;2006,0,-OFFSET(Y129,0,-'Tech Parameters'!$I14))</f>
        <v>0</v>
      </c>
      <c r="Z152">
        <f ca="1">IF(Z$7-'Tech Parameters'!$I14&lt;2006,0,-OFFSET(Z129,0,-'Tech Parameters'!$I14))</f>
        <v>0</v>
      </c>
      <c r="AA152">
        <f ca="1">IF(AA$7-'Tech Parameters'!$I14&lt;2006,0,-OFFSET(AA129,0,-'Tech Parameters'!$I14))</f>
        <v>0</v>
      </c>
      <c r="AB152">
        <f ca="1">IF(AB$7-'Tech Parameters'!$I14&lt;2006,0,-OFFSET(AB129,0,-'Tech Parameters'!$I14))</f>
        <v>0</v>
      </c>
      <c r="AC152">
        <f ca="1">IF(AC$7-'Tech Parameters'!$I14&lt;2006,0,-OFFSET(AC129,0,-'Tech Parameters'!$I14))</f>
        <v>-0.1</v>
      </c>
      <c r="AD152">
        <f ca="1">IF(OR(AD$7-'Tech Parameters'!$I14&lt;2006,'Tech Parameters'!$I14=0),0,-OFFSET(AD129,0,-'Tech Parameters'!$I14))</f>
        <v>-0.2</v>
      </c>
      <c r="AE152">
        <f ca="1">IF(OR(AE$7-'Tech Parameters'!$I14&lt;2006,'Tech Parameters'!$I14=0),0,-OFFSET(AE129,0,-'Tech Parameters'!$I14))</f>
        <v>-0.2</v>
      </c>
      <c r="AF152">
        <f ca="1">IF(OR(AF$7-'Tech Parameters'!$I14&lt;2006,'Tech Parameters'!$I14=0),0,-OFFSET(AF129,0,-'Tech Parameters'!$I14))</f>
        <v>-0.4</v>
      </c>
      <c r="AG152">
        <f ca="1">IF(OR(AG$7-'Tech Parameters'!$I14&lt;2006,'Tech Parameters'!$I14=0),0,-OFFSET(AG129,0,-'Tech Parameters'!$I14))</f>
        <v>-0.4</v>
      </c>
      <c r="AH152">
        <f ca="1">IF(OR(AH$7-'Tech Parameters'!$I14&lt;2006,'Tech Parameters'!$I14=0),0,-OFFSET(AH129,0,-'Tech Parameters'!$I14))</f>
        <v>-0.8</v>
      </c>
      <c r="AI152">
        <f ca="1">IF(OR(AI$7-'Tech Parameters'!$I14&lt;2006,'Tech Parameters'!$I14=0),0,-OFFSET(AI129,0,-'Tech Parameters'!$I14))</f>
        <v>-0.8</v>
      </c>
      <c r="AJ152">
        <f ca="1">IF(OR(AJ$7-'Tech Parameters'!$I14&lt;2006,'Tech Parameters'!$I14=0),0,-OFFSET(AJ129,0,-'Tech Parameters'!$I14))</f>
        <v>-1</v>
      </c>
      <c r="AK152">
        <f ca="1">IF(OR(AK$7-'Tech Parameters'!$I14&lt;2006,'Tech Parameters'!$I14=0),0,-OFFSET(AK129,0,-'Tech Parameters'!$I14))</f>
        <v>-1</v>
      </c>
      <c r="AL152">
        <f ca="1">IF(OR(AL$7-'Tech Parameters'!$I14&lt;2006,'Tech Parameters'!$I14=0),0,-OFFSET(AL129,0,-'Tech Parameters'!$I14))</f>
        <v>-1.5</v>
      </c>
      <c r="AM152">
        <f ca="1">IF(OR(AM$7-'Tech Parameters'!$I14&lt;2006,'Tech Parameters'!$I14=0),0,-OFFSET(AM129,0,-'Tech Parameters'!$I14))</f>
        <v>-1.5</v>
      </c>
      <c r="AN152">
        <f ca="1">IF(OR(AN$7-'Tech Parameters'!$I14&lt;2006,'Tech Parameters'!$I14=0),0,-OFFSET(AN129,0,-'Tech Parameters'!$I14))</f>
        <v>-2</v>
      </c>
      <c r="AO152">
        <f ca="1">IF(OR(AO$7-'Tech Parameters'!$I14&lt;2006,'Tech Parameters'!$I14=0),0,-OFFSET(AO129,0,-'Tech Parameters'!$I14))</f>
        <v>0</v>
      </c>
      <c r="AP152">
        <f ca="1">IF(OR(AP$7-'Tech Parameters'!$I14&lt;2006,'Tech Parameters'!$I14=0),0,-OFFSET(AP129,0,-'Tech Parameters'!$I14))</f>
        <v>0</v>
      </c>
      <c r="AQ152">
        <f ca="1">IF(OR(AQ$7-'Tech Parameters'!$I14&lt;2006,'Tech Parameters'!$I14=0),0,-OFFSET(AQ129,0,-'Tech Parameters'!$I14))</f>
        <v>0</v>
      </c>
      <c r="AR152">
        <f ca="1">IF(OR(AR$7-'Tech Parameters'!$I14&lt;2006,'Tech Parameters'!$I14=0),0,-OFFSET(AR129,0,-'Tech Parameters'!$I14))</f>
        <v>0</v>
      </c>
      <c r="AS152">
        <f ca="1">IF(OR(AS$7-'Tech Parameters'!$I14&lt;2006,'Tech Parameters'!$I14=0),0,-OFFSET(AS129,0,-'Tech Parameters'!$I14))</f>
        <v>0</v>
      </c>
      <c r="AT152">
        <f ca="1">IF(OR(AT$7-'Tech Parameters'!$I14&lt;2006,'Tech Parameters'!$I14=0),0,-OFFSET(AT129,0,-'Tech Parameters'!$I14))</f>
        <v>0</v>
      </c>
      <c r="AU152">
        <f ca="1">IF(OR(AU$7-'Tech Parameters'!$I14&lt;2006,'Tech Parameters'!$I14=0),0,-OFFSET(AU129,0,-'Tech Parameters'!$I14))</f>
        <v>0</v>
      </c>
      <c r="AV152">
        <f ca="1">IF(OR(AV$7-'Tech Parameters'!$I14&lt;2006,'Tech Parameters'!$I14=0),0,-OFFSET(AV129,0,-'Tech Parameters'!$I14))</f>
        <v>0</v>
      </c>
      <c r="AW152">
        <f ca="1">IF(OR(AW$7-'Tech Parameters'!$I14&lt;2006,'Tech Parameters'!$I14=0),0,-OFFSET(AW129,0,-'Tech Parameters'!$I14))</f>
        <v>0</v>
      </c>
    </row>
    <row r="153" spans="3:49">
      <c r="C153" t="str">
        <f t="shared" si="46"/>
        <v>Wind 25%</v>
      </c>
      <c r="D153">
        <f ca="1">IF(D$7-'Tech Parameters'!$I15&lt;2006,0,-OFFSET(D130,0,-'Tech Parameters'!$I15))</f>
        <v>0</v>
      </c>
      <c r="E153">
        <f ca="1">IF(E$7-'Tech Parameters'!$I15&lt;2006,0,-OFFSET(E130,0,-'Tech Parameters'!$I15))</f>
        <v>0</v>
      </c>
      <c r="F153">
        <f ca="1">IF(F$7-'Tech Parameters'!$I15&lt;2006,0,-OFFSET(F130,0,-'Tech Parameters'!$I15))</f>
        <v>0</v>
      </c>
      <c r="G153">
        <f ca="1">IF(G$7-'Tech Parameters'!$I15&lt;2006,0,-OFFSET(G130,0,-'Tech Parameters'!$I15))</f>
        <v>0</v>
      </c>
      <c r="H153">
        <f ca="1">IF(H$7-'Tech Parameters'!$I15&lt;2006,0,-OFFSET(H130,0,-'Tech Parameters'!$I15))</f>
        <v>0</v>
      </c>
      <c r="I153">
        <f ca="1">IF(I$7-'Tech Parameters'!$I15&lt;2006,0,-OFFSET(I130,0,-'Tech Parameters'!$I15))</f>
        <v>0</v>
      </c>
      <c r="J153">
        <f ca="1">IF(J$7-'Tech Parameters'!$I15&lt;2006,0,-OFFSET(J130,0,-'Tech Parameters'!$I15))</f>
        <v>0</v>
      </c>
      <c r="K153">
        <f ca="1">IF(K$7-'Tech Parameters'!$I15&lt;2006,0,-OFFSET(K130,0,-'Tech Parameters'!$I15))</f>
        <v>0</v>
      </c>
      <c r="L153">
        <f ca="1">IF(L$7-'Tech Parameters'!$I15&lt;2006,0,-OFFSET(L130,0,-'Tech Parameters'!$I15))</f>
        <v>0</v>
      </c>
      <c r="M153">
        <f ca="1">IF(M$7-'Tech Parameters'!$I15&lt;2006,0,-OFFSET(M130,0,-'Tech Parameters'!$I15))</f>
        <v>0</v>
      </c>
      <c r="N153">
        <f ca="1">IF(N$7-'Tech Parameters'!$I15&lt;2006,0,-OFFSET(N130,0,-'Tech Parameters'!$I15))</f>
        <v>0</v>
      </c>
      <c r="O153">
        <f ca="1">IF(O$7-'Tech Parameters'!$I15&lt;2006,0,-OFFSET(O130,0,-'Tech Parameters'!$I15))</f>
        <v>0</v>
      </c>
      <c r="P153">
        <f ca="1">IF(P$7-'Tech Parameters'!$I15&lt;2006,0,-OFFSET(P130,0,-'Tech Parameters'!$I15))</f>
        <v>0</v>
      </c>
      <c r="Q153">
        <f ca="1">IF(Q$7-'Tech Parameters'!$I15&lt;2006,0,-OFFSET(Q130,0,-'Tech Parameters'!$I15))</f>
        <v>0</v>
      </c>
      <c r="R153">
        <f ca="1">IF(R$7-'Tech Parameters'!$I15&lt;2006,0,-OFFSET(R130,0,-'Tech Parameters'!$I15))</f>
        <v>0</v>
      </c>
      <c r="S153">
        <f ca="1">IF(S$7-'Tech Parameters'!$I15&lt;2006,0,-OFFSET(S130,0,-'Tech Parameters'!$I15))</f>
        <v>0</v>
      </c>
      <c r="T153">
        <f ca="1">IF(T$7-'Tech Parameters'!$I15&lt;2006,0,-OFFSET(T130,0,-'Tech Parameters'!$I15))</f>
        <v>0</v>
      </c>
      <c r="U153">
        <f ca="1">IF(U$7-'Tech Parameters'!$I15&lt;2006,0,-OFFSET(U130,0,-'Tech Parameters'!$I15))</f>
        <v>0</v>
      </c>
      <c r="V153">
        <f ca="1">IF(V$7-'Tech Parameters'!$I15&lt;2006,0,-OFFSET(V130,0,-'Tech Parameters'!$I15))</f>
        <v>0</v>
      </c>
      <c r="W153">
        <f ca="1">IF(W$7-'Tech Parameters'!$I15&lt;2006,0,-OFFSET(W130,0,-'Tech Parameters'!$I15))</f>
        <v>0</v>
      </c>
      <c r="X153">
        <f ca="1">IF(X$7-'Tech Parameters'!$I15&lt;2006,0,-OFFSET(X130,0,-'Tech Parameters'!$I15))</f>
        <v>0</v>
      </c>
      <c r="Y153">
        <f ca="1">IF(Y$7-'Tech Parameters'!$I15&lt;2006,0,-OFFSET(Y130,0,-'Tech Parameters'!$I15))</f>
        <v>0</v>
      </c>
      <c r="Z153">
        <f ca="1">IF(Z$7-'Tech Parameters'!$I15&lt;2006,0,-OFFSET(Z130,0,-'Tech Parameters'!$I15))</f>
        <v>0</v>
      </c>
      <c r="AA153">
        <f ca="1">IF(AA$7-'Tech Parameters'!$I15&lt;2006,0,-OFFSET(AA130,0,-'Tech Parameters'!$I15))</f>
        <v>0</v>
      </c>
      <c r="AB153">
        <f ca="1">IF(AB$7-'Tech Parameters'!$I15&lt;2006,0,-OFFSET(AB130,0,-'Tech Parameters'!$I15))</f>
        <v>0</v>
      </c>
      <c r="AC153">
        <f ca="1">IF(AC$7-'Tech Parameters'!$I15&lt;2006,0,-OFFSET(AC130,0,-'Tech Parameters'!$I15))</f>
        <v>0</v>
      </c>
      <c r="AD153">
        <f ca="1">IF(OR(AD$7-'Tech Parameters'!$I15&lt;2006,'Tech Parameters'!$I15=0),0,-OFFSET(AD130,0,-'Tech Parameters'!$I15))</f>
        <v>0</v>
      </c>
      <c r="AE153">
        <f ca="1">IF(OR(AE$7-'Tech Parameters'!$I15&lt;2006,'Tech Parameters'!$I15=0),0,-OFFSET(AE130,0,-'Tech Parameters'!$I15))</f>
        <v>0</v>
      </c>
      <c r="AF153">
        <f ca="1">IF(OR(AF$7-'Tech Parameters'!$I15&lt;2006,'Tech Parameters'!$I15=0),0,-OFFSET(AF130,0,-'Tech Parameters'!$I15))</f>
        <v>0</v>
      </c>
      <c r="AG153">
        <f ca="1">IF(OR(AG$7-'Tech Parameters'!$I15&lt;2006,'Tech Parameters'!$I15=0),0,-OFFSET(AG130,0,-'Tech Parameters'!$I15))</f>
        <v>0</v>
      </c>
      <c r="AH153">
        <f ca="1">IF(OR(AH$7-'Tech Parameters'!$I15&lt;2006,'Tech Parameters'!$I15=0),0,-OFFSET(AH130,0,-'Tech Parameters'!$I15))</f>
        <v>0</v>
      </c>
      <c r="AI153">
        <f ca="1">IF(OR(AI$7-'Tech Parameters'!$I15&lt;2006,'Tech Parameters'!$I15=0),0,-OFFSET(AI130,0,-'Tech Parameters'!$I15))</f>
        <v>0</v>
      </c>
      <c r="AJ153">
        <f ca="1">IF(OR(AJ$7-'Tech Parameters'!$I15&lt;2006,'Tech Parameters'!$I15=0),0,-OFFSET(AJ130,0,-'Tech Parameters'!$I15))</f>
        <v>0</v>
      </c>
      <c r="AK153">
        <f ca="1">IF(OR(AK$7-'Tech Parameters'!$I15&lt;2006,'Tech Parameters'!$I15=0),0,-OFFSET(AK130,0,-'Tech Parameters'!$I15))</f>
        <v>0</v>
      </c>
      <c r="AL153">
        <f ca="1">IF(OR(AL$7-'Tech Parameters'!$I15&lt;2006,'Tech Parameters'!$I15=0),0,-OFFSET(AL130,0,-'Tech Parameters'!$I15))</f>
        <v>0</v>
      </c>
      <c r="AM153">
        <f ca="1">IF(OR(AM$7-'Tech Parameters'!$I15&lt;2006,'Tech Parameters'!$I15=0),0,-OFFSET(AM130,0,-'Tech Parameters'!$I15))</f>
        <v>0</v>
      </c>
      <c r="AN153">
        <f ca="1">IF(OR(AN$7-'Tech Parameters'!$I15&lt;2006,'Tech Parameters'!$I15=0),0,-OFFSET(AN130,0,-'Tech Parameters'!$I15))</f>
        <v>0</v>
      </c>
      <c r="AO153">
        <f ca="1">IF(OR(AO$7-'Tech Parameters'!$I15&lt;2006,'Tech Parameters'!$I15=0),0,-OFFSET(AO130,0,-'Tech Parameters'!$I15))</f>
        <v>-1</v>
      </c>
      <c r="AP153">
        <f ca="1">IF(OR(AP$7-'Tech Parameters'!$I15&lt;2006,'Tech Parameters'!$I15=0),0,-OFFSET(AP130,0,-'Tech Parameters'!$I15))</f>
        <v>-1</v>
      </c>
      <c r="AQ153">
        <f ca="1">IF(OR(AQ$7-'Tech Parameters'!$I15&lt;2006,'Tech Parameters'!$I15=0),0,-OFFSET(AQ130,0,-'Tech Parameters'!$I15))</f>
        <v>-1</v>
      </c>
      <c r="AR153">
        <f ca="1">IF(OR(AR$7-'Tech Parameters'!$I15&lt;2006,'Tech Parameters'!$I15=0),0,-OFFSET(AR130,0,-'Tech Parameters'!$I15))</f>
        <v>-1</v>
      </c>
      <c r="AS153">
        <f ca="1">IF(OR(AS$7-'Tech Parameters'!$I15&lt;2006,'Tech Parameters'!$I15=0),0,-OFFSET(AS130,0,-'Tech Parameters'!$I15))</f>
        <v>-1</v>
      </c>
      <c r="AT153">
        <f ca="1">IF(OR(AT$7-'Tech Parameters'!$I15&lt;2006,'Tech Parameters'!$I15=0),0,-OFFSET(AT130,0,-'Tech Parameters'!$I15))</f>
        <v>-1</v>
      </c>
      <c r="AU153">
        <f ca="1">IF(OR(AU$7-'Tech Parameters'!$I15&lt;2006,'Tech Parameters'!$I15=0),0,-OFFSET(AU130,0,-'Tech Parameters'!$I15))</f>
        <v>-1</v>
      </c>
      <c r="AV153">
        <f ca="1">IF(OR(AV$7-'Tech Parameters'!$I15&lt;2006,'Tech Parameters'!$I15=0),0,-OFFSET(AV130,0,-'Tech Parameters'!$I15))</f>
        <v>-1</v>
      </c>
      <c r="AW153">
        <f ca="1">IF(OR(AW$7-'Tech Parameters'!$I15&lt;2006,'Tech Parameters'!$I15=0),0,-OFFSET(AW130,0,-'Tech Parameters'!$I15))</f>
        <v>-1</v>
      </c>
    </row>
    <row r="154" spans="3:49">
      <c r="C154" t="str">
        <f t="shared" si="46"/>
        <v>solar thermal central reciever</v>
      </c>
      <c r="D154">
        <f ca="1">IF(D$7-'Tech Parameters'!$I16&lt;2006,0,-OFFSET(D131,0,-'Tech Parameters'!$I16))</f>
        <v>0</v>
      </c>
      <c r="E154">
        <f ca="1">IF(E$7-'Tech Parameters'!$I16&lt;2006,0,-OFFSET(E131,0,-'Tech Parameters'!$I16))</f>
        <v>0</v>
      </c>
      <c r="F154">
        <f ca="1">IF(F$7-'Tech Parameters'!$I16&lt;2006,0,-OFFSET(F131,0,-'Tech Parameters'!$I16))</f>
        <v>0</v>
      </c>
      <c r="G154">
        <f ca="1">IF(G$7-'Tech Parameters'!$I16&lt;2006,0,-OFFSET(G131,0,-'Tech Parameters'!$I16))</f>
        <v>0</v>
      </c>
      <c r="H154">
        <f ca="1">IF(H$7-'Tech Parameters'!$I16&lt;2006,0,-OFFSET(H131,0,-'Tech Parameters'!$I16))</f>
        <v>0</v>
      </c>
      <c r="I154">
        <f ca="1">IF(I$7-'Tech Parameters'!$I16&lt;2006,0,-OFFSET(I131,0,-'Tech Parameters'!$I16))</f>
        <v>0</v>
      </c>
      <c r="J154">
        <f ca="1">IF(J$7-'Tech Parameters'!$I16&lt;2006,0,-OFFSET(J131,0,-'Tech Parameters'!$I16))</f>
        <v>0</v>
      </c>
      <c r="K154">
        <f ca="1">IF(K$7-'Tech Parameters'!$I16&lt;2006,0,-OFFSET(K131,0,-'Tech Parameters'!$I16))</f>
        <v>0</v>
      </c>
      <c r="L154">
        <f ca="1">IF(L$7-'Tech Parameters'!$I16&lt;2006,0,-OFFSET(L131,0,-'Tech Parameters'!$I16))</f>
        <v>0</v>
      </c>
      <c r="M154">
        <f ca="1">IF(M$7-'Tech Parameters'!$I16&lt;2006,0,-OFFSET(M131,0,-'Tech Parameters'!$I16))</f>
        <v>0</v>
      </c>
      <c r="N154">
        <f ca="1">IF(N$7-'Tech Parameters'!$I16&lt;2006,0,-OFFSET(N131,0,-'Tech Parameters'!$I16))</f>
        <v>0</v>
      </c>
      <c r="O154">
        <f ca="1">IF(O$7-'Tech Parameters'!$I16&lt;2006,0,-OFFSET(O131,0,-'Tech Parameters'!$I16))</f>
        <v>0</v>
      </c>
      <c r="P154">
        <f ca="1">IF(P$7-'Tech Parameters'!$I16&lt;2006,0,-OFFSET(P131,0,-'Tech Parameters'!$I16))</f>
        <v>0</v>
      </c>
      <c r="Q154">
        <f ca="1">IF(Q$7-'Tech Parameters'!$I16&lt;2006,0,-OFFSET(Q131,0,-'Tech Parameters'!$I16))</f>
        <v>0</v>
      </c>
      <c r="R154">
        <f ca="1">IF(R$7-'Tech Parameters'!$I16&lt;2006,0,-OFFSET(R131,0,-'Tech Parameters'!$I16))</f>
        <v>0</v>
      </c>
      <c r="S154">
        <f ca="1">IF(S$7-'Tech Parameters'!$I16&lt;2006,0,-OFFSET(S131,0,-'Tech Parameters'!$I16))</f>
        <v>0</v>
      </c>
      <c r="T154">
        <f ca="1">IF(T$7-'Tech Parameters'!$I16&lt;2006,0,-OFFSET(T131,0,-'Tech Parameters'!$I16))</f>
        <v>0</v>
      </c>
      <c r="U154">
        <f ca="1">IF(U$7-'Tech Parameters'!$I16&lt;2006,0,-OFFSET(U131,0,-'Tech Parameters'!$I16))</f>
        <v>0</v>
      </c>
      <c r="V154">
        <f ca="1">IF(V$7-'Tech Parameters'!$I16&lt;2006,0,-OFFSET(V131,0,-'Tech Parameters'!$I16))</f>
        <v>0</v>
      </c>
      <c r="W154">
        <f ca="1">IF(W$7-'Tech Parameters'!$I16&lt;2006,0,-OFFSET(W131,0,-'Tech Parameters'!$I16))</f>
        <v>0</v>
      </c>
      <c r="X154">
        <f ca="1">IF(X$7-'Tech Parameters'!$I16&lt;2006,0,-OFFSET(X131,0,-'Tech Parameters'!$I16))</f>
        <v>0</v>
      </c>
      <c r="Y154">
        <f ca="1">IF(Y$7-'Tech Parameters'!$I16&lt;2006,0,-OFFSET(Y131,0,-'Tech Parameters'!$I16))</f>
        <v>0</v>
      </c>
      <c r="Z154">
        <f ca="1">IF(Z$7-'Tech Parameters'!$I16&lt;2006,0,-OFFSET(Z131,0,-'Tech Parameters'!$I16))</f>
        <v>0</v>
      </c>
      <c r="AA154">
        <f ca="1">IF(AA$7-'Tech Parameters'!$I16&lt;2006,0,-OFFSET(AA131,0,-'Tech Parameters'!$I16))</f>
        <v>0</v>
      </c>
      <c r="AB154">
        <f ca="1">IF(AB$7-'Tech Parameters'!$I16&lt;2006,0,-OFFSET(AB131,0,-'Tech Parameters'!$I16))</f>
        <v>0</v>
      </c>
      <c r="AC154">
        <f ca="1">IF(AC$7-'Tech Parameters'!$I16&lt;2006,0,-OFFSET(AC131,0,-'Tech Parameters'!$I16))</f>
        <v>0</v>
      </c>
      <c r="AD154">
        <f ca="1">IF(OR(AD$7-'Tech Parameters'!$I16&lt;2006,'Tech Parameters'!$I16=0),0,-OFFSET(AD131,0,-'Tech Parameters'!$I16))</f>
        <v>0</v>
      </c>
      <c r="AE154">
        <f ca="1">IF(OR(AE$7-'Tech Parameters'!$I16&lt;2006,'Tech Parameters'!$I16=0),0,-OFFSET(AE131,0,-'Tech Parameters'!$I16))</f>
        <v>0</v>
      </c>
      <c r="AF154">
        <f ca="1">IF(OR(AF$7-'Tech Parameters'!$I16&lt;2006,'Tech Parameters'!$I16=0),0,-OFFSET(AF131,0,-'Tech Parameters'!$I16))</f>
        <v>0</v>
      </c>
      <c r="AG154">
        <f ca="1">IF(OR(AG$7-'Tech Parameters'!$I16&lt;2006,'Tech Parameters'!$I16=0),0,-OFFSET(AG131,0,-'Tech Parameters'!$I16))</f>
        <v>0</v>
      </c>
      <c r="AH154">
        <f ca="1">IF(OR(AH$7-'Tech Parameters'!$I16&lt;2006,'Tech Parameters'!$I16=0),0,-OFFSET(AH131,0,-'Tech Parameters'!$I16))</f>
        <v>0</v>
      </c>
      <c r="AI154">
        <f ca="1">IF(OR(AI$7-'Tech Parameters'!$I16&lt;2006,'Tech Parameters'!$I16=0),0,-OFFSET(AI131,0,-'Tech Parameters'!$I16))</f>
        <v>0</v>
      </c>
      <c r="AJ154">
        <f ca="1">IF(OR(AJ$7-'Tech Parameters'!$I16&lt;2006,'Tech Parameters'!$I16=0),0,-OFFSET(AJ131,0,-'Tech Parameters'!$I16))</f>
        <v>0</v>
      </c>
      <c r="AK154">
        <f ca="1">IF(OR(AK$7-'Tech Parameters'!$I16&lt;2006,'Tech Parameters'!$I16=0),0,-OFFSET(AK131,0,-'Tech Parameters'!$I16))</f>
        <v>0</v>
      </c>
      <c r="AL154">
        <f ca="1">IF(OR(AL$7-'Tech Parameters'!$I16&lt;2006,'Tech Parameters'!$I16=0),0,-OFFSET(AL131,0,-'Tech Parameters'!$I16))</f>
        <v>0</v>
      </c>
      <c r="AM154">
        <f ca="1">IF(OR(AM$7-'Tech Parameters'!$I16&lt;2006,'Tech Parameters'!$I16=0),0,-OFFSET(AM131,0,-'Tech Parameters'!$I16))</f>
        <v>0</v>
      </c>
      <c r="AN154">
        <f ca="1">IF(OR(AN$7-'Tech Parameters'!$I16&lt;2006,'Tech Parameters'!$I16=0),0,-OFFSET(AN131,0,-'Tech Parameters'!$I16))</f>
        <v>0</v>
      </c>
      <c r="AO154">
        <f ca="1">IF(OR(AO$7-'Tech Parameters'!$I16&lt;2006,'Tech Parameters'!$I16=0),0,-OFFSET(AO131,0,-'Tech Parameters'!$I16))</f>
        <v>0</v>
      </c>
      <c r="AP154">
        <f ca="1">IF(OR(AP$7-'Tech Parameters'!$I16&lt;2006,'Tech Parameters'!$I16=0),0,-OFFSET(AP131,0,-'Tech Parameters'!$I16))</f>
        <v>0</v>
      </c>
      <c r="AQ154">
        <f ca="1">IF(OR(AQ$7-'Tech Parameters'!$I16&lt;2006,'Tech Parameters'!$I16=0),0,-OFFSET(AQ131,0,-'Tech Parameters'!$I16))</f>
        <v>0</v>
      </c>
      <c r="AR154">
        <f ca="1">IF(OR(AR$7-'Tech Parameters'!$I16&lt;2006,'Tech Parameters'!$I16=0),0,-OFFSET(AR131,0,-'Tech Parameters'!$I16))</f>
        <v>-0.1</v>
      </c>
      <c r="AS154">
        <f ca="1">IF(OR(AS$7-'Tech Parameters'!$I16&lt;2006,'Tech Parameters'!$I16=0),0,-OFFSET(AS131,0,-'Tech Parameters'!$I16))</f>
        <v>-0.2</v>
      </c>
      <c r="AT154">
        <f ca="1">IF(OR(AT$7-'Tech Parameters'!$I16&lt;2006,'Tech Parameters'!$I16=0),0,-OFFSET(AT131,0,-'Tech Parameters'!$I16))</f>
        <v>-0.4</v>
      </c>
      <c r="AU154">
        <f ca="1">IF(OR(AU$7-'Tech Parameters'!$I16&lt;2006,'Tech Parameters'!$I16=0),0,-OFFSET(AU131,0,-'Tech Parameters'!$I16))</f>
        <v>-0.8</v>
      </c>
      <c r="AV154">
        <f ca="1">IF(OR(AV$7-'Tech Parameters'!$I16&lt;2006,'Tech Parameters'!$I16=0),0,-OFFSET(AV131,0,-'Tech Parameters'!$I16))</f>
        <v>-1.2000000000000002</v>
      </c>
      <c r="AW154">
        <f ca="1">IF(OR(AW$7-'Tech Parameters'!$I16&lt;2006,'Tech Parameters'!$I16=0),0,-OFFSET(AW131,0,-'Tech Parameters'!$I16))</f>
        <v>-1.6</v>
      </c>
    </row>
    <row r="155" spans="3:49">
      <c r="C155" t="str">
        <f t="shared" si="46"/>
        <v>solar thermal trough</v>
      </c>
      <c r="D155">
        <f ca="1">IF(D$7-'Tech Parameters'!$I17&lt;2006,0,-OFFSET(D132,0,-'Tech Parameters'!$I17))</f>
        <v>0</v>
      </c>
      <c r="E155">
        <f ca="1">IF(E$7-'Tech Parameters'!$I17&lt;2006,0,-OFFSET(E132,0,-'Tech Parameters'!$I17))</f>
        <v>0</v>
      </c>
      <c r="F155">
        <f ca="1">IF(F$7-'Tech Parameters'!$I17&lt;2006,0,-OFFSET(F132,0,-'Tech Parameters'!$I17))</f>
        <v>0</v>
      </c>
      <c r="G155">
        <f ca="1">IF(G$7-'Tech Parameters'!$I17&lt;2006,0,-OFFSET(G132,0,-'Tech Parameters'!$I17))</f>
        <v>0</v>
      </c>
      <c r="H155">
        <f ca="1">IF(H$7-'Tech Parameters'!$I17&lt;2006,0,-OFFSET(H132,0,-'Tech Parameters'!$I17))</f>
        <v>0</v>
      </c>
      <c r="I155">
        <f ca="1">IF(I$7-'Tech Parameters'!$I17&lt;2006,0,-OFFSET(I132,0,-'Tech Parameters'!$I17))</f>
        <v>0</v>
      </c>
      <c r="J155">
        <f ca="1">IF(J$7-'Tech Parameters'!$I17&lt;2006,0,-OFFSET(J132,0,-'Tech Parameters'!$I17))</f>
        <v>0</v>
      </c>
      <c r="K155">
        <f ca="1">IF(K$7-'Tech Parameters'!$I17&lt;2006,0,-OFFSET(K132,0,-'Tech Parameters'!$I17))</f>
        <v>0</v>
      </c>
      <c r="L155">
        <f ca="1">IF(L$7-'Tech Parameters'!$I17&lt;2006,0,-OFFSET(L132,0,-'Tech Parameters'!$I17))</f>
        <v>0</v>
      </c>
      <c r="M155">
        <f ca="1">IF(M$7-'Tech Parameters'!$I17&lt;2006,0,-OFFSET(M132,0,-'Tech Parameters'!$I17))</f>
        <v>0</v>
      </c>
      <c r="N155">
        <f ca="1">IF(N$7-'Tech Parameters'!$I17&lt;2006,0,-OFFSET(N132,0,-'Tech Parameters'!$I17))</f>
        <v>0</v>
      </c>
      <c r="O155">
        <f ca="1">IF(O$7-'Tech Parameters'!$I17&lt;2006,0,-OFFSET(O132,0,-'Tech Parameters'!$I17))</f>
        <v>0</v>
      </c>
      <c r="P155">
        <f ca="1">IF(P$7-'Tech Parameters'!$I17&lt;2006,0,-OFFSET(P132,0,-'Tech Parameters'!$I17))</f>
        <v>0</v>
      </c>
      <c r="Q155">
        <f ca="1">IF(Q$7-'Tech Parameters'!$I17&lt;2006,0,-OFFSET(Q132,0,-'Tech Parameters'!$I17))</f>
        <v>0</v>
      </c>
      <c r="R155">
        <f ca="1">IF(R$7-'Tech Parameters'!$I17&lt;2006,0,-OFFSET(R132,0,-'Tech Parameters'!$I17))</f>
        <v>0</v>
      </c>
      <c r="S155">
        <f ca="1">IF(S$7-'Tech Parameters'!$I17&lt;2006,0,-OFFSET(S132,0,-'Tech Parameters'!$I17))</f>
        <v>0</v>
      </c>
      <c r="T155">
        <f ca="1">IF(T$7-'Tech Parameters'!$I17&lt;2006,0,-OFFSET(T132,0,-'Tech Parameters'!$I17))</f>
        <v>0</v>
      </c>
      <c r="U155">
        <f ca="1">IF(U$7-'Tech Parameters'!$I17&lt;2006,0,-OFFSET(U132,0,-'Tech Parameters'!$I17))</f>
        <v>0</v>
      </c>
      <c r="V155">
        <f ca="1">IF(V$7-'Tech Parameters'!$I17&lt;2006,0,-OFFSET(V132,0,-'Tech Parameters'!$I17))</f>
        <v>0</v>
      </c>
      <c r="W155">
        <f ca="1">IF(W$7-'Tech Parameters'!$I17&lt;2006,0,-OFFSET(W132,0,-'Tech Parameters'!$I17))</f>
        <v>0</v>
      </c>
      <c r="X155">
        <f ca="1">IF(X$7-'Tech Parameters'!$I17&lt;2006,0,-OFFSET(X132,0,-'Tech Parameters'!$I17))</f>
        <v>0</v>
      </c>
      <c r="Y155">
        <f ca="1">IF(Y$7-'Tech Parameters'!$I17&lt;2006,0,-OFFSET(Y132,0,-'Tech Parameters'!$I17))</f>
        <v>0</v>
      </c>
      <c r="Z155">
        <f ca="1">IF(Z$7-'Tech Parameters'!$I17&lt;2006,0,-OFFSET(Z132,0,-'Tech Parameters'!$I17))</f>
        <v>0</v>
      </c>
      <c r="AA155">
        <f ca="1">IF(AA$7-'Tech Parameters'!$I17&lt;2006,0,-OFFSET(AA132,0,-'Tech Parameters'!$I17))</f>
        <v>0</v>
      </c>
      <c r="AB155">
        <f ca="1">IF(AB$7-'Tech Parameters'!$I17&lt;2006,0,-OFFSET(AB132,0,-'Tech Parameters'!$I17))</f>
        <v>0</v>
      </c>
      <c r="AC155">
        <f ca="1">IF(AC$7-'Tech Parameters'!$I17&lt;2006,0,-OFFSET(AC132,0,-'Tech Parameters'!$I17))</f>
        <v>0</v>
      </c>
      <c r="AD155">
        <f ca="1">IF(OR(AD$7-'Tech Parameters'!$I17&lt;2006,'Tech Parameters'!$I17=0),0,-OFFSET(AD132,0,-'Tech Parameters'!$I17))</f>
        <v>0</v>
      </c>
      <c r="AE155">
        <f ca="1">IF(OR(AE$7-'Tech Parameters'!$I17&lt;2006,'Tech Parameters'!$I17=0),0,-OFFSET(AE132,0,-'Tech Parameters'!$I17))</f>
        <v>0</v>
      </c>
      <c r="AF155">
        <f ca="1">IF(OR(AF$7-'Tech Parameters'!$I17&lt;2006,'Tech Parameters'!$I17=0),0,-OFFSET(AF132,0,-'Tech Parameters'!$I17))</f>
        <v>0</v>
      </c>
      <c r="AG155">
        <f ca="1">IF(OR(AG$7-'Tech Parameters'!$I17&lt;2006,'Tech Parameters'!$I17=0),0,-OFFSET(AG132,0,-'Tech Parameters'!$I17))</f>
        <v>0</v>
      </c>
      <c r="AH155">
        <f ca="1">IF(OR(AH$7-'Tech Parameters'!$I17&lt;2006,'Tech Parameters'!$I17=0),0,-OFFSET(AH132,0,-'Tech Parameters'!$I17))</f>
        <v>0</v>
      </c>
      <c r="AI155">
        <f ca="1">IF(OR(AI$7-'Tech Parameters'!$I17&lt;2006,'Tech Parameters'!$I17=0),0,-OFFSET(AI132,0,-'Tech Parameters'!$I17))</f>
        <v>0</v>
      </c>
      <c r="AJ155">
        <f ca="1">IF(OR(AJ$7-'Tech Parameters'!$I17&lt;2006,'Tech Parameters'!$I17=0),0,-OFFSET(AJ132,0,-'Tech Parameters'!$I17))</f>
        <v>0</v>
      </c>
      <c r="AK155">
        <f ca="1">IF(OR(AK$7-'Tech Parameters'!$I17&lt;2006,'Tech Parameters'!$I17=0),0,-OFFSET(AK132,0,-'Tech Parameters'!$I17))</f>
        <v>0</v>
      </c>
      <c r="AL155">
        <f ca="1">IF(OR(AL$7-'Tech Parameters'!$I17&lt;2006,'Tech Parameters'!$I17=0),0,-OFFSET(AL132,0,-'Tech Parameters'!$I17))</f>
        <v>0</v>
      </c>
      <c r="AM155">
        <f ca="1">IF(OR(AM$7-'Tech Parameters'!$I17&lt;2006,'Tech Parameters'!$I17=0),0,-OFFSET(AM132,0,-'Tech Parameters'!$I17))</f>
        <v>0</v>
      </c>
      <c r="AN155">
        <f ca="1">IF(OR(AN$7-'Tech Parameters'!$I17&lt;2006,'Tech Parameters'!$I17=0),0,-OFFSET(AN132,0,-'Tech Parameters'!$I17))</f>
        <v>0</v>
      </c>
      <c r="AO155">
        <f ca="1">IF(OR(AO$7-'Tech Parameters'!$I17&lt;2006,'Tech Parameters'!$I17=0),0,-OFFSET(AO132,0,-'Tech Parameters'!$I17))</f>
        <v>0</v>
      </c>
      <c r="AP155">
        <f ca="1">IF(OR(AP$7-'Tech Parameters'!$I17&lt;2006,'Tech Parameters'!$I17=0),0,-OFFSET(AP132,0,-'Tech Parameters'!$I17))</f>
        <v>0</v>
      </c>
      <c r="AQ155">
        <f ca="1">IF(OR(AQ$7-'Tech Parameters'!$I17&lt;2006,'Tech Parameters'!$I17=0),0,-OFFSET(AQ132,0,-'Tech Parameters'!$I17))</f>
        <v>0</v>
      </c>
      <c r="AR155">
        <f ca="1">IF(OR(AR$7-'Tech Parameters'!$I17&lt;2006,'Tech Parameters'!$I17=0),0,-OFFSET(AR132,0,-'Tech Parameters'!$I17))</f>
        <v>0</v>
      </c>
      <c r="AS155">
        <f ca="1">IF(OR(AS$7-'Tech Parameters'!$I17&lt;2006,'Tech Parameters'!$I17=0),0,-OFFSET(AS132,0,-'Tech Parameters'!$I17))</f>
        <v>0</v>
      </c>
      <c r="AT155">
        <f ca="1">IF(OR(AT$7-'Tech Parameters'!$I17&lt;2006,'Tech Parameters'!$I17=0),0,-OFFSET(AT132,0,-'Tech Parameters'!$I17))</f>
        <v>0</v>
      </c>
      <c r="AU155">
        <f ca="1">IF(OR(AU$7-'Tech Parameters'!$I17&lt;2006,'Tech Parameters'!$I17=0),0,-OFFSET(AU132,0,-'Tech Parameters'!$I17))</f>
        <v>0</v>
      </c>
      <c r="AV155">
        <f ca="1">IF(OR(AV$7-'Tech Parameters'!$I17&lt;2006,'Tech Parameters'!$I17=0),0,-OFFSET(AV132,0,-'Tech Parameters'!$I17))</f>
        <v>0</v>
      </c>
      <c r="AW155">
        <f ca="1">IF(OR(AW$7-'Tech Parameters'!$I17&lt;2006,'Tech Parameters'!$I17=0),0,-OFFSET(AW132,0,-'Tech Parameters'!$I17))</f>
        <v>0</v>
      </c>
    </row>
    <row r="156" spans="3:49">
      <c r="C156" t="str">
        <f t="shared" si="46"/>
        <v>solar PV</v>
      </c>
      <c r="D156">
        <f ca="1">IF(D$7-'Tech Parameters'!$I18&lt;2006,0,-OFFSET(D133,0,-'Tech Parameters'!$I18))</f>
        <v>0</v>
      </c>
      <c r="E156">
        <f ca="1">IF(E$7-'Tech Parameters'!$I18&lt;2006,0,-OFFSET(E133,0,-'Tech Parameters'!$I18))</f>
        <v>0</v>
      </c>
      <c r="F156">
        <f ca="1">IF(F$7-'Tech Parameters'!$I18&lt;2006,0,-OFFSET(F133,0,-'Tech Parameters'!$I18))</f>
        <v>0</v>
      </c>
      <c r="G156">
        <f ca="1">IF(G$7-'Tech Parameters'!$I18&lt;2006,0,-OFFSET(G133,0,-'Tech Parameters'!$I18))</f>
        <v>0</v>
      </c>
      <c r="H156">
        <f ca="1">IF(H$7-'Tech Parameters'!$I18&lt;2006,0,-OFFSET(H133,0,-'Tech Parameters'!$I18))</f>
        <v>0</v>
      </c>
      <c r="I156">
        <f ca="1">IF(I$7-'Tech Parameters'!$I18&lt;2006,0,-OFFSET(I133,0,-'Tech Parameters'!$I18))</f>
        <v>0</v>
      </c>
      <c r="J156">
        <f ca="1">IF(J$7-'Tech Parameters'!$I18&lt;2006,0,-OFFSET(J133,0,-'Tech Parameters'!$I18))</f>
        <v>0</v>
      </c>
      <c r="K156">
        <f ca="1">IF(K$7-'Tech Parameters'!$I18&lt;2006,0,-OFFSET(K133,0,-'Tech Parameters'!$I18))</f>
        <v>0</v>
      </c>
      <c r="L156">
        <f ca="1">IF(L$7-'Tech Parameters'!$I18&lt;2006,0,-OFFSET(L133,0,-'Tech Parameters'!$I18))</f>
        <v>0</v>
      </c>
      <c r="M156">
        <f ca="1">IF(M$7-'Tech Parameters'!$I18&lt;2006,0,-OFFSET(M133,0,-'Tech Parameters'!$I18))</f>
        <v>0</v>
      </c>
      <c r="N156">
        <f ca="1">IF(N$7-'Tech Parameters'!$I18&lt;2006,0,-OFFSET(N133,0,-'Tech Parameters'!$I18))</f>
        <v>0</v>
      </c>
      <c r="O156">
        <f ca="1">IF(O$7-'Tech Parameters'!$I18&lt;2006,0,-OFFSET(O133,0,-'Tech Parameters'!$I18))</f>
        <v>0</v>
      </c>
      <c r="P156">
        <f ca="1">IF(P$7-'Tech Parameters'!$I18&lt;2006,0,-OFFSET(P133,0,-'Tech Parameters'!$I18))</f>
        <v>0</v>
      </c>
      <c r="Q156">
        <f ca="1">IF(Q$7-'Tech Parameters'!$I18&lt;2006,0,-OFFSET(Q133,0,-'Tech Parameters'!$I18))</f>
        <v>0</v>
      </c>
      <c r="R156">
        <f ca="1">IF(R$7-'Tech Parameters'!$I18&lt;2006,0,-OFFSET(R133,0,-'Tech Parameters'!$I18))</f>
        <v>0</v>
      </c>
      <c r="S156">
        <f ca="1">IF(S$7-'Tech Parameters'!$I18&lt;2006,0,-OFFSET(S133,0,-'Tech Parameters'!$I18))</f>
        <v>0</v>
      </c>
      <c r="T156">
        <f ca="1">IF(T$7-'Tech Parameters'!$I18&lt;2006,0,-OFFSET(T133,0,-'Tech Parameters'!$I18))</f>
        <v>0</v>
      </c>
      <c r="U156">
        <f ca="1">IF(U$7-'Tech Parameters'!$I18&lt;2006,0,-OFFSET(U133,0,-'Tech Parameters'!$I18))</f>
        <v>0</v>
      </c>
      <c r="V156">
        <f ca="1">IF(V$7-'Tech Parameters'!$I18&lt;2006,0,-OFFSET(V133,0,-'Tech Parameters'!$I18))</f>
        <v>0</v>
      </c>
      <c r="W156">
        <f ca="1">IF(W$7-'Tech Parameters'!$I18&lt;2006,0,-OFFSET(W133,0,-'Tech Parameters'!$I18))</f>
        <v>0</v>
      </c>
      <c r="X156">
        <f ca="1">IF(X$7-'Tech Parameters'!$I18&lt;2006,0,-OFFSET(X133,0,-'Tech Parameters'!$I18))</f>
        <v>0</v>
      </c>
      <c r="Y156">
        <f ca="1">IF(Y$7-'Tech Parameters'!$I18&lt;2006,0,-OFFSET(Y133,0,-'Tech Parameters'!$I18))</f>
        <v>0</v>
      </c>
      <c r="Z156">
        <f ca="1">IF(Z$7-'Tech Parameters'!$I18&lt;2006,0,-OFFSET(Z133,0,-'Tech Parameters'!$I18))</f>
        <v>0</v>
      </c>
      <c r="AA156">
        <f ca="1">IF(AA$7-'Tech Parameters'!$I18&lt;2006,0,-OFFSET(AA133,0,-'Tech Parameters'!$I18))</f>
        <v>0</v>
      </c>
      <c r="AB156">
        <f ca="1">IF(AB$7-'Tech Parameters'!$I18&lt;2006,0,-OFFSET(AB133,0,-'Tech Parameters'!$I18))</f>
        <v>0</v>
      </c>
      <c r="AC156">
        <f ca="1">IF(AC$7-'Tech Parameters'!$I18&lt;2006,0,-OFFSET(AC133,0,-'Tech Parameters'!$I18))</f>
        <v>0</v>
      </c>
      <c r="AD156">
        <f ca="1">IF(OR(AD$7-'Tech Parameters'!$I18&lt;2006,'Tech Parameters'!$I18=0),0,-OFFSET(AD133,0,-'Tech Parameters'!$I18))</f>
        <v>0</v>
      </c>
      <c r="AE156">
        <f ca="1">IF(OR(AE$7-'Tech Parameters'!$I18&lt;2006,'Tech Parameters'!$I18=0),0,-OFFSET(AE133,0,-'Tech Parameters'!$I18))</f>
        <v>0</v>
      </c>
      <c r="AF156">
        <f ca="1">IF(OR(AF$7-'Tech Parameters'!$I18&lt;2006,'Tech Parameters'!$I18=0),0,-OFFSET(AF133,0,-'Tech Parameters'!$I18))</f>
        <v>0</v>
      </c>
      <c r="AG156">
        <f ca="1">IF(OR(AG$7-'Tech Parameters'!$I18&lt;2006,'Tech Parameters'!$I18=0),0,-OFFSET(AG133,0,-'Tech Parameters'!$I18))</f>
        <v>0</v>
      </c>
      <c r="AH156">
        <f ca="1">IF(OR(AH$7-'Tech Parameters'!$I18&lt;2006,'Tech Parameters'!$I18=0),0,-OFFSET(AH133,0,-'Tech Parameters'!$I18))</f>
        <v>0</v>
      </c>
      <c r="AI156">
        <f ca="1">IF(OR(AI$7-'Tech Parameters'!$I18&lt;2006,'Tech Parameters'!$I18=0),0,-OFFSET(AI133,0,-'Tech Parameters'!$I18))</f>
        <v>0</v>
      </c>
      <c r="AJ156">
        <f ca="1">IF(OR(AJ$7-'Tech Parameters'!$I18&lt;2006,'Tech Parameters'!$I18=0),0,-OFFSET(AJ133,0,-'Tech Parameters'!$I18))</f>
        <v>0</v>
      </c>
      <c r="AK156">
        <f ca="1">IF(OR(AK$7-'Tech Parameters'!$I18&lt;2006,'Tech Parameters'!$I18=0),0,-OFFSET(AK133,0,-'Tech Parameters'!$I18))</f>
        <v>0</v>
      </c>
      <c r="AL156">
        <f ca="1">IF(OR(AL$7-'Tech Parameters'!$I18&lt;2006,'Tech Parameters'!$I18=0),0,-OFFSET(AL133,0,-'Tech Parameters'!$I18))</f>
        <v>0</v>
      </c>
      <c r="AM156">
        <f ca="1">IF(OR(AM$7-'Tech Parameters'!$I18&lt;2006,'Tech Parameters'!$I18=0),0,-OFFSET(AM133,0,-'Tech Parameters'!$I18))</f>
        <v>0</v>
      </c>
      <c r="AN156">
        <f ca="1">IF(OR(AN$7-'Tech Parameters'!$I18&lt;2006,'Tech Parameters'!$I18=0),0,-OFFSET(AN133,0,-'Tech Parameters'!$I18))</f>
        <v>0</v>
      </c>
      <c r="AO156">
        <f ca="1">IF(OR(AO$7-'Tech Parameters'!$I18&lt;2006,'Tech Parameters'!$I18=0),0,-OFFSET(AO133,0,-'Tech Parameters'!$I18))</f>
        <v>0</v>
      </c>
      <c r="AP156">
        <f ca="1">IF(OR(AP$7-'Tech Parameters'!$I18&lt;2006,'Tech Parameters'!$I18=0),0,-OFFSET(AP133,0,-'Tech Parameters'!$I18))</f>
        <v>0</v>
      </c>
      <c r="AQ156">
        <f ca="1">IF(OR(AQ$7-'Tech Parameters'!$I18&lt;2006,'Tech Parameters'!$I18=0),0,-OFFSET(AQ133,0,-'Tech Parameters'!$I18))</f>
        <v>0</v>
      </c>
      <c r="AR156">
        <f ca="1">IF(OR(AR$7-'Tech Parameters'!$I18&lt;2006,'Tech Parameters'!$I18=0),0,-OFFSET(AR133,0,-'Tech Parameters'!$I18))</f>
        <v>0</v>
      </c>
      <c r="AS156">
        <f ca="1">IF(OR(AS$7-'Tech Parameters'!$I18&lt;2006,'Tech Parameters'!$I18=0),0,-OFFSET(AS133,0,-'Tech Parameters'!$I18))</f>
        <v>0</v>
      </c>
      <c r="AT156">
        <f ca="1">IF(OR(AT$7-'Tech Parameters'!$I18&lt;2006,'Tech Parameters'!$I18=0),0,-OFFSET(AT133,0,-'Tech Parameters'!$I18))</f>
        <v>0</v>
      </c>
      <c r="AU156">
        <f ca="1">IF(OR(AU$7-'Tech Parameters'!$I18&lt;2006,'Tech Parameters'!$I18=0),0,-OFFSET(AU133,0,-'Tech Parameters'!$I18))</f>
        <v>0</v>
      </c>
      <c r="AV156">
        <f ca="1">IF(OR(AV$7-'Tech Parameters'!$I18&lt;2006,'Tech Parameters'!$I18=0),0,-OFFSET(AV133,0,-'Tech Parameters'!$I18))</f>
        <v>0</v>
      </c>
      <c r="AW156">
        <f ca="1">IF(OR(AW$7-'Tech Parameters'!$I18&lt;2006,'Tech Parameters'!$I18=0),0,-OFFSET(AW133,0,-'Tech Parameters'!$I18))</f>
        <v>0</v>
      </c>
    </row>
    <row r="157" spans="3:49">
      <c r="C157" t="str">
        <f t="shared" si="46"/>
        <v>combined cycle gas</v>
      </c>
      <c r="D157">
        <f ca="1">IF(D$7-'Tech Parameters'!$I19&lt;2006,0,-OFFSET(D134,0,-'Tech Parameters'!$I19))</f>
        <v>0</v>
      </c>
      <c r="E157">
        <f ca="1">IF(E$7-'Tech Parameters'!$I19&lt;2006,0,-OFFSET(E134,0,-'Tech Parameters'!$I19))</f>
        <v>0</v>
      </c>
      <c r="F157">
        <f ca="1">IF(F$7-'Tech Parameters'!$I19&lt;2006,0,-OFFSET(F134,0,-'Tech Parameters'!$I19))</f>
        <v>0</v>
      </c>
      <c r="G157">
        <f ca="1">IF(G$7-'Tech Parameters'!$I19&lt;2006,0,-OFFSET(G134,0,-'Tech Parameters'!$I19))</f>
        <v>0</v>
      </c>
      <c r="H157">
        <f ca="1">IF(H$7-'Tech Parameters'!$I19&lt;2006,0,-OFFSET(H134,0,-'Tech Parameters'!$I19))</f>
        <v>0</v>
      </c>
      <c r="I157">
        <f ca="1">IF(I$7-'Tech Parameters'!$I19&lt;2006,0,-OFFSET(I134,0,-'Tech Parameters'!$I19))</f>
        <v>0</v>
      </c>
      <c r="J157">
        <f ca="1">IF(J$7-'Tech Parameters'!$I19&lt;2006,0,-OFFSET(J134,0,-'Tech Parameters'!$I19))</f>
        <v>0</v>
      </c>
      <c r="K157">
        <f ca="1">IF(K$7-'Tech Parameters'!$I19&lt;2006,0,-OFFSET(K134,0,-'Tech Parameters'!$I19))</f>
        <v>0</v>
      </c>
      <c r="L157">
        <f ca="1">IF(L$7-'Tech Parameters'!$I19&lt;2006,0,-OFFSET(L134,0,-'Tech Parameters'!$I19))</f>
        <v>0</v>
      </c>
      <c r="M157">
        <f ca="1">IF(M$7-'Tech Parameters'!$I19&lt;2006,0,-OFFSET(M134,0,-'Tech Parameters'!$I19))</f>
        <v>0</v>
      </c>
      <c r="N157">
        <f ca="1">IF(N$7-'Tech Parameters'!$I19&lt;2006,0,-OFFSET(N134,0,-'Tech Parameters'!$I19))</f>
        <v>0</v>
      </c>
      <c r="O157">
        <f ca="1">IF(O$7-'Tech Parameters'!$I19&lt;2006,0,-OFFSET(O134,0,-'Tech Parameters'!$I19))</f>
        <v>0</v>
      </c>
      <c r="P157">
        <f ca="1">IF(P$7-'Tech Parameters'!$I19&lt;2006,0,-OFFSET(P134,0,-'Tech Parameters'!$I19))</f>
        <v>0</v>
      </c>
      <c r="Q157">
        <f ca="1">IF(Q$7-'Tech Parameters'!$I19&lt;2006,0,-OFFSET(Q134,0,-'Tech Parameters'!$I19))</f>
        <v>0</v>
      </c>
      <c r="R157">
        <f ca="1">IF(R$7-'Tech Parameters'!$I19&lt;2006,0,-OFFSET(R134,0,-'Tech Parameters'!$I19))</f>
        <v>0</v>
      </c>
      <c r="S157">
        <f ca="1">IF(S$7-'Tech Parameters'!$I19&lt;2006,0,-OFFSET(S134,0,-'Tech Parameters'!$I19))</f>
        <v>0</v>
      </c>
      <c r="T157">
        <f ca="1">IF(T$7-'Tech Parameters'!$I19&lt;2006,0,-OFFSET(T134,0,-'Tech Parameters'!$I19))</f>
        <v>0</v>
      </c>
      <c r="U157">
        <f ca="1">IF(U$7-'Tech Parameters'!$I19&lt;2006,0,-OFFSET(U134,0,-'Tech Parameters'!$I19))</f>
        <v>0</v>
      </c>
      <c r="V157">
        <f ca="1">IF(V$7-'Tech Parameters'!$I19&lt;2006,0,-OFFSET(V134,0,-'Tech Parameters'!$I19))</f>
        <v>0</v>
      </c>
      <c r="W157">
        <f ca="1">IF(W$7-'Tech Parameters'!$I19&lt;2006,0,-OFFSET(W134,0,-'Tech Parameters'!$I19))</f>
        <v>0</v>
      </c>
      <c r="X157">
        <f ca="1">IF(X$7-'Tech Parameters'!$I19&lt;2006,0,-OFFSET(X134,0,-'Tech Parameters'!$I19))</f>
        <v>0</v>
      </c>
      <c r="Y157">
        <f ca="1">IF(Y$7-'Tech Parameters'!$I19&lt;2006,0,-OFFSET(Y134,0,-'Tech Parameters'!$I19))</f>
        <v>0</v>
      </c>
      <c r="Z157">
        <f ca="1">IF(Z$7-'Tech Parameters'!$I19&lt;2006,0,-OFFSET(Z134,0,-'Tech Parameters'!$I19))</f>
        <v>0</v>
      </c>
      <c r="AA157">
        <f ca="1">IF(AA$7-'Tech Parameters'!$I19&lt;2006,0,-OFFSET(AA134,0,-'Tech Parameters'!$I19))</f>
        <v>0</v>
      </c>
      <c r="AB157">
        <f ca="1">IF(AB$7-'Tech Parameters'!$I19&lt;2006,0,-OFFSET(AB134,0,-'Tech Parameters'!$I19))</f>
        <v>0</v>
      </c>
      <c r="AC157">
        <f ca="1">IF(AC$7-'Tech Parameters'!$I19&lt;2006,0,-OFFSET(AC134,0,-'Tech Parameters'!$I19))</f>
        <v>0</v>
      </c>
      <c r="AD157">
        <f ca="1">IF(OR(AD$7-'Tech Parameters'!$I19&lt;2006,'Tech Parameters'!$I19=0),0,-OFFSET(AD134,0,-'Tech Parameters'!$I19))</f>
        <v>0</v>
      </c>
      <c r="AE157">
        <f ca="1">IF(OR(AE$7-'Tech Parameters'!$I19&lt;2006,'Tech Parameters'!$I19=0),0,-OFFSET(AE134,0,-'Tech Parameters'!$I19))</f>
        <v>0</v>
      </c>
      <c r="AF157">
        <f ca="1">IF(OR(AF$7-'Tech Parameters'!$I19&lt;2006,'Tech Parameters'!$I19=0),0,-OFFSET(AF134,0,-'Tech Parameters'!$I19))</f>
        <v>0</v>
      </c>
      <c r="AG157">
        <f ca="1">IF(OR(AG$7-'Tech Parameters'!$I19&lt;2006,'Tech Parameters'!$I19=0),0,-OFFSET(AG134,0,-'Tech Parameters'!$I19))</f>
        <v>0</v>
      </c>
      <c r="AH157">
        <f ca="1">IF(OR(AH$7-'Tech Parameters'!$I19&lt;2006,'Tech Parameters'!$I19=0),0,-OFFSET(AH134,0,-'Tech Parameters'!$I19))</f>
        <v>0</v>
      </c>
      <c r="AI157">
        <f ca="1">IF(OR(AI$7-'Tech Parameters'!$I19&lt;2006,'Tech Parameters'!$I19=0),0,-OFFSET(AI134,0,-'Tech Parameters'!$I19))</f>
        <v>0</v>
      </c>
      <c r="AJ157">
        <f ca="1">IF(OR(AJ$7-'Tech Parameters'!$I19&lt;2006,'Tech Parameters'!$I19=0),0,-OFFSET(AJ134,0,-'Tech Parameters'!$I19))</f>
        <v>0</v>
      </c>
      <c r="AK157">
        <f ca="1">IF(OR(AK$7-'Tech Parameters'!$I19&lt;2006,'Tech Parameters'!$I19=0),0,-OFFSET(AK134,0,-'Tech Parameters'!$I19))</f>
        <v>0</v>
      </c>
      <c r="AL157">
        <f ca="1">IF(OR(AL$7-'Tech Parameters'!$I19&lt;2006,'Tech Parameters'!$I19=0),0,-OFFSET(AL134,0,-'Tech Parameters'!$I19))</f>
        <v>0</v>
      </c>
      <c r="AM157">
        <f ca="1">IF(OR(AM$7-'Tech Parameters'!$I19&lt;2006,'Tech Parameters'!$I19=0),0,-OFFSET(AM134,0,-'Tech Parameters'!$I19))</f>
        <v>0</v>
      </c>
      <c r="AN157">
        <f ca="1">IF(OR(AN$7-'Tech Parameters'!$I19&lt;2006,'Tech Parameters'!$I19=0),0,-OFFSET(AN134,0,-'Tech Parameters'!$I19))</f>
        <v>0</v>
      </c>
      <c r="AO157">
        <f ca="1">IF(OR(AO$7-'Tech Parameters'!$I19&lt;2006,'Tech Parameters'!$I19=0),0,-OFFSET(AO134,0,-'Tech Parameters'!$I19))</f>
        <v>0</v>
      </c>
      <c r="AP157">
        <f ca="1">IF(OR(AP$7-'Tech Parameters'!$I19&lt;2006,'Tech Parameters'!$I19=0),0,-OFFSET(AP134,0,-'Tech Parameters'!$I19))</f>
        <v>0</v>
      </c>
      <c r="AQ157">
        <f ca="1">IF(OR(AQ$7-'Tech Parameters'!$I19&lt;2006,'Tech Parameters'!$I19=0),0,-OFFSET(AQ134,0,-'Tech Parameters'!$I19))</f>
        <v>0</v>
      </c>
      <c r="AR157">
        <f ca="1">IF(OR(AR$7-'Tech Parameters'!$I19&lt;2006,'Tech Parameters'!$I19=0),0,-OFFSET(AR134,0,-'Tech Parameters'!$I19))</f>
        <v>0</v>
      </c>
      <c r="AS157">
        <f ca="1">IF(OR(AS$7-'Tech Parameters'!$I19&lt;2006,'Tech Parameters'!$I19=0),0,-OFFSET(AS134,0,-'Tech Parameters'!$I19))</f>
        <v>0</v>
      </c>
      <c r="AT157">
        <f ca="1">IF(OR(AT$7-'Tech Parameters'!$I19&lt;2006,'Tech Parameters'!$I19=0),0,-OFFSET(AT134,0,-'Tech Parameters'!$I19))</f>
        <v>0</v>
      </c>
      <c r="AU157">
        <f ca="1">IF(OR(AU$7-'Tech Parameters'!$I19&lt;2006,'Tech Parameters'!$I19=0),0,-OFFSET(AU134,0,-'Tech Parameters'!$I19))</f>
        <v>0</v>
      </c>
      <c r="AV157">
        <f ca="1">IF(OR(AV$7-'Tech Parameters'!$I19&lt;2006,'Tech Parameters'!$I19=0),0,-OFFSET(AV134,0,-'Tech Parameters'!$I19))</f>
        <v>0</v>
      </c>
      <c r="AW157">
        <f ca="1">IF(OR(AW$7-'Tech Parameters'!$I19&lt;2006,'Tech Parameters'!$I19=0),0,-OFFSET(AW134,0,-'Tech Parameters'!$I19))</f>
        <v>0</v>
      </c>
    </row>
    <row r="158" spans="3:49">
      <c r="C158" t="str">
        <f t="shared" si="46"/>
        <v>PBMR</v>
      </c>
      <c r="D158">
        <f ca="1">IF(D$7-'Tech Parameters'!$I20&lt;2006,0,-OFFSET(D135,0,-'Tech Parameters'!$I20))</f>
        <v>0</v>
      </c>
      <c r="E158">
        <f ca="1">IF(E$7-'Tech Parameters'!$I20&lt;2006,0,-OFFSET(E135,0,-'Tech Parameters'!$I20))</f>
        <v>0</v>
      </c>
      <c r="F158">
        <f ca="1">IF(F$7-'Tech Parameters'!$I20&lt;2006,0,-OFFSET(F135,0,-'Tech Parameters'!$I20))</f>
        <v>0</v>
      </c>
      <c r="G158">
        <f ca="1">IF(G$7-'Tech Parameters'!$I20&lt;2006,0,-OFFSET(G135,0,-'Tech Parameters'!$I20))</f>
        <v>0</v>
      </c>
      <c r="H158">
        <f ca="1">IF(H$7-'Tech Parameters'!$I20&lt;2006,0,-OFFSET(H135,0,-'Tech Parameters'!$I20))</f>
        <v>0</v>
      </c>
      <c r="I158">
        <f ca="1">IF(I$7-'Tech Parameters'!$I20&lt;2006,0,-OFFSET(I135,0,-'Tech Parameters'!$I20))</f>
        <v>0</v>
      </c>
      <c r="J158">
        <f ca="1">IF(J$7-'Tech Parameters'!$I20&lt;2006,0,-OFFSET(J135,0,-'Tech Parameters'!$I20))</f>
        <v>0</v>
      </c>
      <c r="K158">
        <f ca="1">IF(K$7-'Tech Parameters'!$I20&lt;2006,0,-OFFSET(K135,0,-'Tech Parameters'!$I20))</f>
        <v>0</v>
      </c>
      <c r="L158">
        <f ca="1">IF(L$7-'Tech Parameters'!$I20&lt;2006,0,-OFFSET(L135,0,-'Tech Parameters'!$I20))</f>
        <v>0</v>
      </c>
      <c r="M158">
        <f ca="1">IF(M$7-'Tech Parameters'!$I20&lt;2006,0,-OFFSET(M135,0,-'Tech Parameters'!$I20))</f>
        <v>0</v>
      </c>
      <c r="N158">
        <f ca="1">IF(N$7-'Tech Parameters'!$I20&lt;2006,0,-OFFSET(N135,0,-'Tech Parameters'!$I20))</f>
        <v>0</v>
      </c>
      <c r="O158">
        <f ca="1">IF(O$7-'Tech Parameters'!$I20&lt;2006,0,-OFFSET(O135,0,-'Tech Parameters'!$I20))</f>
        <v>0</v>
      </c>
      <c r="P158">
        <f ca="1">IF(P$7-'Tech Parameters'!$I20&lt;2006,0,-OFFSET(P135,0,-'Tech Parameters'!$I20))</f>
        <v>0</v>
      </c>
      <c r="Q158">
        <f ca="1">IF(Q$7-'Tech Parameters'!$I20&lt;2006,0,-OFFSET(Q135,0,-'Tech Parameters'!$I20))</f>
        <v>0</v>
      </c>
      <c r="R158">
        <f ca="1">IF(R$7-'Tech Parameters'!$I20&lt;2006,0,-OFFSET(R135,0,-'Tech Parameters'!$I20))</f>
        <v>0</v>
      </c>
      <c r="S158">
        <f ca="1">IF(S$7-'Tech Parameters'!$I20&lt;2006,0,-OFFSET(S135,0,-'Tech Parameters'!$I20))</f>
        <v>0</v>
      </c>
      <c r="T158">
        <f ca="1">IF(T$7-'Tech Parameters'!$I20&lt;2006,0,-OFFSET(T135,0,-'Tech Parameters'!$I20))</f>
        <v>0</v>
      </c>
      <c r="U158">
        <f ca="1">IF(U$7-'Tech Parameters'!$I20&lt;2006,0,-OFFSET(U135,0,-'Tech Parameters'!$I20))</f>
        <v>0</v>
      </c>
      <c r="V158">
        <f ca="1">IF(V$7-'Tech Parameters'!$I20&lt;2006,0,-OFFSET(V135,0,-'Tech Parameters'!$I20))</f>
        <v>0</v>
      </c>
      <c r="W158">
        <f ca="1">IF(W$7-'Tech Parameters'!$I20&lt;2006,0,-OFFSET(W135,0,-'Tech Parameters'!$I20))</f>
        <v>0</v>
      </c>
      <c r="X158">
        <f ca="1">IF(X$7-'Tech Parameters'!$I20&lt;2006,0,-OFFSET(X135,0,-'Tech Parameters'!$I20))</f>
        <v>0</v>
      </c>
      <c r="Y158">
        <f ca="1">IF(Y$7-'Tech Parameters'!$I20&lt;2006,0,-OFFSET(Y135,0,-'Tech Parameters'!$I20))</f>
        <v>0</v>
      </c>
      <c r="Z158">
        <f ca="1">IF(Z$7-'Tech Parameters'!$I20&lt;2006,0,-OFFSET(Z135,0,-'Tech Parameters'!$I20))</f>
        <v>0</v>
      </c>
      <c r="AA158">
        <f ca="1">IF(AA$7-'Tech Parameters'!$I20&lt;2006,0,-OFFSET(AA135,0,-'Tech Parameters'!$I20))</f>
        <v>0</v>
      </c>
      <c r="AB158">
        <f ca="1">IF(AB$7-'Tech Parameters'!$I20&lt;2006,0,-OFFSET(AB135,0,-'Tech Parameters'!$I20))</f>
        <v>0</v>
      </c>
      <c r="AC158">
        <f ca="1">IF(AC$7-'Tech Parameters'!$I20&lt;2006,0,-OFFSET(AC135,0,-'Tech Parameters'!$I20))</f>
        <v>0</v>
      </c>
      <c r="AD158">
        <f ca="1">IF(OR(AD$7-'Tech Parameters'!$I20&lt;2006,'Tech Parameters'!$I20=0),0,-OFFSET(AD135,0,-'Tech Parameters'!$I20))</f>
        <v>0</v>
      </c>
      <c r="AE158">
        <f ca="1">IF(OR(AE$7-'Tech Parameters'!$I20&lt;2006,'Tech Parameters'!$I20=0),0,-OFFSET(AE135,0,-'Tech Parameters'!$I20))</f>
        <v>0</v>
      </c>
      <c r="AF158">
        <f ca="1">IF(OR(AF$7-'Tech Parameters'!$I20&lt;2006,'Tech Parameters'!$I20=0),0,-OFFSET(AF135,0,-'Tech Parameters'!$I20))</f>
        <v>0</v>
      </c>
      <c r="AG158">
        <f ca="1">IF(OR(AG$7-'Tech Parameters'!$I20&lt;2006,'Tech Parameters'!$I20=0),0,-OFFSET(AG135,0,-'Tech Parameters'!$I20))</f>
        <v>0</v>
      </c>
      <c r="AH158">
        <f ca="1">IF(OR(AH$7-'Tech Parameters'!$I20&lt;2006,'Tech Parameters'!$I20=0),0,-OFFSET(AH135,0,-'Tech Parameters'!$I20))</f>
        <v>0</v>
      </c>
      <c r="AI158">
        <f ca="1">IF(OR(AI$7-'Tech Parameters'!$I20&lt;2006,'Tech Parameters'!$I20=0),0,-OFFSET(AI135,0,-'Tech Parameters'!$I20))</f>
        <v>0</v>
      </c>
      <c r="AJ158">
        <f ca="1">IF(OR(AJ$7-'Tech Parameters'!$I20&lt;2006,'Tech Parameters'!$I20=0),0,-OFFSET(AJ135,0,-'Tech Parameters'!$I20))</f>
        <v>0</v>
      </c>
      <c r="AK158">
        <f ca="1">IF(OR(AK$7-'Tech Parameters'!$I20&lt;2006,'Tech Parameters'!$I20=0),0,-OFFSET(AK135,0,-'Tech Parameters'!$I20))</f>
        <v>0</v>
      </c>
      <c r="AL158">
        <f ca="1">IF(OR(AL$7-'Tech Parameters'!$I20&lt;2006,'Tech Parameters'!$I20=0),0,-OFFSET(AL135,0,-'Tech Parameters'!$I20))</f>
        <v>0</v>
      </c>
      <c r="AM158">
        <f ca="1">IF(OR(AM$7-'Tech Parameters'!$I20&lt;2006,'Tech Parameters'!$I20=0),0,-OFFSET(AM135,0,-'Tech Parameters'!$I20))</f>
        <v>0</v>
      </c>
      <c r="AN158">
        <f ca="1">IF(OR(AN$7-'Tech Parameters'!$I20&lt;2006,'Tech Parameters'!$I20=0),0,-OFFSET(AN135,0,-'Tech Parameters'!$I20))</f>
        <v>0</v>
      </c>
      <c r="AO158">
        <f ca="1">IF(OR(AO$7-'Tech Parameters'!$I20&lt;2006,'Tech Parameters'!$I20=0),0,-OFFSET(AO135,0,-'Tech Parameters'!$I20))</f>
        <v>0</v>
      </c>
      <c r="AP158">
        <f ca="1">IF(OR(AP$7-'Tech Parameters'!$I20&lt;2006,'Tech Parameters'!$I20=0),0,-OFFSET(AP135,0,-'Tech Parameters'!$I20))</f>
        <v>0</v>
      </c>
      <c r="AQ158">
        <f ca="1">IF(OR(AQ$7-'Tech Parameters'!$I20&lt;2006,'Tech Parameters'!$I20=0),0,-OFFSET(AQ135,0,-'Tech Parameters'!$I20))</f>
        <v>0</v>
      </c>
      <c r="AR158">
        <f ca="1">IF(OR(AR$7-'Tech Parameters'!$I20&lt;2006,'Tech Parameters'!$I20=0),0,-OFFSET(AR135,0,-'Tech Parameters'!$I20))</f>
        <v>0</v>
      </c>
      <c r="AS158">
        <f ca="1">IF(OR(AS$7-'Tech Parameters'!$I20&lt;2006,'Tech Parameters'!$I20=0),0,-OFFSET(AS135,0,-'Tech Parameters'!$I20))</f>
        <v>0</v>
      </c>
      <c r="AT158">
        <f ca="1">IF(OR(AT$7-'Tech Parameters'!$I20&lt;2006,'Tech Parameters'!$I20=0),0,-OFFSET(AT135,0,-'Tech Parameters'!$I20))</f>
        <v>0</v>
      </c>
      <c r="AU158">
        <f ca="1">IF(OR(AU$7-'Tech Parameters'!$I20&lt;2006,'Tech Parameters'!$I20=0),0,-OFFSET(AU135,0,-'Tech Parameters'!$I20))</f>
        <v>0</v>
      </c>
      <c r="AV158">
        <f ca="1">IF(OR(AV$7-'Tech Parameters'!$I20&lt;2006,'Tech Parameters'!$I20=0),0,-OFFSET(AV135,0,-'Tech Parameters'!$I20))</f>
        <v>0</v>
      </c>
      <c r="AW158">
        <f ca="1">IF(OR(AW$7-'Tech Parameters'!$I20&lt;2006,'Tech Parameters'!$I20=0),0,-OFFSET(AW135,0,-'Tech Parameters'!$I20))</f>
        <v>0</v>
      </c>
    </row>
    <row r="159" spans="3:49">
      <c r="C159" t="str">
        <f t="shared" si="46"/>
        <v>IGCC</v>
      </c>
      <c r="D159">
        <f ca="1">IF(D$7-'Tech Parameters'!$I21&lt;2006,0,-OFFSET(D136,0,-'Tech Parameters'!$I21))</f>
        <v>0</v>
      </c>
      <c r="E159">
        <f ca="1">IF(E$7-'Tech Parameters'!$I21&lt;2006,0,-OFFSET(E136,0,-'Tech Parameters'!$I21))</f>
        <v>0</v>
      </c>
      <c r="F159">
        <f ca="1">IF(F$7-'Tech Parameters'!$I21&lt;2006,0,-OFFSET(F136,0,-'Tech Parameters'!$I21))</f>
        <v>0</v>
      </c>
      <c r="G159">
        <f ca="1">IF(G$7-'Tech Parameters'!$I21&lt;2006,0,-OFFSET(G136,0,-'Tech Parameters'!$I21))</f>
        <v>0</v>
      </c>
      <c r="H159">
        <f ca="1">IF(H$7-'Tech Parameters'!$I21&lt;2006,0,-OFFSET(H136,0,-'Tech Parameters'!$I21))</f>
        <v>0</v>
      </c>
      <c r="I159">
        <f ca="1">IF(I$7-'Tech Parameters'!$I21&lt;2006,0,-OFFSET(I136,0,-'Tech Parameters'!$I21))</f>
        <v>0</v>
      </c>
      <c r="J159">
        <f ca="1">IF(J$7-'Tech Parameters'!$I21&lt;2006,0,-OFFSET(J136,0,-'Tech Parameters'!$I21))</f>
        <v>0</v>
      </c>
      <c r="K159">
        <f ca="1">IF(K$7-'Tech Parameters'!$I21&lt;2006,0,-OFFSET(K136,0,-'Tech Parameters'!$I21))</f>
        <v>0</v>
      </c>
      <c r="L159">
        <f ca="1">IF(L$7-'Tech Parameters'!$I21&lt;2006,0,-OFFSET(L136,0,-'Tech Parameters'!$I21))</f>
        <v>0</v>
      </c>
      <c r="M159">
        <f ca="1">IF(M$7-'Tech Parameters'!$I21&lt;2006,0,-OFFSET(M136,0,-'Tech Parameters'!$I21))</f>
        <v>0</v>
      </c>
      <c r="N159">
        <f ca="1">IF(N$7-'Tech Parameters'!$I21&lt;2006,0,-OFFSET(N136,0,-'Tech Parameters'!$I21))</f>
        <v>0</v>
      </c>
      <c r="O159">
        <f ca="1">IF(O$7-'Tech Parameters'!$I21&lt;2006,0,-OFFSET(O136,0,-'Tech Parameters'!$I21))</f>
        <v>0</v>
      </c>
      <c r="P159">
        <f ca="1">IF(P$7-'Tech Parameters'!$I21&lt;2006,0,-OFFSET(P136,0,-'Tech Parameters'!$I21))</f>
        <v>0</v>
      </c>
      <c r="Q159">
        <f ca="1">IF(Q$7-'Tech Parameters'!$I21&lt;2006,0,-OFFSET(Q136,0,-'Tech Parameters'!$I21))</f>
        <v>0</v>
      </c>
      <c r="R159">
        <f ca="1">IF(R$7-'Tech Parameters'!$I21&lt;2006,0,-OFFSET(R136,0,-'Tech Parameters'!$I21))</f>
        <v>0</v>
      </c>
      <c r="S159">
        <f ca="1">IF(S$7-'Tech Parameters'!$I21&lt;2006,0,-OFFSET(S136,0,-'Tech Parameters'!$I21))</f>
        <v>0</v>
      </c>
      <c r="T159">
        <f ca="1">IF(T$7-'Tech Parameters'!$I21&lt;2006,0,-OFFSET(T136,0,-'Tech Parameters'!$I21))</f>
        <v>0</v>
      </c>
      <c r="U159">
        <f ca="1">IF(U$7-'Tech Parameters'!$I21&lt;2006,0,-OFFSET(U136,0,-'Tech Parameters'!$I21))</f>
        <v>0</v>
      </c>
      <c r="V159">
        <f ca="1">IF(V$7-'Tech Parameters'!$I21&lt;2006,0,-OFFSET(V136,0,-'Tech Parameters'!$I21))</f>
        <v>0</v>
      </c>
      <c r="W159">
        <f ca="1">IF(W$7-'Tech Parameters'!$I21&lt;2006,0,-OFFSET(W136,0,-'Tech Parameters'!$I21))</f>
        <v>0</v>
      </c>
      <c r="X159">
        <f ca="1">IF(X$7-'Tech Parameters'!$I21&lt;2006,0,-OFFSET(X136,0,-'Tech Parameters'!$I21))</f>
        <v>0</v>
      </c>
      <c r="Y159">
        <f ca="1">IF(Y$7-'Tech Parameters'!$I21&lt;2006,0,-OFFSET(Y136,0,-'Tech Parameters'!$I21))</f>
        <v>0</v>
      </c>
      <c r="Z159">
        <f ca="1">IF(Z$7-'Tech Parameters'!$I21&lt;2006,0,-OFFSET(Z136,0,-'Tech Parameters'!$I21))</f>
        <v>0</v>
      </c>
      <c r="AA159">
        <f ca="1">IF(AA$7-'Tech Parameters'!$I21&lt;2006,0,-OFFSET(AA136,0,-'Tech Parameters'!$I21))</f>
        <v>0</v>
      </c>
      <c r="AB159">
        <f ca="1">IF(AB$7-'Tech Parameters'!$I21&lt;2006,0,-OFFSET(AB136,0,-'Tech Parameters'!$I21))</f>
        <v>0</v>
      </c>
      <c r="AC159">
        <f ca="1">IF(AC$7-'Tech Parameters'!$I21&lt;2006,0,-OFFSET(AC136,0,-'Tech Parameters'!$I21))</f>
        <v>0</v>
      </c>
      <c r="AD159">
        <f ca="1">IF(OR(AD$7-'Tech Parameters'!$I21&lt;2006,'Tech Parameters'!$I21=0),0,-OFFSET(AD136,0,-'Tech Parameters'!$I21))</f>
        <v>0</v>
      </c>
      <c r="AE159">
        <f ca="1">IF(OR(AE$7-'Tech Parameters'!$I21&lt;2006,'Tech Parameters'!$I21=0),0,-OFFSET(AE136,0,-'Tech Parameters'!$I21))</f>
        <v>0</v>
      </c>
      <c r="AF159">
        <f ca="1">IF(OR(AF$7-'Tech Parameters'!$I21&lt;2006,'Tech Parameters'!$I21=0),0,-OFFSET(AF136,0,-'Tech Parameters'!$I21))</f>
        <v>0</v>
      </c>
      <c r="AG159">
        <f ca="1">IF(OR(AG$7-'Tech Parameters'!$I21&lt;2006,'Tech Parameters'!$I21=0),0,-OFFSET(AG136,0,-'Tech Parameters'!$I21))</f>
        <v>0</v>
      </c>
      <c r="AH159">
        <f ca="1">IF(OR(AH$7-'Tech Parameters'!$I21&lt;2006,'Tech Parameters'!$I21=0),0,-OFFSET(AH136,0,-'Tech Parameters'!$I21))</f>
        <v>0</v>
      </c>
      <c r="AI159">
        <f ca="1">IF(OR(AI$7-'Tech Parameters'!$I21&lt;2006,'Tech Parameters'!$I21=0),0,-OFFSET(AI136,0,-'Tech Parameters'!$I21))</f>
        <v>0</v>
      </c>
      <c r="AJ159">
        <f ca="1">IF(OR(AJ$7-'Tech Parameters'!$I21&lt;2006,'Tech Parameters'!$I21=0),0,-OFFSET(AJ136,0,-'Tech Parameters'!$I21))</f>
        <v>0</v>
      </c>
      <c r="AK159">
        <f ca="1">IF(OR(AK$7-'Tech Parameters'!$I21&lt;2006,'Tech Parameters'!$I21=0),0,-OFFSET(AK136,0,-'Tech Parameters'!$I21))</f>
        <v>0</v>
      </c>
      <c r="AL159">
        <f ca="1">IF(OR(AL$7-'Tech Parameters'!$I21&lt;2006,'Tech Parameters'!$I21=0),0,-OFFSET(AL136,0,-'Tech Parameters'!$I21))</f>
        <v>0</v>
      </c>
      <c r="AM159">
        <f ca="1">IF(OR(AM$7-'Tech Parameters'!$I21&lt;2006,'Tech Parameters'!$I21=0),0,-OFFSET(AM136,0,-'Tech Parameters'!$I21))</f>
        <v>0</v>
      </c>
      <c r="AN159">
        <f ca="1">IF(OR(AN$7-'Tech Parameters'!$I21&lt;2006,'Tech Parameters'!$I21=0),0,-OFFSET(AN136,0,-'Tech Parameters'!$I21))</f>
        <v>0</v>
      </c>
      <c r="AO159">
        <f ca="1">IF(OR(AO$7-'Tech Parameters'!$I21&lt;2006,'Tech Parameters'!$I21=0),0,-OFFSET(AO136,0,-'Tech Parameters'!$I21))</f>
        <v>0</v>
      </c>
      <c r="AP159">
        <f ca="1">IF(OR(AP$7-'Tech Parameters'!$I21&lt;2006,'Tech Parameters'!$I21=0),0,-OFFSET(AP136,0,-'Tech Parameters'!$I21))</f>
        <v>0</v>
      </c>
      <c r="AQ159">
        <f ca="1">IF(OR(AQ$7-'Tech Parameters'!$I21&lt;2006,'Tech Parameters'!$I21=0),0,-OFFSET(AQ136,0,-'Tech Parameters'!$I21))</f>
        <v>0</v>
      </c>
      <c r="AR159">
        <f ca="1">IF(OR(AR$7-'Tech Parameters'!$I21&lt;2006,'Tech Parameters'!$I21=0),0,-OFFSET(AR136,0,-'Tech Parameters'!$I21))</f>
        <v>0</v>
      </c>
      <c r="AS159">
        <f ca="1">IF(OR(AS$7-'Tech Parameters'!$I21&lt;2006,'Tech Parameters'!$I21=0),0,-OFFSET(AS136,0,-'Tech Parameters'!$I21))</f>
        <v>0</v>
      </c>
      <c r="AT159">
        <f ca="1">IF(OR(AT$7-'Tech Parameters'!$I21&lt;2006,'Tech Parameters'!$I21=0),0,-OFFSET(AT136,0,-'Tech Parameters'!$I21))</f>
        <v>0</v>
      </c>
      <c r="AU159">
        <f ca="1">IF(OR(AU$7-'Tech Parameters'!$I21&lt;2006,'Tech Parameters'!$I21=0),0,-OFFSET(AU136,0,-'Tech Parameters'!$I21))</f>
        <v>0</v>
      </c>
      <c r="AV159">
        <f ca="1">IF(OR(AV$7-'Tech Parameters'!$I21&lt;2006,'Tech Parameters'!$I21=0),0,-OFFSET(AV136,0,-'Tech Parameters'!$I21))</f>
        <v>0</v>
      </c>
      <c r="AW159">
        <f ca="1">IF(OR(AW$7-'Tech Parameters'!$I21&lt;2006,'Tech Parameters'!$I21=0),0,-OFFSET(AW136,0,-'Tech Parameters'!$I21))</f>
        <v>0</v>
      </c>
    </row>
    <row r="160" spans="3:49">
      <c r="C160" t="str">
        <f t="shared" si="46"/>
        <v>-</v>
      </c>
      <c r="D160">
        <f ca="1">IF(D$7-'Tech Parameters'!$I22&lt;2006,0,-OFFSET(D137,0,-'Tech Parameters'!$I22))</f>
        <v>0</v>
      </c>
      <c r="E160">
        <f ca="1">IF(E$7-'Tech Parameters'!$I22&lt;2006,0,-OFFSET(E137,0,-'Tech Parameters'!$I22))</f>
        <v>0</v>
      </c>
      <c r="F160">
        <f ca="1">IF(F$7-'Tech Parameters'!$I22&lt;2006,0,-OFFSET(F137,0,-'Tech Parameters'!$I22))</f>
        <v>0</v>
      </c>
      <c r="G160">
        <f ca="1">IF(G$7-'Tech Parameters'!$I22&lt;2006,0,-OFFSET(G137,0,-'Tech Parameters'!$I22))</f>
        <v>0</v>
      </c>
      <c r="H160">
        <f ca="1">IF(H$7-'Tech Parameters'!$I22&lt;2006,0,-OFFSET(H137,0,-'Tech Parameters'!$I22))</f>
        <v>0</v>
      </c>
      <c r="I160">
        <f ca="1">IF(I$7-'Tech Parameters'!$I22&lt;2006,0,-OFFSET(I137,0,-'Tech Parameters'!$I22))</f>
        <v>0</v>
      </c>
      <c r="J160">
        <f ca="1">IF(J$7-'Tech Parameters'!$I22&lt;2006,0,-OFFSET(J137,0,-'Tech Parameters'!$I22))</f>
        <v>0</v>
      </c>
      <c r="K160">
        <f ca="1">IF(K$7-'Tech Parameters'!$I22&lt;2006,0,-OFFSET(K137,0,-'Tech Parameters'!$I22))</f>
        <v>0</v>
      </c>
      <c r="L160">
        <f ca="1">IF(L$7-'Tech Parameters'!$I22&lt;2006,0,-OFFSET(L137,0,-'Tech Parameters'!$I22))</f>
        <v>0</v>
      </c>
      <c r="M160">
        <f ca="1">IF(M$7-'Tech Parameters'!$I22&lt;2006,0,-OFFSET(M137,0,-'Tech Parameters'!$I22))</f>
        <v>0</v>
      </c>
      <c r="N160">
        <f ca="1">IF(N$7-'Tech Parameters'!$I22&lt;2006,0,-OFFSET(N137,0,-'Tech Parameters'!$I22))</f>
        <v>0</v>
      </c>
      <c r="O160">
        <f ca="1">IF(O$7-'Tech Parameters'!$I22&lt;2006,0,-OFFSET(O137,0,-'Tech Parameters'!$I22))</f>
        <v>0</v>
      </c>
      <c r="P160">
        <f ca="1">IF(P$7-'Tech Parameters'!$I22&lt;2006,0,-OFFSET(P137,0,-'Tech Parameters'!$I22))</f>
        <v>0</v>
      </c>
      <c r="Q160">
        <f ca="1">IF(Q$7-'Tech Parameters'!$I22&lt;2006,0,-OFFSET(Q137,0,-'Tech Parameters'!$I22))</f>
        <v>0</v>
      </c>
      <c r="R160">
        <f ca="1">IF(R$7-'Tech Parameters'!$I22&lt;2006,0,-OFFSET(R137,0,-'Tech Parameters'!$I22))</f>
        <v>0</v>
      </c>
      <c r="S160">
        <f ca="1">IF(S$7-'Tech Parameters'!$I22&lt;2006,0,-OFFSET(S137,0,-'Tech Parameters'!$I22))</f>
        <v>0</v>
      </c>
      <c r="T160">
        <f ca="1">IF(T$7-'Tech Parameters'!$I22&lt;2006,0,-OFFSET(T137,0,-'Tech Parameters'!$I22))</f>
        <v>0</v>
      </c>
      <c r="U160">
        <f ca="1">IF(U$7-'Tech Parameters'!$I22&lt;2006,0,-OFFSET(U137,0,-'Tech Parameters'!$I22))</f>
        <v>0</v>
      </c>
      <c r="V160">
        <f ca="1">IF(V$7-'Tech Parameters'!$I22&lt;2006,0,-OFFSET(V137,0,-'Tech Parameters'!$I22))</f>
        <v>0</v>
      </c>
      <c r="W160">
        <f ca="1">IF(W$7-'Tech Parameters'!$I22&lt;2006,0,-OFFSET(W137,0,-'Tech Parameters'!$I22))</f>
        <v>0</v>
      </c>
      <c r="X160">
        <f ca="1">IF(X$7-'Tech Parameters'!$I22&lt;2006,0,-OFFSET(X137,0,-'Tech Parameters'!$I22))</f>
        <v>0</v>
      </c>
      <c r="Y160">
        <f ca="1">IF(Y$7-'Tech Parameters'!$I22&lt;2006,0,-OFFSET(Y137,0,-'Tech Parameters'!$I22))</f>
        <v>0</v>
      </c>
      <c r="Z160">
        <f ca="1">IF(Z$7-'Tech Parameters'!$I22&lt;2006,0,-OFFSET(Z137,0,-'Tech Parameters'!$I22))</f>
        <v>0</v>
      </c>
      <c r="AA160">
        <f ca="1">IF(AA$7-'Tech Parameters'!$I22&lt;2006,0,-OFFSET(AA137,0,-'Tech Parameters'!$I22))</f>
        <v>0</v>
      </c>
      <c r="AB160">
        <f ca="1">IF(AB$7-'Tech Parameters'!$I22&lt;2006,0,-OFFSET(AB137,0,-'Tech Parameters'!$I22))</f>
        <v>0</v>
      </c>
      <c r="AC160">
        <f ca="1">IF(AC$7-'Tech Parameters'!$I22&lt;2006,0,-OFFSET(AC137,0,-'Tech Parameters'!$I22))</f>
        <v>0</v>
      </c>
      <c r="AD160">
        <f ca="1">IF(OR(AD$7-'Tech Parameters'!$I22&lt;2006,'Tech Parameters'!$I22=0),0,-OFFSET(AD137,0,-'Tech Parameters'!$I22))</f>
        <v>0</v>
      </c>
      <c r="AE160">
        <f ca="1">IF(OR(AE$7-'Tech Parameters'!$I22&lt;2006,'Tech Parameters'!$I22=0),0,-OFFSET(AE137,0,-'Tech Parameters'!$I22))</f>
        <v>0</v>
      </c>
      <c r="AF160">
        <f ca="1">IF(OR(AF$7-'Tech Parameters'!$I22&lt;2006,'Tech Parameters'!$I22=0),0,-OFFSET(AF137,0,-'Tech Parameters'!$I22))</f>
        <v>0</v>
      </c>
      <c r="AG160">
        <f ca="1">IF(OR(AG$7-'Tech Parameters'!$I22&lt;2006,'Tech Parameters'!$I22=0),0,-OFFSET(AG137,0,-'Tech Parameters'!$I22))</f>
        <v>0</v>
      </c>
      <c r="AH160">
        <f ca="1">IF(OR(AH$7-'Tech Parameters'!$I22&lt;2006,'Tech Parameters'!$I22=0),0,-OFFSET(AH137,0,-'Tech Parameters'!$I22))</f>
        <v>0</v>
      </c>
      <c r="AI160">
        <f ca="1">IF(OR(AI$7-'Tech Parameters'!$I22&lt;2006,'Tech Parameters'!$I22=0),0,-OFFSET(AI137,0,-'Tech Parameters'!$I22))</f>
        <v>0</v>
      </c>
      <c r="AJ160">
        <f ca="1">IF(OR(AJ$7-'Tech Parameters'!$I22&lt;2006,'Tech Parameters'!$I22=0),0,-OFFSET(AJ137,0,-'Tech Parameters'!$I22))</f>
        <v>0</v>
      </c>
      <c r="AK160">
        <f ca="1">IF(OR(AK$7-'Tech Parameters'!$I22&lt;2006,'Tech Parameters'!$I22=0),0,-OFFSET(AK137,0,-'Tech Parameters'!$I22))</f>
        <v>0</v>
      </c>
      <c r="AL160">
        <f ca="1">IF(OR(AL$7-'Tech Parameters'!$I22&lt;2006,'Tech Parameters'!$I22=0),0,-OFFSET(AL137,0,-'Tech Parameters'!$I22))</f>
        <v>0</v>
      </c>
      <c r="AM160">
        <f ca="1">IF(OR(AM$7-'Tech Parameters'!$I22&lt;2006,'Tech Parameters'!$I22=0),0,-OFFSET(AM137,0,-'Tech Parameters'!$I22))</f>
        <v>0</v>
      </c>
      <c r="AN160">
        <f ca="1">IF(OR(AN$7-'Tech Parameters'!$I22&lt;2006,'Tech Parameters'!$I22=0),0,-OFFSET(AN137,0,-'Tech Parameters'!$I22))</f>
        <v>0</v>
      </c>
      <c r="AO160">
        <f ca="1">IF(OR(AO$7-'Tech Parameters'!$I22&lt;2006,'Tech Parameters'!$I22=0),0,-OFFSET(AO137,0,-'Tech Parameters'!$I22))</f>
        <v>0</v>
      </c>
      <c r="AP160">
        <f ca="1">IF(OR(AP$7-'Tech Parameters'!$I22&lt;2006,'Tech Parameters'!$I22=0),0,-OFFSET(AP137,0,-'Tech Parameters'!$I22))</f>
        <v>0</v>
      </c>
      <c r="AQ160">
        <f ca="1">IF(OR(AQ$7-'Tech Parameters'!$I22&lt;2006,'Tech Parameters'!$I22=0),0,-OFFSET(AQ137,0,-'Tech Parameters'!$I22))</f>
        <v>0</v>
      </c>
      <c r="AR160">
        <f ca="1">IF(OR(AR$7-'Tech Parameters'!$I22&lt;2006,'Tech Parameters'!$I22=0),0,-OFFSET(AR137,0,-'Tech Parameters'!$I22))</f>
        <v>0</v>
      </c>
      <c r="AS160">
        <f ca="1">IF(OR(AS$7-'Tech Parameters'!$I22&lt;2006,'Tech Parameters'!$I22=0),0,-OFFSET(AS137,0,-'Tech Parameters'!$I22))</f>
        <v>0</v>
      </c>
      <c r="AT160">
        <f ca="1">IF(OR(AT$7-'Tech Parameters'!$I22&lt;2006,'Tech Parameters'!$I22=0),0,-OFFSET(AT137,0,-'Tech Parameters'!$I22))</f>
        <v>0</v>
      </c>
      <c r="AU160">
        <f ca="1">IF(OR(AU$7-'Tech Parameters'!$I22&lt;2006,'Tech Parameters'!$I22=0),0,-OFFSET(AU137,0,-'Tech Parameters'!$I22))</f>
        <v>0</v>
      </c>
      <c r="AV160">
        <f ca="1">IF(OR(AV$7-'Tech Parameters'!$I22&lt;2006,'Tech Parameters'!$I22=0),0,-OFFSET(AV137,0,-'Tech Parameters'!$I22))</f>
        <v>0</v>
      </c>
      <c r="AW160">
        <f ca="1">IF(OR(AW$7-'Tech Parameters'!$I22&lt;2006,'Tech Parameters'!$I22=0),0,-OFFSET(AW137,0,-'Tech Parameters'!$I22))</f>
        <v>0</v>
      </c>
    </row>
    <row r="161" spans="2:64">
      <c r="C161" t="str">
        <f t="shared" si="46"/>
        <v>-</v>
      </c>
      <c r="D161">
        <f ca="1">IF(D$7-'Tech Parameters'!$I23&lt;2006,0,-OFFSET(D138,0,-'Tech Parameters'!$I23))</f>
        <v>0</v>
      </c>
      <c r="E161">
        <f ca="1">IF(E$7-'Tech Parameters'!$I23&lt;2006,0,-OFFSET(E138,0,-'Tech Parameters'!$I23))</f>
        <v>0</v>
      </c>
      <c r="F161">
        <f ca="1">IF(F$7-'Tech Parameters'!$I23&lt;2006,0,-OFFSET(F138,0,-'Tech Parameters'!$I23))</f>
        <v>0</v>
      </c>
      <c r="G161">
        <f ca="1">IF(G$7-'Tech Parameters'!$I23&lt;2006,0,-OFFSET(G138,0,-'Tech Parameters'!$I23))</f>
        <v>0</v>
      </c>
      <c r="H161">
        <f ca="1">IF(H$7-'Tech Parameters'!$I23&lt;2006,0,-OFFSET(H138,0,-'Tech Parameters'!$I23))</f>
        <v>0</v>
      </c>
      <c r="I161">
        <f ca="1">IF(I$7-'Tech Parameters'!$I23&lt;2006,0,-OFFSET(I138,0,-'Tech Parameters'!$I23))</f>
        <v>0</v>
      </c>
      <c r="J161">
        <f ca="1">IF(J$7-'Tech Parameters'!$I23&lt;2006,0,-OFFSET(J138,0,-'Tech Parameters'!$I23))</f>
        <v>0</v>
      </c>
      <c r="K161">
        <f ca="1">IF(K$7-'Tech Parameters'!$I23&lt;2006,0,-OFFSET(K138,0,-'Tech Parameters'!$I23))</f>
        <v>0</v>
      </c>
      <c r="L161">
        <f ca="1">IF(L$7-'Tech Parameters'!$I23&lt;2006,0,-OFFSET(L138,0,-'Tech Parameters'!$I23))</f>
        <v>0</v>
      </c>
      <c r="M161">
        <f ca="1">IF(M$7-'Tech Parameters'!$I23&lt;2006,0,-OFFSET(M138,0,-'Tech Parameters'!$I23))</f>
        <v>0</v>
      </c>
      <c r="N161">
        <f ca="1">IF(N$7-'Tech Parameters'!$I23&lt;2006,0,-OFFSET(N138,0,-'Tech Parameters'!$I23))</f>
        <v>0</v>
      </c>
      <c r="O161">
        <f ca="1">IF(O$7-'Tech Parameters'!$I23&lt;2006,0,-OFFSET(O138,0,-'Tech Parameters'!$I23))</f>
        <v>0</v>
      </c>
      <c r="P161">
        <f ca="1">IF(P$7-'Tech Parameters'!$I23&lt;2006,0,-OFFSET(P138,0,-'Tech Parameters'!$I23))</f>
        <v>0</v>
      </c>
      <c r="Q161">
        <f ca="1">IF(Q$7-'Tech Parameters'!$I23&lt;2006,0,-OFFSET(Q138,0,-'Tech Parameters'!$I23))</f>
        <v>0</v>
      </c>
      <c r="R161">
        <f ca="1">IF(R$7-'Tech Parameters'!$I23&lt;2006,0,-OFFSET(R138,0,-'Tech Parameters'!$I23))</f>
        <v>0</v>
      </c>
      <c r="S161">
        <f ca="1">IF(S$7-'Tech Parameters'!$I23&lt;2006,0,-OFFSET(S138,0,-'Tech Parameters'!$I23))</f>
        <v>0</v>
      </c>
      <c r="T161">
        <f ca="1">IF(T$7-'Tech Parameters'!$I23&lt;2006,0,-OFFSET(T138,0,-'Tech Parameters'!$I23))</f>
        <v>0</v>
      </c>
      <c r="U161">
        <f ca="1">IF(U$7-'Tech Parameters'!$I23&lt;2006,0,-OFFSET(U138,0,-'Tech Parameters'!$I23))</f>
        <v>0</v>
      </c>
      <c r="V161">
        <f ca="1">IF(V$7-'Tech Parameters'!$I23&lt;2006,0,-OFFSET(V138,0,-'Tech Parameters'!$I23))</f>
        <v>0</v>
      </c>
      <c r="W161">
        <f ca="1">IF(W$7-'Tech Parameters'!$I23&lt;2006,0,-OFFSET(W138,0,-'Tech Parameters'!$I23))</f>
        <v>0</v>
      </c>
      <c r="X161">
        <f ca="1">IF(X$7-'Tech Parameters'!$I23&lt;2006,0,-OFFSET(X138,0,-'Tech Parameters'!$I23))</f>
        <v>0</v>
      </c>
      <c r="Y161">
        <f ca="1">IF(Y$7-'Tech Parameters'!$I23&lt;2006,0,-OFFSET(Y138,0,-'Tech Parameters'!$I23))</f>
        <v>0</v>
      </c>
      <c r="Z161">
        <f ca="1">IF(Z$7-'Tech Parameters'!$I23&lt;2006,0,-OFFSET(Z138,0,-'Tech Parameters'!$I23))</f>
        <v>0</v>
      </c>
      <c r="AA161">
        <f ca="1">IF(AA$7-'Tech Parameters'!$I23&lt;2006,0,-OFFSET(AA138,0,-'Tech Parameters'!$I23))</f>
        <v>0</v>
      </c>
      <c r="AB161">
        <f ca="1">IF(AB$7-'Tech Parameters'!$I23&lt;2006,0,-OFFSET(AB138,0,-'Tech Parameters'!$I23))</f>
        <v>0</v>
      </c>
      <c r="AC161">
        <f ca="1">IF(AC$7-'Tech Parameters'!$I23&lt;2006,0,-OFFSET(AC138,0,-'Tech Parameters'!$I23))</f>
        <v>0</v>
      </c>
      <c r="AD161">
        <f ca="1">IF(OR(AD$7-'Tech Parameters'!$I23&lt;2006,'Tech Parameters'!$I23=0),0,-OFFSET(AD138,0,-'Tech Parameters'!$I23))</f>
        <v>0</v>
      </c>
      <c r="AE161">
        <f ca="1">IF(OR(AE$7-'Tech Parameters'!$I23&lt;2006,'Tech Parameters'!$I23=0),0,-OFFSET(AE138,0,-'Tech Parameters'!$I23))</f>
        <v>0</v>
      </c>
      <c r="AF161">
        <f ca="1">IF(OR(AF$7-'Tech Parameters'!$I23&lt;2006,'Tech Parameters'!$I23=0),0,-OFFSET(AF138,0,-'Tech Parameters'!$I23))</f>
        <v>0</v>
      </c>
      <c r="AG161">
        <f ca="1">IF(OR(AG$7-'Tech Parameters'!$I23&lt;2006,'Tech Parameters'!$I23=0),0,-OFFSET(AG138,0,-'Tech Parameters'!$I23))</f>
        <v>0</v>
      </c>
      <c r="AH161">
        <f ca="1">IF(OR(AH$7-'Tech Parameters'!$I23&lt;2006,'Tech Parameters'!$I23=0),0,-OFFSET(AH138,0,-'Tech Parameters'!$I23))</f>
        <v>0</v>
      </c>
      <c r="AI161">
        <f ca="1">IF(OR(AI$7-'Tech Parameters'!$I23&lt;2006,'Tech Parameters'!$I23=0),0,-OFFSET(AI138,0,-'Tech Parameters'!$I23))</f>
        <v>0</v>
      </c>
      <c r="AJ161">
        <f ca="1">IF(OR(AJ$7-'Tech Parameters'!$I23&lt;2006,'Tech Parameters'!$I23=0),0,-OFFSET(AJ138,0,-'Tech Parameters'!$I23))</f>
        <v>0</v>
      </c>
      <c r="AK161">
        <f ca="1">IF(OR(AK$7-'Tech Parameters'!$I23&lt;2006,'Tech Parameters'!$I23=0),0,-OFFSET(AK138,0,-'Tech Parameters'!$I23))</f>
        <v>0</v>
      </c>
      <c r="AL161">
        <f ca="1">IF(OR(AL$7-'Tech Parameters'!$I23&lt;2006,'Tech Parameters'!$I23=0),0,-OFFSET(AL138,0,-'Tech Parameters'!$I23))</f>
        <v>0</v>
      </c>
      <c r="AM161">
        <f ca="1">IF(OR(AM$7-'Tech Parameters'!$I23&lt;2006,'Tech Parameters'!$I23=0),0,-OFFSET(AM138,0,-'Tech Parameters'!$I23))</f>
        <v>0</v>
      </c>
      <c r="AN161">
        <f ca="1">IF(OR(AN$7-'Tech Parameters'!$I23&lt;2006,'Tech Parameters'!$I23=0),0,-OFFSET(AN138,0,-'Tech Parameters'!$I23))</f>
        <v>0</v>
      </c>
      <c r="AO161">
        <f ca="1">IF(OR(AO$7-'Tech Parameters'!$I23&lt;2006,'Tech Parameters'!$I23=0),0,-OFFSET(AO138,0,-'Tech Parameters'!$I23))</f>
        <v>0</v>
      </c>
      <c r="AP161">
        <f ca="1">IF(OR(AP$7-'Tech Parameters'!$I23&lt;2006,'Tech Parameters'!$I23=0),0,-OFFSET(AP138,0,-'Tech Parameters'!$I23))</f>
        <v>0</v>
      </c>
      <c r="AQ161">
        <f ca="1">IF(OR(AQ$7-'Tech Parameters'!$I23&lt;2006,'Tech Parameters'!$I23=0),0,-OFFSET(AQ138,0,-'Tech Parameters'!$I23))</f>
        <v>0</v>
      </c>
      <c r="AR161">
        <f ca="1">IF(OR(AR$7-'Tech Parameters'!$I23&lt;2006,'Tech Parameters'!$I23=0),0,-OFFSET(AR138,0,-'Tech Parameters'!$I23))</f>
        <v>0</v>
      </c>
      <c r="AS161">
        <f ca="1">IF(OR(AS$7-'Tech Parameters'!$I23&lt;2006,'Tech Parameters'!$I23=0),0,-OFFSET(AS138,0,-'Tech Parameters'!$I23))</f>
        <v>0</v>
      </c>
      <c r="AT161">
        <f ca="1">IF(OR(AT$7-'Tech Parameters'!$I23&lt;2006,'Tech Parameters'!$I23=0),0,-OFFSET(AT138,0,-'Tech Parameters'!$I23))</f>
        <v>0</v>
      </c>
      <c r="AU161">
        <f ca="1">IF(OR(AU$7-'Tech Parameters'!$I23&lt;2006,'Tech Parameters'!$I23=0),0,-OFFSET(AU138,0,-'Tech Parameters'!$I23))</f>
        <v>0</v>
      </c>
      <c r="AV161">
        <f ca="1">IF(OR(AV$7-'Tech Parameters'!$I23&lt;2006,'Tech Parameters'!$I23=0),0,-OFFSET(AV138,0,-'Tech Parameters'!$I23))</f>
        <v>0</v>
      </c>
      <c r="AW161">
        <f ca="1">IF(OR(AW$7-'Tech Parameters'!$I23&lt;2006,'Tech Parameters'!$I23=0),0,-OFFSET(AW138,0,-'Tech Parameters'!$I23))</f>
        <v>0</v>
      </c>
    </row>
    <row r="162" spans="2:64">
      <c r="C162" t="str">
        <f t="shared" si="46"/>
        <v>-</v>
      </c>
      <c r="D162">
        <f ca="1">IF(D$7-'Tech Parameters'!$I24&lt;2006,0,-OFFSET(D139,0,-'Tech Parameters'!$I24))</f>
        <v>0</v>
      </c>
      <c r="E162">
        <f ca="1">IF(E$7-'Tech Parameters'!$I24&lt;2006,0,-OFFSET(E139,0,-'Tech Parameters'!$I24))</f>
        <v>0</v>
      </c>
      <c r="F162">
        <f ca="1">IF(F$7-'Tech Parameters'!$I24&lt;2006,0,-OFFSET(F139,0,-'Tech Parameters'!$I24))</f>
        <v>0</v>
      </c>
      <c r="G162">
        <f ca="1">IF(G$7-'Tech Parameters'!$I24&lt;2006,0,-OFFSET(G139,0,-'Tech Parameters'!$I24))</f>
        <v>0</v>
      </c>
      <c r="H162">
        <f ca="1">IF(H$7-'Tech Parameters'!$I24&lt;2006,0,-OFFSET(H139,0,-'Tech Parameters'!$I24))</f>
        <v>0</v>
      </c>
      <c r="I162">
        <f ca="1">IF(I$7-'Tech Parameters'!$I24&lt;2006,0,-OFFSET(I139,0,-'Tech Parameters'!$I24))</f>
        <v>0</v>
      </c>
      <c r="J162">
        <f ca="1">IF(J$7-'Tech Parameters'!$I24&lt;2006,0,-OFFSET(J139,0,-'Tech Parameters'!$I24))</f>
        <v>0</v>
      </c>
      <c r="K162">
        <f ca="1">IF(K$7-'Tech Parameters'!$I24&lt;2006,0,-OFFSET(K139,0,-'Tech Parameters'!$I24))</f>
        <v>0</v>
      </c>
      <c r="L162">
        <f ca="1">IF(L$7-'Tech Parameters'!$I24&lt;2006,0,-OFFSET(L139,0,-'Tech Parameters'!$I24))</f>
        <v>0</v>
      </c>
      <c r="M162">
        <f ca="1">IF(M$7-'Tech Parameters'!$I24&lt;2006,0,-OFFSET(M139,0,-'Tech Parameters'!$I24))</f>
        <v>0</v>
      </c>
      <c r="N162">
        <f ca="1">IF(N$7-'Tech Parameters'!$I24&lt;2006,0,-OFFSET(N139,0,-'Tech Parameters'!$I24))</f>
        <v>0</v>
      </c>
      <c r="O162">
        <f ca="1">IF(O$7-'Tech Parameters'!$I24&lt;2006,0,-OFFSET(O139,0,-'Tech Parameters'!$I24))</f>
        <v>0</v>
      </c>
      <c r="P162">
        <f ca="1">IF(P$7-'Tech Parameters'!$I24&lt;2006,0,-OFFSET(P139,0,-'Tech Parameters'!$I24))</f>
        <v>0</v>
      </c>
      <c r="Q162">
        <f ca="1">IF(Q$7-'Tech Parameters'!$I24&lt;2006,0,-OFFSET(Q139,0,-'Tech Parameters'!$I24))</f>
        <v>0</v>
      </c>
      <c r="R162">
        <f ca="1">IF(R$7-'Tech Parameters'!$I24&lt;2006,0,-OFFSET(R139,0,-'Tech Parameters'!$I24))</f>
        <v>0</v>
      </c>
      <c r="S162">
        <f ca="1">IF(S$7-'Tech Parameters'!$I24&lt;2006,0,-OFFSET(S139,0,-'Tech Parameters'!$I24))</f>
        <v>0</v>
      </c>
      <c r="T162">
        <f ca="1">IF(T$7-'Tech Parameters'!$I24&lt;2006,0,-OFFSET(T139,0,-'Tech Parameters'!$I24))</f>
        <v>0</v>
      </c>
      <c r="U162">
        <f ca="1">IF(U$7-'Tech Parameters'!$I24&lt;2006,0,-OFFSET(U139,0,-'Tech Parameters'!$I24))</f>
        <v>0</v>
      </c>
      <c r="V162">
        <f ca="1">IF(V$7-'Tech Parameters'!$I24&lt;2006,0,-OFFSET(V139,0,-'Tech Parameters'!$I24))</f>
        <v>0</v>
      </c>
      <c r="W162">
        <f ca="1">IF(W$7-'Tech Parameters'!$I24&lt;2006,0,-OFFSET(W139,0,-'Tech Parameters'!$I24))</f>
        <v>0</v>
      </c>
      <c r="X162">
        <f ca="1">IF(X$7-'Tech Parameters'!$I24&lt;2006,0,-OFFSET(X139,0,-'Tech Parameters'!$I24))</f>
        <v>0</v>
      </c>
      <c r="Y162">
        <f ca="1">IF(Y$7-'Tech Parameters'!$I24&lt;2006,0,-OFFSET(Y139,0,-'Tech Parameters'!$I24))</f>
        <v>0</v>
      </c>
      <c r="Z162">
        <f ca="1">IF(Z$7-'Tech Parameters'!$I24&lt;2006,0,-OFFSET(Z139,0,-'Tech Parameters'!$I24))</f>
        <v>0</v>
      </c>
      <c r="AA162">
        <f ca="1">IF(AA$7-'Tech Parameters'!$I24&lt;2006,0,-OFFSET(AA139,0,-'Tech Parameters'!$I24))</f>
        <v>0</v>
      </c>
      <c r="AB162">
        <f ca="1">IF(AB$7-'Tech Parameters'!$I24&lt;2006,0,-OFFSET(AB139,0,-'Tech Parameters'!$I24))</f>
        <v>0</v>
      </c>
      <c r="AC162">
        <f ca="1">IF(AC$7-'Tech Parameters'!$I24&lt;2006,0,-OFFSET(AC139,0,-'Tech Parameters'!$I24))</f>
        <v>0</v>
      </c>
      <c r="AD162">
        <f ca="1">IF(OR(AD$7-'Tech Parameters'!$I24&lt;2006,'Tech Parameters'!$I24=0),0,-OFFSET(AD139,0,-'Tech Parameters'!$I24))</f>
        <v>0</v>
      </c>
      <c r="AE162">
        <f ca="1">IF(OR(AE$7-'Tech Parameters'!$I24&lt;2006,'Tech Parameters'!$I24=0),0,-OFFSET(AE139,0,-'Tech Parameters'!$I24))</f>
        <v>0</v>
      </c>
      <c r="AF162">
        <f ca="1">IF(OR(AF$7-'Tech Parameters'!$I24&lt;2006,'Tech Parameters'!$I24=0),0,-OFFSET(AF139,0,-'Tech Parameters'!$I24))</f>
        <v>0</v>
      </c>
      <c r="AG162">
        <f ca="1">IF(OR(AG$7-'Tech Parameters'!$I24&lt;2006,'Tech Parameters'!$I24=0),0,-OFFSET(AG139,0,-'Tech Parameters'!$I24))</f>
        <v>0</v>
      </c>
      <c r="AH162">
        <f ca="1">IF(OR(AH$7-'Tech Parameters'!$I24&lt;2006,'Tech Parameters'!$I24=0),0,-OFFSET(AH139,0,-'Tech Parameters'!$I24))</f>
        <v>0</v>
      </c>
      <c r="AI162">
        <f ca="1">IF(OR(AI$7-'Tech Parameters'!$I24&lt;2006,'Tech Parameters'!$I24=0),0,-OFFSET(AI139,0,-'Tech Parameters'!$I24))</f>
        <v>0</v>
      </c>
      <c r="AJ162">
        <f ca="1">IF(OR(AJ$7-'Tech Parameters'!$I24&lt;2006,'Tech Parameters'!$I24=0),0,-OFFSET(AJ139,0,-'Tech Parameters'!$I24))</f>
        <v>0</v>
      </c>
      <c r="AK162">
        <f ca="1">IF(OR(AK$7-'Tech Parameters'!$I24&lt;2006,'Tech Parameters'!$I24=0),0,-OFFSET(AK139,0,-'Tech Parameters'!$I24))</f>
        <v>0</v>
      </c>
      <c r="AL162">
        <f ca="1">IF(OR(AL$7-'Tech Parameters'!$I24&lt;2006,'Tech Parameters'!$I24=0),0,-OFFSET(AL139,0,-'Tech Parameters'!$I24))</f>
        <v>0</v>
      </c>
      <c r="AM162">
        <f ca="1">IF(OR(AM$7-'Tech Parameters'!$I24&lt;2006,'Tech Parameters'!$I24=0),0,-OFFSET(AM139,0,-'Tech Parameters'!$I24))</f>
        <v>0</v>
      </c>
      <c r="AN162">
        <f ca="1">IF(OR(AN$7-'Tech Parameters'!$I24&lt;2006,'Tech Parameters'!$I24=0),0,-OFFSET(AN139,0,-'Tech Parameters'!$I24))</f>
        <v>0</v>
      </c>
      <c r="AO162">
        <f ca="1">IF(OR(AO$7-'Tech Parameters'!$I24&lt;2006,'Tech Parameters'!$I24=0),0,-OFFSET(AO139,0,-'Tech Parameters'!$I24))</f>
        <v>0</v>
      </c>
      <c r="AP162">
        <f ca="1">IF(OR(AP$7-'Tech Parameters'!$I24&lt;2006,'Tech Parameters'!$I24=0),0,-OFFSET(AP139,0,-'Tech Parameters'!$I24))</f>
        <v>0</v>
      </c>
      <c r="AQ162">
        <f ca="1">IF(OR(AQ$7-'Tech Parameters'!$I24&lt;2006,'Tech Parameters'!$I24=0),0,-OFFSET(AQ139,0,-'Tech Parameters'!$I24))</f>
        <v>0</v>
      </c>
      <c r="AR162">
        <f ca="1">IF(OR(AR$7-'Tech Parameters'!$I24&lt;2006,'Tech Parameters'!$I24=0),0,-OFFSET(AR139,0,-'Tech Parameters'!$I24))</f>
        <v>0</v>
      </c>
      <c r="AS162">
        <f ca="1">IF(OR(AS$7-'Tech Parameters'!$I24&lt;2006,'Tech Parameters'!$I24=0),0,-OFFSET(AS139,0,-'Tech Parameters'!$I24))</f>
        <v>0</v>
      </c>
      <c r="AT162">
        <f ca="1">IF(OR(AT$7-'Tech Parameters'!$I24&lt;2006,'Tech Parameters'!$I24=0),0,-OFFSET(AT139,0,-'Tech Parameters'!$I24))</f>
        <v>0</v>
      </c>
      <c r="AU162">
        <f ca="1">IF(OR(AU$7-'Tech Parameters'!$I24&lt;2006,'Tech Parameters'!$I24=0),0,-OFFSET(AU139,0,-'Tech Parameters'!$I24))</f>
        <v>0</v>
      </c>
      <c r="AV162">
        <f ca="1">IF(OR(AV$7-'Tech Parameters'!$I24&lt;2006,'Tech Parameters'!$I24=0),0,-OFFSET(AV139,0,-'Tech Parameters'!$I24))</f>
        <v>0</v>
      </c>
      <c r="AW162">
        <f ca="1">IF(OR(AW$7-'Tech Parameters'!$I24&lt;2006,'Tech Parameters'!$I24=0),0,-OFFSET(AW139,0,-'Tech Parameters'!$I24))</f>
        <v>0</v>
      </c>
    </row>
    <row r="163" spans="2:64">
      <c r="C163" t="str">
        <f t="shared" si="46"/>
        <v>Pumped storage</v>
      </c>
      <c r="D163">
        <f ca="1">IF(D$7-'Tech Parameters'!$I25&lt;2006,0,-OFFSET(D140,0,-'Tech Parameters'!$I25))</f>
        <v>0</v>
      </c>
      <c r="E163">
        <f ca="1">IF(E$7-'Tech Parameters'!$I25&lt;2006,0,-OFFSET(E140,0,-'Tech Parameters'!$I25))</f>
        <v>0</v>
      </c>
      <c r="F163">
        <f ca="1">IF(F$7-'Tech Parameters'!$I25&lt;2006,0,-OFFSET(F140,0,-'Tech Parameters'!$I25))</f>
        <v>0</v>
      </c>
      <c r="G163">
        <f ca="1">IF(G$7-'Tech Parameters'!$I25&lt;2006,0,-OFFSET(G140,0,-'Tech Parameters'!$I25))</f>
        <v>0</v>
      </c>
      <c r="H163">
        <f ca="1">IF(H$7-'Tech Parameters'!$I25&lt;2006,0,-OFFSET(H140,0,-'Tech Parameters'!$I25))</f>
        <v>0</v>
      </c>
      <c r="I163">
        <f ca="1">IF(I$7-'Tech Parameters'!$I25&lt;2006,0,-OFFSET(I140,0,-'Tech Parameters'!$I25))</f>
        <v>0</v>
      </c>
      <c r="J163">
        <f ca="1">IF(J$7-'Tech Parameters'!$I25&lt;2006,0,-OFFSET(J140,0,-'Tech Parameters'!$I25))</f>
        <v>0</v>
      </c>
      <c r="K163">
        <f ca="1">IF(K$7-'Tech Parameters'!$I25&lt;2006,0,-OFFSET(K140,0,-'Tech Parameters'!$I25))</f>
        <v>0</v>
      </c>
      <c r="L163">
        <f ca="1">IF(L$7-'Tech Parameters'!$I25&lt;2006,0,-OFFSET(L140,0,-'Tech Parameters'!$I25))</f>
        <v>0</v>
      </c>
      <c r="M163">
        <f ca="1">IF(M$7-'Tech Parameters'!$I25&lt;2006,0,-OFFSET(M140,0,-'Tech Parameters'!$I25))</f>
        <v>0</v>
      </c>
      <c r="N163">
        <f ca="1">IF(N$7-'Tech Parameters'!$I25&lt;2006,0,-OFFSET(N140,0,-'Tech Parameters'!$I25))</f>
        <v>0</v>
      </c>
      <c r="O163">
        <f ca="1">IF(O$7-'Tech Parameters'!$I25&lt;2006,0,-OFFSET(O140,0,-'Tech Parameters'!$I25))</f>
        <v>0</v>
      </c>
      <c r="P163">
        <f ca="1">IF(P$7-'Tech Parameters'!$I25&lt;2006,0,-OFFSET(P140,0,-'Tech Parameters'!$I25))</f>
        <v>0</v>
      </c>
      <c r="Q163">
        <f ca="1">IF(Q$7-'Tech Parameters'!$I25&lt;2006,0,-OFFSET(Q140,0,-'Tech Parameters'!$I25))</f>
        <v>0</v>
      </c>
      <c r="R163">
        <f ca="1">IF(R$7-'Tech Parameters'!$I25&lt;2006,0,-OFFSET(R140,0,-'Tech Parameters'!$I25))</f>
        <v>0</v>
      </c>
      <c r="S163">
        <f ca="1">IF(S$7-'Tech Parameters'!$I25&lt;2006,0,-OFFSET(S140,0,-'Tech Parameters'!$I25))</f>
        <v>0</v>
      </c>
      <c r="T163">
        <f ca="1">IF(T$7-'Tech Parameters'!$I25&lt;2006,0,-OFFSET(T140,0,-'Tech Parameters'!$I25))</f>
        <v>0</v>
      </c>
      <c r="U163">
        <f ca="1">IF(U$7-'Tech Parameters'!$I25&lt;2006,0,-OFFSET(U140,0,-'Tech Parameters'!$I25))</f>
        <v>0</v>
      </c>
      <c r="V163">
        <f ca="1">IF(V$7-'Tech Parameters'!$I25&lt;2006,0,-OFFSET(V140,0,-'Tech Parameters'!$I25))</f>
        <v>0</v>
      </c>
      <c r="W163">
        <f ca="1">IF(W$7-'Tech Parameters'!$I25&lt;2006,0,-OFFSET(W140,0,-'Tech Parameters'!$I25))</f>
        <v>0</v>
      </c>
      <c r="X163">
        <f ca="1">IF(X$7-'Tech Parameters'!$I25&lt;2006,0,-OFFSET(X140,0,-'Tech Parameters'!$I25))</f>
        <v>0</v>
      </c>
      <c r="Y163">
        <f ca="1">IF(Y$7-'Tech Parameters'!$I25&lt;2006,0,-OFFSET(Y140,0,-'Tech Parameters'!$I25))</f>
        <v>0</v>
      </c>
      <c r="Z163">
        <f ca="1">IF(Z$7-'Tech Parameters'!$I25&lt;2006,0,-OFFSET(Z140,0,-'Tech Parameters'!$I25))</f>
        <v>0</v>
      </c>
      <c r="AA163">
        <f ca="1">IF(AA$7-'Tech Parameters'!$I25&lt;2006,0,-OFFSET(AA140,0,-'Tech Parameters'!$I25))</f>
        <v>0</v>
      </c>
      <c r="AB163">
        <f ca="1">IF(AB$7-'Tech Parameters'!$I25&lt;2006,0,-OFFSET(AB140,0,-'Tech Parameters'!$I25))</f>
        <v>0</v>
      </c>
      <c r="AC163">
        <f ca="1">IF(AC$7-'Tech Parameters'!$I25&lt;2006,0,-OFFSET(AC140,0,-'Tech Parameters'!$I25))</f>
        <v>0</v>
      </c>
      <c r="AD163">
        <f ca="1">IF(OR(AD$7-'Tech Parameters'!$I25&lt;2006,'Tech Parameters'!$I25=0),0,-OFFSET(AD140,0,-'Tech Parameters'!$I25))</f>
        <v>0</v>
      </c>
      <c r="AE163">
        <f ca="1">IF(OR(AE$7-'Tech Parameters'!$I25&lt;2006,'Tech Parameters'!$I25=0),0,-OFFSET(AE140,0,-'Tech Parameters'!$I25))</f>
        <v>0</v>
      </c>
      <c r="AF163">
        <f ca="1">IF(OR(AF$7-'Tech Parameters'!$I25&lt;2006,'Tech Parameters'!$I25=0),0,-OFFSET(AF140,0,-'Tech Parameters'!$I25))</f>
        <v>0</v>
      </c>
      <c r="AG163">
        <f ca="1">IF(OR(AG$7-'Tech Parameters'!$I25&lt;2006,'Tech Parameters'!$I25=0),0,-OFFSET(AG140,0,-'Tech Parameters'!$I25))</f>
        <v>0</v>
      </c>
      <c r="AH163">
        <f ca="1">IF(OR(AH$7-'Tech Parameters'!$I25&lt;2006,'Tech Parameters'!$I25=0),0,-OFFSET(AH140,0,-'Tech Parameters'!$I25))</f>
        <v>0</v>
      </c>
      <c r="AI163">
        <f ca="1">IF(OR(AI$7-'Tech Parameters'!$I25&lt;2006,'Tech Parameters'!$I25=0),0,-OFFSET(AI140,0,-'Tech Parameters'!$I25))</f>
        <v>0</v>
      </c>
      <c r="AJ163">
        <f ca="1">IF(OR(AJ$7-'Tech Parameters'!$I25&lt;2006,'Tech Parameters'!$I25=0),0,-OFFSET(AJ140,0,-'Tech Parameters'!$I25))</f>
        <v>0</v>
      </c>
      <c r="AK163">
        <f ca="1">IF(OR(AK$7-'Tech Parameters'!$I25&lt;2006,'Tech Parameters'!$I25=0),0,-OFFSET(AK140,0,-'Tech Parameters'!$I25))</f>
        <v>0</v>
      </c>
      <c r="AL163">
        <f ca="1">IF(OR(AL$7-'Tech Parameters'!$I25&lt;2006,'Tech Parameters'!$I25=0),0,-OFFSET(AL140,0,-'Tech Parameters'!$I25))</f>
        <v>0</v>
      </c>
      <c r="AM163">
        <f ca="1">IF(OR(AM$7-'Tech Parameters'!$I25&lt;2006,'Tech Parameters'!$I25=0),0,-OFFSET(AM140,0,-'Tech Parameters'!$I25))</f>
        <v>0</v>
      </c>
      <c r="AN163">
        <f ca="1">IF(OR(AN$7-'Tech Parameters'!$I25&lt;2006,'Tech Parameters'!$I25=0),0,-OFFSET(AN140,0,-'Tech Parameters'!$I25))</f>
        <v>0</v>
      </c>
      <c r="AO163">
        <f ca="1">IF(OR(AO$7-'Tech Parameters'!$I25&lt;2006,'Tech Parameters'!$I25=0),0,-OFFSET(AO140,0,-'Tech Parameters'!$I25))</f>
        <v>0</v>
      </c>
      <c r="AP163">
        <f ca="1">IF(OR(AP$7-'Tech Parameters'!$I25&lt;2006,'Tech Parameters'!$I25=0),0,-OFFSET(AP140,0,-'Tech Parameters'!$I25))</f>
        <v>0</v>
      </c>
      <c r="AQ163">
        <f ca="1">IF(OR(AQ$7-'Tech Parameters'!$I25&lt;2006,'Tech Parameters'!$I25=0),0,-OFFSET(AQ140,0,-'Tech Parameters'!$I25))</f>
        <v>0</v>
      </c>
      <c r="AR163">
        <f ca="1">IF(OR(AR$7-'Tech Parameters'!$I25&lt;2006,'Tech Parameters'!$I25=0),0,-OFFSET(AR140,0,-'Tech Parameters'!$I25))</f>
        <v>0</v>
      </c>
      <c r="AS163">
        <f ca="1">IF(OR(AS$7-'Tech Parameters'!$I25&lt;2006,'Tech Parameters'!$I25=0),0,-OFFSET(AS140,0,-'Tech Parameters'!$I25))</f>
        <v>0</v>
      </c>
      <c r="AT163">
        <f ca="1">IF(OR(AT$7-'Tech Parameters'!$I25&lt;2006,'Tech Parameters'!$I25=0),0,-OFFSET(AT140,0,-'Tech Parameters'!$I25))</f>
        <v>0</v>
      </c>
      <c r="AU163">
        <f ca="1">IF(OR(AU$7-'Tech Parameters'!$I25&lt;2006,'Tech Parameters'!$I25=0),0,-OFFSET(AU140,0,-'Tech Parameters'!$I25))</f>
        <v>0</v>
      </c>
      <c r="AV163">
        <f ca="1">IF(OR(AV$7-'Tech Parameters'!$I25&lt;2006,'Tech Parameters'!$I25=0),0,-OFFSET(AV140,0,-'Tech Parameters'!$I25))</f>
        <v>0</v>
      </c>
      <c r="AW163">
        <f ca="1">IF(OR(AW$7-'Tech Parameters'!$I25&lt;2006,'Tech Parameters'!$I25=0),0,-OFFSET(AW140,0,-'Tech Parameters'!$I25))</f>
        <v>0</v>
      </c>
    </row>
    <row r="164" spans="2:64">
      <c r="C164" t="str">
        <f t="shared" si="46"/>
        <v>TOTAL</v>
      </c>
    </row>
    <row r="170" spans="2:64">
      <c r="C170" s="4" t="s">
        <v>235</v>
      </c>
    </row>
    <row r="171" spans="2:64">
      <c r="C171" s="4"/>
    </row>
    <row r="172" spans="2:64">
      <c r="B172" s="4" t="s">
        <v>236</v>
      </c>
      <c r="C172" s="4" t="s">
        <v>227</v>
      </c>
      <c r="E172" s="26"/>
      <c r="F172" s="26"/>
      <c r="G172" s="26"/>
      <c r="H172" s="26"/>
      <c r="I172" s="26"/>
      <c r="J172" s="26"/>
      <c r="K172" s="26"/>
      <c r="L172" s="26"/>
      <c r="BA172" s="4"/>
      <c r="BL172" s="4"/>
    </row>
    <row r="173" spans="2:64">
      <c r="B173" t="str">
        <f>'Tech Parameters'!C6</f>
        <v>Existing coal large</v>
      </c>
      <c r="C173" t="str">
        <f>'Tech Parameters'!B6</f>
        <v>Existing coal Large</v>
      </c>
      <c r="D173">
        <f>SUMIF('Tech Parameters'!$B$244:$B$269,$B173,'Tech Parameters'!H$244:H$269)*'Tech Parameters'!$H6*D8*8760</f>
        <v>69713.714846090443</v>
      </c>
      <c r="E173">
        <f>SUMIF('Tech Parameters'!$B$244:$B$269,$B173,'Tech Parameters'!I$244:I$269)*'Tech Parameters'!$H6*'Alt scen Calcs'!E8*8760</f>
        <v>69713.714846090443</v>
      </c>
      <c r="F173">
        <f>SUMIF('Tech Parameters'!$B$244:$B$269,$B173,'Tech Parameters'!J$244:J$269)*'Tech Parameters'!$H6*'Alt scen Calcs'!F8*8760</f>
        <v>69713.714846090443</v>
      </c>
      <c r="G173">
        <f>SUMIF('Tech Parameters'!$B$244:$B$269,$B173,'Tech Parameters'!K$244:K$269)*'Tech Parameters'!$H6*'Alt scen Calcs'!G8*8760</f>
        <v>69713.714846090443</v>
      </c>
      <c r="H173">
        <f>SUMIF('Tech Parameters'!$B$244:$B$269,$B173,'Tech Parameters'!L$244:L$269)*'Tech Parameters'!$H6*'Alt scen Calcs'!H8*8760</f>
        <v>69713.714846090443</v>
      </c>
      <c r="I173">
        <f ca="1">SUMIF('Tech Parameters'!$B$244:$B$269,$B173,'Tech Parameters'!M$244:M$269)*'Tech Parameters'!$H6*'Alt scen Calcs'!I8*8760</f>
        <v>69713.714846090443</v>
      </c>
      <c r="J173">
        <f ca="1">SUMIF('Tech Parameters'!$B$244:$B$269,$B173,'Tech Parameters'!N$244:N$269)*'Tech Parameters'!$H6*'Alt scen Calcs'!J8*8760</f>
        <v>69713.714846090443</v>
      </c>
      <c r="K173">
        <f ca="1">SUMIF('Tech Parameters'!$B$244:$B$269,$B173,'Tech Parameters'!O$244:O$269)*'Tech Parameters'!$H6*'Alt scen Calcs'!K8*8760</f>
        <v>69713.714846090443</v>
      </c>
      <c r="L173">
        <f ca="1">SUMIF('Tech Parameters'!$B$244:$B$269,$B173,'Tech Parameters'!P$244:P$269)*'Tech Parameters'!$H6*'Alt scen Calcs'!L8*8760</f>
        <v>69713.714846090443</v>
      </c>
      <c r="M173">
        <f ca="1">SUMIF('Tech Parameters'!$B$244:$B$269,$B173,'Tech Parameters'!Q$244:Q$269)*'Tech Parameters'!$H6*'Alt scen Calcs'!M8*8760</f>
        <v>69713.714846090443</v>
      </c>
      <c r="N173">
        <f ca="1">SUMIF('Tech Parameters'!$B$244:$B$269,$B173,'Tech Parameters'!R$244:R$269)*'Tech Parameters'!$H6*'Alt scen Calcs'!N8*8760</f>
        <v>69713.714846090443</v>
      </c>
      <c r="O173">
        <f ca="1">SUMIF('Tech Parameters'!$B$244:$B$269,$B173,'Tech Parameters'!S$244:S$269)*'Tech Parameters'!$H6*'Alt scen Calcs'!O8*8760</f>
        <v>69713.714846090443</v>
      </c>
      <c r="P173">
        <f ca="1">SUMIF('Tech Parameters'!$B$244:$B$269,$B173,'Tech Parameters'!T$244:T$269)*'Tech Parameters'!$H6*'Alt scen Calcs'!P8*8760</f>
        <v>69713.714846090443</v>
      </c>
      <c r="Q173">
        <f ca="1">SUMIF('Tech Parameters'!$B$244:$B$269,$B173,'Tech Parameters'!U$244:U$269)*'Tech Parameters'!$H6*'Alt scen Calcs'!Q8*8760</f>
        <v>69713.714846090443</v>
      </c>
      <c r="R173">
        <f ca="1">SUMIF('Tech Parameters'!$B$244:$B$269,$B173,'Tech Parameters'!V$244:V$269)*'Tech Parameters'!$H6*'Alt scen Calcs'!R8*8760</f>
        <v>69713.714846090443</v>
      </c>
      <c r="S173">
        <f ca="1">SUMIF('Tech Parameters'!$B$244:$B$269,$B173,'Tech Parameters'!W$244:W$269)*'Tech Parameters'!$H6*'Alt scen Calcs'!S8*8760</f>
        <v>69713.714846090443</v>
      </c>
      <c r="T173">
        <f ca="1">SUMIF('Tech Parameters'!$B$244:$B$269,$B173,'Tech Parameters'!X$244:X$269)*'Tech Parameters'!$H6*'Alt scen Calcs'!T8*8760</f>
        <v>69713.714846090443</v>
      </c>
      <c r="U173">
        <f ca="1">SUMIF('Tech Parameters'!$B$244:$B$269,$B173,'Tech Parameters'!Y$244:Y$269)*'Tech Parameters'!$H6*'Alt scen Calcs'!U8*8760</f>
        <v>69713.714846090443</v>
      </c>
      <c r="V173">
        <f ca="1">SUMIF('Tech Parameters'!$B$244:$B$269,$B173,'Tech Parameters'!Z$244:Z$269)*'Tech Parameters'!$H6*'Alt scen Calcs'!V8*8760</f>
        <v>69713.714846090443</v>
      </c>
      <c r="W173">
        <f ca="1">SUMIF('Tech Parameters'!$B$244:$B$269,$B173,'Tech Parameters'!AA$244:AA$269)*'Tech Parameters'!$H6*'Alt scen Calcs'!W8*8760</f>
        <v>67105.541995690277</v>
      </c>
      <c r="X173">
        <f ca="1">SUMIF('Tech Parameters'!$B$244:$B$269,$B173,'Tech Parameters'!AB$244:AB$269)*'Tech Parameters'!$H6*'Alt scen Calcs'!X8*8760</f>
        <v>64497.369145290126</v>
      </c>
      <c r="Y173">
        <f ca="1">SUMIF('Tech Parameters'!$B$244:$B$269,$B173,'Tech Parameters'!AC$244:AC$269)*'Tech Parameters'!$H6*'Alt scen Calcs'!Y8*8760</f>
        <v>61237.153082289929</v>
      </c>
      <c r="Z173">
        <f ca="1">SUMIF('Tech Parameters'!$B$244:$B$269,$B173,'Tech Parameters'!AD$244:AD$269)*'Tech Parameters'!$H6*'Alt scen Calcs'!Z8*8760</f>
        <v>57976.937019289733</v>
      </c>
      <c r="AA173">
        <f ca="1">SUMIF('Tech Parameters'!$B$244:$B$269,$B173,'Tech Parameters'!AE$244:AE$269)*'Tech Parameters'!$H6*'Alt scen Calcs'!AA8*8760</f>
        <v>54030.359679868452</v>
      </c>
      <c r="AB173">
        <f ca="1">SUMIF('Tech Parameters'!$B$244:$B$269,$B173,'Tech Parameters'!AF$244:AF$269)*'Tech Parameters'!$H6*'Alt scen Calcs'!AB8*8760</f>
        <v>46137.205001025875</v>
      </c>
      <c r="AC173">
        <f ca="1">SUMIF('Tech Parameters'!$B$244:$B$269,$B173,'Tech Parameters'!AG$244:AG$269)*'Tech Parameters'!$H6*'Alt scen Calcs'!AC8*8760</f>
        <v>42190.627661604587</v>
      </c>
      <c r="BA173" s="4"/>
      <c r="BL173" s="4"/>
    </row>
    <row r="174" spans="2:64">
      <c r="B174" t="str">
        <f>'Tech Parameters'!C7</f>
        <v>Existing coal small</v>
      </c>
      <c r="C174" t="str">
        <f>'Tech Parameters'!B7</f>
        <v>Existing coal Small</v>
      </c>
      <c r="D174">
        <f>SUMIF('Tech Parameters'!$B$244:$B$269,$B174,'Tech Parameters'!H$244:H$269)*'Tech Parameters'!$H7*'Alt scen Calcs'!D9*8760</f>
        <v>11481.108051601606</v>
      </c>
      <c r="E174">
        <f>SUMIF('Tech Parameters'!$B$244:$B$269,$B174,'Tech Parameters'!I$244:I$269)*'Tech Parameters'!$H7*'Alt scen Calcs'!E9*8760</f>
        <v>11481.108051601606</v>
      </c>
      <c r="F174">
        <f>SUMIF('Tech Parameters'!$B$244:$B$269,$B174,'Tech Parameters'!J$244:J$269)*'Tech Parameters'!$H7*'Alt scen Calcs'!F9*8760</f>
        <v>11481.108051601606</v>
      </c>
      <c r="G174">
        <f>SUMIF('Tech Parameters'!$B$244:$B$269,$B174,'Tech Parameters'!K$244:K$269)*'Tech Parameters'!$H7*'Alt scen Calcs'!G9*8760</f>
        <v>11481.108051601606</v>
      </c>
      <c r="H174">
        <f>SUMIF('Tech Parameters'!$B$244:$B$269,$B174,'Tech Parameters'!L$244:L$269)*'Tech Parameters'!$H7*'Alt scen Calcs'!H9*8760</f>
        <v>11481.108051601606</v>
      </c>
      <c r="I174">
        <f ca="1">SUMIF('Tech Parameters'!$B$244:$B$269,$B174,'Tech Parameters'!M$244:M$269)*'Tech Parameters'!$H7*'Alt scen Calcs'!I9*8760</f>
        <v>12924.051645819456</v>
      </c>
      <c r="J174">
        <f ca="1">SUMIF('Tech Parameters'!$B$244:$B$269,$B174,'Tech Parameters'!N$244:N$269)*'Tech Parameters'!$H7*'Alt scen Calcs'!J9*8760</f>
        <v>13777.564401403659</v>
      </c>
      <c r="K174">
        <f ca="1">SUMIF('Tech Parameters'!$B$244:$B$269,$B174,'Tech Parameters'!O$244:O$269)*'Tech Parameters'!$H7*'Alt scen Calcs'!K9*8760</f>
        <v>13777.564401403659</v>
      </c>
      <c r="L174">
        <f ca="1">SUMIF('Tech Parameters'!$B$244:$B$269,$B174,'Tech Parameters'!P$244:P$269)*'Tech Parameters'!$H7*'Alt scen Calcs'!L9*8760</f>
        <v>13777.564401403659</v>
      </c>
      <c r="M174">
        <f ca="1">SUMIF('Tech Parameters'!$B$244:$B$269,$B174,'Tech Parameters'!Q$244:Q$269)*'Tech Parameters'!$H7*'Alt scen Calcs'!M9*8760</f>
        <v>13777.564401403659</v>
      </c>
      <c r="N174">
        <f ca="1">SUMIF('Tech Parameters'!$B$244:$B$269,$B174,'Tech Parameters'!R$244:R$269)*'Tech Parameters'!$H7*'Alt scen Calcs'!N9*8760</f>
        <v>13777.564401403659</v>
      </c>
      <c r="O174">
        <f ca="1">SUMIF('Tech Parameters'!$B$244:$B$269,$B174,'Tech Parameters'!S$244:S$269)*'Tech Parameters'!$H7*'Alt scen Calcs'!O9*8760</f>
        <v>13698.339826318494</v>
      </c>
      <c r="P174">
        <f ca="1">SUMIF('Tech Parameters'!$B$244:$B$269,$B174,'Tech Parameters'!T$244:T$269)*'Tech Parameters'!$H7*'Alt scen Calcs'!P9*8760</f>
        <v>13619.115251233326</v>
      </c>
      <c r="Q174">
        <f ca="1">SUMIF('Tech Parameters'!$B$244:$B$269,$B174,'Tech Parameters'!U$244:U$269)*'Tech Parameters'!$H7*'Alt scen Calcs'!Q9*8760</f>
        <v>13513.482484453105</v>
      </c>
      <c r="R174">
        <f ca="1">SUMIF('Tech Parameters'!$B$244:$B$269,$B174,'Tech Parameters'!V$244:V$269)*'Tech Parameters'!$H7*'Alt scen Calcs'!R9*8760</f>
        <v>13407.84971767288</v>
      </c>
      <c r="S174">
        <f ca="1">SUMIF('Tech Parameters'!$B$244:$B$269,$B174,'Tech Parameters'!W$244:W$269)*'Tech Parameters'!$H7*'Alt scen Calcs'!S9*8760</f>
        <v>11400.827148848637</v>
      </c>
      <c r="T174">
        <f ca="1">SUMIF('Tech Parameters'!$B$244:$B$269,$B174,'Tech Parameters'!X$244:X$269)*'Tech Parameters'!$H7*'Alt scen Calcs'!T9*8760</f>
        <v>9393.8045800243945</v>
      </c>
      <c r="U174">
        <f ca="1">SUMIF('Tech Parameters'!$B$244:$B$269,$B174,'Tech Parameters'!Y$244:Y$269)*'Tech Parameters'!$H7*'Alt scen Calcs'!U9*8760</f>
        <v>9393.8045800243945</v>
      </c>
      <c r="V174">
        <f ca="1">SUMIF('Tech Parameters'!$B$244:$B$269,$B174,'Tech Parameters'!Z$244:Z$269)*'Tech Parameters'!$H7*'Alt scen Calcs'!V9*8760</f>
        <v>9393.8045800243945</v>
      </c>
      <c r="W174">
        <f ca="1">SUMIF('Tech Parameters'!$B$244:$B$269,$B174,'Tech Parameters'!AA$244:AA$269)*'Tech Parameters'!$H7*'Alt scen Calcs'!W9*8760</f>
        <v>9393.8045800243945</v>
      </c>
      <c r="X174">
        <f ca="1">SUMIF('Tech Parameters'!$B$244:$B$269,$B174,'Tech Parameters'!AB$244:AB$269)*'Tech Parameters'!$H7*'Alt scen Calcs'!X9*8760</f>
        <v>8469.0483917339716</v>
      </c>
      <c r="Y174">
        <f ca="1">SUMIF('Tech Parameters'!$B$244:$B$269,$B174,'Tech Parameters'!AC$244:AC$269)*'Tech Parameters'!$H7*'Alt scen Calcs'!Y9*8760</f>
        <v>7544.2922034435505</v>
      </c>
      <c r="Z174">
        <f ca="1">SUMIF('Tech Parameters'!$B$244:$B$269,$B174,'Tech Parameters'!AD$244:AD$269)*'Tech Parameters'!$H7*'Alt scen Calcs'!Z9*8760</f>
        <v>7544.2922034435505</v>
      </c>
      <c r="AA174">
        <f ca="1">SUMIF('Tech Parameters'!$B$244:$B$269,$B174,'Tech Parameters'!AE$244:AE$269)*'Tech Parameters'!$H7*'Alt scen Calcs'!AA9*8760</f>
        <v>7544.2922034435505</v>
      </c>
      <c r="AB174">
        <f ca="1">SUMIF('Tech Parameters'!$B$244:$B$269,$B174,'Tech Parameters'!AF$244:AF$269)*'Tech Parameters'!$H7*'Alt scen Calcs'!AB9*8760</f>
        <v>7544.2922034435505</v>
      </c>
      <c r="AC174">
        <f ca="1">SUMIF('Tech Parameters'!$B$244:$B$269,$B174,'Tech Parameters'!AG$244:AG$269)*'Tech Parameters'!$H7*'Alt scen Calcs'!AC9*8760</f>
        <v>7544.2922034435505</v>
      </c>
      <c r="BA174" s="4"/>
      <c r="BL174" s="4"/>
    </row>
    <row r="175" spans="2:64">
      <c r="B175" t="str">
        <f>'Tech Parameters'!C8</f>
        <v>Open-Cycle Gas Turbine diesel</v>
      </c>
      <c r="C175" t="str">
        <f>'Tech Parameters'!B8</f>
        <v>OCGT liquid fuels</v>
      </c>
      <c r="D175">
        <f>SUMIF('Tech Parameters'!$B$244:$B$269,$B175,'Tech Parameters'!H$244:H$269)*'Tech Parameters'!$H8*'Alt scen Calcs'!D10*8760</f>
        <v>651.77077055999985</v>
      </c>
      <c r="E175">
        <f>SUMIF('Tech Parameters'!$B$244:$B$269,$B175,'Tech Parameters'!I$244:I$269)*'Tech Parameters'!$H8*'Alt scen Calcs'!E10*8760</f>
        <v>651.77077055999985</v>
      </c>
      <c r="F175">
        <f>SUMIF('Tech Parameters'!$B$244:$B$269,$B175,'Tech Parameters'!J$244:J$269)*'Tech Parameters'!$H8*'Alt scen Calcs'!F10*8760</f>
        <v>651.77077055999985</v>
      </c>
      <c r="G175">
        <f>SUMIF('Tech Parameters'!$B$244:$B$269,$B175,'Tech Parameters'!K$244:K$269)*'Tech Parameters'!$H8*'Alt scen Calcs'!G10*8760</f>
        <v>651.77077055999985</v>
      </c>
      <c r="H175">
        <f>SUMIF('Tech Parameters'!$B$244:$B$269,$B175,'Tech Parameters'!L$244:L$269)*'Tech Parameters'!$H8*'Alt scen Calcs'!H10*8760</f>
        <v>651.77077055999985</v>
      </c>
      <c r="I175">
        <f ca="1">SUMIF('Tech Parameters'!$B$244:$B$269,$B175,'Tech Parameters'!M$244:M$269)*'Tech Parameters'!$H8*'Alt scen Calcs'!I10*8760</f>
        <v>651.77077055999985</v>
      </c>
      <c r="J175">
        <f ca="1">SUMIF('Tech Parameters'!$B$244:$B$269,$B175,'Tech Parameters'!N$244:N$269)*'Tech Parameters'!$H8*'Alt scen Calcs'!J10*8760</f>
        <v>945.06761731199981</v>
      </c>
      <c r="K175">
        <f ca="1">SUMIF('Tech Parameters'!$B$244:$B$269,$B175,'Tech Parameters'!O$244:O$269)*'Tech Parameters'!$H8*'Alt scen Calcs'!K10*8760</f>
        <v>945.06761731199981</v>
      </c>
      <c r="L175">
        <f ca="1">SUMIF('Tech Parameters'!$B$244:$B$269,$B175,'Tech Parameters'!P$244:P$269)*'Tech Parameters'!$H8*'Alt scen Calcs'!L10*8760</f>
        <v>945.06761731199981</v>
      </c>
      <c r="M175">
        <f ca="1">SUMIF('Tech Parameters'!$B$244:$B$269,$B175,'Tech Parameters'!Q$244:Q$269)*'Tech Parameters'!$H8*'Alt scen Calcs'!M10*8760</f>
        <v>945.06761731199981</v>
      </c>
      <c r="N175">
        <f ca="1">SUMIF('Tech Parameters'!$B$244:$B$269,$B175,'Tech Parameters'!R$244:R$269)*'Tech Parameters'!$H8*'Alt scen Calcs'!N10*8760</f>
        <v>945.06761731199981</v>
      </c>
      <c r="O175">
        <f ca="1">SUMIF('Tech Parameters'!$B$244:$B$269,$B175,'Tech Parameters'!S$244:S$269)*'Tech Parameters'!$H8*'Alt scen Calcs'!O10*8760</f>
        <v>945.06761731199981</v>
      </c>
      <c r="P175">
        <f ca="1">SUMIF('Tech Parameters'!$B$244:$B$269,$B175,'Tech Parameters'!T$244:T$269)*'Tech Parameters'!$H8*'Alt scen Calcs'!P10*8760</f>
        <v>945.06761731199981</v>
      </c>
      <c r="Q175">
        <f ca="1">SUMIF('Tech Parameters'!$B$244:$B$269,$B175,'Tech Parameters'!U$244:U$269)*'Tech Parameters'!$H8*'Alt scen Calcs'!Q10*8760</f>
        <v>945.06761731199981</v>
      </c>
      <c r="R175">
        <f ca="1">SUMIF('Tech Parameters'!$B$244:$B$269,$B175,'Tech Parameters'!V$244:V$269)*'Tech Parameters'!$H8*'Alt scen Calcs'!R10*8760</f>
        <v>945.06761731199981</v>
      </c>
      <c r="S175">
        <f ca="1">SUMIF('Tech Parameters'!$B$244:$B$269,$B175,'Tech Parameters'!W$244:W$269)*'Tech Parameters'!$H8*'Alt scen Calcs'!S10*8760</f>
        <v>945.06761731199981</v>
      </c>
      <c r="T175">
        <f ca="1">SUMIF('Tech Parameters'!$B$244:$B$269,$B175,'Tech Parameters'!X$244:X$269)*'Tech Parameters'!$H8*'Alt scen Calcs'!T10*8760</f>
        <v>945.06761731199981</v>
      </c>
      <c r="U175">
        <f ca="1">SUMIF('Tech Parameters'!$B$244:$B$269,$B175,'Tech Parameters'!Y$244:Y$269)*'Tech Parameters'!$H8*'Alt scen Calcs'!U10*8760</f>
        <v>945.06761731199981</v>
      </c>
      <c r="V175">
        <f ca="1">SUMIF('Tech Parameters'!$B$244:$B$269,$B175,'Tech Parameters'!Z$244:Z$269)*'Tech Parameters'!$H8*'Alt scen Calcs'!V10*8760</f>
        <v>945.06761731199981</v>
      </c>
      <c r="W175">
        <f ca="1">SUMIF('Tech Parameters'!$B$244:$B$269,$B175,'Tech Parameters'!AA$244:AA$269)*'Tech Parameters'!$H8*'Alt scen Calcs'!W10*8760</f>
        <v>945.06761731199981</v>
      </c>
      <c r="X175">
        <f ca="1">SUMIF('Tech Parameters'!$B$244:$B$269,$B175,'Tech Parameters'!AB$244:AB$269)*'Tech Parameters'!$H8*'Alt scen Calcs'!X10*8760</f>
        <v>945.06761731199981</v>
      </c>
      <c r="Y175">
        <f ca="1">SUMIF('Tech Parameters'!$B$244:$B$269,$B175,'Tech Parameters'!AC$244:AC$269)*'Tech Parameters'!$H8*'Alt scen Calcs'!Y10*8760</f>
        <v>1140.59884848</v>
      </c>
      <c r="Z175">
        <f ca="1">SUMIF('Tech Parameters'!$B$244:$B$269,$B175,'Tech Parameters'!AD$244:AD$269)*'Tech Parameters'!$H8*'Alt scen Calcs'!Z10*8760</f>
        <v>1140.59884848</v>
      </c>
      <c r="AA175">
        <f ca="1">SUMIF('Tech Parameters'!$B$244:$B$269,$B175,'Tech Parameters'!AE$244:AE$269)*'Tech Parameters'!$H8*'Alt scen Calcs'!AA10*8760</f>
        <v>1140.59884848</v>
      </c>
      <c r="AB175">
        <f ca="1">SUMIF('Tech Parameters'!$B$244:$B$269,$B175,'Tech Parameters'!AF$244:AF$269)*'Tech Parameters'!$H8*'Alt scen Calcs'!AB10*8760</f>
        <v>1401.3071567039999</v>
      </c>
      <c r="AC175">
        <f ca="1">SUMIF('Tech Parameters'!$B$244:$B$269,$B175,'Tech Parameters'!AG$244:AG$269)*'Tech Parameters'!$H8*'Alt scen Calcs'!AC10*8760</f>
        <v>1615.5767975255997</v>
      </c>
      <c r="BA175" s="4"/>
      <c r="BL175" s="4"/>
    </row>
    <row r="176" spans="2:64">
      <c r="B176" t="str">
        <f>'Tech Parameters'!C9</f>
        <v>Nuclear Pressurised Water Reactor</v>
      </c>
      <c r="C176" t="str">
        <f>'Tech Parameters'!B9</f>
        <v>PWR nuclear</v>
      </c>
      <c r="D176">
        <f>SUMIF('Tech Parameters'!$B$244:$B$269,$B176,'Tech Parameters'!H$244:H$269)*'Tech Parameters'!$H9*'Alt scen Calcs'!D11*8760</f>
        <v>13197.815999999999</v>
      </c>
      <c r="E176">
        <f>SUMIF('Tech Parameters'!$B$244:$B$269,$B176,'Tech Parameters'!I$244:I$269)*'Tech Parameters'!$H9*'Alt scen Calcs'!E11*8760</f>
        <v>13197.815999999999</v>
      </c>
      <c r="F176">
        <f>SUMIF('Tech Parameters'!$B$244:$B$269,$B176,'Tech Parameters'!J$244:J$269)*'Tech Parameters'!$H9*'Alt scen Calcs'!F11*8760</f>
        <v>13197.815999999999</v>
      </c>
      <c r="G176">
        <f>SUMIF('Tech Parameters'!$B$244:$B$269,$B176,'Tech Parameters'!K$244:K$269)*'Tech Parameters'!$H9*'Alt scen Calcs'!G11*8760</f>
        <v>13197.815999999999</v>
      </c>
      <c r="H176">
        <f>SUMIF('Tech Parameters'!$B$244:$B$269,$B176,'Tech Parameters'!L$244:L$269)*'Tech Parameters'!$H9*'Alt scen Calcs'!H11*8760</f>
        <v>13197.815999999999</v>
      </c>
      <c r="I176">
        <f ca="1">SUMIF('Tech Parameters'!$B$244:$B$269,$B176,'Tech Parameters'!M$244:M$269)*'Tech Parameters'!$H9*'Alt scen Calcs'!I11*8760</f>
        <v>13197.815999999999</v>
      </c>
      <c r="J176">
        <f ca="1">SUMIF('Tech Parameters'!$B$244:$B$269,$B176,'Tech Parameters'!N$244:N$269)*'Tech Parameters'!$H9*'Alt scen Calcs'!J11*8760</f>
        <v>13197.815999999999</v>
      </c>
      <c r="K176">
        <f ca="1">SUMIF('Tech Parameters'!$B$244:$B$269,$B176,'Tech Parameters'!O$244:O$269)*'Tech Parameters'!$H9*'Alt scen Calcs'!K11*8760</f>
        <v>13197.815999999999</v>
      </c>
      <c r="L176">
        <f ca="1">SUMIF('Tech Parameters'!$B$244:$B$269,$B176,'Tech Parameters'!P$244:P$269)*'Tech Parameters'!$H9*'Alt scen Calcs'!L11*8760</f>
        <v>13197.815999999999</v>
      </c>
      <c r="M176">
        <f ca="1">SUMIF('Tech Parameters'!$B$244:$B$269,$B176,'Tech Parameters'!Q$244:Q$269)*'Tech Parameters'!$H9*'Alt scen Calcs'!M11*8760</f>
        <v>13197.815999999999</v>
      </c>
      <c r="N176">
        <f ca="1">SUMIF('Tech Parameters'!$B$244:$B$269,$B176,'Tech Parameters'!R$244:R$269)*'Tech Parameters'!$H9*'Alt scen Calcs'!N11*8760</f>
        <v>13197.815999999999</v>
      </c>
      <c r="O176">
        <f ca="1">SUMIF('Tech Parameters'!$B$244:$B$269,$B176,'Tech Parameters'!S$244:S$269)*'Tech Parameters'!$H9*'Alt scen Calcs'!O11*8760</f>
        <v>13197.815999999999</v>
      </c>
      <c r="P176">
        <f ca="1">SUMIF('Tech Parameters'!$B$244:$B$269,$B176,'Tech Parameters'!T$244:T$269)*'Tech Parameters'!$H9*'Alt scen Calcs'!P11*8760</f>
        <v>13197.815999999999</v>
      </c>
      <c r="Q176">
        <f ca="1">SUMIF('Tech Parameters'!$B$244:$B$269,$B176,'Tech Parameters'!U$244:U$269)*'Tech Parameters'!$H9*'Alt scen Calcs'!Q11*8760</f>
        <v>13197.815999999999</v>
      </c>
      <c r="R176">
        <f ca="1">SUMIF('Tech Parameters'!$B$244:$B$269,$B176,'Tech Parameters'!V$244:V$269)*'Tech Parameters'!$H9*'Alt scen Calcs'!R11*8760</f>
        <v>13197.815999999999</v>
      </c>
      <c r="S176">
        <f ca="1">SUMIF('Tech Parameters'!$B$244:$B$269,$B176,'Tech Parameters'!W$244:W$269)*'Tech Parameters'!$H9*'Alt scen Calcs'!S11*8760</f>
        <v>13197.815999999999</v>
      </c>
      <c r="T176">
        <f ca="1">SUMIF('Tech Parameters'!$B$244:$B$269,$B176,'Tech Parameters'!X$244:X$269)*'Tech Parameters'!$H9*'Alt scen Calcs'!T11*8760</f>
        <v>13197.815999999999</v>
      </c>
      <c r="U176">
        <f ca="1">SUMIF('Tech Parameters'!$B$244:$B$269,$B176,'Tech Parameters'!Y$244:Y$269)*'Tech Parameters'!$H9*'Alt scen Calcs'!U11*8760</f>
        <v>13197.815999999999</v>
      </c>
      <c r="V176">
        <f ca="1">SUMIF('Tech Parameters'!$B$244:$B$269,$B176,'Tech Parameters'!Z$244:Z$269)*'Tech Parameters'!$H9*'Alt scen Calcs'!V11*8760</f>
        <v>13197.815999999999</v>
      </c>
      <c r="W176">
        <f ca="1">SUMIF('Tech Parameters'!$B$244:$B$269,$B176,'Tech Parameters'!AA$244:AA$269)*'Tech Parameters'!$H9*'Alt scen Calcs'!W11*8760</f>
        <v>13197.815999999999</v>
      </c>
      <c r="X176">
        <f ca="1">SUMIF('Tech Parameters'!$B$244:$B$269,$B176,'Tech Parameters'!AB$244:AB$269)*'Tech Parameters'!$H9*'Alt scen Calcs'!X11*8760</f>
        <v>13197.815999999999</v>
      </c>
      <c r="Y176">
        <f ca="1">SUMIF('Tech Parameters'!$B$244:$B$269,$B176,'Tech Parameters'!AC$244:AC$269)*'Tech Parameters'!$H9*'Alt scen Calcs'!Y11*8760</f>
        <v>13197.815999999999</v>
      </c>
      <c r="Z176">
        <f ca="1">SUMIF('Tech Parameters'!$B$244:$B$269,$B176,'Tech Parameters'!AD$244:AD$269)*'Tech Parameters'!$H9*'Alt scen Calcs'!Z11*8760</f>
        <v>13197.815999999999</v>
      </c>
      <c r="AA176">
        <f ca="1">SUMIF('Tech Parameters'!$B$244:$B$269,$B176,'Tech Parameters'!AE$244:AE$269)*'Tech Parameters'!$H9*'Alt scen Calcs'!AA11*8760</f>
        <v>13197.815999999999</v>
      </c>
      <c r="AB176">
        <f ca="1">SUMIF('Tech Parameters'!$B$244:$B$269,$B176,'Tech Parameters'!AF$244:AF$269)*'Tech Parameters'!$H9*'Alt scen Calcs'!AB11*8760</f>
        <v>13197.815999999999</v>
      </c>
      <c r="AC176">
        <f ca="1">SUMIF('Tech Parameters'!$B$244:$B$269,$B176,'Tech Parameters'!AG$244:AG$269)*'Tech Parameters'!$H9*'Alt scen Calcs'!AC11*8760</f>
        <v>13197.815999999999</v>
      </c>
      <c r="BA176" s="4"/>
      <c r="BL176" s="4"/>
    </row>
    <row r="177" spans="2:64">
      <c r="B177" t="str">
        <f>'Tech Parameters'!C10</f>
        <v>Hydro existing</v>
      </c>
      <c r="C177" t="str">
        <f>'Tech Parameters'!B10</f>
        <v>Hydro</v>
      </c>
      <c r="D177">
        <f>SUMIF('Tech Parameters'!$B$244:$B$269,$B177,'Tech Parameters'!H$244:H$269)*'Tech Parameters'!$H10*'Alt scen Calcs'!D12*8760</f>
        <v>811.76619047619067</v>
      </c>
      <c r="E177">
        <f>SUMIF('Tech Parameters'!$B$244:$B$269,$B177,'Tech Parameters'!I$244:I$269)*'Tech Parameters'!$H10*'Alt scen Calcs'!E12*8760</f>
        <v>811.76619047619067</v>
      </c>
      <c r="F177">
        <f>SUMIF('Tech Parameters'!$B$244:$B$269,$B177,'Tech Parameters'!J$244:J$269)*'Tech Parameters'!$H10*'Alt scen Calcs'!F12*8760</f>
        <v>811.76619047619067</v>
      </c>
      <c r="G177">
        <f>SUMIF('Tech Parameters'!$B$244:$B$269,$B177,'Tech Parameters'!K$244:K$269)*'Tech Parameters'!$H10*'Alt scen Calcs'!G12*8760</f>
        <v>811.76619047619067</v>
      </c>
      <c r="H177">
        <f>SUMIF('Tech Parameters'!$B$244:$B$269,$B177,'Tech Parameters'!L$244:L$269)*'Tech Parameters'!$H10*'Alt scen Calcs'!H12*8760</f>
        <v>811.76619047619067</v>
      </c>
      <c r="I177">
        <f ca="1">SUMIF('Tech Parameters'!$B$244:$B$269,$B177,'Tech Parameters'!M$244:M$269)*'Tech Parameters'!$H10*'Alt scen Calcs'!I12*8760</f>
        <v>811.76619047619067</v>
      </c>
      <c r="J177">
        <f ca="1">SUMIF('Tech Parameters'!$B$244:$B$269,$B177,'Tech Parameters'!N$244:N$269)*'Tech Parameters'!$H10*'Alt scen Calcs'!J12*8760</f>
        <v>811.76619047619067</v>
      </c>
      <c r="K177">
        <f ca="1">SUMIF('Tech Parameters'!$B$244:$B$269,$B177,'Tech Parameters'!O$244:O$269)*'Tech Parameters'!$H10*'Alt scen Calcs'!K12*8760</f>
        <v>811.76619047619067</v>
      </c>
      <c r="L177">
        <f ca="1">SUMIF('Tech Parameters'!$B$244:$B$269,$B177,'Tech Parameters'!P$244:P$269)*'Tech Parameters'!$H10*'Alt scen Calcs'!L12*8760</f>
        <v>811.76619047619067</v>
      </c>
      <c r="M177">
        <f ca="1">SUMIF('Tech Parameters'!$B$244:$B$269,$B177,'Tech Parameters'!Q$244:Q$269)*'Tech Parameters'!$H10*'Alt scen Calcs'!M12*8760</f>
        <v>811.76619047619067</v>
      </c>
      <c r="N177">
        <f ca="1">SUMIF('Tech Parameters'!$B$244:$B$269,$B177,'Tech Parameters'!R$244:R$269)*'Tech Parameters'!$H10*'Alt scen Calcs'!N12*8760</f>
        <v>811.76619047619067</v>
      </c>
      <c r="O177">
        <f ca="1">SUMIF('Tech Parameters'!$B$244:$B$269,$B177,'Tech Parameters'!S$244:S$269)*'Tech Parameters'!$H10*'Alt scen Calcs'!O12*8760</f>
        <v>811.76619047619067</v>
      </c>
      <c r="P177">
        <f ca="1">SUMIF('Tech Parameters'!$B$244:$B$269,$B177,'Tech Parameters'!T$244:T$269)*'Tech Parameters'!$H10*'Alt scen Calcs'!P12*8760</f>
        <v>811.76619047619067</v>
      </c>
      <c r="Q177">
        <f ca="1">SUMIF('Tech Parameters'!$B$244:$B$269,$B177,'Tech Parameters'!U$244:U$269)*'Tech Parameters'!$H10*'Alt scen Calcs'!Q12*8760</f>
        <v>811.76619047619067</v>
      </c>
      <c r="R177">
        <f ca="1">SUMIF('Tech Parameters'!$B$244:$B$269,$B177,'Tech Parameters'!V$244:V$269)*'Tech Parameters'!$H10*'Alt scen Calcs'!R12*8760</f>
        <v>811.76619047619067</v>
      </c>
      <c r="S177">
        <f ca="1">SUMIF('Tech Parameters'!$B$244:$B$269,$B177,'Tech Parameters'!W$244:W$269)*'Tech Parameters'!$H10*'Alt scen Calcs'!S12*8760</f>
        <v>811.76619047619067</v>
      </c>
      <c r="T177">
        <f ca="1">SUMIF('Tech Parameters'!$B$244:$B$269,$B177,'Tech Parameters'!X$244:X$269)*'Tech Parameters'!$H10*'Alt scen Calcs'!T12*8760</f>
        <v>811.76619047619067</v>
      </c>
      <c r="U177">
        <f ca="1">SUMIF('Tech Parameters'!$B$244:$B$269,$B177,'Tech Parameters'!Y$244:Y$269)*'Tech Parameters'!$H10*'Alt scen Calcs'!U12*8760</f>
        <v>811.76619047619067</v>
      </c>
      <c r="V177">
        <f ca="1">SUMIF('Tech Parameters'!$B$244:$B$269,$B177,'Tech Parameters'!Z$244:Z$269)*'Tech Parameters'!$H10*'Alt scen Calcs'!V12*8760</f>
        <v>811.76619047619067</v>
      </c>
      <c r="W177">
        <f ca="1">SUMIF('Tech Parameters'!$B$244:$B$269,$B177,'Tech Parameters'!AA$244:AA$269)*'Tech Parameters'!$H10*'Alt scen Calcs'!W12*8760</f>
        <v>811.76619047619067</v>
      </c>
      <c r="X177">
        <f ca="1">SUMIF('Tech Parameters'!$B$244:$B$269,$B177,'Tech Parameters'!AB$244:AB$269)*'Tech Parameters'!$H10*'Alt scen Calcs'!X12*8760</f>
        <v>811.76619047619067</v>
      </c>
      <c r="Y177">
        <f ca="1">SUMIF('Tech Parameters'!$B$244:$B$269,$B177,'Tech Parameters'!AC$244:AC$269)*'Tech Parameters'!$H10*'Alt scen Calcs'!Y12*8760</f>
        <v>811.76619047619067</v>
      </c>
      <c r="Z177">
        <f ca="1">SUMIF('Tech Parameters'!$B$244:$B$269,$B177,'Tech Parameters'!AD$244:AD$269)*'Tech Parameters'!$H10*'Alt scen Calcs'!Z12*8760</f>
        <v>811.76619047619067</v>
      </c>
      <c r="AA177">
        <f ca="1">SUMIF('Tech Parameters'!$B$244:$B$269,$B177,'Tech Parameters'!AE$244:AE$269)*'Tech Parameters'!$H10*'Alt scen Calcs'!AA12*8760</f>
        <v>811.76619047619067</v>
      </c>
      <c r="AB177">
        <f ca="1">SUMIF('Tech Parameters'!$B$244:$B$269,$B177,'Tech Parameters'!AF$244:AF$269)*'Tech Parameters'!$H10*'Alt scen Calcs'!AB12*8760</f>
        <v>811.76619047619067</v>
      </c>
      <c r="AC177">
        <f ca="1">SUMIF('Tech Parameters'!$B$244:$B$269,$B177,'Tech Parameters'!AG$244:AG$269)*'Tech Parameters'!$H10*'Alt scen Calcs'!AC12*8760</f>
        <v>811.76619047619067</v>
      </c>
      <c r="BA177" s="4"/>
      <c r="BL177" s="4"/>
    </row>
    <row r="178" spans="2:64">
      <c r="B178" t="str">
        <f>'Tech Parameters'!C11</f>
        <v>Landfill gas</v>
      </c>
      <c r="C178" t="str">
        <f>'Tech Parameters'!B11</f>
        <v>Landfill gas</v>
      </c>
      <c r="D178">
        <f>SUMIF('Tech Parameters'!$B$244:$B$269,$B178,'Tech Parameters'!H$244:H$269)*'Tech Parameters'!$H11*'Alt scen Calcs'!D13*8760</f>
        <v>524.66925000000003</v>
      </c>
      <c r="E178">
        <f>SUMIF('Tech Parameters'!$B$244:$B$269,$B178,'Tech Parameters'!I$244:I$269)*'Tech Parameters'!$H11*'Alt scen Calcs'!E13*8760</f>
        <v>524.66925000000003</v>
      </c>
      <c r="F178">
        <f>SUMIF('Tech Parameters'!$B$244:$B$269,$B178,'Tech Parameters'!J$244:J$269)*'Tech Parameters'!$H11*'Alt scen Calcs'!F13*8760</f>
        <v>524.66925000000003</v>
      </c>
      <c r="G178">
        <f>SUMIF('Tech Parameters'!$B$244:$B$269,$B178,'Tech Parameters'!K$244:K$269)*'Tech Parameters'!$H11*'Alt scen Calcs'!G13*8760</f>
        <v>524.66925000000003</v>
      </c>
      <c r="H178">
        <f>SUMIF('Tech Parameters'!$B$244:$B$269,$B178,'Tech Parameters'!L$244:L$269)*'Tech Parameters'!$H11*'Alt scen Calcs'!H13*8760</f>
        <v>524.66925000000003</v>
      </c>
      <c r="I178">
        <f ca="1">SUMIF('Tech Parameters'!$B$244:$B$269,$B178,'Tech Parameters'!M$244:M$269)*'Tech Parameters'!$H11*'Alt scen Calcs'!I13*8760</f>
        <v>524.66925000000003</v>
      </c>
      <c r="J178">
        <f ca="1">SUMIF('Tech Parameters'!$B$244:$B$269,$B178,'Tech Parameters'!N$244:N$269)*'Tech Parameters'!$H11*'Alt scen Calcs'!J13*8760</f>
        <v>524.66925000000003</v>
      </c>
      <c r="K178">
        <f ca="1">SUMIF('Tech Parameters'!$B$244:$B$269,$B178,'Tech Parameters'!O$244:O$269)*'Tech Parameters'!$H11*'Alt scen Calcs'!K13*8760</f>
        <v>524.66925000000003</v>
      </c>
      <c r="L178">
        <f ca="1">SUMIF('Tech Parameters'!$B$244:$B$269,$B178,'Tech Parameters'!P$244:P$269)*'Tech Parameters'!$H11*'Alt scen Calcs'!L13*8760</f>
        <v>524.66925000000003</v>
      </c>
      <c r="M178">
        <f ca="1">SUMIF('Tech Parameters'!$B$244:$B$269,$B178,'Tech Parameters'!Q$244:Q$269)*'Tech Parameters'!$H11*'Alt scen Calcs'!M13*8760</f>
        <v>524.66925000000003</v>
      </c>
      <c r="N178">
        <f ca="1">SUMIF('Tech Parameters'!$B$244:$B$269,$B178,'Tech Parameters'!R$244:R$269)*'Tech Parameters'!$H11*'Alt scen Calcs'!N13*8760</f>
        <v>524.66925000000003</v>
      </c>
      <c r="O178">
        <f ca="1">SUMIF('Tech Parameters'!$B$244:$B$269,$B178,'Tech Parameters'!S$244:S$269)*'Tech Parameters'!$H11*'Alt scen Calcs'!O13*8760</f>
        <v>524.66925000000003</v>
      </c>
      <c r="P178">
        <f ca="1">SUMIF('Tech Parameters'!$B$244:$B$269,$B178,'Tech Parameters'!T$244:T$269)*'Tech Parameters'!$H11*'Alt scen Calcs'!P13*8760</f>
        <v>524.66925000000003</v>
      </c>
      <c r="Q178">
        <f ca="1">SUMIF('Tech Parameters'!$B$244:$B$269,$B178,'Tech Parameters'!U$244:U$269)*'Tech Parameters'!$H11*'Alt scen Calcs'!Q13*8760</f>
        <v>524.66925000000003</v>
      </c>
      <c r="R178">
        <f ca="1">SUMIF('Tech Parameters'!$B$244:$B$269,$B178,'Tech Parameters'!V$244:V$269)*'Tech Parameters'!$H11*'Alt scen Calcs'!R13*8760</f>
        <v>524.66925000000003</v>
      </c>
      <c r="S178">
        <f ca="1">SUMIF('Tech Parameters'!$B$244:$B$269,$B178,'Tech Parameters'!W$244:W$269)*'Tech Parameters'!$H11*'Alt scen Calcs'!S13*8760</f>
        <v>524.66925000000003</v>
      </c>
      <c r="T178">
        <f ca="1">SUMIF('Tech Parameters'!$B$244:$B$269,$B178,'Tech Parameters'!X$244:X$269)*'Tech Parameters'!$H11*'Alt scen Calcs'!T13*8760</f>
        <v>524.66925000000003</v>
      </c>
      <c r="U178">
        <f ca="1">SUMIF('Tech Parameters'!$B$244:$B$269,$B178,'Tech Parameters'!Y$244:Y$269)*'Tech Parameters'!$H11*'Alt scen Calcs'!U13*8760</f>
        <v>524.66925000000003</v>
      </c>
      <c r="V178">
        <f ca="1">SUMIF('Tech Parameters'!$B$244:$B$269,$B178,'Tech Parameters'!Z$244:Z$269)*'Tech Parameters'!$H11*'Alt scen Calcs'!V13*8760</f>
        <v>524.66925000000003</v>
      </c>
      <c r="W178">
        <f ca="1">SUMIF('Tech Parameters'!$B$244:$B$269,$B178,'Tech Parameters'!AA$244:AA$269)*'Tech Parameters'!$H11*'Alt scen Calcs'!W13*8760</f>
        <v>524.66925000000003</v>
      </c>
      <c r="X178">
        <f ca="1">SUMIF('Tech Parameters'!$B$244:$B$269,$B178,'Tech Parameters'!AB$244:AB$269)*'Tech Parameters'!$H11*'Alt scen Calcs'!X13*8760</f>
        <v>524.66925000000003</v>
      </c>
      <c r="Y178">
        <f ca="1">SUMIF('Tech Parameters'!$B$244:$B$269,$B178,'Tech Parameters'!AC$244:AC$269)*'Tech Parameters'!$H11*'Alt scen Calcs'!Y13*8760</f>
        <v>524.66925000000003</v>
      </c>
      <c r="Z178">
        <f ca="1">SUMIF('Tech Parameters'!$B$244:$B$269,$B178,'Tech Parameters'!AD$244:AD$269)*'Tech Parameters'!$H11*'Alt scen Calcs'!Z13*8760</f>
        <v>524.66925000000003</v>
      </c>
      <c r="AA178">
        <f ca="1">SUMIF('Tech Parameters'!$B$244:$B$269,$B178,'Tech Parameters'!AE$244:AE$269)*'Tech Parameters'!$H11*'Alt scen Calcs'!AA13*8760</f>
        <v>524.66925000000003</v>
      </c>
      <c r="AB178">
        <f ca="1">SUMIF('Tech Parameters'!$B$244:$B$269,$B178,'Tech Parameters'!AF$244:AF$269)*'Tech Parameters'!$H11*'Alt scen Calcs'!AB13*8760</f>
        <v>524.66925000000003</v>
      </c>
      <c r="AC178">
        <f ca="1">SUMIF('Tech Parameters'!$B$244:$B$269,$B178,'Tech Parameters'!AG$244:AG$269)*'Tech Parameters'!$H11*'Alt scen Calcs'!AC13*8760</f>
        <v>524.66925000000003</v>
      </c>
      <c r="BA178" s="4"/>
      <c r="BL178" s="4"/>
    </row>
    <row r="179" spans="2:64">
      <c r="B179" t="str">
        <f>'Tech Parameters'!C12</f>
        <v>Biomass</v>
      </c>
      <c r="C179" t="str">
        <f>'Tech Parameters'!B12</f>
        <v>Biomass</v>
      </c>
      <c r="D179">
        <f>SUMIF('Tech Parameters'!$B$244:$B$269,$B179,'Tech Parameters'!H$244:H$269)*'Tech Parameters'!$H12*'Alt scen Calcs'!D14*8760</f>
        <v>1502.1209999999999</v>
      </c>
      <c r="E179">
        <f>SUMIF('Tech Parameters'!$B$244:$B$269,$B179,'Tech Parameters'!I$244:I$269)*'Tech Parameters'!$H12*'Alt scen Calcs'!E14*8760</f>
        <v>1502.1209999999999</v>
      </c>
      <c r="F179">
        <f>SUMIF('Tech Parameters'!$B$244:$B$269,$B179,'Tech Parameters'!J$244:J$269)*'Tech Parameters'!$H12*'Alt scen Calcs'!F14*8760</f>
        <v>1502.1209999999999</v>
      </c>
      <c r="G179">
        <f>SUMIF('Tech Parameters'!$B$244:$B$269,$B179,'Tech Parameters'!K$244:K$269)*'Tech Parameters'!$H12*'Alt scen Calcs'!G14*8760</f>
        <v>1502.1209999999999</v>
      </c>
      <c r="H179">
        <f>SUMIF('Tech Parameters'!$B$244:$B$269,$B179,'Tech Parameters'!L$244:L$269)*'Tech Parameters'!$H12*'Alt scen Calcs'!H14*8760</f>
        <v>1502.1209999999999</v>
      </c>
      <c r="I179">
        <f ca="1">SUMIF('Tech Parameters'!$B$244:$B$269,$B179,'Tech Parameters'!M$244:M$269)*'Tech Parameters'!$H12*'Alt scen Calcs'!I14*8760</f>
        <v>1502.1209999999999</v>
      </c>
      <c r="J179">
        <f ca="1">SUMIF('Tech Parameters'!$B$244:$B$269,$B179,'Tech Parameters'!N$244:N$269)*'Tech Parameters'!$H12*'Alt scen Calcs'!J14*8760</f>
        <v>1502.1209999999999</v>
      </c>
      <c r="K179">
        <f ca="1">SUMIF('Tech Parameters'!$B$244:$B$269,$B179,'Tech Parameters'!O$244:O$269)*'Tech Parameters'!$H12*'Alt scen Calcs'!K14*8760</f>
        <v>1502.1209999999999</v>
      </c>
      <c r="L179">
        <f ca="1">SUMIF('Tech Parameters'!$B$244:$B$269,$B179,'Tech Parameters'!P$244:P$269)*'Tech Parameters'!$H12*'Alt scen Calcs'!L14*8760</f>
        <v>1502.1209999999999</v>
      </c>
      <c r="M179">
        <f ca="1">SUMIF('Tech Parameters'!$B$244:$B$269,$B179,'Tech Parameters'!Q$244:Q$269)*'Tech Parameters'!$H12*'Alt scen Calcs'!M14*8760</f>
        <v>1502.1209999999999</v>
      </c>
      <c r="N179">
        <f ca="1">SUMIF('Tech Parameters'!$B$244:$B$269,$B179,'Tech Parameters'!R$244:R$269)*'Tech Parameters'!$H12*'Alt scen Calcs'!N14*8760</f>
        <v>1502.1209999999999</v>
      </c>
      <c r="O179">
        <f ca="1">SUMIF('Tech Parameters'!$B$244:$B$269,$B179,'Tech Parameters'!S$244:S$269)*'Tech Parameters'!$H12*'Alt scen Calcs'!O14*8760</f>
        <v>1502.1209999999999</v>
      </c>
      <c r="P179">
        <f ca="1">SUMIF('Tech Parameters'!$B$244:$B$269,$B179,'Tech Parameters'!T$244:T$269)*'Tech Parameters'!$H12*'Alt scen Calcs'!P14*8760</f>
        <v>1502.1209999999999</v>
      </c>
      <c r="Q179">
        <f ca="1">SUMIF('Tech Parameters'!$B$244:$B$269,$B179,'Tech Parameters'!U$244:U$269)*'Tech Parameters'!$H12*'Alt scen Calcs'!Q14*8760</f>
        <v>1502.1209999999999</v>
      </c>
      <c r="R179">
        <f ca="1">SUMIF('Tech Parameters'!$B$244:$B$269,$B179,'Tech Parameters'!V$244:V$269)*'Tech Parameters'!$H12*'Alt scen Calcs'!R14*8760</f>
        <v>1502.1209999999999</v>
      </c>
      <c r="S179">
        <f ca="1">SUMIF('Tech Parameters'!$B$244:$B$269,$B179,'Tech Parameters'!W$244:W$269)*'Tech Parameters'!$H12*'Alt scen Calcs'!S14*8760</f>
        <v>1502.1209999999999</v>
      </c>
      <c r="T179">
        <f ca="1">SUMIF('Tech Parameters'!$B$244:$B$269,$B179,'Tech Parameters'!X$244:X$269)*'Tech Parameters'!$H12*'Alt scen Calcs'!T14*8760</f>
        <v>1502.1209999999999</v>
      </c>
      <c r="U179">
        <f ca="1">SUMIF('Tech Parameters'!$B$244:$B$269,$B179,'Tech Parameters'!Y$244:Y$269)*'Tech Parameters'!$H12*'Alt scen Calcs'!U14*8760</f>
        <v>1502.1209999999999</v>
      </c>
      <c r="V179">
        <f ca="1">SUMIF('Tech Parameters'!$B$244:$B$269,$B179,'Tech Parameters'!Z$244:Z$269)*'Tech Parameters'!$H12*'Alt scen Calcs'!V14*8760</f>
        <v>1502.1209999999999</v>
      </c>
      <c r="W179">
        <f ca="1">SUMIF('Tech Parameters'!$B$244:$B$269,$B179,'Tech Parameters'!AA$244:AA$269)*'Tech Parameters'!$H12*'Alt scen Calcs'!W14*8760</f>
        <v>1502.1209999999999</v>
      </c>
      <c r="X179">
        <f ca="1">SUMIF('Tech Parameters'!$B$244:$B$269,$B179,'Tech Parameters'!AB$244:AB$269)*'Tech Parameters'!$H12*'Alt scen Calcs'!X14*8760</f>
        <v>1502.1209999999999</v>
      </c>
      <c r="Y179">
        <f ca="1">SUMIF('Tech Parameters'!$B$244:$B$269,$B179,'Tech Parameters'!AC$244:AC$269)*'Tech Parameters'!$H12*'Alt scen Calcs'!Y14*8760</f>
        <v>1502.1209999999999</v>
      </c>
      <c r="Z179">
        <f ca="1">SUMIF('Tech Parameters'!$B$244:$B$269,$B179,'Tech Parameters'!AD$244:AD$269)*'Tech Parameters'!$H12*'Alt scen Calcs'!Z14*8760</f>
        <v>1502.1209999999999</v>
      </c>
      <c r="AA179">
        <f ca="1">SUMIF('Tech Parameters'!$B$244:$B$269,$B179,'Tech Parameters'!AE$244:AE$269)*'Tech Parameters'!$H12*'Alt scen Calcs'!AA14*8760</f>
        <v>1502.1209999999999</v>
      </c>
      <c r="AB179">
        <f ca="1">SUMIF('Tech Parameters'!$B$244:$B$269,$B179,'Tech Parameters'!AF$244:AF$269)*'Tech Parameters'!$H12*'Alt scen Calcs'!AB14*8760</f>
        <v>1502.1209999999999</v>
      </c>
      <c r="AC179">
        <f ca="1">SUMIF('Tech Parameters'!$B$244:$B$269,$B179,'Tech Parameters'!AG$244:AG$269)*'Tech Parameters'!$H12*'Alt scen Calcs'!AC14*8760</f>
        <v>1502.1209999999999</v>
      </c>
      <c r="BA179" s="4"/>
      <c r="BL179" s="4"/>
    </row>
    <row r="180" spans="2:64">
      <c r="B180" t="str">
        <f>'Tech Parameters'!C13</f>
        <v>Supercritical Coal</v>
      </c>
      <c r="C180" t="str">
        <f>'Tech Parameters'!B13</f>
        <v>Supercritical coal</v>
      </c>
      <c r="D180">
        <f>SUMIF('Tech Parameters'!$B$244:$B$269,$B180,'Tech Parameters'!H$244:H$269)*'Tech Parameters'!$H13*'Alt scen Calcs'!D15*8760</f>
        <v>0</v>
      </c>
      <c r="E180">
        <f>SUMIF('Tech Parameters'!$B$244:$B$269,$B180,'Tech Parameters'!I$244:I$269)*'Tech Parameters'!$H13*'Alt scen Calcs'!E15*8760</f>
        <v>0</v>
      </c>
      <c r="F180">
        <f>SUMIF('Tech Parameters'!$B$244:$B$269,$B180,'Tech Parameters'!J$244:J$269)*'Tech Parameters'!$H13*'Alt scen Calcs'!F15*8760</f>
        <v>0</v>
      </c>
      <c r="G180">
        <f>SUMIF('Tech Parameters'!$B$244:$B$269,$B180,'Tech Parameters'!K$244:K$269)*'Tech Parameters'!$H13*'Alt scen Calcs'!G15*8760</f>
        <v>0</v>
      </c>
      <c r="H180">
        <f>SUMIF('Tech Parameters'!$B$244:$B$269,$B180,'Tech Parameters'!L$244:L$269)*'Tech Parameters'!$H13*'Alt scen Calcs'!H15*8760</f>
        <v>0</v>
      </c>
      <c r="I180">
        <f ca="1">SUMIF('Tech Parameters'!$B$244:$B$269,$B180,'Tech Parameters'!M$244:M$269)*'Tech Parameters'!$H13*'Alt scen Calcs'!I15*8760</f>
        <v>0</v>
      </c>
      <c r="J180">
        <f ca="1">SUMIF('Tech Parameters'!$B$244:$B$269,$B180,'Tech Parameters'!N$244:N$269)*'Tech Parameters'!$H13*'Alt scen Calcs'!J15*8760</f>
        <v>0</v>
      </c>
      <c r="K180">
        <f ca="1">SUMIF('Tech Parameters'!$B$244:$B$269,$B180,'Tech Parameters'!O$244:O$269)*'Tech Parameters'!$H13*'Alt scen Calcs'!K15*8760</f>
        <v>1693.7365830000003</v>
      </c>
      <c r="L180">
        <f ca="1">SUMIF('Tech Parameters'!$B$244:$B$269,$B180,'Tech Parameters'!P$244:P$269)*'Tech Parameters'!$H13*'Alt scen Calcs'!L15*8760</f>
        <v>5081.2097490000015</v>
      </c>
      <c r="M180">
        <f ca="1">SUMIF('Tech Parameters'!$B$244:$B$269,$B180,'Tech Parameters'!Q$244:Q$269)*'Tech Parameters'!$H13*'Alt scen Calcs'!M15*8760</f>
        <v>10162.419498000003</v>
      </c>
      <c r="N180">
        <f ca="1">SUMIF('Tech Parameters'!$B$244:$B$269,$B180,'Tech Parameters'!R$244:R$269)*'Tech Parameters'!$H13*'Alt scen Calcs'!N15*8760</f>
        <v>15243.629247000003</v>
      </c>
      <c r="O180">
        <f ca="1">SUMIF('Tech Parameters'!$B$244:$B$269,$B180,'Tech Parameters'!S$244:S$269)*'Tech Parameters'!$H13*'Alt scen Calcs'!O15*8760</f>
        <v>18631.102413000004</v>
      </c>
      <c r="P180">
        <f ca="1">SUMIF('Tech Parameters'!$B$244:$B$269,$B180,'Tech Parameters'!T$244:T$269)*'Tech Parameters'!$H13*'Alt scen Calcs'!P15*8760</f>
        <v>20324.83899600001</v>
      </c>
      <c r="Q180">
        <f ca="1">SUMIF('Tech Parameters'!$B$244:$B$269,$B180,'Tech Parameters'!U$244:U$269)*'Tech Parameters'!$H13*'Alt scen Calcs'!Q15*8760</f>
        <v>20324.83899600001</v>
      </c>
      <c r="R180">
        <f ca="1">SUMIF('Tech Parameters'!$B$244:$B$269,$B180,'Tech Parameters'!V$244:V$269)*'Tech Parameters'!$H13*'Alt scen Calcs'!R15*8760</f>
        <v>20324.83899600001</v>
      </c>
      <c r="S180">
        <f ca="1">SUMIF('Tech Parameters'!$B$244:$B$269,$B180,'Tech Parameters'!W$244:W$269)*'Tech Parameters'!$H13*'Alt scen Calcs'!S15*8760</f>
        <v>20324.83899600001</v>
      </c>
      <c r="T180">
        <f ca="1">SUMIF('Tech Parameters'!$B$244:$B$269,$B180,'Tech Parameters'!X$244:X$269)*'Tech Parameters'!$H13*'Alt scen Calcs'!T15*8760</f>
        <v>20324.83899600001</v>
      </c>
      <c r="U180">
        <f ca="1">SUMIF('Tech Parameters'!$B$244:$B$269,$B180,'Tech Parameters'!Y$244:Y$269)*'Tech Parameters'!$H13*'Alt scen Calcs'!U15*8760</f>
        <v>20324.83899600001</v>
      </c>
      <c r="V180">
        <f ca="1">SUMIF('Tech Parameters'!$B$244:$B$269,$B180,'Tech Parameters'!Z$244:Z$269)*'Tech Parameters'!$H13*'Alt scen Calcs'!V15*8760</f>
        <v>20324.83899600001</v>
      </c>
      <c r="W180">
        <f ca="1">SUMIF('Tech Parameters'!$B$244:$B$269,$B180,'Tech Parameters'!AA$244:AA$269)*'Tech Parameters'!$H13*'Alt scen Calcs'!W15*8760</f>
        <v>20324.83899600001</v>
      </c>
      <c r="X180">
        <f ca="1">SUMIF('Tech Parameters'!$B$244:$B$269,$B180,'Tech Parameters'!AB$244:AB$269)*'Tech Parameters'!$H13*'Alt scen Calcs'!X15*8760</f>
        <v>20324.83899600001</v>
      </c>
      <c r="Y180">
        <f ca="1">SUMIF('Tech Parameters'!$B$244:$B$269,$B180,'Tech Parameters'!AC$244:AC$269)*'Tech Parameters'!$H13*'Alt scen Calcs'!Y15*8760</f>
        <v>20324.83899600001</v>
      </c>
      <c r="Z180">
        <f ca="1">SUMIF('Tech Parameters'!$B$244:$B$269,$B180,'Tech Parameters'!AD$244:AD$269)*'Tech Parameters'!$H13*'Alt scen Calcs'!Z15*8760</f>
        <v>20324.83899600001</v>
      </c>
      <c r="AA180">
        <f ca="1">SUMIF('Tech Parameters'!$B$244:$B$269,$B180,'Tech Parameters'!AE$244:AE$269)*'Tech Parameters'!$H13*'Alt scen Calcs'!AA15*8760</f>
        <v>20324.83899600001</v>
      </c>
      <c r="AB180">
        <f ca="1">SUMIF('Tech Parameters'!$B$244:$B$269,$B180,'Tech Parameters'!AF$244:AF$269)*'Tech Parameters'!$H13*'Alt scen Calcs'!AB15*8760</f>
        <v>20324.83899600001</v>
      </c>
      <c r="AC180">
        <f ca="1">SUMIF('Tech Parameters'!$B$244:$B$269,$B180,'Tech Parameters'!AG$244:AG$269)*'Tech Parameters'!$H13*'Alt scen Calcs'!AC15*8760</f>
        <v>20324.83899600001</v>
      </c>
      <c r="BA180" s="4"/>
      <c r="BL180" s="4"/>
    </row>
    <row r="181" spans="2:64">
      <c r="B181" t="str">
        <f>'Tech Parameters'!C14</f>
        <v>Wind</v>
      </c>
      <c r="C181" t="str">
        <f>'Tech Parameters'!B14</f>
        <v xml:space="preserve">Wind 30% </v>
      </c>
      <c r="D181">
        <f>SUMIF('Tech Parameters'!$B$244:$B$269,$B181,'Tech Parameters'!H$244:H$269)*'Tech Parameters'!$H14*'Alt scen Calcs'!D16*8760</f>
        <v>0</v>
      </c>
      <c r="E181">
        <f>SUMIF('Tech Parameters'!$B$244:$B$269,$B181,'Tech Parameters'!I$244:I$269)*'Tech Parameters'!$H14*'Alt scen Calcs'!E16*8760</f>
        <v>0</v>
      </c>
      <c r="F181">
        <f>SUMIF('Tech Parameters'!$B$244:$B$269,$B181,'Tech Parameters'!J$244:J$269)*'Tech Parameters'!$H14*'Alt scen Calcs'!F16*8760</f>
        <v>0</v>
      </c>
      <c r="G181">
        <f>SUMIF('Tech Parameters'!$B$244:$B$269,$B181,'Tech Parameters'!K$244:K$269)*'Tech Parameters'!$H14*'Alt scen Calcs'!G16*8760</f>
        <v>0</v>
      </c>
      <c r="H181">
        <f>SUMIF('Tech Parameters'!$B$244:$B$269,$B181,'Tech Parameters'!L$244:L$269)*'Tech Parameters'!$H14*'Alt scen Calcs'!H16*8760</f>
        <v>0</v>
      </c>
      <c r="I181">
        <f ca="1">SUMIF('Tech Parameters'!$B$244:$B$269,$B181,'Tech Parameters'!M$244:M$269)*'Tech Parameters'!$H14*'Alt scen Calcs'!I16*8760</f>
        <v>262.8</v>
      </c>
      <c r="J181">
        <f ca="1">SUMIF('Tech Parameters'!$B$244:$B$269,$B181,'Tech Parameters'!N$244:N$269)*'Tech Parameters'!$H14*'Alt scen Calcs'!J16*8760</f>
        <v>788.40000000000009</v>
      </c>
      <c r="K181">
        <f ca="1">SUMIF('Tech Parameters'!$B$244:$B$269,$B181,'Tech Parameters'!O$244:O$269)*'Tech Parameters'!$H14*'Alt scen Calcs'!K16*8760</f>
        <v>1314</v>
      </c>
      <c r="L181">
        <f ca="1">SUMIF('Tech Parameters'!$B$244:$B$269,$B181,'Tech Parameters'!P$244:P$269)*'Tech Parameters'!$H14*'Alt scen Calcs'!L16*8760</f>
        <v>2365.2000000000003</v>
      </c>
      <c r="M181">
        <f ca="1">SUMIF('Tech Parameters'!$B$244:$B$269,$B181,'Tech Parameters'!Q$244:Q$269)*'Tech Parameters'!$H14*'Alt scen Calcs'!M16*8760</f>
        <v>3416.4</v>
      </c>
      <c r="N181">
        <f ca="1">SUMIF('Tech Parameters'!$B$244:$B$269,$B181,'Tech Parameters'!R$244:R$269)*'Tech Parameters'!$H14*'Alt scen Calcs'!N16*8760</f>
        <v>5518.8</v>
      </c>
      <c r="O181">
        <f ca="1">SUMIF('Tech Parameters'!$B$244:$B$269,$B181,'Tech Parameters'!S$244:S$269)*'Tech Parameters'!$H14*'Alt scen Calcs'!O16*8760</f>
        <v>7621.2000000000007</v>
      </c>
      <c r="P181">
        <f ca="1">SUMIF('Tech Parameters'!$B$244:$B$269,$B181,'Tech Parameters'!T$244:T$269)*'Tech Parameters'!$H14*'Alt scen Calcs'!P16*8760</f>
        <v>10249.200000000001</v>
      </c>
      <c r="Q181">
        <f ca="1">SUMIF('Tech Parameters'!$B$244:$B$269,$B181,'Tech Parameters'!U$244:U$269)*'Tech Parameters'!$H14*'Alt scen Calcs'!Q16*8760</f>
        <v>12877.199999999999</v>
      </c>
      <c r="R181">
        <f ca="1">SUMIF('Tech Parameters'!$B$244:$B$269,$B181,'Tech Parameters'!V$244:V$269)*'Tech Parameters'!$H14*'Alt scen Calcs'!R16*8760</f>
        <v>16819.2</v>
      </c>
      <c r="S181">
        <f ca="1">SUMIF('Tech Parameters'!$B$244:$B$269,$B181,'Tech Parameters'!W$244:W$269)*'Tech Parameters'!$H14*'Alt scen Calcs'!S16*8760</f>
        <v>20761.2</v>
      </c>
      <c r="T181">
        <f ca="1">SUMIF('Tech Parameters'!$B$244:$B$269,$B181,'Tech Parameters'!X$244:X$269)*'Tech Parameters'!$H14*'Alt scen Calcs'!T16*8760</f>
        <v>26017.200000000001</v>
      </c>
      <c r="U181">
        <f ca="1">SUMIF('Tech Parameters'!$B$244:$B$269,$B181,'Tech Parameters'!Y$244:Y$269)*'Tech Parameters'!$H14*'Alt scen Calcs'!U16*8760</f>
        <v>26017.200000000001</v>
      </c>
      <c r="V181">
        <f ca="1">SUMIF('Tech Parameters'!$B$244:$B$269,$B181,'Tech Parameters'!Z$244:Z$269)*'Tech Parameters'!$H14*'Alt scen Calcs'!V16*8760</f>
        <v>26017.200000000001</v>
      </c>
      <c r="W181">
        <f ca="1">SUMIF('Tech Parameters'!$B$244:$B$269,$B181,'Tech Parameters'!AA$244:AA$269)*'Tech Parameters'!$H14*'Alt scen Calcs'!W16*8760</f>
        <v>26017.200000000001</v>
      </c>
      <c r="X181">
        <f ca="1">SUMIF('Tech Parameters'!$B$244:$B$269,$B181,'Tech Parameters'!AB$244:AB$269)*'Tech Parameters'!$H14*'Alt scen Calcs'!X16*8760</f>
        <v>26017.200000000001</v>
      </c>
      <c r="Y181">
        <f ca="1">SUMIF('Tech Parameters'!$B$244:$B$269,$B181,'Tech Parameters'!AC$244:AC$269)*'Tech Parameters'!$H14*'Alt scen Calcs'!Y16*8760</f>
        <v>26017.200000000001</v>
      </c>
      <c r="Z181">
        <f ca="1">SUMIF('Tech Parameters'!$B$244:$B$269,$B181,'Tech Parameters'!AD$244:AD$269)*'Tech Parameters'!$H14*'Alt scen Calcs'!Z16*8760</f>
        <v>26017.200000000001</v>
      </c>
      <c r="AA181">
        <f ca="1">SUMIF('Tech Parameters'!$B$244:$B$269,$B181,'Tech Parameters'!AE$244:AE$269)*'Tech Parameters'!$H14*'Alt scen Calcs'!AA16*8760</f>
        <v>26017.200000000001</v>
      </c>
      <c r="AB181">
        <f ca="1">SUMIF('Tech Parameters'!$B$244:$B$269,$B181,'Tech Parameters'!AF$244:AF$269)*'Tech Parameters'!$H14*'Alt scen Calcs'!AB16*8760</f>
        <v>26017.200000000001</v>
      </c>
      <c r="AC181">
        <f ca="1">SUMIF('Tech Parameters'!$B$244:$B$269,$B181,'Tech Parameters'!AG$244:AG$269)*'Tech Parameters'!$H14*'Alt scen Calcs'!AC16*8760</f>
        <v>25754.399999999998</v>
      </c>
      <c r="BA181" s="4"/>
      <c r="BL181" s="4"/>
    </row>
    <row r="182" spans="2:64">
      <c r="B182" t="str">
        <f>'Tech Parameters'!C15</f>
        <v>Wind</v>
      </c>
      <c r="C182" t="str">
        <f>'Tech Parameters'!B15</f>
        <v>Wind 25%</v>
      </c>
      <c r="D182">
        <f>SUMIF('Tech Parameters'!$B$244:$B$269,$B182,'Tech Parameters'!H$244:H$269)*'Tech Parameters'!$H15*'Alt scen Calcs'!D17*8760</f>
        <v>0</v>
      </c>
      <c r="E182">
        <f>SUMIF('Tech Parameters'!$B$244:$B$269,$B182,'Tech Parameters'!I$244:I$269)*'Tech Parameters'!$H15*'Alt scen Calcs'!E17*8760</f>
        <v>0</v>
      </c>
      <c r="F182">
        <f>SUMIF('Tech Parameters'!$B$244:$B$269,$B182,'Tech Parameters'!J$244:J$269)*'Tech Parameters'!$H15*'Alt scen Calcs'!F17*8760</f>
        <v>0</v>
      </c>
      <c r="G182">
        <f>SUMIF('Tech Parameters'!$B$244:$B$269,$B182,'Tech Parameters'!K$244:K$269)*'Tech Parameters'!$H15*'Alt scen Calcs'!G17*8760</f>
        <v>0</v>
      </c>
      <c r="H182">
        <f>SUMIF('Tech Parameters'!$B$244:$B$269,$B182,'Tech Parameters'!L$244:L$269)*'Tech Parameters'!$H15*'Alt scen Calcs'!H17*8760</f>
        <v>0</v>
      </c>
      <c r="I182">
        <f ca="1">SUMIF('Tech Parameters'!$B$244:$B$269,$B182,'Tech Parameters'!M$244:M$269)*'Tech Parameters'!$H15*'Alt scen Calcs'!I17*8760</f>
        <v>0</v>
      </c>
      <c r="J182">
        <f ca="1">SUMIF('Tech Parameters'!$B$244:$B$269,$B182,'Tech Parameters'!N$244:N$269)*'Tech Parameters'!$H15*'Alt scen Calcs'!J17*8760</f>
        <v>0</v>
      </c>
      <c r="K182">
        <f ca="1">SUMIF('Tech Parameters'!$B$244:$B$269,$B182,'Tech Parameters'!O$244:O$269)*'Tech Parameters'!$H15*'Alt scen Calcs'!K17*8760</f>
        <v>0</v>
      </c>
      <c r="L182">
        <f ca="1">SUMIF('Tech Parameters'!$B$244:$B$269,$B182,'Tech Parameters'!P$244:P$269)*'Tech Parameters'!$H15*'Alt scen Calcs'!L17*8760</f>
        <v>0</v>
      </c>
      <c r="M182">
        <f ca="1">SUMIF('Tech Parameters'!$B$244:$B$269,$B182,'Tech Parameters'!Q$244:Q$269)*'Tech Parameters'!$H15*'Alt scen Calcs'!M17*8760</f>
        <v>0</v>
      </c>
      <c r="N182">
        <f ca="1">SUMIF('Tech Parameters'!$B$244:$B$269,$B182,'Tech Parameters'!R$244:R$269)*'Tech Parameters'!$H15*'Alt scen Calcs'!N17*8760</f>
        <v>0</v>
      </c>
      <c r="O182">
        <f ca="1">SUMIF('Tech Parameters'!$B$244:$B$269,$B182,'Tech Parameters'!S$244:S$269)*'Tech Parameters'!$H15*'Alt scen Calcs'!O17*8760</f>
        <v>0</v>
      </c>
      <c r="P182">
        <f ca="1">SUMIF('Tech Parameters'!$B$244:$B$269,$B182,'Tech Parameters'!T$244:T$269)*'Tech Parameters'!$H15*'Alt scen Calcs'!P17*8760</f>
        <v>0</v>
      </c>
      <c r="Q182">
        <f ca="1">SUMIF('Tech Parameters'!$B$244:$B$269,$B182,'Tech Parameters'!U$244:U$269)*'Tech Parameters'!$H15*'Alt scen Calcs'!Q17*8760</f>
        <v>0</v>
      </c>
      <c r="R182">
        <f ca="1">SUMIF('Tech Parameters'!$B$244:$B$269,$B182,'Tech Parameters'!V$244:V$269)*'Tech Parameters'!$H15*'Alt scen Calcs'!R17*8760</f>
        <v>0</v>
      </c>
      <c r="S182">
        <f ca="1">SUMIF('Tech Parameters'!$B$244:$B$269,$B182,'Tech Parameters'!W$244:W$269)*'Tech Parameters'!$H15*'Alt scen Calcs'!S17*8760</f>
        <v>0</v>
      </c>
      <c r="T182">
        <f ca="1">SUMIF('Tech Parameters'!$B$244:$B$269,$B182,'Tech Parameters'!X$244:X$269)*'Tech Parameters'!$H15*'Alt scen Calcs'!T17*8760</f>
        <v>0</v>
      </c>
      <c r="U182">
        <f ca="1">SUMIF('Tech Parameters'!$B$244:$B$269,$B182,'Tech Parameters'!Y$244:Y$269)*'Tech Parameters'!$H15*'Alt scen Calcs'!U17*8760</f>
        <v>2190</v>
      </c>
      <c r="V182">
        <f ca="1">SUMIF('Tech Parameters'!$B$244:$B$269,$B182,'Tech Parameters'!Z$244:Z$269)*'Tech Parameters'!$H15*'Alt scen Calcs'!V17*8760</f>
        <v>4380</v>
      </c>
      <c r="W182">
        <f ca="1">SUMIF('Tech Parameters'!$B$244:$B$269,$B182,'Tech Parameters'!AA$244:AA$269)*'Tech Parameters'!$H15*'Alt scen Calcs'!W17*8760</f>
        <v>6570</v>
      </c>
      <c r="X182">
        <f ca="1">SUMIF('Tech Parameters'!$B$244:$B$269,$B182,'Tech Parameters'!AB$244:AB$269)*'Tech Parameters'!$H15*'Alt scen Calcs'!X17*8760</f>
        <v>8760</v>
      </c>
      <c r="Y182">
        <f ca="1">SUMIF('Tech Parameters'!$B$244:$B$269,$B182,'Tech Parameters'!AC$244:AC$269)*'Tech Parameters'!$H15*'Alt scen Calcs'!Y17*8760</f>
        <v>10950</v>
      </c>
      <c r="Z182">
        <f ca="1">SUMIF('Tech Parameters'!$B$244:$B$269,$B182,'Tech Parameters'!AD$244:AD$269)*'Tech Parameters'!$H15*'Alt scen Calcs'!Z17*8760</f>
        <v>13140</v>
      </c>
      <c r="AA182">
        <f ca="1">SUMIF('Tech Parameters'!$B$244:$B$269,$B182,'Tech Parameters'!AE$244:AE$269)*'Tech Parameters'!$H15*'Alt scen Calcs'!AA17*8760</f>
        <v>15330</v>
      </c>
      <c r="AB182">
        <f ca="1">SUMIF('Tech Parameters'!$B$244:$B$269,$B182,'Tech Parameters'!AF$244:AF$269)*'Tech Parameters'!$H15*'Alt scen Calcs'!AB17*8760</f>
        <v>17520</v>
      </c>
      <c r="AC182">
        <f ca="1">SUMIF('Tech Parameters'!$B$244:$B$269,$B182,'Tech Parameters'!AG$244:AG$269)*'Tech Parameters'!$H15*'Alt scen Calcs'!AC17*8760</f>
        <v>19710</v>
      </c>
      <c r="BA182" s="4"/>
      <c r="BL182" s="4"/>
    </row>
    <row r="183" spans="2:64">
      <c r="B183" t="str">
        <f>'Tech Parameters'!C16</f>
        <v>Solar Central Receiver</v>
      </c>
      <c r="C183" t="str">
        <f>'Tech Parameters'!B16</f>
        <v>solar thermal central reciever</v>
      </c>
      <c r="D183">
        <f>SUMIF('Tech Parameters'!$B$244:$B$269,$B183,'Tech Parameters'!H$244:H$269)*'Tech Parameters'!$H16*'Alt scen Calcs'!D18*8760</f>
        <v>0</v>
      </c>
      <c r="E183">
        <f>SUMIF('Tech Parameters'!$B$244:$B$269,$B183,'Tech Parameters'!I$244:I$269)*'Tech Parameters'!$H16*'Alt scen Calcs'!E18*8760</f>
        <v>0</v>
      </c>
      <c r="F183">
        <f>SUMIF('Tech Parameters'!$B$244:$B$269,$B183,'Tech Parameters'!J$244:J$269)*'Tech Parameters'!$H16*'Alt scen Calcs'!F18*8760</f>
        <v>0</v>
      </c>
      <c r="G183">
        <f>SUMIF('Tech Parameters'!$B$244:$B$269,$B183,'Tech Parameters'!K$244:K$269)*'Tech Parameters'!$H16*'Alt scen Calcs'!G18*8760</f>
        <v>0</v>
      </c>
      <c r="H183">
        <f>SUMIF('Tech Parameters'!$B$244:$B$269,$B183,'Tech Parameters'!L$244:L$269)*'Tech Parameters'!$H16*'Alt scen Calcs'!H18*8760</f>
        <v>0</v>
      </c>
      <c r="I183">
        <f ca="1">SUMIF('Tech Parameters'!$B$244:$B$269,$B183,'Tech Parameters'!M$244:M$269)*'Tech Parameters'!$H16*'Alt scen Calcs'!I18*8760</f>
        <v>0</v>
      </c>
      <c r="J183">
        <f ca="1">SUMIF('Tech Parameters'!$B$244:$B$269,$B183,'Tech Parameters'!N$244:N$269)*'Tech Parameters'!$H16*'Alt scen Calcs'!J18*8760</f>
        <v>0</v>
      </c>
      <c r="K183">
        <f ca="1">SUMIF('Tech Parameters'!$B$244:$B$269,$B183,'Tech Parameters'!O$244:O$269)*'Tech Parameters'!$H16*'Alt scen Calcs'!K18*8760</f>
        <v>0</v>
      </c>
      <c r="L183">
        <f ca="1">SUMIF('Tech Parameters'!$B$244:$B$269,$B183,'Tech Parameters'!P$244:P$269)*'Tech Parameters'!$H16*'Alt scen Calcs'!L18*8760</f>
        <v>0</v>
      </c>
      <c r="M183">
        <f ca="1">SUMIF('Tech Parameters'!$B$244:$B$269,$B183,'Tech Parameters'!Q$244:Q$269)*'Tech Parameters'!$H16*'Alt scen Calcs'!M18*8760</f>
        <v>0</v>
      </c>
      <c r="N183">
        <f ca="1">SUMIF('Tech Parameters'!$B$244:$B$269,$B183,'Tech Parameters'!R$244:R$269)*'Tech Parameters'!$H16*'Alt scen Calcs'!N18*8760</f>
        <v>525.6</v>
      </c>
      <c r="O183">
        <f ca="1">SUMIF('Tech Parameters'!$B$244:$B$269,$B183,'Tech Parameters'!S$244:S$269)*'Tech Parameters'!$H16*'Alt scen Calcs'!O18*8760</f>
        <v>1576.8000000000002</v>
      </c>
      <c r="P183">
        <f ca="1">SUMIF('Tech Parameters'!$B$244:$B$269,$B183,'Tech Parameters'!T$244:T$269)*'Tech Parameters'!$H16*'Alt scen Calcs'!P18*8760</f>
        <v>3679.2000000000003</v>
      </c>
      <c r="Q183">
        <f ca="1">SUMIF('Tech Parameters'!$B$244:$B$269,$B183,'Tech Parameters'!U$244:U$269)*'Tech Parameters'!$H16*'Alt scen Calcs'!Q18*8760</f>
        <v>7883.9999999999991</v>
      </c>
      <c r="R183">
        <f ca="1">SUMIF('Tech Parameters'!$B$244:$B$269,$B183,'Tech Parameters'!V$244:V$269)*'Tech Parameters'!$H16*'Alt scen Calcs'!R18*8760</f>
        <v>14191.2</v>
      </c>
      <c r="S183">
        <f ca="1">SUMIF('Tech Parameters'!$B$244:$B$269,$B183,'Tech Parameters'!W$244:W$269)*'Tech Parameters'!$H16*'Alt scen Calcs'!S18*8760</f>
        <v>22600.800000000003</v>
      </c>
      <c r="T183">
        <f ca="1">SUMIF('Tech Parameters'!$B$244:$B$269,$B183,'Tech Parameters'!X$244:X$269)*'Tech Parameters'!$H16*'Alt scen Calcs'!T18*8760</f>
        <v>33112.800000000003</v>
      </c>
      <c r="U183">
        <f ca="1">SUMIF('Tech Parameters'!$B$244:$B$269,$B183,'Tech Parameters'!Y$244:Y$269)*'Tech Parameters'!$H16*'Alt scen Calcs'!U18*8760</f>
        <v>43624.800000000003</v>
      </c>
      <c r="V183">
        <f ca="1">SUMIF('Tech Parameters'!$B$244:$B$269,$B183,'Tech Parameters'!Z$244:Z$269)*'Tech Parameters'!$H16*'Alt scen Calcs'!V18*8760</f>
        <v>59392.800000000003</v>
      </c>
      <c r="W183">
        <f ca="1">SUMIF('Tech Parameters'!$B$244:$B$269,$B183,'Tech Parameters'!AA$244:AA$269)*'Tech Parameters'!$H16*'Alt scen Calcs'!W18*8760</f>
        <v>75160.800000000003</v>
      </c>
      <c r="X183">
        <f ca="1">SUMIF('Tech Parameters'!$B$244:$B$269,$B183,'Tech Parameters'!AB$244:AB$269)*'Tech Parameters'!$H16*'Alt scen Calcs'!X18*8760</f>
        <v>90928.8</v>
      </c>
      <c r="Y183">
        <f ca="1">SUMIF('Tech Parameters'!$B$244:$B$269,$B183,'Tech Parameters'!AC$244:AC$269)*'Tech Parameters'!$H16*'Alt scen Calcs'!Y18*8760</f>
        <v>106696.8</v>
      </c>
      <c r="Z183">
        <f ca="1">SUMIF('Tech Parameters'!$B$244:$B$269,$B183,'Tech Parameters'!AD$244:AD$269)*'Tech Parameters'!$H16*'Alt scen Calcs'!Z18*8760</f>
        <v>122464.8</v>
      </c>
      <c r="AA183">
        <f ca="1">SUMIF('Tech Parameters'!$B$244:$B$269,$B183,'Tech Parameters'!AE$244:AE$269)*'Tech Parameters'!$H16*'Alt scen Calcs'!AA18*8760</f>
        <v>138232.79999999999</v>
      </c>
      <c r="AB183">
        <f ca="1">SUMIF('Tech Parameters'!$B$244:$B$269,$B183,'Tech Parameters'!AF$244:AF$269)*'Tech Parameters'!$H16*'Alt scen Calcs'!AB18*8760</f>
        <v>154000.79999999999</v>
      </c>
      <c r="AC183">
        <f ca="1">SUMIF('Tech Parameters'!$B$244:$B$269,$B183,'Tech Parameters'!AG$244:AG$269)*'Tech Parameters'!$H16*'Alt scen Calcs'!AC18*8760</f>
        <v>169768.8</v>
      </c>
      <c r="BA183" s="4"/>
      <c r="BL183" s="4"/>
    </row>
    <row r="184" spans="2:64">
      <c r="B184" t="str">
        <f>'Tech Parameters'!C17</f>
        <v>Solar Parabolic Trough</v>
      </c>
      <c r="C184" t="str">
        <f>'Tech Parameters'!B17</f>
        <v>solar thermal trough</v>
      </c>
      <c r="D184">
        <f>SUMIF('Tech Parameters'!$B$244:$B$269,$B184,'Tech Parameters'!H$244:H$269)*'Tech Parameters'!$H17*'Alt scen Calcs'!D19*8760</f>
        <v>0</v>
      </c>
      <c r="E184">
        <f>SUMIF('Tech Parameters'!$B$244:$B$269,$B184,'Tech Parameters'!I$244:I$269)*'Tech Parameters'!$H17*'Alt scen Calcs'!E19*8760</f>
        <v>0</v>
      </c>
      <c r="F184">
        <f>SUMIF('Tech Parameters'!$B$244:$B$269,$B184,'Tech Parameters'!J$244:J$269)*'Tech Parameters'!$H17*'Alt scen Calcs'!F19*8760</f>
        <v>0</v>
      </c>
      <c r="G184">
        <f>SUMIF('Tech Parameters'!$B$244:$B$269,$B184,'Tech Parameters'!K$244:K$269)*'Tech Parameters'!$H17*'Alt scen Calcs'!G19*8760</f>
        <v>0</v>
      </c>
      <c r="H184">
        <f>SUMIF('Tech Parameters'!$B$244:$B$269,$B184,'Tech Parameters'!L$244:L$269)*'Tech Parameters'!$H17*'Alt scen Calcs'!H19*8760</f>
        <v>0</v>
      </c>
      <c r="I184">
        <f ca="1">SUMIF('Tech Parameters'!$B$244:$B$269,$B184,'Tech Parameters'!M$244:M$269)*'Tech Parameters'!$H17*'Alt scen Calcs'!I19*8760</f>
        <v>0</v>
      </c>
      <c r="J184">
        <f ca="1">SUMIF('Tech Parameters'!$B$244:$B$269,$B184,'Tech Parameters'!N$244:N$269)*'Tech Parameters'!$H17*'Alt scen Calcs'!J19*8760</f>
        <v>0</v>
      </c>
      <c r="K184">
        <f ca="1">SUMIF('Tech Parameters'!$B$244:$B$269,$B184,'Tech Parameters'!O$244:O$269)*'Tech Parameters'!$H17*'Alt scen Calcs'!K19*8760</f>
        <v>0</v>
      </c>
      <c r="L184">
        <f ca="1">SUMIF('Tech Parameters'!$B$244:$B$269,$B184,'Tech Parameters'!P$244:P$269)*'Tech Parameters'!$H17*'Alt scen Calcs'!L19*8760</f>
        <v>0</v>
      </c>
      <c r="M184">
        <f ca="1">SUMIF('Tech Parameters'!$B$244:$B$269,$B184,'Tech Parameters'!Q$244:Q$269)*'Tech Parameters'!$H17*'Alt scen Calcs'!M19*8760</f>
        <v>0</v>
      </c>
      <c r="N184">
        <f ca="1">SUMIF('Tech Parameters'!$B$244:$B$269,$B184,'Tech Parameters'!R$244:R$269)*'Tech Parameters'!$H17*'Alt scen Calcs'!N19*8760</f>
        <v>0</v>
      </c>
      <c r="O184">
        <f ca="1">SUMIF('Tech Parameters'!$B$244:$B$269,$B184,'Tech Parameters'!S$244:S$269)*'Tech Parameters'!$H17*'Alt scen Calcs'!O19*8760</f>
        <v>0</v>
      </c>
      <c r="P184">
        <f ca="1">SUMIF('Tech Parameters'!$B$244:$B$269,$B184,'Tech Parameters'!T$244:T$269)*'Tech Parameters'!$H17*'Alt scen Calcs'!P19*8760</f>
        <v>0</v>
      </c>
      <c r="Q184">
        <f ca="1">SUMIF('Tech Parameters'!$B$244:$B$269,$B184,'Tech Parameters'!U$244:U$269)*'Tech Parameters'!$H17*'Alt scen Calcs'!Q19*8760</f>
        <v>0</v>
      </c>
      <c r="R184">
        <f ca="1">SUMIF('Tech Parameters'!$B$244:$B$269,$B184,'Tech Parameters'!V$244:V$269)*'Tech Parameters'!$H17*'Alt scen Calcs'!R19*8760</f>
        <v>0</v>
      </c>
      <c r="S184">
        <f ca="1">SUMIF('Tech Parameters'!$B$244:$B$269,$B184,'Tech Parameters'!W$244:W$269)*'Tech Parameters'!$H17*'Alt scen Calcs'!S19*8760</f>
        <v>0</v>
      </c>
      <c r="T184">
        <f ca="1">SUMIF('Tech Parameters'!$B$244:$B$269,$B184,'Tech Parameters'!X$244:X$269)*'Tech Parameters'!$H17*'Alt scen Calcs'!T19*8760</f>
        <v>0</v>
      </c>
      <c r="U184">
        <f ca="1">SUMIF('Tech Parameters'!$B$244:$B$269,$B184,'Tech Parameters'!Y$244:Y$269)*'Tech Parameters'!$H17*'Alt scen Calcs'!U19*8760</f>
        <v>0</v>
      </c>
      <c r="V184">
        <f ca="1">SUMIF('Tech Parameters'!$B$244:$B$269,$B184,'Tech Parameters'!Z$244:Z$269)*'Tech Parameters'!$H17*'Alt scen Calcs'!V19*8760</f>
        <v>0</v>
      </c>
      <c r="W184">
        <f ca="1">SUMIF('Tech Parameters'!$B$244:$B$269,$B184,'Tech Parameters'!AA$244:AA$269)*'Tech Parameters'!$H17*'Alt scen Calcs'!W19*8760</f>
        <v>0</v>
      </c>
      <c r="X184">
        <f ca="1">SUMIF('Tech Parameters'!$B$244:$B$269,$B184,'Tech Parameters'!AB$244:AB$269)*'Tech Parameters'!$H17*'Alt scen Calcs'!X19*8760</f>
        <v>0</v>
      </c>
      <c r="Y184">
        <f ca="1">SUMIF('Tech Parameters'!$B$244:$B$269,$B184,'Tech Parameters'!AC$244:AC$269)*'Tech Parameters'!$H17*'Alt scen Calcs'!Y19*8760</f>
        <v>0</v>
      </c>
      <c r="Z184">
        <f ca="1">SUMIF('Tech Parameters'!$B$244:$B$269,$B184,'Tech Parameters'!AD$244:AD$269)*'Tech Parameters'!$H17*'Alt scen Calcs'!Z19*8760</f>
        <v>0</v>
      </c>
      <c r="AA184">
        <f ca="1">SUMIF('Tech Parameters'!$B$244:$B$269,$B184,'Tech Parameters'!AE$244:AE$269)*'Tech Parameters'!$H17*'Alt scen Calcs'!AA19*8760</f>
        <v>0</v>
      </c>
      <c r="AB184">
        <f ca="1">SUMIF('Tech Parameters'!$B$244:$B$269,$B184,'Tech Parameters'!AF$244:AF$269)*'Tech Parameters'!$H17*'Alt scen Calcs'!AB19*8760</f>
        <v>0</v>
      </c>
      <c r="AC184">
        <f ca="1">SUMIF('Tech Parameters'!$B$244:$B$269,$B184,'Tech Parameters'!AG$244:AG$269)*'Tech Parameters'!$H17*'Alt scen Calcs'!AC19*8760</f>
        <v>0</v>
      </c>
      <c r="BA184" s="4"/>
      <c r="BL184" s="4"/>
    </row>
    <row r="185" spans="2:64">
      <c r="B185" t="str">
        <f>'Tech Parameters'!C18</f>
        <v>Solar Photovoltaic</v>
      </c>
      <c r="C185" t="str">
        <f>'Tech Parameters'!B18</f>
        <v>solar PV</v>
      </c>
      <c r="D185">
        <f>SUMIF('Tech Parameters'!$B$244:$B$269,$B185,'Tech Parameters'!H$244:H$269)*'Tech Parameters'!$H18*'Alt scen Calcs'!D20*8760</f>
        <v>0</v>
      </c>
      <c r="E185">
        <f>SUMIF('Tech Parameters'!$B$244:$B$269,$B185,'Tech Parameters'!I$244:I$269)*'Tech Parameters'!$H18*'Alt scen Calcs'!E20*8760</f>
        <v>0</v>
      </c>
      <c r="F185">
        <f>SUMIF('Tech Parameters'!$B$244:$B$269,$B185,'Tech Parameters'!J$244:J$269)*'Tech Parameters'!$H18*'Alt scen Calcs'!F20*8760</f>
        <v>0</v>
      </c>
      <c r="G185">
        <f>SUMIF('Tech Parameters'!$B$244:$B$269,$B185,'Tech Parameters'!K$244:K$269)*'Tech Parameters'!$H18*'Alt scen Calcs'!G20*8760</f>
        <v>0</v>
      </c>
      <c r="H185">
        <f>SUMIF('Tech Parameters'!$B$244:$B$269,$B185,'Tech Parameters'!L$244:L$269)*'Tech Parameters'!$H18*'Alt scen Calcs'!H20*8760</f>
        <v>0</v>
      </c>
      <c r="I185">
        <f ca="1">SUMIF('Tech Parameters'!$B$244:$B$269,$B185,'Tech Parameters'!M$244:M$269)*'Tech Parameters'!$H18*'Alt scen Calcs'!I20*8760</f>
        <v>0</v>
      </c>
      <c r="J185">
        <f ca="1">SUMIF('Tech Parameters'!$B$244:$B$269,$B185,'Tech Parameters'!N$244:N$269)*'Tech Parameters'!$H18*'Alt scen Calcs'!J20*8760</f>
        <v>0</v>
      </c>
      <c r="K185">
        <f ca="1">SUMIF('Tech Parameters'!$B$244:$B$269,$B185,'Tech Parameters'!O$244:O$269)*'Tech Parameters'!$H18*'Alt scen Calcs'!K20*8760</f>
        <v>0</v>
      </c>
      <c r="L185">
        <f ca="1">SUMIF('Tech Parameters'!$B$244:$B$269,$B185,'Tech Parameters'!P$244:P$269)*'Tech Parameters'!$H18*'Alt scen Calcs'!L20*8760</f>
        <v>0</v>
      </c>
      <c r="M185">
        <f ca="1">SUMIF('Tech Parameters'!$B$244:$B$269,$B185,'Tech Parameters'!Q$244:Q$269)*'Tech Parameters'!$H18*'Alt scen Calcs'!M20*8760</f>
        <v>0</v>
      </c>
      <c r="N185">
        <f ca="1">SUMIF('Tech Parameters'!$B$244:$B$269,$B185,'Tech Parameters'!R$244:R$269)*'Tech Parameters'!$H18*'Alt scen Calcs'!N20*8760</f>
        <v>0</v>
      </c>
      <c r="O185">
        <f ca="1">SUMIF('Tech Parameters'!$B$244:$B$269,$B185,'Tech Parameters'!S$244:S$269)*'Tech Parameters'!$H18*'Alt scen Calcs'!O20*8760</f>
        <v>0</v>
      </c>
      <c r="P185">
        <f ca="1">SUMIF('Tech Parameters'!$B$244:$B$269,$B185,'Tech Parameters'!T$244:T$269)*'Tech Parameters'!$H18*'Alt scen Calcs'!P20*8760</f>
        <v>0</v>
      </c>
      <c r="Q185">
        <f ca="1">SUMIF('Tech Parameters'!$B$244:$B$269,$B185,'Tech Parameters'!U$244:U$269)*'Tech Parameters'!$H18*'Alt scen Calcs'!Q20*8760</f>
        <v>0</v>
      </c>
      <c r="R185">
        <f ca="1">SUMIF('Tech Parameters'!$B$244:$B$269,$B185,'Tech Parameters'!V$244:V$269)*'Tech Parameters'!$H18*'Alt scen Calcs'!R20*8760</f>
        <v>0</v>
      </c>
      <c r="S185">
        <f ca="1">SUMIF('Tech Parameters'!$B$244:$B$269,$B185,'Tech Parameters'!W$244:W$269)*'Tech Parameters'!$H18*'Alt scen Calcs'!S20*8760</f>
        <v>0</v>
      </c>
      <c r="T185">
        <f ca="1">SUMIF('Tech Parameters'!$B$244:$B$269,$B185,'Tech Parameters'!X$244:X$269)*'Tech Parameters'!$H18*'Alt scen Calcs'!T20*8760</f>
        <v>0</v>
      </c>
      <c r="U185">
        <f ca="1">SUMIF('Tech Parameters'!$B$244:$B$269,$B185,'Tech Parameters'!Y$244:Y$269)*'Tech Parameters'!$H18*'Alt scen Calcs'!U20*8760</f>
        <v>0</v>
      </c>
      <c r="V185">
        <f ca="1">SUMIF('Tech Parameters'!$B$244:$B$269,$B185,'Tech Parameters'!Z$244:Z$269)*'Tech Parameters'!$H18*'Alt scen Calcs'!V20*8760</f>
        <v>0</v>
      </c>
      <c r="W185">
        <f ca="1">SUMIF('Tech Parameters'!$B$244:$B$269,$B185,'Tech Parameters'!AA$244:AA$269)*'Tech Parameters'!$H18*'Alt scen Calcs'!W20*8760</f>
        <v>0</v>
      </c>
      <c r="X185">
        <f ca="1">SUMIF('Tech Parameters'!$B$244:$B$269,$B185,'Tech Parameters'!AB$244:AB$269)*'Tech Parameters'!$H18*'Alt scen Calcs'!X20*8760</f>
        <v>0</v>
      </c>
      <c r="Y185">
        <f ca="1">SUMIF('Tech Parameters'!$B$244:$B$269,$B185,'Tech Parameters'!AC$244:AC$269)*'Tech Parameters'!$H18*'Alt scen Calcs'!Y20*8760</f>
        <v>0</v>
      </c>
      <c r="Z185">
        <f ca="1">SUMIF('Tech Parameters'!$B$244:$B$269,$B185,'Tech Parameters'!AD$244:AD$269)*'Tech Parameters'!$H18*'Alt scen Calcs'!Z20*8760</f>
        <v>0</v>
      </c>
      <c r="AA185">
        <f ca="1">SUMIF('Tech Parameters'!$B$244:$B$269,$B185,'Tech Parameters'!AE$244:AE$269)*'Tech Parameters'!$H18*'Alt scen Calcs'!AA20*8760</f>
        <v>0</v>
      </c>
      <c r="AB185">
        <f ca="1">SUMIF('Tech Parameters'!$B$244:$B$269,$B185,'Tech Parameters'!AF$244:AF$269)*'Tech Parameters'!$H18*'Alt scen Calcs'!AB20*8760</f>
        <v>0</v>
      </c>
      <c r="AC185">
        <f ca="1">SUMIF('Tech Parameters'!$B$244:$B$269,$B185,'Tech Parameters'!AG$244:AG$269)*'Tech Parameters'!$H18*'Alt scen Calcs'!AC20*8760</f>
        <v>0</v>
      </c>
      <c r="BA185" s="4"/>
      <c r="BL185" s="4"/>
    </row>
    <row r="186" spans="2:64">
      <c r="B186" t="str">
        <f>'Tech Parameters'!C19</f>
        <v>Combined Cycle Gas Turbine</v>
      </c>
      <c r="C186" t="str">
        <f>'Tech Parameters'!B19</f>
        <v>combined cycle gas</v>
      </c>
      <c r="D186">
        <f>SUMIF('Tech Parameters'!$B$244:$B$269,$B186,'Tech Parameters'!H$244:H$269)*'Tech Parameters'!$H19*'Alt scen Calcs'!D21*8760</f>
        <v>0</v>
      </c>
      <c r="E186">
        <f>SUMIF('Tech Parameters'!$B$244:$B$269,$B186,'Tech Parameters'!I$244:I$269)*'Tech Parameters'!$H19*'Alt scen Calcs'!E21*8760</f>
        <v>0</v>
      </c>
      <c r="F186">
        <f>SUMIF('Tech Parameters'!$B$244:$B$269,$B186,'Tech Parameters'!J$244:J$269)*'Tech Parameters'!$H19*'Alt scen Calcs'!F21*8760</f>
        <v>0</v>
      </c>
      <c r="G186">
        <f>SUMIF('Tech Parameters'!$B$244:$B$269,$B186,'Tech Parameters'!K$244:K$269)*'Tech Parameters'!$H19*'Alt scen Calcs'!G21*8760</f>
        <v>0</v>
      </c>
      <c r="H186">
        <f>SUMIF('Tech Parameters'!$B$244:$B$269,$B186,'Tech Parameters'!L$244:L$269)*'Tech Parameters'!$H19*'Alt scen Calcs'!H21*8760</f>
        <v>0</v>
      </c>
      <c r="I186">
        <f ca="1">SUMIF('Tech Parameters'!$B$244:$B$269,$B186,'Tech Parameters'!M$244:M$269)*'Tech Parameters'!$H19*'Alt scen Calcs'!I21*8760</f>
        <v>0</v>
      </c>
      <c r="J186">
        <f ca="1">SUMIF('Tech Parameters'!$B$244:$B$269,$B186,'Tech Parameters'!N$244:N$269)*'Tech Parameters'!$H19*'Alt scen Calcs'!J21*8760</f>
        <v>0</v>
      </c>
      <c r="K186">
        <f ca="1">SUMIF('Tech Parameters'!$B$244:$B$269,$B186,'Tech Parameters'!O$244:O$269)*'Tech Parameters'!$H19*'Alt scen Calcs'!K21*8760</f>
        <v>0</v>
      </c>
      <c r="L186">
        <f ca="1">SUMIF('Tech Parameters'!$B$244:$B$269,$B186,'Tech Parameters'!P$244:P$269)*'Tech Parameters'!$H19*'Alt scen Calcs'!L21*8760</f>
        <v>0</v>
      </c>
      <c r="M186">
        <f ca="1">SUMIF('Tech Parameters'!$B$244:$B$269,$B186,'Tech Parameters'!Q$244:Q$269)*'Tech Parameters'!$H19*'Alt scen Calcs'!M21*8760</f>
        <v>0</v>
      </c>
      <c r="N186">
        <f ca="1">SUMIF('Tech Parameters'!$B$244:$B$269,$B186,'Tech Parameters'!R$244:R$269)*'Tech Parameters'!$H19*'Alt scen Calcs'!N21*8760</f>
        <v>0</v>
      </c>
      <c r="O186">
        <f ca="1">SUMIF('Tech Parameters'!$B$244:$B$269,$B186,'Tech Parameters'!S$244:S$269)*'Tech Parameters'!$H19*'Alt scen Calcs'!O21*8760</f>
        <v>0</v>
      </c>
      <c r="P186">
        <f ca="1">SUMIF('Tech Parameters'!$B$244:$B$269,$B186,'Tech Parameters'!T$244:T$269)*'Tech Parameters'!$H19*'Alt scen Calcs'!P21*8760</f>
        <v>0</v>
      </c>
      <c r="Q186">
        <f ca="1">SUMIF('Tech Parameters'!$B$244:$B$269,$B186,'Tech Parameters'!U$244:U$269)*'Tech Parameters'!$H19*'Alt scen Calcs'!Q21*8760</f>
        <v>0</v>
      </c>
      <c r="R186">
        <f ca="1">SUMIF('Tech Parameters'!$B$244:$B$269,$B186,'Tech Parameters'!V$244:V$269)*'Tech Parameters'!$H19*'Alt scen Calcs'!R21*8760</f>
        <v>0</v>
      </c>
      <c r="S186">
        <f ca="1">SUMIF('Tech Parameters'!$B$244:$B$269,$B186,'Tech Parameters'!W$244:W$269)*'Tech Parameters'!$H19*'Alt scen Calcs'!S21*8760</f>
        <v>0</v>
      </c>
      <c r="T186">
        <f ca="1">SUMIF('Tech Parameters'!$B$244:$B$269,$B186,'Tech Parameters'!X$244:X$269)*'Tech Parameters'!$H19*'Alt scen Calcs'!T21*8760</f>
        <v>0</v>
      </c>
      <c r="U186">
        <f ca="1">SUMIF('Tech Parameters'!$B$244:$B$269,$B186,'Tech Parameters'!Y$244:Y$269)*'Tech Parameters'!$H19*'Alt scen Calcs'!U21*8760</f>
        <v>0</v>
      </c>
      <c r="V186">
        <f ca="1">SUMIF('Tech Parameters'!$B$244:$B$269,$B186,'Tech Parameters'!Z$244:Z$269)*'Tech Parameters'!$H19*'Alt scen Calcs'!V21*8760</f>
        <v>0</v>
      </c>
      <c r="W186">
        <f ca="1">SUMIF('Tech Parameters'!$B$244:$B$269,$B186,'Tech Parameters'!AA$244:AA$269)*'Tech Parameters'!$H19*'Alt scen Calcs'!W21*8760</f>
        <v>0</v>
      </c>
      <c r="X186">
        <f ca="1">SUMIF('Tech Parameters'!$B$244:$B$269,$B186,'Tech Parameters'!AB$244:AB$269)*'Tech Parameters'!$H19*'Alt scen Calcs'!X21*8760</f>
        <v>0</v>
      </c>
      <c r="Y186">
        <f ca="1">SUMIF('Tech Parameters'!$B$244:$B$269,$B186,'Tech Parameters'!AC$244:AC$269)*'Tech Parameters'!$H19*'Alt scen Calcs'!Y21*8760</f>
        <v>0</v>
      </c>
      <c r="Z186">
        <f ca="1">SUMIF('Tech Parameters'!$B$244:$B$269,$B186,'Tech Parameters'!AD$244:AD$269)*'Tech Parameters'!$H19*'Alt scen Calcs'!Z21*8760</f>
        <v>3599.5097647058824</v>
      </c>
      <c r="AA186">
        <f ca="1">SUMIF('Tech Parameters'!$B$244:$B$269,$B186,'Tech Parameters'!AE$244:AE$269)*'Tech Parameters'!$H19*'Alt scen Calcs'!AA21*8760</f>
        <v>8998.7744117647071</v>
      </c>
      <c r="AB186">
        <f ca="1">SUMIF('Tech Parameters'!$B$244:$B$269,$B186,'Tech Parameters'!AF$244:AF$269)*'Tech Parameters'!$H19*'Alt scen Calcs'!AB21*8760</f>
        <v>14398.03905882353</v>
      </c>
      <c r="AC186">
        <f ca="1">SUMIF('Tech Parameters'!$B$244:$B$269,$B186,'Tech Parameters'!AG$244:AG$269)*'Tech Parameters'!$H19*'Alt scen Calcs'!AC21*8760</f>
        <v>14398.03905882353</v>
      </c>
      <c r="BA186" s="4"/>
      <c r="BL186" s="4"/>
    </row>
    <row r="187" spans="2:64">
      <c r="B187" t="str">
        <f>'Tech Parameters'!C20</f>
        <v>Nuclear Pebble-Bed Modular Reactor</v>
      </c>
      <c r="C187" t="str">
        <f>'Tech Parameters'!B20</f>
        <v>PBMR</v>
      </c>
      <c r="D187">
        <f>SUMIF('Tech Parameters'!$B$244:$B$269,$B187,'Tech Parameters'!H$244:H$269)*'Tech Parameters'!$H20*'Alt scen Calcs'!D22*8760</f>
        <v>0</v>
      </c>
      <c r="E187">
        <f>SUMIF('Tech Parameters'!$B$244:$B$269,$B187,'Tech Parameters'!I$244:I$269)*'Tech Parameters'!$H20*'Alt scen Calcs'!E22*8760</f>
        <v>0</v>
      </c>
      <c r="F187">
        <f>SUMIF('Tech Parameters'!$B$244:$B$269,$B187,'Tech Parameters'!J$244:J$269)*'Tech Parameters'!$H20*'Alt scen Calcs'!F22*8760</f>
        <v>0</v>
      </c>
      <c r="G187">
        <f>SUMIF('Tech Parameters'!$B$244:$B$269,$B187,'Tech Parameters'!K$244:K$269)*'Tech Parameters'!$H20*'Alt scen Calcs'!G22*8760</f>
        <v>0</v>
      </c>
      <c r="H187">
        <f>SUMIF('Tech Parameters'!$B$244:$B$269,$B187,'Tech Parameters'!L$244:L$269)*'Tech Parameters'!$H20*'Alt scen Calcs'!H22*8760</f>
        <v>0</v>
      </c>
      <c r="I187">
        <f ca="1">SUMIF('Tech Parameters'!$B$244:$B$269,$B187,'Tech Parameters'!M$244:M$269)*'Tech Parameters'!$H20*'Alt scen Calcs'!I22*8760</f>
        <v>0</v>
      </c>
      <c r="J187">
        <f ca="1">SUMIF('Tech Parameters'!$B$244:$B$269,$B187,'Tech Parameters'!N$244:N$269)*'Tech Parameters'!$H20*'Alt scen Calcs'!J22*8760</f>
        <v>0</v>
      </c>
      <c r="K187">
        <f ca="1">SUMIF('Tech Parameters'!$B$244:$B$269,$B187,'Tech Parameters'!O$244:O$269)*'Tech Parameters'!$H20*'Alt scen Calcs'!K22*8760</f>
        <v>0</v>
      </c>
      <c r="L187">
        <f ca="1">SUMIF('Tech Parameters'!$B$244:$B$269,$B187,'Tech Parameters'!P$244:P$269)*'Tech Parameters'!$H20*'Alt scen Calcs'!L22*8760</f>
        <v>0</v>
      </c>
      <c r="M187">
        <f ca="1">SUMIF('Tech Parameters'!$B$244:$B$269,$B187,'Tech Parameters'!Q$244:Q$269)*'Tech Parameters'!$H20*'Alt scen Calcs'!M22*8760</f>
        <v>0</v>
      </c>
      <c r="N187">
        <f ca="1">SUMIF('Tech Parameters'!$B$244:$B$269,$B187,'Tech Parameters'!R$244:R$269)*'Tech Parameters'!$H20*'Alt scen Calcs'!N22*8760</f>
        <v>0</v>
      </c>
      <c r="O187">
        <f ca="1">SUMIF('Tech Parameters'!$B$244:$B$269,$B187,'Tech Parameters'!S$244:S$269)*'Tech Parameters'!$H20*'Alt scen Calcs'!O22*8760</f>
        <v>0</v>
      </c>
      <c r="P187">
        <f ca="1">SUMIF('Tech Parameters'!$B$244:$B$269,$B187,'Tech Parameters'!T$244:T$269)*'Tech Parameters'!$H20*'Alt scen Calcs'!P22*8760</f>
        <v>0</v>
      </c>
      <c r="Q187">
        <f ca="1">SUMIF('Tech Parameters'!$B$244:$B$269,$B187,'Tech Parameters'!U$244:U$269)*'Tech Parameters'!$H20*'Alt scen Calcs'!Q22*8760</f>
        <v>0</v>
      </c>
      <c r="R187">
        <f ca="1">SUMIF('Tech Parameters'!$B$244:$B$269,$B187,'Tech Parameters'!V$244:V$269)*'Tech Parameters'!$H20*'Alt scen Calcs'!R22*8760</f>
        <v>0</v>
      </c>
      <c r="S187">
        <f ca="1">SUMIF('Tech Parameters'!$B$244:$B$269,$B187,'Tech Parameters'!W$244:W$269)*'Tech Parameters'!$H20*'Alt scen Calcs'!S22*8760</f>
        <v>0</v>
      </c>
      <c r="T187">
        <f ca="1">SUMIF('Tech Parameters'!$B$244:$B$269,$B187,'Tech Parameters'!X$244:X$269)*'Tech Parameters'!$H20*'Alt scen Calcs'!T22*8760</f>
        <v>0</v>
      </c>
      <c r="U187">
        <f ca="1">SUMIF('Tech Parameters'!$B$244:$B$269,$B187,'Tech Parameters'!Y$244:Y$269)*'Tech Parameters'!$H20*'Alt scen Calcs'!U22*8760</f>
        <v>0</v>
      </c>
      <c r="V187">
        <f ca="1">SUMIF('Tech Parameters'!$B$244:$B$269,$B187,'Tech Parameters'!Z$244:Z$269)*'Tech Parameters'!$H20*'Alt scen Calcs'!V22*8760</f>
        <v>0</v>
      </c>
      <c r="W187">
        <f ca="1">SUMIF('Tech Parameters'!$B$244:$B$269,$B187,'Tech Parameters'!AA$244:AA$269)*'Tech Parameters'!$H20*'Alt scen Calcs'!W22*8760</f>
        <v>0</v>
      </c>
      <c r="X187">
        <f ca="1">SUMIF('Tech Parameters'!$B$244:$B$269,$B187,'Tech Parameters'!AB$244:AB$269)*'Tech Parameters'!$H20*'Alt scen Calcs'!X22*8760</f>
        <v>0</v>
      </c>
      <c r="Y187">
        <f ca="1">SUMIF('Tech Parameters'!$B$244:$B$269,$B187,'Tech Parameters'!AC$244:AC$269)*'Tech Parameters'!$H20*'Alt scen Calcs'!Y22*8760</f>
        <v>0</v>
      </c>
      <c r="Z187">
        <f ca="1">SUMIF('Tech Parameters'!$B$244:$B$269,$B187,'Tech Parameters'!AD$244:AD$269)*'Tech Parameters'!$H20*'Alt scen Calcs'!Z22*8760</f>
        <v>0</v>
      </c>
      <c r="AA187">
        <f ca="1">SUMIF('Tech Parameters'!$B$244:$B$269,$B187,'Tech Parameters'!AE$244:AE$269)*'Tech Parameters'!$H20*'Alt scen Calcs'!AA22*8760</f>
        <v>0</v>
      </c>
      <c r="AB187">
        <f ca="1">SUMIF('Tech Parameters'!$B$244:$B$269,$B187,'Tech Parameters'!AF$244:AF$269)*'Tech Parameters'!$H20*'Alt scen Calcs'!AB22*8760</f>
        <v>0</v>
      </c>
      <c r="AC187">
        <f ca="1">SUMIF('Tech Parameters'!$B$244:$B$269,$B187,'Tech Parameters'!AG$244:AG$269)*'Tech Parameters'!$H20*'Alt scen Calcs'!AC22*8760</f>
        <v>0</v>
      </c>
      <c r="BA187" s="4"/>
      <c r="BL187" s="4"/>
    </row>
    <row r="188" spans="2:64">
      <c r="B188" t="str">
        <f>'Tech Parameters'!C21</f>
        <v>Integrated Gasification Combined Cycle Coal</v>
      </c>
      <c r="C188" t="str">
        <f>'Tech Parameters'!B21</f>
        <v>IGCC</v>
      </c>
      <c r="D188">
        <f>SUMIF('Tech Parameters'!$B$244:$B$269,$B188,'Tech Parameters'!H$244:H$269)*'Tech Parameters'!$H21*'Alt scen Calcs'!D23*8760</f>
        <v>0</v>
      </c>
      <c r="E188">
        <f>SUMIF('Tech Parameters'!$B$244:$B$269,$B188,'Tech Parameters'!I$244:I$269)*'Tech Parameters'!$H21*'Alt scen Calcs'!E23*8760</f>
        <v>0</v>
      </c>
      <c r="F188">
        <f>SUMIF('Tech Parameters'!$B$244:$B$269,$B188,'Tech Parameters'!J$244:J$269)*'Tech Parameters'!$H21*'Alt scen Calcs'!F23*8760</f>
        <v>0</v>
      </c>
      <c r="G188">
        <f>SUMIF('Tech Parameters'!$B$244:$B$269,$B188,'Tech Parameters'!K$244:K$269)*'Tech Parameters'!$H21*'Alt scen Calcs'!G23*8760</f>
        <v>0</v>
      </c>
      <c r="H188">
        <f>SUMIF('Tech Parameters'!$B$244:$B$269,$B188,'Tech Parameters'!L$244:L$269)*'Tech Parameters'!$H21*'Alt scen Calcs'!H23*8760</f>
        <v>0</v>
      </c>
      <c r="I188">
        <f ca="1">SUMIF('Tech Parameters'!$B$244:$B$269,$B188,'Tech Parameters'!M$244:M$269)*'Tech Parameters'!$H21*'Alt scen Calcs'!I23*8760</f>
        <v>0</v>
      </c>
      <c r="J188">
        <f ca="1">SUMIF('Tech Parameters'!$B$244:$B$269,$B188,'Tech Parameters'!N$244:N$269)*'Tech Parameters'!$H21*'Alt scen Calcs'!J23*8760</f>
        <v>0</v>
      </c>
      <c r="K188">
        <f ca="1">SUMIF('Tech Parameters'!$B$244:$B$269,$B188,'Tech Parameters'!O$244:O$269)*'Tech Parameters'!$H21*'Alt scen Calcs'!K23*8760</f>
        <v>0</v>
      </c>
      <c r="L188">
        <f ca="1">SUMIF('Tech Parameters'!$B$244:$B$269,$B188,'Tech Parameters'!P$244:P$269)*'Tech Parameters'!$H21*'Alt scen Calcs'!L23*8760</f>
        <v>0</v>
      </c>
      <c r="M188">
        <f ca="1">SUMIF('Tech Parameters'!$B$244:$B$269,$B188,'Tech Parameters'!Q$244:Q$269)*'Tech Parameters'!$H21*'Alt scen Calcs'!M23*8760</f>
        <v>0</v>
      </c>
      <c r="N188">
        <f ca="1">SUMIF('Tech Parameters'!$B$244:$B$269,$B188,'Tech Parameters'!R$244:R$269)*'Tech Parameters'!$H21*'Alt scen Calcs'!N23*8760</f>
        <v>0</v>
      </c>
      <c r="O188">
        <f ca="1">SUMIF('Tech Parameters'!$B$244:$B$269,$B188,'Tech Parameters'!S$244:S$269)*'Tech Parameters'!$H21*'Alt scen Calcs'!O23*8760</f>
        <v>0</v>
      </c>
      <c r="P188">
        <f ca="1">SUMIF('Tech Parameters'!$B$244:$B$269,$B188,'Tech Parameters'!T$244:T$269)*'Tech Parameters'!$H21*'Alt scen Calcs'!P23*8760</f>
        <v>0</v>
      </c>
      <c r="Q188">
        <f ca="1">SUMIF('Tech Parameters'!$B$244:$B$269,$B188,'Tech Parameters'!U$244:U$269)*'Tech Parameters'!$H21*'Alt scen Calcs'!Q23*8760</f>
        <v>0</v>
      </c>
      <c r="R188">
        <f ca="1">SUMIF('Tech Parameters'!$B$244:$B$269,$B188,'Tech Parameters'!V$244:V$269)*'Tech Parameters'!$H21*'Alt scen Calcs'!R23*8760</f>
        <v>0</v>
      </c>
      <c r="S188">
        <f ca="1">SUMIF('Tech Parameters'!$B$244:$B$269,$B188,'Tech Parameters'!W$244:W$269)*'Tech Parameters'!$H21*'Alt scen Calcs'!S23*8760</f>
        <v>0</v>
      </c>
      <c r="T188">
        <f ca="1">SUMIF('Tech Parameters'!$B$244:$B$269,$B188,'Tech Parameters'!X$244:X$269)*'Tech Parameters'!$H21*'Alt scen Calcs'!T23*8760</f>
        <v>0</v>
      </c>
      <c r="U188">
        <f ca="1">SUMIF('Tech Parameters'!$B$244:$B$269,$B188,'Tech Parameters'!Y$244:Y$269)*'Tech Parameters'!$H21*'Alt scen Calcs'!U23*8760</f>
        <v>0</v>
      </c>
      <c r="V188">
        <f ca="1">SUMIF('Tech Parameters'!$B$244:$B$269,$B188,'Tech Parameters'!Z$244:Z$269)*'Tech Parameters'!$H21*'Alt scen Calcs'!V23*8760</f>
        <v>0</v>
      </c>
      <c r="W188">
        <f ca="1">SUMIF('Tech Parameters'!$B$244:$B$269,$B188,'Tech Parameters'!AA$244:AA$269)*'Tech Parameters'!$H21*'Alt scen Calcs'!W23*8760</f>
        <v>0</v>
      </c>
      <c r="X188">
        <f ca="1">SUMIF('Tech Parameters'!$B$244:$B$269,$B188,'Tech Parameters'!AB$244:AB$269)*'Tech Parameters'!$H21*'Alt scen Calcs'!X23*8760</f>
        <v>0</v>
      </c>
      <c r="Y188">
        <f ca="1">SUMIF('Tech Parameters'!$B$244:$B$269,$B188,'Tech Parameters'!AC$244:AC$269)*'Tech Parameters'!$H21*'Alt scen Calcs'!Y23*8760</f>
        <v>0</v>
      </c>
      <c r="Z188">
        <f ca="1">SUMIF('Tech Parameters'!$B$244:$B$269,$B188,'Tech Parameters'!AD$244:AD$269)*'Tech Parameters'!$H21*'Alt scen Calcs'!Z23*8760</f>
        <v>0</v>
      </c>
      <c r="AA188">
        <f ca="1">SUMIF('Tech Parameters'!$B$244:$B$269,$B188,'Tech Parameters'!AE$244:AE$269)*'Tech Parameters'!$H21*'Alt scen Calcs'!AA23*8760</f>
        <v>0</v>
      </c>
      <c r="AB188">
        <f ca="1">SUMIF('Tech Parameters'!$B$244:$B$269,$B188,'Tech Parameters'!AF$244:AF$269)*'Tech Parameters'!$H21*'Alt scen Calcs'!AB23*8760</f>
        <v>1173.2432250000004</v>
      </c>
      <c r="AC188">
        <f ca="1">SUMIF('Tech Parameters'!$B$244:$B$269,$B188,'Tech Parameters'!AG$244:AG$269)*'Tech Parameters'!$H21*'Alt scen Calcs'!AC23*8760</f>
        <v>2346.4864500000008</v>
      </c>
      <c r="BA188" s="4"/>
      <c r="BL188" s="4"/>
    </row>
    <row r="189" spans="2:64">
      <c r="B189" t="str">
        <f>'Tech Parameters'!C22</f>
        <v>not used</v>
      </c>
      <c r="C189" t="str">
        <f>'Tech Parameters'!B22</f>
        <v>-</v>
      </c>
      <c r="D189">
        <f>SUMIF('Tech Parameters'!$B$244:$B$269,$B189,'Tech Parameters'!H$244:H$269)*'Tech Parameters'!$H22*'Alt scen Calcs'!D24*8760</f>
        <v>0</v>
      </c>
      <c r="E189">
        <f>SUMIF('Tech Parameters'!$B$244:$B$269,$B189,'Tech Parameters'!I$244:I$269)*'Tech Parameters'!$H22*'Alt scen Calcs'!E24*8760</f>
        <v>0</v>
      </c>
      <c r="F189">
        <f>SUMIF('Tech Parameters'!$B$244:$B$269,$B189,'Tech Parameters'!J$244:J$269)*'Tech Parameters'!$H22*'Alt scen Calcs'!F24*8760</f>
        <v>0</v>
      </c>
      <c r="G189">
        <f>SUMIF('Tech Parameters'!$B$244:$B$269,$B189,'Tech Parameters'!K$244:K$269)*'Tech Parameters'!$H22*'Alt scen Calcs'!G24*8760</f>
        <v>0</v>
      </c>
      <c r="H189">
        <f>SUMIF('Tech Parameters'!$B$244:$B$269,$B189,'Tech Parameters'!L$244:L$269)*'Tech Parameters'!$H22*'Alt scen Calcs'!H24*8760</f>
        <v>0</v>
      </c>
      <c r="I189">
        <f ca="1">SUMIF('Tech Parameters'!$B$244:$B$269,$B189,'Tech Parameters'!M$244:M$269)*'Tech Parameters'!$H22*'Alt scen Calcs'!I24*8760</f>
        <v>0</v>
      </c>
      <c r="J189">
        <f ca="1">SUMIF('Tech Parameters'!$B$244:$B$269,$B189,'Tech Parameters'!N$244:N$269)*'Tech Parameters'!$H22*'Alt scen Calcs'!J24*8760</f>
        <v>0</v>
      </c>
      <c r="K189">
        <f ca="1">SUMIF('Tech Parameters'!$B$244:$B$269,$B189,'Tech Parameters'!O$244:O$269)*'Tech Parameters'!$H22*'Alt scen Calcs'!K24*8760</f>
        <v>0</v>
      </c>
      <c r="L189">
        <f ca="1">SUMIF('Tech Parameters'!$B$244:$B$269,$B189,'Tech Parameters'!P$244:P$269)*'Tech Parameters'!$H22*'Alt scen Calcs'!L24*8760</f>
        <v>0</v>
      </c>
      <c r="M189">
        <f ca="1">SUMIF('Tech Parameters'!$B$244:$B$269,$B189,'Tech Parameters'!Q$244:Q$269)*'Tech Parameters'!$H22*'Alt scen Calcs'!M24*8760</f>
        <v>0</v>
      </c>
      <c r="N189">
        <f ca="1">SUMIF('Tech Parameters'!$B$244:$B$269,$B189,'Tech Parameters'!R$244:R$269)*'Tech Parameters'!$H22*'Alt scen Calcs'!N24*8760</f>
        <v>0</v>
      </c>
      <c r="O189">
        <f ca="1">SUMIF('Tech Parameters'!$B$244:$B$269,$B189,'Tech Parameters'!S$244:S$269)*'Tech Parameters'!$H22*'Alt scen Calcs'!O24*8760</f>
        <v>0</v>
      </c>
      <c r="P189">
        <f ca="1">SUMIF('Tech Parameters'!$B$244:$B$269,$B189,'Tech Parameters'!T$244:T$269)*'Tech Parameters'!$H22*'Alt scen Calcs'!P24*8760</f>
        <v>0</v>
      </c>
      <c r="Q189">
        <f ca="1">SUMIF('Tech Parameters'!$B$244:$B$269,$B189,'Tech Parameters'!U$244:U$269)*'Tech Parameters'!$H22*'Alt scen Calcs'!Q24*8760</f>
        <v>0</v>
      </c>
      <c r="R189">
        <f ca="1">SUMIF('Tech Parameters'!$B$244:$B$269,$B189,'Tech Parameters'!V$244:V$269)*'Tech Parameters'!$H22*'Alt scen Calcs'!R24*8760</f>
        <v>0</v>
      </c>
      <c r="S189">
        <f ca="1">SUMIF('Tech Parameters'!$B$244:$B$269,$B189,'Tech Parameters'!W$244:W$269)*'Tech Parameters'!$H22*'Alt scen Calcs'!S24*8760</f>
        <v>0</v>
      </c>
      <c r="T189">
        <f ca="1">SUMIF('Tech Parameters'!$B$244:$B$269,$B189,'Tech Parameters'!X$244:X$269)*'Tech Parameters'!$H22*'Alt scen Calcs'!T24*8760</f>
        <v>0</v>
      </c>
      <c r="U189">
        <f ca="1">SUMIF('Tech Parameters'!$B$244:$B$269,$B189,'Tech Parameters'!Y$244:Y$269)*'Tech Parameters'!$H22*'Alt scen Calcs'!U24*8760</f>
        <v>0</v>
      </c>
      <c r="V189">
        <f ca="1">SUMIF('Tech Parameters'!$B$244:$B$269,$B189,'Tech Parameters'!Z$244:Z$269)*'Tech Parameters'!$H22*'Alt scen Calcs'!V24*8760</f>
        <v>0</v>
      </c>
      <c r="W189">
        <f ca="1">SUMIF('Tech Parameters'!$B$244:$B$269,$B189,'Tech Parameters'!AA$244:AA$269)*'Tech Parameters'!$H22*'Alt scen Calcs'!W24*8760</f>
        <v>0</v>
      </c>
      <c r="X189">
        <f ca="1">SUMIF('Tech Parameters'!$B$244:$B$269,$B189,'Tech Parameters'!AB$244:AB$269)*'Tech Parameters'!$H22*'Alt scen Calcs'!X24*8760</f>
        <v>0</v>
      </c>
      <c r="Y189">
        <f ca="1">SUMIF('Tech Parameters'!$B$244:$B$269,$B189,'Tech Parameters'!AC$244:AC$269)*'Tech Parameters'!$H22*'Alt scen Calcs'!Y24*8760</f>
        <v>0</v>
      </c>
      <c r="Z189">
        <f ca="1">SUMIF('Tech Parameters'!$B$244:$B$269,$B189,'Tech Parameters'!AD$244:AD$269)*'Tech Parameters'!$H22*'Alt scen Calcs'!Z24*8760</f>
        <v>0</v>
      </c>
      <c r="AA189">
        <f ca="1">SUMIF('Tech Parameters'!$B$244:$B$269,$B189,'Tech Parameters'!AE$244:AE$269)*'Tech Parameters'!$H22*'Alt scen Calcs'!AA24*8760</f>
        <v>0</v>
      </c>
      <c r="AB189">
        <f ca="1">SUMIF('Tech Parameters'!$B$244:$B$269,$B189,'Tech Parameters'!AF$244:AF$269)*'Tech Parameters'!$H22*'Alt scen Calcs'!AB24*8760</f>
        <v>0</v>
      </c>
      <c r="AC189">
        <f ca="1">SUMIF('Tech Parameters'!$B$244:$B$269,$B189,'Tech Parameters'!AG$244:AG$269)*'Tech Parameters'!$H22*'Alt scen Calcs'!AC24*8760</f>
        <v>0</v>
      </c>
      <c r="BA189" s="4"/>
      <c r="BL189" s="4"/>
    </row>
    <row r="190" spans="2:64">
      <c r="B190" t="str">
        <f>'Tech Parameters'!C23</f>
        <v>not used</v>
      </c>
      <c r="C190" t="str">
        <f>'Tech Parameters'!B23</f>
        <v>-</v>
      </c>
      <c r="D190">
        <f>SUMIF('Tech Parameters'!$B$244:$B$269,$B190,'Tech Parameters'!H$244:H$269)*'Tech Parameters'!$H23*'Alt scen Calcs'!D25*8760</f>
        <v>0</v>
      </c>
      <c r="E190">
        <f>SUMIF('Tech Parameters'!$B$244:$B$269,$B190,'Tech Parameters'!I$244:I$269)*'Tech Parameters'!$H23*'Alt scen Calcs'!E25*8760</f>
        <v>0</v>
      </c>
      <c r="F190">
        <f>SUMIF('Tech Parameters'!$B$244:$B$269,$B190,'Tech Parameters'!J$244:J$269)*'Tech Parameters'!$H23*'Alt scen Calcs'!F25*8760</f>
        <v>0</v>
      </c>
      <c r="G190">
        <f>SUMIF('Tech Parameters'!$B$244:$B$269,$B190,'Tech Parameters'!K$244:K$269)*'Tech Parameters'!$H23*'Alt scen Calcs'!G25*8760</f>
        <v>0</v>
      </c>
      <c r="H190">
        <f>SUMIF('Tech Parameters'!$B$244:$B$269,$B190,'Tech Parameters'!L$244:L$269)*'Tech Parameters'!$H23*'Alt scen Calcs'!H25*8760</f>
        <v>0</v>
      </c>
      <c r="I190">
        <f ca="1">SUMIF('Tech Parameters'!$B$244:$B$269,$B190,'Tech Parameters'!M$244:M$269)*'Tech Parameters'!$H23*'Alt scen Calcs'!I25*8760</f>
        <v>0</v>
      </c>
      <c r="J190">
        <f ca="1">SUMIF('Tech Parameters'!$B$244:$B$269,$B190,'Tech Parameters'!N$244:N$269)*'Tech Parameters'!$H23*'Alt scen Calcs'!J25*8760</f>
        <v>0</v>
      </c>
      <c r="K190">
        <f ca="1">SUMIF('Tech Parameters'!$B$244:$B$269,$B190,'Tech Parameters'!O$244:O$269)*'Tech Parameters'!$H23*'Alt scen Calcs'!K25*8760</f>
        <v>0</v>
      </c>
      <c r="L190">
        <f ca="1">SUMIF('Tech Parameters'!$B$244:$B$269,$B190,'Tech Parameters'!P$244:P$269)*'Tech Parameters'!$H23*'Alt scen Calcs'!L25*8760</f>
        <v>0</v>
      </c>
      <c r="M190">
        <f ca="1">SUMIF('Tech Parameters'!$B$244:$B$269,$B190,'Tech Parameters'!Q$244:Q$269)*'Tech Parameters'!$H23*'Alt scen Calcs'!M25*8760</f>
        <v>0</v>
      </c>
      <c r="N190">
        <f ca="1">SUMIF('Tech Parameters'!$B$244:$B$269,$B190,'Tech Parameters'!R$244:R$269)*'Tech Parameters'!$H23*'Alt scen Calcs'!N25*8760</f>
        <v>0</v>
      </c>
      <c r="O190">
        <f ca="1">SUMIF('Tech Parameters'!$B$244:$B$269,$B190,'Tech Parameters'!S$244:S$269)*'Tech Parameters'!$H23*'Alt scen Calcs'!O25*8760</f>
        <v>0</v>
      </c>
      <c r="P190">
        <f ca="1">SUMIF('Tech Parameters'!$B$244:$B$269,$B190,'Tech Parameters'!T$244:T$269)*'Tech Parameters'!$H23*'Alt scen Calcs'!P25*8760</f>
        <v>0</v>
      </c>
      <c r="Q190">
        <f ca="1">SUMIF('Tech Parameters'!$B$244:$B$269,$B190,'Tech Parameters'!U$244:U$269)*'Tech Parameters'!$H23*'Alt scen Calcs'!Q25*8760</f>
        <v>0</v>
      </c>
      <c r="R190">
        <f ca="1">SUMIF('Tech Parameters'!$B$244:$B$269,$B190,'Tech Parameters'!V$244:V$269)*'Tech Parameters'!$H23*'Alt scen Calcs'!R25*8760</f>
        <v>0</v>
      </c>
      <c r="S190">
        <f ca="1">SUMIF('Tech Parameters'!$B$244:$B$269,$B190,'Tech Parameters'!W$244:W$269)*'Tech Parameters'!$H23*'Alt scen Calcs'!S25*8760</f>
        <v>0</v>
      </c>
      <c r="T190">
        <f ca="1">SUMIF('Tech Parameters'!$B$244:$B$269,$B190,'Tech Parameters'!X$244:X$269)*'Tech Parameters'!$H23*'Alt scen Calcs'!T25*8760</f>
        <v>0</v>
      </c>
      <c r="U190">
        <f ca="1">SUMIF('Tech Parameters'!$B$244:$B$269,$B190,'Tech Parameters'!Y$244:Y$269)*'Tech Parameters'!$H23*'Alt scen Calcs'!U25*8760</f>
        <v>0</v>
      </c>
      <c r="V190">
        <f ca="1">SUMIF('Tech Parameters'!$B$244:$B$269,$B190,'Tech Parameters'!Z$244:Z$269)*'Tech Parameters'!$H23*'Alt scen Calcs'!V25*8760</f>
        <v>0</v>
      </c>
      <c r="W190">
        <f ca="1">SUMIF('Tech Parameters'!$B$244:$B$269,$B190,'Tech Parameters'!AA$244:AA$269)*'Tech Parameters'!$H23*'Alt scen Calcs'!W25*8760</f>
        <v>0</v>
      </c>
      <c r="X190">
        <f ca="1">SUMIF('Tech Parameters'!$B$244:$B$269,$B190,'Tech Parameters'!AB$244:AB$269)*'Tech Parameters'!$H23*'Alt scen Calcs'!X25*8760</f>
        <v>0</v>
      </c>
      <c r="Y190">
        <f ca="1">SUMIF('Tech Parameters'!$B$244:$B$269,$B190,'Tech Parameters'!AC$244:AC$269)*'Tech Parameters'!$H23*'Alt scen Calcs'!Y25*8760</f>
        <v>0</v>
      </c>
      <c r="Z190">
        <f ca="1">SUMIF('Tech Parameters'!$B$244:$B$269,$B190,'Tech Parameters'!AD$244:AD$269)*'Tech Parameters'!$H23*'Alt scen Calcs'!Z25*8760</f>
        <v>0</v>
      </c>
      <c r="AA190">
        <f ca="1">SUMIF('Tech Parameters'!$B$244:$B$269,$B190,'Tech Parameters'!AE$244:AE$269)*'Tech Parameters'!$H23*'Alt scen Calcs'!AA25*8760</f>
        <v>0</v>
      </c>
      <c r="AB190">
        <f ca="1">SUMIF('Tech Parameters'!$B$244:$B$269,$B190,'Tech Parameters'!AF$244:AF$269)*'Tech Parameters'!$H23*'Alt scen Calcs'!AB25*8760</f>
        <v>0</v>
      </c>
      <c r="AC190">
        <f ca="1">SUMIF('Tech Parameters'!$B$244:$B$269,$B190,'Tech Parameters'!AG$244:AG$269)*'Tech Parameters'!$H23*'Alt scen Calcs'!AC25*8760</f>
        <v>0</v>
      </c>
      <c r="BA190" s="4"/>
      <c r="BL190" s="4"/>
    </row>
    <row r="191" spans="2:64">
      <c r="B191" t="str">
        <f>'Tech Parameters'!C24</f>
        <v>not used</v>
      </c>
      <c r="C191" t="str">
        <f>'Tech Parameters'!B24</f>
        <v>-</v>
      </c>
      <c r="D191">
        <f>SUMIF('Tech Parameters'!$B$244:$B$269,$B191,'Tech Parameters'!H$244:H$269)*'Tech Parameters'!$H24*'Alt scen Calcs'!D26*8760</f>
        <v>0</v>
      </c>
      <c r="E191">
        <f>SUMIF('Tech Parameters'!$B$244:$B$269,$B191,'Tech Parameters'!I$244:I$269)*'Tech Parameters'!$H24*'Alt scen Calcs'!E26*8760</f>
        <v>0</v>
      </c>
      <c r="F191">
        <f>SUMIF('Tech Parameters'!$B$244:$B$269,$B191,'Tech Parameters'!J$244:J$269)*'Tech Parameters'!$H24*'Alt scen Calcs'!F26*8760</f>
        <v>0</v>
      </c>
      <c r="G191">
        <f>SUMIF('Tech Parameters'!$B$244:$B$269,$B191,'Tech Parameters'!K$244:K$269)*'Tech Parameters'!$H24*'Alt scen Calcs'!G26*8760</f>
        <v>0</v>
      </c>
      <c r="H191">
        <f>SUMIF('Tech Parameters'!$B$244:$B$269,$B191,'Tech Parameters'!L$244:L$269)*'Tech Parameters'!$H24*'Alt scen Calcs'!H26*8760</f>
        <v>0</v>
      </c>
      <c r="I191">
        <f ca="1">SUMIF('Tech Parameters'!$B$244:$B$269,$B191,'Tech Parameters'!M$244:M$269)*'Tech Parameters'!$H24*'Alt scen Calcs'!I26*8760</f>
        <v>0</v>
      </c>
      <c r="J191">
        <f ca="1">SUMIF('Tech Parameters'!$B$244:$B$269,$B191,'Tech Parameters'!N$244:N$269)*'Tech Parameters'!$H24*'Alt scen Calcs'!J26*8760</f>
        <v>0</v>
      </c>
      <c r="K191">
        <f ca="1">SUMIF('Tech Parameters'!$B$244:$B$269,$B191,'Tech Parameters'!O$244:O$269)*'Tech Parameters'!$H24*'Alt scen Calcs'!K26*8760</f>
        <v>0</v>
      </c>
      <c r="L191">
        <f ca="1">SUMIF('Tech Parameters'!$B$244:$B$269,$B191,'Tech Parameters'!P$244:P$269)*'Tech Parameters'!$H24*'Alt scen Calcs'!L26*8760</f>
        <v>0</v>
      </c>
      <c r="M191">
        <f ca="1">SUMIF('Tech Parameters'!$B$244:$B$269,$B191,'Tech Parameters'!Q$244:Q$269)*'Tech Parameters'!$H24*'Alt scen Calcs'!M26*8760</f>
        <v>0</v>
      </c>
      <c r="N191">
        <f ca="1">SUMIF('Tech Parameters'!$B$244:$B$269,$B191,'Tech Parameters'!R$244:R$269)*'Tech Parameters'!$H24*'Alt scen Calcs'!N26*8760</f>
        <v>0</v>
      </c>
      <c r="O191">
        <f ca="1">SUMIF('Tech Parameters'!$B$244:$B$269,$B191,'Tech Parameters'!S$244:S$269)*'Tech Parameters'!$H24*'Alt scen Calcs'!O26*8760</f>
        <v>0</v>
      </c>
      <c r="P191">
        <f ca="1">SUMIF('Tech Parameters'!$B$244:$B$269,$B191,'Tech Parameters'!T$244:T$269)*'Tech Parameters'!$H24*'Alt scen Calcs'!P26*8760</f>
        <v>0</v>
      </c>
      <c r="Q191">
        <f ca="1">SUMIF('Tech Parameters'!$B$244:$B$269,$B191,'Tech Parameters'!U$244:U$269)*'Tech Parameters'!$H24*'Alt scen Calcs'!Q26*8760</f>
        <v>0</v>
      </c>
      <c r="R191">
        <f ca="1">SUMIF('Tech Parameters'!$B$244:$B$269,$B191,'Tech Parameters'!V$244:V$269)*'Tech Parameters'!$H24*'Alt scen Calcs'!R26*8760</f>
        <v>0</v>
      </c>
      <c r="S191">
        <f ca="1">SUMIF('Tech Parameters'!$B$244:$B$269,$B191,'Tech Parameters'!W$244:W$269)*'Tech Parameters'!$H24*'Alt scen Calcs'!S26*8760</f>
        <v>0</v>
      </c>
      <c r="T191">
        <f ca="1">SUMIF('Tech Parameters'!$B$244:$B$269,$B191,'Tech Parameters'!X$244:X$269)*'Tech Parameters'!$H24*'Alt scen Calcs'!T26*8760</f>
        <v>0</v>
      </c>
      <c r="U191">
        <f ca="1">SUMIF('Tech Parameters'!$B$244:$B$269,$B191,'Tech Parameters'!Y$244:Y$269)*'Tech Parameters'!$H24*'Alt scen Calcs'!U26*8760</f>
        <v>0</v>
      </c>
      <c r="V191">
        <f ca="1">SUMIF('Tech Parameters'!$B$244:$B$269,$B191,'Tech Parameters'!Z$244:Z$269)*'Tech Parameters'!$H24*'Alt scen Calcs'!V26*8760</f>
        <v>0</v>
      </c>
      <c r="W191">
        <f ca="1">SUMIF('Tech Parameters'!$B$244:$B$269,$B191,'Tech Parameters'!AA$244:AA$269)*'Tech Parameters'!$H24*'Alt scen Calcs'!W26*8760</f>
        <v>0</v>
      </c>
      <c r="X191">
        <f ca="1">SUMIF('Tech Parameters'!$B$244:$B$269,$B191,'Tech Parameters'!AB$244:AB$269)*'Tech Parameters'!$H24*'Alt scen Calcs'!X26*8760</f>
        <v>0</v>
      </c>
      <c r="Y191">
        <f ca="1">SUMIF('Tech Parameters'!$B$244:$B$269,$B191,'Tech Parameters'!AC$244:AC$269)*'Tech Parameters'!$H24*'Alt scen Calcs'!Y26*8760</f>
        <v>0</v>
      </c>
      <c r="Z191">
        <f ca="1">SUMIF('Tech Parameters'!$B$244:$B$269,$B191,'Tech Parameters'!AD$244:AD$269)*'Tech Parameters'!$H24*'Alt scen Calcs'!Z26*8760</f>
        <v>0</v>
      </c>
      <c r="AA191">
        <f ca="1">SUMIF('Tech Parameters'!$B$244:$B$269,$B191,'Tech Parameters'!AE$244:AE$269)*'Tech Parameters'!$H24*'Alt scen Calcs'!AA26*8760</f>
        <v>0</v>
      </c>
      <c r="AB191">
        <f ca="1">SUMIF('Tech Parameters'!$B$244:$B$269,$B191,'Tech Parameters'!AF$244:AF$269)*'Tech Parameters'!$H24*'Alt scen Calcs'!AB26*8760</f>
        <v>0</v>
      </c>
      <c r="AC191">
        <f ca="1">SUMIF('Tech Parameters'!$B$244:$B$269,$B191,'Tech Parameters'!AG$244:AG$269)*'Tech Parameters'!$H24*'Alt scen Calcs'!AC26*8760</f>
        <v>0</v>
      </c>
      <c r="BA191" s="4"/>
      <c r="BL191" s="4"/>
    </row>
    <row r="192" spans="2:64">
      <c r="B192" t="str">
        <f>'Tech Parameters'!C25</f>
        <v>Pumped Storage</v>
      </c>
      <c r="C192" t="str">
        <f>'Tech Parameters'!B25</f>
        <v>Pumped storage</v>
      </c>
      <c r="D192">
        <f>SUMIF('Tech Parameters'!$B$244:$B$269,$B192,'Tech Parameters'!H$244:H$269)*'Tech Parameters'!$H25*'Alt scen Calcs'!D27*8760</f>
        <v>3096.0000000000005</v>
      </c>
      <c r="E192">
        <f>SUMIF('Tech Parameters'!$B$244:$B$269,$B192,'Tech Parameters'!I$244:I$269)*'Tech Parameters'!$H25*'Alt scen Calcs'!E27*8760</f>
        <v>3096.0000000000005</v>
      </c>
      <c r="F192">
        <f>SUMIF('Tech Parameters'!$B$244:$B$269,$B192,'Tech Parameters'!J$244:J$269)*'Tech Parameters'!$H25*'Alt scen Calcs'!F27*8760</f>
        <v>3096.0000000000005</v>
      </c>
      <c r="G192">
        <f>SUMIF('Tech Parameters'!$B$244:$B$269,$B192,'Tech Parameters'!K$244:K$269)*'Tech Parameters'!$H25*'Alt scen Calcs'!G27*8760</f>
        <v>3096.0000000000005</v>
      </c>
      <c r="H192">
        <f>SUMIF('Tech Parameters'!$B$244:$B$269,$B192,'Tech Parameters'!L$244:L$269)*'Tech Parameters'!$H25*'Alt scen Calcs'!H27*8760</f>
        <v>3096.0000000000005</v>
      </c>
      <c r="I192">
        <f ca="1">SUMIF('Tech Parameters'!$B$244:$B$269,$B192,'Tech Parameters'!M$244:M$269)*'Tech Parameters'!$H25*'Alt scen Calcs'!I27*8760</f>
        <v>3096.0000000000005</v>
      </c>
      <c r="J192">
        <f ca="1">SUMIF('Tech Parameters'!$B$244:$B$269,$B192,'Tech Parameters'!N$244:N$269)*'Tech Parameters'!$H25*'Alt scen Calcs'!J27*8760</f>
        <v>3096.0000000000005</v>
      </c>
      <c r="K192">
        <f ca="1">SUMIF('Tech Parameters'!$B$244:$B$269,$B192,'Tech Parameters'!O$244:O$269)*'Tech Parameters'!$H25*'Alt scen Calcs'!K27*8760</f>
        <v>3096.0000000000005</v>
      </c>
      <c r="L192">
        <f ca="1">SUMIF('Tech Parameters'!$B$244:$B$269,$B192,'Tech Parameters'!P$244:P$269)*'Tech Parameters'!$H25*'Alt scen Calcs'!L27*8760</f>
        <v>4401.0227848101276</v>
      </c>
      <c r="M192">
        <f ca="1">SUMIF('Tech Parameters'!$B$244:$B$269,$B192,'Tech Parameters'!Q$244:Q$269)*'Tech Parameters'!$H25*'Alt scen Calcs'!M27*8760</f>
        <v>5706.0455696202544</v>
      </c>
      <c r="N192">
        <f ca="1">SUMIF('Tech Parameters'!$B$244:$B$269,$B192,'Tech Parameters'!R$244:R$269)*'Tech Parameters'!$H25*'Alt scen Calcs'!N27*8760</f>
        <v>7011.0683544303811</v>
      </c>
      <c r="O192">
        <f ca="1">SUMIF('Tech Parameters'!$B$244:$B$269,$B192,'Tech Parameters'!S$244:S$269)*'Tech Parameters'!$H25*'Alt scen Calcs'!O27*8760</f>
        <v>8316.0911392405087</v>
      </c>
      <c r="P192">
        <f ca="1">SUMIF('Tech Parameters'!$B$244:$B$269,$B192,'Tech Parameters'!T$244:T$269)*'Tech Parameters'!$H25*'Alt scen Calcs'!P27*8760</f>
        <v>8316.0911392405087</v>
      </c>
      <c r="Q192">
        <f ca="1">SUMIF('Tech Parameters'!$B$244:$B$269,$B192,'Tech Parameters'!U$244:U$269)*'Tech Parameters'!$H25*'Alt scen Calcs'!Q27*8760</f>
        <v>8316.0911392405087</v>
      </c>
      <c r="R192">
        <f ca="1">SUMIF('Tech Parameters'!$B$244:$B$269,$B192,'Tech Parameters'!V$244:V$269)*'Tech Parameters'!$H25*'Alt scen Calcs'!R27*8760</f>
        <v>8316.0911392405087</v>
      </c>
      <c r="S192">
        <f ca="1">SUMIF('Tech Parameters'!$B$244:$B$269,$B192,'Tech Parameters'!W$244:W$269)*'Tech Parameters'!$H25*'Alt scen Calcs'!S27*8760</f>
        <v>8316.0911392405087</v>
      </c>
      <c r="T192">
        <f ca="1">SUMIF('Tech Parameters'!$B$244:$B$269,$B192,'Tech Parameters'!X$244:X$269)*'Tech Parameters'!$H25*'Alt scen Calcs'!T27*8760</f>
        <v>8316.0911392405087</v>
      </c>
      <c r="U192">
        <f ca="1">SUMIF('Tech Parameters'!$B$244:$B$269,$B192,'Tech Parameters'!Y$244:Y$269)*'Tech Parameters'!$H25*'Alt scen Calcs'!U27*8760</f>
        <v>8316.0911392405087</v>
      </c>
      <c r="V192">
        <f ca="1">SUMIF('Tech Parameters'!$B$244:$B$269,$B192,'Tech Parameters'!Z$244:Z$269)*'Tech Parameters'!$H25*'Alt scen Calcs'!V27*8760</f>
        <v>8316.0911392405087</v>
      </c>
      <c r="W192">
        <f ca="1">SUMIF('Tech Parameters'!$B$244:$B$269,$B192,'Tech Parameters'!AA$244:AA$269)*'Tech Parameters'!$H25*'Alt scen Calcs'!W27*8760</f>
        <v>8316.0911392405087</v>
      </c>
      <c r="X192">
        <f ca="1">SUMIF('Tech Parameters'!$B$244:$B$269,$B192,'Tech Parameters'!AB$244:AB$269)*'Tech Parameters'!$H25*'Alt scen Calcs'!X27*8760</f>
        <v>8316.0911392405087</v>
      </c>
      <c r="Y192">
        <f ca="1">SUMIF('Tech Parameters'!$B$244:$B$269,$B192,'Tech Parameters'!AC$244:AC$269)*'Tech Parameters'!$H25*'Alt scen Calcs'!Y27*8760</f>
        <v>8316.0911392405087</v>
      </c>
      <c r="Z192">
        <f ca="1">SUMIF('Tech Parameters'!$B$244:$B$269,$B192,'Tech Parameters'!AD$244:AD$269)*'Tech Parameters'!$H25*'Alt scen Calcs'!Z27*8760</f>
        <v>8316.0911392405087</v>
      </c>
      <c r="AA192">
        <f ca="1">SUMIF('Tech Parameters'!$B$244:$B$269,$B192,'Tech Parameters'!AE$244:AE$269)*'Tech Parameters'!$H25*'Alt scen Calcs'!AA27*8760</f>
        <v>8316.0911392405087</v>
      </c>
      <c r="AB192">
        <f ca="1">SUMIF('Tech Parameters'!$B$244:$B$269,$B192,'Tech Parameters'!AF$244:AF$269)*'Tech Parameters'!$H25*'Alt scen Calcs'!AB27*8760</f>
        <v>8316.0911392405087</v>
      </c>
      <c r="AC192">
        <f ca="1">SUMIF('Tech Parameters'!$B$244:$B$269,$B192,'Tech Parameters'!AG$244:AG$269)*'Tech Parameters'!$H25*'Alt scen Calcs'!AC27*8760</f>
        <v>8316.0911392405087</v>
      </c>
      <c r="BA192" s="4"/>
      <c r="BL192" s="4"/>
    </row>
    <row r="193" spans="2:64">
      <c r="E193" s="26"/>
      <c r="F193" s="26"/>
      <c r="G193" s="26"/>
      <c r="H193" s="26"/>
      <c r="I193" s="26"/>
      <c r="J193" s="26"/>
      <c r="K193" s="26"/>
      <c r="L193" s="26"/>
      <c r="M193" s="26"/>
      <c r="N193" s="26"/>
      <c r="O193" s="26"/>
      <c r="P193" s="26"/>
      <c r="Q193" s="26"/>
      <c r="R193" s="26"/>
      <c r="S193" s="26"/>
      <c r="T193" s="26"/>
      <c r="U193" s="26"/>
      <c r="V193" s="26"/>
      <c r="W193" s="26"/>
      <c r="X193" s="26"/>
      <c r="Y193" s="26"/>
      <c r="Z193" s="26"/>
      <c r="AA193" s="26"/>
      <c r="AB193" s="26"/>
      <c r="AC193" s="26"/>
      <c r="BA193" s="4"/>
      <c r="BL193" s="4"/>
    </row>
    <row r="194" spans="2:64">
      <c r="C194" s="4" t="s">
        <v>229</v>
      </c>
      <c r="E194" s="26"/>
      <c r="F194" s="26"/>
      <c r="G194" s="26"/>
      <c r="H194" s="26"/>
      <c r="I194" s="26"/>
      <c r="J194" s="26"/>
      <c r="K194" s="26"/>
      <c r="L194" s="26"/>
      <c r="M194" s="26"/>
      <c r="N194" s="26"/>
      <c r="O194" s="26"/>
      <c r="P194" s="26"/>
      <c r="Q194" s="26"/>
      <c r="R194" s="26"/>
      <c r="S194" s="26"/>
      <c r="T194" s="26"/>
      <c r="U194" s="26"/>
      <c r="V194" s="26"/>
      <c r="W194" s="26"/>
      <c r="X194" s="26"/>
      <c r="Y194" s="26"/>
      <c r="Z194" s="26"/>
      <c r="AA194" s="26"/>
      <c r="AB194" s="26"/>
      <c r="AC194" s="26"/>
      <c r="BA194" s="4"/>
      <c r="BL194" s="4"/>
    </row>
    <row r="195" spans="2:64">
      <c r="B195" t="str">
        <f>'Tech Parameters'!C6</f>
        <v>Existing coal large</v>
      </c>
      <c r="C195" t="str">
        <f>'Tech Parameters'!B6</f>
        <v>Existing coal Large</v>
      </c>
      <c r="D195">
        <f>SUMIF('Tech Parameters'!$B$273:$B$298,$B173,'Tech Parameters'!H$273:H$298)*'Tech Parameters'!$H6*'Alt scen Calcs'!D8*8760-D173</f>
        <v>162665.33464087764</v>
      </c>
      <c r="E195">
        <f>SUMIF('Tech Parameters'!$B$273:$B$298,$B173,'Tech Parameters'!I$273:I$298)*'Tech Parameters'!$H6*'Alt scen Calcs'!E8*8760-E173</f>
        <v>162665.33464087764</v>
      </c>
      <c r="F195">
        <f>SUMIF('Tech Parameters'!$B$273:$B$298,$B173,'Tech Parameters'!J$273:J$298)*'Tech Parameters'!$H6*'Alt scen Calcs'!F8*8760-F173</f>
        <v>162665.33464087764</v>
      </c>
      <c r="G195">
        <f>SUMIF('Tech Parameters'!$B$273:$B$298,$B173,'Tech Parameters'!K$273:K$298)*'Tech Parameters'!$H6*'Alt scen Calcs'!G8*8760-G173</f>
        <v>162665.33464087764</v>
      </c>
      <c r="H195">
        <f>SUMIF('Tech Parameters'!$B$273:$B$298,$B173,'Tech Parameters'!L$273:L$298)*'Tech Parameters'!$H6*'Alt scen Calcs'!H8*8760-H173</f>
        <v>162665.33464087764</v>
      </c>
      <c r="I195">
        <f ca="1">SUMIF('Tech Parameters'!$B$273:$B$298,$B173,'Tech Parameters'!M$273:M$298)*'Tech Parameters'!$H6*'Alt scen Calcs'!I8*8760-I173</f>
        <v>162665.33464087764</v>
      </c>
      <c r="J195">
        <f ca="1">SUMIF('Tech Parameters'!$B$273:$B$298,$B173,'Tech Parameters'!N$273:N$298)*'Tech Parameters'!$H6*'Alt scen Calcs'!J8*8760-J173</f>
        <v>162665.33464087764</v>
      </c>
      <c r="K195">
        <f ca="1">SUMIF('Tech Parameters'!$B$273:$B$298,$B173,'Tech Parameters'!O$273:O$298)*'Tech Parameters'!$H6*'Alt scen Calcs'!K8*8760-K173</f>
        <v>162665.33464087764</v>
      </c>
      <c r="L195">
        <f ca="1">SUMIF('Tech Parameters'!$B$273:$B$298,$B173,'Tech Parameters'!P$273:P$298)*'Tech Parameters'!$H6*'Alt scen Calcs'!L8*8760-L173</f>
        <v>162665.33464087764</v>
      </c>
      <c r="M195">
        <f ca="1">SUMIF('Tech Parameters'!$B$273:$B$298,$B173,'Tech Parameters'!Q$273:Q$298)*'Tech Parameters'!$H6*'Alt scen Calcs'!M8*8760-M173</f>
        <v>162665.33464087764</v>
      </c>
      <c r="N195">
        <f ca="1">SUMIF('Tech Parameters'!$B$273:$B$298,$B173,'Tech Parameters'!R$273:R$298)*'Tech Parameters'!$H6*'Alt scen Calcs'!N8*8760-N173</f>
        <v>162665.33464087764</v>
      </c>
      <c r="O195">
        <f ca="1">SUMIF('Tech Parameters'!$B$273:$B$298,$B173,'Tech Parameters'!S$273:S$298)*'Tech Parameters'!$H6*'Alt scen Calcs'!O8*8760-O173</f>
        <v>162665.33464087764</v>
      </c>
      <c r="P195">
        <f ca="1">SUMIF('Tech Parameters'!$B$273:$B$298,$B173,'Tech Parameters'!T$273:T$298)*'Tech Parameters'!$H6*'Alt scen Calcs'!P8*8760-P173</f>
        <v>162665.33464087764</v>
      </c>
      <c r="Q195">
        <f ca="1">SUMIF('Tech Parameters'!$B$273:$B$298,$B173,'Tech Parameters'!U$273:U$298)*'Tech Parameters'!$H6*'Alt scen Calcs'!Q8*8760-Q173</f>
        <v>162665.33464087764</v>
      </c>
      <c r="R195">
        <f ca="1">SUMIF('Tech Parameters'!$B$273:$B$298,$B173,'Tech Parameters'!V$273:V$298)*'Tech Parameters'!$H6*'Alt scen Calcs'!R8*8760-R173</f>
        <v>162665.33464087764</v>
      </c>
      <c r="S195">
        <f ca="1">SUMIF('Tech Parameters'!$B$273:$B$298,$B173,'Tech Parameters'!W$273:W$298)*'Tech Parameters'!$H6*'Alt scen Calcs'!S8*8760-S173</f>
        <v>162665.33464087764</v>
      </c>
      <c r="T195">
        <f ca="1">SUMIF('Tech Parameters'!$B$273:$B$298,$B173,'Tech Parameters'!X$273:X$298)*'Tech Parameters'!$H6*'Alt scen Calcs'!T8*8760-T173</f>
        <v>162665.33464087764</v>
      </c>
      <c r="U195">
        <f ca="1">SUMIF('Tech Parameters'!$B$273:$B$298,$B173,'Tech Parameters'!Y$273:Y$298)*'Tech Parameters'!$H6*'Alt scen Calcs'!U8*8760-U173</f>
        <v>162665.33464087764</v>
      </c>
      <c r="V195">
        <f ca="1">SUMIF('Tech Parameters'!$B$273:$B$298,$B173,'Tech Parameters'!Z$273:Z$298)*'Tech Parameters'!$H6*'Alt scen Calcs'!V8*8760-V173</f>
        <v>162665.33464087764</v>
      </c>
      <c r="W195">
        <f ca="1">SUMIF('Tech Parameters'!$B$273:$B$298,$B173,'Tech Parameters'!AA$273:AA$298)*'Tech Parameters'!$H6*'Alt scen Calcs'!W8*8760-W173</f>
        <v>156579.59798994398</v>
      </c>
      <c r="X195">
        <f ca="1">SUMIF('Tech Parameters'!$B$273:$B$298,$B173,'Tech Parameters'!AB$273:AB$298)*'Tech Parameters'!$H6*'Alt scen Calcs'!X8*8760-X173</f>
        <v>150493.8613390103</v>
      </c>
      <c r="Y195">
        <f ca="1">SUMIF('Tech Parameters'!$B$273:$B$298,$B173,'Tech Parameters'!AC$273:AC$298)*'Tech Parameters'!$H6*'Alt scen Calcs'!Y8*8760-Y173</f>
        <v>142886.69052534318</v>
      </c>
      <c r="Z195">
        <f ca="1">SUMIF('Tech Parameters'!$B$273:$B$298,$B173,'Tech Parameters'!AD$273:AD$298)*'Tech Parameters'!$H6*'Alt scen Calcs'!Z8*8760-Z173</f>
        <v>135279.51971167602</v>
      </c>
      <c r="AA195">
        <f ca="1">SUMIF('Tech Parameters'!$B$273:$B$298,$B173,'Tech Parameters'!AE$273:AE$298)*'Tech Parameters'!$H6*'Alt scen Calcs'!AA8*8760-AA173</f>
        <v>126070.83925302638</v>
      </c>
      <c r="AB195">
        <f ca="1">SUMIF('Tech Parameters'!$B$273:$B$298,$B173,'Tech Parameters'!AF$273:AF$298)*'Tech Parameters'!$H6*'Alt scen Calcs'!AB8*8760-AB173</f>
        <v>107653.47833572706</v>
      </c>
      <c r="AC195">
        <f ca="1">SUMIF('Tech Parameters'!$B$273:$B$298,$B173,'Tech Parameters'!AG$273:AG$298)*'Tech Parameters'!$H6*'Alt scen Calcs'!AC8*8760-AC173</f>
        <v>98444.797877077363</v>
      </c>
      <c r="BA195" s="4"/>
      <c r="BL195" s="4"/>
    </row>
    <row r="196" spans="2:64">
      <c r="B196" t="str">
        <f>'Tech Parameters'!C7</f>
        <v>Existing coal small</v>
      </c>
      <c r="C196" t="str">
        <f>'Tech Parameters'!B7</f>
        <v>Existing coal Small</v>
      </c>
      <c r="D196">
        <f>SUMIF('Tech Parameters'!$B$273:$B$298,$B174,'Tech Parameters'!H$273:H$298)*'Tech Parameters'!$H7*'Alt scen Calcs'!D9*8760-D174</f>
        <v>26789.252120403748</v>
      </c>
      <c r="E196">
        <f>SUMIF('Tech Parameters'!$B$273:$B$298,$B174,'Tech Parameters'!I$273:I$298)*'Tech Parameters'!$H7*'Alt scen Calcs'!E9*8760-E174</f>
        <v>26789.252120403748</v>
      </c>
      <c r="F196">
        <f>SUMIF('Tech Parameters'!$B$273:$B$298,$B174,'Tech Parameters'!J$273:J$298)*'Tech Parameters'!$H7*'Alt scen Calcs'!F9*8760-F174</f>
        <v>26789.252120403748</v>
      </c>
      <c r="G196">
        <f>SUMIF('Tech Parameters'!$B$273:$B$298,$B174,'Tech Parameters'!K$273:K$298)*'Tech Parameters'!$H7*'Alt scen Calcs'!G9*8760-G174</f>
        <v>26789.252120403748</v>
      </c>
      <c r="H196">
        <f>SUMIF('Tech Parameters'!$B$273:$B$298,$B174,'Tech Parameters'!L$273:L$298)*'Tech Parameters'!$H7*'Alt scen Calcs'!H9*8760-H174</f>
        <v>26789.252120403748</v>
      </c>
      <c r="I196">
        <f ca="1">SUMIF('Tech Parameters'!$B$273:$B$298,$B174,'Tech Parameters'!M$273:M$298)*'Tech Parameters'!$H7*'Alt scen Calcs'!I9*8760-I174</f>
        <v>30156.12050691207</v>
      </c>
      <c r="J196">
        <f ca="1">SUMIF('Tech Parameters'!$B$273:$B$298,$B174,'Tech Parameters'!N$273:N$298)*'Tech Parameters'!$H7*'Alt scen Calcs'!J9*8760-J174</f>
        <v>32147.650269941878</v>
      </c>
      <c r="K196">
        <f ca="1">SUMIF('Tech Parameters'!$B$273:$B$298,$B174,'Tech Parameters'!O$273:O$298)*'Tech Parameters'!$H7*'Alt scen Calcs'!K9*8760-K174</f>
        <v>32147.650269941878</v>
      </c>
      <c r="L196">
        <f ca="1">SUMIF('Tech Parameters'!$B$273:$B$298,$B174,'Tech Parameters'!P$273:P$298)*'Tech Parameters'!$H7*'Alt scen Calcs'!L9*8760-L174</f>
        <v>32147.650269941878</v>
      </c>
      <c r="M196">
        <f ca="1">SUMIF('Tech Parameters'!$B$273:$B$298,$B174,'Tech Parameters'!Q$273:Q$298)*'Tech Parameters'!$H7*'Alt scen Calcs'!M9*8760-M174</f>
        <v>32147.650269941878</v>
      </c>
      <c r="N196">
        <f ca="1">SUMIF('Tech Parameters'!$B$273:$B$298,$B174,'Tech Parameters'!R$273:R$298)*'Tech Parameters'!$H7*'Alt scen Calcs'!N9*8760-N174</f>
        <v>32147.650269941878</v>
      </c>
      <c r="O196">
        <f ca="1">SUMIF('Tech Parameters'!$B$273:$B$298,$B174,'Tech Parameters'!S$273:S$298)*'Tech Parameters'!$H7*'Alt scen Calcs'!O9*8760-O174</f>
        <v>31962.792928076487</v>
      </c>
      <c r="P196">
        <f ca="1">SUMIF('Tech Parameters'!$B$273:$B$298,$B174,'Tech Parameters'!T$273:T$298)*'Tech Parameters'!$H7*'Alt scen Calcs'!P9*8760-P174</f>
        <v>31777.935586211097</v>
      </c>
      <c r="Q196">
        <f ca="1">SUMIF('Tech Parameters'!$B$273:$B$298,$B174,'Tech Parameters'!U$273:U$298)*'Tech Parameters'!$H7*'Alt scen Calcs'!Q9*8760-Q174</f>
        <v>31531.459130390576</v>
      </c>
      <c r="R196">
        <f ca="1">SUMIF('Tech Parameters'!$B$273:$B$298,$B174,'Tech Parameters'!V$273:V$298)*'Tech Parameters'!$H7*'Alt scen Calcs'!R9*8760-R174</f>
        <v>31284.982674570063</v>
      </c>
      <c r="S196">
        <f ca="1">SUMIF('Tech Parameters'!$B$273:$B$298,$B174,'Tech Parameters'!W$273:W$298)*'Tech Parameters'!$H7*'Alt scen Calcs'!S9*8760-S174</f>
        <v>26601.930013980156</v>
      </c>
      <c r="T196">
        <f ca="1">SUMIF('Tech Parameters'!$B$273:$B$298,$B174,'Tech Parameters'!X$273:X$298)*'Tech Parameters'!$H7*'Alt scen Calcs'!T9*8760-T174</f>
        <v>21918.877353390257</v>
      </c>
      <c r="U196">
        <f ca="1">SUMIF('Tech Parameters'!$B$273:$B$298,$B174,'Tech Parameters'!Y$273:Y$298)*'Tech Parameters'!$H7*'Alt scen Calcs'!U9*8760-U174</f>
        <v>21918.877353390257</v>
      </c>
      <c r="V196">
        <f ca="1">SUMIF('Tech Parameters'!$B$273:$B$298,$B174,'Tech Parameters'!Z$273:Z$298)*'Tech Parameters'!$H7*'Alt scen Calcs'!V9*8760-V174</f>
        <v>21918.877353390257</v>
      </c>
      <c r="W196">
        <f ca="1">SUMIF('Tech Parameters'!$B$273:$B$298,$B174,'Tech Parameters'!AA$273:AA$298)*'Tech Parameters'!$H7*'Alt scen Calcs'!W9*8760-W174</f>
        <v>21918.877353390257</v>
      </c>
      <c r="X196">
        <f ca="1">SUMIF('Tech Parameters'!$B$273:$B$298,$B174,'Tech Parameters'!AB$273:AB$298)*'Tech Parameters'!$H7*'Alt scen Calcs'!X9*8760-X174</f>
        <v>19761.112914045938</v>
      </c>
      <c r="Y196">
        <f ca="1">SUMIF('Tech Parameters'!$B$273:$B$298,$B174,'Tech Parameters'!AC$273:AC$298)*'Tech Parameters'!$H7*'Alt scen Calcs'!Y9*8760-Y174</f>
        <v>17603.348474701619</v>
      </c>
      <c r="Z196">
        <f ca="1">SUMIF('Tech Parameters'!$B$273:$B$298,$B174,'Tech Parameters'!AD$273:AD$298)*'Tech Parameters'!$H7*'Alt scen Calcs'!Z9*8760-Z174</f>
        <v>17603.348474701619</v>
      </c>
      <c r="AA196">
        <f ca="1">SUMIF('Tech Parameters'!$B$273:$B$298,$B174,'Tech Parameters'!AE$273:AE$298)*'Tech Parameters'!$H7*'Alt scen Calcs'!AA9*8760-AA174</f>
        <v>17603.348474701619</v>
      </c>
      <c r="AB196">
        <f ca="1">SUMIF('Tech Parameters'!$B$273:$B$298,$B174,'Tech Parameters'!AF$273:AF$298)*'Tech Parameters'!$H7*'Alt scen Calcs'!AB9*8760-AB174</f>
        <v>17603.348474701619</v>
      </c>
      <c r="AC196">
        <f ca="1">SUMIF('Tech Parameters'!$B$273:$B$298,$B174,'Tech Parameters'!AG$273:AG$298)*'Tech Parameters'!$H7*'Alt scen Calcs'!AC9*8760-AC174</f>
        <v>17603.348474701619</v>
      </c>
      <c r="BA196" s="4"/>
      <c r="BL196" s="4"/>
    </row>
    <row r="197" spans="2:64">
      <c r="B197" t="str">
        <f>'Tech Parameters'!C8</f>
        <v>Open-Cycle Gas Turbine diesel</v>
      </c>
      <c r="C197" t="str">
        <f>'Tech Parameters'!B8</f>
        <v>OCGT liquid fuels</v>
      </c>
      <c r="D197">
        <f>SUMIF('Tech Parameters'!$B$273:$B$298,$B175,'Tech Parameters'!H$273:H$298)*'Tech Parameters'!$H8*'Alt scen Calcs'!D10*8760-D175</f>
        <v>912.47907878399997</v>
      </c>
      <c r="E197">
        <f>SUMIF('Tech Parameters'!$B$273:$B$298,$B175,'Tech Parameters'!I$273:I$298)*'Tech Parameters'!$H8*'Alt scen Calcs'!E10*8760-E175</f>
        <v>912.47907878399997</v>
      </c>
      <c r="F197">
        <f>SUMIF('Tech Parameters'!$B$273:$B$298,$B175,'Tech Parameters'!J$273:J$298)*'Tech Parameters'!$H8*'Alt scen Calcs'!F10*8760-F175</f>
        <v>912.47907878399997</v>
      </c>
      <c r="G197">
        <f>SUMIF('Tech Parameters'!$B$273:$B$298,$B175,'Tech Parameters'!K$273:K$298)*'Tech Parameters'!$H8*'Alt scen Calcs'!G10*8760-G175</f>
        <v>912.47907878399997</v>
      </c>
      <c r="H197">
        <f>SUMIF('Tech Parameters'!$B$273:$B$298,$B175,'Tech Parameters'!L$273:L$298)*'Tech Parameters'!$H8*'Alt scen Calcs'!H10*8760-H175</f>
        <v>912.47907878399997</v>
      </c>
      <c r="I197">
        <f ca="1">SUMIF('Tech Parameters'!$B$273:$B$298,$B175,'Tech Parameters'!M$273:M$298)*'Tech Parameters'!$H8*'Alt scen Calcs'!I10*8760-I175</f>
        <v>912.47907878399997</v>
      </c>
      <c r="J197">
        <f ca="1">SUMIF('Tech Parameters'!$B$273:$B$298,$B175,'Tech Parameters'!N$273:N$298)*'Tech Parameters'!$H8*'Alt scen Calcs'!J10*8760-J175</f>
        <v>1323.0946642368001</v>
      </c>
      <c r="K197">
        <f ca="1">SUMIF('Tech Parameters'!$B$273:$B$298,$B175,'Tech Parameters'!O$273:O$298)*'Tech Parameters'!$H8*'Alt scen Calcs'!K10*8760-K175</f>
        <v>1323.0946642368001</v>
      </c>
      <c r="L197">
        <f ca="1">SUMIF('Tech Parameters'!$B$273:$B$298,$B175,'Tech Parameters'!P$273:P$298)*'Tech Parameters'!$H8*'Alt scen Calcs'!L10*8760-L175</f>
        <v>1323.0946642368001</v>
      </c>
      <c r="M197">
        <f ca="1">SUMIF('Tech Parameters'!$B$273:$B$298,$B175,'Tech Parameters'!Q$273:Q$298)*'Tech Parameters'!$H8*'Alt scen Calcs'!M10*8760-M175</f>
        <v>1323.0946642368001</v>
      </c>
      <c r="N197">
        <f ca="1">SUMIF('Tech Parameters'!$B$273:$B$298,$B175,'Tech Parameters'!R$273:R$298)*'Tech Parameters'!$H8*'Alt scen Calcs'!N10*8760-N175</f>
        <v>1323.0946642368001</v>
      </c>
      <c r="O197">
        <f ca="1">SUMIF('Tech Parameters'!$B$273:$B$298,$B175,'Tech Parameters'!S$273:S$298)*'Tech Parameters'!$H8*'Alt scen Calcs'!O10*8760-O175</f>
        <v>1323.0946642368001</v>
      </c>
      <c r="P197">
        <f ca="1">SUMIF('Tech Parameters'!$B$273:$B$298,$B175,'Tech Parameters'!T$273:T$298)*'Tech Parameters'!$H8*'Alt scen Calcs'!P10*8760-P175</f>
        <v>1323.0946642368001</v>
      </c>
      <c r="Q197">
        <f ca="1">SUMIF('Tech Parameters'!$B$273:$B$298,$B175,'Tech Parameters'!U$273:U$298)*'Tech Parameters'!$H8*'Alt scen Calcs'!Q10*8760-Q175</f>
        <v>1323.0946642368001</v>
      </c>
      <c r="R197">
        <f ca="1">SUMIF('Tech Parameters'!$B$273:$B$298,$B175,'Tech Parameters'!V$273:V$298)*'Tech Parameters'!$H8*'Alt scen Calcs'!R10*8760-R175</f>
        <v>1323.0946642368001</v>
      </c>
      <c r="S197">
        <f ca="1">SUMIF('Tech Parameters'!$B$273:$B$298,$B175,'Tech Parameters'!W$273:W$298)*'Tech Parameters'!$H8*'Alt scen Calcs'!S10*8760-S175</f>
        <v>1323.0946642368001</v>
      </c>
      <c r="T197">
        <f ca="1">SUMIF('Tech Parameters'!$B$273:$B$298,$B175,'Tech Parameters'!X$273:X$298)*'Tech Parameters'!$H8*'Alt scen Calcs'!T10*8760-T175</f>
        <v>1323.0946642368001</v>
      </c>
      <c r="U197">
        <f ca="1">SUMIF('Tech Parameters'!$B$273:$B$298,$B175,'Tech Parameters'!Y$273:Y$298)*'Tech Parameters'!$H8*'Alt scen Calcs'!U10*8760-U175</f>
        <v>1323.0946642368001</v>
      </c>
      <c r="V197">
        <f ca="1">SUMIF('Tech Parameters'!$B$273:$B$298,$B175,'Tech Parameters'!Z$273:Z$298)*'Tech Parameters'!$H8*'Alt scen Calcs'!V10*8760-V175</f>
        <v>1323.0946642368001</v>
      </c>
      <c r="W197">
        <f ca="1">SUMIF('Tech Parameters'!$B$273:$B$298,$B175,'Tech Parameters'!AA$273:AA$298)*'Tech Parameters'!$H8*'Alt scen Calcs'!W10*8760-W175</f>
        <v>1323.0946642368001</v>
      </c>
      <c r="X197">
        <f ca="1">SUMIF('Tech Parameters'!$B$273:$B$298,$B175,'Tech Parameters'!AB$273:AB$298)*'Tech Parameters'!$H8*'Alt scen Calcs'!X10*8760-X175</f>
        <v>1323.0946642368001</v>
      </c>
      <c r="Y197">
        <f ca="1">SUMIF('Tech Parameters'!$B$273:$B$298,$B175,'Tech Parameters'!AC$273:AC$298)*'Tech Parameters'!$H8*'Alt scen Calcs'!Y10*8760-Y175</f>
        <v>1596.8383878719997</v>
      </c>
      <c r="Z197">
        <f ca="1">SUMIF('Tech Parameters'!$B$273:$B$298,$B175,'Tech Parameters'!AD$273:AD$298)*'Tech Parameters'!$H8*'Alt scen Calcs'!Z10*8760-Z175</f>
        <v>1596.8383878719997</v>
      </c>
      <c r="AA197">
        <f ca="1">SUMIF('Tech Parameters'!$B$273:$B$298,$B175,'Tech Parameters'!AE$273:AE$298)*'Tech Parameters'!$H8*'Alt scen Calcs'!AA10*8760-AA175</f>
        <v>1596.8383878719997</v>
      </c>
      <c r="AB197">
        <f ca="1">SUMIF('Tech Parameters'!$B$273:$B$298,$B175,'Tech Parameters'!AF$273:AF$298)*'Tech Parameters'!$H8*'Alt scen Calcs'!AB10*8760-AB175</f>
        <v>1961.8300193855996</v>
      </c>
      <c r="AC197">
        <f ca="1">SUMIF('Tech Parameters'!$B$273:$B$298,$B175,'Tech Parameters'!AG$273:AG$298)*'Tech Parameters'!$H8*'Alt scen Calcs'!AC10*8760-AC175</f>
        <v>2261.8075165358396</v>
      </c>
      <c r="BA197" s="4"/>
      <c r="BL197" s="4"/>
    </row>
    <row r="198" spans="2:64">
      <c r="B198" t="str">
        <f>'Tech Parameters'!C9</f>
        <v>Nuclear Pressurised Water Reactor</v>
      </c>
      <c r="C198" t="str">
        <f>'Tech Parameters'!B9</f>
        <v>PWR nuclear</v>
      </c>
      <c r="D198">
        <f>SUMIF('Tech Parameters'!$B$273:$B$298,$B176,'Tech Parameters'!H$273:H$298)*'Tech Parameters'!$H9*'Alt scen Calcs'!D11*8760-D176</f>
        <v>0</v>
      </c>
      <c r="E198">
        <f>SUMIF('Tech Parameters'!$B$273:$B$298,$B176,'Tech Parameters'!I$273:I$298)*'Tech Parameters'!$H9*'Alt scen Calcs'!E11*8760-E176</f>
        <v>0</v>
      </c>
      <c r="F198">
        <f>SUMIF('Tech Parameters'!$B$273:$B$298,$B176,'Tech Parameters'!J$273:J$298)*'Tech Parameters'!$H9*'Alt scen Calcs'!F11*8760-F176</f>
        <v>0</v>
      </c>
      <c r="G198">
        <f>SUMIF('Tech Parameters'!$B$273:$B$298,$B176,'Tech Parameters'!K$273:K$298)*'Tech Parameters'!$H9*'Alt scen Calcs'!G11*8760-G176</f>
        <v>0</v>
      </c>
      <c r="H198">
        <f>SUMIF('Tech Parameters'!$B$273:$B$298,$B176,'Tech Parameters'!L$273:L$298)*'Tech Parameters'!$H9*'Alt scen Calcs'!H11*8760-H176</f>
        <v>0</v>
      </c>
      <c r="I198">
        <f ca="1">SUMIF('Tech Parameters'!$B$273:$B$298,$B176,'Tech Parameters'!M$273:M$298)*'Tech Parameters'!$H9*'Alt scen Calcs'!I11*8760-I176</f>
        <v>0</v>
      </c>
      <c r="J198">
        <f ca="1">SUMIF('Tech Parameters'!$B$273:$B$298,$B176,'Tech Parameters'!N$273:N$298)*'Tech Parameters'!$H9*'Alt scen Calcs'!J11*8760-J176</f>
        <v>0</v>
      </c>
      <c r="K198">
        <f ca="1">SUMIF('Tech Parameters'!$B$273:$B$298,$B176,'Tech Parameters'!O$273:O$298)*'Tech Parameters'!$H9*'Alt scen Calcs'!K11*8760-K176</f>
        <v>0</v>
      </c>
      <c r="L198">
        <f ca="1">SUMIF('Tech Parameters'!$B$273:$B$298,$B176,'Tech Parameters'!P$273:P$298)*'Tech Parameters'!$H9*'Alt scen Calcs'!L11*8760-L176</f>
        <v>0</v>
      </c>
      <c r="M198">
        <f ca="1">SUMIF('Tech Parameters'!$B$273:$B$298,$B176,'Tech Parameters'!Q$273:Q$298)*'Tech Parameters'!$H9*'Alt scen Calcs'!M11*8760-M176</f>
        <v>0</v>
      </c>
      <c r="N198">
        <f ca="1">SUMIF('Tech Parameters'!$B$273:$B$298,$B176,'Tech Parameters'!R$273:R$298)*'Tech Parameters'!$H9*'Alt scen Calcs'!N11*8760-N176</f>
        <v>0</v>
      </c>
      <c r="O198">
        <f ca="1">SUMIF('Tech Parameters'!$B$273:$B$298,$B176,'Tech Parameters'!S$273:S$298)*'Tech Parameters'!$H9*'Alt scen Calcs'!O11*8760-O176</f>
        <v>0</v>
      </c>
      <c r="P198">
        <f ca="1">SUMIF('Tech Parameters'!$B$273:$B$298,$B176,'Tech Parameters'!T$273:T$298)*'Tech Parameters'!$H9*'Alt scen Calcs'!P11*8760-P176</f>
        <v>0</v>
      </c>
      <c r="Q198">
        <f ca="1">SUMIF('Tech Parameters'!$B$273:$B$298,$B176,'Tech Parameters'!U$273:U$298)*'Tech Parameters'!$H9*'Alt scen Calcs'!Q11*8760-Q176</f>
        <v>0</v>
      </c>
      <c r="R198">
        <f ca="1">SUMIF('Tech Parameters'!$B$273:$B$298,$B176,'Tech Parameters'!V$273:V$298)*'Tech Parameters'!$H9*'Alt scen Calcs'!R11*8760-R176</f>
        <v>0</v>
      </c>
      <c r="S198">
        <f ca="1">SUMIF('Tech Parameters'!$B$273:$B$298,$B176,'Tech Parameters'!W$273:W$298)*'Tech Parameters'!$H9*'Alt scen Calcs'!S11*8760-S176</f>
        <v>0</v>
      </c>
      <c r="T198">
        <f ca="1">SUMIF('Tech Parameters'!$B$273:$B$298,$B176,'Tech Parameters'!X$273:X$298)*'Tech Parameters'!$H9*'Alt scen Calcs'!T11*8760-T176</f>
        <v>0</v>
      </c>
      <c r="U198">
        <f ca="1">SUMIF('Tech Parameters'!$B$273:$B$298,$B176,'Tech Parameters'!Y$273:Y$298)*'Tech Parameters'!$H9*'Alt scen Calcs'!U11*8760-U176</f>
        <v>0</v>
      </c>
      <c r="V198">
        <f ca="1">SUMIF('Tech Parameters'!$B$273:$B$298,$B176,'Tech Parameters'!Z$273:Z$298)*'Tech Parameters'!$H9*'Alt scen Calcs'!V11*8760-V176</f>
        <v>0</v>
      </c>
      <c r="W198">
        <f ca="1">SUMIF('Tech Parameters'!$B$273:$B$298,$B176,'Tech Parameters'!AA$273:AA$298)*'Tech Parameters'!$H9*'Alt scen Calcs'!W11*8760-W176</f>
        <v>0</v>
      </c>
      <c r="X198">
        <f ca="1">SUMIF('Tech Parameters'!$B$273:$B$298,$B176,'Tech Parameters'!AB$273:AB$298)*'Tech Parameters'!$H9*'Alt scen Calcs'!X11*8760-X176</f>
        <v>0</v>
      </c>
      <c r="Y198">
        <f ca="1">SUMIF('Tech Parameters'!$B$273:$B$298,$B176,'Tech Parameters'!AC$273:AC$298)*'Tech Parameters'!$H9*'Alt scen Calcs'!Y11*8760-Y176</f>
        <v>0</v>
      </c>
      <c r="Z198">
        <f ca="1">SUMIF('Tech Parameters'!$B$273:$B$298,$B176,'Tech Parameters'!AD$273:AD$298)*'Tech Parameters'!$H9*'Alt scen Calcs'!Z11*8760-Z176</f>
        <v>0</v>
      </c>
      <c r="AA198">
        <f ca="1">SUMIF('Tech Parameters'!$B$273:$B$298,$B176,'Tech Parameters'!AE$273:AE$298)*'Tech Parameters'!$H9*'Alt scen Calcs'!AA11*8760-AA176</f>
        <v>0</v>
      </c>
      <c r="AB198">
        <f ca="1">SUMIF('Tech Parameters'!$B$273:$B$298,$B176,'Tech Parameters'!AF$273:AF$298)*'Tech Parameters'!$H9*'Alt scen Calcs'!AB11*8760-AB176</f>
        <v>0</v>
      </c>
      <c r="AC198">
        <f ca="1">SUMIF('Tech Parameters'!$B$273:$B$298,$B176,'Tech Parameters'!AG$273:AG$298)*'Tech Parameters'!$H9*'Alt scen Calcs'!AC11*8760-AC176</f>
        <v>0</v>
      </c>
      <c r="BA198" s="4"/>
      <c r="BL198" s="4"/>
    </row>
    <row r="199" spans="2:64">
      <c r="B199" t="str">
        <f>'Tech Parameters'!C10</f>
        <v>Hydro existing</v>
      </c>
      <c r="C199" t="str">
        <f>'Tech Parameters'!B10</f>
        <v>Hydro</v>
      </c>
      <c r="D199">
        <f>SUMIF('Tech Parameters'!$B$273:$B$298,$B177,'Tech Parameters'!H$273:H$298)*'Tech Parameters'!$H10*'Alt scen Calcs'!D12*8760-D177</f>
        <v>66.660329523809537</v>
      </c>
      <c r="E199">
        <f>SUMIF('Tech Parameters'!$B$273:$B$298,$B177,'Tech Parameters'!I$273:I$298)*'Tech Parameters'!$H10*'Alt scen Calcs'!E12*8760-E177</f>
        <v>66.660329523809537</v>
      </c>
      <c r="F199">
        <f>SUMIF('Tech Parameters'!$B$273:$B$298,$B177,'Tech Parameters'!J$273:J$298)*'Tech Parameters'!$H10*'Alt scen Calcs'!F12*8760-F177</f>
        <v>66.660329523809537</v>
      </c>
      <c r="G199">
        <f>SUMIF('Tech Parameters'!$B$273:$B$298,$B177,'Tech Parameters'!K$273:K$298)*'Tech Parameters'!$H10*'Alt scen Calcs'!G12*8760-G177</f>
        <v>66.660329523809537</v>
      </c>
      <c r="H199">
        <f>SUMIF('Tech Parameters'!$B$273:$B$298,$B177,'Tech Parameters'!L$273:L$298)*'Tech Parameters'!$H10*'Alt scen Calcs'!H12*8760-H177</f>
        <v>66.660329523809537</v>
      </c>
      <c r="I199">
        <f ca="1">SUMIF('Tech Parameters'!$B$273:$B$298,$B177,'Tech Parameters'!M$273:M$298)*'Tech Parameters'!$H10*'Alt scen Calcs'!I12*8760-I177</f>
        <v>66.660329523809537</v>
      </c>
      <c r="J199">
        <f ca="1">SUMIF('Tech Parameters'!$B$273:$B$298,$B177,'Tech Parameters'!N$273:N$298)*'Tech Parameters'!$H10*'Alt scen Calcs'!J12*8760-J177</f>
        <v>66.660329523809537</v>
      </c>
      <c r="K199">
        <f ca="1">SUMIF('Tech Parameters'!$B$273:$B$298,$B177,'Tech Parameters'!O$273:O$298)*'Tech Parameters'!$H10*'Alt scen Calcs'!K12*8760-K177</f>
        <v>66.660329523809537</v>
      </c>
      <c r="L199">
        <f ca="1">SUMIF('Tech Parameters'!$B$273:$B$298,$B177,'Tech Parameters'!P$273:P$298)*'Tech Parameters'!$H10*'Alt scen Calcs'!L12*8760-L177</f>
        <v>66.660329523809537</v>
      </c>
      <c r="M199">
        <f ca="1">SUMIF('Tech Parameters'!$B$273:$B$298,$B177,'Tech Parameters'!Q$273:Q$298)*'Tech Parameters'!$H10*'Alt scen Calcs'!M12*8760-M177</f>
        <v>66.660329523809537</v>
      </c>
      <c r="N199">
        <f ca="1">SUMIF('Tech Parameters'!$B$273:$B$298,$B177,'Tech Parameters'!R$273:R$298)*'Tech Parameters'!$H10*'Alt scen Calcs'!N12*8760-N177</f>
        <v>66.660329523809537</v>
      </c>
      <c r="O199">
        <f ca="1">SUMIF('Tech Parameters'!$B$273:$B$298,$B177,'Tech Parameters'!S$273:S$298)*'Tech Parameters'!$H10*'Alt scen Calcs'!O12*8760-O177</f>
        <v>66.660329523809537</v>
      </c>
      <c r="P199">
        <f ca="1">SUMIF('Tech Parameters'!$B$273:$B$298,$B177,'Tech Parameters'!T$273:T$298)*'Tech Parameters'!$H10*'Alt scen Calcs'!P12*8760-P177</f>
        <v>66.660329523809537</v>
      </c>
      <c r="Q199">
        <f ca="1">SUMIF('Tech Parameters'!$B$273:$B$298,$B177,'Tech Parameters'!U$273:U$298)*'Tech Parameters'!$H10*'Alt scen Calcs'!Q12*8760-Q177</f>
        <v>66.660329523809537</v>
      </c>
      <c r="R199">
        <f ca="1">SUMIF('Tech Parameters'!$B$273:$B$298,$B177,'Tech Parameters'!V$273:V$298)*'Tech Parameters'!$H10*'Alt scen Calcs'!R12*8760-R177</f>
        <v>66.660329523809537</v>
      </c>
      <c r="S199">
        <f ca="1">SUMIF('Tech Parameters'!$B$273:$B$298,$B177,'Tech Parameters'!W$273:W$298)*'Tech Parameters'!$H10*'Alt scen Calcs'!S12*8760-S177</f>
        <v>66.660329523809537</v>
      </c>
      <c r="T199">
        <f ca="1">SUMIF('Tech Parameters'!$B$273:$B$298,$B177,'Tech Parameters'!X$273:X$298)*'Tech Parameters'!$H10*'Alt scen Calcs'!T12*8760-T177</f>
        <v>66.660329523809537</v>
      </c>
      <c r="U199">
        <f ca="1">SUMIF('Tech Parameters'!$B$273:$B$298,$B177,'Tech Parameters'!Y$273:Y$298)*'Tech Parameters'!$H10*'Alt scen Calcs'!U12*8760-U177</f>
        <v>66.660329523809537</v>
      </c>
      <c r="V199">
        <f ca="1">SUMIF('Tech Parameters'!$B$273:$B$298,$B177,'Tech Parameters'!Z$273:Z$298)*'Tech Parameters'!$H10*'Alt scen Calcs'!V12*8760-V177</f>
        <v>66.660329523809537</v>
      </c>
      <c r="W199">
        <f ca="1">SUMIF('Tech Parameters'!$B$273:$B$298,$B177,'Tech Parameters'!AA$273:AA$298)*'Tech Parameters'!$H10*'Alt scen Calcs'!W12*8760-W177</f>
        <v>66.660329523809537</v>
      </c>
      <c r="X199">
        <f ca="1">SUMIF('Tech Parameters'!$B$273:$B$298,$B177,'Tech Parameters'!AB$273:AB$298)*'Tech Parameters'!$H10*'Alt scen Calcs'!X12*8760-X177</f>
        <v>66.660329523809537</v>
      </c>
      <c r="Y199">
        <f ca="1">SUMIF('Tech Parameters'!$B$273:$B$298,$B177,'Tech Parameters'!AC$273:AC$298)*'Tech Parameters'!$H10*'Alt scen Calcs'!Y12*8760-Y177</f>
        <v>66.660329523809537</v>
      </c>
      <c r="Z199">
        <f ca="1">SUMIF('Tech Parameters'!$B$273:$B$298,$B177,'Tech Parameters'!AD$273:AD$298)*'Tech Parameters'!$H10*'Alt scen Calcs'!Z12*8760-Z177</f>
        <v>66.660329523809537</v>
      </c>
      <c r="AA199">
        <f ca="1">SUMIF('Tech Parameters'!$B$273:$B$298,$B177,'Tech Parameters'!AE$273:AE$298)*'Tech Parameters'!$H10*'Alt scen Calcs'!AA12*8760-AA177</f>
        <v>66.660329523809537</v>
      </c>
      <c r="AB199">
        <f ca="1">SUMIF('Tech Parameters'!$B$273:$B$298,$B177,'Tech Parameters'!AF$273:AF$298)*'Tech Parameters'!$H10*'Alt scen Calcs'!AB12*8760-AB177</f>
        <v>66.660329523809537</v>
      </c>
      <c r="AC199">
        <f ca="1">SUMIF('Tech Parameters'!$B$273:$B$298,$B177,'Tech Parameters'!AG$273:AG$298)*'Tech Parameters'!$H10*'Alt scen Calcs'!AC12*8760-AC177</f>
        <v>66.660329523809537</v>
      </c>
      <c r="BA199" s="4"/>
      <c r="BL199" s="4"/>
    </row>
    <row r="200" spans="2:64">
      <c r="B200" t="str">
        <f>'Tech Parameters'!C11</f>
        <v>Landfill gas</v>
      </c>
      <c r="C200" t="str">
        <f>'Tech Parameters'!B11</f>
        <v>Landfill gas</v>
      </c>
      <c r="D200">
        <f>SUMIF('Tech Parameters'!$B$273:$B$298,$B178,'Tech Parameters'!H$273:H$298)*'Tech Parameters'!$H11*'Alt scen Calcs'!D13*8760-D178</f>
        <v>0</v>
      </c>
      <c r="E200">
        <f>SUMIF('Tech Parameters'!$B$273:$B$298,$B178,'Tech Parameters'!I$273:I$298)*'Tech Parameters'!$H11*'Alt scen Calcs'!E13*8760-E178</f>
        <v>0</v>
      </c>
      <c r="F200">
        <f>SUMIF('Tech Parameters'!$B$273:$B$298,$B178,'Tech Parameters'!J$273:J$298)*'Tech Parameters'!$H11*'Alt scen Calcs'!F13*8760-F178</f>
        <v>0</v>
      </c>
      <c r="G200">
        <f>SUMIF('Tech Parameters'!$B$273:$B$298,$B178,'Tech Parameters'!K$273:K$298)*'Tech Parameters'!$H11*'Alt scen Calcs'!G13*8760-G178</f>
        <v>0</v>
      </c>
      <c r="H200">
        <f>SUMIF('Tech Parameters'!$B$273:$B$298,$B178,'Tech Parameters'!L$273:L$298)*'Tech Parameters'!$H11*'Alt scen Calcs'!H13*8760-H178</f>
        <v>0</v>
      </c>
      <c r="I200">
        <f ca="1">SUMIF('Tech Parameters'!$B$273:$B$298,$B178,'Tech Parameters'!M$273:M$298)*'Tech Parameters'!$H11*'Alt scen Calcs'!I13*8760-I178</f>
        <v>0</v>
      </c>
      <c r="J200">
        <f ca="1">SUMIF('Tech Parameters'!$B$273:$B$298,$B178,'Tech Parameters'!N$273:N$298)*'Tech Parameters'!$H11*'Alt scen Calcs'!J13*8760-J178</f>
        <v>0</v>
      </c>
      <c r="K200">
        <f ca="1">SUMIF('Tech Parameters'!$B$273:$B$298,$B178,'Tech Parameters'!O$273:O$298)*'Tech Parameters'!$H11*'Alt scen Calcs'!K13*8760-K178</f>
        <v>0</v>
      </c>
      <c r="L200">
        <f ca="1">SUMIF('Tech Parameters'!$B$273:$B$298,$B178,'Tech Parameters'!P$273:P$298)*'Tech Parameters'!$H11*'Alt scen Calcs'!L13*8760-L178</f>
        <v>0</v>
      </c>
      <c r="M200">
        <f ca="1">SUMIF('Tech Parameters'!$B$273:$B$298,$B178,'Tech Parameters'!Q$273:Q$298)*'Tech Parameters'!$H11*'Alt scen Calcs'!M13*8760-M178</f>
        <v>0</v>
      </c>
      <c r="N200">
        <f ca="1">SUMIF('Tech Parameters'!$B$273:$B$298,$B178,'Tech Parameters'!R$273:R$298)*'Tech Parameters'!$H11*'Alt scen Calcs'!N13*8760-N178</f>
        <v>0</v>
      </c>
      <c r="O200">
        <f ca="1">SUMIF('Tech Parameters'!$B$273:$B$298,$B178,'Tech Parameters'!S$273:S$298)*'Tech Parameters'!$H11*'Alt scen Calcs'!O13*8760-O178</f>
        <v>0</v>
      </c>
      <c r="P200">
        <f ca="1">SUMIF('Tech Parameters'!$B$273:$B$298,$B178,'Tech Parameters'!T$273:T$298)*'Tech Parameters'!$H11*'Alt scen Calcs'!P13*8760-P178</f>
        <v>0</v>
      </c>
      <c r="Q200">
        <f ca="1">SUMIF('Tech Parameters'!$B$273:$B$298,$B178,'Tech Parameters'!U$273:U$298)*'Tech Parameters'!$H11*'Alt scen Calcs'!Q13*8760-Q178</f>
        <v>0</v>
      </c>
      <c r="R200">
        <f ca="1">SUMIF('Tech Parameters'!$B$273:$B$298,$B178,'Tech Parameters'!V$273:V$298)*'Tech Parameters'!$H11*'Alt scen Calcs'!R13*8760-R178</f>
        <v>0</v>
      </c>
      <c r="S200">
        <f ca="1">SUMIF('Tech Parameters'!$B$273:$B$298,$B178,'Tech Parameters'!W$273:W$298)*'Tech Parameters'!$H11*'Alt scen Calcs'!S13*8760-S178</f>
        <v>0</v>
      </c>
      <c r="T200">
        <f ca="1">SUMIF('Tech Parameters'!$B$273:$B$298,$B178,'Tech Parameters'!X$273:X$298)*'Tech Parameters'!$H11*'Alt scen Calcs'!T13*8760-T178</f>
        <v>0</v>
      </c>
      <c r="U200">
        <f ca="1">SUMIF('Tech Parameters'!$B$273:$B$298,$B178,'Tech Parameters'!Y$273:Y$298)*'Tech Parameters'!$H11*'Alt scen Calcs'!U13*8760-U178</f>
        <v>0</v>
      </c>
      <c r="V200">
        <f ca="1">SUMIF('Tech Parameters'!$B$273:$B$298,$B178,'Tech Parameters'!Z$273:Z$298)*'Tech Parameters'!$H11*'Alt scen Calcs'!V13*8760-V178</f>
        <v>0</v>
      </c>
      <c r="W200">
        <f ca="1">SUMIF('Tech Parameters'!$B$273:$B$298,$B178,'Tech Parameters'!AA$273:AA$298)*'Tech Parameters'!$H11*'Alt scen Calcs'!W13*8760-W178</f>
        <v>0</v>
      </c>
      <c r="X200">
        <f ca="1">SUMIF('Tech Parameters'!$B$273:$B$298,$B178,'Tech Parameters'!AB$273:AB$298)*'Tech Parameters'!$H11*'Alt scen Calcs'!X13*8760-X178</f>
        <v>0</v>
      </c>
      <c r="Y200">
        <f ca="1">SUMIF('Tech Parameters'!$B$273:$B$298,$B178,'Tech Parameters'!AC$273:AC$298)*'Tech Parameters'!$H11*'Alt scen Calcs'!Y13*8760-Y178</f>
        <v>0</v>
      </c>
      <c r="Z200">
        <f ca="1">SUMIF('Tech Parameters'!$B$273:$B$298,$B178,'Tech Parameters'!AD$273:AD$298)*'Tech Parameters'!$H11*'Alt scen Calcs'!Z13*8760-Z178</f>
        <v>0</v>
      </c>
      <c r="AA200">
        <f ca="1">SUMIF('Tech Parameters'!$B$273:$B$298,$B178,'Tech Parameters'!AE$273:AE$298)*'Tech Parameters'!$H11*'Alt scen Calcs'!AA13*8760-AA178</f>
        <v>0</v>
      </c>
      <c r="AB200">
        <f ca="1">SUMIF('Tech Parameters'!$B$273:$B$298,$B178,'Tech Parameters'!AF$273:AF$298)*'Tech Parameters'!$H11*'Alt scen Calcs'!AB13*8760-AB178</f>
        <v>0</v>
      </c>
      <c r="AC200">
        <f ca="1">SUMIF('Tech Parameters'!$B$273:$B$298,$B178,'Tech Parameters'!AG$273:AG$298)*'Tech Parameters'!$H11*'Alt scen Calcs'!AC13*8760-AC178</f>
        <v>0</v>
      </c>
      <c r="BA200" s="4"/>
      <c r="BL200" s="4"/>
    </row>
    <row r="201" spans="2:64">
      <c r="B201" t="str">
        <f>'Tech Parameters'!C12</f>
        <v>Biomass</v>
      </c>
      <c r="C201" t="str">
        <f>'Tech Parameters'!B12</f>
        <v>Biomass</v>
      </c>
      <c r="D201">
        <f>SUMIF('Tech Parameters'!$B$273:$B$298,$B179,'Tech Parameters'!H$273:H$298)*'Tech Parameters'!$H12*'Alt scen Calcs'!D14*8760-D179</f>
        <v>0</v>
      </c>
      <c r="E201">
        <f>SUMIF('Tech Parameters'!$B$273:$B$298,$B179,'Tech Parameters'!I$273:I$298)*'Tech Parameters'!$H12*'Alt scen Calcs'!E14*8760-E179</f>
        <v>0</v>
      </c>
      <c r="F201">
        <f>SUMIF('Tech Parameters'!$B$273:$B$298,$B179,'Tech Parameters'!J$273:J$298)*'Tech Parameters'!$H12*'Alt scen Calcs'!F14*8760-F179</f>
        <v>0</v>
      </c>
      <c r="G201">
        <f>SUMIF('Tech Parameters'!$B$273:$B$298,$B179,'Tech Parameters'!K$273:K$298)*'Tech Parameters'!$H12*'Alt scen Calcs'!G14*8760-G179</f>
        <v>0</v>
      </c>
      <c r="H201">
        <f>SUMIF('Tech Parameters'!$B$273:$B$298,$B179,'Tech Parameters'!L$273:L$298)*'Tech Parameters'!$H12*'Alt scen Calcs'!H14*8760-H179</f>
        <v>0</v>
      </c>
      <c r="I201">
        <f ca="1">SUMIF('Tech Parameters'!$B$273:$B$298,$B179,'Tech Parameters'!M$273:M$298)*'Tech Parameters'!$H12*'Alt scen Calcs'!I14*8760-I179</f>
        <v>0</v>
      </c>
      <c r="J201">
        <f ca="1">SUMIF('Tech Parameters'!$B$273:$B$298,$B179,'Tech Parameters'!N$273:N$298)*'Tech Parameters'!$H12*'Alt scen Calcs'!J14*8760-J179</f>
        <v>0</v>
      </c>
      <c r="K201">
        <f ca="1">SUMIF('Tech Parameters'!$B$273:$B$298,$B179,'Tech Parameters'!O$273:O$298)*'Tech Parameters'!$H12*'Alt scen Calcs'!K14*8760-K179</f>
        <v>0</v>
      </c>
      <c r="L201">
        <f ca="1">SUMIF('Tech Parameters'!$B$273:$B$298,$B179,'Tech Parameters'!P$273:P$298)*'Tech Parameters'!$H12*'Alt scen Calcs'!L14*8760-L179</f>
        <v>0</v>
      </c>
      <c r="M201">
        <f ca="1">SUMIF('Tech Parameters'!$B$273:$B$298,$B179,'Tech Parameters'!Q$273:Q$298)*'Tech Parameters'!$H12*'Alt scen Calcs'!M14*8760-M179</f>
        <v>0</v>
      </c>
      <c r="N201">
        <f ca="1">SUMIF('Tech Parameters'!$B$273:$B$298,$B179,'Tech Parameters'!R$273:R$298)*'Tech Parameters'!$H12*'Alt scen Calcs'!N14*8760-N179</f>
        <v>0</v>
      </c>
      <c r="O201">
        <f ca="1">SUMIF('Tech Parameters'!$B$273:$B$298,$B179,'Tech Parameters'!S$273:S$298)*'Tech Parameters'!$H12*'Alt scen Calcs'!O14*8760-O179</f>
        <v>0</v>
      </c>
      <c r="P201">
        <f ca="1">SUMIF('Tech Parameters'!$B$273:$B$298,$B179,'Tech Parameters'!T$273:T$298)*'Tech Parameters'!$H12*'Alt scen Calcs'!P14*8760-P179</f>
        <v>0</v>
      </c>
      <c r="Q201">
        <f ca="1">SUMIF('Tech Parameters'!$B$273:$B$298,$B179,'Tech Parameters'!U$273:U$298)*'Tech Parameters'!$H12*'Alt scen Calcs'!Q14*8760-Q179</f>
        <v>0</v>
      </c>
      <c r="R201">
        <f ca="1">SUMIF('Tech Parameters'!$B$273:$B$298,$B179,'Tech Parameters'!V$273:V$298)*'Tech Parameters'!$H12*'Alt scen Calcs'!R14*8760-R179</f>
        <v>0</v>
      </c>
      <c r="S201">
        <f ca="1">SUMIF('Tech Parameters'!$B$273:$B$298,$B179,'Tech Parameters'!W$273:W$298)*'Tech Parameters'!$H12*'Alt scen Calcs'!S14*8760-S179</f>
        <v>0</v>
      </c>
      <c r="T201">
        <f ca="1">SUMIF('Tech Parameters'!$B$273:$B$298,$B179,'Tech Parameters'!X$273:X$298)*'Tech Parameters'!$H12*'Alt scen Calcs'!T14*8760-T179</f>
        <v>0</v>
      </c>
      <c r="U201">
        <f ca="1">SUMIF('Tech Parameters'!$B$273:$B$298,$B179,'Tech Parameters'!Y$273:Y$298)*'Tech Parameters'!$H12*'Alt scen Calcs'!U14*8760-U179</f>
        <v>0</v>
      </c>
      <c r="V201">
        <f ca="1">SUMIF('Tech Parameters'!$B$273:$B$298,$B179,'Tech Parameters'!Z$273:Z$298)*'Tech Parameters'!$H12*'Alt scen Calcs'!V14*8760-V179</f>
        <v>0</v>
      </c>
      <c r="W201">
        <f ca="1">SUMIF('Tech Parameters'!$B$273:$B$298,$B179,'Tech Parameters'!AA$273:AA$298)*'Tech Parameters'!$H12*'Alt scen Calcs'!W14*8760-W179</f>
        <v>0</v>
      </c>
      <c r="X201">
        <f ca="1">SUMIF('Tech Parameters'!$B$273:$B$298,$B179,'Tech Parameters'!AB$273:AB$298)*'Tech Parameters'!$H12*'Alt scen Calcs'!X14*8760-X179</f>
        <v>0</v>
      </c>
      <c r="Y201">
        <f ca="1">SUMIF('Tech Parameters'!$B$273:$B$298,$B179,'Tech Parameters'!AC$273:AC$298)*'Tech Parameters'!$H12*'Alt scen Calcs'!Y14*8760-Y179</f>
        <v>0</v>
      </c>
      <c r="Z201">
        <f ca="1">SUMIF('Tech Parameters'!$B$273:$B$298,$B179,'Tech Parameters'!AD$273:AD$298)*'Tech Parameters'!$H12*'Alt scen Calcs'!Z14*8760-Z179</f>
        <v>0</v>
      </c>
      <c r="AA201">
        <f ca="1">SUMIF('Tech Parameters'!$B$273:$B$298,$B179,'Tech Parameters'!AE$273:AE$298)*'Tech Parameters'!$H12*'Alt scen Calcs'!AA14*8760-AA179</f>
        <v>0</v>
      </c>
      <c r="AB201">
        <f ca="1">SUMIF('Tech Parameters'!$B$273:$B$298,$B179,'Tech Parameters'!AF$273:AF$298)*'Tech Parameters'!$H12*'Alt scen Calcs'!AB14*8760-AB179</f>
        <v>0</v>
      </c>
      <c r="AC201">
        <f ca="1">SUMIF('Tech Parameters'!$B$273:$B$298,$B179,'Tech Parameters'!AG$273:AG$298)*'Tech Parameters'!$H12*'Alt scen Calcs'!AC14*8760-AC179</f>
        <v>0</v>
      </c>
      <c r="BA201" s="4"/>
      <c r="BL201" s="4"/>
    </row>
    <row r="202" spans="2:64">
      <c r="B202" t="str">
        <f>'Tech Parameters'!C13</f>
        <v>Supercritical Coal</v>
      </c>
      <c r="C202" t="str">
        <f>'Tech Parameters'!B13</f>
        <v>Supercritical coal</v>
      </c>
      <c r="D202">
        <f>SUMIF('Tech Parameters'!$B$273:$B$298,$B180,'Tech Parameters'!H$273:H$298)*'Tech Parameters'!$H13*'Alt scen Calcs'!D15*8760-D180</f>
        <v>0</v>
      </c>
      <c r="E202">
        <f>SUMIF('Tech Parameters'!$B$273:$B$298,$B180,'Tech Parameters'!I$273:I$298)*'Tech Parameters'!$H13*'Alt scen Calcs'!E15*8760-E180</f>
        <v>0</v>
      </c>
      <c r="F202">
        <f>SUMIF('Tech Parameters'!$B$273:$B$298,$B180,'Tech Parameters'!J$273:J$298)*'Tech Parameters'!$H13*'Alt scen Calcs'!F15*8760-F180</f>
        <v>0</v>
      </c>
      <c r="G202">
        <f>SUMIF('Tech Parameters'!$B$273:$B$298,$B180,'Tech Parameters'!K$273:K$298)*'Tech Parameters'!$H13*'Alt scen Calcs'!G15*8760-G180</f>
        <v>0</v>
      </c>
      <c r="H202">
        <f>SUMIF('Tech Parameters'!$B$273:$B$298,$B180,'Tech Parameters'!L$273:L$298)*'Tech Parameters'!$H13*'Alt scen Calcs'!H15*8760-H180</f>
        <v>0</v>
      </c>
      <c r="I202">
        <f ca="1">SUMIF('Tech Parameters'!$B$273:$B$298,$B180,'Tech Parameters'!M$273:M$298)*'Tech Parameters'!$H13*'Alt scen Calcs'!I15*8760-I180</f>
        <v>0</v>
      </c>
      <c r="J202">
        <f ca="1">SUMIF('Tech Parameters'!$B$273:$B$298,$B180,'Tech Parameters'!N$273:N$298)*'Tech Parameters'!$H13*'Alt scen Calcs'!J15*8760-J180</f>
        <v>0</v>
      </c>
      <c r="K202">
        <f ca="1">SUMIF('Tech Parameters'!$B$273:$B$298,$B180,'Tech Parameters'!O$273:O$298)*'Tech Parameters'!$H13*'Alt scen Calcs'!K15*8760-K180</f>
        <v>4268.2161891600008</v>
      </c>
      <c r="L202">
        <f ca="1">SUMIF('Tech Parameters'!$B$273:$B$298,$B180,'Tech Parameters'!P$273:P$298)*'Tech Parameters'!$H13*'Alt scen Calcs'!L15*8760-L180</f>
        <v>12804.648567479999</v>
      </c>
      <c r="M202">
        <f ca="1">SUMIF('Tech Parameters'!$B$273:$B$298,$B180,'Tech Parameters'!Q$273:Q$298)*'Tech Parameters'!$H13*'Alt scen Calcs'!M15*8760-M180</f>
        <v>25609.297134959997</v>
      </c>
      <c r="N202">
        <f ca="1">SUMIF('Tech Parameters'!$B$273:$B$298,$B180,'Tech Parameters'!R$273:R$298)*'Tech Parameters'!$H13*'Alt scen Calcs'!N15*8760-N180</f>
        <v>38413.945702440004</v>
      </c>
      <c r="O202">
        <f ca="1">SUMIF('Tech Parameters'!$B$273:$B$298,$B180,'Tech Parameters'!S$273:S$298)*'Tech Parameters'!$H13*'Alt scen Calcs'!O15*8760-O180</f>
        <v>46950.378080760012</v>
      </c>
      <c r="P202">
        <f ca="1">SUMIF('Tech Parameters'!$B$273:$B$298,$B180,'Tech Parameters'!T$273:T$298)*'Tech Parameters'!$H13*'Alt scen Calcs'!P15*8760-P180</f>
        <v>51218.59426992001</v>
      </c>
      <c r="Q202">
        <f ca="1">SUMIF('Tech Parameters'!$B$273:$B$298,$B180,'Tech Parameters'!U$273:U$298)*'Tech Parameters'!$H13*'Alt scen Calcs'!Q15*8760-Q180</f>
        <v>51218.59426992001</v>
      </c>
      <c r="R202">
        <f ca="1">SUMIF('Tech Parameters'!$B$273:$B$298,$B180,'Tech Parameters'!V$273:V$298)*'Tech Parameters'!$H13*'Alt scen Calcs'!R15*8760-R180</f>
        <v>51218.59426992001</v>
      </c>
      <c r="S202">
        <f ca="1">SUMIF('Tech Parameters'!$B$273:$B$298,$B180,'Tech Parameters'!W$273:W$298)*'Tech Parameters'!$H13*'Alt scen Calcs'!S15*8760-S180</f>
        <v>51218.59426992001</v>
      </c>
      <c r="T202">
        <f ca="1">SUMIF('Tech Parameters'!$B$273:$B$298,$B180,'Tech Parameters'!X$273:X$298)*'Tech Parameters'!$H13*'Alt scen Calcs'!T15*8760-T180</f>
        <v>51218.59426992001</v>
      </c>
      <c r="U202">
        <f ca="1">SUMIF('Tech Parameters'!$B$273:$B$298,$B180,'Tech Parameters'!Y$273:Y$298)*'Tech Parameters'!$H13*'Alt scen Calcs'!U15*8760-U180</f>
        <v>51218.59426992001</v>
      </c>
      <c r="V202">
        <f ca="1">SUMIF('Tech Parameters'!$B$273:$B$298,$B180,'Tech Parameters'!Z$273:Z$298)*'Tech Parameters'!$H13*'Alt scen Calcs'!V15*8760-V180</f>
        <v>51218.59426992001</v>
      </c>
      <c r="W202">
        <f ca="1">SUMIF('Tech Parameters'!$B$273:$B$298,$B180,'Tech Parameters'!AA$273:AA$298)*'Tech Parameters'!$H13*'Alt scen Calcs'!W15*8760-W180</f>
        <v>51218.59426992001</v>
      </c>
      <c r="X202">
        <f ca="1">SUMIF('Tech Parameters'!$B$273:$B$298,$B180,'Tech Parameters'!AB$273:AB$298)*'Tech Parameters'!$H13*'Alt scen Calcs'!X15*8760-X180</f>
        <v>51218.59426992001</v>
      </c>
      <c r="Y202">
        <f ca="1">SUMIF('Tech Parameters'!$B$273:$B$298,$B180,'Tech Parameters'!AC$273:AC$298)*'Tech Parameters'!$H13*'Alt scen Calcs'!Y15*8760-Y180</f>
        <v>51218.59426992001</v>
      </c>
      <c r="Z202">
        <f ca="1">SUMIF('Tech Parameters'!$B$273:$B$298,$B180,'Tech Parameters'!AD$273:AD$298)*'Tech Parameters'!$H13*'Alt scen Calcs'!Z15*8760-Z180</f>
        <v>51218.59426992001</v>
      </c>
      <c r="AA202">
        <f ca="1">SUMIF('Tech Parameters'!$B$273:$B$298,$B180,'Tech Parameters'!AE$273:AE$298)*'Tech Parameters'!$H13*'Alt scen Calcs'!AA15*8760-AA180</f>
        <v>51218.59426992001</v>
      </c>
      <c r="AB202">
        <f ca="1">SUMIF('Tech Parameters'!$B$273:$B$298,$B180,'Tech Parameters'!AF$273:AF$298)*'Tech Parameters'!$H13*'Alt scen Calcs'!AB15*8760-AB180</f>
        <v>51218.59426992001</v>
      </c>
      <c r="AC202">
        <f ca="1">SUMIF('Tech Parameters'!$B$273:$B$298,$B180,'Tech Parameters'!AG$273:AG$298)*'Tech Parameters'!$H13*'Alt scen Calcs'!AC15*8760-AC180</f>
        <v>51218.59426992001</v>
      </c>
      <c r="BA202" s="4"/>
      <c r="BL202" s="4"/>
    </row>
    <row r="203" spans="2:64">
      <c r="B203" t="str">
        <f>'Tech Parameters'!C14</f>
        <v>Wind</v>
      </c>
      <c r="C203" t="str">
        <f>'Tech Parameters'!B14</f>
        <v xml:space="preserve">Wind 30% </v>
      </c>
      <c r="D203">
        <f>SUMIF('Tech Parameters'!$B$273:$B$298,$B181,'Tech Parameters'!H$273:H$298)*'Tech Parameters'!$H14*'Alt scen Calcs'!D16*8760-D181</f>
        <v>0</v>
      </c>
      <c r="E203">
        <f>SUMIF('Tech Parameters'!$B$273:$B$298,$B181,'Tech Parameters'!I$273:I$298)*'Tech Parameters'!$H14*'Alt scen Calcs'!E16*8760-E181</f>
        <v>0</v>
      </c>
      <c r="F203">
        <f>SUMIF('Tech Parameters'!$B$273:$B$298,$B181,'Tech Parameters'!J$273:J$298)*'Tech Parameters'!$H14*'Alt scen Calcs'!F16*8760-F181</f>
        <v>0</v>
      </c>
      <c r="G203">
        <f>SUMIF('Tech Parameters'!$B$273:$B$298,$B181,'Tech Parameters'!K$273:K$298)*'Tech Parameters'!$H14*'Alt scen Calcs'!G16*8760-G181</f>
        <v>0</v>
      </c>
      <c r="H203">
        <f>SUMIF('Tech Parameters'!$B$273:$B$298,$B181,'Tech Parameters'!L$273:L$298)*'Tech Parameters'!$H14*'Alt scen Calcs'!H16*8760-H181</f>
        <v>0</v>
      </c>
      <c r="I203">
        <f ca="1">SUMIF('Tech Parameters'!$B$273:$B$298,$B181,'Tech Parameters'!M$273:M$298)*'Tech Parameters'!$H14*'Alt scen Calcs'!I16*8760-I181</f>
        <v>0</v>
      </c>
      <c r="J203">
        <f ca="1">SUMIF('Tech Parameters'!$B$273:$B$298,$B181,'Tech Parameters'!N$273:N$298)*'Tech Parameters'!$H14*'Alt scen Calcs'!J16*8760-J181</f>
        <v>0</v>
      </c>
      <c r="K203">
        <f ca="1">SUMIF('Tech Parameters'!$B$273:$B$298,$B181,'Tech Parameters'!O$273:O$298)*'Tech Parameters'!$H14*'Alt scen Calcs'!K16*8760-K181</f>
        <v>0</v>
      </c>
      <c r="L203">
        <f ca="1">SUMIF('Tech Parameters'!$B$273:$B$298,$B181,'Tech Parameters'!P$273:P$298)*'Tech Parameters'!$H14*'Alt scen Calcs'!L16*8760-L181</f>
        <v>0</v>
      </c>
      <c r="M203">
        <f ca="1">SUMIF('Tech Parameters'!$B$273:$B$298,$B181,'Tech Parameters'!Q$273:Q$298)*'Tech Parameters'!$H14*'Alt scen Calcs'!M16*8760-M181</f>
        <v>0</v>
      </c>
      <c r="N203">
        <f ca="1">SUMIF('Tech Parameters'!$B$273:$B$298,$B181,'Tech Parameters'!R$273:R$298)*'Tech Parameters'!$H14*'Alt scen Calcs'!N16*8760-N181</f>
        <v>0</v>
      </c>
      <c r="O203">
        <f ca="1">SUMIF('Tech Parameters'!$B$273:$B$298,$B181,'Tech Parameters'!S$273:S$298)*'Tech Parameters'!$H14*'Alt scen Calcs'!O16*8760-O181</f>
        <v>0</v>
      </c>
      <c r="P203">
        <f ca="1">SUMIF('Tech Parameters'!$B$273:$B$298,$B181,'Tech Parameters'!T$273:T$298)*'Tech Parameters'!$H14*'Alt scen Calcs'!P16*8760-P181</f>
        <v>0</v>
      </c>
      <c r="Q203">
        <f ca="1">SUMIF('Tech Parameters'!$B$273:$B$298,$B181,'Tech Parameters'!U$273:U$298)*'Tech Parameters'!$H14*'Alt scen Calcs'!Q16*8760-Q181</f>
        <v>0</v>
      </c>
      <c r="R203">
        <f ca="1">SUMIF('Tech Parameters'!$B$273:$B$298,$B181,'Tech Parameters'!V$273:V$298)*'Tech Parameters'!$H14*'Alt scen Calcs'!R16*8760-R181</f>
        <v>0</v>
      </c>
      <c r="S203">
        <f ca="1">SUMIF('Tech Parameters'!$B$273:$B$298,$B181,'Tech Parameters'!W$273:W$298)*'Tech Parameters'!$H14*'Alt scen Calcs'!S16*8760-S181</f>
        <v>0</v>
      </c>
      <c r="T203">
        <f ca="1">SUMIF('Tech Parameters'!$B$273:$B$298,$B181,'Tech Parameters'!X$273:X$298)*'Tech Parameters'!$H14*'Alt scen Calcs'!T16*8760-T181</f>
        <v>0</v>
      </c>
      <c r="U203">
        <f ca="1">SUMIF('Tech Parameters'!$B$273:$B$298,$B181,'Tech Parameters'!Y$273:Y$298)*'Tech Parameters'!$H14*'Alt scen Calcs'!U16*8760-U181</f>
        <v>0</v>
      </c>
      <c r="V203">
        <f ca="1">SUMIF('Tech Parameters'!$B$273:$B$298,$B181,'Tech Parameters'!Z$273:Z$298)*'Tech Parameters'!$H14*'Alt scen Calcs'!V16*8760-V181</f>
        <v>0</v>
      </c>
      <c r="W203">
        <f ca="1">SUMIF('Tech Parameters'!$B$273:$B$298,$B181,'Tech Parameters'!AA$273:AA$298)*'Tech Parameters'!$H14*'Alt scen Calcs'!W16*8760-W181</f>
        <v>0</v>
      </c>
      <c r="X203">
        <f ca="1">SUMIF('Tech Parameters'!$B$273:$B$298,$B181,'Tech Parameters'!AB$273:AB$298)*'Tech Parameters'!$H14*'Alt scen Calcs'!X16*8760-X181</f>
        <v>0</v>
      </c>
      <c r="Y203">
        <f ca="1">SUMIF('Tech Parameters'!$B$273:$B$298,$B181,'Tech Parameters'!AC$273:AC$298)*'Tech Parameters'!$H14*'Alt scen Calcs'!Y16*8760-Y181</f>
        <v>0</v>
      </c>
      <c r="Z203">
        <f ca="1">SUMIF('Tech Parameters'!$B$273:$B$298,$B181,'Tech Parameters'!AD$273:AD$298)*'Tech Parameters'!$H14*'Alt scen Calcs'!Z16*8760-Z181</f>
        <v>0</v>
      </c>
      <c r="AA203">
        <f ca="1">SUMIF('Tech Parameters'!$B$273:$B$298,$B181,'Tech Parameters'!AE$273:AE$298)*'Tech Parameters'!$H14*'Alt scen Calcs'!AA16*8760-AA181</f>
        <v>0</v>
      </c>
      <c r="AB203">
        <f ca="1">SUMIF('Tech Parameters'!$B$273:$B$298,$B181,'Tech Parameters'!AF$273:AF$298)*'Tech Parameters'!$H14*'Alt scen Calcs'!AB16*8760-AB181</f>
        <v>0</v>
      </c>
      <c r="AC203">
        <f ca="1">SUMIF('Tech Parameters'!$B$273:$B$298,$B181,'Tech Parameters'!AG$273:AG$298)*'Tech Parameters'!$H14*'Alt scen Calcs'!AC16*8760-AC181</f>
        <v>0</v>
      </c>
      <c r="BA203" s="4"/>
      <c r="BL203" s="4"/>
    </row>
    <row r="204" spans="2:64">
      <c r="B204" t="str">
        <f>'Tech Parameters'!C15</f>
        <v>Wind</v>
      </c>
      <c r="C204" t="str">
        <f>'Tech Parameters'!B15</f>
        <v>Wind 25%</v>
      </c>
      <c r="D204">
        <f>SUMIF('Tech Parameters'!$B$273:$B$298,$B182,'Tech Parameters'!H$273:H$298)*'Tech Parameters'!$H15*'Alt scen Calcs'!D17*8760-D182</f>
        <v>0</v>
      </c>
      <c r="E204">
        <f>SUMIF('Tech Parameters'!$B$273:$B$298,$B182,'Tech Parameters'!I$273:I$298)*'Tech Parameters'!$H15*'Alt scen Calcs'!E17*8760-E182</f>
        <v>0</v>
      </c>
      <c r="F204">
        <f>SUMIF('Tech Parameters'!$B$273:$B$298,$B182,'Tech Parameters'!J$273:J$298)*'Tech Parameters'!$H15*'Alt scen Calcs'!F17*8760-F182</f>
        <v>0</v>
      </c>
      <c r="G204">
        <f>SUMIF('Tech Parameters'!$B$273:$B$298,$B182,'Tech Parameters'!K$273:K$298)*'Tech Parameters'!$H15*'Alt scen Calcs'!G17*8760-G182</f>
        <v>0</v>
      </c>
      <c r="H204">
        <f>SUMIF('Tech Parameters'!$B$273:$B$298,$B182,'Tech Parameters'!L$273:L$298)*'Tech Parameters'!$H15*'Alt scen Calcs'!H17*8760-H182</f>
        <v>0</v>
      </c>
      <c r="I204">
        <f ca="1">SUMIF('Tech Parameters'!$B$273:$B$298,$B182,'Tech Parameters'!M$273:M$298)*'Tech Parameters'!$H15*'Alt scen Calcs'!I17*8760-I182</f>
        <v>0</v>
      </c>
      <c r="J204">
        <f ca="1">SUMIF('Tech Parameters'!$B$273:$B$298,$B182,'Tech Parameters'!N$273:N$298)*'Tech Parameters'!$H15*'Alt scen Calcs'!J17*8760-J182</f>
        <v>0</v>
      </c>
      <c r="K204">
        <f ca="1">SUMIF('Tech Parameters'!$B$273:$B$298,$B182,'Tech Parameters'!O$273:O$298)*'Tech Parameters'!$H15*'Alt scen Calcs'!K17*8760-K182</f>
        <v>0</v>
      </c>
      <c r="L204">
        <f ca="1">SUMIF('Tech Parameters'!$B$273:$B$298,$B182,'Tech Parameters'!P$273:P$298)*'Tech Parameters'!$H15*'Alt scen Calcs'!L17*8760-L182</f>
        <v>0</v>
      </c>
      <c r="M204">
        <f ca="1">SUMIF('Tech Parameters'!$B$273:$B$298,$B182,'Tech Parameters'!Q$273:Q$298)*'Tech Parameters'!$H15*'Alt scen Calcs'!M17*8760-M182</f>
        <v>0</v>
      </c>
      <c r="N204">
        <f ca="1">SUMIF('Tech Parameters'!$B$273:$B$298,$B182,'Tech Parameters'!R$273:R$298)*'Tech Parameters'!$H15*'Alt scen Calcs'!N17*8760-N182</f>
        <v>0</v>
      </c>
      <c r="O204">
        <f ca="1">SUMIF('Tech Parameters'!$B$273:$B$298,$B182,'Tech Parameters'!S$273:S$298)*'Tech Parameters'!$H15*'Alt scen Calcs'!O17*8760-O182</f>
        <v>0</v>
      </c>
      <c r="P204">
        <f ca="1">SUMIF('Tech Parameters'!$B$273:$B$298,$B182,'Tech Parameters'!T$273:T$298)*'Tech Parameters'!$H15*'Alt scen Calcs'!P17*8760-P182</f>
        <v>0</v>
      </c>
      <c r="Q204">
        <f ca="1">SUMIF('Tech Parameters'!$B$273:$B$298,$B182,'Tech Parameters'!U$273:U$298)*'Tech Parameters'!$H15*'Alt scen Calcs'!Q17*8760-Q182</f>
        <v>0</v>
      </c>
      <c r="R204">
        <f ca="1">SUMIF('Tech Parameters'!$B$273:$B$298,$B182,'Tech Parameters'!V$273:V$298)*'Tech Parameters'!$H15*'Alt scen Calcs'!R17*8760-R182</f>
        <v>0</v>
      </c>
      <c r="S204">
        <f ca="1">SUMIF('Tech Parameters'!$B$273:$B$298,$B182,'Tech Parameters'!W$273:W$298)*'Tech Parameters'!$H15*'Alt scen Calcs'!S17*8760-S182</f>
        <v>0</v>
      </c>
      <c r="T204">
        <f ca="1">SUMIF('Tech Parameters'!$B$273:$B$298,$B182,'Tech Parameters'!X$273:X$298)*'Tech Parameters'!$H15*'Alt scen Calcs'!T17*8760-T182</f>
        <v>0</v>
      </c>
      <c r="U204">
        <f ca="1">SUMIF('Tech Parameters'!$B$273:$B$298,$B182,'Tech Parameters'!Y$273:Y$298)*'Tech Parameters'!$H15*'Alt scen Calcs'!U17*8760-U182</f>
        <v>0</v>
      </c>
      <c r="V204">
        <f ca="1">SUMIF('Tech Parameters'!$B$273:$B$298,$B182,'Tech Parameters'!Z$273:Z$298)*'Tech Parameters'!$H15*'Alt scen Calcs'!V17*8760-V182</f>
        <v>0</v>
      </c>
      <c r="W204">
        <f ca="1">SUMIF('Tech Parameters'!$B$273:$B$298,$B182,'Tech Parameters'!AA$273:AA$298)*'Tech Parameters'!$H15*'Alt scen Calcs'!W17*8760-W182</f>
        <v>0</v>
      </c>
      <c r="X204">
        <f ca="1">SUMIF('Tech Parameters'!$B$273:$B$298,$B182,'Tech Parameters'!AB$273:AB$298)*'Tech Parameters'!$H15*'Alt scen Calcs'!X17*8760-X182</f>
        <v>0</v>
      </c>
      <c r="Y204">
        <f ca="1">SUMIF('Tech Parameters'!$B$273:$B$298,$B182,'Tech Parameters'!AC$273:AC$298)*'Tech Parameters'!$H15*'Alt scen Calcs'!Y17*8760-Y182</f>
        <v>0</v>
      </c>
      <c r="Z204">
        <f ca="1">SUMIF('Tech Parameters'!$B$273:$B$298,$B182,'Tech Parameters'!AD$273:AD$298)*'Tech Parameters'!$H15*'Alt scen Calcs'!Z17*8760-Z182</f>
        <v>0</v>
      </c>
      <c r="AA204">
        <f ca="1">SUMIF('Tech Parameters'!$B$273:$B$298,$B182,'Tech Parameters'!AE$273:AE$298)*'Tech Parameters'!$H15*'Alt scen Calcs'!AA17*8760-AA182</f>
        <v>0</v>
      </c>
      <c r="AB204">
        <f ca="1">SUMIF('Tech Parameters'!$B$273:$B$298,$B182,'Tech Parameters'!AF$273:AF$298)*'Tech Parameters'!$H15*'Alt scen Calcs'!AB17*8760-AB182</f>
        <v>0</v>
      </c>
      <c r="AC204">
        <f ca="1">SUMIF('Tech Parameters'!$B$273:$B$298,$B182,'Tech Parameters'!AG$273:AG$298)*'Tech Parameters'!$H15*'Alt scen Calcs'!AC17*8760-AC182</f>
        <v>0</v>
      </c>
      <c r="BA204" s="4"/>
      <c r="BL204" s="4"/>
    </row>
    <row r="205" spans="2:64">
      <c r="B205" t="str">
        <f>'Tech Parameters'!C16</f>
        <v>Solar Central Receiver</v>
      </c>
      <c r="C205" t="str">
        <f>'Tech Parameters'!B16</f>
        <v>solar thermal central reciever</v>
      </c>
      <c r="D205">
        <f>SUMIF('Tech Parameters'!$B$273:$B$298,$B183,'Tech Parameters'!H$273:H$298)*'Tech Parameters'!$H16*'Alt scen Calcs'!D18*8760-D183</f>
        <v>0</v>
      </c>
      <c r="E205">
        <f>SUMIF('Tech Parameters'!$B$273:$B$298,$B183,'Tech Parameters'!I$273:I$298)*'Tech Parameters'!$H16*'Alt scen Calcs'!E18*8760-E183</f>
        <v>0</v>
      </c>
      <c r="F205">
        <f>SUMIF('Tech Parameters'!$B$273:$B$298,$B183,'Tech Parameters'!J$273:J$298)*'Tech Parameters'!$H16*'Alt scen Calcs'!F18*8760-F183</f>
        <v>0</v>
      </c>
      <c r="G205">
        <f>SUMIF('Tech Parameters'!$B$273:$B$298,$B183,'Tech Parameters'!K$273:K$298)*'Tech Parameters'!$H16*'Alt scen Calcs'!G18*8760-G183</f>
        <v>0</v>
      </c>
      <c r="H205">
        <f>SUMIF('Tech Parameters'!$B$273:$B$298,$B183,'Tech Parameters'!L$273:L$298)*'Tech Parameters'!$H16*'Alt scen Calcs'!H18*8760-H183</f>
        <v>0</v>
      </c>
      <c r="I205">
        <f ca="1">SUMIF('Tech Parameters'!$B$273:$B$298,$B183,'Tech Parameters'!M$273:M$298)*'Tech Parameters'!$H16*'Alt scen Calcs'!I18*8760-I183</f>
        <v>0</v>
      </c>
      <c r="J205">
        <f ca="1">SUMIF('Tech Parameters'!$B$273:$B$298,$B183,'Tech Parameters'!N$273:N$298)*'Tech Parameters'!$H16*'Alt scen Calcs'!J18*8760-J183</f>
        <v>0</v>
      </c>
      <c r="K205">
        <f ca="1">SUMIF('Tech Parameters'!$B$273:$B$298,$B183,'Tech Parameters'!O$273:O$298)*'Tech Parameters'!$H16*'Alt scen Calcs'!K18*8760-K183</f>
        <v>0</v>
      </c>
      <c r="L205">
        <f ca="1">SUMIF('Tech Parameters'!$B$273:$B$298,$B183,'Tech Parameters'!P$273:P$298)*'Tech Parameters'!$H16*'Alt scen Calcs'!L18*8760-L183</f>
        <v>0</v>
      </c>
      <c r="M205">
        <f ca="1">SUMIF('Tech Parameters'!$B$273:$B$298,$B183,'Tech Parameters'!Q$273:Q$298)*'Tech Parameters'!$H16*'Alt scen Calcs'!M18*8760-M183</f>
        <v>0</v>
      </c>
      <c r="N205">
        <f ca="1">SUMIF('Tech Parameters'!$B$273:$B$298,$B183,'Tech Parameters'!R$273:R$298)*'Tech Parameters'!$H16*'Alt scen Calcs'!N18*8760-N183</f>
        <v>0</v>
      </c>
      <c r="O205">
        <f ca="1">SUMIF('Tech Parameters'!$B$273:$B$298,$B183,'Tech Parameters'!S$273:S$298)*'Tech Parameters'!$H16*'Alt scen Calcs'!O18*8760-O183</f>
        <v>0</v>
      </c>
      <c r="P205">
        <f ca="1">SUMIF('Tech Parameters'!$B$273:$B$298,$B183,'Tech Parameters'!T$273:T$298)*'Tech Parameters'!$H16*'Alt scen Calcs'!P18*8760-P183</f>
        <v>0</v>
      </c>
      <c r="Q205">
        <f ca="1">SUMIF('Tech Parameters'!$B$273:$B$298,$B183,'Tech Parameters'!U$273:U$298)*'Tech Parameters'!$H16*'Alt scen Calcs'!Q18*8760-Q183</f>
        <v>0</v>
      </c>
      <c r="R205">
        <f ca="1">SUMIF('Tech Parameters'!$B$273:$B$298,$B183,'Tech Parameters'!V$273:V$298)*'Tech Parameters'!$H16*'Alt scen Calcs'!R18*8760-R183</f>
        <v>0</v>
      </c>
      <c r="S205">
        <f ca="1">SUMIF('Tech Parameters'!$B$273:$B$298,$B183,'Tech Parameters'!W$273:W$298)*'Tech Parameters'!$H16*'Alt scen Calcs'!S18*8760-S183</f>
        <v>0</v>
      </c>
      <c r="T205">
        <f ca="1">SUMIF('Tech Parameters'!$B$273:$B$298,$B183,'Tech Parameters'!X$273:X$298)*'Tech Parameters'!$H16*'Alt scen Calcs'!T18*8760-T183</f>
        <v>0</v>
      </c>
      <c r="U205">
        <f ca="1">SUMIF('Tech Parameters'!$B$273:$B$298,$B183,'Tech Parameters'!Y$273:Y$298)*'Tech Parameters'!$H16*'Alt scen Calcs'!U18*8760-U183</f>
        <v>0</v>
      </c>
      <c r="V205">
        <f ca="1">SUMIF('Tech Parameters'!$B$273:$B$298,$B183,'Tech Parameters'!Z$273:Z$298)*'Tech Parameters'!$H16*'Alt scen Calcs'!V18*8760-V183</f>
        <v>0</v>
      </c>
      <c r="W205">
        <f ca="1">SUMIF('Tech Parameters'!$B$273:$B$298,$B183,'Tech Parameters'!AA$273:AA$298)*'Tech Parameters'!$H16*'Alt scen Calcs'!W18*8760-W183</f>
        <v>0</v>
      </c>
      <c r="X205">
        <f ca="1">SUMIF('Tech Parameters'!$B$273:$B$298,$B183,'Tech Parameters'!AB$273:AB$298)*'Tech Parameters'!$H16*'Alt scen Calcs'!X18*8760-X183</f>
        <v>0</v>
      </c>
      <c r="Y205">
        <f ca="1">SUMIF('Tech Parameters'!$B$273:$B$298,$B183,'Tech Parameters'!AC$273:AC$298)*'Tech Parameters'!$H16*'Alt scen Calcs'!Y18*8760-Y183</f>
        <v>0</v>
      </c>
      <c r="Z205">
        <f ca="1">SUMIF('Tech Parameters'!$B$273:$B$298,$B183,'Tech Parameters'!AD$273:AD$298)*'Tech Parameters'!$H16*'Alt scen Calcs'!Z18*8760-Z183</f>
        <v>0</v>
      </c>
      <c r="AA205">
        <f ca="1">SUMIF('Tech Parameters'!$B$273:$B$298,$B183,'Tech Parameters'!AE$273:AE$298)*'Tech Parameters'!$H16*'Alt scen Calcs'!AA18*8760-AA183</f>
        <v>0</v>
      </c>
      <c r="AB205">
        <f ca="1">SUMIF('Tech Parameters'!$B$273:$B$298,$B183,'Tech Parameters'!AF$273:AF$298)*'Tech Parameters'!$H16*'Alt scen Calcs'!AB18*8760-AB183</f>
        <v>0</v>
      </c>
      <c r="AC205">
        <f ca="1">SUMIF('Tech Parameters'!$B$273:$B$298,$B183,'Tech Parameters'!AG$273:AG$298)*'Tech Parameters'!$H16*'Alt scen Calcs'!AC18*8760-AC183</f>
        <v>0</v>
      </c>
      <c r="BA205" s="4"/>
      <c r="BL205" s="4"/>
    </row>
    <row r="206" spans="2:64">
      <c r="B206" t="str">
        <f>'Tech Parameters'!C17</f>
        <v>Solar Parabolic Trough</v>
      </c>
      <c r="C206" t="str">
        <f>'Tech Parameters'!B17</f>
        <v>solar thermal trough</v>
      </c>
      <c r="D206">
        <f>SUMIF('Tech Parameters'!$B$273:$B$298,$B184,'Tech Parameters'!H$273:H$298)*'Tech Parameters'!$H17*'Alt scen Calcs'!D19*8760-D184</f>
        <v>0</v>
      </c>
      <c r="E206">
        <f>SUMIF('Tech Parameters'!$B$273:$B$298,$B184,'Tech Parameters'!I$273:I$298)*'Tech Parameters'!$H17*'Alt scen Calcs'!E19*8760-E184</f>
        <v>0</v>
      </c>
      <c r="F206">
        <f>SUMIF('Tech Parameters'!$B$273:$B$298,$B184,'Tech Parameters'!J$273:J$298)*'Tech Parameters'!$H17*'Alt scen Calcs'!F19*8760-F184</f>
        <v>0</v>
      </c>
      <c r="G206">
        <f>SUMIF('Tech Parameters'!$B$273:$B$298,$B184,'Tech Parameters'!K$273:K$298)*'Tech Parameters'!$H17*'Alt scen Calcs'!G19*8760-G184</f>
        <v>0</v>
      </c>
      <c r="H206">
        <f>SUMIF('Tech Parameters'!$B$273:$B$298,$B184,'Tech Parameters'!L$273:L$298)*'Tech Parameters'!$H17*'Alt scen Calcs'!H19*8760-H184</f>
        <v>0</v>
      </c>
      <c r="I206">
        <f ca="1">SUMIF('Tech Parameters'!$B$273:$B$298,$B184,'Tech Parameters'!M$273:M$298)*'Tech Parameters'!$H17*'Alt scen Calcs'!I19*8760-I184</f>
        <v>0</v>
      </c>
      <c r="J206">
        <f ca="1">SUMIF('Tech Parameters'!$B$273:$B$298,$B184,'Tech Parameters'!N$273:N$298)*'Tech Parameters'!$H17*'Alt scen Calcs'!J19*8760-J184</f>
        <v>0</v>
      </c>
      <c r="K206">
        <f ca="1">SUMIF('Tech Parameters'!$B$273:$B$298,$B184,'Tech Parameters'!O$273:O$298)*'Tech Parameters'!$H17*'Alt scen Calcs'!K19*8760-K184</f>
        <v>0</v>
      </c>
      <c r="L206">
        <f ca="1">SUMIF('Tech Parameters'!$B$273:$B$298,$B184,'Tech Parameters'!P$273:P$298)*'Tech Parameters'!$H17*'Alt scen Calcs'!L19*8760-L184</f>
        <v>0</v>
      </c>
      <c r="M206">
        <f ca="1">SUMIF('Tech Parameters'!$B$273:$B$298,$B184,'Tech Parameters'!Q$273:Q$298)*'Tech Parameters'!$H17*'Alt scen Calcs'!M19*8760-M184</f>
        <v>0</v>
      </c>
      <c r="N206">
        <f ca="1">SUMIF('Tech Parameters'!$B$273:$B$298,$B184,'Tech Parameters'!R$273:R$298)*'Tech Parameters'!$H17*'Alt scen Calcs'!N19*8760-N184</f>
        <v>0</v>
      </c>
      <c r="O206">
        <f ca="1">SUMIF('Tech Parameters'!$B$273:$B$298,$B184,'Tech Parameters'!S$273:S$298)*'Tech Parameters'!$H17*'Alt scen Calcs'!O19*8760-O184</f>
        <v>0</v>
      </c>
      <c r="P206">
        <f ca="1">SUMIF('Tech Parameters'!$B$273:$B$298,$B184,'Tech Parameters'!T$273:T$298)*'Tech Parameters'!$H17*'Alt scen Calcs'!P19*8760-P184</f>
        <v>0</v>
      </c>
      <c r="Q206">
        <f ca="1">SUMIF('Tech Parameters'!$B$273:$B$298,$B184,'Tech Parameters'!U$273:U$298)*'Tech Parameters'!$H17*'Alt scen Calcs'!Q19*8760-Q184</f>
        <v>0</v>
      </c>
      <c r="R206">
        <f ca="1">SUMIF('Tech Parameters'!$B$273:$B$298,$B184,'Tech Parameters'!V$273:V$298)*'Tech Parameters'!$H17*'Alt scen Calcs'!R19*8760-R184</f>
        <v>0</v>
      </c>
      <c r="S206">
        <f ca="1">SUMIF('Tech Parameters'!$B$273:$B$298,$B184,'Tech Parameters'!W$273:W$298)*'Tech Parameters'!$H17*'Alt scen Calcs'!S19*8760-S184</f>
        <v>0</v>
      </c>
      <c r="T206">
        <f ca="1">SUMIF('Tech Parameters'!$B$273:$B$298,$B184,'Tech Parameters'!X$273:X$298)*'Tech Parameters'!$H17*'Alt scen Calcs'!T19*8760-T184</f>
        <v>0</v>
      </c>
      <c r="U206">
        <f ca="1">SUMIF('Tech Parameters'!$B$273:$B$298,$B184,'Tech Parameters'!Y$273:Y$298)*'Tech Parameters'!$H17*'Alt scen Calcs'!U19*8760-U184</f>
        <v>0</v>
      </c>
      <c r="V206">
        <f ca="1">SUMIF('Tech Parameters'!$B$273:$B$298,$B184,'Tech Parameters'!Z$273:Z$298)*'Tech Parameters'!$H17*'Alt scen Calcs'!V19*8760-V184</f>
        <v>0</v>
      </c>
      <c r="W206">
        <f ca="1">SUMIF('Tech Parameters'!$B$273:$B$298,$B184,'Tech Parameters'!AA$273:AA$298)*'Tech Parameters'!$H17*'Alt scen Calcs'!W19*8760-W184</f>
        <v>0</v>
      </c>
      <c r="X206">
        <f ca="1">SUMIF('Tech Parameters'!$B$273:$B$298,$B184,'Tech Parameters'!AB$273:AB$298)*'Tech Parameters'!$H17*'Alt scen Calcs'!X19*8760-X184</f>
        <v>0</v>
      </c>
      <c r="Y206">
        <f ca="1">SUMIF('Tech Parameters'!$B$273:$B$298,$B184,'Tech Parameters'!AC$273:AC$298)*'Tech Parameters'!$H17*'Alt scen Calcs'!Y19*8760-Y184</f>
        <v>0</v>
      </c>
      <c r="Z206">
        <f ca="1">SUMIF('Tech Parameters'!$B$273:$B$298,$B184,'Tech Parameters'!AD$273:AD$298)*'Tech Parameters'!$H17*'Alt scen Calcs'!Z19*8760-Z184</f>
        <v>0</v>
      </c>
      <c r="AA206">
        <f ca="1">SUMIF('Tech Parameters'!$B$273:$B$298,$B184,'Tech Parameters'!AE$273:AE$298)*'Tech Parameters'!$H17*'Alt scen Calcs'!AA19*8760-AA184</f>
        <v>0</v>
      </c>
      <c r="AB206">
        <f ca="1">SUMIF('Tech Parameters'!$B$273:$B$298,$B184,'Tech Parameters'!AF$273:AF$298)*'Tech Parameters'!$H17*'Alt scen Calcs'!AB19*8760-AB184</f>
        <v>0</v>
      </c>
      <c r="AC206">
        <f ca="1">SUMIF('Tech Parameters'!$B$273:$B$298,$B184,'Tech Parameters'!AG$273:AG$298)*'Tech Parameters'!$H17*'Alt scen Calcs'!AC19*8760-AC184</f>
        <v>0</v>
      </c>
      <c r="BA206" s="4"/>
      <c r="BL206" s="4"/>
    </row>
    <row r="207" spans="2:64">
      <c r="B207" t="str">
        <f>'Tech Parameters'!C18</f>
        <v>Solar Photovoltaic</v>
      </c>
      <c r="C207" t="str">
        <f>'Tech Parameters'!B18</f>
        <v>solar PV</v>
      </c>
      <c r="D207">
        <f>SUMIF('Tech Parameters'!$B$273:$B$298,$B185,'Tech Parameters'!H$273:H$298)*'Tech Parameters'!$H18*'Alt scen Calcs'!D20*8760-D185</f>
        <v>0</v>
      </c>
      <c r="E207">
        <f>SUMIF('Tech Parameters'!$B$273:$B$298,$B185,'Tech Parameters'!I$273:I$298)*'Tech Parameters'!$H18*'Alt scen Calcs'!E20*8760-E185</f>
        <v>0</v>
      </c>
      <c r="F207">
        <f>SUMIF('Tech Parameters'!$B$273:$B$298,$B185,'Tech Parameters'!J$273:J$298)*'Tech Parameters'!$H18*'Alt scen Calcs'!F20*8760-F185</f>
        <v>0</v>
      </c>
      <c r="G207">
        <f>SUMIF('Tech Parameters'!$B$273:$B$298,$B185,'Tech Parameters'!K$273:K$298)*'Tech Parameters'!$H18*'Alt scen Calcs'!G20*8760-G185</f>
        <v>0</v>
      </c>
      <c r="H207">
        <f>SUMIF('Tech Parameters'!$B$273:$B$298,$B185,'Tech Parameters'!L$273:L$298)*'Tech Parameters'!$H18*'Alt scen Calcs'!H20*8760-H185</f>
        <v>0</v>
      </c>
      <c r="I207">
        <f ca="1">SUMIF('Tech Parameters'!$B$273:$B$298,$B185,'Tech Parameters'!M$273:M$298)*'Tech Parameters'!$H18*'Alt scen Calcs'!I20*8760-I185</f>
        <v>0</v>
      </c>
      <c r="J207">
        <f ca="1">SUMIF('Tech Parameters'!$B$273:$B$298,$B185,'Tech Parameters'!N$273:N$298)*'Tech Parameters'!$H18*'Alt scen Calcs'!J20*8760-J185</f>
        <v>0</v>
      </c>
      <c r="K207">
        <f ca="1">SUMIF('Tech Parameters'!$B$273:$B$298,$B185,'Tech Parameters'!O$273:O$298)*'Tech Parameters'!$H18*'Alt scen Calcs'!K20*8760-K185</f>
        <v>0</v>
      </c>
      <c r="L207">
        <f ca="1">SUMIF('Tech Parameters'!$B$273:$B$298,$B185,'Tech Parameters'!P$273:P$298)*'Tech Parameters'!$H18*'Alt scen Calcs'!L20*8760-L185</f>
        <v>0</v>
      </c>
      <c r="M207">
        <f ca="1">SUMIF('Tech Parameters'!$B$273:$B$298,$B185,'Tech Parameters'!Q$273:Q$298)*'Tech Parameters'!$H18*'Alt scen Calcs'!M20*8760-M185</f>
        <v>0</v>
      </c>
      <c r="N207">
        <f ca="1">SUMIF('Tech Parameters'!$B$273:$B$298,$B185,'Tech Parameters'!R$273:R$298)*'Tech Parameters'!$H18*'Alt scen Calcs'!N20*8760-N185</f>
        <v>0</v>
      </c>
      <c r="O207">
        <f ca="1">SUMIF('Tech Parameters'!$B$273:$B$298,$B185,'Tech Parameters'!S$273:S$298)*'Tech Parameters'!$H18*'Alt scen Calcs'!O20*8760-O185</f>
        <v>0</v>
      </c>
      <c r="P207">
        <f ca="1">SUMIF('Tech Parameters'!$B$273:$B$298,$B185,'Tech Parameters'!T$273:T$298)*'Tech Parameters'!$H18*'Alt scen Calcs'!P20*8760-P185</f>
        <v>0</v>
      </c>
      <c r="Q207">
        <f ca="1">SUMIF('Tech Parameters'!$B$273:$B$298,$B185,'Tech Parameters'!U$273:U$298)*'Tech Parameters'!$H18*'Alt scen Calcs'!Q20*8760-Q185</f>
        <v>0</v>
      </c>
      <c r="R207">
        <f ca="1">SUMIF('Tech Parameters'!$B$273:$B$298,$B185,'Tech Parameters'!V$273:V$298)*'Tech Parameters'!$H18*'Alt scen Calcs'!R20*8760-R185</f>
        <v>0</v>
      </c>
      <c r="S207">
        <f ca="1">SUMIF('Tech Parameters'!$B$273:$B$298,$B185,'Tech Parameters'!W$273:W$298)*'Tech Parameters'!$H18*'Alt scen Calcs'!S20*8760-S185</f>
        <v>0</v>
      </c>
      <c r="T207">
        <f ca="1">SUMIF('Tech Parameters'!$B$273:$B$298,$B185,'Tech Parameters'!X$273:X$298)*'Tech Parameters'!$H18*'Alt scen Calcs'!T20*8760-T185</f>
        <v>0</v>
      </c>
      <c r="U207">
        <f ca="1">SUMIF('Tech Parameters'!$B$273:$B$298,$B185,'Tech Parameters'!Y$273:Y$298)*'Tech Parameters'!$H18*'Alt scen Calcs'!U20*8760-U185</f>
        <v>0</v>
      </c>
      <c r="V207">
        <f ca="1">SUMIF('Tech Parameters'!$B$273:$B$298,$B185,'Tech Parameters'!Z$273:Z$298)*'Tech Parameters'!$H18*'Alt scen Calcs'!V20*8760-V185</f>
        <v>0</v>
      </c>
      <c r="W207">
        <f ca="1">SUMIF('Tech Parameters'!$B$273:$B$298,$B185,'Tech Parameters'!AA$273:AA$298)*'Tech Parameters'!$H18*'Alt scen Calcs'!W20*8760-W185</f>
        <v>0</v>
      </c>
      <c r="X207">
        <f ca="1">SUMIF('Tech Parameters'!$B$273:$B$298,$B185,'Tech Parameters'!AB$273:AB$298)*'Tech Parameters'!$H18*'Alt scen Calcs'!X20*8760-X185</f>
        <v>0</v>
      </c>
      <c r="Y207">
        <f ca="1">SUMIF('Tech Parameters'!$B$273:$B$298,$B185,'Tech Parameters'!AC$273:AC$298)*'Tech Parameters'!$H18*'Alt scen Calcs'!Y20*8760-Y185</f>
        <v>0</v>
      </c>
      <c r="Z207">
        <f ca="1">SUMIF('Tech Parameters'!$B$273:$B$298,$B185,'Tech Parameters'!AD$273:AD$298)*'Tech Parameters'!$H18*'Alt scen Calcs'!Z20*8760-Z185</f>
        <v>0</v>
      </c>
      <c r="AA207">
        <f ca="1">SUMIF('Tech Parameters'!$B$273:$B$298,$B185,'Tech Parameters'!AE$273:AE$298)*'Tech Parameters'!$H18*'Alt scen Calcs'!AA20*8760-AA185</f>
        <v>0</v>
      </c>
      <c r="AB207">
        <f ca="1">SUMIF('Tech Parameters'!$B$273:$B$298,$B185,'Tech Parameters'!AF$273:AF$298)*'Tech Parameters'!$H18*'Alt scen Calcs'!AB20*8760-AB185</f>
        <v>0</v>
      </c>
      <c r="AC207">
        <f ca="1">SUMIF('Tech Parameters'!$B$273:$B$298,$B185,'Tech Parameters'!AG$273:AG$298)*'Tech Parameters'!$H18*'Alt scen Calcs'!AC20*8760-AC185</f>
        <v>0</v>
      </c>
      <c r="BA207" s="4"/>
      <c r="BL207" s="4"/>
    </row>
    <row r="208" spans="2:64">
      <c r="B208" t="str">
        <f>'Tech Parameters'!C19</f>
        <v>Combined Cycle Gas Turbine</v>
      </c>
      <c r="C208" t="str">
        <f>'Tech Parameters'!B19</f>
        <v>combined cycle gas</v>
      </c>
      <c r="D208">
        <f>SUMIF('Tech Parameters'!$B$273:$B$298,$B186,'Tech Parameters'!H$273:H$298)*'Tech Parameters'!$H19*'Alt scen Calcs'!D21*8760-D186</f>
        <v>0</v>
      </c>
      <c r="E208">
        <f>SUMIF('Tech Parameters'!$B$273:$B$298,$B186,'Tech Parameters'!I$273:I$298)*'Tech Parameters'!$H19*'Alt scen Calcs'!E21*8760-E186</f>
        <v>0</v>
      </c>
      <c r="F208">
        <f>SUMIF('Tech Parameters'!$B$273:$B$298,$B186,'Tech Parameters'!J$273:J$298)*'Tech Parameters'!$H19*'Alt scen Calcs'!F21*8760-F186</f>
        <v>0</v>
      </c>
      <c r="G208">
        <f>SUMIF('Tech Parameters'!$B$273:$B$298,$B186,'Tech Parameters'!K$273:K$298)*'Tech Parameters'!$H19*'Alt scen Calcs'!G21*8760-G186</f>
        <v>0</v>
      </c>
      <c r="H208">
        <f>SUMIF('Tech Parameters'!$B$273:$B$298,$B186,'Tech Parameters'!L$273:L$298)*'Tech Parameters'!$H19*'Alt scen Calcs'!H21*8760-H186</f>
        <v>0</v>
      </c>
      <c r="I208">
        <f ca="1">SUMIF('Tech Parameters'!$B$273:$B$298,$B186,'Tech Parameters'!M$273:M$298)*'Tech Parameters'!$H19*'Alt scen Calcs'!I21*8760-I186</f>
        <v>0</v>
      </c>
      <c r="J208">
        <f ca="1">SUMIF('Tech Parameters'!$B$273:$B$298,$B186,'Tech Parameters'!N$273:N$298)*'Tech Parameters'!$H19*'Alt scen Calcs'!J21*8760-J186</f>
        <v>0</v>
      </c>
      <c r="K208">
        <f ca="1">SUMIF('Tech Parameters'!$B$273:$B$298,$B186,'Tech Parameters'!O$273:O$298)*'Tech Parameters'!$H19*'Alt scen Calcs'!K21*8760-K186</f>
        <v>0</v>
      </c>
      <c r="L208">
        <f ca="1">SUMIF('Tech Parameters'!$B$273:$B$298,$B186,'Tech Parameters'!P$273:P$298)*'Tech Parameters'!$H19*'Alt scen Calcs'!L21*8760-L186</f>
        <v>0</v>
      </c>
      <c r="M208">
        <f ca="1">SUMIF('Tech Parameters'!$B$273:$B$298,$B186,'Tech Parameters'!Q$273:Q$298)*'Tech Parameters'!$H19*'Alt scen Calcs'!M21*8760-M186</f>
        <v>0</v>
      </c>
      <c r="N208">
        <f ca="1">SUMIF('Tech Parameters'!$B$273:$B$298,$B186,'Tech Parameters'!R$273:R$298)*'Tech Parameters'!$H19*'Alt scen Calcs'!N21*8760-N186</f>
        <v>0</v>
      </c>
      <c r="O208">
        <f ca="1">SUMIF('Tech Parameters'!$B$273:$B$298,$B186,'Tech Parameters'!S$273:S$298)*'Tech Parameters'!$H19*'Alt scen Calcs'!O21*8760-O186</f>
        <v>0</v>
      </c>
      <c r="P208">
        <f ca="1">SUMIF('Tech Parameters'!$B$273:$B$298,$B186,'Tech Parameters'!T$273:T$298)*'Tech Parameters'!$H19*'Alt scen Calcs'!P21*8760-P186</f>
        <v>0</v>
      </c>
      <c r="Q208">
        <f ca="1">SUMIF('Tech Parameters'!$B$273:$B$298,$B186,'Tech Parameters'!U$273:U$298)*'Tech Parameters'!$H19*'Alt scen Calcs'!Q21*8760-Q186</f>
        <v>0</v>
      </c>
      <c r="R208">
        <f ca="1">SUMIF('Tech Parameters'!$B$273:$B$298,$B186,'Tech Parameters'!V$273:V$298)*'Tech Parameters'!$H19*'Alt scen Calcs'!R21*8760-R186</f>
        <v>0</v>
      </c>
      <c r="S208">
        <f ca="1">SUMIF('Tech Parameters'!$B$273:$B$298,$B186,'Tech Parameters'!W$273:W$298)*'Tech Parameters'!$H19*'Alt scen Calcs'!S21*8760-S186</f>
        <v>0</v>
      </c>
      <c r="T208">
        <f ca="1">SUMIF('Tech Parameters'!$B$273:$B$298,$B186,'Tech Parameters'!X$273:X$298)*'Tech Parameters'!$H19*'Alt scen Calcs'!T21*8760-T186</f>
        <v>0</v>
      </c>
      <c r="U208">
        <f ca="1">SUMIF('Tech Parameters'!$B$273:$B$298,$B186,'Tech Parameters'!Y$273:Y$298)*'Tech Parameters'!$H19*'Alt scen Calcs'!U21*8760-U186</f>
        <v>0</v>
      </c>
      <c r="V208">
        <f ca="1">SUMIF('Tech Parameters'!$B$273:$B$298,$B186,'Tech Parameters'!Z$273:Z$298)*'Tech Parameters'!$H19*'Alt scen Calcs'!V21*8760-V186</f>
        <v>0</v>
      </c>
      <c r="W208">
        <f ca="1">SUMIF('Tech Parameters'!$B$273:$B$298,$B186,'Tech Parameters'!AA$273:AA$298)*'Tech Parameters'!$H19*'Alt scen Calcs'!W21*8760-W186</f>
        <v>0</v>
      </c>
      <c r="X208">
        <f ca="1">SUMIF('Tech Parameters'!$B$273:$B$298,$B186,'Tech Parameters'!AB$273:AB$298)*'Tech Parameters'!$H19*'Alt scen Calcs'!X21*8760-X186</f>
        <v>0</v>
      </c>
      <c r="Y208">
        <f ca="1">SUMIF('Tech Parameters'!$B$273:$B$298,$B186,'Tech Parameters'!AC$273:AC$298)*'Tech Parameters'!$H19*'Alt scen Calcs'!Y21*8760-Y186</f>
        <v>0</v>
      </c>
      <c r="Z208">
        <f ca="1">SUMIF('Tech Parameters'!$B$273:$B$298,$B186,'Tech Parameters'!AD$273:AD$298)*'Tech Parameters'!$H19*'Alt scen Calcs'!Z21*8760-Z186</f>
        <v>2519.6568352941181</v>
      </c>
      <c r="AA208">
        <f ca="1">SUMIF('Tech Parameters'!$B$273:$B$298,$B186,'Tech Parameters'!AE$273:AE$298)*'Tech Parameters'!$H19*'Alt scen Calcs'!AA21*8760-AA186</f>
        <v>6299.1420882352941</v>
      </c>
      <c r="AB208">
        <f ca="1">SUMIF('Tech Parameters'!$B$273:$B$298,$B186,'Tech Parameters'!AF$273:AF$298)*'Tech Parameters'!$H19*'Alt scen Calcs'!AB21*8760-AB186</f>
        <v>10078.627341176472</v>
      </c>
      <c r="AC208">
        <f ca="1">SUMIF('Tech Parameters'!$B$273:$B$298,$B186,'Tech Parameters'!AG$273:AG$298)*'Tech Parameters'!$H19*'Alt scen Calcs'!AC21*8760-AC186</f>
        <v>10078.627341176472</v>
      </c>
      <c r="BA208" s="4"/>
      <c r="BL208" s="4"/>
    </row>
    <row r="209" spans="2:64">
      <c r="B209" t="str">
        <f>'Tech Parameters'!C20</f>
        <v>Nuclear Pebble-Bed Modular Reactor</v>
      </c>
      <c r="C209" t="str">
        <f>'Tech Parameters'!B20</f>
        <v>PBMR</v>
      </c>
      <c r="D209">
        <f>SUMIF('Tech Parameters'!$B$273:$B$298,$B187,'Tech Parameters'!H$273:H$298)*'Tech Parameters'!$H20*'Alt scen Calcs'!D22*8760-D187</f>
        <v>0</v>
      </c>
      <c r="E209">
        <f>SUMIF('Tech Parameters'!$B$273:$B$298,$B187,'Tech Parameters'!I$273:I$298)*'Tech Parameters'!$H20*'Alt scen Calcs'!E22*8760-E187</f>
        <v>0</v>
      </c>
      <c r="F209">
        <f>SUMIF('Tech Parameters'!$B$273:$B$298,$B187,'Tech Parameters'!J$273:J$298)*'Tech Parameters'!$H20*'Alt scen Calcs'!F22*8760-F187</f>
        <v>0</v>
      </c>
      <c r="G209">
        <f>SUMIF('Tech Parameters'!$B$273:$B$298,$B187,'Tech Parameters'!K$273:K$298)*'Tech Parameters'!$H20*'Alt scen Calcs'!G22*8760-G187</f>
        <v>0</v>
      </c>
      <c r="H209">
        <f>SUMIF('Tech Parameters'!$B$273:$B$298,$B187,'Tech Parameters'!L$273:L$298)*'Tech Parameters'!$H20*'Alt scen Calcs'!H22*8760-H187</f>
        <v>0</v>
      </c>
      <c r="I209">
        <f ca="1">SUMIF('Tech Parameters'!$B$273:$B$298,$B187,'Tech Parameters'!M$273:M$298)*'Tech Parameters'!$H20*'Alt scen Calcs'!I22*8760-I187</f>
        <v>0</v>
      </c>
      <c r="J209">
        <f ca="1">SUMIF('Tech Parameters'!$B$273:$B$298,$B187,'Tech Parameters'!N$273:N$298)*'Tech Parameters'!$H20*'Alt scen Calcs'!J22*8760-J187</f>
        <v>0</v>
      </c>
      <c r="K209">
        <f ca="1">SUMIF('Tech Parameters'!$B$273:$B$298,$B187,'Tech Parameters'!O$273:O$298)*'Tech Parameters'!$H20*'Alt scen Calcs'!K22*8760-K187</f>
        <v>0</v>
      </c>
      <c r="L209">
        <f ca="1">SUMIF('Tech Parameters'!$B$273:$B$298,$B187,'Tech Parameters'!P$273:P$298)*'Tech Parameters'!$H20*'Alt scen Calcs'!L22*8760-L187</f>
        <v>0</v>
      </c>
      <c r="M209">
        <f ca="1">SUMIF('Tech Parameters'!$B$273:$B$298,$B187,'Tech Parameters'!Q$273:Q$298)*'Tech Parameters'!$H20*'Alt scen Calcs'!M22*8760-M187</f>
        <v>0</v>
      </c>
      <c r="N209">
        <f ca="1">SUMIF('Tech Parameters'!$B$273:$B$298,$B187,'Tech Parameters'!R$273:R$298)*'Tech Parameters'!$H20*'Alt scen Calcs'!N22*8760-N187</f>
        <v>0</v>
      </c>
      <c r="O209">
        <f ca="1">SUMIF('Tech Parameters'!$B$273:$B$298,$B187,'Tech Parameters'!S$273:S$298)*'Tech Parameters'!$H20*'Alt scen Calcs'!O22*8760-O187</f>
        <v>0</v>
      </c>
      <c r="P209">
        <f ca="1">SUMIF('Tech Parameters'!$B$273:$B$298,$B187,'Tech Parameters'!T$273:T$298)*'Tech Parameters'!$H20*'Alt scen Calcs'!P22*8760-P187</f>
        <v>0</v>
      </c>
      <c r="Q209">
        <f ca="1">SUMIF('Tech Parameters'!$B$273:$B$298,$B187,'Tech Parameters'!U$273:U$298)*'Tech Parameters'!$H20*'Alt scen Calcs'!Q22*8760-Q187</f>
        <v>0</v>
      </c>
      <c r="R209">
        <f ca="1">SUMIF('Tech Parameters'!$B$273:$B$298,$B187,'Tech Parameters'!V$273:V$298)*'Tech Parameters'!$H20*'Alt scen Calcs'!R22*8760-R187</f>
        <v>0</v>
      </c>
      <c r="S209">
        <f ca="1">SUMIF('Tech Parameters'!$B$273:$B$298,$B187,'Tech Parameters'!W$273:W$298)*'Tech Parameters'!$H20*'Alt scen Calcs'!S22*8760-S187</f>
        <v>0</v>
      </c>
      <c r="T209">
        <f ca="1">SUMIF('Tech Parameters'!$B$273:$B$298,$B187,'Tech Parameters'!X$273:X$298)*'Tech Parameters'!$H20*'Alt scen Calcs'!T22*8760-T187</f>
        <v>0</v>
      </c>
      <c r="U209">
        <f ca="1">SUMIF('Tech Parameters'!$B$273:$B$298,$B187,'Tech Parameters'!Y$273:Y$298)*'Tech Parameters'!$H20*'Alt scen Calcs'!U22*8760-U187</f>
        <v>0</v>
      </c>
      <c r="V209">
        <f ca="1">SUMIF('Tech Parameters'!$B$273:$B$298,$B187,'Tech Parameters'!Z$273:Z$298)*'Tech Parameters'!$H20*'Alt scen Calcs'!V22*8760-V187</f>
        <v>0</v>
      </c>
      <c r="W209">
        <f ca="1">SUMIF('Tech Parameters'!$B$273:$B$298,$B187,'Tech Parameters'!AA$273:AA$298)*'Tech Parameters'!$H20*'Alt scen Calcs'!W22*8760-W187</f>
        <v>0</v>
      </c>
      <c r="X209">
        <f ca="1">SUMIF('Tech Parameters'!$B$273:$B$298,$B187,'Tech Parameters'!AB$273:AB$298)*'Tech Parameters'!$H20*'Alt scen Calcs'!X22*8760-X187</f>
        <v>0</v>
      </c>
      <c r="Y209">
        <f ca="1">SUMIF('Tech Parameters'!$B$273:$B$298,$B187,'Tech Parameters'!AC$273:AC$298)*'Tech Parameters'!$H20*'Alt scen Calcs'!Y22*8760-Y187</f>
        <v>0</v>
      </c>
      <c r="Z209">
        <f ca="1">SUMIF('Tech Parameters'!$B$273:$B$298,$B187,'Tech Parameters'!AD$273:AD$298)*'Tech Parameters'!$H20*'Alt scen Calcs'!Z22*8760-Z187</f>
        <v>0</v>
      </c>
      <c r="AA209">
        <f ca="1">SUMIF('Tech Parameters'!$B$273:$B$298,$B187,'Tech Parameters'!AE$273:AE$298)*'Tech Parameters'!$H20*'Alt scen Calcs'!AA22*8760-AA187</f>
        <v>0</v>
      </c>
      <c r="AB209">
        <f ca="1">SUMIF('Tech Parameters'!$B$273:$B$298,$B187,'Tech Parameters'!AF$273:AF$298)*'Tech Parameters'!$H20*'Alt scen Calcs'!AB22*8760-AB187</f>
        <v>0</v>
      </c>
      <c r="AC209">
        <f ca="1">SUMIF('Tech Parameters'!$B$273:$B$298,$B187,'Tech Parameters'!AG$273:AG$298)*'Tech Parameters'!$H20*'Alt scen Calcs'!AC22*8760-AC187</f>
        <v>0</v>
      </c>
      <c r="BA209" s="4"/>
      <c r="BL209" s="4"/>
    </row>
    <row r="210" spans="2:64">
      <c r="B210" t="str">
        <f>'Tech Parameters'!C21</f>
        <v>Integrated Gasification Combined Cycle Coal</v>
      </c>
      <c r="C210" t="str">
        <f>'Tech Parameters'!B21</f>
        <v>IGCC</v>
      </c>
      <c r="D210">
        <f>SUMIF('Tech Parameters'!$B$273:$B$298,$B188,'Tech Parameters'!H$273:H$298)*'Tech Parameters'!$H21*'Alt scen Calcs'!D23*8760-D188</f>
        <v>0</v>
      </c>
      <c r="E210">
        <f>SUMIF('Tech Parameters'!$B$273:$B$298,$B188,'Tech Parameters'!I$273:I$298)*'Tech Parameters'!$H21*'Alt scen Calcs'!E23*8760-E188</f>
        <v>0</v>
      </c>
      <c r="F210">
        <f>SUMIF('Tech Parameters'!$B$273:$B$298,$B188,'Tech Parameters'!J$273:J$298)*'Tech Parameters'!$H21*'Alt scen Calcs'!F23*8760-F188</f>
        <v>0</v>
      </c>
      <c r="G210">
        <f>SUMIF('Tech Parameters'!$B$273:$B$298,$B188,'Tech Parameters'!K$273:K$298)*'Tech Parameters'!$H21*'Alt scen Calcs'!G23*8760-G188</f>
        <v>0</v>
      </c>
      <c r="H210">
        <f>SUMIF('Tech Parameters'!$B$273:$B$298,$B188,'Tech Parameters'!L$273:L$298)*'Tech Parameters'!$H21*'Alt scen Calcs'!H23*8760-H188</f>
        <v>0</v>
      </c>
      <c r="I210">
        <f ca="1">SUMIF('Tech Parameters'!$B$273:$B$298,$B188,'Tech Parameters'!M$273:M$298)*'Tech Parameters'!$H21*'Alt scen Calcs'!I23*8760-I188</f>
        <v>0</v>
      </c>
      <c r="J210">
        <f ca="1">SUMIF('Tech Parameters'!$B$273:$B$298,$B188,'Tech Parameters'!N$273:N$298)*'Tech Parameters'!$H21*'Alt scen Calcs'!J23*8760-J188</f>
        <v>0</v>
      </c>
      <c r="K210">
        <f ca="1">SUMIF('Tech Parameters'!$B$273:$B$298,$B188,'Tech Parameters'!O$273:O$298)*'Tech Parameters'!$H21*'Alt scen Calcs'!K23*8760-K188</f>
        <v>0</v>
      </c>
      <c r="L210">
        <f ca="1">SUMIF('Tech Parameters'!$B$273:$B$298,$B188,'Tech Parameters'!P$273:P$298)*'Tech Parameters'!$H21*'Alt scen Calcs'!L23*8760-L188</f>
        <v>0</v>
      </c>
      <c r="M210">
        <f ca="1">SUMIF('Tech Parameters'!$B$273:$B$298,$B188,'Tech Parameters'!Q$273:Q$298)*'Tech Parameters'!$H21*'Alt scen Calcs'!M23*8760-M188</f>
        <v>0</v>
      </c>
      <c r="N210">
        <f ca="1">SUMIF('Tech Parameters'!$B$273:$B$298,$B188,'Tech Parameters'!R$273:R$298)*'Tech Parameters'!$H21*'Alt scen Calcs'!N23*8760-N188</f>
        <v>0</v>
      </c>
      <c r="O210">
        <f ca="1">SUMIF('Tech Parameters'!$B$273:$B$298,$B188,'Tech Parameters'!S$273:S$298)*'Tech Parameters'!$H21*'Alt scen Calcs'!O23*8760-O188</f>
        <v>0</v>
      </c>
      <c r="P210">
        <f ca="1">SUMIF('Tech Parameters'!$B$273:$B$298,$B188,'Tech Parameters'!T$273:T$298)*'Tech Parameters'!$H21*'Alt scen Calcs'!P23*8760-P188</f>
        <v>0</v>
      </c>
      <c r="Q210">
        <f ca="1">SUMIF('Tech Parameters'!$B$273:$B$298,$B188,'Tech Parameters'!U$273:U$298)*'Tech Parameters'!$H21*'Alt scen Calcs'!Q23*8760-Q188</f>
        <v>0</v>
      </c>
      <c r="R210">
        <f ca="1">SUMIF('Tech Parameters'!$B$273:$B$298,$B188,'Tech Parameters'!V$273:V$298)*'Tech Parameters'!$H21*'Alt scen Calcs'!R23*8760-R188</f>
        <v>0</v>
      </c>
      <c r="S210">
        <f ca="1">SUMIF('Tech Parameters'!$B$273:$B$298,$B188,'Tech Parameters'!W$273:W$298)*'Tech Parameters'!$H21*'Alt scen Calcs'!S23*8760-S188</f>
        <v>0</v>
      </c>
      <c r="T210">
        <f ca="1">SUMIF('Tech Parameters'!$B$273:$B$298,$B188,'Tech Parameters'!X$273:X$298)*'Tech Parameters'!$H21*'Alt scen Calcs'!T23*8760-T188</f>
        <v>0</v>
      </c>
      <c r="U210">
        <f ca="1">SUMIF('Tech Parameters'!$B$273:$B$298,$B188,'Tech Parameters'!Y$273:Y$298)*'Tech Parameters'!$H21*'Alt scen Calcs'!U23*8760-U188</f>
        <v>0</v>
      </c>
      <c r="V210">
        <f ca="1">SUMIF('Tech Parameters'!$B$273:$B$298,$B188,'Tech Parameters'!Z$273:Z$298)*'Tech Parameters'!$H21*'Alt scen Calcs'!V23*8760-V188</f>
        <v>0</v>
      </c>
      <c r="W210">
        <f ca="1">SUMIF('Tech Parameters'!$B$273:$B$298,$B188,'Tech Parameters'!AA$273:AA$298)*'Tech Parameters'!$H21*'Alt scen Calcs'!W23*8760-W188</f>
        <v>0</v>
      </c>
      <c r="X210">
        <f ca="1">SUMIF('Tech Parameters'!$B$273:$B$298,$B188,'Tech Parameters'!AB$273:AB$298)*'Tech Parameters'!$H21*'Alt scen Calcs'!X23*8760-X188</f>
        <v>0</v>
      </c>
      <c r="Y210">
        <f ca="1">SUMIF('Tech Parameters'!$B$273:$B$298,$B188,'Tech Parameters'!AC$273:AC$298)*'Tech Parameters'!$H21*'Alt scen Calcs'!Y23*8760-Y188</f>
        <v>0</v>
      </c>
      <c r="Z210">
        <f ca="1">SUMIF('Tech Parameters'!$B$273:$B$298,$B188,'Tech Parameters'!AD$273:AD$298)*'Tech Parameters'!$H21*'Alt scen Calcs'!Z23*8760-Z188</f>
        <v>0</v>
      </c>
      <c r="AA210">
        <f ca="1">SUMIF('Tech Parameters'!$B$273:$B$298,$B188,'Tech Parameters'!AE$273:AE$298)*'Tech Parameters'!$H21*'Alt scen Calcs'!AA23*8760-AA188</f>
        <v>0</v>
      </c>
      <c r="AB210">
        <f ca="1">SUMIF('Tech Parameters'!$B$273:$B$298,$B188,'Tech Parameters'!AF$273:AF$298)*'Tech Parameters'!$H21*'Alt scen Calcs'!AB23*8760-AB188</f>
        <v>2956.5729270000002</v>
      </c>
      <c r="AC210">
        <f ca="1">SUMIF('Tech Parameters'!$B$273:$B$298,$B188,'Tech Parameters'!AG$273:AG$298)*'Tech Parameters'!$H21*'Alt scen Calcs'!AC23*8760-AC188</f>
        <v>5913.1458540000003</v>
      </c>
      <c r="BA210" s="4"/>
      <c r="BL210" s="4"/>
    </row>
    <row r="211" spans="2:64">
      <c r="B211" t="str">
        <f>'Tech Parameters'!C22</f>
        <v>not used</v>
      </c>
      <c r="C211" t="str">
        <f>'Tech Parameters'!B22</f>
        <v>-</v>
      </c>
      <c r="D211">
        <f>SUMIF('Tech Parameters'!$B$273:$B$298,$B189,'Tech Parameters'!H$273:H$298)*'Tech Parameters'!$H22*'Alt scen Calcs'!D24*8760-D189</f>
        <v>0</v>
      </c>
      <c r="E211">
        <f>SUMIF('Tech Parameters'!$B$273:$B$298,$B189,'Tech Parameters'!I$273:I$298)*'Tech Parameters'!$H22*'Alt scen Calcs'!E24*8760-E189</f>
        <v>0</v>
      </c>
      <c r="F211">
        <f>SUMIF('Tech Parameters'!$B$273:$B$298,$B189,'Tech Parameters'!J$273:J$298)*'Tech Parameters'!$H22*'Alt scen Calcs'!F24*8760-F189</f>
        <v>0</v>
      </c>
      <c r="G211">
        <f>SUMIF('Tech Parameters'!$B$273:$B$298,$B189,'Tech Parameters'!K$273:K$298)*'Tech Parameters'!$H22*'Alt scen Calcs'!G24*8760-G189</f>
        <v>0</v>
      </c>
      <c r="H211">
        <f>SUMIF('Tech Parameters'!$B$273:$B$298,$B189,'Tech Parameters'!L$273:L$298)*'Tech Parameters'!$H22*'Alt scen Calcs'!H24*8760-H189</f>
        <v>0</v>
      </c>
      <c r="I211">
        <f ca="1">SUMIF('Tech Parameters'!$B$273:$B$298,$B189,'Tech Parameters'!M$273:M$298)*'Tech Parameters'!$H22*'Alt scen Calcs'!I24*8760-I189</f>
        <v>0</v>
      </c>
      <c r="J211">
        <f ca="1">SUMIF('Tech Parameters'!$B$273:$B$298,$B189,'Tech Parameters'!N$273:N$298)*'Tech Parameters'!$H22*'Alt scen Calcs'!J24*8760-J189</f>
        <v>0</v>
      </c>
      <c r="K211">
        <f ca="1">SUMIF('Tech Parameters'!$B$273:$B$298,$B189,'Tech Parameters'!O$273:O$298)*'Tech Parameters'!$H22*'Alt scen Calcs'!K24*8760-K189</f>
        <v>0</v>
      </c>
      <c r="L211">
        <f ca="1">SUMIF('Tech Parameters'!$B$273:$B$298,$B189,'Tech Parameters'!P$273:P$298)*'Tech Parameters'!$H22*'Alt scen Calcs'!L24*8760-L189</f>
        <v>0</v>
      </c>
      <c r="M211">
        <f ca="1">SUMIF('Tech Parameters'!$B$273:$B$298,$B189,'Tech Parameters'!Q$273:Q$298)*'Tech Parameters'!$H22*'Alt scen Calcs'!M24*8760-M189</f>
        <v>0</v>
      </c>
      <c r="N211">
        <f ca="1">SUMIF('Tech Parameters'!$B$273:$B$298,$B189,'Tech Parameters'!R$273:R$298)*'Tech Parameters'!$H22*'Alt scen Calcs'!N24*8760-N189</f>
        <v>0</v>
      </c>
      <c r="O211">
        <f ca="1">SUMIF('Tech Parameters'!$B$273:$B$298,$B189,'Tech Parameters'!S$273:S$298)*'Tech Parameters'!$H22*'Alt scen Calcs'!O24*8760-O189</f>
        <v>0</v>
      </c>
      <c r="P211">
        <f ca="1">SUMIF('Tech Parameters'!$B$273:$B$298,$B189,'Tech Parameters'!T$273:T$298)*'Tech Parameters'!$H22*'Alt scen Calcs'!P24*8760-P189</f>
        <v>0</v>
      </c>
      <c r="Q211">
        <f ca="1">SUMIF('Tech Parameters'!$B$273:$B$298,$B189,'Tech Parameters'!U$273:U$298)*'Tech Parameters'!$H22*'Alt scen Calcs'!Q24*8760-Q189</f>
        <v>0</v>
      </c>
      <c r="R211">
        <f ca="1">SUMIF('Tech Parameters'!$B$273:$B$298,$B189,'Tech Parameters'!V$273:V$298)*'Tech Parameters'!$H22*'Alt scen Calcs'!R24*8760-R189</f>
        <v>0</v>
      </c>
      <c r="S211">
        <f ca="1">SUMIF('Tech Parameters'!$B$273:$B$298,$B189,'Tech Parameters'!W$273:W$298)*'Tech Parameters'!$H22*'Alt scen Calcs'!S24*8760-S189</f>
        <v>0</v>
      </c>
      <c r="T211">
        <f ca="1">SUMIF('Tech Parameters'!$B$273:$B$298,$B189,'Tech Parameters'!X$273:X$298)*'Tech Parameters'!$H22*'Alt scen Calcs'!T24*8760-T189</f>
        <v>0</v>
      </c>
      <c r="U211">
        <f ca="1">SUMIF('Tech Parameters'!$B$273:$B$298,$B189,'Tech Parameters'!Y$273:Y$298)*'Tech Parameters'!$H22*'Alt scen Calcs'!U24*8760-U189</f>
        <v>0</v>
      </c>
      <c r="V211">
        <f ca="1">SUMIF('Tech Parameters'!$B$273:$B$298,$B189,'Tech Parameters'!Z$273:Z$298)*'Tech Parameters'!$H22*'Alt scen Calcs'!V24*8760-V189</f>
        <v>0</v>
      </c>
      <c r="W211">
        <f ca="1">SUMIF('Tech Parameters'!$B$273:$B$298,$B189,'Tech Parameters'!AA$273:AA$298)*'Tech Parameters'!$H22*'Alt scen Calcs'!W24*8760-W189</f>
        <v>0</v>
      </c>
      <c r="X211">
        <f ca="1">SUMIF('Tech Parameters'!$B$273:$B$298,$B189,'Tech Parameters'!AB$273:AB$298)*'Tech Parameters'!$H22*'Alt scen Calcs'!X24*8760-X189</f>
        <v>0</v>
      </c>
      <c r="Y211">
        <f ca="1">SUMIF('Tech Parameters'!$B$273:$B$298,$B189,'Tech Parameters'!AC$273:AC$298)*'Tech Parameters'!$H22*'Alt scen Calcs'!Y24*8760-Y189</f>
        <v>0</v>
      </c>
      <c r="Z211">
        <f ca="1">SUMIF('Tech Parameters'!$B$273:$B$298,$B189,'Tech Parameters'!AD$273:AD$298)*'Tech Parameters'!$H22*'Alt scen Calcs'!Z24*8760-Z189</f>
        <v>0</v>
      </c>
      <c r="AA211">
        <f ca="1">SUMIF('Tech Parameters'!$B$273:$B$298,$B189,'Tech Parameters'!AE$273:AE$298)*'Tech Parameters'!$H22*'Alt scen Calcs'!AA24*8760-AA189</f>
        <v>0</v>
      </c>
      <c r="AB211">
        <f ca="1">SUMIF('Tech Parameters'!$B$273:$B$298,$B189,'Tech Parameters'!AF$273:AF$298)*'Tech Parameters'!$H22*'Alt scen Calcs'!AB24*8760-AB189</f>
        <v>0</v>
      </c>
      <c r="AC211">
        <f ca="1">SUMIF('Tech Parameters'!$B$273:$B$298,$B189,'Tech Parameters'!AG$273:AG$298)*'Tech Parameters'!$H22*'Alt scen Calcs'!AC24*8760-AC189</f>
        <v>0</v>
      </c>
      <c r="BA211" s="4"/>
      <c r="BL211" s="4"/>
    </row>
    <row r="212" spans="2:64">
      <c r="B212" t="str">
        <f>'Tech Parameters'!C23</f>
        <v>not used</v>
      </c>
      <c r="C212" t="str">
        <f>'Tech Parameters'!B23</f>
        <v>-</v>
      </c>
      <c r="D212">
        <f>SUMIF('Tech Parameters'!$B$273:$B$298,$B190,'Tech Parameters'!H$273:H$298)*'Tech Parameters'!$H23*'Alt scen Calcs'!D25*8760-D190</f>
        <v>0</v>
      </c>
      <c r="E212">
        <f>SUMIF('Tech Parameters'!$B$273:$B$298,$B190,'Tech Parameters'!I$273:I$298)*'Tech Parameters'!$H23*'Alt scen Calcs'!E25*8760-E190</f>
        <v>0</v>
      </c>
      <c r="F212">
        <f>SUMIF('Tech Parameters'!$B$273:$B$298,$B190,'Tech Parameters'!J$273:J$298)*'Tech Parameters'!$H23*'Alt scen Calcs'!F25*8760-F190</f>
        <v>0</v>
      </c>
      <c r="G212">
        <f>SUMIF('Tech Parameters'!$B$273:$B$298,$B190,'Tech Parameters'!K$273:K$298)*'Tech Parameters'!$H23*'Alt scen Calcs'!G25*8760-G190</f>
        <v>0</v>
      </c>
      <c r="H212">
        <f>SUMIF('Tech Parameters'!$B$273:$B$298,$B190,'Tech Parameters'!L$273:L$298)*'Tech Parameters'!$H23*'Alt scen Calcs'!H25*8760-H190</f>
        <v>0</v>
      </c>
      <c r="I212">
        <f ca="1">SUMIF('Tech Parameters'!$B$273:$B$298,$B190,'Tech Parameters'!M$273:M$298)*'Tech Parameters'!$H23*'Alt scen Calcs'!I25*8760-I190</f>
        <v>0</v>
      </c>
      <c r="J212">
        <f ca="1">SUMIF('Tech Parameters'!$B$273:$B$298,$B190,'Tech Parameters'!N$273:N$298)*'Tech Parameters'!$H23*'Alt scen Calcs'!J25*8760-J190</f>
        <v>0</v>
      </c>
      <c r="K212">
        <f ca="1">SUMIF('Tech Parameters'!$B$273:$B$298,$B190,'Tech Parameters'!O$273:O$298)*'Tech Parameters'!$H23*'Alt scen Calcs'!K25*8760-K190</f>
        <v>0</v>
      </c>
      <c r="L212">
        <f ca="1">SUMIF('Tech Parameters'!$B$273:$B$298,$B190,'Tech Parameters'!P$273:P$298)*'Tech Parameters'!$H23*'Alt scen Calcs'!L25*8760-L190</f>
        <v>0</v>
      </c>
      <c r="M212">
        <f ca="1">SUMIF('Tech Parameters'!$B$273:$B$298,$B190,'Tech Parameters'!Q$273:Q$298)*'Tech Parameters'!$H23*'Alt scen Calcs'!M25*8760-M190</f>
        <v>0</v>
      </c>
      <c r="N212">
        <f ca="1">SUMIF('Tech Parameters'!$B$273:$B$298,$B190,'Tech Parameters'!R$273:R$298)*'Tech Parameters'!$H23*'Alt scen Calcs'!N25*8760-N190</f>
        <v>0</v>
      </c>
      <c r="O212">
        <f ca="1">SUMIF('Tech Parameters'!$B$273:$B$298,$B190,'Tech Parameters'!S$273:S$298)*'Tech Parameters'!$H23*'Alt scen Calcs'!O25*8760-O190</f>
        <v>0</v>
      </c>
      <c r="P212">
        <f ca="1">SUMIF('Tech Parameters'!$B$273:$B$298,$B190,'Tech Parameters'!T$273:T$298)*'Tech Parameters'!$H23*'Alt scen Calcs'!P25*8760-P190</f>
        <v>0</v>
      </c>
      <c r="Q212">
        <f ca="1">SUMIF('Tech Parameters'!$B$273:$B$298,$B190,'Tech Parameters'!U$273:U$298)*'Tech Parameters'!$H23*'Alt scen Calcs'!Q25*8760-Q190</f>
        <v>0</v>
      </c>
      <c r="R212">
        <f ca="1">SUMIF('Tech Parameters'!$B$273:$B$298,$B190,'Tech Parameters'!V$273:V$298)*'Tech Parameters'!$H23*'Alt scen Calcs'!R25*8760-R190</f>
        <v>0</v>
      </c>
      <c r="S212">
        <f ca="1">SUMIF('Tech Parameters'!$B$273:$B$298,$B190,'Tech Parameters'!W$273:W$298)*'Tech Parameters'!$H23*'Alt scen Calcs'!S25*8760-S190</f>
        <v>0</v>
      </c>
      <c r="T212">
        <f ca="1">SUMIF('Tech Parameters'!$B$273:$B$298,$B190,'Tech Parameters'!X$273:X$298)*'Tech Parameters'!$H23*'Alt scen Calcs'!T25*8760-T190</f>
        <v>0</v>
      </c>
      <c r="U212">
        <f ca="1">SUMIF('Tech Parameters'!$B$273:$B$298,$B190,'Tech Parameters'!Y$273:Y$298)*'Tech Parameters'!$H23*'Alt scen Calcs'!U25*8760-U190</f>
        <v>0</v>
      </c>
      <c r="V212">
        <f ca="1">SUMIF('Tech Parameters'!$B$273:$B$298,$B190,'Tech Parameters'!Z$273:Z$298)*'Tech Parameters'!$H23*'Alt scen Calcs'!V25*8760-V190</f>
        <v>0</v>
      </c>
      <c r="W212">
        <f ca="1">SUMIF('Tech Parameters'!$B$273:$B$298,$B190,'Tech Parameters'!AA$273:AA$298)*'Tech Parameters'!$H23*'Alt scen Calcs'!W25*8760-W190</f>
        <v>0</v>
      </c>
      <c r="X212">
        <f ca="1">SUMIF('Tech Parameters'!$B$273:$B$298,$B190,'Tech Parameters'!AB$273:AB$298)*'Tech Parameters'!$H23*'Alt scen Calcs'!X25*8760-X190</f>
        <v>0</v>
      </c>
      <c r="Y212">
        <f ca="1">SUMIF('Tech Parameters'!$B$273:$B$298,$B190,'Tech Parameters'!AC$273:AC$298)*'Tech Parameters'!$H23*'Alt scen Calcs'!Y25*8760-Y190</f>
        <v>0</v>
      </c>
      <c r="Z212">
        <f ca="1">SUMIF('Tech Parameters'!$B$273:$B$298,$B190,'Tech Parameters'!AD$273:AD$298)*'Tech Parameters'!$H23*'Alt scen Calcs'!Z25*8760-Z190</f>
        <v>0</v>
      </c>
      <c r="AA212">
        <f ca="1">SUMIF('Tech Parameters'!$B$273:$B$298,$B190,'Tech Parameters'!AE$273:AE$298)*'Tech Parameters'!$H23*'Alt scen Calcs'!AA25*8760-AA190</f>
        <v>0</v>
      </c>
      <c r="AB212">
        <f ca="1">SUMIF('Tech Parameters'!$B$273:$B$298,$B190,'Tech Parameters'!AF$273:AF$298)*'Tech Parameters'!$H23*'Alt scen Calcs'!AB25*8760-AB190</f>
        <v>0</v>
      </c>
      <c r="AC212">
        <f ca="1">SUMIF('Tech Parameters'!$B$273:$B$298,$B190,'Tech Parameters'!AG$273:AG$298)*'Tech Parameters'!$H23*'Alt scen Calcs'!AC25*8760-AC190</f>
        <v>0</v>
      </c>
      <c r="BA212" s="4"/>
      <c r="BL212" s="4"/>
    </row>
    <row r="213" spans="2:64">
      <c r="B213" t="str">
        <f>'Tech Parameters'!C24</f>
        <v>not used</v>
      </c>
      <c r="C213" t="str">
        <f>'Tech Parameters'!B24</f>
        <v>-</v>
      </c>
      <c r="D213">
        <f>SUMIF('Tech Parameters'!$B$273:$B$298,$B191,'Tech Parameters'!H$273:H$298)*'Tech Parameters'!$H24*'Alt scen Calcs'!D26*8760-D191</f>
        <v>0</v>
      </c>
      <c r="E213">
        <f>SUMIF('Tech Parameters'!$B$273:$B$298,$B191,'Tech Parameters'!I$273:I$298)*'Tech Parameters'!$H24*'Alt scen Calcs'!E26*8760-E191</f>
        <v>0</v>
      </c>
      <c r="F213">
        <f>SUMIF('Tech Parameters'!$B$273:$B$298,$B191,'Tech Parameters'!J$273:J$298)*'Tech Parameters'!$H24*'Alt scen Calcs'!F26*8760-F191</f>
        <v>0</v>
      </c>
      <c r="G213">
        <f>SUMIF('Tech Parameters'!$B$273:$B$298,$B191,'Tech Parameters'!K$273:K$298)*'Tech Parameters'!$H24*'Alt scen Calcs'!G26*8760-G191</f>
        <v>0</v>
      </c>
      <c r="H213">
        <f>SUMIF('Tech Parameters'!$B$273:$B$298,$B191,'Tech Parameters'!L$273:L$298)*'Tech Parameters'!$H24*'Alt scen Calcs'!H26*8760-H191</f>
        <v>0</v>
      </c>
      <c r="I213">
        <f ca="1">SUMIF('Tech Parameters'!$B$273:$B$298,$B191,'Tech Parameters'!M$273:M$298)*'Tech Parameters'!$H24*'Alt scen Calcs'!I26*8760-I191</f>
        <v>0</v>
      </c>
      <c r="J213">
        <f ca="1">SUMIF('Tech Parameters'!$B$273:$B$298,$B191,'Tech Parameters'!N$273:N$298)*'Tech Parameters'!$H24*'Alt scen Calcs'!J26*8760-J191</f>
        <v>0</v>
      </c>
      <c r="K213">
        <f ca="1">SUMIF('Tech Parameters'!$B$273:$B$298,$B191,'Tech Parameters'!O$273:O$298)*'Tech Parameters'!$H24*'Alt scen Calcs'!K26*8760-K191</f>
        <v>0</v>
      </c>
      <c r="L213">
        <f ca="1">SUMIF('Tech Parameters'!$B$273:$B$298,$B191,'Tech Parameters'!P$273:P$298)*'Tech Parameters'!$H24*'Alt scen Calcs'!L26*8760-L191</f>
        <v>0</v>
      </c>
      <c r="M213">
        <f ca="1">SUMIF('Tech Parameters'!$B$273:$B$298,$B191,'Tech Parameters'!Q$273:Q$298)*'Tech Parameters'!$H24*'Alt scen Calcs'!M26*8760-M191</f>
        <v>0</v>
      </c>
      <c r="N213">
        <f ca="1">SUMIF('Tech Parameters'!$B$273:$B$298,$B191,'Tech Parameters'!R$273:R$298)*'Tech Parameters'!$H24*'Alt scen Calcs'!N26*8760-N191</f>
        <v>0</v>
      </c>
      <c r="O213">
        <f ca="1">SUMIF('Tech Parameters'!$B$273:$B$298,$B191,'Tech Parameters'!S$273:S$298)*'Tech Parameters'!$H24*'Alt scen Calcs'!O26*8760-O191</f>
        <v>0</v>
      </c>
      <c r="P213">
        <f ca="1">SUMIF('Tech Parameters'!$B$273:$B$298,$B191,'Tech Parameters'!T$273:T$298)*'Tech Parameters'!$H24*'Alt scen Calcs'!P26*8760-P191</f>
        <v>0</v>
      </c>
      <c r="Q213">
        <f ca="1">SUMIF('Tech Parameters'!$B$273:$B$298,$B191,'Tech Parameters'!U$273:U$298)*'Tech Parameters'!$H24*'Alt scen Calcs'!Q26*8760-Q191</f>
        <v>0</v>
      </c>
      <c r="R213">
        <f ca="1">SUMIF('Tech Parameters'!$B$273:$B$298,$B191,'Tech Parameters'!V$273:V$298)*'Tech Parameters'!$H24*'Alt scen Calcs'!R26*8760-R191</f>
        <v>0</v>
      </c>
      <c r="S213">
        <f ca="1">SUMIF('Tech Parameters'!$B$273:$B$298,$B191,'Tech Parameters'!W$273:W$298)*'Tech Parameters'!$H24*'Alt scen Calcs'!S26*8760-S191</f>
        <v>0</v>
      </c>
      <c r="T213">
        <f ca="1">SUMIF('Tech Parameters'!$B$273:$B$298,$B191,'Tech Parameters'!X$273:X$298)*'Tech Parameters'!$H24*'Alt scen Calcs'!T26*8760-T191</f>
        <v>0</v>
      </c>
      <c r="U213">
        <f ca="1">SUMIF('Tech Parameters'!$B$273:$B$298,$B191,'Tech Parameters'!Y$273:Y$298)*'Tech Parameters'!$H24*'Alt scen Calcs'!U26*8760-U191</f>
        <v>0</v>
      </c>
      <c r="V213">
        <f ca="1">SUMIF('Tech Parameters'!$B$273:$B$298,$B191,'Tech Parameters'!Z$273:Z$298)*'Tech Parameters'!$H24*'Alt scen Calcs'!V26*8760-V191</f>
        <v>0</v>
      </c>
      <c r="W213">
        <f ca="1">SUMIF('Tech Parameters'!$B$273:$B$298,$B191,'Tech Parameters'!AA$273:AA$298)*'Tech Parameters'!$H24*'Alt scen Calcs'!W26*8760-W191</f>
        <v>0</v>
      </c>
      <c r="X213">
        <f ca="1">SUMIF('Tech Parameters'!$B$273:$B$298,$B191,'Tech Parameters'!AB$273:AB$298)*'Tech Parameters'!$H24*'Alt scen Calcs'!X26*8760-X191</f>
        <v>0</v>
      </c>
      <c r="Y213">
        <f ca="1">SUMIF('Tech Parameters'!$B$273:$B$298,$B191,'Tech Parameters'!AC$273:AC$298)*'Tech Parameters'!$H24*'Alt scen Calcs'!Y26*8760-Y191</f>
        <v>0</v>
      </c>
      <c r="Z213">
        <f ca="1">SUMIF('Tech Parameters'!$B$273:$B$298,$B191,'Tech Parameters'!AD$273:AD$298)*'Tech Parameters'!$H24*'Alt scen Calcs'!Z26*8760-Z191</f>
        <v>0</v>
      </c>
      <c r="AA213">
        <f ca="1">SUMIF('Tech Parameters'!$B$273:$B$298,$B191,'Tech Parameters'!AE$273:AE$298)*'Tech Parameters'!$H24*'Alt scen Calcs'!AA26*8760-AA191</f>
        <v>0</v>
      </c>
      <c r="AB213">
        <f ca="1">SUMIF('Tech Parameters'!$B$273:$B$298,$B191,'Tech Parameters'!AF$273:AF$298)*'Tech Parameters'!$H24*'Alt scen Calcs'!AB26*8760-AB191</f>
        <v>0</v>
      </c>
      <c r="AC213">
        <f ca="1">SUMIF('Tech Parameters'!$B$273:$B$298,$B191,'Tech Parameters'!AG$273:AG$298)*'Tech Parameters'!$H24*'Alt scen Calcs'!AC26*8760-AC191</f>
        <v>0</v>
      </c>
      <c r="BA213" s="4"/>
      <c r="BL213" s="4"/>
    </row>
    <row r="214" spans="2:64">
      <c r="B214" t="str">
        <f>'Tech Parameters'!C25</f>
        <v>Pumped Storage</v>
      </c>
      <c r="C214" t="str">
        <f>'Tech Parameters'!B25</f>
        <v>Pumped storage</v>
      </c>
      <c r="D214">
        <f>SUMIF('Tech Parameters'!$B$273:$B$298,$B192,'Tech Parameters'!H$273:H$298)*'Tech Parameters'!$H25*'Alt scen Calcs'!D27*8760-D192</f>
        <v>0</v>
      </c>
      <c r="E214">
        <f>SUMIF('Tech Parameters'!$B$273:$B$298,$B192,'Tech Parameters'!I$273:I$298)*'Tech Parameters'!$H25*'Alt scen Calcs'!E27*8760-E192</f>
        <v>0</v>
      </c>
      <c r="F214">
        <f>SUMIF('Tech Parameters'!$B$273:$B$298,$B192,'Tech Parameters'!J$273:J$298)*'Tech Parameters'!$H25*'Alt scen Calcs'!F27*8760-F192</f>
        <v>0</v>
      </c>
      <c r="G214">
        <f>SUMIF('Tech Parameters'!$B$273:$B$298,$B192,'Tech Parameters'!K$273:K$298)*'Tech Parameters'!$H25*'Alt scen Calcs'!G27*8760-G192</f>
        <v>0</v>
      </c>
      <c r="H214">
        <f>SUMIF('Tech Parameters'!$B$273:$B$298,$B192,'Tech Parameters'!L$273:L$298)*'Tech Parameters'!$H25*'Alt scen Calcs'!H27*8760-H192</f>
        <v>0</v>
      </c>
      <c r="I214">
        <f ca="1">SUMIF('Tech Parameters'!$B$273:$B$298,$B192,'Tech Parameters'!M$273:M$298)*'Tech Parameters'!$H25*'Alt scen Calcs'!I27*8760-I192</f>
        <v>0</v>
      </c>
      <c r="J214">
        <f ca="1">SUMIF('Tech Parameters'!$B$273:$B$298,$B192,'Tech Parameters'!N$273:N$298)*'Tech Parameters'!$H25*'Alt scen Calcs'!J27*8760-J192</f>
        <v>0</v>
      </c>
      <c r="K214">
        <f ca="1">SUMIF('Tech Parameters'!$B$273:$B$298,$B192,'Tech Parameters'!O$273:O$298)*'Tech Parameters'!$H25*'Alt scen Calcs'!K27*8760-K192</f>
        <v>0</v>
      </c>
      <c r="L214">
        <f ca="1">SUMIF('Tech Parameters'!$B$273:$B$298,$B192,'Tech Parameters'!P$273:P$298)*'Tech Parameters'!$H25*'Alt scen Calcs'!L27*8760-L192</f>
        <v>0</v>
      </c>
      <c r="M214">
        <f ca="1">SUMIF('Tech Parameters'!$B$273:$B$298,$B192,'Tech Parameters'!Q$273:Q$298)*'Tech Parameters'!$H25*'Alt scen Calcs'!M27*8760-M192</f>
        <v>0</v>
      </c>
      <c r="N214">
        <f ca="1">SUMIF('Tech Parameters'!$B$273:$B$298,$B192,'Tech Parameters'!R$273:R$298)*'Tech Parameters'!$H25*'Alt scen Calcs'!N27*8760-N192</f>
        <v>0</v>
      </c>
      <c r="O214">
        <f ca="1">SUMIF('Tech Parameters'!$B$273:$B$298,$B192,'Tech Parameters'!S$273:S$298)*'Tech Parameters'!$H25*'Alt scen Calcs'!O27*8760-O192</f>
        <v>0</v>
      </c>
      <c r="P214">
        <f ca="1">SUMIF('Tech Parameters'!$B$273:$B$298,$B192,'Tech Parameters'!T$273:T$298)*'Tech Parameters'!$H25*'Alt scen Calcs'!P27*8760-P192</f>
        <v>0</v>
      </c>
      <c r="Q214">
        <f ca="1">SUMIF('Tech Parameters'!$B$273:$B$298,$B192,'Tech Parameters'!U$273:U$298)*'Tech Parameters'!$H25*'Alt scen Calcs'!Q27*8760-Q192</f>
        <v>0</v>
      </c>
      <c r="R214">
        <f ca="1">SUMIF('Tech Parameters'!$B$273:$B$298,$B192,'Tech Parameters'!V$273:V$298)*'Tech Parameters'!$H25*'Alt scen Calcs'!R27*8760-R192</f>
        <v>0</v>
      </c>
      <c r="S214">
        <f ca="1">SUMIF('Tech Parameters'!$B$273:$B$298,$B192,'Tech Parameters'!W$273:W$298)*'Tech Parameters'!$H25*'Alt scen Calcs'!S27*8760-S192</f>
        <v>0</v>
      </c>
      <c r="T214">
        <f ca="1">SUMIF('Tech Parameters'!$B$273:$B$298,$B192,'Tech Parameters'!X$273:X$298)*'Tech Parameters'!$H25*'Alt scen Calcs'!T27*8760-T192</f>
        <v>0</v>
      </c>
      <c r="U214">
        <f ca="1">SUMIF('Tech Parameters'!$B$273:$B$298,$B192,'Tech Parameters'!Y$273:Y$298)*'Tech Parameters'!$H25*'Alt scen Calcs'!U27*8760-U192</f>
        <v>0</v>
      </c>
      <c r="V214">
        <f ca="1">SUMIF('Tech Parameters'!$B$273:$B$298,$B192,'Tech Parameters'!Z$273:Z$298)*'Tech Parameters'!$H25*'Alt scen Calcs'!V27*8760-V192</f>
        <v>0</v>
      </c>
      <c r="W214">
        <f ca="1">SUMIF('Tech Parameters'!$B$273:$B$298,$B192,'Tech Parameters'!AA$273:AA$298)*'Tech Parameters'!$H25*'Alt scen Calcs'!W27*8760-W192</f>
        <v>0</v>
      </c>
      <c r="X214">
        <f ca="1">SUMIF('Tech Parameters'!$B$273:$B$298,$B192,'Tech Parameters'!AB$273:AB$298)*'Tech Parameters'!$H25*'Alt scen Calcs'!X27*8760-X192</f>
        <v>0</v>
      </c>
      <c r="Y214">
        <f ca="1">SUMIF('Tech Parameters'!$B$273:$B$298,$B192,'Tech Parameters'!AC$273:AC$298)*'Tech Parameters'!$H25*'Alt scen Calcs'!Y27*8760-Y192</f>
        <v>0</v>
      </c>
      <c r="Z214">
        <f ca="1">SUMIF('Tech Parameters'!$B$273:$B$298,$B192,'Tech Parameters'!AD$273:AD$298)*'Tech Parameters'!$H25*'Alt scen Calcs'!Z27*8760-Z192</f>
        <v>0</v>
      </c>
      <c r="AA214">
        <f ca="1">SUMIF('Tech Parameters'!$B$273:$B$298,$B192,'Tech Parameters'!AE$273:AE$298)*'Tech Parameters'!$H25*'Alt scen Calcs'!AA27*8760-AA192</f>
        <v>0</v>
      </c>
      <c r="AB214">
        <f ca="1">SUMIF('Tech Parameters'!$B$273:$B$298,$B192,'Tech Parameters'!AF$273:AF$298)*'Tech Parameters'!$H25*'Alt scen Calcs'!AB27*8760-AB192</f>
        <v>0</v>
      </c>
      <c r="AC214">
        <f ca="1">SUMIF('Tech Parameters'!$B$273:$B$298,$B192,'Tech Parameters'!AG$273:AG$298)*'Tech Parameters'!$H25*'Alt scen Calcs'!AC27*8760-AC192</f>
        <v>0</v>
      </c>
      <c r="BA214" s="4"/>
      <c r="BL214" s="4"/>
    </row>
    <row r="215" spans="2:64">
      <c r="E215" s="26"/>
      <c r="F215" s="26"/>
      <c r="G215" s="26"/>
      <c r="H215" s="26"/>
      <c r="I215" s="26"/>
      <c r="J215" s="26"/>
      <c r="K215" s="26"/>
      <c r="L215" s="26"/>
      <c r="BA215" s="4"/>
      <c r="BL215" s="4"/>
    </row>
    <row r="216" spans="2:64">
      <c r="C216" s="4" t="s">
        <v>233</v>
      </c>
      <c r="E216" s="26"/>
      <c r="F216" s="26"/>
      <c r="G216" s="26"/>
      <c r="H216" s="26"/>
      <c r="I216" s="26"/>
      <c r="J216" s="26"/>
      <c r="K216" s="26"/>
      <c r="L216" s="26"/>
      <c r="BA216" s="4"/>
      <c r="BL216" s="4"/>
    </row>
    <row r="217" spans="2:64">
      <c r="C217">
        <v>1</v>
      </c>
      <c r="D217" s="37">
        <f>SUMIF('Tech Parameters'!H$220:H$239,$C217,D$173:D$192)</f>
        <v>3096.0000000000005</v>
      </c>
      <c r="E217" s="37">
        <f>SUMIF('Tech Parameters'!I$220:I$239,$C217,E$173:E$192)</f>
        <v>3096.0000000000005</v>
      </c>
      <c r="F217" s="37">
        <f>SUMIF('Tech Parameters'!J$220:J$239,$C217,F$173:F$192)</f>
        <v>3096.0000000000005</v>
      </c>
      <c r="G217" s="37">
        <f>SUMIF('Tech Parameters'!K$220:K$239,$C217,G$173:G$192)</f>
        <v>3096.0000000000005</v>
      </c>
      <c r="H217" s="37">
        <f>SUMIF('Tech Parameters'!L$220:L$239,$C217,H$173:H$192)</f>
        <v>3096.0000000000005</v>
      </c>
      <c r="I217" s="37">
        <f ca="1">SUMIF('Tech Parameters'!M$220:M$239,$C217,I$173:I$192)</f>
        <v>3096.0000000000005</v>
      </c>
      <c r="J217" s="37">
        <f ca="1">SUMIF('Tech Parameters'!N$220:N$239,$C217,J$173:J$192)</f>
        <v>3096.0000000000005</v>
      </c>
      <c r="K217" s="37">
        <f ca="1">SUMIF('Tech Parameters'!O$220:O$239,$C217,K$173:K$192)</f>
        <v>3096.0000000000005</v>
      </c>
      <c r="L217" s="37">
        <f ca="1">SUMIF('Tech Parameters'!P$220:P$239,$C217,L$173:L$192)</f>
        <v>4401.0227848101276</v>
      </c>
      <c r="M217" s="37">
        <f ca="1">SUMIF('Tech Parameters'!Q$220:Q$239,$C217,M$173:M$192)</f>
        <v>5706.0455696202544</v>
      </c>
      <c r="N217" s="37">
        <f ca="1">SUMIF('Tech Parameters'!R$220:R$239,$C217,N$173:N$192)</f>
        <v>7011.0683544303811</v>
      </c>
      <c r="O217" s="37">
        <f ca="1">SUMIF('Tech Parameters'!S$220:S$239,$C217,O$173:O$192)</f>
        <v>8316.0911392405087</v>
      </c>
      <c r="P217" s="37">
        <f ca="1">SUMIF('Tech Parameters'!T$220:T$239,$C217,P$173:P$192)</f>
        <v>8316.0911392405087</v>
      </c>
      <c r="Q217" s="37">
        <f ca="1">SUMIF('Tech Parameters'!U$220:U$239,$C217,Q$173:Q$192)</f>
        <v>8316.0911392405087</v>
      </c>
      <c r="R217" s="37">
        <f ca="1">SUMIF('Tech Parameters'!V$220:V$239,$C217,R$173:R$192)</f>
        <v>8316.0911392405087</v>
      </c>
      <c r="S217" s="37">
        <f ca="1">SUMIF('Tech Parameters'!W$220:W$239,$C217,S$173:S$192)</f>
        <v>8316.0911392405087</v>
      </c>
      <c r="T217" s="37">
        <f ca="1">SUMIF('Tech Parameters'!X$220:X$239,$C217,T$173:T$192)</f>
        <v>8316.0911392405087</v>
      </c>
      <c r="U217" s="37">
        <f ca="1">SUMIF('Tech Parameters'!Y$220:Y$239,$C217,U$173:U$192)</f>
        <v>8316.0911392405087</v>
      </c>
      <c r="V217" s="37">
        <f ca="1">SUMIF('Tech Parameters'!Z$220:Z$239,$C217,V$173:V$192)</f>
        <v>8316.0911392405087</v>
      </c>
      <c r="W217" s="37">
        <f ca="1">SUMIF('Tech Parameters'!AA$220:AA$239,$C217,W$173:W$192)</f>
        <v>8316.0911392405087</v>
      </c>
      <c r="X217" s="37">
        <f ca="1">SUMIF('Tech Parameters'!AB$220:AB$239,$C217,X$173:X$192)</f>
        <v>8316.0911392405087</v>
      </c>
      <c r="Y217" s="37">
        <f ca="1">SUMIF('Tech Parameters'!AC$220:AC$239,$C217,Y$173:Y$192)</f>
        <v>8316.0911392405087</v>
      </c>
      <c r="Z217" s="37">
        <f ca="1">SUMIF('Tech Parameters'!AD$220:AD$239,$C217,Z$173:Z$192)</f>
        <v>8316.0911392405087</v>
      </c>
      <c r="AA217" s="37">
        <f ca="1">SUMIF('Tech Parameters'!AE$220:AE$239,$C217,AA$173:AA$192)</f>
        <v>8316.0911392405087</v>
      </c>
      <c r="AB217" s="37">
        <f ca="1">SUMIF('Tech Parameters'!AF$220:AF$239,$C217,AB$173:AB$192)</f>
        <v>8316.0911392405087</v>
      </c>
      <c r="AC217" s="37">
        <f ca="1">SUMIF('Tech Parameters'!AG$220:AG$239,$C217,AC$173:AC$192)</f>
        <v>8316.0911392405087</v>
      </c>
      <c r="BA217" s="4"/>
      <c r="BL217" s="4"/>
    </row>
    <row r="218" spans="2:64">
      <c r="C218">
        <v>2</v>
      </c>
      <c r="D218" s="37">
        <f>SUMIF('Tech Parameters'!H$220:H$239,$C218,D$173:D$192)</f>
        <v>0</v>
      </c>
      <c r="E218" s="37">
        <f>SUMIF('Tech Parameters'!I$220:I$239,$C218,E$173:E$192)</f>
        <v>0</v>
      </c>
      <c r="F218" s="37">
        <f>SUMIF('Tech Parameters'!J$220:J$239,$C218,F$173:F$192)</f>
        <v>0</v>
      </c>
      <c r="G218" s="37">
        <f>SUMIF('Tech Parameters'!K$220:K$239,$C218,G$173:G$192)</f>
        <v>0</v>
      </c>
      <c r="H218" s="37">
        <f>SUMIF('Tech Parameters'!L$220:L$239,$C218,H$173:H$192)</f>
        <v>0</v>
      </c>
      <c r="I218" s="37">
        <f ca="1">SUMIF('Tech Parameters'!M$220:M$239,$C218,I$173:I$192)</f>
        <v>0</v>
      </c>
      <c r="J218" s="37">
        <f ca="1">SUMIF('Tech Parameters'!N$220:N$239,$C218,J$173:J$192)</f>
        <v>0</v>
      </c>
      <c r="K218" s="37">
        <f ca="1">SUMIF('Tech Parameters'!O$220:O$239,$C218,K$173:K$192)</f>
        <v>0</v>
      </c>
      <c r="L218" s="37">
        <f ca="1">SUMIF('Tech Parameters'!P$220:P$239,$C218,L$173:L$192)</f>
        <v>0</v>
      </c>
      <c r="M218" s="37">
        <f ca="1">SUMIF('Tech Parameters'!Q$220:Q$239,$C218,M$173:M$192)</f>
        <v>0</v>
      </c>
      <c r="N218" s="37">
        <f ca="1">SUMIF('Tech Parameters'!R$220:R$239,$C218,N$173:N$192)</f>
        <v>0</v>
      </c>
      <c r="O218" s="37">
        <f ca="1">SUMIF('Tech Parameters'!S$220:S$239,$C218,O$173:O$192)</f>
        <v>0</v>
      </c>
      <c r="P218" s="37">
        <f ca="1">SUMIF('Tech Parameters'!T$220:T$239,$C218,P$173:P$192)</f>
        <v>0</v>
      </c>
      <c r="Q218" s="37">
        <f ca="1">SUMIF('Tech Parameters'!U$220:U$239,$C218,Q$173:Q$192)</f>
        <v>0</v>
      </c>
      <c r="R218" s="37">
        <f ca="1">SUMIF('Tech Parameters'!V$220:V$239,$C218,R$173:R$192)</f>
        <v>0</v>
      </c>
      <c r="S218" s="37">
        <f ca="1">SUMIF('Tech Parameters'!W$220:W$239,$C218,S$173:S$192)</f>
        <v>0</v>
      </c>
      <c r="T218" s="37">
        <f ca="1">SUMIF('Tech Parameters'!X$220:X$239,$C218,T$173:T$192)</f>
        <v>0</v>
      </c>
      <c r="U218" s="37">
        <f ca="1">SUMIF('Tech Parameters'!Y$220:Y$239,$C218,U$173:U$192)</f>
        <v>0</v>
      </c>
      <c r="V218" s="37">
        <f ca="1">SUMIF('Tech Parameters'!Z$220:Z$239,$C218,V$173:V$192)</f>
        <v>0</v>
      </c>
      <c r="W218" s="37">
        <f ca="1">SUMIF('Tech Parameters'!AA$220:AA$239,$C218,W$173:W$192)</f>
        <v>0</v>
      </c>
      <c r="X218" s="37">
        <f ca="1">SUMIF('Tech Parameters'!AB$220:AB$239,$C218,X$173:X$192)</f>
        <v>0</v>
      </c>
      <c r="Y218" s="37">
        <f ca="1">SUMIF('Tech Parameters'!AC$220:AC$239,$C218,Y$173:Y$192)</f>
        <v>0</v>
      </c>
      <c r="Z218" s="37">
        <f ca="1">SUMIF('Tech Parameters'!AD$220:AD$239,$C218,Z$173:Z$192)</f>
        <v>0</v>
      </c>
      <c r="AA218" s="37">
        <f ca="1">SUMIF('Tech Parameters'!AE$220:AE$239,$C218,AA$173:AA$192)</f>
        <v>0</v>
      </c>
      <c r="AB218" s="37">
        <f ca="1">SUMIF('Tech Parameters'!AF$220:AF$239,$C218,AB$173:AB$192)</f>
        <v>0</v>
      </c>
      <c r="AC218" s="37">
        <f ca="1">SUMIF('Tech Parameters'!AG$220:AG$239,$C218,AC$173:AC$192)</f>
        <v>0</v>
      </c>
      <c r="BA218" s="4"/>
      <c r="BL218" s="4"/>
    </row>
    <row r="219" spans="2:64">
      <c r="C219">
        <v>3</v>
      </c>
      <c r="D219" s="37">
        <f>SUMIF('Tech Parameters'!H$220:H$239,$C219,D$173:D$192)</f>
        <v>0</v>
      </c>
      <c r="E219" s="37">
        <f>SUMIF('Tech Parameters'!I$220:I$239,$C219,E$173:E$192)</f>
        <v>0</v>
      </c>
      <c r="F219" s="37">
        <f>SUMIF('Tech Parameters'!J$220:J$239,$C219,F$173:F$192)</f>
        <v>0</v>
      </c>
      <c r="G219" s="37">
        <f>SUMIF('Tech Parameters'!K$220:K$239,$C219,G$173:G$192)</f>
        <v>0</v>
      </c>
      <c r="H219" s="37">
        <f>SUMIF('Tech Parameters'!L$220:L$239,$C219,H$173:H$192)</f>
        <v>0</v>
      </c>
      <c r="I219" s="37">
        <f ca="1">SUMIF('Tech Parameters'!M$220:M$239,$C219,I$173:I$192)</f>
        <v>0</v>
      </c>
      <c r="J219" s="37">
        <f ca="1">SUMIF('Tech Parameters'!N$220:N$239,$C219,J$173:J$192)</f>
        <v>0</v>
      </c>
      <c r="K219" s="37">
        <f ca="1">SUMIF('Tech Parameters'!O$220:O$239,$C219,K$173:K$192)</f>
        <v>0</v>
      </c>
      <c r="L219" s="37">
        <f ca="1">SUMIF('Tech Parameters'!P$220:P$239,$C219,L$173:L$192)</f>
        <v>0</v>
      </c>
      <c r="M219" s="37">
        <f ca="1">SUMIF('Tech Parameters'!Q$220:Q$239,$C219,M$173:M$192)</f>
        <v>0</v>
      </c>
      <c r="N219" s="37">
        <f ca="1">SUMIF('Tech Parameters'!R$220:R$239,$C219,N$173:N$192)</f>
        <v>0</v>
      </c>
      <c r="O219" s="37">
        <f ca="1">SUMIF('Tech Parameters'!S$220:S$239,$C219,O$173:O$192)</f>
        <v>0</v>
      </c>
      <c r="P219" s="37">
        <f ca="1">SUMIF('Tech Parameters'!T$220:T$239,$C219,P$173:P$192)</f>
        <v>0</v>
      </c>
      <c r="Q219" s="37">
        <f ca="1">SUMIF('Tech Parameters'!U$220:U$239,$C219,Q$173:Q$192)</f>
        <v>0</v>
      </c>
      <c r="R219" s="37">
        <f ca="1">SUMIF('Tech Parameters'!V$220:V$239,$C219,R$173:R$192)</f>
        <v>0</v>
      </c>
      <c r="S219" s="37">
        <f ca="1">SUMIF('Tech Parameters'!W$220:W$239,$C219,S$173:S$192)</f>
        <v>0</v>
      </c>
      <c r="T219" s="37">
        <f ca="1">SUMIF('Tech Parameters'!X$220:X$239,$C219,T$173:T$192)</f>
        <v>0</v>
      </c>
      <c r="U219" s="37">
        <f ca="1">SUMIF('Tech Parameters'!Y$220:Y$239,$C219,U$173:U$192)</f>
        <v>0</v>
      </c>
      <c r="V219" s="37">
        <f ca="1">SUMIF('Tech Parameters'!Z$220:Z$239,$C219,V$173:V$192)</f>
        <v>0</v>
      </c>
      <c r="W219" s="37">
        <f ca="1">SUMIF('Tech Parameters'!AA$220:AA$239,$C219,W$173:W$192)</f>
        <v>0</v>
      </c>
      <c r="X219" s="37">
        <f ca="1">SUMIF('Tech Parameters'!AB$220:AB$239,$C219,X$173:X$192)</f>
        <v>0</v>
      </c>
      <c r="Y219" s="37">
        <f ca="1">SUMIF('Tech Parameters'!AC$220:AC$239,$C219,Y$173:Y$192)</f>
        <v>0</v>
      </c>
      <c r="Z219" s="37">
        <f ca="1">SUMIF('Tech Parameters'!AD$220:AD$239,$C219,Z$173:Z$192)</f>
        <v>0</v>
      </c>
      <c r="AA219" s="37">
        <f ca="1">SUMIF('Tech Parameters'!AE$220:AE$239,$C219,AA$173:AA$192)</f>
        <v>0</v>
      </c>
      <c r="AB219" s="37">
        <f ca="1">SUMIF('Tech Parameters'!AF$220:AF$239,$C219,AB$173:AB$192)</f>
        <v>0</v>
      </c>
      <c r="AC219" s="37">
        <f ca="1">SUMIF('Tech Parameters'!AG$220:AG$239,$C219,AC$173:AC$192)</f>
        <v>0</v>
      </c>
      <c r="BA219" s="4"/>
      <c r="BL219" s="4"/>
    </row>
    <row r="220" spans="2:64">
      <c r="C220">
        <v>4</v>
      </c>
      <c r="D220" s="37">
        <f>SUMIF('Tech Parameters'!H$220:H$239,$C220,D$173:D$192)</f>
        <v>0</v>
      </c>
      <c r="E220" s="37">
        <f>SUMIF('Tech Parameters'!I$220:I$239,$C220,E$173:E$192)</f>
        <v>0</v>
      </c>
      <c r="F220" s="37">
        <f>SUMIF('Tech Parameters'!J$220:J$239,$C220,F$173:F$192)</f>
        <v>0</v>
      </c>
      <c r="G220" s="37">
        <f>SUMIF('Tech Parameters'!K$220:K$239,$C220,G$173:G$192)</f>
        <v>0</v>
      </c>
      <c r="H220" s="37">
        <f>SUMIF('Tech Parameters'!L$220:L$239,$C220,H$173:H$192)</f>
        <v>0</v>
      </c>
      <c r="I220" s="37">
        <f ca="1">SUMIF('Tech Parameters'!M$220:M$239,$C220,I$173:I$192)</f>
        <v>0</v>
      </c>
      <c r="J220" s="37">
        <f ca="1">SUMIF('Tech Parameters'!N$220:N$239,$C220,J$173:J$192)</f>
        <v>0</v>
      </c>
      <c r="K220" s="37">
        <f ca="1">SUMIF('Tech Parameters'!O$220:O$239,$C220,K$173:K$192)</f>
        <v>0</v>
      </c>
      <c r="L220" s="37">
        <f ca="1">SUMIF('Tech Parameters'!P$220:P$239,$C220,L$173:L$192)</f>
        <v>0</v>
      </c>
      <c r="M220" s="37">
        <f ca="1">SUMIF('Tech Parameters'!Q$220:Q$239,$C220,M$173:M$192)</f>
        <v>0</v>
      </c>
      <c r="N220" s="37">
        <f ca="1">SUMIF('Tech Parameters'!R$220:R$239,$C220,N$173:N$192)</f>
        <v>0</v>
      </c>
      <c r="O220" s="37">
        <f ca="1">SUMIF('Tech Parameters'!S$220:S$239,$C220,O$173:O$192)</f>
        <v>0</v>
      </c>
      <c r="P220" s="37">
        <f ca="1">SUMIF('Tech Parameters'!T$220:T$239,$C220,P$173:P$192)</f>
        <v>0</v>
      </c>
      <c r="Q220" s="37">
        <f ca="1">SUMIF('Tech Parameters'!U$220:U$239,$C220,Q$173:Q$192)</f>
        <v>0</v>
      </c>
      <c r="R220" s="37">
        <f ca="1">SUMIF('Tech Parameters'!V$220:V$239,$C220,R$173:R$192)</f>
        <v>0</v>
      </c>
      <c r="S220" s="37">
        <f ca="1">SUMIF('Tech Parameters'!W$220:W$239,$C220,S$173:S$192)</f>
        <v>0</v>
      </c>
      <c r="T220" s="37">
        <f ca="1">SUMIF('Tech Parameters'!X$220:X$239,$C220,T$173:T$192)</f>
        <v>0</v>
      </c>
      <c r="U220" s="37">
        <f ca="1">SUMIF('Tech Parameters'!Y$220:Y$239,$C220,U$173:U$192)</f>
        <v>0</v>
      </c>
      <c r="V220" s="37">
        <f ca="1">SUMIF('Tech Parameters'!Z$220:Z$239,$C220,V$173:V$192)</f>
        <v>0</v>
      </c>
      <c r="W220" s="37">
        <f ca="1">SUMIF('Tech Parameters'!AA$220:AA$239,$C220,W$173:W$192)</f>
        <v>0</v>
      </c>
      <c r="X220" s="37">
        <f ca="1">SUMIF('Tech Parameters'!AB$220:AB$239,$C220,X$173:X$192)</f>
        <v>0</v>
      </c>
      <c r="Y220" s="37">
        <f ca="1">SUMIF('Tech Parameters'!AC$220:AC$239,$C220,Y$173:Y$192)</f>
        <v>0</v>
      </c>
      <c r="Z220" s="37">
        <f ca="1">SUMIF('Tech Parameters'!AD$220:AD$239,$C220,Z$173:Z$192)</f>
        <v>0</v>
      </c>
      <c r="AA220" s="37">
        <f ca="1">SUMIF('Tech Parameters'!AE$220:AE$239,$C220,AA$173:AA$192)</f>
        <v>0</v>
      </c>
      <c r="AB220" s="37">
        <f ca="1">SUMIF('Tech Parameters'!AF$220:AF$239,$C220,AB$173:AB$192)</f>
        <v>0</v>
      </c>
      <c r="AC220" s="37">
        <f ca="1">SUMIF('Tech Parameters'!AG$220:AG$239,$C220,AC$173:AC$192)</f>
        <v>0</v>
      </c>
      <c r="BA220" s="4"/>
      <c r="BL220" s="4"/>
    </row>
    <row r="221" spans="2:64">
      <c r="C221">
        <v>5</v>
      </c>
      <c r="D221" s="37">
        <f>SUMIF('Tech Parameters'!H$220:H$239,$C221,D$173:D$192)</f>
        <v>0</v>
      </c>
      <c r="E221" s="37">
        <f>SUMIF('Tech Parameters'!I$220:I$239,$C221,E$173:E$192)</f>
        <v>0</v>
      </c>
      <c r="F221" s="37">
        <f>SUMIF('Tech Parameters'!J$220:J$239,$C221,F$173:F$192)</f>
        <v>0</v>
      </c>
      <c r="G221" s="37">
        <f>SUMIF('Tech Parameters'!K$220:K$239,$C221,G$173:G$192)</f>
        <v>0</v>
      </c>
      <c r="H221" s="37">
        <f>SUMIF('Tech Parameters'!L$220:L$239,$C221,H$173:H$192)</f>
        <v>0</v>
      </c>
      <c r="I221" s="37">
        <f ca="1">SUMIF('Tech Parameters'!M$220:M$239,$C221,I$173:I$192)</f>
        <v>0</v>
      </c>
      <c r="J221" s="37">
        <f ca="1">SUMIF('Tech Parameters'!N$220:N$239,$C221,J$173:J$192)</f>
        <v>0</v>
      </c>
      <c r="K221" s="37">
        <f ca="1">SUMIF('Tech Parameters'!O$220:O$239,$C221,K$173:K$192)</f>
        <v>0</v>
      </c>
      <c r="L221" s="37">
        <f ca="1">SUMIF('Tech Parameters'!P$220:P$239,$C221,L$173:L$192)</f>
        <v>0</v>
      </c>
      <c r="M221" s="37">
        <f ca="1">SUMIF('Tech Parameters'!Q$220:Q$239,$C221,M$173:M$192)</f>
        <v>0</v>
      </c>
      <c r="N221" s="37">
        <f ca="1">SUMIF('Tech Parameters'!R$220:R$239,$C221,N$173:N$192)</f>
        <v>0</v>
      </c>
      <c r="O221" s="37">
        <f ca="1">SUMIF('Tech Parameters'!S$220:S$239,$C221,O$173:O$192)</f>
        <v>0</v>
      </c>
      <c r="P221" s="37">
        <f ca="1">SUMIF('Tech Parameters'!T$220:T$239,$C221,P$173:P$192)</f>
        <v>0</v>
      </c>
      <c r="Q221" s="37">
        <f ca="1">SUMIF('Tech Parameters'!U$220:U$239,$C221,Q$173:Q$192)</f>
        <v>0</v>
      </c>
      <c r="R221" s="37">
        <f ca="1">SUMIF('Tech Parameters'!V$220:V$239,$C221,R$173:R$192)</f>
        <v>0</v>
      </c>
      <c r="S221" s="37">
        <f ca="1">SUMIF('Tech Parameters'!W$220:W$239,$C221,S$173:S$192)</f>
        <v>0</v>
      </c>
      <c r="T221" s="37">
        <f ca="1">SUMIF('Tech Parameters'!X$220:X$239,$C221,T$173:T$192)</f>
        <v>0</v>
      </c>
      <c r="U221" s="37">
        <f ca="1">SUMIF('Tech Parameters'!Y$220:Y$239,$C221,U$173:U$192)</f>
        <v>0</v>
      </c>
      <c r="V221" s="37">
        <f ca="1">SUMIF('Tech Parameters'!Z$220:Z$239,$C221,V$173:V$192)</f>
        <v>0</v>
      </c>
      <c r="W221" s="37">
        <f ca="1">SUMIF('Tech Parameters'!AA$220:AA$239,$C221,W$173:W$192)</f>
        <v>0</v>
      </c>
      <c r="X221" s="37">
        <f ca="1">SUMIF('Tech Parameters'!AB$220:AB$239,$C221,X$173:X$192)</f>
        <v>0</v>
      </c>
      <c r="Y221" s="37">
        <f ca="1">SUMIF('Tech Parameters'!AC$220:AC$239,$C221,Y$173:Y$192)</f>
        <v>0</v>
      </c>
      <c r="Z221" s="37">
        <f ca="1">SUMIF('Tech Parameters'!AD$220:AD$239,$C221,Z$173:Z$192)</f>
        <v>3599.5097647058824</v>
      </c>
      <c r="AA221" s="37">
        <f ca="1">SUMIF('Tech Parameters'!AE$220:AE$239,$C221,AA$173:AA$192)</f>
        <v>8998.7744117647071</v>
      </c>
      <c r="AB221" s="37">
        <f ca="1">SUMIF('Tech Parameters'!AF$220:AF$239,$C221,AB$173:AB$192)</f>
        <v>14398.03905882353</v>
      </c>
      <c r="AC221" s="37">
        <f ca="1">SUMIF('Tech Parameters'!AG$220:AG$239,$C221,AC$173:AC$192)</f>
        <v>14398.03905882353</v>
      </c>
      <c r="BA221" s="4"/>
      <c r="BL221" s="4"/>
    </row>
    <row r="222" spans="2:64">
      <c r="C222">
        <v>6</v>
      </c>
      <c r="D222" s="37">
        <f>SUMIF('Tech Parameters'!H$220:H$239,$C222,D$173:D$192)</f>
        <v>651.77077055999985</v>
      </c>
      <c r="E222" s="37">
        <f>SUMIF('Tech Parameters'!I$220:I$239,$C222,E$173:E$192)</f>
        <v>651.77077055999985</v>
      </c>
      <c r="F222" s="37">
        <f>SUMIF('Tech Parameters'!J$220:J$239,$C222,F$173:F$192)</f>
        <v>651.77077055999985</v>
      </c>
      <c r="G222" s="37">
        <f>SUMIF('Tech Parameters'!K$220:K$239,$C222,G$173:G$192)</f>
        <v>651.77077055999985</v>
      </c>
      <c r="H222" s="37">
        <f>SUMIF('Tech Parameters'!L$220:L$239,$C222,H$173:H$192)</f>
        <v>651.77077055999985</v>
      </c>
      <c r="I222" s="37">
        <f ca="1">SUMIF('Tech Parameters'!M$220:M$239,$C222,I$173:I$192)</f>
        <v>651.77077055999985</v>
      </c>
      <c r="J222" s="37">
        <f ca="1">SUMIF('Tech Parameters'!N$220:N$239,$C222,J$173:J$192)</f>
        <v>945.06761731199981</v>
      </c>
      <c r="K222" s="37">
        <f ca="1">SUMIF('Tech Parameters'!O$220:O$239,$C222,K$173:K$192)</f>
        <v>945.06761731199981</v>
      </c>
      <c r="L222" s="37">
        <f ca="1">SUMIF('Tech Parameters'!P$220:P$239,$C222,L$173:L$192)</f>
        <v>945.06761731199981</v>
      </c>
      <c r="M222" s="37">
        <f ca="1">SUMIF('Tech Parameters'!Q$220:Q$239,$C222,M$173:M$192)</f>
        <v>945.06761731199981</v>
      </c>
      <c r="N222" s="37">
        <f ca="1">SUMIF('Tech Parameters'!R$220:R$239,$C222,N$173:N$192)</f>
        <v>945.06761731199981</v>
      </c>
      <c r="O222" s="37">
        <f ca="1">SUMIF('Tech Parameters'!S$220:S$239,$C222,O$173:O$192)</f>
        <v>945.06761731199981</v>
      </c>
      <c r="P222" s="37">
        <f ca="1">SUMIF('Tech Parameters'!T$220:T$239,$C222,P$173:P$192)</f>
        <v>945.06761731199981</v>
      </c>
      <c r="Q222" s="37">
        <f ca="1">SUMIF('Tech Parameters'!U$220:U$239,$C222,Q$173:Q$192)</f>
        <v>945.06761731199981</v>
      </c>
      <c r="R222" s="37">
        <f ca="1">SUMIF('Tech Parameters'!V$220:V$239,$C222,R$173:R$192)</f>
        <v>945.06761731199981</v>
      </c>
      <c r="S222" s="37">
        <f ca="1">SUMIF('Tech Parameters'!W$220:W$239,$C222,S$173:S$192)</f>
        <v>945.06761731199981</v>
      </c>
      <c r="T222" s="37">
        <f ca="1">SUMIF('Tech Parameters'!X$220:X$239,$C222,T$173:T$192)</f>
        <v>945.06761731199981</v>
      </c>
      <c r="U222" s="37">
        <f ca="1">SUMIF('Tech Parameters'!Y$220:Y$239,$C222,U$173:U$192)</f>
        <v>945.06761731199981</v>
      </c>
      <c r="V222" s="37">
        <f ca="1">SUMIF('Tech Parameters'!Z$220:Z$239,$C222,V$173:V$192)</f>
        <v>945.06761731199981</v>
      </c>
      <c r="W222" s="37">
        <f ca="1">SUMIF('Tech Parameters'!AA$220:AA$239,$C222,W$173:W$192)</f>
        <v>945.06761731199981</v>
      </c>
      <c r="X222" s="37">
        <f ca="1">SUMIF('Tech Parameters'!AB$220:AB$239,$C222,X$173:X$192)</f>
        <v>945.06761731199981</v>
      </c>
      <c r="Y222" s="37">
        <f ca="1">SUMIF('Tech Parameters'!AC$220:AC$239,$C222,Y$173:Y$192)</f>
        <v>1140.59884848</v>
      </c>
      <c r="Z222" s="37">
        <f ca="1">SUMIF('Tech Parameters'!AD$220:AD$239,$C222,Z$173:Z$192)</f>
        <v>1140.59884848</v>
      </c>
      <c r="AA222" s="37">
        <f ca="1">SUMIF('Tech Parameters'!AE$220:AE$239,$C222,AA$173:AA$192)</f>
        <v>1140.59884848</v>
      </c>
      <c r="AB222" s="37">
        <f ca="1">SUMIF('Tech Parameters'!AF$220:AF$239,$C222,AB$173:AB$192)</f>
        <v>1401.3071567039999</v>
      </c>
      <c r="AC222" s="37">
        <f ca="1">SUMIF('Tech Parameters'!AG$220:AG$239,$C222,AC$173:AC$192)</f>
        <v>1615.5767975255997</v>
      </c>
      <c r="BA222" s="4"/>
      <c r="BL222" s="4"/>
    </row>
    <row r="223" spans="2:64">
      <c r="C223">
        <v>7</v>
      </c>
      <c r="D223" s="37">
        <f>SUMIF('Tech Parameters'!H$220:H$239,$C223,D$173:D$192)</f>
        <v>0</v>
      </c>
      <c r="E223" s="37">
        <f>SUMIF('Tech Parameters'!I$220:I$239,$C223,E$173:E$192)</f>
        <v>0</v>
      </c>
      <c r="F223" s="37">
        <f>SUMIF('Tech Parameters'!J$220:J$239,$C223,F$173:F$192)</f>
        <v>0</v>
      </c>
      <c r="G223" s="37">
        <f>SUMIF('Tech Parameters'!K$220:K$239,$C223,G$173:G$192)</f>
        <v>0</v>
      </c>
      <c r="H223" s="37">
        <f>SUMIF('Tech Parameters'!L$220:L$239,$C223,H$173:H$192)</f>
        <v>0</v>
      </c>
      <c r="I223" s="37">
        <f ca="1">SUMIF('Tech Parameters'!M$220:M$239,$C223,I$173:I$192)</f>
        <v>0</v>
      </c>
      <c r="J223" s="37">
        <f ca="1">SUMIF('Tech Parameters'!N$220:N$239,$C223,J$173:J$192)</f>
        <v>0</v>
      </c>
      <c r="K223" s="37">
        <f ca="1">SUMIF('Tech Parameters'!O$220:O$239,$C223,K$173:K$192)</f>
        <v>0</v>
      </c>
      <c r="L223" s="37">
        <f ca="1">SUMIF('Tech Parameters'!P$220:P$239,$C223,L$173:L$192)</f>
        <v>0</v>
      </c>
      <c r="M223" s="37">
        <f ca="1">SUMIF('Tech Parameters'!Q$220:Q$239,$C223,M$173:M$192)</f>
        <v>0</v>
      </c>
      <c r="N223" s="37">
        <f ca="1">SUMIF('Tech Parameters'!R$220:R$239,$C223,N$173:N$192)</f>
        <v>0</v>
      </c>
      <c r="O223" s="37">
        <f ca="1">SUMIF('Tech Parameters'!S$220:S$239,$C223,O$173:O$192)</f>
        <v>0</v>
      </c>
      <c r="P223" s="37">
        <f ca="1">SUMIF('Tech Parameters'!T$220:T$239,$C223,P$173:P$192)</f>
        <v>0</v>
      </c>
      <c r="Q223" s="37">
        <f ca="1">SUMIF('Tech Parameters'!U$220:U$239,$C223,Q$173:Q$192)</f>
        <v>0</v>
      </c>
      <c r="R223" s="37">
        <f ca="1">SUMIF('Tech Parameters'!V$220:V$239,$C223,R$173:R$192)</f>
        <v>0</v>
      </c>
      <c r="S223" s="37">
        <f ca="1">SUMIF('Tech Parameters'!W$220:W$239,$C223,S$173:S$192)</f>
        <v>0</v>
      </c>
      <c r="T223" s="37">
        <f ca="1">SUMIF('Tech Parameters'!X$220:X$239,$C223,T$173:T$192)</f>
        <v>0</v>
      </c>
      <c r="U223" s="37">
        <f ca="1">SUMIF('Tech Parameters'!Y$220:Y$239,$C223,U$173:U$192)</f>
        <v>0</v>
      </c>
      <c r="V223" s="37">
        <f ca="1">SUMIF('Tech Parameters'!Z$220:Z$239,$C223,V$173:V$192)</f>
        <v>0</v>
      </c>
      <c r="W223" s="37">
        <f ca="1">SUMIF('Tech Parameters'!AA$220:AA$239,$C223,W$173:W$192)</f>
        <v>0</v>
      </c>
      <c r="X223" s="37">
        <f ca="1">SUMIF('Tech Parameters'!AB$220:AB$239,$C223,X$173:X$192)</f>
        <v>0</v>
      </c>
      <c r="Y223" s="37">
        <f ca="1">SUMIF('Tech Parameters'!AC$220:AC$239,$C223,Y$173:Y$192)</f>
        <v>0</v>
      </c>
      <c r="Z223" s="37">
        <f ca="1">SUMIF('Tech Parameters'!AD$220:AD$239,$C223,Z$173:Z$192)</f>
        <v>0</v>
      </c>
      <c r="AA223" s="37">
        <f ca="1">SUMIF('Tech Parameters'!AE$220:AE$239,$C223,AA$173:AA$192)</f>
        <v>0</v>
      </c>
      <c r="AB223" s="37">
        <f ca="1">SUMIF('Tech Parameters'!AF$220:AF$239,$C223,AB$173:AB$192)</f>
        <v>0</v>
      </c>
      <c r="AC223" s="37">
        <f ca="1">SUMIF('Tech Parameters'!AG$220:AG$239,$C223,AC$173:AC$192)</f>
        <v>0</v>
      </c>
      <c r="BA223" s="4"/>
      <c r="BL223" s="4"/>
    </row>
    <row r="224" spans="2:64">
      <c r="C224">
        <v>8</v>
      </c>
      <c r="D224" s="37">
        <f>SUMIF('Tech Parameters'!H$220:H$239,$C224,D$173:D$192)</f>
        <v>13197.815999999999</v>
      </c>
      <c r="E224" s="37">
        <f>SUMIF('Tech Parameters'!I$220:I$239,$C224,E$173:E$192)</f>
        <v>13197.815999999999</v>
      </c>
      <c r="F224" s="37">
        <f>SUMIF('Tech Parameters'!J$220:J$239,$C224,F$173:F$192)</f>
        <v>13197.815999999999</v>
      </c>
      <c r="G224" s="37">
        <f>SUMIF('Tech Parameters'!K$220:K$239,$C224,G$173:G$192)</f>
        <v>13197.815999999999</v>
      </c>
      <c r="H224" s="37">
        <f>SUMIF('Tech Parameters'!L$220:L$239,$C224,H$173:H$192)</f>
        <v>13197.815999999999</v>
      </c>
      <c r="I224" s="37">
        <f ca="1">SUMIF('Tech Parameters'!M$220:M$239,$C224,I$173:I$192)</f>
        <v>13197.815999999999</v>
      </c>
      <c r="J224" s="37">
        <f ca="1">SUMIF('Tech Parameters'!N$220:N$239,$C224,J$173:J$192)</f>
        <v>13197.815999999999</v>
      </c>
      <c r="K224" s="37">
        <f ca="1">SUMIF('Tech Parameters'!O$220:O$239,$C224,K$173:K$192)</f>
        <v>13197.815999999999</v>
      </c>
      <c r="L224" s="37">
        <f ca="1">SUMIF('Tech Parameters'!P$220:P$239,$C224,L$173:L$192)</f>
        <v>13197.815999999999</v>
      </c>
      <c r="M224" s="37">
        <f ca="1">SUMIF('Tech Parameters'!Q$220:Q$239,$C224,M$173:M$192)</f>
        <v>13197.815999999999</v>
      </c>
      <c r="N224" s="37">
        <f ca="1">SUMIF('Tech Parameters'!R$220:R$239,$C224,N$173:N$192)</f>
        <v>13197.815999999999</v>
      </c>
      <c r="O224" s="37">
        <f ca="1">SUMIF('Tech Parameters'!S$220:S$239,$C224,O$173:O$192)</f>
        <v>13197.815999999999</v>
      </c>
      <c r="P224" s="37">
        <f ca="1">SUMIF('Tech Parameters'!T$220:T$239,$C224,P$173:P$192)</f>
        <v>13197.815999999999</v>
      </c>
      <c r="Q224" s="37">
        <f ca="1">SUMIF('Tech Parameters'!U$220:U$239,$C224,Q$173:Q$192)</f>
        <v>13197.815999999999</v>
      </c>
      <c r="R224" s="37">
        <f ca="1">SUMIF('Tech Parameters'!V$220:V$239,$C224,R$173:R$192)</f>
        <v>13197.815999999999</v>
      </c>
      <c r="S224" s="37">
        <f ca="1">SUMIF('Tech Parameters'!W$220:W$239,$C224,S$173:S$192)</f>
        <v>13197.815999999999</v>
      </c>
      <c r="T224" s="37">
        <f ca="1">SUMIF('Tech Parameters'!X$220:X$239,$C224,T$173:T$192)</f>
        <v>13197.815999999999</v>
      </c>
      <c r="U224" s="37">
        <f ca="1">SUMIF('Tech Parameters'!Y$220:Y$239,$C224,U$173:U$192)</f>
        <v>13197.815999999999</v>
      </c>
      <c r="V224" s="37">
        <f ca="1">SUMIF('Tech Parameters'!Z$220:Z$239,$C224,V$173:V$192)</f>
        <v>13197.815999999999</v>
      </c>
      <c r="W224" s="37">
        <f ca="1">SUMIF('Tech Parameters'!AA$220:AA$239,$C224,W$173:W$192)</f>
        <v>13197.815999999999</v>
      </c>
      <c r="X224" s="37">
        <f ca="1">SUMIF('Tech Parameters'!AB$220:AB$239,$C224,X$173:X$192)</f>
        <v>13197.815999999999</v>
      </c>
      <c r="Y224" s="37">
        <f ca="1">SUMIF('Tech Parameters'!AC$220:AC$239,$C224,Y$173:Y$192)</f>
        <v>13197.815999999999</v>
      </c>
      <c r="Z224" s="37">
        <f ca="1">SUMIF('Tech Parameters'!AD$220:AD$239,$C224,Z$173:Z$192)</f>
        <v>13197.815999999999</v>
      </c>
      <c r="AA224" s="37">
        <f ca="1">SUMIF('Tech Parameters'!AE$220:AE$239,$C224,AA$173:AA$192)</f>
        <v>13197.815999999999</v>
      </c>
      <c r="AB224" s="37">
        <f ca="1">SUMIF('Tech Parameters'!AF$220:AF$239,$C224,AB$173:AB$192)</f>
        <v>13197.815999999999</v>
      </c>
      <c r="AC224" s="37">
        <f ca="1">SUMIF('Tech Parameters'!AG$220:AG$239,$C224,AC$173:AC$192)</f>
        <v>13197.815999999999</v>
      </c>
      <c r="BA224" s="4"/>
      <c r="BL224" s="4"/>
    </row>
    <row r="225" spans="3:64">
      <c r="C225">
        <v>9</v>
      </c>
      <c r="D225" s="37">
        <f>SUMIF('Tech Parameters'!H$220:H$239,$C225,D$173:D$192)</f>
        <v>811.76619047619067</v>
      </c>
      <c r="E225" s="37">
        <f>SUMIF('Tech Parameters'!I$220:I$239,$C225,E$173:E$192)</f>
        <v>811.76619047619067</v>
      </c>
      <c r="F225" s="37">
        <f>SUMIF('Tech Parameters'!J$220:J$239,$C225,F$173:F$192)</f>
        <v>811.76619047619067</v>
      </c>
      <c r="G225" s="37">
        <f>SUMIF('Tech Parameters'!K$220:K$239,$C225,G$173:G$192)</f>
        <v>811.76619047619067</v>
      </c>
      <c r="H225" s="37">
        <f>SUMIF('Tech Parameters'!L$220:L$239,$C225,H$173:H$192)</f>
        <v>811.76619047619067</v>
      </c>
      <c r="I225" s="37">
        <f ca="1">SUMIF('Tech Parameters'!M$220:M$239,$C225,I$173:I$192)</f>
        <v>811.76619047619067</v>
      </c>
      <c r="J225" s="37">
        <f ca="1">SUMIF('Tech Parameters'!N$220:N$239,$C225,J$173:J$192)</f>
        <v>811.76619047619067</v>
      </c>
      <c r="K225" s="37">
        <f ca="1">SUMIF('Tech Parameters'!O$220:O$239,$C225,K$173:K$192)</f>
        <v>811.76619047619067</v>
      </c>
      <c r="L225" s="37">
        <f ca="1">SUMIF('Tech Parameters'!P$220:P$239,$C225,L$173:L$192)</f>
        <v>811.76619047619067</v>
      </c>
      <c r="M225" s="37">
        <f ca="1">SUMIF('Tech Parameters'!Q$220:Q$239,$C225,M$173:M$192)</f>
        <v>811.76619047619067</v>
      </c>
      <c r="N225" s="37">
        <f ca="1">SUMIF('Tech Parameters'!R$220:R$239,$C225,N$173:N$192)</f>
        <v>811.76619047619067</v>
      </c>
      <c r="O225" s="37">
        <f ca="1">SUMIF('Tech Parameters'!S$220:S$239,$C225,O$173:O$192)</f>
        <v>811.76619047619067</v>
      </c>
      <c r="P225" s="37">
        <f ca="1">SUMIF('Tech Parameters'!T$220:T$239,$C225,P$173:P$192)</f>
        <v>811.76619047619067</v>
      </c>
      <c r="Q225" s="37">
        <f ca="1">SUMIF('Tech Parameters'!U$220:U$239,$C225,Q$173:Q$192)</f>
        <v>811.76619047619067</v>
      </c>
      <c r="R225" s="37">
        <f ca="1">SUMIF('Tech Parameters'!V$220:V$239,$C225,R$173:R$192)</f>
        <v>811.76619047619067</v>
      </c>
      <c r="S225" s="37">
        <f ca="1">SUMIF('Tech Parameters'!W$220:W$239,$C225,S$173:S$192)</f>
        <v>811.76619047619067</v>
      </c>
      <c r="T225" s="37">
        <f ca="1">SUMIF('Tech Parameters'!X$220:X$239,$C225,T$173:T$192)</f>
        <v>811.76619047619067</v>
      </c>
      <c r="U225" s="37">
        <f ca="1">SUMIF('Tech Parameters'!Y$220:Y$239,$C225,U$173:U$192)</f>
        <v>811.76619047619067</v>
      </c>
      <c r="V225" s="37">
        <f ca="1">SUMIF('Tech Parameters'!Z$220:Z$239,$C225,V$173:V$192)</f>
        <v>811.76619047619067</v>
      </c>
      <c r="W225" s="37">
        <f ca="1">SUMIF('Tech Parameters'!AA$220:AA$239,$C225,W$173:W$192)</f>
        <v>811.76619047619067</v>
      </c>
      <c r="X225" s="37">
        <f ca="1">SUMIF('Tech Parameters'!AB$220:AB$239,$C225,X$173:X$192)</f>
        <v>811.76619047619067</v>
      </c>
      <c r="Y225" s="37">
        <f ca="1">SUMIF('Tech Parameters'!AC$220:AC$239,$C225,Y$173:Y$192)</f>
        <v>811.76619047619067</v>
      </c>
      <c r="Z225" s="37">
        <f ca="1">SUMIF('Tech Parameters'!AD$220:AD$239,$C225,Z$173:Z$192)</f>
        <v>811.76619047619067</v>
      </c>
      <c r="AA225" s="37">
        <f ca="1">SUMIF('Tech Parameters'!AE$220:AE$239,$C225,AA$173:AA$192)</f>
        <v>811.76619047619067</v>
      </c>
      <c r="AB225" s="37">
        <f ca="1">SUMIF('Tech Parameters'!AF$220:AF$239,$C225,AB$173:AB$192)</f>
        <v>811.76619047619067</v>
      </c>
      <c r="AC225" s="37">
        <f ca="1">SUMIF('Tech Parameters'!AG$220:AG$239,$C225,AC$173:AC$192)</f>
        <v>811.76619047619067</v>
      </c>
      <c r="BA225" s="4"/>
      <c r="BL225" s="4"/>
    </row>
    <row r="226" spans="3:64">
      <c r="C226">
        <v>10</v>
      </c>
      <c r="D226" s="37">
        <f>SUMIF('Tech Parameters'!H$220:H$239,$C226,D$173:D$192)</f>
        <v>0</v>
      </c>
      <c r="E226" s="37">
        <f>SUMIF('Tech Parameters'!I$220:I$239,$C226,E$173:E$192)</f>
        <v>0</v>
      </c>
      <c r="F226" s="37">
        <f>SUMIF('Tech Parameters'!J$220:J$239,$C226,F$173:F$192)</f>
        <v>0</v>
      </c>
      <c r="G226" s="37">
        <f>SUMIF('Tech Parameters'!K$220:K$239,$C226,G$173:G$192)</f>
        <v>0</v>
      </c>
      <c r="H226" s="37">
        <f>SUMIF('Tech Parameters'!L$220:L$239,$C226,H$173:H$192)</f>
        <v>0</v>
      </c>
      <c r="I226" s="37">
        <f ca="1">SUMIF('Tech Parameters'!M$220:M$239,$C226,I$173:I$192)</f>
        <v>262.8</v>
      </c>
      <c r="J226" s="37">
        <f ca="1">SUMIF('Tech Parameters'!N$220:N$239,$C226,J$173:J$192)</f>
        <v>788.40000000000009</v>
      </c>
      <c r="K226" s="37">
        <f ca="1">SUMIF('Tech Parameters'!O$220:O$239,$C226,K$173:K$192)</f>
        <v>1314</v>
      </c>
      <c r="L226" s="37">
        <f ca="1">SUMIF('Tech Parameters'!P$220:P$239,$C226,L$173:L$192)</f>
        <v>2365.2000000000003</v>
      </c>
      <c r="M226" s="37">
        <f ca="1">SUMIF('Tech Parameters'!Q$220:Q$239,$C226,M$173:M$192)</f>
        <v>3416.4</v>
      </c>
      <c r="N226" s="37">
        <f ca="1">SUMIF('Tech Parameters'!R$220:R$239,$C226,N$173:N$192)</f>
        <v>5518.8</v>
      </c>
      <c r="O226" s="37">
        <f ca="1">SUMIF('Tech Parameters'!S$220:S$239,$C226,O$173:O$192)</f>
        <v>7621.2000000000007</v>
      </c>
      <c r="P226" s="37">
        <f ca="1">SUMIF('Tech Parameters'!T$220:T$239,$C226,P$173:P$192)</f>
        <v>10249.200000000001</v>
      </c>
      <c r="Q226" s="37">
        <f ca="1">SUMIF('Tech Parameters'!U$220:U$239,$C226,Q$173:Q$192)</f>
        <v>12877.199999999999</v>
      </c>
      <c r="R226" s="37">
        <f ca="1">SUMIF('Tech Parameters'!V$220:V$239,$C226,R$173:R$192)</f>
        <v>16819.2</v>
      </c>
      <c r="S226" s="37">
        <f ca="1">SUMIF('Tech Parameters'!W$220:W$239,$C226,S$173:S$192)</f>
        <v>20761.2</v>
      </c>
      <c r="T226" s="37">
        <f ca="1">SUMIF('Tech Parameters'!X$220:X$239,$C226,T$173:T$192)</f>
        <v>26017.200000000001</v>
      </c>
      <c r="U226" s="37">
        <f ca="1">SUMIF('Tech Parameters'!Y$220:Y$239,$C226,U$173:U$192)</f>
        <v>26017.200000000001</v>
      </c>
      <c r="V226" s="37">
        <f ca="1">SUMIF('Tech Parameters'!Z$220:Z$239,$C226,V$173:V$192)</f>
        <v>26017.200000000001</v>
      </c>
      <c r="W226" s="37">
        <f ca="1">SUMIF('Tech Parameters'!AA$220:AA$239,$C226,W$173:W$192)</f>
        <v>26017.200000000001</v>
      </c>
      <c r="X226" s="37">
        <f ca="1">SUMIF('Tech Parameters'!AB$220:AB$239,$C226,X$173:X$192)</f>
        <v>26017.200000000001</v>
      </c>
      <c r="Y226" s="37">
        <f ca="1">SUMIF('Tech Parameters'!AC$220:AC$239,$C226,Y$173:Y$192)</f>
        <v>26017.200000000001</v>
      </c>
      <c r="Z226" s="37">
        <f ca="1">SUMIF('Tech Parameters'!AD$220:AD$239,$C226,Z$173:Z$192)</f>
        <v>26017.200000000001</v>
      </c>
      <c r="AA226" s="37">
        <f ca="1">SUMIF('Tech Parameters'!AE$220:AE$239,$C226,AA$173:AA$192)</f>
        <v>26017.200000000001</v>
      </c>
      <c r="AB226" s="37">
        <f ca="1">SUMIF('Tech Parameters'!AF$220:AF$239,$C226,AB$173:AB$192)</f>
        <v>26017.200000000001</v>
      </c>
      <c r="AC226" s="37">
        <f ca="1">SUMIF('Tech Parameters'!AG$220:AG$239,$C226,AC$173:AC$192)</f>
        <v>25754.399999999998</v>
      </c>
      <c r="BA226" s="4"/>
      <c r="BL226" s="4"/>
    </row>
    <row r="227" spans="3:64">
      <c r="C227">
        <v>11</v>
      </c>
      <c r="D227" s="37">
        <f>SUMIF('Tech Parameters'!H$220:H$239,$C227,D$173:D$192)</f>
        <v>0</v>
      </c>
      <c r="E227" s="37">
        <f>SUMIF('Tech Parameters'!I$220:I$239,$C227,E$173:E$192)</f>
        <v>0</v>
      </c>
      <c r="F227" s="37">
        <f>SUMIF('Tech Parameters'!J$220:J$239,$C227,F$173:F$192)</f>
        <v>0</v>
      </c>
      <c r="G227" s="37">
        <f>SUMIF('Tech Parameters'!K$220:K$239,$C227,G$173:G$192)</f>
        <v>0</v>
      </c>
      <c r="H227" s="37">
        <f>SUMIF('Tech Parameters'!L$220:L$239,$C227,H$173:H$192)</f>
        <v>0</v>
      </c>
      <c r="I227" s="37">
        <f ca="1">SUMIF('Tech Parameters'!M$220:M$239,$C227,I$173:I$192)</f>
        <v>0</v>
      </c>
      <c r="J227" s="37">
        <f ca="1">SUMIF('Tech Parameters'!N$220:N$239,$C227,J$173:J$192)</f>
        <v>0</v>
      </c>
      <c r="K227" s="37">
        <f ca="1">SUMIF('Tech Parameters'!O$220:O$239,$C227,K$173:K$192)</f>
        <v>0</v>
      </c>
      <c r="L227" s="37">
        <f ca="1">SUMIF('Tech Parameters'!P$220:P$239,$C227,L$173:L$192)</f>
        <v>0</v>
      </c>
      <c r="M227" s="37">
        <f ca="1">SUMIF('Tech Parameters'!Q$220:Q$239,$C227,M$173:M$192)</f>
        <v>0</v>
      </c>
      <c r="N227" s="37">
        <f ca="1">SUMIF('Tech Parameters'!R$220:R$239,$C227,N$173:N$192)</f>
        <v>0</v>
      </c>
      <c r="O227" s="37">
        <f ca="1">SUMIF('Tech Parameters'!S$220:S$239,$C227,O$173:O$192)</f>
        <v>0</v>
      </c>
      <c r="P227" s="37">
        <f ca="1">SUMIF('Tech Parameters'!T$220:T$239,$C227,P$173:P$192)</f>
        <v>0</v>
      </c>
      <c r="Q227" s="37">
        <f ca="1">SUMIF('Tech Parameters'!U$220:U$239,$C227,Q$173:Q$192)</f>
        <v>0</v>
      </c>
      <c r="R227" s="37">
        <f ca="1">SUMIF('Tech Parameters'!V$220:V$239,$C227,R$173:R$192)</f>
        <v>0</v>
      </c>
      <c r="S227" s="37">
        <f ca="1">SUMIF('Tech Parameters'!W$220:W$239,$C227,S$173:S$192)</f>
        <v>0</v>
      </c>
      <c r="T227" s="37">
        <f ca="1">SUMIF('Tech Parameters'!X$220:X$239,$C227,T$173:T$192)</f>
        <v>0</v>
      </c>
      <c r="U227" s="37">
        <f ca="1">SUMIF('Tech Parameters'!Y$220:Y$239,$C227,U$173:U$192)</f>
        <v>2190</v>
      </c>
      <c r="V227" s="37">
        <f ca="1">SUMIF('Tech Parameters'!Z$220:Z$239,$C227,V$173:V$192)</f>
        <v>4380</v>
      </c>
      <c r="W227" s="37">
        <f ca="1">SUMIF('Tech Parameters'!AA$220:AA$239,$C227,W$173:W$192)</f>
        <v>6570</v>
      </c>
      <c r="X227" s="37">
        <f ca="1">SUMIF('Tech Parameters'!AB$220:AB$239,$C227,X$173:X$192)</f>
        <v>8760</v>
      </c>
      <c r="Y227" s="37">
        <f ca="1">SUMIF('Tech Parameters'!AC$220:AC$239,$C227,Y$173:Y$192)</f>
        <v>10950</v>
      </c>
      <c r="Z227" s="37">
        <f ca="1">SUMIF('Tech Parameters'!AD$220:AD$239,$C227,Z$173:Z$192)</f>
        <v>13140</v>
      </c>
      <c r="AA227" s="37">
        <f ca="1">SUMIF('Tech Parameters'!AE$220:AE$239,$C227,AA$173:AA$192)</f>
        <v>15330</v>
      </c>
      <c r="AB227" s="37">
        <f ca="1">SUMIF('Tech Parameters'!AF$220:AF$239,$C227,AB$173:AB$192)</f>
        <v>17520</v>
      </c>
      <c r="AC227" s="37">
        <f ca="1">SUMIF('Tech Parameters'!AG$220:AG$239,$C227,AC$173:AC$192)</f>
        <v>19710</v>
      </c>
      <c r="BA227" s="4"/>
      <c r="BL227" s="4"/>
    </row>
    <row r="228" spans="3:64">
      <c r="C228">
        <v>12</v>
      </c>
      <c r="D228" s="37">
        <f>SUMIF('Tech Parameters'!H$220:H$239,$C228,D$173:D$192)</f>
        <v>0</v>
      </c>
      <c r="E228" s="37">
        <f>SUMIF('Tech Parameters'!I$220:I$239,$C228,E$173:E$192)</f>
        <v>0</v>
      </c>
      <c r="F228" s="37">
        <f>SUMIF('Tech Parameters'!J$220:J$239,$C228,F$173:F$192)</f>
        <v>0</v>
      </c>
      <c r="G228" s="37">
        <f>SUMIF('Tech Parameters'!K$220:K$239,$C228,G$173:G$192)</f>
        <v>0</v>
      </c>
      <c r="H228" s="37">
        <f>SUMIF('Tech Parameters'!L$220:L$239,$C228,H$173:H$192)</f>
        <v>0</v>
      </c>
      <c r="I228" s="37">
        <f ca="1">SUMIF('Tech Parameters'!M$220:M$239,$C228,I$173:I$192)</f>
        <v>0</v>
      </c>
      <c r="J228" s="37">
        <f ca="1">SUMIF('Tech Parameters'!N$220:N$239,$C228,J$173:J$192)</f>
        <v>0</v>
      </c>
      <c r="K228" s="37">
        <f ca="1">SUMIF('Tech Parameters'!O$220:O$239,$C228,K$173:K$192)</f>
        <v>0</v>
      </c>
      <c r="L228" s="37">
        <f ca="1">SUMIF('Tech Parameters'!P$220:P$239,$C228,L$173:L$192)</f>
        <v>0</v>
      </c>
      <c r="M228" s="37">
        <f ca="1">SUMIF('Tech Parameters'!Q$220:Q$239,$C228,M$173:M$192)</f>
        <v>0</v>
      </c>
      <c r="N228" s="37">
        <f ca="1">SUMIF('Tech Parameters'!R$220:R$239,$C228,N$173:N$192)</f>
        <v>525.6</v>
      </c>
      <c r="O228" s="37">
        <f ca="1">SUMIF('Tech Parameters'!S$220:S$239,$C228,O$173:O$192)</f>
        <v>1576.8000000000002</v>
      </c>
      <c r="P228" s="37">
        <f ca="1">SUMIF('Tech Parameters'!T$220:T$239,$C228,P$173:P$192)</f>
        <v>3679.2000000000003</v>
      </c>
      <c r="Q228" s="37">
        <f ca="1">SUMIF('Tech Parameters'!U$220:U$239,$C228,Q$173:Q$192)</f>
        <v>7883.9999999999991</v>
      </c>
      <c r="R228" s="37">
        <f ca="1">SUMIF('Tech Parameters'!V$220:V$239,$C228,R$173:R$192)</f>
        <v>14191.2</v>
      </c>
      <c r="S228" s="37">
        <f ca="1">SUMIF('Tech Parameters'!W$220:W$239,$C228,S$173:S$192)</f>
        <v>22600.800000000003</v>
      </c>
      <c r="T228" s="37">
        <f ca="1">SUMIF('Tech Parameters'!X$220:X$239,$C228,T$173:T$192)</f>
        <v>33112.800000000003</v>
      </c>
      <c r="U228" s="37">
        <f ca="1">SUMIF('Tech Parameters'!Y$220:Y$239,$C228,U$173:U$192)</f>
        <v>43624.800000000003</v>
      </c>
      <c r="V228" s="37">
        <f ca="1">SUMIF('Tech Parameters'!Z$220:Z$239,$C228,V$173:V$192)</f>
        <v>59392.800000000003</v>
      </c>
      <c r="W228" s="37">
        <f ca="1">SUMIF('Tech Parameters'!AA$220:AA$239,$C228,W$173:W$192)</f>
        <v>75160.800000000003</v>
      </c>
      <c r="X228" s="37">
        <f ca="1">SUMIF('Tech Parameters'!AB$220:AB$239,$C228,X$173:X$192)</f>
        <v>90928.8</v>
      </c>
      <c r="Y228" s="37">
        <f ca="1">SUMIF('Tech Parameters'!AC$220:AC$239,$C228,Y$173:Y$192)</f>
        <v>106696.8</v>
      </c>
      <c r="Z228" s="37">
        <f ca="1">SUMIF('Tech Parameters'!AD$220:AD$239,$C228,Z$173:Z$192)</f>
        <v>122464.8</v>
      </c>
      <c r="AA228" s="37">
        <f ca="1">SUMIF('Tech Parameters'!AE$220:AE$239,$C228,AA$173:AA$192)</f>
        <v>138232.79999999999</v>
      </c>
      <c r="AB228" s="37">
        <f ca="1">SUMIF('Tech Parameters'!AF$220:AF$239,$C228,AB$173:AB$192)</f>
        <v>154000.79999999999</v>
      </c>
      <c r="AC228" s="37">
        <f ca="1">SUMIF('Tech Parameters'!AG$220:AG$239,$C228,AC$173:AC$192)</f>
        <v>169768.8</v>
      </c>
      <c r="BA228" s="4"/>
      <c r="BL228" s="4"/>
    </row>
    <row r="229" spans="3:64">
      <c r="C229">
        <v>13</v>
      </c>
      <c r="D229" s="37">
        <f>SUMIF('Tech Parameters'!H$220:H$239,$C229,D$173:D$192)</f>
        <v>0</v>
      </c>
      <c r="E229" s="37">
        <f>SUMIF('Tech Parameters'!I$220:I$239,$C229,E$173:E$192)</f>
        <v>0</v>
      </c>
      <c r="F229" s="37">
        <f>SUMIF('Tech Parameters'!J$220:J$239,$C229,F$173:F$192)</f>
        <v>0</v>
      </c>
      <c r="G229" s="37">
        <f>SUMIF('Tech Parameters'!K$220:K$239,$C229,G$173:G$192)</f>
        <v>0</v>
      </c>
      <c r="H229" s="37">
        <f>SUMIF('Tech Parameters'!L$220:L$239,$C229,H$173:H$192)</f>
        <v>0</v>
      </c>
      <c r="I229" s="37">
        <f ca="1">SUMIF('Tech Parameters'!M$220:M$239,$C229,I$173:I$192)</f>
        <v>0</v>
      </c>
      <c r="J229" s="37">
        <f ca="1">SUMIF('Tech Parameters'!N$220:N$239,$C229,J$173:J$192)</f>
        <v>0</v>
      </c>
      <c r="K229" s="37">
        <f ca="1">SUMIF('Tech Parameters'!O$220:O$239,$C229,K$173:K$192)</f>
        <v>0</v>
      </c>
      <c r="L229" s="37">
        <f ca="1">SUMIF('Tech Parameters'!P$220:P$239,$C229,L$173:L$192)</f>
        <v>0</v>
      </c>
      <c r="M229" s="37">
        <f ca="1">SUMIF('Tech Parameters'!Q$220:Q$239,$C229,M$173:M$192)</f>
        <v>0</v>
      </c>
      <c r="N229" s="37">
        <f ca="1">SUMIF('Tech Parameters'!R$220:R$239,$C229,N$173:N$192)</f>
        <v>0</v>
      </c>
      <c r="O229" s="37">
        <f ca="1">SUMIF('Tech Parameters'!S$220:S$239,$C229,O$173:O$192)</f>
        <v>0</v>
      </c>
      <c r="P229" s="37">
        <f ca="1">SUMIF('Tech Parameters'!T$220:T$239,$C229,P$173:P$192)</f>
        <v>0</v>
      </c>
      <c r="Q229" s="37">
        <f ca="1">SUMIF('Tech Parameters'!U$220:U$239,$C229,Q$173:Q$192)</f>
        <v>0</v>
      </c>
      <c r="R229" s="37">
        <f ca="1">SUMIF('Tech Parameters'!V$220:V$239,$C229,R$173:R$192)</f>
        <v>0</v>
      </c>
      <c r="S229" s="37">
        <f ca="1">SUMIF('Tech Parameters'!W$220:W$239,$C229,S$173:S$192)</f>
        <v>0</v>
      </c>
      <c r="T229" s="37">
        <f ca="1">SUMIF('Tech Parameters'!X$220:X$239,$C229,T$173:T$192)</f>
        <v>0</v>
      </c>
      <c r="U229" s="37">
        <f ca="1">SUMIF('Tech Parameters'!Y$220:Y$239,$C229,U$173:U$192)</f>
        <v>0</v>
      </c>
      <c r="V229" s="37">
        <f ca="1">SUMIF('Tech Parameters'!Z$220:Z$239,$C229,V$173:V$192)</f>
        <v>0</v>
      </c>
      <c r="W229" s="37">
        <f ca="1">SUMIF('Tech Parameters'!AA$220:AA$239,$C229,W$173:W$192)</f>
        <v>0</v>
      </c>
      <c r="X229" s="37">
        <f ca="1">SUMIF('Tech Parameters'!AB$220:AB$239,$C229,X$173:X$192)</f>
        <v>0</v>
      </c>
      <c r="Y229" s="37">
        <f ca="1">SUMIF('Tech Parameters'!AC$220:AC$239,$C229,Y$173:Y$192)</f>
        <v>0</v>
      </c>
      <c r="Z229" s="37">
        <f ca="1">SUMIF('Tech Parameters'!AD$220:AD$239,$C229,Z$173:Z$192)</f>
        <v>0</v>
      </c>
      <c r="AA229" s="37">
        <f ca="1">SUMIF('Tech Parameters'!AE$220:AE$239,$C229,AA$173:AA$192)</f>
        <v>0</v>
      </c>
      <c r="AB229" s="37">
        <f ca="1">SUMIF('Tech Parameters'!AF$220:AF$239,$C229,AB$173:AB$192)</f>
        <v>0</v>
      </c>
      <c r="AC229" s="37">
        <f ca="1">SUMIF('Tech Parameters'!AG$220:AG$239,$C229,AC$173:AC$192)</f>
        <v>0</v>
      </c>
      <c r="BA229" s="4"/>
      <c r="BL229" s="4"/>
    </row>
    <row r="230" spans="3:64">
      <c r="C230">
        <v>14</v>
      </c>
      <c r="D230" s="37">
        <f>SUMIF('Tech Parameters'!H$220:H$239,$C230,D$173:D$192)</f>
        <v>0</v>
      </c>
      <c r="E230" s="37">
        <f>SUMIF('Tech Parameters'!I$220:I$239,$C230,E$173:E$192)</f>
        <v>0</v>
      </c>
      <c r="F230" s="37">
        <f>SUMIF('Tech Parameters'!J$220:J$239,$C230,F$173:F$192)</f>
        <v>0</v>
      </c>
      <c r="G230" s="37">
        <f>SUMIF('Tech Parameters'!K$220:K$239,$C230,G$173:G$192)</f>
        <v>0</v>
      </c>
      <c r="H230" s="37">
        <f>SUMIF('Tech Parameters'!L$220:L$239,$C230,H$173:H$192)</f>
        <v>0</v>
      </c>
      <c r="I230" s="37">
        <f ca="1">SUMIF('Tech Parameters'!M$220:M$239,$C230,I$173:I$192)</f>
        <v>0</v>
      </c>
      <c r="J230" s="37">
        <f ca="1">SUMIF('Tech Parameters'!N$220:N$239,$C230,J$173:J$192)</f>
        <v>0</v>
      </c>
      <c r="K230" s="37">
        <f ca="1">SUMIF('Tech Parameters'!O$220:O$239,$C230,K$173:K$192)</f>
        <v>0</v>
      </c>
      <c r="L230" s="37">
        <f ca="1">SUMIF('Tech Parameters'!P$220:P$239,$C230,L$173:L$192)</f>
        <v>0</v>
      </c>
      <c r="M230" s="37">
        <f ca="1">SUMIF('Tech Parameters'!Q$220:Q$239,$C230,M$173:M$192)</f>
        <v>0</v>
      </c>
      <c r="N230" s="37">
        <f ca="1">SUMIF('Tech Parameters'!R$220:R$239,$C230,N$173:N$192)</f>
        <v>0</v>
      </c>
      <c r="O230" s="37">
        <f ca="1">SUMIF('Tech Parameters'!S$220:S$239,$C230,O$173:O$192)</f>
        <v>0</v>
      </c>
      <c r="P230" s="37">
        <f ca="1">SUMIF('Tech Parameters'!T$220:T$239,$C230,P$173:P$192)</f>
        <v>0</v>
      </c>
      <c r="Q230" s="37">
        <f ca="1">SUMIF('Tech Parameters'!U$220:U$239,$C230,Q$173:Q$192)</f>
        <v>0</v>
      </c>
      <c r="R230" s="37">
        <f ca="1">SUMIF('Tech Parameters'!V$220:V$239,$C230,R$173:R$192)</f>
        <v>0</v>
      </c>
      <c r="S230" s="37">
        <f ca="1">SUMIF('Tech Parameters'!W$220:W$239,$C230,S$173:S$192)</f>
        <v>0</v>
      </c>
      <c r="T230" s="37">
        <f ca="1">SUMIF('Tech Parameters'!X$220:X$239,$C230,T$173:T$192)</f>
        <v>0</v>
      </c>
      <c r="U230" s="37">
        <f ca="1">SUMIF('Tech Parameters'!Y$220:Y$239,$C230,U$173:U$192)</f>
        <v>0</v>
      </c>
      <c r="V230" s="37">
        <f ca="1">SUMIF('Tech Parameters'!Z$220:Z$239,$C230,V$173:V$192)</f>
        <v>0</v>
      </c>
      <c r="W230" s="37">
        <f ca="1">SUMIF('Tech Parameters'!AA$220:AA$239,$C230,W$173:W$192)</f>
        <v>0</v>
      </c>
      <c r="X230" s="37">
        <f ca="1">SUMIF('Tech Parameters'!AB$220:AB$239,$C230,X$173:X$192)</f>
        <v>0</v>
      </c>
      <c r="Y230" s="37">
        <f ca="1">SUMIF('Tech Parameters'!AC$220:AC$239,$C230,Y$173:Y$192)</f>
        <v>0</v>
      </c>
      <c r="Z230" s="37">
        <f ca="1">SUMIF('Tech Parameters'!AD$220:AD$239,$C230,Z$173:Z$192)</f>
        <v>0</v>
      </c>
      <c r="AA230" s="37">
        <f ca="1">SUMIF('Tech Parameters'!AE$220:AE$239,$C230,AA$173:AA$192)</f>
        <v>0</v>
      </c>
      <c r="AB230" s="37">
        <f ca="1">SUMIF('Tech Parameters'!AF$220:AF$239,$C230,AB$173:AB$192)</f>
        <v>0</v>
      </c>
      <c r="AC230" s="37">
        <f ca="1">SUMIF('Tech Parameters'!AG$220:AG$239,$C230,AC$173:AC$192)</f>
        <v>0</v>
      </c>
      <c r="BA230" s="4"/>
      <c r="BL230" s="4"/>
    </row>
    <row r="231" spans="3:64">
      <c r="C231">
        <v>15</v>
      </c>
      <c r="D231" s="37">
        <f>SUMIF('Tech Parameters'!H$220:H$239,$C231,D$173:D$192)</f>
        <v>524.66925000000003</v>
      </c>
      <c r="E231" s="37">
        <f>SUMIF('Tech Parameters'!I$220:I$239,$C231,E$173:E$192)</f>
        <v>524.66925000000003</v>
      </c>
      <c r="F231" s="37">
        <f>SUMIF('Tech Parameters'!J$220:J$239,$C231,F$173:F$192)</f>
        <v>524.66925000000003</v>
      </c>
      <c r="G231" s="37">
        <f>SUMIF('Tech Parameters'!K$220:K$239,$C231,G$173:G$192)</f>
        <v>524.66925000000003</v>
      </c>
      <c r="H231" s="37">
        <f>SUMIF('Tech Parameters'!L$220:L$239,$C231,H$173:H$192)</f>
        <v>524.66925000000003</v>
      </c>
      <c r="I231" s="37">
        <f ca="1">SUMIF('Tech Parameters'!M$220:M$239,$C231,I$173:I$192)</f>
        <v>524.66925000000003</v>
      </c>
      <c r="J231" s="37">
        <f ca="1">SUMIF('Tech Parameters'!N$220:N$239,$C231,J$173:J$192)</f>
        <v>524.66925000000003</v>
      </c>
      <c r="K231" s="37">
        <f ca="1">SUMIF('Tech Parameters'!O$220:O$239,$C231,K$173:K$192)</f>
        <v>524.66925000000003</v>
      </c>
      <c r="L231" s="37">
        <f ca="1">SUMIF('Tech Parameters'!P$220:P$239,$C231,L$173:L$192)</f>
        <v>524.66925000000003</v>
      </c>
      <c r="M231" s="37">
        <f ca="1">SUMIF('Tech Parameters'!Q$220:Q$239,$C231,M$173:M$192)</f>
        <v>524.66925000000003</v>
      </c>
      <c r="N231" s="37">
        <f ca="1">SUMIF('Tech Parameters'!R$220:R$239,$C231,N$173:N$192)</f>
        <v>524.66925000000003</v>
      </c>
      <c r="O231" s="37">
        <f ca="1">SUMIF('Tech Parameters'!S$220:S$239,$C231,O$173:O$192)</f>
        <v>524.66925000000003</v>
      </c>
      <c r="P231" s="37">
        <f ca="1">SUMIF('Tech Parameters'!T$220:T$239,$C231,P$173:P$192)</f>
        <v>524.66925000000003</v>
      </c>
      <c r="Q231" s="37">
        <f ca="1">SUMIF('Tech Parameters'!U$220:U$239,$C231,Q$173:Q$192)</f>
        <v>524.66925000000003</v>
      </c>
      <c r="R231" s="37">
        <f ca="1">SUMIF('Tech Parameters'!V$220:V$239,$C231,R$173:R$192)</f>
        <v>524.66925000000003</v>
      </c>
      <c r="S231" s="37">
        <f ca="1">SUMIF('Tech Parameters'!W$220:W$239,$C231,S$173:S$192)</f>
        <v>524.66925000000003</v>
      </c>
      <c r="T231" s="37">
        <f ca="1">SUMIF('Tech Parameters'!X$220:X$239,$C231,T$173:T$192)</f>
        <v>524.66925000000003</v>
      </c>
      <c r="U231" s="37">
        <f ca="1">SUMIF('Tech Parameters'!Y$220:Y$239,$C231,U$173:U$192)</f>
        <v>524.66925000000003</v>
      </c>
      <c r="V231" s="37">
        <f ca="1">SUMIF('Tech Parameters'!Z$220:Z$239,$C231,V$173:V$192)</f>
        <v>524.66925000000003</v>
      </c>
      <c r="W231" s="37">
        <f ca="1">SUMIF('Tech Parameters'!AA$220:AA$239,$C231,W$173:W$192)</f>
        <v>524.66925000000003</v>
      </c>
      <c r="X231" s="37">
        <f ca="1">SUMIF('Tech Parameters'!AB$220:AB$239,$C231,X$173:X$192)</f>
        <v>524.66925000000003</v>
      </c>
      <c r="Y231" s="37">
        <f ca="1">SUMIF('Tech Parameters'!AC$220:AC$239,$C231,Y$173:Y$192)</f>
        <v>524.66925000000003</v>
      </c>
      <c r="Z231" s="37">
        <f ca="1">SUMIF('Tech Parameters'!AD$220:AD$239,$C231,Z$173:Z$192)</f>
        <v>524.66925000000003</v>
      </c>
      <c r="AA231" s="37">
        <f ca="1">SUMIF('Tech Parameters'!AE$220:AE$239,$C231,AA$173:AA$192)</f>
        <v>524.66925000000003</v>
      </c>
      <c r="AB231" s="37">
        <f ca="1">SUMIF('Tech Parameters'!AF$220:AF$239,$C231,AB$173:AB$192)</f>
        <v>524.66925000000003</v>
      </c>
      <c r="AC231" s="37">
        <f ca="1">SUMIF('Tech Parameters'!AG$220:AG$239,$C231,AC$173:AC$192)</f>
        <v>524.66925000000003</v>
      </c>
      <c r="BA231" s="4"/>
      <c r="BL231" s="4"/>
    </row>
    <row r="232" spans="3:64">
      <c r="C232">
        <v>16</v>
      </c>
      <c r="D232" s="37">
        <f>SUMIF('Tech Parameters'!H$220:H$239,$C232,D$173:D$192)</f>
        <v>1502.1209999999999</v>
      </c>
      <c r="E232" s="37">
        <f>SUMIF('Tech Parameters'!I$220:I$239,$C232,E$173:E$192)</f>
        <v>1502.1209999999999</v>
      </c>
      <c r="F232" s="37">
        <f>SUMIF('Tech Parameters'!J$220:J$239,$C232,F$173:F$192)</f>
        <v>1502.1209999999999</v>
      </c>
      <c r="G232" s="37">
        <f>SUMIF('Tech Parameters'!K$220:K$239,$C232,G$173:G$192)</f>
        <v>1502.1209999999999</v>
      </c>
      <c r="H232" s="37">
        <f>SUMIF('Tech Parameters'!L$220:L$239,$C232,H$173:H$192)</f>
        <v>1502.1209999999999</v>
      </c>
      <c r="I232" s="37">
        <f ca="1">SUMIF('Tech Parameters'!M$220:M$239,$C232,I$173:I$192)</f>
        <v>1502.1209999999999</v>
      </c>
      <c r="J232" s="37">
        <f ca="1">SUMIF('Tech Parameters'!N$220:N$239,$C232,J$173:J$192)</f>
        <v>1502.1209999999999</v>
      </c>
      <c r="K232" s="37">
        <f ca="1">SUMIF('Tech Parameters'!O$220:O$239,$C232,K$173:K$192)</f>
        <v>1502.1209999999999</v>
      </c>
      <c r="L232" s="37">
        <f ca="1">SUMIF('Tech Parameters'!P$220:P$239,$C232,L$173:L$192)</f>
        <v>1502.1209999999999</v>
      </c>
      <c r="M232" s="37">
        <f ca="1">SUMIF('Tech Parameters'!Q$220:Q$239,$C232,M$173:M$192)</f>
        <v>1502.1209999999999</v>
      </c>
      <c r="N232" s="37">
        <f ca="1">SUMIF('Tech Parameters'!R$220:R$239,$C232,N$173:N$192)</f>
        <v>1502.1209999999999</v>
      </c>
      <c r="O232" s="37">
        <f ca="1">SUMIF('Tech Parameters'!S$220:S$239,$C232,O$173:O$192)</f>
        <v>1502.1209999999999</v>
      </c>
      <c r="P232" s="37">
        <f ca="1">SUMIF('Tech Parameters'!T$220:T$239,$C232,P$173:P$192)</f>
        <v>1502.1209999999999</v>
      </c>
      <c r="Q232" s="37">
        <f ca="1">SUMIF('Tech Parameters'!U$220:U$239,$C232,Q$173:Q$192)</f>
        <v>1502.1209999999999</v>
      </c>
      <c r="R232" s="37">
        <f ca="1">SUMIF('Tech Parameters'!V$220:V$239,$C232,R$173:R$192)</f>
        <v>1502.1209999999999</v>
      </c>
      <c r="S232" s="37">
        <f ca="1">SUMIF('Tech Parameters'!W$220:W$239,$C232,S$173:S$192)</f>
        <v>1502.1209999999999</v>
      </c>
      <c r="T232" s="37">
        <f ca="1">SUMIF('Tech Parameters'!X$220:X$239,$C232,T$173:T$192)</f>
        <v>1502.1209999999999</v>
      </c>
      <c r="U232" s="37">
        <f ca="1">SUMIF('Tech Parameters'!Y$220:Y$239,$C232,U$173:U$192)</f>
        <v>1502.1209999999999</v>
      </c>
      <c r="V232" s="37">
        <f ca="1">SUMIF('Tech Parameters'!Z$220:Z$239,$C232,V$173:V$192)</f>
        <v>1502.1209999999999</v>
      </c>
      <c r="W232" s="37">
        <f ca="1">SUMIF('Tech Parameters'!AA$220:AA$239,$C232,W$173:W$192)</f>
        <v>1502.1209999999999</v>
      </c>
      <c r="X232" s="37">
        <f ca="1">SUMIF('Tech Parameters'!AB$220:AB$239,$C232,X$173:X$192)</f>
        <v>1502.1209999999999</v>
      </c>
      <c r="Y232" s="37">
        <f ca="1">SUMIF('Tech Parameters'!AC$220:AC$239,$C232,Y$173:Y$192)</f>
        <v>1502.1209999999999</v>
      </c>
      <c r="Z232" s="37">
        <f ca="1">SUMIF('Tech Parameters'!AD$220:AD$239,$C232,Z$173:Z$192)</f>
        <v>1502.1209999999999</v>
      </c>
      <c r="AA232" s="37">
        <f ca="1">SUMIF('Tech Parameters'!AE$220:AE$239,$C232,AA$173:AA$192)</f>
        <v>1502.1209999999999</v>
      </c>
      <c r="AB232" s="37">
        <f ca="1">SUMIF('Tech Parameters'!AF$220:AF$239,$C232,AB$173:AB$192)</f>
        <v>1502.1209999999999</v>
      </c>
      <c r="AC232" s="37">
        <f ca="1">SUMIF('Tech Parameters'!AG$220:AG$239,$C232,AC$173:AC$192)</f>
        <v>1502.1209999999999</v>
      </c>
      <c r="BA232" s="4"/>
      <c r="BL232" s="4"/>
    </row>
    <row r="233" spans="3:64">
      <c r="C233">
        <v>17</v>
      </c>
      <c r="D233" s="37">
        <f>SUMIF('Tech Parameters'!H$220:H$239,$C233,D$173:D$192)</f>
        <v>69713.714846090443</v>
      </c>
      <c r="E233" s="37">
        <f>SUMIF('Tech Parameters'!I$220:I$239,$C233,E$173:E$192)</f>
        <v>69713.714846090443</v>
      </c>
      <c r="F233" s="37">
        <f>SUMIF('Tech Parameters'!J$220:J$239,$C233,F$173:F$192)</f>
        <v>69713.714846090443</v>
      </c>
      <c r="G233" s="37">
        <f>SUMIF('Tech Parameters'!K$220:K$239,$C233,G$173:G$192)</f>
        <v>69713.714846090443</v>
      </c>
      <c r="H233" s="37">
        <f>SUMIF('Tech Parameters'!L$220:L$239,$C233,H$173:H$192)</f>
        <v>69713.714846090443</v>
      </c>
      <c r="I233" s="37">
        <f ca="1">SUMIF('Tech Parameters'!M$220:M$239,$C233,I$173:I$192)</f>
        <v>69713.714846090443</v>
      </c>
      <c r="J233" s="37">
        <f ca="1">SUMIF('Tech Parameters'!N$220:N$239,$C233,J$173:J$192)</f>
        <v>69713.714846090443</v>
      </c>
      <c r="K233" s="37">
        <f ca="1">SUMIF('Tech Parameters'!O$220:O$239,$C233,K$173:K$192)</f>
        <v>69713.714846090443</v>
      </c>
      <c r="L233" s="37">
        <f ca="1">SUMIF('Tech Parameters'!P$220:P$239,$C233,L$173:L$192)</f>
        <v>69713.714846090443</v>
      </c>
      <c r="M233" s="37">
        <f ca="1">SUMIF('Tech Parameters'!Q$220:Q$239,$C233,M$173:M$192)</f>
        <v>69713.714846090443</v>
      </c>
      <c r="N233" s="37">
        <f ca="1">SUMIF('Tech Parameters'!R$220:R$239,$C233,N$173:N$192)</f>
        <v>69713.714846090443</v>
      </c>
      <c r="O233" s="37">
        <f ca="1">SUMIF('Tech Parameters'!S$220:S$239,$C233,O$173:O$192)</f>
        <v>69713.714846090443</v>
      </c>
      <c r="P233" s="37">
        <f ca="1">SUMIF('Tech Parameters'!T$220:T$239,$C233,P$173:P$192)</f>
        <v>69713.714846090443</v>
      </c>
      <c r="Q233" s="37">
        <f ca="1">SUMIF('Tech Parameters'!U$220:U$239,$C233,Q$173:Q$192)</f>
        <v>69713.714846090443</v>
      </c>
      <c r="R233" s="37">
        <f ca="1">SUMIF('Tech Parameters'!V$220:V$239,$C233,R$173:R$192)</f>
        <v>69713.714846090443</v>
      </c>
      <c r="S233" s="37">
        <f ca="1">SUMIF('Tech Parameters'!W$220:W$239,$C233,S$173:S$192)</f>
        <v>69713.714846090443</v>
      </c>
      <c r="T233" s="37">
        <f ca="1">SUMIF('Tech Parameters'!X$220:X$239,$C233,T$173:T$192)</f>
        <v>69713.714846090443</v>
      </c>
      <c r="U233" s="37">
        <f ca="1">SUMIF('Tech Parameters'!Y$220:Y$239,$C233,U$173:U$192)</f>
        <v>69713.714846090443</v>
      </c>
      <c r="V233" s="37">
        <f ca="1">SUMIF('Tech Parameters'!Z$220:Z$239,$C233,V$173:V$192)</f>
        <v>69713.714846090443</v>
      </c>
      <c r="W233" s="37">
        <f ca="1">SUMIF('Tech Parameters'!AA$220:AA$239,$C233,W$173:W$192)</f>
        <v>67105.541995690277</v>
      </c>
      <c r="X233" s="37">
        <f ca="1">SUMIF('Tech Parameters'!AB$220:AB$239,$C233,X$173:X$192)</f>
        <v>64497.369145290126</v>
      </c>
      <c r="Y233" s="37">
        <f ca="1">SUMIF('Tech Parameters'!AC$220:AC$239,$C233,Y$173:Y$192)</f>
        <v>61237.153082289929</v>
      </c>
      <c r="Z233" s="37">
        <f ca="1">SUMIF('Tech Parameters'!AD$220:AD$239,$C233,Z$173:Z$192)</f>
        <v>57976.937019289733</v>
      </c>
      <c r="AA233" s="37">
        <f ca="1">SUMIF('Tech Parameters'!AE$220:AE$239,$C233,AA$173:AA$192)</f>
        <v>54030.359679868452</v>
      </c>
      <c r="AB233" s="37">
        <f ca="1">SUMIF('Tech Parameters'!AF$220:AF$239,$C233,AB$173:AB$192)</f>
        <v>46137.205001025875</v>
      </c>
      <c r="AC233" s="37">
        <f ca="1">SUMIF('Tech Parameters'!AG$220:AG$239,$C233,AC$173:AC$192)</f>
        <v>42190.627661604587</v>
      </c>
      <c r="BA233" s="4"/>
      <c r="BL233" s="4"/>
    </row>
    <row r="234" spans="3:64">
      <c r="C234">
        <v>18</v>
      </c>
      <c r="D234" s="37">
        <f>SUMIF('Tech Parameters'!H$220:H$239,$C234,D$173:D$192)</f>
        <v>0</v>
      </c>
      <c r="E234" s="37">
        <f>SUMIF('Tech Parameters'!I$220:I$239,$C234,E$173:E$192)</f>
        <v>0</v>
      </c>
      <c r="F234" s="37">
        <f>SUMIF('Tech Parameters'!J$220:J$239,$C234,F$173:F$192)</f>
        <v>0</v>
      </c>
      <c r="G234" s="37">
        <f>SUMIF('Tech Parameters'!K$220:K$239,$C234,G$173:G$192)</f>
        <v>0</v>
      </c>
      <c r="H234" s="37">
        <f>SUMIF('Tech Parameters'!L$220:L$239,$C234,H$173:H$192)</f>
        <v>0</v>
      </c>
      <c r="I234" s="37">
        <f ca="1">SUMIF('Tech Parameters'!M$220:M$239,$C234,I$173:I$192)</f>
        <v>0</v>
      </c>
      <c r="J234" s="37">
        <f ca="1">SUMIF('Tech Parameters'!N$220:N$239,$C234,J$173:J$192)</f>
        <v>0</v>
      </c>
      <c r="K234" s="37">
        <f ca="1">SUMIF('Tech Parameters'!O$220:O$239,$C234,K$173:K$192)</f>
        <v>0</v>
      </c>
      <c r="L234" s="37">
        <f ca="1">SUMIF('Tech Parameters'!P$220:P$239,$C234,L$173:L$192)</f>
        <v>0</v>
      </c>
      <c r="M234" s="37">
        <f ca="1">SUMIF('Tech Parameters'!Q$220:Q$239,$C234,M$173:M$192)</f>
        <v>0</v>
      </c>
      <c r="N234" s="37">
        <f ca="1">SUMIF('Tech Parameters'!R$220:R$239,$C234,N$173:N$192)</f>
        <v>0</v>
      </c>
      <c r="O234" s="37">
        <f ca="1">SUMIF('Tech Parameters'!S$220:S$239,$C234,O$173:O$192)</f>
        <v>0</v>
      </c>
      <c r="P234" s="37">
        <f ca="1">SUMIF('Tech Parameters'!T$220:T$239,$C234,P$173:P$192)</f>
        <v>0</v>
      </c>
      <c r="Q234" s="37">
        <f ca="1">SUMIF('Tech Parameters'!U$220:U$239,$C234,Q$173:Q$192)</f>
        <v>0</v>
      </c>
      <c r="R234" s="37">
        <f ca="1">SUMIF('Tech Parameters'!V$220:V$239,$C234,R$173:R$192)</f>
        <v>0</v>
      </c>
      <c r="S234" s="37">
        <f ca="1">SUMIF('Tech Parameters'!W$220:W$239,$C234,S$173:S$192)</f>
        <v>0</v>
      </c>
      <c r="T234" s="37">
        <f ca="1">SUMIF('Tech Parameters'!X$220:X$239,$C234,T$173:T$192)</f>
        <v>0</v>
      </c>
      <c r="U234" s="37">
        <f ca="1">SUMIF('Tech Parameters'!Y$220:Y$239,$C234,U$173:U$192)</f>
        <v>0</v>
      </c>
      <c r="V234" s="37">
        <f ca="1">SUMIF('Tech Parameters'!Z$220:Z$239,$C234,V$173:V$192)</f>
        <v>0</v>
      </c>
      <c r="W234" s="37">
        <f ca="1">SUMIF('Tech Parameters'!AA$220:AA$239,$C234,W$173:W$192)</f>
        <v>0</v>
      </c>
      <c r="X234" s="37">
        <f ca="1">SUMIF('Tech Parameters'!AB$220:AB$239,$C234,X$173:X$192)</f>
        <v>0</v>
      </c>
      <c r="Y234" s="37">
        <f ca="1">SUMIF('Tech Parameters'!AC$220:AC$239,$C234,Y$173:Y$192)</f>
        <v>0</v>
      </c>
      <c r="Z234" s="37">
        <f ca="1">SUMIF('Tech Parameters'!AD$220:AD$239,$C234,Z$173:Z$192)</f>
        <v>0</v>
      </c>
      <c r="AA234" s="37">
        <f ca="1">SUMIF('Tech Parameters'!AE$220:AE$239,$C234,AA$173:AA$192)</f>
        <v>0</v>
      </c>
      <c r="AB234" s="37">
        <f ca="1">SUMIF('Tech Parameters'!AF$220:AF$239,$C234,AB$173:AB$192)</f>
        <v>1173.2432250000004</v>
      </c>
      <c r="AC234" s="37">
        <f ca="1">SUMIF('Tech Parameters'!AG$220:AG$239,$C234,AC$173:AC$192)</f>
        <v>2346.4864500000008</v>
      </c>
      <c r="BA234" s="4"/>
      <c r="BL234" s="4"/>
    </row>
    <row r="235" spans="3:64">
      <c r="C235">
        <v>19</v>
      </c>
      <c r="D235" s="37">
        <f>SUMIF('Tech Parameters'!H$220:H$239,$C235,D$173:D$192)</f>
        <v>11481.108051601606</v>
      </c>
      <c r="E235" s="37">
        <f>SUMIF('Tech Parameters'!I$220:I$239,$C235,E$173:E$192)</f>
        <v>11481.108051601606</v>
      </c>
      <c r="F235" s="37">
        <f>SUMIF('Tech Parameters'!J$220:J$239,$C235,F$173:F$192)</f>
        <v>0</v>
      </c>
      <c r="G235" s="37">
        <f>SUMIF('Tech Parameters'!K$220:K$239,$C235,G$173:G$192)</f>
        <v>0</v>
      </c>
      <c r="H235" s="37">
        <f>SUMIF('Tech Parameters'!L$220:L$239,$C235,H$173:H$192)</f>
        <v>0</v>
      </c>
      <c r="I235" s="37">
        <f ca="1">SUMIF('Tech Parameters'!M$220:M$239,$C235,I$173:I$192)</f>
        <v>0</v>
      </c>
      <c r="J235" s="37">
        <f ca="1">SUMIF('Tech Parameters'!N$220:N$239,$C235,J$173:J$192)</f>
        <v>0</v>
      </c>
      <c r="K235" s="37">
        <f ca="1">SUMIF('Tech Parameters'!O$220:O$239,$C235,K$173:K$192)</f>
        <v>1693.7365830000003</v>
      </c>
      <c r="L235" s="37">
        <f ca="1">SUMIF('Tech Parameters'!P$220:P$239,$C235,L$173:L$192)</f>
        <v>5081.2097490000015</v>
      </c>
      <c r="M235" s="37">
        <f ca="1">SUMIF('Tech Parameters'!Q$220:Q$239,$C235,M$173:M$192)</f>
        <v>10162.419498000003</v>
      </c>
      <c r="N235" s="37">
        <f ca="1">SUMIF('Tech Parameters'!R$220:R$239,$C235,N$173:N$192)</f>
        <v>15243.629247000003</v>
      </c>
      <c r="O235" s="37">
        <f ca="1">SUMIF('Tech Parameters'!S$220:S$239,$C235,O$173:O$192)</f>
        <v>18631.102413000004</v>
      </c>
      <c r="P235" s="37">
        <f ca="1">SUMIF('Tech Parameters'!T$220:T$239,$C235,P$173:P$192)</f>
        <v>20324.83899600001</v>
      </c>
      <c r="Q235" s="37">
        <f ca="1">SUMIF('Tech Parameters'!U$220:U$239,$C235,Q$173:Q$192)</f>
        <v>20324.83899600001</v>
      </c>
      <c r="R235" s="37">
        <f ca="1">SUMIF('Tech Parameters'!V$220:V$239,$C235,R$173:R$192)</f>
        <v>20324.83899600001</v>
      </c>
      <c r="S235" s="37">
        <f ca="1">SUMIF('Tech Parameters'!W$220:W$239,$C235,S$173:S$192)</f>
        <v>20324.83899600001</v>
      </c>
      <c r="T235" s="37">
        <f ca="1">SUMIF('Tech Parameters'!X$220:X$239,$C235,T$173:T$192)</f>
        <v>20324.83899600001</v>
      </c>
      <c r="U235" s="37">
        <f ca="1">SUMIF('Tech Parameters'!Y$220:Y$239,$C235,U$173:U$192)</f>
        <v>20324.83899600001</v>
      </c>
      <c r="V235" s="37">
        <f ca="1">SUMIF('Tech Parameters'!Z$220:Z$239,$C235,V$173:V$192)</f>
        <v>20324.83899600001</v>
      </c>
      <c r="W235" s="37">
        <f ca="1">SUMIF('Tech Parameters'!AA$220:AA$239,$C235,W$173:W$192)</f>
        <v>20324.83899600001</v>
      </c>
      <c r="X235" s="37">
        <f ca="1">SUMIF('Tech Parameters'!AB$220:AB$239,$C235,X$173:X$192)</f>
        <v>20324.83899600001</v>
      </c>
      <c r="Y235" s="37">
        <f ca="1">SUMIF('Tech Parameters'!AC$220:AC$239,$C235,Y$173:Y$192)</f>
        <v>20324.83899600001</v>
      </c>
      <c r="Z235" s="37">
        <f ca="1">SUMIF('Tech Parameters'!AD$220:AD$239,$C235,Z$173:Z$192)</f>
        <v>20324.83899600001</v>
      </c>
      <c r="AA235" s="37">
        <f ca="1">SUMIF('Tech Parameters'!AE$220:AE$239,$C235,AA$173:AA$192)</f>
        <v>20324.83899600001</v>
      </c>
      <c r="AB235" s="37">
        <f ca="1">SUMIF('Tech Parameters'!AF$220:AF$239,$C235,AB$173:AB$192)</f>
        <v>20324.83899600001</v>
      </c>
      <c r="AC235" s="37">
        <f ca="1">SUMIF('Tech Parameters'!AG$220:AG$239,$C235,AC$173:AC$192)</f>
        <v>20324.83899600001</v>
      </c>
      <c r="BA235" s="4"/>
      <c r="BL235" s="4"/>
    </row>
    <row r="236" spans="3:64">
      <c r="C236">
        <v>20</v>
      </c>
      <c r="D236" s="37">
        <f>SUMIF('Tech Parameters'!H$220:H$239,$C236,D$173:D$192)</f>
        <v>0</v>
      </c>
      <c r="E236" s="37">
        <f>SUMIF('Tech Parameters'!I$220:I$239,$C236,E$173:E$192)</f>
        <v>0</v>
      </c>
      <c r="F236" s="37">
        <f>SUMIF('Tech Parameters'!J$220:J$239,$C236,F$173:F$192)</f>
        <v>11481.108051601606</v>
      </c>
      <c r="G236" s="37">
        <f>SUMIF('Tech Parameters'!K$220:K$239,$C236,G$173:G$192)</f>
        <v>11481.108051601606</v>
      </c>
      <c r="H236" s="37">
        <f>SUMIF('Tech Parameters'!L$220:L$239,$C236,H$173:H$192)</f>
        <v>11481.108051601606</v>
      </c>
      <c r="I236" s="37">
        <f ca="1">SUMIF('Tech Parameters'!M$220:M$239,$C236,I$173:I$192)</f>
        <v>12924.051645819456</v>
      </c>
      <c r="J236" s="37">
        <f ca="1">SUMIF('Tech Parameters'!N$220:N$239,$C236,J$173:J$192)</f>
        <v>13777.564401403659</v>
      </c>
      <c r="K236" s="37">
        <f ca="1">SUMIF('Tech Parameters'!O$220:O$239,$C236,K$173:K$192)</f>
        <v>13777.564401403659</v>
      </c>
      <c r="L236" s="37">
        <f ca="1">SUMIF('Tech Parameters'!P$220:P$239,$C236,L$173:L$192)</f>
        <v>13777.564401403659</v>
      </c>
      <c r="M236" s="37">
        <f ca="1">SUMIF('Tech Parameters'!Q$220:Q$239,$C236,M$173:M$192)</f>
        <v>13777.564401403659</v>
      </c>
      <c r="N236" s="37">
        <f ca="1">SUMIF('Tech Parameters'!R$220:R$239,$C236,N$173:N$192)</f>
        <v>13777.564401403659</v>
      </c>
      <c r="O236" s="37">
        <f ca="1">SUMIF('Tech Parameters'!S$220:S$239,$C236,O$173:O$192)</f>
        <v>13698.339826318494</v>
      </c>
      <c r="P236" s="37">
        <f ca="1">SUMIF('Tech Parameters'!T$220:T$239,$C236,P$173:P$192)</f>
        <v>13619.115251233326</v>
      </c>
      <c r="Q236" s="37">
        <f ca="1">SUMIF('Tech Parameters'!U$220:U$239,$C236,Q$173:Q$192)</f>
        <v>13513.482484453105</v>
      </c>
      <c r="R236" s="37">
        <f ca="1">SUMIF('Tech Parameters'!V$220:V$239,$C236,R$173:R$192)</f>
        <v>13407.84971767288</v>
      </c>
      <c r="S236" s="37">
        <f ca="1">SUMIF('Tech Parameters'!W$220:W$239,$C236,S$173:S$192)</f>
        <v>11400.827148848637</v>
      </c>
      <c r="T236" s="37">
        <f ca="1">SUMIF('Tech Parameters'!X$220:X$239,$C236,T$173:T$192)</f>
        <v>9393.8045800243945</v>
      </c>
      <c r="U236" s="37">
        <f ca="1">SUMIF('Tech Parameters'!Y$220:Y$239,$C236,U$173:U$192)</f>
        <v>9393.8045800243945</v>
      </c>
      <c r="V236" s="37">
        <f ca="1">SUMIF('Tech Parameters'!Z$220:Z$239,$C236,V$173:V$192)</f>
        <v>9393.8045800243945</v>
      </c>
      <c r="W236" s="37">
        <f ca="1">SUMIF('Tech Parameters'!AA$220:AA$239,$C236,W$173:W$192)</f>
        <v>9393.8045800243945</v>
      </c>
      <c r="X236" s="37">
        <f ca="1">SUMIF('Tech Parameters'!AB$220:AB$239,$C236,X$173:X$192)</f>
        <v>8469.0483917339716</v>
      </c>
      <c r="Y236" s="37">
        <f ca="1">SUMIF('Tech Parameters'!AC$220:AC$239,$C236,Y$173:Y$192)</f>
        <v>7544.2922034435505</v>
      </c>
      <c r="Z236" s="37">
        <f ca="1">SUMIF('Tech Parameters'!AD$220:AD$239,$C236,Z$173:Z$192)</f>
        <v>7544.2922034435505</v>
      </c>
      <c r="AA236" s="37">
        <f ca="1">SUMIF('Tech Parameters'!AE$220:AE$239,$C236,AA$173:AA$192)</f>
        <v>7544.2922034435505</v>
      </c>
      <c r="AB236" s="37">
        <f ca="1">SUMIF('Tech Parameters'!AF$220:AF$239,$C236,AB$173:AB$192)</f>
        <v>7544.2922034435505</v>
      </c>
      <c r="AC236" s="37">
        <f ca="1">SUMIF('Tech Parameters'!AG$220:AG$239,$C236,AC$173:AC$192)</f>
        <v>7544.2922034435505</v>
      </c>
      <c r="BA236" s="4"/>
      <c r="BL236" s="4"/>
    </row>
    <row r="237" spans="3:64">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c r="AC237" s="26"/>
      <c r="BA237" s="4"/>
      <c r="BL237" s="4"/>
    </row>
    <row r="238" spans="3:64">
      <c r="C238" s="4" t="s">
        <v>234</v>
      </c>
      <c r="E238" s="26"/>
      <c r="F238" s="26"/>
      <c r="G238" s="26"/>
      <c r="H238" s="26"/>
      <c r="I238" s="26"/>
      <c r="J238" s="26"/>
      <c r="K238" s="26"/>
      <c r="L238" s="26"/>
      <c r="M238" s="26"/>
      <c r="N238" s="26"/>
      <c r="O238" s="26"/>
      <c r="P238" s="26"/>
      <c r="Q238" s="26"/>
      <c r="R238" s="26"/>
      <c r="S238" s="26"/>
      <c r="T238" s="26"/>
      <c r="U238" s="26"/>
      <c r="V238" s="26"/>
      <c r="W238" s="26"/>
      <c r="X238" s="26"/>
      <c r="Y238" s="26"/>
      <c r="Z238" s="26"/>
      <c r="AA238" s="26"/>
      <c r="AB238" s="26"/>
      <c r="AC238" s="26"/>
      <c r="BA238" s="4"/>
      <c r="BL238" s="4"/>
    </row>
    <row r="239" spans="3:64">
      <c r="C239">
        <v>1</v>
      </c>
      <c r="D239" s="37">
        <f>SUMIF('Tech Parameters'!H$170:H$189,$C239,D$195:D$214)</f>
        <v>0</v>
      </c>
      <c r="E239" s="37">
        <f>SUMIF('Tech Parameters'!I$170:I$189,$C239,E$195:E$214)</f>
        <v>0</v>
      </c>
      <c r="F239" s="37">
        <f>SUMIF('Tech Parameters'!J$170:J$189,$C239,F$195:F$214)</f>
        <v>0</v>
      </c>
      <c r="G239" s="37">
        <f>SUMIF('Tech Parameters'!K$170:K$189,$C239,G$195:G$214)</f>
        <v>0</v>
      </c>
      <c r="H239" s="37">
        <f>SUMIF('Tech Parameters'!L$170:L$189,$C239,H$195:H$214)</f>
        <v>0</v>
      </c>
      <c r="I239" s="37">
        <f ca="1">SUMIF('Tech Parameters'!M$170:M$189,$C239,I$195:I$214)</f>
        <v>0</v>
      </c>
      <c r="J239" s="37">
        <f ca="1">SUMIF('Tech Parameters'!N$170:N$189,$C239,J$195:J$214)</f>
        <v>0</v>
      </c>
      <c r="K239" s="37">
        <f ca="1">SUMIF('Tech Parameters'!O$170:O$189,$C239,K$195:K$214)</f>
        <v>0</v>
      </c>
      <c r="L239" s="37">
        <f ca="1">SUMIF('Tech Parameters'!P$170:P$189,$C239,L$195:L$214)</f>
        <v>0</v>
      </c>
      <c r="M239" s="37">
        <f ca="1">SUMIF('Tech Parameters'!Q$170:Q$189,$C239,M$195:M$214)</f>
        <v>0</v>
      </c>
      <c r="N239" s="37">
        <f ca="1">SUMIF('Tech Parameters'!R$170:R$189,$C239,N$195:N$214)</f>
        <v>0</v>
      </c>
      <c r="O239" s="37">
        <f ca="1">SUMIF('Tech Parameters'!S$170:S$189,$C239,O$195:O$214)</f>
        <v>0</v>
      </c>
      <c r="P239" s="37">
        <f ca="1">SUMIF('Tech Parameters'!T$170:T$189,$C239,P$195:P$214)</f>
        <v>0</v>
      </c>
      <c r="Q239" s="37">
        <f ca="1">SUMIF('Tech Parameters'!U$170:U$189,$C239,Q$195:Q$214)</f>
        <v>0</v>
      </c>
      <c r="R239" s="37">
        <f ca="1">SUMIF('Tech Parameters'!V$170:V$189,$C239,R$195:R$214)</f>
        <v>0</v>
      </c>
      <c r="S239" s="37">
        <f ca="1">SUMIF('Tech Parameters'!W$170:W$189,$C239,S$195:S$214)</f>
        <v>0</v>
      </c>
      <c r="T239" s="37">
        <f ca="1">SUMIF('Tech Parameters'!X$170:X$189,$C239,T$195:T$214)</f>
        <v>0</v>
      </c>
      <c r="U239" s="37">
        <f ca="1">SUMIF('Tech Parameters'!Y$170:Y$189,$C239,U$195:U$214)</f>
        <v>0</v>
      </c>
      <c r="V239" s="37">
        <f ca="1">SUMIF('Tech Parameters'!Z$170:Z$189,$C239,V$195:V$214)</f>
        <v>0</v>
      </c>
      <c r="W239" s="37">
        <f ca="1">SUMIF('Tech Parameters'!AA$170:AA$189,$C239,W$195:W$214)</f>
        <v>0</v>
      </c>
      <c r="X239" s="37">
        <f ca="1">SUMIF('Tech Parameters'!AB$170:AB$189,$C239,X$195:X$214)</f>
        <v>0</v>
      </c>
      <c r="Y239" s="37">
        <f ca="1">SUMIF('Tech Parameters'!AC$170:AC$189,$C239,Y$195:Y$214)</f>
        <v>0</v>
      </c>
      <c r="Z239" s="37">
        <f ca="1">SUMIF('Tech Parameters'!AD$170:AD$189,$C239,Z$195:Z$214)</f>
        <v>0</v>
      </c>
      <c r="AA239" s="37">
        <f ca="1">SUMIF('Tech Parameters'!AE$170:AE$189,$C239,AA$195:AA$214)</f>
        <v>0</v>
      </c>
      <c r="AB239" s="37">
        <f ca="1">SUMIF('Tech Parameters'!AF$170:AF$189,$C239,AB$195:AB$214)</f>
        <v>0</v>
      </c>
      <c r="AC239" s="37">
        <f ca="1">SUMIF('Tech Parameters'!AG$170:AG$189,$C239,AC$195:AC$214)</f>
        <v>0</v>
      </c>
      <c r="BA239" s="4"/>
      <c r="BL239" s="4"/>
    </row>
    <row r="240" spans="3:64">
      <c r="C240">
        <v>2</v>
      </c>
      <c r="D240" s="37">
        <f>SUMIF('Tech Parameters'!H$170:H$189,$C240,D$195:D$214)</f>
        <v>66.660329523809537</v>
      </c>
      <c r="E240" s="37">
        <f>SUMIF('Tech Parameters'!I$170:I$189,$C240,E$195:E$214)</f>
        <v>66.660329523809537</v>
      </c>
      <c r="F240" s="37">
        <f>SUMIF('Tech Parameters'!J$170:J$189,$C240,F$195:F$214)</f>
        <v>66.660329523809537</v>
      </c>
      <c r="G240" s="37">
        <f>SUMIF('Tech Parameters'!K$170:K$189,$C240,G$195:G$214)</f>
        <v>66.660329523809537</v>
      </c>
      <c r="H240" s="37">
        <f>SUMIF('Tech Parameters'!L$170:L$189,$C240,H$195:H$214)</f>
        <v>66.660329523809537</v>
      </c>
      <c r="I240" s="37">
        <f ca="1">SUMIF('Tech Parameters'!M$170:M$189,$C240,I$195:I$214)</f>
        <v>66.660329523809537</v>
      </c>
      <c r="J240" s="37">
        <f ca="1">SUMIF('Tech Parameters'!N$170:N$189,$C240,J$195:J$214)</f>
        <v>66.660329523809537</v>
      </c>
      <c r="K240" s="37">
        <f ca="1">SUMIF('Tech Parameters'!O$170:O$189,$C240,K$195:K$214)</f>
        <v>66.660329523809537</v>
      </c>
      <c r="L240" s="37">
        <f ca="1">SUMIF('Tech Parameters'!P$170:P$189,$C240,L$195:L$214)</f>
        <v>66.660329523809537</v>
      </c>
      <c r="M240" s="37">
        <f ca="1">SUMIF('Tech Parameters'!Q$170:Q$189,$C240,M$195:M$214)</f>
        <v>66.660329523809537</v>
      </c>
      <c r="N240" s="37">
        <f ca="1">SUMIF('Tech Parameters'!R$170:R$189,$C240,N$195:N$214)</f>
        <v>66.660329523809537</v>
      </c>
      <c r="O240" s="37">
        <f ca="1">SUMIF('Tech Parameters'!S$170:S$189,$C240,O$195:O$214)</f>
        <v>66.660329523809537</v>
      </c>
      <c r="P240" s="37">
        <f ca="1">SUMIF('Tech Parameters'!T$170:T$189,$C240,P$195:P$214)</f>
        <v>66.660329523809537</v>
      </c>
      <c r="Q240" s="37">
        <f ca="1">SUMIF('Tech Parameters'!U$170:U$189,$C240,Q$195:Q$214)</f>
        <v>66.660329523809537</v>
      </c>
      <c r="R240" s="37">
        <f ca="1">SUMIF('Tech Parameters'!V$170:V$189,$C240,R$195:R$214)</f>
        <v>66.660329523809537</v>
      </c>
      <c r="S240" s="37">
        <f ca="1">SUMIF('Tech Parameters'!W$170:W$189,$C240,S$195:S$214)</f>
        <v>66.660329523809537</v>
      </c>
      <c r="T240" s="37">
        <f ca="1">SUMIF('Tech Parameters'!X$170:X$189,$C240,T$195:T$214)</f>
        <v>66.660329523809537</v>
      </c>
      <c r="U240" s="37">
        <f ca="1">SUMIF('Tech Parameters'!Y$170:Y$189,$C240,U$195:U$214)</f>
        <v>66.660329523809537</v>
      </c>
      <c r="V240" s="37">
        <f ca="1">SUMIF('Tech Parameters'!Z$170:Z$189,$C240,V$195:V$214)</f>
        <v>66.660329523809537</v>
      </c>
      <c r="W240" s="37">
        <f ca="1">SUMIF('Tech Parameters'!AA$170:AA$189,$C240,W$195:W$214)</f>
        <v>66.660329523809537</v>
      </c>
      <c r="X240" s="37">
        <f ca="1">SUMIF('Tech Parameters'!AB$170:AB$189,$C240,X$195:X$214)</f>
        <v>66.660329523809537</v>
      </c>
      <c r="Y240" s="37">
        <f ca="1">SUMIF('Tech Parameters'!AC$170:AC$189,$C240,Y$195:Y$214)</f>
        <v>66.660329523809537</v>
      </c>
      <c r="Z240" s="37">
        <f ca="1">SUMIF('Tech Parameters'!AD$170:AD$189,$C240,Z$195:Z$214)</f>
        <v>66.660329523809537</v>
      </c>
      <c r="AA240" s="37">
        <f ca="1">SUMIF('Tech Parameters'!AE$170:AE$189,$C240,AA$195:AA$214)</f>
        <v>66.660329523809537</v>
      </c>
      <c r="AB240" s="37">
        <f ca="1">SUMIF('Tech Parameters'!AF$170:AF$189,$C240,AB$195:AB$214)</f>
        <v>66.660329523809537</v>
      </c>
      <c r="AC240" s="37">
        <f ca="1">SUMIF('Tech Parameters'!AG$170:AG$189,$C240,AC$195:AC$214)</f>
        <v>66.660329523809537</v>
      </c>
      <c r="BA240" s="4"/>
      <c r="BL240" s="4"/>
    </row>
    <row r="241" spans="3:64">
      <c r="C241">
        <v>3</v>
      </c>
      <c r="D241" s="37">
        <f>SUMIF('Tech Parameters'!H$170:H$189,$C241,D$195:D$214)</f>
        <v>0</v>
      </c>
      <c r="E241" s="37">
        <f>SUMIF('Tech Parameters'!I$170:I$189,$C241,E$195:E$214)</f>
        <v>0</v>
      </c>
      <c r="F241" s="37">
        <f>SUMIF('Tech Parameters'!J$170:J$189,$C241,F$195:F$214)</f>
        <v>0</v>
      </c>
      <c r="G241" s="37">
        <f>SUMIF('Tech Parameters'!K$170:K$189,$C241,G$195:G$214)</f>
        <v>0</v>
      </c>
      <c r="H241" s="37">
        <f>SUMIF('Tech Parameters'!L$170:L$189,$C241,H$195:H$214)</f>
        <v>0</v>
      </c>
      <c r="I241" s="37">
        <f ca="1">SUMIF('Tech Parameters'!M$170:M$189,$C241,I$195:I$214)</f>
        <v>0</v>
      </c>
      <c r="J241" s="37">
        <f ca="1">SUMIF('Tech Parameters'!N$170:N$189,$C241,J$195:J$214)</f>
        <v>0</v>
      </c>
      <c r="K241" s="37">
        <f ca="1">SUMIF('Tech Parameters'!O$170:O$189,$C241,K$195:K$214)</f>
        <v>0</v>
      </c>
      <c r="L241" s="37">
        <f ca="1">SUMIF('Tech Parameters'!P$170:P$189,$C241,L$195:L$214)</f>
        <v>0</v>
      </c>
      <c r="M241" s="37">
        <f ca="1">SUMIF('Tech Parameters'!Q$170:Q$189,$C241,M$195:M$214)</f>
        <v>0</v>
      </c>
      <c r="N241" s="37">
        <f ca="1">SUMIF('Tech Parameters'!R$170:R$189,$C241,N$195:N$214)</f>
        <v>0</v>
      </c>
      <c r="O241" s="37">
        <f ca="1">SUMIF('Tech Parameters'!S$170:S$189,$C241,O$195:O$214)</f>
        <v>0</v>
      </c>
      <c r="P241" s="37">
        <f ca="1">SUMIF('Tech Parameters'!T$170:T$189,$C241,P$195:P$214)</f>
        <v>0</v>
      </c>
      <c r="Q241" s="37">
        <f ca="1">SUMIF('Tech Parameters'!U$170:U$189,$C241,Q$195:Q$214)</f>
        <v>0</v>
      </c>
      <c r="R241" s="37">
        <f ca="1">SUMIF('Tech Parameters'!V$170:V$189,$C241,R$195:R$214)</f>
        <v>0</v>
      </c>
      <c r="S241" s="37">
        <f ca="1">SUMIF('Tech Parameters'!W$170:W$189,$C241,S$195:S$214)</f>
        <v>0</v>
      </c>
      <c r="T241" s="37">
        <f ca="1">SUMIF('Tech Parameters'!X$170:X$189,$C241,T$195:T$214)</f>
        <v>0</v>
      </c>
      <c r="U241" s="37">
        <f ca="1">SUMIF('Tech Parameters'!Y$170:Y$189,$C241,U$195:U$214)</f>
        <v>0</v>
      </c>
      <c r="V241" s="37">
        <f ca="1">SUMIF('Tech Parameters'!Z$170:Z$189,$C241,V$195:V$214)</f>
        <v>0</v>
      </c>
      <c r="W241" s="37">
        <f ca="1">SUMIF('Tech Parameters'!AA$170:AA$189,$C241,W$195:W$214)</f>
        <v>0</v>
      </c>
      <c r="X241" s="37">
        <f ca="1">SUMIF('Tech Parameters'!AB$170:AB$189,$C241,X$195:X$214)</f>
        <v>0</v>
      </c>
      <c r="Y241" s="37">
        <f ca="1">SUMIF('Tech Parameters'!AC$170:AC$189,$C241,Y$195:Y$214)</f>
        <v>0</v>
      </c>
      <c r="Z241" s="37">
        <f ca="1">SUMIF('Tech Parameters'!AD$170:AD$189,$C241,Z$195:Z$214)</f>
        <v>0</v>
      </c>
      <c r="AA241" s="37">
        <f ca="1">SUMIF('Tech Parameters'!AE$170:AE$189,$C241,AA$195:AA$214)</f>
        <v>0</v>
      </c>
      <c r="AB241" s="37">
        <f ca="1">SUMIF('Tech Parameters'!AF$170:AF$189,$C241,AB$195:AB$214)</f>
        <v>0</v>
      </c>
      <c r="AC241" s="37">
        <f ca="1">SUMIF('Tech Parameters'!AG$170:AG$189,$C241,AC$195:AC$214)</f>
        <v>0</v>
      </c>
      <c r="BA241" s="4"/>
      <c r="BL241" s="4"/>
    </row>
    <row r="242" spans="3:64">
      <c r="C242">
        <v>4</v>
      </c>
      <c r="D242" s="37">
        <f>SUMIF('Tech Parameters'!H$170:H$189,$C242,D$195:D$214)</f>
        <v>0</v>
      </c>
      <c r="E242" s="37">
        <f>SUMIF('Tech Parameters'!I$170:I$189,$C242,E$195:E$214)</f>
        <v>0</v>
      </c>
      <c r="F242" s="37">
        <f>SUMIF('Tech Parameters'!J$170:J$189,$C242,F$195:F$214)</f>
        <v>0</v>
      </c>
      <c r="G242" s="37">
        <f>SUMIF('Tech Parameters'!K$170:K$189,$C242,G$195:G$214)</f>
        <v>0</v>
      </c>
      <c r="H242" s="37">
        <f>SUMIF('Tech Parameters'!L$170:L$189,$C242,H$195:H$214)</f>
        <v>0</v>
      </c>
      <c r="I242" s="37">
        <f ca="1">SUMIF('Tech Parameters'!M$170:M$189,$C242,I$195:I$214)</f>
        <v>0</v>
      </c>
      <c r="J242" s="37">
        <f ca="1">SUMIF('Tech Parameters'!N$170:N$189,$C242,J$195:J$214)</f>
        <v>0</v>
      </c>
      <c r="K242" s="37">
        <f ca="1">SUMIF('Tech Parameters'!O$170:O$189,$C242,K$195:K$214)</f>
        <v>0</v>
      </c>
      <c r="L242" s="37">
        <f ca="1">SUMIF('Tech Parameters'!P$170:P$189,$C242,L$195:L$214)</f>
        <v>0</v>
      </c>
      <c r="M242" s="37">
        <f ca="1">SUMIF('Tech Parameters'!Q$170:Q$189,$C242,M$195:M$214)</f>
        <v>0</v>
      </c>
      <c r="N242" s="37">
        <f ca="1">SUMIF('Tech Parameters'!R$170:R$189,$C242,N$195:N$214)</f>
        <v>0</v>
      </c>
      <c r="O242" s="37">
        <f ca="1">SUMIF('Tech Parameters'!S$170:S$189,$C242,O$195:O$214)</f>
        <v>0</v>
      </c>
      <c r="P242" s="37">
        <f ca="1">SUMIF('Tech Parameters'!T$170:T$189,$C242,P$195:P$214)</f>
        <v>0</v>
      </c>
      <c r="Q242" s="37">
        <f ca="1">SUMIF('Tech Parameters'!U$170:U$189,$C242,Q$195:Q$214)</f>
        <v>0</v>
      </c>
      <c r="R242" s="37">
        <f ca="1">SUMIF('Tech Parameters'!V$170:V$189,$C242,R$195:R$214)</f>
        <v>0</v>
      </c>
      <c r="S242" s="37">
        <f ca="1">SUMIF('Tech Parameters'!W$170:W$189,$C242,S$195:S$214)</f>
        <v>0</v>
      </c>
      <c r="T242" s="37">
        <f ca="1">SUMIF('Tech Parameters'!X$170:X$189,$C242,T$195:T$214)</f>
        <v>0</v>
      </c>
      <c r="U242" s="37">
        <f ca="1">SUMIF('Tech Parameters'!Y$170:Y$189,$C242,U$195:U$214)</f>
        <v>0</v>
      </c>
      <c r="V242" s="37">
        <f ca="1">SUMIF('Tech Parameters'!Z$170:Z$189,$C242,V$195:V$214)</f>
        <v>0</v>
      </c>
      <c r="W242" s="37">
        <f ca="1">SUMIF('Tech Parameters'!AA$170:AA$189,$C242,W$195:W$214)</f>
        <v>0</v>
      </c>
      <c r="X242" s="37">
        <f ca="1">SUMIF('Tech Parameters'!AB$170:AB$189,$C242,X$195:X$214)</f>
        <v>0</v>
      </c>
      <c r="Y242" s="37">
        <f ca="1">SUMIF('Tech Parameters'!AC$170:AC$189,$C242,Y$195:Y$214)</f>
        <v>0</v>
      </c>
      <c r="Z242" s="37">
        <f ca="1">SUMIF('Tech Parameters'!AD$170:AD$189,$C242,Z$195:Z$214)</f>
        <v>0</v>
      </c>
      <c r="AA242" s="37">
        <f ca="1">SUMIF('Tech Parameters'!AE$170:AE$189,$C242,AA$195:AA$214)</f>
        <v>0</v>
      </c>
      <c r="AB242" s="37">
        <f ca="1">SUMIF('Tech Parameters'!AF$170:AF$189,$C242,AB$195:AB$214)</f>
        <v>0</v>
      </c>
      <c r="AC242" s="37">
        <f ca="1">SUMIF('Tech Parameters'!AG$170:AG$189,$C242,AC$195:AC$214)</f>
        <v>0</v>
      </c>
      <c r="BA242" s="4"/>
      <c r="BL242" s="4"/>
    </row>
    <row r="243" spans="3:64">
      <c r="C243">
        <v>5</v>
      </c>
      <c r="D243" s="37">
        <f>SUMIF('Tech Parameters'!H$170:H$189,$C243,D$195:D$214)</f>
        <v>0</v>
      </c>
      <c r="E243" s="37">
        <f>SUMIF('Tech Parameters'!I$170:I$189,$C243,E$195:E$214)</f>
        <v>0</v>
      </c>
      <c r="F243" s="37">
        <f>SUMIF('Tech Parameters'!J$170:J$189,$C243,F$195:F$214)</f>
        <v>0</v>
      </c>
      <c r="G243" s="37">
        <f>SUMIF('Tech Parameters'!K$170:K$189,$C243,G$195:G$214)</f>
        <v>0</v>
      </c>
      <c r="H243" s="37">
        <f>SUMIF('Tech Parameters'!L$170:L$189,$C243,H$195:H$214)</f>
        <v>0</v>
      </c>
      <c r="I243" s="37">
        <f ca="1">SUMIF('Tech Parameters'!M$170:M$189,$C243,I$195:I$214)</f>
        <v>0</v>
      </c>
      <c r="J243" s="37">
        <f ca="1">SUMIF('Tech Parameters'!N$170:N$189,$C243,J$195:J$214)</f>
        <v>0</v>
      </c>
      <c r="K243" s="37">
        <f ca="1">SUMIF('Tech Parameters'!O$170:O$189,$C243,K$195:K$214)</f>
        <v>0</v>
      </c>
      <c r="L243" s="37">
        <f ca="1">SUMIF('Tech Parameters'!P$170:P$189,$C243,L$195:L$214)</f>
        <v>0</v>
      </c>
      <c r="M243" s="37">
        <f ca="1">SUMIF('Tech Parameters'!Q$170:Q$189,$C243,M$195:M$214)</f>
        <v>0</v>
      </c>
      <c r="N243" s="37">
        <f ca="1">SUMIF('Tech Parameters'!R$170:R$189,$C243,N$195:N$214)</f>
        <v>0</v>
      </c>
      <c r="O243" s="37">
        <f ca="1">SUMIF('Tech Parameters'!S$170:S$189,$C243,O$195:O$214)</f>
        <v>0</v>
      </c>
      <c r="P243" s="37">
        <f ca="1">SUMIF('Tech Parameters'!T$170:T$189,$C243,P$195:P$214)</f>
        <v>0</v>
      </c>
      <c r="Q243" s="37">
        <f ca="1">SUMIF('Tech Parameters'!U$170:U$189,$C243,Q$195:Q$214)</f>
        <v>0</v>
      </c>
      <c r="R243" s="37">
        <f ca="1">SUMIF('Tech Parameters'!V$170:V$189,$C243,R$195:R$214)</f>
        <v>0</v>
      </c>
      <c r="S243" s="37">
        <f ca="1">SUMIF('Tech Parameters'!W$170:W$189,$C243,S$195:S$214)</f>
        <v>0</v>
      </c>
      <c r="T243" s="37">
        <f ca="1">SUMIF('Tech Parameters'!X$170:X$189,$C243,T$195:T$214)</f>
        <v>0</v>
      </c>
      <c r="U243" s="37">
        <f ca="1">SUMIF('Tech Parameters'!Y$170:Y$189,$C243,U$195:U$214)</f>
        <v>0</v>
      </c>
      <c r="V243" s="37">
        <f ca="1">SUMIF('Tech Parameters'!Z$170:Z$189,$C243,V$195:V$214)</f>
        <v>0</v>
      </c>
      <c r="W243" s="37">
        <f ca="1">SUMIF('Tech Parameters'!AA$170:AA$189,$C243,W$195:W$214)</f>
        <v>0</v>
      </c>
      <c r="X243" s="37">
        <f ca="1">SUMIF('Tech Parameters'!AB$170:AB$189,$C243,X$195:X$214)</f>
        <v>0</v>
      </c>
      <c r="Y243" s="37">
        <f ca="1">SUMIF('Tech Parameters'!AC$170:AC$189,$C243,Y$195:Y$214)</f>
        <v>0</v>
      </c>
      <c r="Z243" s="37">
        <f ca="1">SUMIF('Tech Parameters'!AD$170:AD$189,$C243,Z$195:Z$214)</f>
        <v>0</v>
      </c>
      <c r="AA243" s="37">
        <f ca="1">SUMIF('Tech Parameters'!AE$170:AE$189,$C243,AA$195:AA$214)</f>
        <v>0</v>
      </c>
      <c r="AB243" s="37">
        <f ca="1">SUMIF('Tech Parameters'!AF$170:AF$189,$C243,AB$195:AB$214)</f>
        <v>0</v>
      </c>
      <c r="AC243" s="37">
        <f ca="1">SUMIF('Tech Parameters'!AG$170:AG$189,$C243,AC$195:AC$214)</f>
        <v>0</v>
      </c>
      <c r="BA243" s="4"/>
      <c r="BL243" s="4"/>
    </row>
    <row r="244" spans="3:64">
      <c r="C244">
        <v>6</v>
      </c>
      <c r="D244" s="37">
        <f>SUMIF('Tech Parameters'!H$170:H$189,$C244,D$195:D$214)</f>
        <v>0</v>
      </c>
      <c r="E244" s="37">
        <f>SUMIF('Tech Parameters'!I$170:I$189,$C244,E$195:E$214)</f>
        <v>0</v>
      </c>
      <c r="F244" s="37">
        <f>SUMIF('Tech Parameters'!J$170:J$189,$C244,F$195:F$214)</f>
        <v>0</v>
      </c>
      <c r="G244" s="37">
        <f>SUMIF('Tech Parameters'!K$170:K$189,$C244,G$195:G$214)</f>
        <v>0</v>
      </c>
      <c r="H244" s="37">
        <f>SUMIF('Tech Parameters'!L$170:L$189,$C244,H$195:H$214)</f>
        <v>0</v>
      </c>
      <c r="I244" s="37">
        <f ca="1">SUMIF('Tech Parameters'!M$170:M$189,$C244,I$195:I$214)</f>
        <v>0</v>
      </c>
      <c r="J244" s="37">
        <f ca="1">SUMIF('Tech Parameters'!N$170:N$189,$C244,J$195:J$214)</f>
        <v>0</v>
      </c>
      <c r="K244" s="37">
        <f ca="1">SUMIF('Tech Parameters'!O$170:O$189,$C244,K$195:K$214)</f>
        <v>0</v>
      </c>
      <c r="L244" s="37">
        <f ca="1">SUMIF('Tech Parameters'!P$170:P$189,$C244,L$195:L$214)</f>
        <v>0</v>
      </c>
      <c r="M244" s="37">
        <f ca="1">SUMIF('Tech Parameters'!Q$170:Q$189,$C244,M$195:M$214)</f>
        <v>0</v>
      </c>
      <c r="N244" s="37">
        <f ca="1">SUMIF('Tech Parameters'!R$170:R$189,$C244,N$195:N$214)</f>
        <v>0</v>
      </c>
      <c r="O244" s="37">
        <f ca="1">SUMIF('Tech Parameters'!S$170:S$189,$C244,O$195:O$214)</f>
        <v>0</v>
      </c>
      <c r="P244" s="37">
        <f ca="1">SUMIF('Tech Parameters'!T$170:T$189,$C244,P$195:P$214)</f>
        <v>0</v>
      </c>
      <c r="Q244" s="37">
        <f ca="1">SUMIF('Tech Parameters'!U$170:U$189,$C244,Q$195:Q$214)</f>
        <v>0</v>
      </c>
      <c r="R244" s="37">
        <f ca="1">SUMIF('Tech Parameters'!V$170:V$189,$C244,R$195:R$214)</f>
        <v>0</v>
      </c>
      <c r="S244" s="37">
        <f ca="1">SUMIF('Tech Parameters'!W$170:W$189,$C244,S$195:S$214)</f>
        <v>0</v>
      </c>
      <c r="T244" s="37">
        <f ca="1">SUMIF('Tech Parameters'!X$170:X$189,$C244,T$195:T$214)</f>
        <v>0</v>
      </c>
      <c r="U244" s="37">
        <f ca="1">SUMIF('Tech Parameters'!Y$170:Y$189,$C244,U$195:U$214)</f>
        <v>0</v>
      </c>
      <c r="V244" s="37">
        <f ca="1">SUMIF('Tech Parameters'!Z$170:Z$189,$C244,V$195:V$214)</f>
        <v>0</v>
      </c>
      <c r="W244" s="37">
        <f ca="1">SUMIF('Tech Parameters'!AA$170:AA$189,$C244,W$195:W$214)</f>
        <v>0</v>
      </c>
      <c r="X244" s="37">
        <f ca="1">SUMIF('Tech Parameters'!AB$170:AB$189,$C244,X$195:X$214)</f>
        <v>0</v>
      </c>
      <c r="Y244" s="37">
        <f ca="1">SUMIF('Tech Parameters'!AC$170:AC$189,$C244,Y$195:Y$214)</f>
        <v>0</v>
      </c>
      <c r="Z244" s="37">
        <f ca="1">SUMIF('Tech Parameters'!AD$170:AD$189,$C244,Z$195:Z$214)</f>
        <v>0</v>
      </c>
      <c r="AA244" s="37">
        <f ca="1">SUMIF('Tech Parameters'!AE$170:AE$189,$C244,AA$195:AA$214)</f>
        <v>0</v>
      </c>
      <c r="AB244" s="37">
        <f ca="1">SUMIF('Tech Parameters'!AF$170:AF$189,$C244,AB$195:AB$214)</f>
        <v>0</v>
      </c>
      <c r="AC244" s="37">
        <f ca="1">SUMIF('Tech Parameters'!AG$170:AG$189,$C244,AC$195:AC$214)</f>
        <v>0</v>
      </c>
      <c r="BA244" s="4"/>
      <c r="BL244" s="4"/>
    </row>
    <row r="245" spans="3:64">
      <c r="C245">
        <v>7</v>
      </c>
      <c r="D245" s="37">
        <f>SUMIF('Tech Parameters'!H$170:H$189,$C245,D$195:D$214)</f>
        <v>0</v>
      </c>
      <c r="E245" s="37">
        <f>SUMIF('Tech Parameters'!I$170:I$189,$C245,E$195:E$214)</f>
        <v>0</v>
      </c>
      <c r="F245" s="37">
        <f>SUMIF('Tech Parameters'!J$170:J$189,$C245,F$195:F$214)</f>
        <v>0</v>
      </c>
      <c r="G245" s="37">
        <f>SUMIF('Tech Parameters'!K$170:K$189,$C245,G$195:G$214)</f>
        <v>0</v>
      </c>
      <c r="H245" s="37">
        <f>SUMIF('Tech Parameters'!L$170:L$189,$C245,H$195:H$214)</f>
        <v>0</v>
      </c>
      <c r="I245" s="37">
        <f ca="1">SUMIF('Tech Parameters'!M$170:M$189,$C245,I$195:I$214)</f>
        <v>0</v>
      </c>
      <c r="J245" s="37">
        <f ca="1">SUMIF('Tech Parameters'!N$170:N$189,$C245,J$195:J$214)</f>
        <v>0</v>
      </c>
      <c r="K245" s="37">
        <f ca="1">SUMIF('Tech Parameters'!O$170:O$189,$C245,K$195:K$214)</f>
        <v>0</v>
      </c>
      <c r="L245" s="37">
        <f ca="1">SUMIF('Tech Parameters'!P$170:P$189,$C245,L$195:L$214)</f>
        <v>0</v>
      </c>
      <c r="M245" s="37">
        <f ca="1">SUMIF('Tech Parameters'!Q$170:Q$189,$C245,M$195:M$214)</f>
        <v>0</v>
      </c>
      <c r="N245" s="37">
        <f ca="1">SUMIF('Tech Parameters'!R$170:R$189,$C245,N$195:N$214)</f>
        <v>0</v>
      </c>
      <c r="O245" s="37">
        <f ca="1">SUMIF('Tech Parameters'!S$170:S$189,$C245,O$195:O$214)</f>
        <v>0</v>
      </c>
      <c r="P245" s="37">
        <f ca="1">SUMIF('Tech Parameters'!T$170:T$189,$C245,P$195:P$214)</f>
        <v>0</v>
      </c>
      <c r="Q245" s="37">
        <f ca="1">SUMIF('Tech Parameters'!U$170:U$189,$C245,Q$195:Q$214)</f>
        <v>0</v>
      </c>
      <c r="R245" s="37">
        <f ca="1">SUMIF('Tech Parameters'!V$170:V$189,$C245,R$195:R$214)</f>
        <v>0</v>
      </c>
      <c r="S245" s="37">
        <f ca="1">SUMIF('Tech Parameters'!W$170:W$189,$C245,S$195:S$214)</f>
        <v>0</v>
      </c>
      <c r="T245" s="37">
        <f ca="1">SUMIF('Tech Parameters'!X$170:X$189,$C245,T$195:T$214)</f>
        <v>0</v>
      </c>
      <c r="U245" s="37">
        <f ca="1">SUMIF('Tech Parameters'!Y$170:Y$189,$C245,U$195:U$214)</f>
        <v>0</v>
      </c>
      <c r="V245" s="37">
        <f ca="1">SUMIF('Tech Parameters'!Z$170:Z$189,$C245,V$195:V$214)</f>
        <v>0</v>
      </c>
      <c r="W245" s="37">
        <f ca="1">SUMIF('Tech Parameters'!AA$170:AA$189,$C245,W$195:W$214)</f>
        <v>0</v>
      </c>
      <c r="X245" s="37">
        <f ca="1">SUMIF('Tech Parameters'!AB$170:AB$189,$C245,X$195:X$214)</f>
        <v>0</v>
      </c>
      <c r="Y245" s="37">
        <f ca="1">SUMIF('Tech Parameters'!AC$170:AC$189,$C245,Y$195:Y$214)</f>
        <v>0</v>
      </c>
      <c r="Z245" s="37">
        <f ca="1">SUMIF('Tech Parameters'!AD$170:AD$189,$C245,Z$195:Z$214)</f>
        <v>0</v>
      </c>
      <c r="AA245" s="37">
        <f ca="1">SUMIF('Tech Parameters'!AE$170:AE$189,$C245,AA$195:AA$214)</f>
        <v>0</v>
      </c>
      <c r="AB245" s="37">
        <f ca="1">SUMIF('Tech Parameters'!AF$170:AF$189,$C245,AB$195:AB$214)</f>
        <v>0</v>
      </c>
      <c r="AC245" s="37">
        <f ca="1">SUMIF('Tech Parameters'!AG$170:AG$189,$C245,AC$195:AC$214)</f>
        <v>0</v>
      </c>
      <c r="BA245" s="4"/>
      <c r="BL245" s="4"/>
    </row>
    <row r="246" spans="3:64">
      <c r="C246">
        <v>8</v>
      </c>
      <c r="D246" s="37">
        <f>SUMIF('Tech Parameters'!H$170:H$189,$C246,D$195:D$214)</f>
        <v>0</v>
      </c>
      <c r="E246" s="37">
        <f>SUMIF('Tech Parameters'!I$170:I$189,$C246,E$195:E$214)</f>
        <v>0</v>
      </c>
      <c r="F246" s="37">
        <f>SUMIF('Tech Parameters'!J$170:J$189,$C246,F$195:F$214)</f>
        <v>0</v>
      </c>
      <c r="G246" s="37">
        <f>SUMIF('Tech Parameters'!K$170:K$189,$C246,G$195:G$214)</f>
        <v>0</v>
      </c>
      <c r="H246" s="37">
        <f>SUMIF('Tech Parameters'!L$170:L$189,$C246,H$195:H$214)</f>
        <v>0</v>
      </c>
      <c r="I246" s="37">
        <f ca="1">SUMIF('Tech Parameters'!M$170:M$189,$C246,I$195:I$214)</f>
        <v>0</v>
      </c>
      <c r="J246" s="37">
        <f ca="1">SUMIF('Tech Parameters'!N$170:N$189,$C246,J$195:J$214)</f>
        <v>0</v>
      </c>
      <c r="K246" s="37">
        <f ca="1">SUMIF('Tech Parameters'!O$170:O$189,$C246,K$195:K$214)</f>
        <v>0</v>
      </c>
      <c r="L246" s="37">
        <f ca="1">SUMIF('Tech Parameters'!P$170:P$189,$C246,L$195:L$214)</f>
        <v>0</v>
      </c>
      <c r="M246" s="37">
        <f ca="1">SUMIF('Tech Parameters'!Q$170:Q$189,$C246,M$195:M$214)</f>
        <v>0</v>
      </c>
      <c r="N246" s="37">
        <f ca="1">SUMIF('Tech Parameters'!R$170:R$189,$C246,N$195:N$214)</f>
        <v>0</v>
      </c>
      <c r="O246" s="37">
        <f ca="1">SUMIF('Tech Parameters'!S$170:S$189,$C246,O$195:O$214)</f>
        <v>0</v>
      </c>
      <c r="P246" s="37">
        <f ca="1">SUMIF('Tech Parameters'!T$170:T$189,$C246,P$195:P$214)</f>
        <v>0</v>
      </c>
      <c r="Q246" s="37">
        <f ca="1">SUMIF('Tech Parameters'!U$170:U$189,$C246,Q$195:Q$214)</f>
        <v>0</v>
      </c>
      <c r="R246" s="37">
        <f ca="1">SUMIF('Tech Parameters'!V$170:V$189,$C246,R$195:R$214)</f>
        <v>0</v>
      </c>
      <c r="S246" s="37">
        <f ca="1">SUMIF('Tech Parameters'!W$170:W$189,$C246,S$195:S$214)</f>
        <v>0</v>
      </c>
      <c r="T246" s="37">
        <f ca="1">SUMIF('Tech Parameters'!X$170:X$189,$C246,T$195:T$214)</f>
        <v>0</v>
      </c>
      <c r="U246" s="37">
        <f ca="1">SUMIF('Tech Parameters'!Y$170:Y$189,$C246,U$195:U$214)</f>
        <v>0</v>
      </c>
      <c r="V246" s="37">
        <f ca="1">SUMIF('Tech Parameters'!Z$170:Z$189,$C246,V$195:V$214)</f>
        <v>0</v>
      </c>
      <c r="W246" s="37">
        <f ca="1">SUMIF('Tech Parameters'!AA$170:AA$189,$C246,W$195:W$214)</f>
        <v>0</v>
      </c>
      <c r="X246" s="37">
        <f ca="1">SUMIF('Tech Parameters'!AB$170:AB$189,$C246,X$195:X$214)</f>
        <v>0</v>
      </c>
      <c r="Y246" s="37">
        <f ca="1">SUMIF('Tech Parameters'!AC$170:AC$189,$C246,Y$195:Y$214)</f>
        <v>0</v>
      </c>
      <c r="Z246" s="37">
        <f ca="1">SUMIF('Tech Parameters'!AD$170:AD$189,$C246,Z$195:Z$214)</f>
        <v>0</v>
      </c>
      <c r="AA246" s="37">
        <f ca="1">SUMIF('Tech Parameters'!AE$170:AE$189,$C246,AA$195:AA$214)</f>
        <v>0</v>
      </c>
      <c r="AB246" s="37">
        <f ca="1">SUMIF('Tech Parameters'!AF$170:AF$189,$C246,AB$195:AB$214)</f>
        <v>0</v>
      </c>
      <c r="AC246" s="37">
        <f ca="1">SUMIF('Tech Parameters'!AG$170:AG$189,$C246,AC$195:AC$214)</f>
        <v>0</v>
      </c>
      <c r="BA246" s="4"/>
      <c r="BL246" s="4"/>
    </row>
    <row r="247" spans="3:64">
      <c r="C247">
        <v>9</v>
      </c>
      <c r="D247" s="37">
        <f>SUMIF('Tech Parameters'!H$170:H$189,$C247,D$195:D$214)</f>
        <v>0</v>
      </c>
      <c r="E247" s="37">
        <f>SUMIF('Tech Parameters'!I$170:I$189,$C247,E$195:E$214)</f>
        <v>0</v>
      </c>
      <c r="F247" s="37">
        <f>SUMIF('Tech Parameters'!J$170:J$189,$C247,F$195:F$214)</f>
        <v>0</v>
      </c>
      <c r="G247" s="37">
        <f>SUMIF('Tech Parameters'!K$170:K$189,$C247,G$195:G$214)</f>
        <v>0</v>
      </c>
      <c r="H247" s="37">
        <f>SUMIF('Tech Parameters'!L$170:L$189,$C247,H$195:H$214)</f>
        <v>0</v>
      </c>
      <c r="I247" s="37">
        <f ca="1">SUMIF('Tech Parameters'!M$170:M$189,$C247,I$195:I$214)</f>
        <v>0</v>
      </c>
      <c r="J247" s="37">
        <f ca="1">SUMIF('Tech Parameters'!N$170:N$189,$C247,J$195:J$214)</f>
        <v>0</v>
      </c>
      <c r="K247" s="37">
        <f ca="1">SUMIF('Tech Parameters'!O$170:O$189,$C247,K$195:K$214)</f>
        <v>0</v>
      </c>
      <c r="L247" s="37">
        <f ca="1">SUMIF('Tech Parameters'!P$170:P$189,$C247,L$195:L$214)</f>
        <v>0</v>
      </c>
      <c r="M247" s="37">
        <f ca="1">SUMIF('Tech Parameters'!Q$170:Q$189,$C247,M$195:M$214)</f>
        <v>0</v>
      </c>
      <c r="N247" s="37">
        <f ca="1">SUMIF('Tech Parameters'!R$170:R$189,$C247,N$195:N$214)</f>
        <v>0</v>
      </c>
      <c r="O247" s="37">
        <f ca="1">SUMIF('Tech Parameters'!S$170:S$189,$C247,O$195:O$214)</f>
        <v>0</v>
      </c>
      <c r="P247" s="37">
        <f ca="1">SUMIF('Tech Parameters'!T$170:T$189,$C247,P$195:P$214)</f>
        <v>0</v>
      </c>
      <c r="Q247" s="37">
        <f ca="1">SUMIF('Tech Parameters'!U$170:U$189,$C247,Q$195:Q$214)</f>
        <v>0</v>
      </c>
      <c r="R247" s="37">
        <f ca="1">SUMIF('Tech Parameters'!V$170:V$189,$C247,R$195:R$214)</f>
        <v>0</v>
      </c>
      <c r="S247" s="37">
        <f ca="1">SUMIF('Tech Parameters'!W$170:W$189,$C247,S$195:S$214)</f>
        <v>0</v>
      </c>
      <c r="T247" s="37">
        <f ca="1">SUMIF('Tech Parameters'!X$170:X$189,$C247,T$195:T$214)</f>
        <v>0</v>
      </c>
      <c r="U247" s="37">
        <f ca="1">SUMIF('Tech Parameters'!Y$170:Y$189,$C247,U$195:U$214)</f>
        <v>0</v>
      </c>
      <c r="V247" s="37">
        <f ca="1">SUMIF('Tech Parameters'!Z$170:Z$189,$C247,V$195:V$214)</f>
        <v>0</v>
      </c>
      <c r="W247" s="37">
        <f ca="1">SUMIF('Tech Parameters'!AA$170:AA$189,$C247,W$195:W$214)</f>
        <v>0</v>
      </c>
      <c r="X247" s="37">
        <f ca="1">SUMIF('Tech Parameters'!AB$170:AB$189,$C247,X$195:X$214)</f>
        <v>0</v>
      </c>
      <c r="Y247" s="37">
        <f ca="1">SUMIF('Tech Parameters'!AC$170:AC$189,$C247,Y$195:Y$214)</f>
        <v>0</v>
      </c>
      <c r="Z247" s="37">
        <f ca="1">SUMIF('Tech Parameters'!AD$170:AD$189,$C247,Z$195:Z$214)</f>
        <v>0</v>
      </c>
      <c r="AA247" s="37">
        <f ca="1">SUMIF('Tech Parameters'!AE$170:AE$189,$C247,AA$195:AA$214)</f>
        <v>0</v>
      </c>
      <c r="AB247" s="37">
        <f ca="1">SUMIF('Tech Parameters'!AF$170:AF$189,$C247,AB$195:AB$214)</f>
        <v>0</v>
      </c>
      <c r="AC247" s="37">
        <f ca="1">SUMIF('Tech Parameters'!AG$170:AG$189,$C247,AC$195:AC$214)</f>
        <v>0</v>
      </c>
      <c r="BA247" s="4"/>
      <c r="BL247" s="4"/>
    </row>
    <row r="248" spans="3:64">
      <c r="C248">
        <v>10</v>
      </c>
      <c r="D248" s="37">
        <f>SUMIF('Tech Parameters'!H$170:H$189,$C248,D$195:D$214)</f>
        <v>0</v>
      </c>
      <c r="E248" s="37">
        <f>SUMIF('Tech Parameters'!I$170:I$189,$C248,E$195:E$214)</f>
        <v>0</v>
      </c>
      <c r="F248" s="37">
        <f>SUMIF('Tech Parameters'!J$170:J$189,$C248,F$195:F$214)</f>
        <v>0</v>
      </c>
      <c r="G248" s="37">
        <f>SUMIF('Tech Parameters'!K$170:K$189,$C248,G$195:G$214)</f>
        <v>0</v>
      </c>
      <c r="H248" s="37">
        <f>SUMIF('Tech Parameters'!L$170:L$189,$C248,H$195:H$214)</f>
        <v>0</v>
      </c>
      <c r="I248" s="37">
        <f ca="1">SUMIF('Tech Parameters'!M$170:M$189,$C248,I$195:I$214)</f>
        <v>0</v>
      </c>
      <c r="J248" s="37">
        <f ca="1">SUMIF('Tech Parameters'!N$170:N$189,$C248,J$195:J$214)</f>
        <v>0</v>
      </c>
      <c r="K248" s="37">
        <f ca="1">SUMIF('Tech Parameters'!O$170:O$189,$C248,K$195:K$214)</f>
        <v>0</v>
      </c>
      <c r="L248" s="37">
        <f ca="1">SUMIF('Tech Parameters'!P$170:P$189,$C248,L$195:L$214)</f>
        <v>0</v>
      </c>
      <c r="M248" s="37">
        <f ca="1">SUMIF('Tech Parameters'!Q$170:Q$189,$C248,M$195:M$214)</f>
        <v>0</v>
      </c>
      <c r="N248" s="37">
        <f ca="1">SUMIF('Tech Parameters'!R$170:R$189,$C248,N$195:N$214)</f>
        <v>0</v>
      </c>
      <c r="O248" s="37">
        <f ca="1">SUMIF('Tech Parameters'!S$170:S$189,$C248,O$195:O$214)</f>
        <v>0</v>
      </c>
      <c r="P248" s="37">
        <f ca="1">SUMIF('Tech Parameters'!T$170:T$189,$C248,P$195:P$214)</f>
        <v>0</v>
      </c>
      <c r="Q248" s="37">
        <f ca="1">SUMIF('Tech Parameters'!U$170:U$189,$C248,Q$195:Q$214)</f>
        <v>0</v>
      </c>
      <c r="R248" s="37">
        <f ca="1">SUMIF('Tech Parameters'!V$170:V$189,$C248,R$195:R$214)</f>
        <v>0</v>
      </c>
      <c r="S248" s="37">
        <f ca="1">SUMIF('Tech Parameters'!W$170:W$189,$C248,S$195:S$214)</f>
        <v>0</v>
      </c>
      <c r="T248" s="37">
        <f ca="1">SUMIF('Tech Parameters'!X$170:X$189,$C248,T$195:T$214)</f>
        <v>0</v>
      </c>
      <c r="U248" s="37">
        <f ca="1">SUMIF('Tech Parameters'!Y$170:Y$189,$C248,U$195:U$214)</f>
        <v>0</v>
      </c>
      <c r="V248" s="37">
        <f ca="1">SUMIF('Tech Parameters'!Z$170:Z$189,$C248,V$195:V$214)</f>
        <v>0</v>
      </c>
      <c r="W248" s="37">
        <f ca="1">SUMIF('Tech Parameters'!AA$170:AA$189,$C248,W$195:W$214)</f>
        <v>0</v>
      </c>
      <c r="X248" s="37">
        <f ca="1">SUMIF('Tech Parameters'!AB$170:AB$189,$C248,X$195:X$214)</f>
        <v>0</v>
      </c>
      <c r="Y248" s="37">
        <f ca="1">SUMIF('Tech Parameters'!AC$170:AC$189,$C248,Y$195:Y$214)</f>
        <v>0</v>
      </c>
      <c r="Z248" s="37">
        <f ca="1">SUMIF('Tech Parameters'!AD$170:AD$189,$C248,Z$195:Z$214)</f>
        <v>0</v>
      </c>
      <c r="AA248" s="37">
        <f ca="1">SUMIF('Tech Parameters'!AE$170:AE$189,$C248,AA$195:AA$214)</f>
        <v>0</v>
      </c>
      <c r="AB248" s="37">
        <f ca="1">SUMIF('Tech Parameters'!AF$170:AF$189,$C248,AB$195:AB$214)</f>
        <v>0</v>
      </c>
      <c r="AC248" s="37">
        <f ca="1">SUMIF('Tech Parameters'!AG$170:AG$189,$C248,AC$195:AC$214)</f>
        <v>0</v>
      </c>
      <c r="BA248" s="4"/>
      <c r="BL248" s="4"/>
    </row>
    <row r="249" spans="3:64">
      <c r="C249">
        <v>11</v>
      </c>
      <c r="D249" s="37">
        <f>SUMIF('Tech Parameters'!H$170:H$189,$C249,D$195:D$214)</f>
        <v>0</v>
      </c>
      <c r="E249" s="37">
        <f>SUMIF('Tech Parameters'!I$170:I$189,$C249,E$195:E$214)</f>
        <v>0</v>
      </c>
      <c r="F249" s="37">
        <f>SUMIF('Tech Parameters'!J$170:J$189,$C249,F$195:F$214)</f>
        <v>0</v>
      </c>
      <c r="G249" s="37">
        <f>SUMIF('Tech Parameters'!K$170:K$189,$C249,G$195:G$214)</f>
        <v>0</v>
      </c>
      <c r="H249" s="37">
        <f>SUMIF('Tech Parameters'!L$170:L$189,$C249,H$195:H$214)</f>
        <v>0</v>
      </c>
      <c r="I249" s="37">
        <f ca="1">SUMIF('Tech Parameters'!M$170:M$189,$C249,I$195:I$214)</f>
        <v>0</v>
      </c>
      <c r="J249" s="37">
        <f ca="1">SUMIF('Tech Parameters'!N$170:N$189,$C249,J$195:J$214)</f>
        <v>0</v>
      </c>
      <c r="K249" s="37">
        <f ca="1">SUMIF('Tech Parameters'!O$170:O$189,$C249,K$195:K$214)</f>
        <v>0</v>
      </c>
      <c r="L249" s="37">
        <f ca="1">SUMIF('Tech Parameters'!P$170:P$189,$C249,L$195:L$214)</f>
        <v>0</v>
      </c>
      <c r="M249" s="37">
        <f ca="1">SUMIF('Tech Parameters'!Q$170:Q$189,$C249,M$195:M$214)</f>
        <v>0</v>
      </c>
      <c r="N249" s="37">
        <f ca="1">SUMIF('Tech Parameters'!R$170:R$189,$C249,N$195:N$214)</f>
        <v>0</v>
      </c>
      <c r="O249" s="37">
        <f ca="1">SUMIF('Tech Parameters'!S$170:S$189,$C249,O$195:O$214)</f>
        <v>0</v>
      </c>
      <c r="P249" s="37">
        <f ca="1">SUMIF('Tech Parameters'!T$170:T$189,$C249,P$195:P$214)</f>
        <v>0</v>
      </c>
      <c r="Q249" s="37">
        <f ca="1">SUMIF('Tech Parameters'!U$170:U$189,$C249,Q$195:Q$214)</f>
        <v>0</v>
      </c>
      <c r="R249" s="37">
        <f ca="1">SUMIF('Tech Parameters'!V$170:V$189,$C249,R$195:R$214)</f>
        <v>0</v>
      </c>
      <c r="S249" s="37">
        <f ca="1">SUMIF('Tech Parameters'!W$170:W$189,$C249,S$195:S$214)</f>
        <v>0</v>
      </c>
      <c r="T249" s="37">
        <f ca="1">SUMIF('Tech Parameters'!X$170:X$189,$C249,T$195:T$214)</f>
        <v>0</v>
      </c>
      <c r="U249" s="37">
        <f ca="1">SUMIF('Tech Parameters'!Y$170:Y$189,$C249,U$195:U$214)</f>
        <v>0</v>
      </c>
      <c r="V249" s="37">
        <f ca="1">SUMIF('Tech Parameters'!Z$170:Z$189,$C249,V$195:V$214)</f>
        <v>0</v>
      </c>
      <c r="W249" s="37">
        <f ca="1">SUMIF('Tech Parameters'!AA$170:AA$189,$C249,W$195:W$214)</f>
        <v>0</v>
      </c>
      <c r="X249" s="37">
        <f ca="1">SUMIF('Tech Parameters'!AB$170:AB$189,$C249,X$195:X$214)</f>
        <v>0</v>
      </c>
      <c r="Y249" s="37">
        <f ca="1">SUMIF('Tech Parameters'!AC$170:AC$189,$C249,Y$195:Y$214)</f>
        <v>0</v>
      </c>
      <c r="Z249" s="37">
        <f ca="1">SUMIF('Tech Parameters'!AD$170:AD$189,$C249,Z$195:Z$214)</f>
        <v>0</v>
      </c>
      <c r="AA249" s="37">
        <f ca="1">SUMIF('Tech Parameters'!AE$170:AE$189,$C249,AA$195:AA$214)</f>
        <v>0</v>
      </c>
      <c r="AB249" s="37">
        <f ca="1">SUMIF('Tech Parameters'!AF$170:AF$189,$C249,AB$195:AB$214)</f>
        <v>0</v>
      </c>
      <c r="AC249" s="37">
        <f ca="1">SUMIF('Tech Parameters'!AG$170:AG$189,$C249,AC$195:AC$214)</f>
        <v>0</v>
      </c>
      <c r="BA249" s="4"/>
      <c r="BL249" s="4"/>
    </row>
    <row r="250" spans="3:64">
      <c r="C250">
        <v>12</v>
      </c>
      <c r="D250" s="37">
        <f>SUMIF('Tech Parameters'!H$170:H$189,$C250,D$195:D$214)</f>
        <v>0</v>
      </c>
      <c r="E250" s="37">
        <f>SUMIF('Tech Parameters'!I$170:I$189,$C250,E$195:E$214)</f>
        <v>0</v>
      </c>
      <c r="F250" s="37">
        <f>SUMIF('Tech Parameters'!J$170:J$189,$C250,F$195:F$214)</f>
        <v>0</v>
      </c>
      <c r="G250" s="37">
        <f>SUMIF('Tech Parameters'!K$170:K$189,$C250,G$195:G$214)</f>
        <v>0</v>
      </c>
      <c r="H250" s="37">
        <f>SUMIF('Tech Parameters'!L$170:L$189,$C250,H$195:H$214)</f>
        <v>0</v>
      </c>
      <c r="I250" s="37">
        <f ca="1">SUMIF('Tech Parameters'!M$170:M$189,$C250,I$195:I$214)</f>
        <v>0</v>
      </c>
      <c r="J250" s="37">
        <f ca="1">SUMIF('Tech Parameters'!N$170:N$189,$C250,J$195:J$214)</f>
        <v>0</v>
      </c>
      <c r="K250" s="37">
        <f ca="1">SUMIF('Tech Parameters'!O$170:O$189,$C250,K$195:K$214)</f>
        <v>0</v>
      </c>
      <c r="L250" s="37">
        <f ca="1">SUMIF('Tech Parameters'!P$170:P$189,$C250,L$195:L$214)</f>
        <v>0</v>
      </c>
      <c r="M250" s="37">
        <f ca="1">SUMIF('Tech Parameters'!Q$170:Q$189,$C250,M$195:M$214)</f>
        <v>0</v>
      </c>
      <c r="N250" s="37">
        <f ca="1">SUMIF('Tech Parameters'!R$170:R$189,$C250,N$195:N$214)</f>
        <v>0</v>
      </c>
      <c r="O250" s="37">
        <f ca="1">SUMIF('Tech Parameters'!S$170:S$189,$C250,O$195:O$214)</f>
        <v>0</v>
      </c>
      <c r="P250" s="37">
        <f ca="1">SUMIF('Tech Parameters'!T$170:T$189,$C250,P$195:P$214)</f>
        <v>0</v>
      </c>
      <c r="Q250" s="37">
        <f ca="1">SUMIF('Tech Parameters'!U$170:U$189,$C250,Q$195:Q$214)</f>
        <v>0</v>
      </c>
      <c r="R250" s="37">
        <f ca="1">SUMIF('Tech Parameters'!V$170:V$189,$C250,R$195:R$214)</f>
        <v>0</v>
      </c>
      <c r="S250" s="37">
        <f ca="1">SUMIF('Tech Parameters'!W$170:W$189,$C250,S$195:S$214)</f>
        <v>0</v>
      </c>
      <c r="T250" s="37">
        <f ca="1">SUMIF('Tech Parameters'!X$170:X$189,$C250,T$195:T$214)</f>
        <v>0</v>
      </c>
      <c r="U250" s="37">
        <f ca="1">SUMIF('Tech Parameters'!Y$170:Y$189,$C250,U$195:U$214)</f>
        <v>0</v>
      </c>
      <c r="V250" s="37">
        <f ca="1">SUMIF('Tech Parameters'!Z$170:Z$189,$C250,V$195:V$214)</f>
        <v>0</v>
      </c>
      <c r="W250" s="37">
        <f ca="1">SUMIF('Tech Parameters'!AA$170:AA$189,$C250,W$195:W$214)</f>
        <v>0</v>
      </c>
      <c r="X250" s="37">
        <f ca="1">SUMIF('Tech Parameters'!AB$170:AB$189,$C250,X$195:X$214)</f>
        <v>0</v>
      </c>
      <c r="Y250" s="37">
        <f ca="1">SUMIF('Tech Parameters'!AC$170:AC$189,$C250,Y$195:Y$214)</f>
        <v>0</v>
      </c>
      <c r="Z250" s="37">
        <f ca="1">SUMIF('Tech Parameters'!AD$170:AD$189,$C250,Z$195:Z$214)</f>
        <v>0</v>
      </c>
      <c r="AA250" s="37">
        <f ca="1">SUMIF('Tech Parameters'!AE$170:AE$189,$C250,AA$195:AA$214)</f>
        <v>0</v>
      </c>
      <c r="AB250" s="37">
        <f ca="1">SUMIF('Tech Parameters'!AF$170:AF$189,$C250,AB$195:AB$214)</f>
        <v>0</v>
      </c>
      <c r="AC250" s="37">
        <f ca="1">SUMIF('Tech Parameters'!AG$170:AG$189,$C250,AC$195:AC$214)</f>
        <v>0</v>
      </c>
      <c r="BA250" s="4"/>
      <c r="BL250" s="4"/>
    </row>
    <row r="251" spans="3:64">
      <c r="C251">
        <v>13</v>
      </c>
      <c r="D251" s="37">
        <f>SUMIF('Tech Parameters'!H$170:H$189,$C251,D$195:D$214)</f>
        <v>0</v>
      </c>
      <c r="E251" s="37">
        <f>SUMIF('Tech Parameters'!I$170:I$189,$C251,E$195:E$214)</f>
        <v>0</v>
      </c>
      <c r="F251" s="37">
        <f>SUMIF('Tech Parameters'!J$170:J$189,$C251,F$195:F$214)</f>
        <v>0</v>
      </c>
      <c r="G251" s="37">
        <f>SUMIF('Tech Parameters'!K$170:K$189,$C251,G$195:G$214)</f>
        <v>0</v>
      </c>
      <c r="H251" s="37">
        <f>SUMIF('Tech Parameters'!L$170:L$189,$C251,H$195:H$214)</f>
        <v>0</v>
      </c>
      <c r="I251" s="37">
        <f ca="1">SUMIF('Tech Parameters'!M$170:M$189,$C251,I$195:I$214)</f>
        <v>0</v>
      </c>
      <c r="J251" s="37">
        <f ca="1">SUMIF('Tech Parameters'!N$170:N$189,$C251,J$195:J$214)</f>
        <v>0</v>
      </c>
      <c r="K251" s="37">
        <f ca="1">SUMIF('Tech Parameters'!O$170:O$189,$C251,K$195:K$214)</f>
        <v>0</v>
      </c>
      <c r="L251" s="37">
        <f ca="1">SUMIF('Tech Parameters'!P$170:P$189,$C251,L$195:L$214)</f>
        <v>0</v>
      </c>
      <c r="M251" s="37">
        <f ca="1">SUMIF('Tech Parameters'!Q$170:Q$189,$C251,M$195:M$214)</f>
        <v>0</v>
      </c>
      <c r="N251" s="37">
        <f ca="1">SUMIF('Tech Parameters'!R$170:R$189,$C251,N$195:N$214)</f>
        <v>0</v>
      </c>
      <c r="O251" s="37">
        <f ca="1">SUMIF('Tech Parameters'!S$170:S$189,$C251,O$195:O$214)</f>
        <v>0</v>
      </c>
      <c r="P251" s="37">
        <f ca="1">SUMIF('Tech Parameters'!T$170:T$189,$C251,P$195:P$214)</f>
        <v>0</v>
      </c>
      <c r="Q251" s="37">
        <f ca="1">SUMIF('Tech Parameters'!U$170:U$189,$C251,Q$195:Q$214)</f>
        <v>0</v>
      </c>
      <c r="R251" s="37">
        <f ca="1">SUMIF('Tech Parameters'!V$170:V$189,$C251,R$195:R$214)</f>
        <v>0</v>
      </c>
      <c r="S251" s="37">
        <f ca="1">SUMIF('Tech Parameters'!W$170:W$189,$C251,S$195:S$214)</f>
        <v>0</v>
      </c>
      <c r="T251" s="37">
        <f ca="1">SUMIF('Tech Parameters'!X$170:X$189,$C251,T$195:T$214)</f>
        <v>0</v>
      </c>
      <c r="U251" s="37">
        <f ca="1">SUMIF('Tech Parameters'!Y$170:Y$189,$C251,U$195:U$214)</f>
        <v>0</v>
      </c>
      <c r="V251" s="37">
        <f ca="1">SUMIF('Tech Parameters'!Z$170:Z$189,$C251,V$195:V$214)</f>
        <v>0</v>
      </c>
      <c r="W251" s="37">
        <f ca="1">SUMIF('Tech Parameters'!AA$170:AA$189,$C251,W$195:W$214)</f>
        <v>0</v>
      </c>
      <c r="X251" s="37">
        <f ca="1">SUMIF('Tech Parameters'!AB$170:AB$189,$C251,X$195:X$214)</f>
        <v>0</v>
      </c>
      <c r="Y251" s="37">
        <f ca="1">SUMIF('Tech Parameters'!AC$170:AC$189,$C251,Y$195:Y$214)</f>
        <v>0</v>
      </c>
      <c r="Z251" s="37">
        <f ca="1">SUMIF('Tech Parameters'!AD$170:AD$189,$C251,Z$195:Z$214)</f>
        <v>0</v>
      </c>
      <c r="AA251" s="37">
        <f ca="1">SUMIF('Tech Parameters'!AE$170:AE$189,$C251,AA$195:AA$214)</f>
        <v>0</v>
      </c>
      <c r="AB251" s="37">
        <f ca="1">SUMIF('Tech Parameters'!AF$170:AF$189,$C251,AB$195:AB$214)</f>
        <v>0</v>
      </c>
      <c r="AC251" s="37">
        <f ca="1">SUMIF('Tech Parameters'!AG$170:AG$189,$C251,AC$195:AC$214)</f>
        <v>0</v>
      </c>
      <c r="BA251" s="4"/>
      <c r="BL251" s="4"/>
    </row>
    <row r="252" spans="3:64">
      <c r="C252">
        <v>14</v>
      </c>
      <c r="D252" s="37">
        <f>SUMIF('Tech Parameters'!H$170:H$189,$C252,D$195:D$214)</f>
        <v>162665.33464087764</v>
      </c>
      <c r="E252" s="37">
        <f>SUMIF('Tech Parameters'!I$170:I$189,$C252,E$195:E$214)</f>
        <v>0</v>
      </c>
      <c r="F252" s="37">
        <f>SUMIF('Tech Parameters'!J$170:J$189,$C252,F$195:F$214)</f>
        <v>0</v>
      </c>
      <c r="G252" s="37">
        <f>SUMIF('Tech Parameters'!K$170:K$189,$C252,G$195:G$214)</f>
        <v>0</v>
      </c>
      <c r="H252" s="37">
        <f>SUMIF('Tech Parameters'!L$170:L$189,$C252,H$195:H$214)</f>
        <v>0</v>
      </c>
      <c r="I252" s="37">
        <f ca="1">SUMIF('Tech Parameters'!M$170:M$189,$C252,I$195:I$214)</f>
        <v>0</v>
      </c>
      <c r="J252" s="37">
        <f ca="1">SUMIF('Tech Parameters'!N$170:N$189,$C252,J$195:J$214)</f>
        <v>0</v>
      </c>
      <c r="K252" s="37">
        <f ca="1">SUMIF('Tech Parameters'!O$170:O$189,$C252,K$195:K$214)</f>
        <v>0</v>
      </c>
      <c r="L252" s="37">
        <f ca="1">SUMIF('Tech Parameters'!P$170:P$189,$C252,L$195:L$214)</f>
        <v>0</v>
      </c>
      <c r="M252" s="37">
        <f ca="1">SUMIF('Tech Parameters'!Q$170:Q$189,$C252,M$195:M$214)</f>
        <v>0</v>
      </c>
      <c r="N252" s="37">
        <f ca="1">SUMIF('Tech Parameters'!R$170:R$189,$C252,N$195:N$214)</f>
        <v>0</v>
      </c>
      <c r="O252" s="37">
        <f ca="1">SUMIF('Tech Parameters'!S$170:S$189,$C252,O$195:O$214)</f>
        <v>0</v>
      </c>
      <c r="P252" s="37">
        <f ca="1">SUMIF('Tech Parameters'!T$170:T$189,$C252,P$195:P$214)</f>
        <v>0</v>
      </c>
      <c r="Q252" s="37">
        <f ca="1">SUMIF('Tech Parameters'!U$170:U$189,$C252,Q$195:Q$214)</f>
        <v>0</v>
      </c>
      <c r="R252" s="37">
        <f ca="1">SUMIF('Tech Parameters'!V$170:V$189,$C252,R$195:R$214)</f>
        <v>0</v>
      </c>
      <c r="S252" s="37">
        <f ca="1">SUMIF('Tech Parameters'!W$170:W$189,$C252,S$195:S$214)</f>
        <v>0</v>
      </c>
      <c r="T252" s="37">
        <f ca="1">SUMIF('Tech Parameters'!X$170:X$189,$C252,T$195:T$214)</f>
        <v>0</v>
      </c>
      <c r="U252" s="37">
        <f ca="1">SUMIF('Tech Parameters'!Y$170:Y$189,$C252,U$195:U$214)</f>
        <v>0</v>
      </c>
      <c r="V252" s="37">
        <f ca="1">SUMIF('Tech Parameters'!Z$170:Z$189,$C252,V$195:V$214)</f>
        <v>0</v>
      </c>
      <c r="W252" s="37">
        <f ca="1">SUMIF('Tech Parameters'!AA$170:AA$189,$C252,W$195:W$214)</f>
        <v>0</v>
      </c>
      <c r="X252" s="37">
        <f ca="1">SUMIF('Tech Parameters'!AB$170:AB$189,$C252,X$195:X$214)</f>
        <v>0</v>
      </c>
      <c r="Y252" s="37">
        <f ca="1">SUMIF('Tech Parameters'!AC$170:AC$189,$C252,Y$195:Y$214)</f>
        <v>0</v>
      </c>
      <c r="Z252" s="37">
        <f ca="1">SUMIF('Tech Parameters'!AD$170:AD$189,$C252,Z$195:Z$214)</f>
        <v>0</v>
      </c>
      <c r="AA252" s="37">
        <f ca="1">SUMIF('Tech Parameters'!AE$170:AE$189,$C252,AA$195:AA$214)</f>
        <v>0</v>
      </c>
      <c r="AB252" s="37">
        <f ca="1">SUMIF('Tech Parameters'!AF$170:AF$189,$C252,AB$195:AB$214)</f>
        <v>0</v>
      </c>
      <c r="AC252" s="37">
        <f ca="1">SUMIF('Tech Parameters'!AG$170:AG$189,$C252,AC$195:AC$214)</f>
        <v>0</v>
      </c>
      <c r="BA252" s="4"/>
      <c r="BL252" s="4"/>
    </row>
    <row r="253" spans="3:64">
      <c r="C253">
        <v>15</v>
      </c>
      <c r="D253" s="37">
        <f>SUMIF('Tech Parameters'!H$170:H$189,$C253,D$195:D$214)</f>
        <v>0</v>
      </c>
      <c r="E253" s="37">
        <f>SUMIF('Tech Parameters'!I$170:I$189,$C253,E$195:E$214)</f>
        <v>162665.33464087764</v>
      </c>
      <c r="F253" s="37">
        <f>SUMIF('Tech Parameters'!J$170:J$189,$C253,F$195:F$214)</f>
        <v>162665.33464087764</v>
      </c>
      <c r="G253" s="37">
        <f>SUMIF('Tech Parameters'!K$170:K$189,$C253,G$195:G$214)</f>
        <v>162665.33464087764</v>
      </c>
      <c r="H253" s="37">
        <f>SUMIF('Tech Parameters'!L$170:L$189,$C253,H$195:H$214)</f>
        <v>162665.33464087764</v>
      </c>
      <c r="I253" s="37">
        <f ca="1">SUMIF('Tech Parameters'!M$170:M$189,$C253,I$195:I$214)</f>
        <v>162665.33464087764</v>
      </c>
      <c r="J253" s="37">
        <f ca="1">SUMIF('Tech Parameters'!N$170:N$189,$C253,J$195:J$214)</f>
        <v>162665.33464087764</v>
      </c>
      <c r="K253" s="37">
        <f ca="1">SUMIF('Tech Parameters'!O$170:O$189,$C253,K$195:K$214)</f>
        <v>162665.33464087764</v>
      </c>
      <c r="L253" s="37">
        <f ca="1">SUMIF('Tech Parameters'!P$170:P$189,$C253,L$195:L$214)</f>
        <v>162665.33464087764</v>
      </c>
      <c r="M253" s="37">
        <f ca="1">SUMIF('Tech Parameters'!Q$170:Q$189,$C253,M$195:M$214)</f>
        <v>162665.33464087764</v>
      </c>
      <c r="N253" s="37">
        <f ca="1">SUMIF('Tech Parameters'!R$170:R$189,$C253,N$195:N$214)</f>
        <v>162665.33464087764</v>
      </c>
      <c r="O253" s="37">
        <f ca="1">SUMIF('Tech Parameters'!S$170:S$189,$C253,O$195:O$214)</f>
        <v>162665.33464087764</v>
      </c>
      <c r="P253" s="37">
        <f ca="1">SUMIF('Tech Parameters'!T$170:T$189,$C253,P$195:P$214)</f>
        <v>162665.33464087764</v>
      </c>
      <c r="Q253" s="37">
        <f ca="1">SUMIF('Tech Parameters'!U$170:U$189,$C253,Q$195:Q$214)</f>
        <v>162665.33464087764</v>
      </c>
      <c r="R253" s="37">
        <f ca="1">SUMIF('Tech Parameters'!V$170:V$189,$C253,R$195:R$214)</f>
        <v>162665.33464087764</v>
      </c>
      <c r="S253" s="37">
        <f ca="1">SUMIF('Tech Parameters'!W$170:W$189,$C253,S$195:S$214)</f>
        <v>162665.33464087764</v>
      </c>
      <c r="T253" s="37">
        <f ca="1">SUMIF('Tech Parameters'!X$170:X$189,$C253,T$195:T$214)</f>
        <v>162665.33464087764</v>
      </c>
      <c r="U253" s="37">
        <f ca="1">SUMIF('Tech Parameters'!Y$170:Y$189,$C253,U$195:U$214)</f>
        <v>162665.33464087764</v>
      </c>
      <c r="V253" s="37">
        <f ca="1">SUMIF('Tech Parameters'!Z$170:Z$189,$C253,V$195:V$214)</f>
        <v>162665.33464087764</v>
      </c>
      <c r="W253" s="37">
        <f ca="1">SUMIF('Tech Parameters'!AA$170:AA$189,$C253,W$195:W$214)</f>
        <v>156579.59798994398</v>
      </c>
      <c r="X253" s="37">
        <f ca="1">SUMIF('Tech Parameters'!AB$170:AB$189,$C253,X$195:X$214)</f>
        <v>150493.8613390103</v>
      </c>
      <c r="Y253" s="37">
        <f ca="1">SUMIF('Tech Parameters'!AC$170:AC$189,$C253,Y$195:Y$214)</f>
        <v>142886.69052534318</v>
      </c>
      <c r="Z253" s="37">
        <f ca="1">SUMIF('Tech Parameters'!AD$170:AD$189,$C253,Z$195:Z$214)</f>
        <v>135279.51971167602</v>
      </c>
      <c r="AA253" s="37">
        <f ca="1">SUMIF('Tech Parameters'!AE$170:AE$189,$C253,AA$195:AA$214)</f>
        <v>126070.83925302638</v>
      </c>
      <c r="AB253" s="37">
        <f ca="1">SUMIF('Tech Parameters'!AF$170:AF$189,$C253,AB$195:AB$214)</f>
        <v>107653.47833572706</v>
      </c>
      <c r="AC253" s="37">
        <f ca="1">SUMIF('Tech Parameters'!AG$170:AG$189,$C253,AC$195:AC$214)</f>
        <v>98444.797877077363</v>
      </c>
      <c r="BA253" s="4"/>
      <c r="BL253" s="4"/>
    </row>
    <row r="254" spans="3:64">
      <c r="C254">
        <v>16</v>
      </c>
      <c r="D254" s="37">
        <f>SUMIF('Tech Parameters'!H$170:H$189,$C254,D$195:D$214)</f>
        <v>0</v>
      </c>
      <c r="E254" s="37">
        <f>SUMIF('Tech Parameters'!I$170:I$189,$C254,E$195:E$214)</f>
        <v>0</v>
      </c>
      <c r="F254" s="37">
        <f>SUMIF('Tech Parameters'!J$170:J$189,$C254,F$195:F$214)</f>
        <v>0</v>
      </c>
      <c r="G254" s="37">
        <f>SUMIF('Tech Parameters'!K$170:K$189,$C254,G$195:G$214)</f>
        <v>0</v>
      </c>
      <c r="H254" s="37">
        <f>SUMIF('Tech Parameters'!L$170:L$189,$C254,H$195:H$214)</f>
        <v>0</v>
      </c>
      <c r="I254" s="37">
        <f ca="1">SUMIF('Tech Parameters'!M$170:M$189,$C254,I$195:I$214)</f>
        <v>0</v>
      </c>
      <c r="J254" s="37">
        <f ca="1">SUMIF('Tech Parameters'!N$170:N$189,$C254,J$195:J$214)</f>
        <v>0</v>
      </c>
      <c r="K254" s="37">
        <f ca="1">SUMIF('Tech Parameters'!O$170:O$189,$C254,K$195:K$214)</f>
        <v>0</v>
      </c>
      <c r="L254" s="37">
        <f ca="1">SUMIF('Tech Parameters'!P$170:P$189,$C254,L$195:L$214)</f>
        <v>0</v>
      </c>
      <c r="M254" s="37">
        <f ca="1">SUMIF('Tech Parameters'!Q$170:Q$189,$C254,M$195:M$214)</f>
        <v>0</v>
      </c>
      <c r="N254" s="37">
        <f ca="1">SUMIF('Tech Parameters'!R$170:R$189,$C254,N$195:N$214)</f>
        <v>0</v>
      </c>
      <c r="O254" s="37">
        <f ca="1">SUMIF('Tech Parameters'!S$170:S$189,$C254,O$195:O$214)</f>
        <v>0</v>
      </c>
      <c r="P254" s="37">
        <f ca="1">SUMIF('Tech Parameters'!T$170:T$189,$C254,P$195:P$214)</f>
        <v>0</v>
      </c>
      <c r="Q254" s="37">
        <f ca="1">SUMIF('Tech Parameters'!U$170:U$189,$C254,Q$195:Q$214)</f>
        <v>0</v>
      </c>
      <c r="R254" s="37">
        <f ca="1">SUMIF('Tech Parameters'!V$170:V$189,$C254,R$195:R$214)</f>
        <v>0</v>
      </c>
      <c r="S254" s="37">
        <f ca="1">SUMIF('Tech Parameters'!W$170:W$189,$C254,S$195:S$214)</f>
        <v>0</v>
      </c>
      <c r="T254" s="37">
        <f ca="1">SUMIF('Tech Parameters'!X$170:X$189,$C254,T$195:T$214)</f>
        <v>0</v>
      </c>
      <c r="U254" s="37">
        <f ca="1">SUMIF('Tech Parameters'!Y$170:Y$189,$C254,U$195:U$214)</f>
        <v>0</v>
      </c>
      <c r="V254" s="37">
        <f ca="1">SUMIF('Tech Parameters'!Z$170:Z$189,$C254,V$195:V$214)</f>
        <v>0</v>
      </c>
      <c r="W254" s="37">
        <f ca="1">SUMIF('Tech Parameters'!AA$170:AA$189,$C254,W$195:W$214)</f>
        <v>0</v>
      </c>
      <c r="X254" s="37">
        <f ca="1">SUMIF('Tech Parameters'!AB$170:AB$189,$C254,X$195:X$214)</f>
        <v>0</v>
      </c>
      <c r="Y254" s="37">
        <f ca="1">SUMIF('Tech Parameters'!AC$170:AC$189,$C254,Y$195:Y$214)</f>
        <v>0</v>
      </c>
      <c r="Z254" s="37">
        <f ca="1">SUMIF('Tech Parameters'!AD$170:AD$189,$C254,Z$195:Z$214)</f>
        <v>0</v>
      </c>
      <c r="AA254" s="37">
        <f ca="1">SUMIF('Tech Parameters'!AE$170:AE$189,$C254,AA$195:AA$214)</f>
        <v>0</v>
      </c>
      <c r="AB254" s="37">
        <f ca="1">SUMIF('Tech Parameters'!AF$170:AF$189,$C254,AB$195:AB$214)</f>
        <v>2956.5729270000002</v>
      </c>
      <c r="AC254" s="37">
        <f ca="1">SUMIF('Tech Parameters'!AG$170:AG$189,$C254,AC$195:AC$214)</f>
        <v>5913.1458540000003</v>
      </c>
      <c r="BA254" s="4"/>
      <c r="BL254" s="4"/>
    </row>
    <row r="255" spans="3:64">
      <c r="C255">
        <v>17</v>
      </c>
      <c r="D255" s="37">
        <f>SUMIF('Tech Parameters'!H$170:H$189,$C255,D$195:D$214)</f>
        <v>26789.252120403748</v>
      </c>
      <c r="E255" s="37">
        <f>SUMIF('Tech Parameters'!I$170:I$189,$C255,E$195:E$214)</f>
        <v>26789.252120403748</v>
      </c>
      <c r="F255" s="37">
        <f>SUMIF('Tech Parameters'!J$170:J$189,$C255,F$195:F$214)</f>
        <v>0</v>
      </c>
      <c r="G255" s="37">
        <f>SUMIF('Tech Parameters'!K$170:K$189,$C255,G$195:G$214)</f>
        <v>0</v>
      </c>
      <c r="H255" s="37">
        <f>SUMIF('Tech Parameters'!L$170:L$189,$C255,H$195:H$214)</f>
        <v>0</v>
      </c>
      <c r="I255" s="37">
        <f ca="1">SUMIF('Tech Parameters'!M$170:M$189,$C255,I$195:I$214)</f>
        <v>0</v>
      </c>
      <c r="J255" s="37">
        <f ca="1">SUMIF('Tech Parameters'!N$170:N$189,$C255,J$195:J$214)</f>
        <v>0</v>
      </c>
      <c r="K255" s="37">
        <f ca="1">SUMIF('Tech Parameters'!O$170:O$189,$C255,K$195:K$214)</f>
        <v>4268.2161891600008</v>
      </c>
      <c r="L255" s="37">
        <f ca="1">SUMIF('Tech Parameters'!P$170:P$189,$C255,L$195:L$214)</f>
        <v>12804.648567479999</v>
      </c>
      <c r="M255" s="37">
        <f ca="1">SUMIF('Tech Parameters'!Q$170:Q$189,$C255,M$195:M$214)</f>
        <v>25609.297134959997</v>
      </c>
      <c r="N255" s="37">
        <f ca="1">SUMIF('Tech Parameters'!R$170:R$189,$C255,N$195:N$214)</f>
        <v>38413.945702440004</v>
      </c>
      <c r="O255" s="37">
        <f ca="1">SUMIF('Tech Parameters'!S$170:S$189,$C255,O$195:O$214)</f>
        <v>46950.378080760012</v>
      </c>
      <c r="P255" s="37">
        <f ca="1">SUMIF('Tech Parameters'!T$170:T$189,$C255,P$195:P$214)</f>
        <v>51218.59426992001</v>
      </c>
      <c r="Q255" s="37">
        <f ca="1">SUMIF('Tech Parameters'!U$170:U$189,$C255,Q$195:Q$214)</f>
        <v>51218.59426992001</v>
      </c>
      <c r="R255" s="37">
        <f ca="1">SUMIF('Tech Parameters'!V$170:V$189,$C255,R$195:R$214)</f>
        <v>51218.59426992001</v>
      </c>
      <c r="S255" s="37">
        <f ca="1">SUMIF('Tech Parameters'!W$170:W$189,$C255,S$195:S$214)</f>
        <v>51218.59426992001</v>
      </c>
      <c r="T255" s="37">
        <f ca="1">SUMIF('Tech Parameters'!X$170:X$189,$C255,T$195:T$214)</f>
        <v>51218.59426992001</v>
      </c>
      <c r="U255" s="37">
        <f ca="1">SUMIF('Tech Parameters'!Y$170:Y$189,$C255,U$195:U$214)</f>
        <v>51218.59426992001</v>
      </c>
      <c r="V255" s="37">
        <f ca="1">SUMIF('Tech Parameters'!Z$170:Z$189,$C255,V$195:V$214)</f>
        <v>51218.59426992001</v>
      </c>
      <c r="W255" s="37">
        <f ca="1">SUMIF('Tech Parameters'!AA$170:AA$189,$C255,W$195:W$214)</f>
        <v>51218.59426992001</v>
      </c>
      <c r="X255" s="37">
        <f ca="1">SUMIF('Tech Parameters'!AB$170:AB$189,$C255,X$195:X$214)</f>
        <v>51218.59426992001</v>
      </c>
      <c r="Y255" s="37">
        <f ca="1">SUMIF('Tech Parameters'!AC$170:AC$189,$C255,Y$195:Y$214)</f>
        <v>51218.59426992001</v>
      </c>
      <c r="Z255" s="37">
        <f ca="1">SUMIF('Tech Parameters'!AD$170:AD$189,$C255,Z$195:Z$214)</f>
        <v>51218.59426992001</v>
      </c>
      <c r="AA255" s="37">
        <f ca="1">SUMIF('Tech Parameters'!AE$170:AE$189,$C255,AA$195:AA$214)</f>
        <v>51218.59426992001</v>
      </c>
      <c r="AB255" s="37">
        <f ca="1">SUMIF('Tech Parameters'!AF$170:AF$189,$C255,AB$195:AB$214)</f>
        <v>51218.59426992001</v>
      </c>
      <c r="AC255" s="37">
        <f ca="1">SUMIF('Tech Parameters'!AG$170:AG$189,$C255,AC$195:AC$214)</f>
        <v>51218.59426992001</v>
      </c>
      <c r="BA255" s="4"/>
      <c r="BL255" s="4"/>
    </row>
    <row r="256" spans="3:64">
      <c r="C256">
        <v>18</v>
      </c>
      <c r="D256" s="37">
        <f>SUMIF('Tech Parameters'!H$170:H$189,$C256,D$195:D$214)</f>
        <v>0</v>
      </c>
      <c r="E256" s="37">
        <f>SUMIF('Tech Parameters'!I$170:I$189,$C256,E$195:E$214)</f>
        <v>0</v>
      </c>
      <c r="F256" s="37">
        <f>SUMIF('Tech Parameters'!J$170:J$189,$C256,F$195:F$214)</f>
        <v>26789.252120403748</v>
      </c>
      <c r="G256" s="37">
        <f>SUMIF('Tech Parameters'!K$170:K$189,$C256,G$195:G$214)</f>
        <v>26789.252120403748</v>
      </c>
      <c r="H256" s="37">
        <f>SUMIF('Tech Parameters'!L$170:L$189,$C256,H$195:H$214)</f>
        <v>26789.252120403748</v>
      </c>
      <c r="I256" s="37">
        <f ca="1">SUMIF('Tech Parameters'!M$170:M$189,$C256,I$195:I$214)</f>
        <v>30156.12050691207</v>
      </c>
      <c r="J256" s="37">
        <f ca="1">SUMIF('Tech Parameters'!N$170:N$189,$C256,J$195:J$214)</f>
        <v>32147.650269941878</v>
      </c>
      <c r="K256" s="37">
        <f ca="1">SUMIF('Tech Parameters'!O$170:O$189,$C256,K$195:K$214)</f>
        <v>32147.650269941878</v>
      </c>
      <c r="L256" s="37">
        <f ca="1">SUMIF('Tech Parameters'!P$170:P$189,$C256,L$195:L$214)</f>
        <v>32147.650269941878</v>
      </c>
      <c r="M256" s="37">
        <f ca="1">SUMIF('Tech Parameters'!Q$170:Q$189,$C256,M$195:M$214)</f>
        <v>32147.650269941878</v>
      </c>
      <c r="N256" s="37">
        <f ca="1">SUMIF('Tech Parameters'!R$170:R$189,$C256,N$195:N$214)</f>
        <v>32147.650269941878</v>
      </c>
      <c r="O256" s="37">
        <f ca="1">SUMIF('Tech Parameters'!S$170:S$189,$C256,O$195:O$214)</f>
        <v>31962.792928076487</v>
      </c>
      <c r="P256" s="37">
        <f ca="1">SUMIF('Tech Parameters'!T$170:T$189,$C256,P$195:P$214)</f>
        <v>31777.935586211097</v>
      </c>
      <c r="Q256" s="37">
        <f ca="1">SUMIF('Tech Parameters'!U$170:U$189,$C256,Q$195:Q$214)</f>
        <v>31531.459130390576</v>
      </c>
      <c r="R256" s="37">
        <f ca="1">SUMIF('Tech Parameters'!V$170:V$189,$C256,R$195:R$214)</f>
        <v>31284.982674570063</v>
      </c>
      <c r="S256" s="37">
        <f ca="1">SUMIF('Tech Parameters'!W$170:W$189,$C256,S$195:S$214)</f>
        <v>26601.930013980156</v>
      </c>
      <c r="T256" s="37">
        <f ca="1">SUMIF('Tech Parameters'!X$170:X$189,$C256,T$195:T$214)</f>
        <v>21918.877353390257</v>
      </c>
      <c r="U256" s="37">
        <f ca="1">SUMIF('Tech Parameters'!Y$170:Y$189,$C256,U$195:U$214)</f>
        <v>21918.877353390257</v>
      </c>
      <c r="V256" s="37">
        <f ca="1">SUMIF('Tech Parameters'!Z$170:Z$189,$C256,V$195:V$214)</f>
        <v>21918.877353390257</v>
      </c>
      <c r="W256" s="37">
        <f ca="1">SUMIF('Tech Parameters'!AA$170:AA$189,$C256,W$195:W$214)</f>
        <v>21918.877353390257</v>
      </c>
      <c r="X256" s="37">
        <f ca="1">SUMIF('Tech Parameters'!AB$170:AB$189,$C256,X$195:X$214)</f>
        <v>19761.112914045938</v>
      </c>
      <c r="Y256" s="37">
        <f ca="1">SUMIF('Tech Parameters'!AC$170:AC$189,$C256,Y$195:Y$214)</f>
        <v>17603.348474701619</v>
      </c>
      <c r="Z256" s="37">
        <f ca="1">SUMIF('Tech Parameters'!AD$170:AD$189,$C256,Z$195:Z$214)</f>
        <v>17603.348474701619</v>
      </c>
      <c r="AA256" s="37">
        <f ca="1">SUMIF('Tech Parameters'!AE$170:AE$189,$C256,AA$195:AA$214)</f>
        <v>17603.348474701619</v>
      </c>
      <c r="AB256" s="37">
        <f ca="1">SUMIF('Tech Parameters'!AF$170:AF$189,$C256,AB$195:AB$214)</f>
        <v>17603.348474701619</v>
      </c>
      <c r="AC256" s="37">
        <f ca="1">SUMIF('Tech Parameters'!AG$170:AG$189,$C256,AC$195:AC$214)</f>
        <v>17603.348474701619</v>
      </c>
      <c r="BA256" s="4"/>
      <c r="BL256" s="4"/>
    </row>
    <row r="257" spans="3:64">
      <c r="C257">
        <v>19</v>
      </c>
      <c r="D257" s="37">
        <f>SUMIF('Tech Parameters'!H$170:H$189,$C257,D$195:D$214)</f>
        <v>0</v>
      </c>
      <c r="E257" s="37">
        <f>SUMIF('Tech Parameters'!I$170:I$189,$C257,E$195:E$214)</f>
        <v>0</v>
      </c>
      <c r="F257" s="37">
        <f>SUMIF('Tech Parameters'!J$170:J$189,$C257,F$195:F$214)</f>
        <v>0</v>
      </c>
      <c r="G257" s="37">
        <f>SUMIF('Tech Parameters'!K$170:K$189,$C257,G$195:G$214)</f>
        <v>0</v>
      </c>
      <c r="H257" s="37">
        <f>SUMIF('Tech Parameters'!L$170:L$189,$C257,H$195:H$214)</f>
        <v>0</v>
      </c>
      <c r="I257" s="37">
        <f ca="1">SUMIF('Tech Parameters'!M$170:M$189,$C257,I$195:I$214)</f>
        <v>0</v>
      </c>
      <c r="J257" s="37">
        <f ca="1">SUMIF('Tech Parameters'!N$170:N$189,$C257,J$195:J$214)</f>
        <v>0</v>
      </c>
      <c r="K257" s="37">
        <f ca="1">SUMIF('Tech Parameters'!O$170:O$189,$C257,K$195:K$214)</f>
        <v>0</v>
      </c>
      <c r="L257" s="37">
        <f ca="1">SUMIF('Tech Parameters'!P$170:P$189,$C257,L$195:L$214)</f>
        <v>0</v>
      </c>
      <c r="M257" s="37">
        <f ca="1">SUMIF('Tech Parameters'!Q$170:Q$189,$C257,M$195:M$214)</f>
        <v>0</v>
      </c>
      <c r="N257" s="37">
        <f ca="1">SUMIF('Tech Parameters'!R$170:R$189,$C257,N$195:N$214)</f>
        <v>0</v>
      </c>
      <c r="O257" s="37">
        <f ca="1">SUMIF('Tech Parameters'!S$170:S$189,$C257,O$195:O$214)</f>
        <v>0</v>
      </c>
      <c r="P257" s="37">
        <f ca="1">SUMIF('Tech Parameters'!T$170:T$189,$C257,P$195:P$214)</f>
        <v>0</v>
      </c>
      <c r="Q257" s="37">
        <f ca="1">SUMIF('Tech Parameters'!U$170:U$189,$C257,Q$195:Q$214)</f>
        <v>0</v>
      </c>
      <c r="R257" s="37">
        <f ca="1">SUMIF('Tech Parameters'!V$170:V$189,$C257,R$195:R$214)</f>
        <v>0</v>
      </c>
      <c r="S257" s="37">
        <f ca="1">SUMIF('Tech Parameters'!W$170:W$189,$C257,S$195:S$214)</f>
        <v>0</v>
      </c>
      <c r="T257" s="37">
        <f ca="1">SUMIF('Tech Parameters'!X$170:X$189,$C257,T$195:T$214)</f>
        <v>0</v>
      </c>
      <c r="U257" s="37">
        <f ca="1">SUMIF('Tech Parameters'!Y$170:Y$189,$C257,U$195:U$214)</f>
        <v>0</v>
      </c>
      <c r="V257" s="37">
        <f ca="1">SUMIF('Tech Parameters'!Z$170:Z$189,$C257,V$195:V$214)</f>
        <v>0</v>
      </c>
      <c r="W257" s="37">
        <f ca="1">SUMIF('Tech Parameters'!AA$170:AA$189,$C257,W$195:W$214)</f>
        <v>0</v>
      </c>
      <c r="X257" s="37">
        <f ca="1">SUMIF('Tech Parameters'!AB$170:AB$189,$C257,X$195:X$214)</f>
        <v>0</v>
      </c>
      <c r="Y257" s="37">
        <f ca="1">SUMIF('Tech Parameters'!AC$170:AC$189,$C257,Y$195:Y$214)</f>
        <v>0</v>
      </c>
      <c r="Z257" s="37">
        <f ca="1">SUMIF('Tech Parameters'!AD$170:AD$189,$C257,Z$195:Z$214)</f>
        <v>2519.6568352941181</v>
      </c>
      <c r="AA257" s="37">
        <f ca="1">SUMIF('Tech Parameters'!AE$170:AE$189,$C257,AA$195:AA$214)</f>
        <v>6299.1420882352941</v>
      </c>
      <c r="AB257" s="37">
        <f ca="1">SUMIF('Tech Parameters'!AF$170:AF$189,$C257,AB$195:AB$214)</f>
        <v>10078.627341176472</v>
      </c>
      <c r="AC257" s="37">
        <f ca="1">SUMIF('Tech Parameters'!AG$170:AG$189,$C257,AC$195:AC$214)</f>
        <v>10078.627341176472</v>
      </c>
      <c r="BA257" s="4"/>
      <c r="BL257" s="4"/>
    </row>
    <row r="258" spans="3:64">
      <c r="C258">
        <v>20</v>
      </c>
      <c r="D258" s="37">
        <f>SUMIF('Tech Parameters'!H$170:H$189,$C258,D$195:D$214)</f>
        <v>912.47907878399997</v>
      </c>
      <c r="E258" s="37">
        <f>SUMIF('Tech Parameters'!I$170:I$189,$C258,E$195:E$214)</f>
        <v>912.47907878399997</v>
      </c>
      <c r="F258" s="37">
        <f>SUMIF('Tech Parameters'!J$170:J$189,$C258,F$195:F$214)</f>
        <v>912.47907878399997</v>
      </c>
      <c r="G258" s="37">
        <f>SUMIF('Tech Parameters'!K$170:K$189,$C258,G$195:G$214)</f>
        <v>912.47907878399997</v>
      </c>
      <c r="H258" s="37">
        <f>SUMIF('Tech Parameters'!L$170:L$189,$C258,H$195:H$214)</f>
        <v>912.47907878399997</v>
      </c>
      <c r="I258" s="37">
        <f ca="1">SUMIF('Tech Parameters'!M$170:M$189,$C258,I$195:I$214)</f>
        <v>912.47907878399997</v>
      </c>
      <c r="J258" s="37">
        <f ca="1">SUMIF('Tech Parameters'!N$170:N$189,$C258,J$195:J$214)</f>
        <v>1323.0946642368001</v>
      </c>
      <c r="K258" s="37">
        <f ca="1">SUMIF('Tech Parameters'!O$170:O$189,$C258,K$195:K$214)</f>
        <v>1323.0946642368001</v>
      </c>
      <c r="L258" s="37">
        <f ca="1">SUMIF('Tech Parameters'!P$170:P$189,$C258,L$195:L$214)</f>
        <v>1323.0946642368001</v>
      </c>
      <c r="M258" s="37">
        <f ca="1">SUMIF('Tech Parameters'!Q$170:Q$189,$C258,M$195:M$214)</f>
        <v>1323.0946642368001</v>
      </c>
      <c r="N258" s="37">
        <f ca="1">SUMIF('Tech Parameters'!R$170:R$189,$C258,N$195:N$214)</f>
        <v>1323.0946642368001</v>
      </c>
      <c r="O258" s="37">
        <f ca="1">SUMIF('Tech Parameters'!S$170:S$189,$C258,O$195:O$214)</f>
        <v>1323.0946642368001</v>
      </c>
      <c r="P258" s="37">
        <f ca="1">SUMIF('Tech Parameters'!T$170:T$189,$C258,P$195:P$214)</f>
        <v>1323.0946642368001</v>
      </c>
      <c r="Q258" s="37">
        <f ca="1">SUMIF('Tech Parameters'!U$170:U$189,$C258,Q$195:Q$214)</f>
        <v>1323.0946642368001</v>
      </c>
      <c r="R258" s="37">
        <f ca="1">SUMIF('Tech Parameters'!V$170:V$189,$C258,R$195:R$214)</f>
        <v>1323.0946642368001</v>
      </c>
      <c r="S258" s="37">
        <f ca="1">SUMIF('Tech Parameters'!W$170:W$189,$C258,S$195:S$214)</f>
        <v>1323.0946642368001</v>
      </c>
      <c r="T258" s="37">
        <f ca="1">SUMIF('Tech Parameters'!X$170:X$189,$C258,T$195:T$214)</f>
        <v>1323.0946642368001</v>
      </c>
      <c r="U258" s="37">
        <f ca="1">SUMIF('Tech Parameters'!Y$170:Y$189,$C258,U$195:U$214)</f>
        <v>1323.0946642368001</v>
      </c>
      <c r="V258" s="37">
        <f ca="1">SUMIF('Tech Parameters'!Z$170:Z$189,$C258,V$195:V$214)</f>
        <v>1323.0946642368001</v>
      </c>
      <c r="W258" s="37">
        <f ca="1">SUMIF('Tech Parameters'!AA$170:AA$189,$C258,W$195:W$214)</f>
        <v>1323.0946642368001</v>
      </c>
      <c r="X258" s="37">
        <f ca="1">SUMIF('Tech Parameters'!AB$170:AB$189,$C258,X$195:X$214)</f>
        <v>1323.0946642368001</v>
      </c>
      <c r="Y258" s="37">
        <f ca="1">SUMIF('Tech Parameters'!AC$170:AC$189,$C258,Y$195:Y$214)</f>
        <v>1596.8383878719997</v>
      </c>
      <c r="Z258" s="37">
        <f ca="1">SUMIF('Tech Parameters'!AD$170:AD$189,$C258,Z$195:Z$214)</f>
        <v>1596.8383878719997</v>
      </c>
      <c r="AA258" s="37">
        <f ca="1">SUMIF('Tech Parameters'!AE$170:AE$189,$C258,AA$195:AA$214)</f>
        <v>1596.8383878719997</v>
      </c>
      <c r="AB258" s="37">
        <f ca="1">SUMIF('Tech Parameters'!AF$170:AF$189,$C258,AB$195:AB$214)</f>
        <v>1961.8300193855996</v>
      </c>
      <c r="AC258" s="37">
        <f ca="1">SUMIF('Tech Parameters'!AG$170:AG$189,$C258,AC$195:AC$214)</f>
        <v>2261.8075165358396</v>
      </c>
      <c r="BA258" s="4"/>
      <c r="BL258" s="4"/>
    </row>
    <row r="259" spans="3:64">
      <c r="C259" s="4"/>
    </row>
    <row r="265" spans="3:64">
      <c r="C265" s="4" t="s">
        <v>61</v>
      </c>
    </row>
    <row r="266" spans="3:64">
      <c r="C266" s="11" t="s">
        <v>240</v>
      </c>
      <c r="D266">
        <f>'Elec Demand'!F23</f>
        <v>229450.23732527756</v>
      </c>
      <c r="E266">
        <f>'Elec Demand'!G23</f>
        <v>229450.23732527756</v>
      </c>
      <c r="F266">
        <f>'Elec Demand'!H23</f>
        <v>236231.81625033589</v>
      </c>
      <c r="G266">
        <f>'Elec Demand'!I23</f>
        <v>238594.13441283922</v>
      </c>
      <c r="H266">
        <f>'Elec Demand'!J23</f>
        <v>238594.13441283922</v>
      </c>
      <c r="I266">
        <f>'Elec Demand'!K23</f>
        <v>245375.74905814775</v>
      </c>
      <c r="J266">
        <f>'Elec Demand'!L23</f>
        <v>250370.40714413894</v>
      </c>
      <c r="K266">
        <f>'Elec Demand'!M23</f>
        <v>256341.34343116108</v>
      </c>
      <c r="L266">
        <f>'Elec Demand'!N23</f>
        <v>263219.01481448294</v>
      </c>
      <c r="M266">
        <f>'Elec Demand'!O23</f>
        <v>271642.68291066994</v>
      </c>
      <c r="N266">
        <f>'Elec Demand'!P23</f>
        <v>279964.71108455787</v>
      </c>
      <c r="O266">
        <f>'Elec Demand'!Q23</f>
        <v>288749.46837838634</v>
      </c>
      <c r="P266">
        <f>'Elec Demand'!R23</f>
        <v>297389.78999315831</v>
      </c>
      <c r="Q266">
        <f>'Elec Demand'!S23</f>
        <v>306503.53966706025</v>
      </c>
      <c r="R266">
        <f>'Elec Demand'!T23</f>
        <v>316045.24690853735</v>
      </c>
      <c r="S266">
        <f>'Elec Demand'!U23</f>
        <v>325636.02759571554</v>
      </c>
      <c r="T266">
        <f>'Elec Demand'!V23</f>
        <v>335729.65842479456</v>
      </c>
      <c r="U266">
        <f>'Elec Demand'!W23</f>
        <v>345973.07440252486</v>
      </c>
      <c r="V266">
        <f>'Elec Demand'!X23</f>
        <v>356925.2951015514</v>
      </c>
      <c r="W266">
        <f>'Elec Demand'!Y23</f>
        <v>368257.32814180088</v>
      </c>
      <c r="X266">
        <f>'Elec Demand'!Z23</f>
        <v>380089.53658915387</v>
      </c>
      <c r="Y266">
        <f>'Elec Demand'!AA23</f>
        <v>392868.60115476674</v>
      </c>
      <c r="Z266">
        <f>'Elec Demand'!AB23</f>
        <v>406190.63688424067</v>
      </c>
      <c r="AA266">
        <f>'Elec Demand'!AC23</f>
        <v>419929.93124210037</v>
      </c>
      <c r="AB266">
        <f>'Elec Demand'!AD23</f>
        <v>433960.77169287053</v>
      </c>
      <c r="AC266">
        <f>'Elec Demand'!AE23</f>
        <v>444177.44032262731</v>
      </c>
    </row>
    <row r="267" spans="3:64">
      <c r="C267" s="11" t="s">
        <v>241</v>
      </c>
      <c r="D267">
        <f>D27*8760/'Tech Parameters'!$G$25*'Tech Parameters'!$H$25</f>
        <v>4241.2120880024113</v>
      </c>
      <c r="E267">
        <f>E27*8760/'Tech Parameters'!$G$25*'Tech Parameters'!$H$25</f>
        <v>4241.2120880024113</v>
      </c>
      <c r="F267">
        <f>F27*8760/'Tech Parameters'!$G$25*'Tech Parameters'!$H$25</f>
        <v>4241.2120880024113</v>
      </c>
      <c r="G267">
        <f>G27*8760/'Tech Parameters'!$G$25*'Tech Parameters'!$H$25</f>
        <v>4241.2120880024113</v>
      </c>
      <c r="H267">
        <f>H27*8760/'Tech Parameters'!$G$25*'Tech Parameters'!$H$25</f>
        <v>4241.2120880024113</v>
      </c>
      <c r="I267">
        <f ca="1">I27*8760/'Tech Parameters'!$G$25*'Tech Parameters'!$H$25</f>
        <v>4241.2120880024113</v>
      </c>
      <c r="J267">
        <f ca="1">J27*8760/'Tech Parameters'!$G$25*'Tech Parameters'!$H$25</f>
        <v>4241.2120880024113</v>
      </c>
      <c r="K267">
        <f ca="1">K27*8760/'Tech Parameters'!$G$25*'Tech Parameters'!$H$25</f>
        <v>4241.2120880024113</v>
      </c>
      <c r="L267">
        <f ca="1">L27*8760/'Tech Parameters'!$G$25*'Tech Parameters'!$H$25</f>
        <v>6028.9635124388706</v>
      </c>
      <c r="M267">
        <f ca="1">M27*8760/'Tech Parameters'!$G$25*'Tech Parameters'!$H$25</f>
        <v>7816.7149368753298</v>
      </c>
      <c r="N267">
        <f ca="1">N27*8760/'Tech Parameters'!$G$25*'Tech Parameters'!$H$25</f>
        <v>9604.46636131179</v>
      </c>
      <c r="O267">
        <f ca="1">O27*8760/'Tech Parameters'!$G$25*'Tech Parameters'!$H$25</f>
        <v>11392.217785748247</v>
      </c>
      <c r="P267">
        <f ca="1">P27*8760/'Tech Parameters'!$G$25*'Tech Parameters'!$H$25</f>
        <v>11392.217785748247</v>
      </c>
      <c r="Q267">
        <f ca="1">Q27*8760/'Tech Parameters'!$G$25*'Tech Parameters'!$H$25</f>
        <v>11392.217785748247</v>
      </c>
      <c r="R267">
        <f ca="1">R27*8760/'Tech Parameters'!$G$25*'Tech Parameters'!$H$25</f>
        <v>11392.217785748247</v>
      </c>
      <c r="S267">
        <f ca="1">S27*8760/'Tech Parameters'!$G$25*'Tech Parameters'!$H$25</f>
        <v>11392.217785748247</v>
      </c>
      <c r="T267">
        <f ca="1">T27*8760/'Tech Parameters'!$G$25*'Tech Parameters'!$H$25</f>
        <v>11392.217785748247</v>
      </c>
      <c r="U267">
        <f ca="1">U27*8760/'Tech Parameters'!$G$25*'Tech Parameters'!$H$25</f>
        <v>11392.217785748247</v>
      </c>
      <c r="V267">
        <f ca="1">V27*8760/'Tech Parameters'!$G$25*'Tech Parameters'!$H$25</f>
        <v>11392.217785748247</v>
      </c>
      <c r="W267">
        <f ca="1">W27*8760/'Tech Parameters'!$G$25*'Tech Parameters'!$H$25</f>
        <v>11392.217785748247</v>
      </c>
      <c r="X267">
        <f ca="1">X27*8760/'Tech Parameters'!$G$25*'Tech Parameters'!$H$25</f>
        <v>11392.217785748247</v>
      </c>
      <c r="Y267">
        <f ca="1">Y27*8760/'Tech Parameters'!$G$25*'Tech Parameters'!$H$25</f>
        <v>11392.217785748247</v>
      </c>
      <c r="Z267">
        <f ca="1">Z27*8760/'Tech Parameters'!$G$25*'Tech Parameters'!$H$25</f>
        <v>11392.217785748247</v>
      </c>
      <c r="AA267">
        <f ca="1">AA27*8760/'Tech Parameters'!$G$25*'Tech Parameters'!$H$25</f>
        <v>11392.217785748247</v>
      </c>
      <c r="AB267">
        <f ca="1">AB27*8760/'Tech Parameters'!$G$25*'Tech Parameters'!$H$25</f>
        <v>11392.217785748247</v>
      </c>
      <c r="AC267">
        <f ca="1">AC27*8760/'Tech Parameters'!$G$25*'Tech Parameters'!$H$25</f>
        <v>11392.217785748247</v>
      </c>
    </row>
    <row r="268" spans="3:64">
      <c r="C268" s="11" t="s">
        <v>242</v>
      </c>
      <c r="D268">
        <f>'Elec Demand'!F29</f>
        <v>14126</v>
      </c>
      <c r="E268">
        <f>'Elec Demand'!G29</f>
        <v>14126</v>
      </c>
      <c r="F268">
        <f>'Elec Demand'!H29</f>
        <v>14126</v>
      </c>
      <c r="G268">
        <f>'Elec Demand'!I29</f>
        <v>14126</v>
      </c>
      <c r="H268">
        <f>'Elec Demand'!J29</f>
        <v>14126</v>
      </c>
      <c r="I268">
        <f>'Elec Demand'!K29</f>
        <v>14126</v>
      </c>
      <c r="J268">
        <f>'Elec Demand'!L29</f>
        <v>14126</v>
      </c>
      <c r="K268">
        <f>'Elec Demand'!M29</f>
        <v>14126</v>
      </c>
      <c r="L268">
        <f>'Elec Demand'!N29</f>
        <v>14126</v>
      </c>
      <c r="M268">
        <f>'Elec Demand'!O29</f>
        <v>14126</v>
      </c>
      <c r="N268">
        <f>'Elec Demand'!P29</f>
        <v>14126</v>
      </c>
      <c r="O268">
        <f>'Elec Demand'!Q29</f>
        <v>14126</v>
      </c>
      <c r="P268">
        <f>'Elec Demand'!R29</f>
        <v>14126</v>
      </c>
      <c r="Q268">
        <f>'Elec Demand'!S29</f>
        <v>14126</v>
      </c>
      <c r="R268">
        <f>'Elec Demand'!T29</f>
        <v>14126</v>
      </c>
      <c r="S268">
        <f>'Elec Demand'!U29</f>
        <v>14126</v>
      </c>
      <c r="T268">
        <f>'Elec Demand'!V29</f>
        <v>14126</v>
      </c>
      <c r="U268">
        <f>'Elec Demand'!W29</f>
        <v>14126</v>
      </c>
      <c r="V268">
        <f>'Elec Demand'!X29</f>
        <v>14126</v>
      </c>
      <c r="W268">
        <f>'Elec Demand'!Y29</f>
        <v>14126</v>
      </c>
      <c r="X268">
        <f>'Elec Demand'!Z29</f>
        <v>14126</v>
      </c>
      <c r="Y268">
        <f>'Elec Demand'!AA29</f>
        <v>14126</v>
      </c>
      <c r="Z268">
        <f>'Elec Demand'!AB29</f>
        <v>14126</v>
      </c>
      <c r="AA268">
        <f>'Elec Demand'!AC29</f>
        <v>14126</v>
      </c>
      <c r="AB268">
        <f>'Elec Demand'!AD29</f>
        <v>14126</v>
      </c>
      <c r="AC268">
        <f>'Elec Demand'!AE29</f>
        <v>14126</v>
      </c>
    </row>
    <row r="269" spans="3:64">
      <c r="C269" s="11" t="s">
        <v>243</v>
      </c>
      <c r="D269">
        <f>'Elec Demand'!F26</f>
        <v>10624</v>
      </c>
      <c r="E269">
        <f>'Elec Demand'!G26</f>
        <v>10624</v>
      </c>
      <c r="F269">
        <f>'Elec Demand'!H26</f>
        <v>10624</v>
      </c>
      <c r="G269">
        <f>'Elec Demand'!I26</f>
        <v>10624</v>
      </c>
      <c r="H269">
        <f>'Elec Demand'!J26</f>
        <v>10624</v>
      </c>
      <c r="I269">
        <f>'Elec Demand'!K26</f>
        <v>10624</v>
      </c>
      <c r="J269">
        <f>'Elec Demand'!L26</f>
        <v>10624</v>
      </c>
      <c r="K269">
        <f>'Elec Demand'!M26</f>
        <v>10624</v>
      </c>
      <c r="L269">
        <f>'Elec Demand'!N26</f>
        <v>10624</v>
      </c>
      <c r="M269">
        <f>'Elec Demand'!O26</f>
        <v>10624</v>
      </c>
      <c r="N269">
        <f>'Elec Demand'!P26</f>
        <v>10624</v>
      </c>
      <c r="O269">
        <f>'Elec Demand'!Q26</f>
        <v>10624</v>
      </c>
      <c r="P269">
        <f>'Elec Demand'!R26</f>
        <v>10624</v>
      </c>
      <c r="Q269">
        <f>'Elec Demand'!S26</f>
        <v>10624</v>
      </c>
      <c r="R269">
        <f>'Elec Demand'!T26</f>
        <v>10624</v>
      </c>
      <c r="S269">
        <f>'Elec Demand'!U26</f>
        <v>10624</v>
      </c>
      <c r="T269">
        <f>'Elec Demand'!V26</f>
        <v>10624</v>
      </c>
      <c r="U269">
        <f>'Elec Demand'!W26</f>
        <v>10624</v>
      </c>
      <c r="V269">
        <f>'Elec Demand'!X26</f>
        <v>10624</v>
      </c>
      <c r="W269">
        <f>'Elec Demand'!Y26</f>
        <v>10624</v>
      </c>
      <c r="X269">
        <f>'Elec Demand'!Z26</f>
        <v>10624</v>
      </c>
      <c r="Y269">
        <f>'Elec Demand'!AA26</f>
        <v>10624</v>
      </c>
      <c r="Z269">
        <f>'Elec Demand'!AB26</f>
        <v>10624</v>
      </c>
      <c r="AA269">
        <f>'Elec Demand'!AC26</f>
        <v>10624</v>
      </c>
      <c r="AB269">
        <f>'Elec Demand'!AD26</f>
        <v>10624</v>
      </c>
      <c r="AC269">
        <f>'Elec Demand'!AE26</f>
        <v>10624</v>
      </c>
    </row>
    <row r="271" spans="3:64">
      <c r="C271" s="4" t="s">
        <v>244</v>
      </c>
      <c r="D271">
        <f>D266+D267+D268-D269</f>
        <v>237193.44941327997</v>
      </c>
      <c r="E271">
        <f>E266+E267+E268-E269</f>
        <v>237193.44941327997</v>
      </c>
      <c r="F271">
        <f>F266+F267+F268-F269</f>
        <v>243975.02833833831</v>
      </c>
      <c r="G271">
        <f>G266+G267+G268-G269</f>
        <v>246337.34650084164</v>
      </c>
      <c r="H271">
        <f>H266+H267+H268-H269</f>
        <v>246337.34650084164</v>
      </c>
      <c r="I271">
        <f t="shared" ref="I271:AC271" ca="1" si="47">I266+I267+I268-I269</f>
        <v>253118.96114615013</v>
      </c>
      <c r="J271">
        <f t="shared" ca="1" si="47"/>
        <v>258113.61923214135</v>
      </c>
      <c r="K271">
        <f t="shared" ca="1" si="47"/>
        <v>264084.55551916349</v>
      </c>
      <c r="L271">
        <f t="shared" ca="1" si="47"/>
        <v>272749.97832692182</v>
      </c>
      <c r="M271">
        <f t="shared" ca="1" si="47"/>
        <v>282961.39784754527</v>
      </c>
      <c r="N271">
        <f t="shared" ca="1" si="47"/>
        <v>293071.17744586966</v>
      </c>
      <c r="O271">
        <f t="shared" ca="1" si="47"/>
        <v>303643.68616413459</v>
      </c>
      <c r="P271">
        <f t="shared" ca="1" si="47"/>
        <v>312284.00777890655</v>
      </c>
      <c r="Q271">
        <f t="shared" ca="1" si="47"/>
        <v>321397.7574528085</v>
      </c>
      <c r="R271">
        <f t="shared" ca="1" si="47"/>
        <v>330939.46469428559</v>
      </c>
      <c r="S271">
        <f t="shared" ca="1" si="47"/>
        <v>340530.24538146378</v>
      </c>
      <c r="T271">
        <f t="shared" ca="1" si="47"/>
        <v>350623.8762105428</v>
      </c>
      <c r="U271">
        <f t="shared" ca="1" si="47"/>
        <v>360867.2921882731</v>
      </c>
      <c r="V271">
        <f t="shared" ca="1" si="47"/>
        <v>371819.51288729964</v>
      </c>
      <c r="W271">
        <f t="shared" ca="1" si="47"/>
        <v>383151.54592754913</v>
      </c>
      <c r="X271">
        <f t="shared" ca="1" si="47"/>
        <v>394983.75437490211</v>
      </c>
      <c r="Y271">
        <f t="shared" ca="1" si="47"/>
        <v>407762.81894051499</v>
      </c>
      <c r="Z271">
        <f t="shared" ca="1" si="47"/>
        <v>421084.85466998891</v>
      </c>
      <c r="AA271">
        <f t="shared" ca="1" si="47"/>
        <v>434824.14902784862</v>
      </c>
      <c r="AB271">
        <f t="shared" ca="1" si="47"/>
        <v>448854.98947861878</v>
      </c>
      <c r="AC271">
        <f t="shared" ca="1" si="47"/>
        <v>459071.65810837556</v>
      </c>
    </row>
    <row r="274" spans="3:29">
      <c r="C274" s="4" t="s">
        <v>228</v>
      </c>
    </row>
    <row r="275" spans="3:29">
      <c r="C275" s="11" t="s">
        <v>230</v>
      </c>
    </row>
    <row r="276" spans="3:29">
      <c r="C276">
        <v>1</v>
      </c>
      <c r="D276" s="29">
        <f t="shared" ref="D276:AC276" si="48">D217</f>
        <v>3096.0000000000005</v>
      </c>
      <c r="E276" s="29">
        <f t="shared" si="48"/>
        <v>3096.0000000000005</v>
      </c>
      <c r="F276" s="29">
        <f t="shared" si="48"/>
        <v>3096.0000000000005</v>
      </c>
      <c r="G276">
        <f t="shared" si="48"/>
        <v>3096.0000000000005</v>
      </c>
      <c r="H276">
        <f t="shared" si="48"/>
        <v>3096.0000000000005</v>
      </c>
      <c r="I276">
        <f t="shared" ca="1" si="48"/>
        <v>3096.0000000000005</v>
      </c>
      <c r="J276">
        <f t="shared" ca="1" si="48"/>
        <v>3096.0000000000005</v>
      </c>
      <c r="K276">
        <f t="shared" ca="1" si="48"/>
        <v>3096.0000000000005</v>
      </c>
      <c r="L276">
        <f t="shared" ca="1" si="48"/>
        <v>4401.0227848101276</v>
      </c>
      <c r="M276">
        <f t="shared" ca="1" si="48"/>
        <v>5706.0455696202544</v>
      </c>
      <c r="N276">
        <f t="shared" ca="1" si="48"/>
        <v>7011.0683544303811</v>
      </c>
      <c r="O276">
        <f t="shared" ca="1" si="48"/>
        <v>8316.0911392405087</v>
      </c>
      <c r="P276">
        <f t="shared" ca="1" si="48"/>
        <v>8316.0911392405087</v>
      </c>
      <c r="Q276">
        <f t="shared" ca="1" si="48"/>
        <v>8316.0911392405087</v>
      </c>
      <c r="R276">
        <f t="shared" ca="1" si="48"/>
        <v>8316.0911392405087</v>
      </c>
      <c r="S276">
        <f t="shared" ca="1" si="48"/>
        <v>8316.0911392405087</v>
      </c>
      <c r="T276">
        <f t="shared" ca="1" si="48"/>
        <v>8316.0911392405087</v>
      </c>
      <c r="U276">
        <f t="shared" ca="1" si="48"/>
        <v>8316.0911392405087</v>
      </c>
      <c r="V276">
        <f t="shared" ca="1" si="48"/>
        <v>8316.0911392405087</v>
      </c>
      <c r="W276">
        <f t="shared" ca="1" si="48"/>
        <v>8316.0911392405087</v>
      </c>
      <c r="X276">
        <f t="shared" ca="1" si="48"/>
        <v>8316.0911392405087</v>
      </c>
      <c r="Y276">
        <f t="shared" ca="1" si="48"/>
        <v>8316.0911392405087</v>
      </c>
      <c r="Z276">
        <f t="shared" ca="1" si="48"/>
        <v>8316.0911392405087</v>
      </c>
      <c r="AA276">
        <f t="shared" ca="1" si="48"/>
        <v>8316.0911392405087</v>
      </c>
      <c r="AB276">
        <f t="shared" ca="1" si="48"/>
        <v>8316.0911392405087</v>
      </c>
      <c r="AC276">
        <f t="shared" ca="1" si="48"/>
        <v>8316.0911392405087</v>
      </c>
    </row>
    <row r="277" spans="3:29">
      <c r="C277">
        <v>2</v>
      </c>
      <c r="D277" s="29">
        <f t="shared" ref="D277:AC286" si="49">IF(D298+D218&lt;D$271,D218,D$271-D298)</f>
        <v>0</v>
      </c>
      <c r="E277" s="29">
        <f t="shared" si="49"/>
        <v>0</v>
      </c>
      <c r="F277" s="29">
        <f t="shared" si="49"/>
        <v>0</v>
      </c>
      <c r="G277">
        <f t="shared" si="49"/>
        <v>0</v>
      </c>
      <c r="H277">
        <f t="shared" si="49"/>
        <v>0</v>
      </c>
      <c r="I277">
        <f t="shared" ca="1" si="49"/>
        <v>0</v>
      </c>
      <c r="J277">
        <f t="shared" ca="1" si="49"/>
        <v>0</v>
      </c>
      <c r="K277">
        <f t="shared" ca="1" si="49"/>
        <v>0</v>
      </c>
      <c r="L277">
        <f t="shared" ca="1" si="49"/>
        <v>0</v>
      </c>
      <c r="M277">
        <f t="shared" ca="1" si="49"/>
        <v>0</v>
      </c>
      <c r="N277">
        <f t="shared" ca="1" si="49"/>
        <v>0</v>
      </c>
      <c r="O277">
        <f t="shared" ca="1" si="49"/>
        <v>0</v>
      </c>
      <c r="P277">
        <f t="shared" ca="1" si="49"/>
        <v>0</v>
      </c>
      <c r="Q277">
        <f t="shared" ca="1" si="49"/>
        <v>0</v>
      </c>
      <c r="R277">
        <f t="shared" ca="1" si="49"/>
        <v>0</v>
      </c>
      <c r="S277">
        <f t="shared" ca="1" si="49"/>
        <v>0</v>
      </c>
      <c r="T277">
        <f t="shared" ca="1" si="49"/>
        <v>0</v>
      </c>
      <c r="U277">
        <f t="shared" ca="1" si="49"/>
        <v>0</v>
      </c>
      <c r="V277">
        <f t="shared" ca="1" si="49"/>
        <v>0</v>
      </c>
      <c r="W277">
        <f t="shared" ca="1" si="49"/>
        <v>0</v>
      </c>
      <c r="X277">
        <f t="shared" ca="1" si="49"/>
        <v>0</v>
      </c>
      <c r="Y277">
        <f t="shared" ca="1" si="49"/>
        <v>0</v>
      </c>
      <c r="Z277">
        <f t="shared" ca="1" si="49"/>
        <v>0</v>
      </c>
      <c r="AA277">
        <f t="shared" ca="1" si="49"/>
        <v>0</v>
      </c>
      <c r="AB277">
        <f t="shared" ca="1" si="49"/>
        <v>0</v>
      </c>
      <c r="AC277">
        <f t="shared" ca="1" si="49"/>
        <v>0</v>
      </c>
    </row>
    <row r="278" spans="3:29">
      <c r="C278">
        <v>3</v>
      </c>
      <c r="D278" s="29">
        <f t="shared" si="49"/>
        <v>0</v>
      </c>
      <c r="E278" s="29">
        <f t="shared" si="49"/>
        <v>0</v>
      </c>
      <c r="F278" s="29">
        <f t="shared" si="49"/>
        <v>0</v>
      </c>
      <c r="G278">
        <f t="shared" si="49"/>
        <v>0</v>
      </c>
      <c r="H278">
        <f t="shared" si="49"/>
        <v>0</v>
      </c>
      <c r="I278">
        <f t="shared" ca="1" si="49"/>
        <v>0</v>
      </c>
      <c r="J278">
        <f t="shared" ca="1" si="49"/>
        <v>0</v>
      </c>
      <c r="K278">
        <f t="shared" ca="1" si="49"/>
        <v>0</v>
      </c>
      <c r="L278">
        <f t="shared" ca="1" si="49"/>
        <v>0</v>
      </c>
      <c r="M278">
        <f t="shared" ca="1" si="49"/>
        <v>0</v>
      </c>
      <c r="N278">
        <f t="shared" ca="1" si="49"/>
        <v>0</v>
      </c>
      <c r="O278">
        <f t="shared" ca="1" si="49"/>
        <v>0</v>
      </c>
      <c r="P278">
        <f t="shared" ca="1" si="49"/>
        <v>0</v>
      </c>
      <c r="Q278">
        <f t="shared" ca="1" si="49"/>
        <v>0</v>
      </c>
      <c r="R278">
        <f t="shared" ca="1" si="49"/>
        <v>0</v>
      </c>
      <c r="S278">
        <f t="shared" ca="1" si="49"/>
        <v>0</v>
      </c>
      <c r="T278">
        <f t="shared" ca="1" si="49"/>
        <v>0</v>
      </c>
      <c r="U278">
        <f t="shared" ca="1" si="49"/>
        <v>0</v>
      </c>
      <c r="V278">
        <f t="shared" ca="1" si="49"/>
        <v>0</v>
      </c>
      <c r="W278">
        <f t="shared" ca="1" si="49"/>
        <v>0</v>
      </c>
      <c r="X278">
        <f t="shared" ca="1" si="49"/>
        <v>0</v>
      </c>
      <c r="Y278">
        <f t="shared" ca="1" si="49"/>
        <v>0</v>
      </c>
      <c r="Z278">
        <f t="shared" ca="1" si="49"/>
        <v>0</v>
      </c>
      <c r="AA278">
        <f t="shared" ca="1" si="49"/>
        <v>0</v>
      </c>
      <c r="AB278">
        <f t="shared" ca="1" si="49"/>
        <v>0</v>
      </c>
      <c r="AC278">
        <f t="shared" ca="1" si="49"/>
        <v>0</v>
      </c>
    </row>
    <row r="279" spans="3:29">
      <c r="C279">
        <v>4</v>
      </c>
      <c r="D279" s="29">
        <f t="shared" si="49"/>
        <v>0</v>
      </c>
      <c r="E279" s="29">
        <f t="shared" si="49"/>
        <v>0</v>
      </c>
      <c r="F279" s="29">
        <f t="shared" si="49"/>
        <v>0</v>
      </c>
      <c r="G279">
        <f t="shared" si="49"/>
        <v>0</v>
      </c>
      <c r="H279">
        <f t="shared" si="49"/>
        <v>0</v>
      </c>
      <c r="I279">
        <f t="shared" ca="1" si="49"/>
        <v>0</v>
      </c>
      <c r="J279">
        <f t="shared" ca="1" si="49"/>
        <v>0</v>
      </c>
      <c r="K279">
        <f t="shared" ca="1" si="49"/>
        <v>0</v>
      </c>
      <c r="L279">
        <f t="shared" ca="1" si="49"/>
        <v>0</v>
      </c>
      <c r="M279">
        <f t="shared" ca="1" si="49"/>
        <v>0</v>
      </c>
      <c r="N279">
        <f t="shared" ca="1" si="49"/>
        <v>0</v>
      </c>
      <c r="O279">
        <f t="shared" ca="1" si="49"/>
        <v>0</v>
      </c>
      <c r="P279">
        <f t="shared" ca="1" si="49"/>
        <v>0</v>
      </c>
      <c r="Q279">
        <f t="shared" ca="1" si="49"/>
        <v>0</v>
      </c>
      <c r="R279">
        <f t="shared" ca="1" si="49"/>
        <v>0</v>
      </c>
      <c r="S279">
        <f t="shared" ca="1" si="49"/>
        <v>0</v>
      </c>
      <c r="T279">
        <f t="shared" ca="1" si="49"/>
        <v>0</v>
      </c>
      <c r="U279">
        <f t="shared" ca="1" si="49"/>
        <v>0</v>
      </c>
      <c r="V279">
        <f t="shared" ca="1" si="49"/>
        <v>0</v>
      </c>
      <c r="W279">
        <f t="shared" ca="1" si="49"/>
        <v>0</v>
      </c>
      <c r="X279">
        <f t="shared" ca="1" si="49"/>
        <v>0</v>
      </c>
      <c r="Y279">
        <f t="shared" ca="1" si="49"/>
        <v>0</v>
      </c>
      <c r="Z279">
        <f t="shared" ca="1" si="49"/>
        <v>0</v>
      </c>
      <c r="AA279">
        <f t="shared" ca="1" si="49"/>
        <v>0</v>
      </c>
      <c r="AB279">
        <f t="shared" ca="1" si="49"/>
        <v>0</v>
      </c>
      <c r="AC279">
        <f t="shared" ca="1" si="49"/>
        <v>0</v>
      </c>
    </row>
    <row r="280" spans="3:29">
      <c r="C280">
        <v>5</v>
      </c>
      <c r="D280" s="29">
        <f t="shared" si="49"/>
        <v>0</v>
      </c>
      <c r="E280" s="29">
        <f t="shared" si="49"/>
        <v>0</v>
      </c>
      <c r="F280" s="29">
        <f t="shared" si="49"/>
        <v>0</v>
      </c>
      <c r="G280">
        <f t="shared" si="49"/>
        <v>0</v>
      </c>
      <c r="H280">
        <f t="shared" si="49"/>
        <v>0</v>
      </c>
      <c r="I280">
        <f t="shared" ca="1" si="49"/>
        <v>0</v>
      </c>
      <c r="J280">
        <f t="shared" ca="1" si="49"/>
        <v>0</v>
      </c>
      <c r="K280">
        <f t="shared" ca="1" si="49"/>
        <v>0</v>
      </c>
      <c r="L280">
        <f t="shared" ca="1" si="49"/>
        <v>0</v>
      </c>
      <c r="M280">
        <f t="shared" ca="1" si="49"/>
        <v>0</v>
      </c>
      <c r="N280">
        <f t="shared" ca="1" si="49"/>
        <v>0</v>
      </c>
      <c r="O280">
        <f t="shared" ca="1" si="49"/>
        <v>0</v>
      </c>
      <c r="P280">
        <f t="shared" ca="1" si="49"/>
        <v>0</v>
      </c>
      <c r="Q280">
        <f t="shared" ca="1" si="49"/>
        <v>0</v>
      </c>
      <c r="R280">
        <f t="shared" ca="1" si="49"/>
        <v>0</v>
      </c>
      <c r="S280">
        <f t="shared" ca="1" si="49"/>
        <v>0</v>
      </c>
      <c r="T280">
        <f t="shared" ca="1" si="49"/>
        <v>0</v>
      </c>
      <c r="U280">
        <f t="shared" ca="1" si="49"/>
        <v>0</v>
      </c>
      <c r="V280">
        <f t="shared" ca="1" si="49"/>
        <v>0</v>
      </c>
      <c r="W280">
        <f t="shared" ca="1" si="49"/>
        <v>0</v>
      </c>
      <c r="X280">
        <f t="shared" ca="1" si="49"/>
        <v>0</v>
      </c>
      <c r="Y280">
        <f t="shared" ca="1" si="49"/>
        <v>0</v>
      </c>
      <c r="Z280">
        <f t="shared" ca="1" si="49"/>
        <v>3599.5097647058824</v>
      </c>
      <c r="AA280">
        <f t="shared" ca="1" si="49"/>
        <v>8998.7744117647071</v>
      </c>
      <c r="AB280">
        <f t="shared" ca="1" si="49"/>
        <v>14398.03905882353</v>
      </c>
      <c r="AC280">
        <f t="shared" ca="1" si="49"/>
        <v>14398.03905882353</v>
      </c>
    </row>
    <row r="281" spans="3:29">
      <c r="C281">
        <v>6</v>
      </c>
      <c r="D281" s="29">
        <f t="shared" si="49"/>
        <v>651.77077055999985</v>
      </c>
      <c r="E281" s="29">
        <f t="shared" si="49"/>
        <v>651.77077055999985</v>
      </c>
      <c r="F281" s="29">
        <f t="shared" si="49"/>
        <v>651.77077055999985</v>
      </c>
      <c r="G281">
        <f t="shared" si="49"/>
        <v>651.77077055999985</v>
      </c>
      <c r="H281">
        <f t="shared" si="49"/>
        <v>651.77077055999985</v>
      </c>
      <c r="I281">
        <f t="shared" ca="1" si="49"/>
        <v>651.77077055999985</v>
      </c>
      <c r="J281">
        <f t="shared" ca="1" si="49"/>
        <v>945.06761731199981</v>
      </c>
      <c r="K281">
        <f t="shared" ca="1" si="49"/>
        <v>945.06761731199981</v>
      </c>
      <c r="L281">
        <f t="shared" ca="1" si="49"/>
        <v>945.06761731199981</v>
      </c>
      <c r="M281">
        <f t="shared" ca="1" si="49"/>
        <v>945.06761731199981</v>
      </c>
      <c r="N281">
        <f t="shared" ca="1" si="49"/>
        <v>945.06761731199981</v>
      </c>
      <c r="O281">
        <f t="shared" ca="1" si="49"/>
        <v>945.06761731199981</v>
      </c>
      <c r="P281">
        <f t="shared" ca="1" si="49"/>
        <v>945.06761731199981</v>
      </c>
      <c r="Q281">
        <f t="shared" ca="1" si="49"/>
        <v>945.06761731199981</v>
      </c>
      <c r="R281">
        <f t="shared" ca="1" si="49"/>
        <v>945.06761731199981</v>
      </c>
      <c r="S281">
        <f t="shared" ca="1" si="49"/>
        <v>945.06761731199981</v>
      </c>
      <c r="T281">
        <f t="shared" ca="1" si="49"/>
        <v>945.06761731199981</v>
      </c>
      <c r="U281">
        <f t="shared" ca="1" si="49"/>
        <v>945.06761731199981</v>
      </c>
      <c r="V281">
        <f t="shared" ca="1" si="49"/>
        <v>945.06761731199981</v>
      </c>
      <c r="W281">
        <f t="shared" ca="1" si="49"/>
        <v>945.06761731199981</v>
      </c>
      <c r="X281">
        <f t="shared" ca="1" si="49"/>
        <v>945.06761731199981</v>
      </c>
      <c r="Y281">
        <f t="shared" ca="1" si="49"/>
        <v>1140.59884848</v>
      </c>
      <c r="Z281">
        <f t="shared" ca="1" si="49"/>
        <v>1140.59884848</v>
      </c>
      <c r="AA281">
        <f t="shared" ca="1" si="49"/>
        <v>1140.59884848</v>
      </c>
      <c r="AB281">
        <f t="shared" ca="1" si="49"/>
        <v>1401.3071567039999</v>
      </c>
      <c r="AC281">
        <f t="shared" ca="1" si="49"/>
        <v>1615.5767975255997</v>
      </c>
    </row>
    <row r="282" spans="3:29">
      <c r="C282">
        <v>7</v>
      </c>
      <c r="D282" s="29">
        <f t="shared" si="49"/>
        <v>0</v>
      </c>
      <c r="E282" s="29">
        <f t="shared" si="49"/>
        <v>0</v>
      </c>
      <c r="F282" s="29">
        <f t="shared" si="49"/>
        <v>0</v>
      </c>
      <c r="G282">
        <f t="shared" si="49"/>
        <v>0</v>
      </c>
      <c r="H282">
        <f t="shared" si="49"/>
        <v>0</v>
      </c>
      <c r="I282">
        <f t="shared" ca="1" si="49"/>
        <v>0</v>
      </c>
      <c r="J282">
        <f t="shared" ca="1" si="49"/>
        <v>0</v>
      </c>
      <c r="K282">
        <f t="shared" ca="1" si="49"/>
        <v>0</v>
      </c>
      <c r="L282">
        <f t="shared" ca="1" si="49"/>
        <v>0</v>
      </c>
      <c r="M282">
        <f t="shared" ca="1" si="49"/>
        <v>0</v>
      </c>
      <c r="N282">
        <f t="shared" ca="1" si="49"/>
        <v>0</v>
      </c>
      <c r="O282">
        <f t="shared" ca="1" si="49"/>
        <v>0</v>
      </c>
      <c r="P282">
        <f t="shared" ca="1" si="49"/>
        <v>0</v>
      </c>
      <c r="Q282">
        <f t="shared" ca="1" si="49"/>
        <v>0</v>
      </c>
      <c r="R282">
        <f t="shared" ca="1" si="49"/>
        <v>0</v>
      </c>
      <c r="S282">
        <f t="shared" ca="1" si="49"/>
        <v>0</v>
      </c>
      <c r="T282">
        <f t="shared" ca="1" si="49"/>
        <v>0</v>
      </c>
      <c r="U282">
        <f t="shared" ca="1" si="49"/>
        <v>0</v>
      </c>
      <c r="V282">
        <f t="shared" ca="1" si="49"/>
        <v>0</v>
      </c>
      <c r="W282">
        <f t="shared" ca="1" si="49"/>
        <v>0</v>
      </c>
      <c r="X282">
        <f t="shared" ca="1" si="49"/>
        <v>0</v>
      </c>
      <c r="Y282">
        <f t="shared" ca="1" si="49"/>
        <v>0</v>
      </c>
      <c r="Z282">
        <f t="shared" ca="1" si="49"/>
        <v>0</v>
      </c>
      <c r="AA282">
        <f t="shared" ca="1" si="49"/>
        <v>0</v>
      </c>
      <c r="AB282">
        <f t="shared" ca="1" si="49"/>
        <v>0</v>
      </c>
      <c r="AC282">
        <f t="shared" ca="1" si="49"/>
        <v>0</v>
      </c>
    </row>
    <row r="283" spans="3:29">
      <c r="C283">
        <v>8</v>
      </c>
      <c r="D283" s="29">
        <f t="shared" si="49"/>
        <v>13197.815999999999</v>
      </c>
      <c r="E283" s="29">
        <f t="shared" si="49"/>
        <v>13197.815999999999</v>
      </c>
      <c r="F283" s="29">
        <f t="shared" si="49"/>
        <v>13197.815999999999</v>
      </c>
      <c r="G283">
        <f t="shared" si="49"/>
        <v>13197.815999999999</v>
      </c>
      <c r="H283">
        <f t="shared" si="49"/>
        <v>13197.815999999999</v>
      </c>
      <c r="I283">
        <f t="shared" ca="1" si="49"/>
        <v>13197.815999999999</v>
      </c>
      <c r="J283">
        <f t="shared" ca="1" si="49"/>
        <v>13197.815999999999</v>
      </c>
      <c r="K283">
        <f t="shared" ca="1" si="49"/>
        <v>13197.815999999999</v>
      </c>
      <c r="L283">
        <f t="shared" ca="1" si="49"/>
        <v>13197.815999999999</v>
      </c>
      <c r="M283">
        <f t="shared" ca="1" si="49"/>
        <v>13197.815999999999</v>
      </c>
      <c r="N283">
        <f t="shared" ca="1" si="49"/>
        <v>13197.815999999999</v>
      </c>
      <c r="O283">
        <f t="shared" ca="1" si="49"/>
        <v>13197.815999999999</v>
      </c>
      <c r="P283">
        <f t="shared" ca="1" si="49"/>
        <v>13197.815999999999</v>
      </c>
      <c r="Q283">
        <f t="shared" ca="1" si="49"/>
        <v>13197.815999999999</v>
      </c>
      <c r="R283">
        <f t="shared" ca="1" si="49"/>
        <v>13197.815999999999</v>
      </c>
      <c r="S283">
        <f t="shared" ca="1" si="49"/>
        <v>13197.815999999999</v>
      </c>
      <c r="T283">
        <f t="shared" ca="1" si="49"/>
        <v>13197.815999999999</v>
      </c>
      <c r="U283">
        <f t="shared" ca="1" si="49"/>
        <v>13197.815999999999</v>
      </c>
      <c r="V283">
        <f t="shared" ca="1" si="49"/>
        <v>13197.815999999999</v>
      </c>
      <c r="W283">
        <f t="shared" ca="1" si="49"/>
        <v>13197.815999999999</v>
      </c>
      <c r="X283">
        <f t="shared" ca="1" si="49"/>
        <v>13197.815999999999</v>
      </c>
      <c r="Y283">
        <f t="shared" ca="1" si="49"/>
        <v>13197.815999999999</v>
      </c>
      <c r="Z283">
        <f t="shared" ca="1" si="49"/>
        <v>13197.815999999999</v>
      </c>
      <c r="AA283">
        <f t="shared" ca="1" si="49"/>
        <v>13197.815999999999</v>
      </c>
      <c r="AB283">
        <f t="shared" ca="1" si="49"/>
        <v>13197.815999999999</v>
      </c>
      <c r="AC283">
        <f t="shared" ca="1" si="49"/>
        <v>13197.815999999999</v>
      </c>
    </row>
    <row r="284" spans="3:29">
      <c r="C284">
        <v>9</v>
      </c>
      <c r="D284" s="29">
        <f t="shared" si="49"/>
        <v>811.76619047619067</v>
      </c>
      <c r="E284" s="29">
        <f t="shared" si="49"/>
        <v>811.76619047619067</v>
      </c>
      <c r="F284" s="29">
        <f t="shared" si="49"/>
        <v>811.76619047619067</v>
      </c>
      <c r="G284">
        <f t="shared" si="49"/>
        <v>811.76619047619067</v>
      </c>
      <c r="H284">
        <f t="shared" si="49"/>
        <v>811.76619047619067</v>
      </c>
      <c r="I284">
        <f t="shared" ca="1" si="49"/>
        <v>811.76619047619067</v>
      </c>
      <c r="J284">
        <f t="shared" ca="1" si="49"/>
        <v>811.76619047619067</v>
      </c>
      <c r="K284">
        <f t="shared" ca="1" si="49"/>
        <v>811.76619047619067</v>
      </c>
      <c r="L284">
        <f t="shared" ca="1" si="49"/>
        <v>811.76619047619067</v>
      </c>
      <c r="M284">
        <f t="shared" ca="1" si="49"/>
        <v>811.76619047619067</v>
      </c>
      <c r="N284">
        <f t="shared" ca="1" si="49"/>
        <v>811.76619047619067</v>
      </c>
      <c r="O284">
        <f t="shared" ca="1" si="49"/>
        <v>811.76619047619067</v>
      </c>
      <c r="P284">
        <f t="shared" ca="1" si="49"/>
        <v>811.76619047619067</v>
      </c>
      <c r="Q284">
        <f t="shared" ca="1" si="49"/>
        <v>811.76619047619067</v>
      </c>
      <c r="R284">
        <f t="shared" ca="1" si="49"/>
        <v>811.76619047619067</v>
      </c>
      <c r="S284">
        <f t="shared" ca="1" si="49"/>
        <v>811.76619047619067</v>
      </c>
      <c r="T284">
        <f t="shared" ca="1" si="49"/>
        <v>811.76619047619067</v>
      </c>
      <c r="U284">
        <f t="shared" ca="1" si="49"/>
        <v>811.76619047619067</v>
      </c>
      <c r="V284">
        <f t="shared" ca="1" si="49"/>
        <v>811.76619047619067</v>
      </c>
      <c r="W284">
        <f t="shared" ca="1" si="49"/>
        <v>811.76619047619067</v>
      </c>
      <c r="X284">
        <f t="shared" ca="1" si="49"/>
        <v>811.76619047619067</v>
      </c>
      <c r="Y284">
        <f t="shared" ca="1" si="49"/>
        <v>811.76619047619067</v>
      </c>
      <c r="Z284">
        <f t="shared" ca="1" si="49"/>
        <v>811.76619047619067</v>
      </c>
      <c r="AA284">
        <f t="shared" ca="1" si="49"/>
        <v>811.76619047619067</v>
      </c>
      <c r="AB284">
        <f t="shared" ca="1" si="49"/>
        <v>811.76619047619067</v>
      </c>
      <c r="AC284">
        <f t="shared" ca="1" si="49"/>
        <v>811.76619047619067</v>
      </c>
    </row>
    <row r="285" spans="3:29">
      <c r="C285">
        <v>10</v>
      </c>
      <c r="D285" s="29">
        <f t="shared" si="49"/>
        <v>0</v>
      </c>
      <c r="E285" s="29">
        <f t="shared" si="49"/>
        <v>0</v>
      </c>
      <c r="F285" s="29">
        <f t="shared" si="49"/>
        <v>0</v>
      </c>
      <c r="G285">
        <f t="shared" si="49"/>
        <v>0</v>
      </c>
      <c r="H285">
        <f t="shared" si="49"/>
        <v>0</v>
      </c>
      <c r="I285">
        <f t="shared" ca="1" si="49"/>
        <v>262.8</v>
      </c>
      <c r="J285">
        <f t="shared" ca="1" si="49"/>
        <v>788.40000000000009</v>
      </c>
      <c r="K285">
        <f t="shared" ca="1" si="49"/>
        <v>1314</v>
      </c>
      <c r="L285">
        <f t="shared" ca="1" si="49"/>
        <v>2365.2000000000003</v>
      </c>
      <c r="M285">
        <f t="shared" ca="1" si="49"/>
        <v>3416.4</v>
      </c>
      <c r="N285">
        <f t="shared" ca="1" si="49"/>
        <v>5518.8</v>
      </c>
      <c r="O285">
        <f t="shared" ca="1" si="49"/>
        <v>7621.2000000000007</v>
      </c>
      <c r="P285">
        <f t="shared" ca="1" si="49"/>
        <v>10249.200000000001</v>
      </c>
      <c r="Q285">
        <f t="shared" ca="1" si="49"/>
        <v>12877.199999999999</v>
      </c>
      <c r="R285">
        <f t="shared" ca="1" si="49"/>
        <v>16819.2</v>
      </c>
      <c r="S285">
        <f t="shared" ca="1" si="49"/>
        <v>20761.2</v>
      </c>
      <c r="T285">
        <f t="shared" ca="1" si="49"/>
        <v>26017.200000000001</v>
      </c>
      <c r="U285">
        <f t="shared" ca="1" si="49"/>
        <v>26017.200000000001</v>
      </c>
      <c r="V285">
        <f t="shared" ca="1" si="49"/>
        <v>26017.200000000001</v>
      </c>
      <c r="W285">
        <f t="shared" ca="1" si="49"/>
        <v>26017.200000000001</v>
      </c>
      <c r="X285">
        <f t="shared" ca="1" si="49"/>
        <v>26017.200000000001</v>
      </c>
      <c r="Y285">
        <f t="shared" ca="1" si="49"/>
        <v>26017.200000000001</v>
      </c>
      <c r="Z285">
        <f t="shared" ca="1" si="49"/>
        <v>26017.200000000001</v>
      </c>
      <c r="AA285">
        <f t="shared" ca="1" si="49"/>
        <v>26017.200000000001</v>
      </c>
      <c r="AB285">
        <f t="shared" ca="1" si="49"/>
        <v>26017.200000000001</v>
      </c>
      <c r="AC285">
        <f t="shared" ca="1" si="49"/>
        <v>25754.399999999998</v>
      </c>
    </row>
    <row r="286" spans="3:29">
      <c r="C286">
        <v>11</v>
      </c>
      <c r="D286" s="29">
        <f t="shared" si="49"/>
        <v>0</v>
      </c>
      <c r="E286" s="29">
        <f t="shared" si="49"/>
        <v>0</v>
      </c>
      <c r="F286" s="29">
        <f t="shared" si="49"/>
        <v>0</v>
      </c>
      <c r="G286">
        <f t="shared" si="49"/>
        <v>0</v>
      </c>
      <c r="H286">
        <f t="shared" si="49"/>
        <v>0</v>
      </c>
      <c r="I286">
        <f t="shared" ca="1" si="49"/>
        <v>0</v>
      </c>
      <c r="J286">
        <f t="shared" ca="1" si="49"/>
        <v>0</v>
      </c>
      <c r="K286">
        <f t="shared" ca="1" si="49"/>
        <v>0</v>
      </c>
      <c r="L286">
        <f t="shared" ca="1" si="49"/>
        <v>0</v>
      </c>
      <c r="M286">
        <f t="shared" ca="1" si="49"/>
        <v>0</v>
      </c>
      <c r="N286">
        <f t="shared" ca="1" si="49"/>
        <v>0</v>
      </c>
      <c r="O286">
        <f t="shared" ca="1" si="49"/>
        <v>0</v>
      </c>
      <c r="P286">
        <f t="shared" ca="1" si="49"/>
        <v>0</v>
      </c>
      <c r="Q286">
        <f t="shared" ca="1" si="49"/>
        <v>0</v>
      </c>
      <c r="R286">
        <f t="shared" ca="1" si="49"/>
        <v>0</v>
      </c>
      <c r="S286">
        <f t="shared" ca="1" si="49"/>
        <v>0</v>
      </c>
      <c r="T286">
        <f t="shared" ca="1" si="49"/>
        <v>0</v>
      </c>
      <c r="U286">
        <f t="shared" ca="1" si="49"/>
        <v>2190</v>
      </c>
      <c r="V286">
        <f t="shared" ca="1" si="49"/>
        <v>4380</v>
      </c>
      <c r="W286">
        <f t="shared" ca="1" si="49"/>
        <v>6570</v>
      </c>
      <c r="X286">
        <f t="shared" ca="1" si="49"/>
        <v>8760</v>
      </c>
      <c r="Y286">
        <f ca="1">IF(Y307+Y227&lt;Y$271,Y227,Y$271-Y307)</f>
        <v>10950</v>
      </c>
      <c r="Z286">
        <f ca="1">IF(Z307+Z227&lt;Z$271,Z227,Z$271-Z307)</f>
        <v>13140</v>
      </c>
      <c r="AA286">
        <f ca="1">IF(AA307+AA227&lt;AA$271,AA227,AA$271-AA307)</f>
        <v>15330</v>
      </c>
      <c r="AB286">
        <f ca="1">IF(AB307+AB227&lt;AB$271,AB227,AB$271-AB307)</f>
        <v>17520</v>
      </c>
      <c r="AC286">
        <f ca="1">IF(AC307+AC227&lt;AC$271,AC227,AC$271-AC307)</f>
        <v>19710</v>
      </c>
    </row>
    <row r="287" spans="3:29">
      <c r="C287">
        <v>12</v>
      </c>
      <c r="D287" s="29">
        <f t="shared" ref="D287:AC295" si="50">IF(D308+D228&lt;D$271,D228,D$271-D308)</f>
        <v>0</v>
      </c>
      <c r="E287" s="29">
        <f t="shared" si="50"/>
        <v>0</v>
      </c>
      <c r="F287" s="29">
        <f t="shared" si="50"/>
        <v>0</v>
      </c>
      <c r="G287">
        <f t="shared" si="50"/>
        <v>0</v>
      </c>
      <c r="H287">
        <f t="shared" si="50"/>
        <v>0</v>
      </c>
      <c r="I287">
        <f t="shared" ca="1" si="50"/>
        <v>0</v>
      </c>
      <c r="J287">
        <f t="shared" ca="1" si="50"/>
        <v>0</v>
      </c>
      <c r="K287">
        <f t="shared" ca="1" si="50"/>
        <v>0</v>
      </c>
      <c r="L287">
        <f t="shared" ca="1" si="50"/>
        <v>0</v>
      </c>
      <c r="M287">
        <f t="shared" ca="1" si="50"/>
        <v>0</v>
      </c>
      <c r="N287">
        <f t="shared" ca="1" si="50"/>
        <v>525.6</v>
      </c>
      <c r="O287">
        <f t="shared" ca="1" si="50"/>
        <v>1576.8000000000002</v>
      </c>
      <c r="P287">
        <f t="shared" ca="1" si="50"/>
        <v>3679.2000000000003</v>
      </c>
      <c r="Q287">
        <f t="shared" ca="1" si="50"/>
        <v>7883.9999999999991</v>
      </c>
      <c r="R287">
        <f t="shared" ca="1" si="50"/>
        <v>14191.2</v>
      </c>
      <c r="S287">
        <f t="shared" ca="1" si="50"/>
        <v>22600.800000000003</v>
      </c>
      <c r="T287">
        <f t="shared" ca="1" si="50"/>
        <v>33112.800000000003</v>
      </c>
      <c r="U287">
        <f t="shared" ca="1" si="50"/>
        <v>43624.800000000003</v>
      </c>
      <c r="V287">
        <f t="shared" ca="1" si="50"/>
        <v>59392.800000000003</v>
      </c>
      <c r="W287">
        <f t="shared" ca="1" si="50"/>
        <v>75160.800000000003</v>
      </c>
      <c r="X287">
        <f t="shared" ca="1" si="50"/>
        <v>90928.8</v>
      </c>
      <c r="Y287">
        <f t="shared" ca="1" si="50"/>
        <v>106696.8</v>
      </c>
      <c r="Z287">
        <f t="shared" ca="1" si="50"/>
        <v>122464.8</v>
      </c>
      <c r="AA287">
        <f t="shared" ca="1" si="50"/>
        <v>138232.79999999999</v>
      </c>
      <c r="AB287">
        <f t="shared" ca="1" si="50"/>
        <v>154000.79999999999</v>
      </c>
      <c r="AC287">
        <f t="shared" ca="1" si="50"/>
        <v>169768.8</v>
      </c>
    </row>
    <row r="288" spans="3:29">
      <c r="C288">
        <v>13</v>
      </c>
      <c r="D288" s="29">
        <f t="shared" si="50"/>
        <v>0</v>
      </c>
      <c r="E288" s="29">
        <f t="shared" si="50"/>
        <v>0</v>
      </c>
      <c r="F288" s="29">
        <f t="shared" si="50"/>
        <v>0</v>
      </c>
      <c r="G288">
        <f t="shared" si="50"/>
        <v>0</v>
      </c>
      <c r="H288">
        <f t="shared" si="50"/>
        <v>0</v>
      </c>
      <c r="I288">
        <f t="shared" ca="1" si="50"/>
        <v>0</v>
      </c>
      <c r="J288">
        <f t="shared" ca="1" si="50"/>
        <v>0</v>
      </c>
      <c r="K288">
        <f t="shared" ca="1" si="50"/>
        <v>0</v>
      </c>
      <c r="L288">
        <f t="shared" ca="1" si="50"/>
        <v>0</v>
      </c>
      <c r="M288">
        <f t="shared" ca="1" si="50"/>
        <v>0</v>
      </c>
      <c r="N288">
        <f t="shared" ca="1" si="50"/>
        <v>0</v>
      </c>
      <c r="O288">
        <f t="shared" ca="1" si="50"/>
        <v>0</v>
      </c>
      <c r="P288">
        <f t="shared" ca="1" si="50"/>
        <v>0</v>
      </c>
      <c r="Q288">
        <f t="shared" ca="1" si="50"/>
        <v>0</v>
      </c>
      <c r="R288">
        <f t="shared" ca="1" si="50"/>
        <v>0</v>
      </c>
      <c r="S288">
        <f t="shared" ca="1" si="50"/>
        <v>0</v>
      </c>
      <c r="T288">
        <f t="shared" ca="1" si="50"/>
        <v>0</v>
      </c>
      <c r="U288">
        <f t="shared" ca="1" si="50"/>
        <v>0</v>
      </c>
      <c r="V288">
        <f t="shared" ca="1" si="50"/>
        <v>0</v>
      </c>
      <c r="W288">
        <f t="shared" ca="1" si="50"/>
        <v>0</v>
      </c>
      <c r="X288">
        <f t="shared" ca="1" si="50"/>
        <v>0</v>
      </c>
      <c r="Y288">
        <f t="shared" ca="1" si="50"/>
        <v>0</v>
      </c>
      <c r="Z288">
        <f t="shared" ca="1" si="50"/>
        <v>0</v>
      </c>
      <c r="AA288">
        <f t="shared" ca="1" si="50"/>
        <v>0</v>
      </c>
      <c r="AB288">
        <f t="shared" ca="1" si="50"/>
        <v>0</v>
      </c>
      <c r="AC288">
        <f t="shared" ca="1" si="50"/>
        <v>0</v>
      </c>
    </row>
    <row r="289" spans="3:29">
      <c r="C289">
        <v>14</v>
      </c>
      <c r="D289" s="29">
        <f t="shared" si="50"/>
        <v>0</v>
      </c>
      <c r="E289" s="29">
        <f t="shared" si="50"/>
        <v>0</v>
      </c>
      <c r="F289" s="29">
        <f t="shared" si="50"/>
        <v>0</v>
      </c>
      <c r="G289">
        <f t="shared" si="50"/>
        <v>0</v>
      </c>
      <c r="H289">
        <f t="shared" si="50"/>
        <v>0</v>
      </c>
      <c r="I289">
        <f t="shared" ca="1" si="50"/>
        <v>0</v>
      </c>
      <c r="J289">
        <f t="shared" ca="1" si="50"/>
        <v>0</v>
      </c>
      <c r="K289">
        <f t="shared" ca="1" si="50"/>
        <v>0</v>
      </c>
      <c r="L289">
        <f t="shared" ca="1" si="50"/>
        <v>0</v>
      </c>
      <c r="M289">
        <f t="shared" ca="1" si="50"/>
        <v>0</v>
      </c>
      <c r="N289">
        <f t="shared" ca="1" si="50"/>
        <v>0</v>
      </c>
      <c r="O289">
        <f t="shared" ca="1" si="50"/>
        <v>0</v>
      </c>
      <c r="P289">
        <f t="shared" ca="1" si="50"/>
        <v>0</v>
      </c>
      <c r="Q289">
        <f t="shared" ca="1" si="50"/>
        <v>0</v>
      </c>
      <c r="R289">
        <f t="shared" ca="1" si="50"/>
        <v>0</v>
      </c>
      <c r="S289">
        <f t="shared" ca="1" si="50"/>
        <v>0</v>
      </c>
      <c r="T289">
        <f t="shared" ca="1" si="50"/>
        <v>0</v>
      </c>
      <c r="U289">
        <f t="shared" ca="1" si="50"/>
        <v>0</v>
      </c>
      <c r="V289">
        <f t="shared" ca="1" si="50"/>
        <v>0</v>
      </c>
      <c r="W289">
        <f t="shared" ca="1" si="50"/>
        <v>0</v>
      </c>
      <c r="X289">
        <f t="shared" ca="1" si="50"/>
        <v>0</v>
      </c>
      <c r="Y289">
        <f t="shared" ca="1" si="50"/>
        <v>0</v>
      </c>
      <c r="Z289">
        <f t="shared" ca="1" si="50"/>
        <v>0</v>
      </c>
      <c r="AA289">
        <f t="shared" ca="1" si="50"/>
        <v>0</v>
      </c>
      <c r="AB289">
        <f t="shared" ca="1" si="50"/>
        <v>0</v>
      </c>
      <c r="AC289">
        <f t="shared" ca="1" si="50"/>
        <v>0</v>
      </c>
    </row>
    <row r="290" spans="3:29">
      <c r="C290">
        <v>15</v>
      </c>
      <c r="D290" s="29">
        <f t="shared" si="50"/>
        <v>524.66925000000003</v>
      </c>
      <c r="E290" s="29">
        <f t="shared" si="50"/>
        <v>524.66925000000003</v>
      </c>
      <c r="F290" s="29">
        <f t="shared" si="50"/>
        <v>524.66925000000003</v>
      </c>
      <c r="G290">
        <f t="shared" si="50"/>
        <v>524.66925000000003</v>
      </c>
      <c r="H290">
        <f t="shared" si="50"/>
        <v>524.66925000000003</v>
      </c>
      <c r="I290">
        <f t="shared" ca="1" si="50"/>
        <v>524.66925000000003</v>
      </c>
      <c r="J290">
        <f t="shared" ca="1" si="50"/>
        <v>524.66925000000003</v>
      </c>
      <c r="K290">
        <f t="shared" ca="1" si="50"/>
        <v>524.66925000000003</v>
      </c>
      <c r="L290">
        <f t="shared" ca="1" si="50"/>
        <v>524.66925000000003</v>
      </c>
      <c r="M290">
        <f t="shared" ca="1" si="50"/>
        <v>524.66925000000003</v>
      </c>
      <c r="N290">
        <f t="shared" ca="1" si="50"/>
        <v>524.66925000000003</v>
      </c>
      <c r="O290">
        <f t="shared" ca="1" si="50"/>
        <v>524.66925000000003</v>
      </c>
      <c r="P290">
        <f t="shared" ca="1" si="50"/>
        <v>524.66925000000003</v>
      </c>
      <c r="Q290">
        <f t="shared" ca="1" si="50"/>
        <v>524.66925000000003</v>
      </c>
      <c r="R290">
        <f t="shared" ca="1" si="50"/>
        <v>524.66925000000003</v>
      </c>
      <c r="S290">
        <f t="shared" ca="1" si="50"/>
        <v>524.66925000000003</v>
      </c>
      <c r="T290">
        <f t="shared" ca="1" si="50"/>
        <v>524.66925000000003</v>
      </c>
      <c r="U290">
        <f t="shared" ca="1" si="50"/>
        <v>524.66925000000003</v>
      </c>
      <c r="V290">
        <f t="shared" ca="1" si="50"/>
        <v>524.66925000000003</v>
      </c>
      <c r="W290">
        <f t="shared" ca="1" si="50"/>
        <v>524.66925000000003</v>
      </c>
      <c r="X290">
        <f t="shared" ca="1" si="50"/>
        <v>524.66925000000003</v>
      </c>
      <c r="Y290">
        <f t="shared" ca="1" si="50"/>
        <v>524.66925000000003</v>
      </c>
      <c r="Z290">
        <f t="shared" ca="1" si="50"/>
        <v>524.66925000000003</v>
      </c>
      <c r="AA290">
        <f t="shared" ca="1" si="50"/>
        <v>524.66925000000003</v>
      </c>
      <c r="AB290">
        <f t="shared" ca="1" si="50"/>
        <v>524.66925000000003</v>
      </c>
      <c r="AC290">
        <f t="shared" ca="1" si="50"/>
        <v>524.66925000000003</v>
      </c>
    </row>
    <row r="291" spans="3:29">
      <c r="C291">
        <v>16</v>
      </c>
      <c r="D291" s="29">
        <f t="shared" si="50"/>
        <v>1502.1209999999999</v>
      </c>
      <c r="E291" s="29">
        <f t="shared" si="50"/>
        <v>1502.1209999999999</v>
      </c>
      <c r="F291" s="29">
        <f t="shared" si="50"/>
        <v>1502.1209999999999</v>
      </c>
      <c r="G291">
        <f t="shared" si="50"/>
        <v>1502.1209999999999</v>
      </c>
      <c r="H291">
        <f t="shared" si="50"/>
        <v>1502.1209999999999</v>
      </c>
      <c r="I291">
        <f t="shared" ca="1" si="50"/>
        <v>1502.1209999999999</v>
      </c>
      <c r="J291">
        <f t="shared" ca="1" si="50"/>
        <v>1502.1209999999999</v>
      </c>
      <c r="K291">
        <f t="shared" ca="1" si="50"/>
        <v>1502.1209999999999</v>
      </c>
      <c r="L291">
        <f t="shared" ca="1" si="50"/>
        <v>1502.1209999999999</v>
      </c>
      <c r="M291">
        <f t="shared" ca="1" si="50"/>
        <v>1502.1209999999999</v>
      </c>
      <c r="N291">
        <f t="shared" ca="1" si="50"/>
        <v>1502.1209999999999</v>
      </c>
      <c r="O291">
        <f t="shared" ca="1" si="50"/>
        <v>1502.1209999999999</v>
      </c>
      <c r="P291">
        <f t="shared" ca="1" si="50"/>
        <v>1502.1209999999999</v>
      </c>
      <c r="Q291">
        <f t="shared" ca="1" si="50"/>
        <v>1502.1209999999999</v>
      </c>
      <c r="R291">
        <f t="shared" ca="1" si="50"/>
        <v>1502.1209999999999</v>
      </c>
      <c r="S291">
        <f t="shared" ca="1" si="50"/>
        <v>1502.1209999999999</v>
      </c>
      <c r="T291">
        <f t="shared" ca="1" si="50"/>
        <v>1502.1209999999999</v>
      </c>
      <c r="U291">
        <f t="shared" ca="1" si="50"/>
        <v>1502.1209999999999</v>
      </c>
      <c r="V291">
        <f t="shared" ca="1" si="50"/>
        <v>1502.1209999999999</v>
      </c>
      <c r="W291">
        <f t="shared" ca="1" si="50"/>
        <v>1502.1209999999999</v>
      </c>
      <c r="X291">
        <f t="shared" ca="1" si="50"/>
        <v>1502.1209999999999</v>
      </c>
      <c r="Y291">
        <f t="shared" ca="1" si="50"/>
        <v>1502.1209999999999</v>
      </c>
      <c r="Z291">
        <f t="shared" ca="1" si="50"/>
        <v>1502.1209999999999</v>
      </c>
      <c r="AA291">
        <f t="shared" ca="1" si="50"/>
        <v>1502.1209999999999</v>
      </c>
      <c r="AB291">
        <f t="shared" ca="1" si="50"/>
        <v>1502.1209999999999</v>
      </c>
      <c r="AC291">
        <f t="shared" ca="1" si="50"/>
        <v>1502.1209999999999</v>
      </c>
    </row>
    <row r="292" spans="3:29">
      <c r="C292">
        <v>17</v>
      </c>
      <c r="D292" s="29">
        <f t="shared" si="50"/>
        <v>69713.714846090443</v>
      </c>
      <c r="E292" s="29">
        <f t="shared" si="50"/>
        <v>69713.714846090443</v>
      </c>
      <c r="F292" s="29">
        <f t="shared" si="50"/>
        <v>69713.714846090443</v>
      </c>
      <c r="G292">
        <f t="shared" si="50"/>
        <v>69713.714846090443</v>
      </c>
      <c r="H292">
        <f t="shared" si="50"/>
        <v>69713.714846090443</v>
      </c>
      <c r="I292">
        <f t="shared" ca="1" si="50"/>
        <v>69713.714846090443</v>
      </c>
      <c r="J292">
        <f t="shared" ca="1" si="50"/>
        <v>69713.714846090443</v>
      </c>
      <c r="K292">
        <f t="shared" ca="1" si="50"/>
        <v>69713.714846090443</v>
      </c>
      <c r="L292">
        <f t="shared" ca="1" si="50"/>
        <v>69713.714846090443</v>
      </c>
      <c r="M292">
        <f t="shared" ca="1" si="50"/>
        <v>69713.714846090443</v>
      </c>
      <c r="N292">
        <f t="shared" ca="1" si="50"/>
        <v>69713.714846090443</v>
      </c>
      <c r="O292">
        <f t="shared" ca="1" si="50"/>
        <v>69713.714846090443</v>
      </c>
      <c r="P292">
        <f t="shared" ca="1" si="50"/>
        <v>69713.714846090443</v>
      </c>
      <c r="Q292">
        <f t="shared" ca="1" si="50"/>
        <v>69713.714846090443</v>
      </c>
      <c r="R292">
        <f t="shared" ca="1" si="50"/>
        <v>69713.714846090443</v>
      </c>
      <c r="S292">
        <f t="shared" ca="1" si="50"/>
        <v>69713.714846090443</v>
      </c>
      <c r="T292">
        <f t="shared" ca="1" si="50"/>
        <v>69713.714846090443</v>
      </c>
      <c r="U292">
        <f t="shared" ca="1" si="50"/>
        <v>69713.714846090443</v>
      </c>
      <c r="V292">
        <f t="shared" ca="1" si="50"/>
        <v>69713.714846090443</v>
      </c>
      <c r="W292">
        <f t="shared" ca="1" si="50"/>
        <v>67105.541995690277</v>
      </c>
      <c r="X292">
        <f t="shared" ca="1" si="50"/>
        <v>64497.369145290126</v>
      </c>
      <c r="Y292">
        <f t="shared" ca="1" si="50"/>
        <v>61237.153082289929</v>
      </c>
      <c r="Z292">
        <f t="shared" ca="1" si="50"/>
        <v>57976.937019289733</v>
      </c>
      <c r="AA292">
        <f t="shared" ca="1" si="50"/>
        <v>54030.359679868452</v>
      </c>
      <c r="AB292">
        <f t="shared" ca="1" si="50"/>
        <v>46137.205001025875</v>
      </c>
      <c r="AC292">
        <f t="shared" ca="1" si="50"/>
        <v>42190.627661604587</v>
      </c>
    </row>
    <row r="293" spans="3:29">
      <c r="C293">
        <v>18</v>
      </c>
      <c r="D293" s="29">
        <f t="shared" si="50"/>
        <v>0</v>
      </c>
      <c r="E293" s="29">
        <f t="shared" si="50"/>
        <v>0</v>
      </c>
      <c r="F293" s="29">
        <f t="shared" si="50"/>
        <v>0</v>
      </c>
      <c r="G293">
        <f t="shared" si="50"/>
        <v>0</v>
      </c>
      <c r="H293">
        <f t="shared" si="50"/>
        <v>0</v>
      </c>
      <c r="I293">
        <f t="shared" ca="1" si="50"/>
        <v>0</v>
      </c>
      <c r="J293">
        <f t="shared" ca="1" si="50"/>
        <v>0</v>
      </c>
      <c r="K293">
        <f t="shared" ca="1" si="50"/>
        <v>0</v>
      </c>
      <c r="L293">
        <f t="shared" ca="1" si="50"/>
        <v>0</v>
      </c>
      <c r="M293">
        <f t="shared" ca="1" si="50"/>
        <v>0</v>
      </c>
      <c r="N293">
        <f t="shared" ca="1" si="50"/>
        <v>0</v>
      </c>
      <c r="O293">
        <f t="shared" ca="1" si="50"/>
        <v>0</v>
      </c>
      <c r="P293">
        <f t="shared" ca="1" si="50"/>
        <v>0</v>
      </c>
      <c r="Q293">
        <f t="shared" ca="1" si="50"/>
        <v>0</v>
      </c>
      <c r="R293">
        <f t="shared" ca="1" si="50"/>
        <v>0</v>
      </c>
      <c r="S293">
        <f t="shared" ca="1" si="50"/>
        <v>0</v>
      </c>
      <c r="T293">
        <f t="shared" ca="1" si="50"/>
        <v>0</v>
      </c>
      <c r="U293">
        <f t="shared" ca="1" si="50"/>
        <v>0</v>
      </c>
      <c r="V293">
        <f t="shared" ca="1" si="50"/>
        <v>0</v>
      </c>
      <c r="W293">
        <f t="shared" ca="1" si="50"/>
        <v>0</v>
      </c>
      <c r="X293">
        <f t="shared" ca="1" si="50"/>
        <v>0</v>
      </c>
      <c r="Y293">
        <f t="shared" ca="1" si="50"/>
        <v>0</v>
      </c>
      <c r="Z293">
        <f t="shared" ca="1" si="50"/>
        <v>0</v>
      </c>
      <c r="AA293">
        <f t="shared" ca="1" si="50"/>
        <v>0</v>
      </c>
      <c r="AB293">
        <f t="shared" ca="1" si="50"/>
        <v>1173.2432250000004</v>
      </c>
      <c r="AC293">
        <f t="shared" ca="1" si="50"/>
        <v>2346.4864500000008</v>
      </c>
    </row>
    <row r="294" spans="3:29">
      <c r="C294">
        <v>19</v>
      </c>
      <c r="D294" s="29">
        <f t="shared" si="50"/>
        <v>11481.108051601606</v>
      </c>
      <c r="E294" s="29">
        <f t="shared" si="50"/>
        <v>11481.108051601606</v>
      </c>
      <c r="F294" s="29">
        <f t="shared" si="50"/>
        <v>0</v>
      </c>
      <c r="G294">
        <f t="shared" si="50"/>
        <v>0</v>
      </c>
      <c r="H294">
        <f t="shared" si="50"/>
        <v>0</v>
      </c>
      <c r="I294">
        <f t="shared" ca="1" si="50"/>
        <v>0</v>
      </c>
      <c r="J294">
        <f t="shared" ca="1" si="50"/>
        <v>0</v>
      </c>
      <c r="K294">
        <f t="shared" ca="1" si="50"/>
        <v>1693.7365830000003</v>
      </c>
      <c r="L294">
        <f t="shared" ca="1" si="50"/>
        <v>5081.2097490000015</v>
      </c>
      <c r="M294">
        <f t="shared" ca="1" si="50"/>
        <v>10162.419498000003</v>
      </c>
      <c r="N294">
        <f t="shared" ca="1" si="50"/>
        <v>15243.629247000003</v>
      </c>
      <c r="O294">
        <f t="shared" ca="1" si="50"/>
        <v>18631.102413000004</v>
      </c>
      <c r="P294">
        <f t="shared" ca="1" si="50"/>
        <v>20324.83899600001</v>
      </c>
      <c r="Q294">
        <f t="shared" ca="1" si="50"/>
        <v>20324.83899600001</v>
      </c>
      <c r="R294">
        <f t="shared" ca="1" si="50"/>
        <v>20324.83899600001</v>
      </c>
      <c r="S294">
        <f t="shared" ca="1" si="50"/>
        <v>20324.83899600001</v>
      </c>
      <c r="T294">
        <f t="shared" ca="1" si="50"/>
        <v>20324.83899600001</v>
      </c>
      <c r="U294">
        <f t="shared" ca="1" si="50"/>
        <v>20324.83899600001</v>
      </c>
      <c r="V294">
        <f t="shared" ca="1" si="50"/>
        <v>20324.83899600001</v>
      </c>
      <c r="W294">
        <f t="shared" ca="1" si="50"/>
        <v>20324.83899600001</v>
      </c>
      <c r="X294">
        <f t="shared" ca="1" si="50"/>
        <v>20324.83899600001</v>
      </c>
      <c r="Y294">
        <f t="shared" ca="1" si="50"/>
        <v>20324.83899600001</v>
      </c>
      <c r="Z294">
        <f t="shared" ca="1" si="50"/>
        <v>20324.83899600001</v>
      </c>
      <c r="AA294">
        <f t="shared" ca="1" si="50"/>
        <v>20324.83899600001</v>
      </c>
      <c r="AB294">
        <f t="shared" ca="1" si="50"/>
        <v>20324.83899600001</v>
      </c>
      <c r="AC294">
        <f t="shared" ca="1" si="50"/>
        <v>20324.83899600001</v>
      </c>
    </row>
    <row r="295" spans="3:29">
      <c r="C295">
        <v>20</v>
      </c>
      <c r="D295" s="29">
        <f t="shared" si="50"/>
        <v>0</v>
      </c>
      <c r="E295" s="29">
        <f t="shared" si="50"/>
        <v>0</v>
      </c>
      <c r="F295" s="29">
        <f t="shared" si="50"/>
        <v>11481.108051601606</v>
      </c>
      <c r="G295">
        <f t="shared" si="50"/>
        <v>11481.108051601606</v>
      </c>
      <c r="H295">
        <f t="shared" si="50"/>
        <v>11481.108051601606</v>
      </c>
      <c r="I295">
        <f t="shared" ca="1" si="50"/>
        <v>12924.051645819456</v>
      </c>
      <c r="J295">
        <f t="shared" ca="1" si="50"/>
        <v>13777.564401403659</v>
      </c>
      <c r="K295">
        <f t="shared" ca="1" si="50"/>
        <v>13777.564401403659</v>
      </c>
      <c r="L295">
        <f t="shared" ca="1" si="50"/>
        <v>13777.564401403659</v>
      </c>
      <c r="M295">
        <f t="shared" ca="1" si="50"/>
        <v>13777.564401403659</v>
      </c>
      <c r="N295">
        <f t="shared" ca="1" si="50"/>
        <v>13777.564401403659</v>
      </c>
      <c r="O295">
        <f t="shared" ca="1" si="50"/>
        <v>13698.339826318494</v>
      </c>
      <c r="P295">
        <f t="shared" ca="1" si="50"/>
        <v>13619.115251233326</v>
      </c>
      <c r="Q295">
        <f t="shared" ca="1" si="50"/>
        <v>13513.482484453105</v>
      </c>
      <c r="R295">
        <f t="shared" ca="1" si="50"/>
        <v>13407.84971767288</v>
      </c>
      <c r="S295">
        <f t="shared" ca="1" si="50"/>
        <v>11400.827148848637</v>
      </c>
      <c r="T295">
        <f t="shared" ca="1" si="50"/>
        <v>9393.8045800243945</v>
      </c>
      <c r="U295">
        <f t="shared" ca="1" si="50"/>
        <v>9393.8045800243945</v>
      </c>
      <c r="V295">
        <f t="shared" ca="1" si="50"/>
        <v>9393.8045800243945</v>
      </c>
      <c r="W295">
        <f t="shared" ca="1" si="50"/>
        <v>9393.8045800243945</v>
      </c>
      <c r="X295">
        <f t="shared" ca="1" si="50"/>
        <v>8469.0483917339716</v>
      </c>
      <c r="Y295">
        <f t="shared" ca="1" si="50"/>
        <v>7544.2922034435505</v>
      </c>
      <c r="Z295">
        <f t="shared" ca="1" si="50"/>
        <v>7544.2922034435505</v>
      </c>
      <c r="AA295">
        <f t="shared" ca="1" si="50"/>
        <v>7544.2922034435505</v>
      </c>
      <c r="AB295">
        <f t="shared" ca="1" si="50"/>
        <v>7544.2922034435505</v>
      </c>
      <c r="AC295">
        <f t="shared" ca="1" si="50"/>
        <v>7544.2922034435505</v>
      </c>
    </row>
    <row r="296" spans="3:29">
      <c r="D296" s="29"/>
      <c r="E296" s="29"/>
      <c r="F296" s="29"/>
    </row>
    <row r="297" spans="3:29">
      <c r="C297" s="11" t="s">
        <v>231</v>
      </c>
      <c r="D297" s="29"/>
      <c r="E297" s="29"/>
      <c r="F297" s="29"/>
    </row>
    <row r="298" spans="3:29">
      <c r="C298">
        <v>1</v>
      </c>
      <c r="D298" s="29">
        <f t="shared" ref="D298:AC298" si="51">D276</f>
        <v>3096.0000000000005</v>
      </c>
      <c r="E298" s="29">
        <f t="shared" si="51"/>
        <v>3096.0000000000005</v>
      </c>
      <c r="F298" s="29">
        <f t="shared" si="51"/>
        <v>3096.0000000000005</v>
      </c>
      <c r="G298">
        <f t="shared" si="51"/>
        <v>3096.0000000000005</v>
      </c>
      <c r="H298">
        <f t="shared" si="51"/>
        <v>3096.0000000000005</v>
      </c>
      <c r="I298">
        <f t="shared" ca="1" si="51"/>
        <v>3096.0000000000005</v>
      </c>
      <c r="J298">
        <f t="shared" ca="1" si="51"/>
        <v>3096.0000000000005</v>
      </c>
      <c r="K298">
        <f t="shared" ca="1" si="51"/>
        <v>3096.0000000000005</v>
      </c>
      <c r="L298">
        <f t="shared" ca="1" si="51"/>
        <v>4401.0227848101276</v>
      </c>
      <c r="M298">
        <f t="shared" ca="1" si="51"/>
        <v>5706.0455696202544</v>
      </c>
      <c r="N298">
        <f t="shared" ca="1" si="51"/>
        <v>7011.0683544303811</v>
      </c>
      <c r="O298">
        <f t="shared" ca="1" si="51"/>
        <v>8316.0911392405087</v>
      </c>
      <c r="P298">
        <f t="shared" ca="1" si="51"/>
        <v>8316.0911392405087</v>
      </c>
      <c r="Q298">
        <f t="shared" ca="1" si="51"/>
        <v>8316.0911392405087</v>
      </c>
      <c r="R298">
        <f t="shared" ca="1" si="51"/>
        <v>8316.0911392405087</v>
      </c>
      <c r="S298">
        <f t="shared" ca="1" si="51"/>
        <v>8316.0911392405087</v>
      </c>
      <c r="T298">
        <f t="shared" ca="1" si="51"/>
        <v>8316.0911392405087</v>
      </c>
      <c r="U298">
        <f t="shared" ca="1" si="51"/>
        <v>8316.0911392405087</v>
      </c>
      <c r="V298">
        <f t="shared" ca="1" si="51"/>
        <v>8316.0911392405087</v>
      </c>
      <c r="W298">
        <f t="shared" ca="1" si="51"/>
        <v>8316.0911392405087</v>
      </c>
      <c r="X298">
        <f t="shared" ca="1" si="51"/>
        <v>8316.0911392405087</v>
      </c>
      <c r="Y298">
        <f t="shared" ca="1" si="51"/>
        <v>8316.0911392405087</v>
      </c>
      <c r="Z298">
        <f t="shared" ca="1" si="51"/>
        <v>8316.0911392405087</v>
      </c>
      <c r="AA298">
        <f t="shared" ca="1" si="51"/>
        <v>8316.0911392405087</v>
      </c>
      <c r="AB298">
        <f t="shared" ca="1" si="51"/>
        <v>8316.0911392405087</v>
      </c>
      <c r="AC298">
        <f t="shared" ca="1" si="51"/>
        <v>8316.0911392405087</v>
      </c>
    </row>
    <row r="299" spans="3:29">
      <c r="C299">
        <v>2</v>
      </c>
      <c r="D299" s="29">
        <f t="shared" ref="D299:R314" si="52">D277+D298</f>
        <v>3096.0000000000005</v>
      </c>
      <c r="E299" s="29">
        <f t="shared" si="52"/>
        <v>3096.0000000000005</v>
      </c>
      <c r="F299" s="29">
        <f t="shared" si="52"/>
        <v>3096.0000000000005</v>
      </c>
      <c r="G299">
        <f t="shared" si="52"/>
        <v>3096.0000000000005</v>
      </c>
      <c r="H299">
        <f t="shared" si="52"/>
        <v>3096.0000000000005</v>
      </c>
      <c r="I299">
        <f ca="1">I277+I298</f>
        <v>3096.0000000000005</v>
      </c>
      <c r="J299">
        <f ca="1">J277+J298</f>
        <v>3096.0000000000005</v>
      </c>
      <c r="K299">
        <f t="shared" ref="K299:AC312" ca="1" si="53">K277+K298</f>
        <v>3096.0000000000005</v>
      </c>
      <c r="L299">
        <f t="shared" ca="1" si="53"/>
        <v>4401.0227848101276</v>
      </c>
      <c r="M299">
        <f t="shared" ca="1" si="53"/>
        <v>5706.0455696202544</v>
      </c>
      <c r="N299">
        <f t="shared" ca="1" si="53"/>
        <v>7011.0683544303811</v>
      </c>
      <c r="O299">
        <f t="shared" ca="1" si="53"/>
        <v>8316.0911392405087</v>
      </c>
      <c r="P299">
        <f t="shared" ca="1" si="53"/>
        <v>8316.0911392405087</v>
      </c>
      <c r="Q299">
        <f t="shared" ca="1" si="53"/>
        <v>8316.0911392405087</v>
      </c>
      <c r="R299">
        <f t="shared" ca="1" si="53"/>
        <v>8316.0911392405087</v>
      </c>
      <c r="S299">
        <f t="shared" ca="1" si="53"/>
        <v>8316.0911392405087</v>
      </c>
      <c r="T299">
        <f t="shared" ca="1" si="53"/>
        <v>8316.0911392405087</v>
      </c>
      <c r="U299">
        <f t="shared" ca="1" si="53"/>
        <v>8316.0911392405087</v>
      </c>
      <c r="V299">
        <f t="shared" ca="1" si="53"/>
        <v>8316.0911392405087</v>
      </c>
      <c r="W299">
        <f t="shared" ca="1" si="53"/>
        <v>8316.0911392405087</v>
      </c>
      <c r="X299">
        <f t="shared" ca="1" si="53"/>
        <v>8316.0911392405087</v>
      </c>
      <c r="Y299">
        <f t="shared" ca="1" si="53"/>
        <v>8316.0911392405087</v>
      </c>
      <c r="Z299">
        <f t="shared" ca="1" si="53"/>
        <v>8316.0911392405087</v>
      </c>
      <c r="AA299">
        <f t="shared" ca="1" si="53"/>
        <v>8316.0911392405087</v>
      </c>
      <c r="AB299">
        <f t="shared" ca="1" si="53"/>
        <v>8316.0911392405087</v>
      </c>
      <c r="AC299">
        <f t="shared" ca="1" si="53"/>
        <v>8316.0911392405087</v>
      </c>
    </row>
    <row r="300" spans="3:29">
      <c r="C300">
        <v>3</v>
      </c>
      <c r="D300" s="29">
        <f t="shared" si="52"/>
        <v>3096.0000000000005</v>
      </c>
      <c r="E300" s="29">
        <f t="shared" si="52"/>
        <v>3096.0000000000005</v>
      </c>
      <c r="F300" s="29">
        <f t="shared" si="52"/>
        <v>3096.0000000000005</v>
      </c>
      <c r="G300">
        <f t="shared" si="52"/>
        <v>3096.0000000000005</v>
      </c>
      <c r="H300">
        <f t="shared" si="52"/>
        <v>3096.0000000000005</v>
      </c>
      <c r="I300">
        <f t="shared" ca="1" si="52"/>
        <v>3096.0000000000005</v>
      </c>
      <c r="J300">
        <f t="shared" ca="1" si="52"/>
        <v>3096.0000000000005</v>
      </c>
      <c r="K300">
        <f t="shared" ca="1" si="53"/>
        <v>3096.0000000000005</v>
      </c>
      <c r="L300">
        <f t="shared" ca="1" si="53"/>
        <v>4401.0227848101276</v>
      </c>
      <c r="M300">
        <f t="shared" ca="1" si="53"/>
        <v>5706.0455696202544</v>
      </c>
      <c r="N300">
        <f t="shared" ca="1" si="53"/>
        <v>7011.0683544303811</v>
      </c>
      <c r="O300">
        <f t="shared" ca="1" si="53"/>
        <v>8316.0911392405087</v>
      </c>
      <c r="P300">
        <f t="shared" ca="1" si="53"/>
        <v>8316.0911392405087</v>
      </c>
      <c r="Q300">
        <f t="shared" ca="1" si="53"/>
        <v>8316.0911392405087</v>
      </c>
      <c r="R300">
        <f t="shared" ca="1" si="53"/>
        <v>8316.0911392405087</v>
      </c>
      <c r="S300">
        <f t="shared" ca="1" si="53"/>
        <v>8316.0911392405087</v>
      </c>
      <c r="T300">
        <f t="shared" ca="1" si="53"/>
        <v>8316.0911392405087</v>
      </c>
      <c r="U300">
        <f t="shared" ca="1" si="53"/>
        <v>8316.0911392405087</v>
      </c>
      <c r="V300">
        <f t="shared" ca="1" si="53"/>
        <v>8316.0911392405087</v>
      </c>
      <c r="W300">
        <f t="shared" ca="1" si="53"/>
        <v>8316.0911392405087</v>
      </c>
      <c r="X300">
        <f t="shared" ca="1" si="53"/>
        <v>8316.0911392405087</v>
      </c>
      <c r="Y300">
        <f t="shared" ca="1" si="53"/>
        <v>8316.0911392405087</v>
      </c>
      <c r="Z300">
        <f t="shared" ca="1" si="53"/>
        <v>8316.0911392405087</v>
      </c>
      <c r="AA300">
        <f t="shared" ca="1" si="53"/>
        <v>8316.0911392405087</v>
      </c>
      <c r="AB300">
        <f t="shared" ca="1" si="53"/>
        <v>8316.0911392405087</v>
      </c>
      <c r="AC300">
        <f t="shared" ca="1" si="53"/>
        <v>8316.0911392405087</v>
      </c>
    </row>
    <row r="301" spans="3:29">
      <c r="C301">
        <v>4</v>
      </c>
      <c r="D301" s="29">
        <f t="shared" si="52"/>
        <v>3096.0000000000005</v>
      </c>
      <c r="E301" s="29">
        <f t="shared" si="52"/>
        <v>3096.0000000000005</v>
      </c>
      <c r="F301" s="29">
        <f t="shared" si="52"/>
        <v>3096.0000000000005</v>
      </c>
      <c r="G301">
        <f t="shared" si="52"/>
        <v>3096.0000000000005</v>
      </c>
      <c r="H301">
        <f t="shared" si="52"/>
        <v>3096.0000000000005</v>
      </c>
      <c r="I301">
        <f t="shared" ca="1" si="52"/>
        <v>3096.0000000000005</v>
      </c>
      <c r="J301">
        <f t="shared" ca="1" si="52"/>
        <v>3096.0000000000005</v>
      </c>
      <c r="K301">
        <f t="shared" ca="1" si="53"/>
        <v>3096.0000000000005</v>
      </c>
      <c r="L301">
        <f t="shared" ca="1" si="53"/>
        <v>4401.0227848101276</v>
      </c>
      <c r="M301">
        <f t="shared" ca="1" si="53"/>
        <v>5706.0455696202544</v>
      </c>
      <c r="N301">
        <f t="shared" ca="1" si="53"/>
        <v>7011.0683544303811</v>
      </c>
      <c r="O301">
        <f t="shared" ca="1" si="53"/>
        <v>8316.0911392405087</v>
      </c>
      <c r="P301">
        <f t="shared" ca="1" si="53"/>
        <v>8316.0911392405087</v>
      </c>
      <c r="Q301">
        <f t="shared" ca="1" si="53"/>
        <v>8316.0911392405087</v>
      </c>
      <c r="R301">
        <f t="shared" ca="1" si="53"/>
        <v>8316.0911392405087</v>
      </c>
      <c r="S301">
        <f t="shared" ca="1" si="53"/>
        <v>8316.0911392405087</v>
      </c>
      <c r="T301">
        <f t="shared" ca="1" si="53"/>
        <v>8316.0911392405087</v>
      </c>
      <c r="U301">
        <f t="shared" ca="1" si="53"/>
        <v>8316.0911392405087</v>
      </c>
      <c r="V301">
        <f t="shared" ca="1" si="53"/>
        <v>8316.0911392405087</v>
      </c>
      <c r="W301">
        <f t="shared" ca="1" si="53"/>
        <v>8316.0911392405087</v>
      </c>
      <c r="X301">
        <f t="shared" ca="1" si="53"/>
        <v>8316.0911392405087</v>
      </c>
      <c r="Y301">
        <f t="shared" ca="1" si="53"/>
        <v>8316.0911392405087</v>
      </c>
      <c r="Z301">
        <f t="shared" ca="1" si="53"/>
        <v>8316.0911392405087</v>
      </c>
      <c r="AA301">
        <f t="shared" ca="1" si="53"/>
        <v>8316.0911392405087</v>
      </c>
      <c r="AB301">
        <f t="shared" ca="1" si="53"/>
        <v>8316.0911392405087</v>
      </c>
      <c r="AC301">
        <f t="shared" ca="1" si="53"/>
        <v>8316.0911392405087</v>
      </c>
    </row>
    <row r="302" spans="3:29">
      <c r="C302">
        <v>5</v>
      </c>
      <c r="D302" s="29">
        <f t="shared" si="52"/>
        <v>3096.0000000000005</v>
      </c>
      <c r="E302" s="29">
        <f t="shared" si="52"/>
        <v>3096.0000000000005</v>
      </c>
      <c r="F302" s="29">
        <f t="shared" si="52"/>
        <v>3096.0000000000005</v>
      </c>
      <c r="G302">
        <f t="shared" si="52"/>
        <v>3096.0000000000005</v>
      </c>
      <c r="H302">
        <f t="shared" si="52"/>
        <v>3096.0000000000005</v>
      </c>
      <c r="I302">
        <f t="shared" ca="1" si="52"/>
        <v>3096.0000000000005</v>
      </c>
      <c r="J302">
        <f t="shared" ca="1" si="52"/>
        <v>3096.0000000000005</v>
      </c>
      <c r="K302">
        <f t="shared" ca="1" si="53"/>
        <v>3096.0000000000005</v>
      </c>
      <c r="L302">
        <f t="shared" ca="1" si="53"/>
        <v>4401.0227848101276</v>
      </c>
      <c r="M302">
        <f t="shared" ca="1" si="53"/>
        <v>5706.0455696202544</v>
      </c>
      <c r="N302">
        <f t="shared" ca="1" si="53"/>
        <v>7011.0683544303811</v>
      </c>
      <c r="O302">
        <f t="shared" ca="1" si="53"/>
        <v>8316.0911392405087</v>
      </c>
      <c r="P302">
        <f t="shared" ca="1" si="53"/>
        <v>8316.0911392405087</v>
      </c>
      <c r="Q302">
        <f t="shared" ca="1" si="53"/>
        <v>8316.0911392405087</v>
      </c>
      <c r="R302">
        <f t="shared" ca="1" si="53"/>
        <v>8316.0911392405087</v>
      </c>
      <c r="S302">
        <f t="shared" ca="1" si="53"/>
        <v>8316.0911392405087</v>
      </c>
      <c r="T302">
        <f t="shared" ca="1" si="53"/>
        <v>8316.0911392405087</v>
      </c>
      <c r="U302">
        <f t="shared" ca="1" si="53"/>
        <v>8316.0911392405087</v>
      </c>
      <c r="V302">
        <f t="shared" ca="1" si="53"/>
        <v>8316.0911392405087</v>
      </c>
      <c r="W302">
        <f t="shared" ca="1" si="53"/>
        <v>8316.0911392405087</v>
      </c>
      <c r="X302">
        <f t="shared" ca="1" si="53"/>
        <v>8316.0911392405087</v>
      </c>
      <c r="Y302">
        <f t="shared" ca="1" si="53"/>
        <v>8316.0911392405087</v>
      </c>
      <c r="Z302">
        <f t="shared" ca="1" si="53"/>
        <v>11915.600903946392</v>
      </c>
      <c r="AA302">
        <f t="shared" ca="1" si="53"/>
        <v>17314.865551005216</v>
      </c>
      <c r="AB302">
        <f t="shared" ca="1" si="53"/>
        <v>22714.130198064038</v>
      </c>
      <c r="AC302">
        <f t="shared" ca="1" si="53"/>
        <v>22714.130198064038</v>
      </c>
    </row>
    <row r="303" spans="3:29">
      <c r="C303">
        <v>6</v>
      </c>
      <c r="D303" s="29">
        <f t="shared" si="52"/>
        <v>3747.7707705600005</v>
      </c>
      <c r="E303" s="29">
        <f t="shared" si="52"/>
        <v>3747.7707705600005</v>
      </c>
      <c r="F303" s="29">
        <f t="shared" si="52"/>
        <v>3747.7707705600005</v>
      </c>
      <c r="G303">
        <f t="shared" si="52"/>
        <v>3747.7707705600005</v>
      </c>
      <c r="H303">
        <f t="shared" si="52"/>
        <v>3747.7707705600005</v>
      </c>
      <c r="I303">
        <f t="shared" ca="1" si="52"/>
        <v>3747.7707705600005</v>
      </c>
      <c r="J303">
        <f t="shared" ca="1" si="52"/>
        <v>4041.067617312</v>
      </c>
      <c r="K303">
        <f t="shared" ca="1" si="53"/>
        <v>4041.067617312</v>
      </c>
      <c r="L303">
        <f t="shared" ca="1" si="53"/>
        <v>5346.0904021221277</v>
      </c>
      <c r="M303">
        <f t="shared" ca="1" si="53"/>
        <v>6651.1131869322544</v>
      </c>
      <c r="N303">
        <f t="shared" ca="1" si="53"/>
        <v>7956.1359717423811</v>
      </c>
      <c r="O303">
        <f t="shared" ca="1" si="53"/>
        <v>9261.1587565525078</v>
      </c>
      <c r="P303">
        <f t="shared" ca="1" si="53"/>
        <v>9261.1587565525078</v>
      </c>
      <c r="Q303">
        <f t="shared" ca="1" si="53"/>
        <v>9261.1587565525078</v>
      </c>
      <c r="R303">
        <f t="shared" ca="1" si="53"/>
        <v>9261.1587565525078</v>
      </c>
      <c r="S303">
        <f t="shared" ca="1" si="53"/>
        <v>9261.1587565525078</v>
      </c>
      <c r="T303">
        <f t="shared" ca="1" si="53"/>
        <v>9261.1587565525078</v>
      </c>
      <c r="U303">
        <f t="shared" ca="1" si="53"/>
        <v>9261.1587565525078</v>
      </c>
      <c r="V303">
        <f t="shared" ca="1" si="53"/>
        <v>9261.1587565525078</v>
      </c>
      <c r="W303">
        <f t="shared" ca="1" si="53"/>
        <v>9261.1587565525078</v>
      </c>
      <c r="X303">
        <f t="shared" ca="1" si="53"/>
        <v>9261.1587565525078</v>
      </c>
      <c r="Y303">
        <f t="shared" ca="1" si="53"/>
        <v>9456.6899877205087</v>
      </c>
      <c r="Z303">
        <f t="shared" ca="1" si="53"/>
        <v>13056.199752426392</v>
      </c>
      <c r="AA303">
        <f t="shared" ca="1" si="53"/>
        <v>18455.464399485216</v>
      </c>
      <c r="AB303">
        <f t="shared" ca="1" si="53"/>
        <v>24115.437354768037</v>
      </c>
      <c r="AC303">
        <f t="shared" ca="1" si="53"/>
        <v>24329.706995589637</v>
      </c>
    </row>
    <row r="304" spans="3:29">
      <c r="C304">
        <v>7</v>
      </c>
      <c r="D304" s="29">
        <f t="shared" si="52"/>
        <v>3747.7707705600005</v>
      </c>
      <c r="E304" s="29">
        <f t="shared" si="52"/>
        <v>3747.7707705600005</v>
      </c>
      <c r="F304" s="29">
        <f t="shared" si="52"/>
        <v>3747.7707705600005</v>
      </c>
      <c r="G304">
        <f t="shared" si="52"/>
        <v>3747.7707705600005</v>
      </c>
      <c r="H304">
        <f t="shared" si="52"/>
        <v>3747.7707705600005</v>
      </c>
      <c r="I304">
        <f t="shared" ca="1" si="52"/>
        <v>3747.7707705600005</v>
      </c>
      <c r="J304">
        <f t="shared" ca="1" si="52"/>
        <v>4041.067617312</v>
      </c>
      <c r="K304">
        <f t="shared" ca="1" si="53"/>
        <v>4041.067617312</v>
      </c>
      <c r="L304">
        <f t="shared" ca="1" si="53"/>
        <v>5346.0904021221277</v>
      </c>
      <c r="M304">
        <f t="shared" ca="1" si="53"/>
        <v>6651.1131869322544</v>
      </c>
      <c r="N304">
        <f t="shared" ca="1" si="53"/>
        <v>7956.1359717423811</v>
      </c>
      <c r="O304">
        <f t="shared" ca="1" si="53"/>
        <v>9261.1587565525078</v>
      </c>
      <c r="P304">
        <f t="shared" ca="1" si="53"/>
        <v>9261.1587565525078</v>
      </c>
      <c r="Q304">
        <f t="shared" ca="1" si="53"/>
        <v>9261.1587565525078</v>
      </c>
      <c r="R304">
        <f t="shared" ca="1" si="53"/>
        <v>9261.1587565525078</v>
      </c>
      <c r="S304">
        <f t="shared" ca="1" si="53"/>
        <v>9261.1587565525078</v>
      </c>
      <c r="T304">
        <f t="shared" ca="1" si="53"/>
        <v>9261.1587565525078</v>
      </c>
      <c r="U304">
        <f t="shared" ca="1" si="53"/>
        <v>9261.1587565525078</v>
      </c>
      <c r="V304">
        <f t="shared" ca="1" si="53"/>
        <v>9261.1587565525078</v>
      </c>
      <c r="W304">
        <f t="shared" ca="1" si="53"/>
        <v>9261.1587565525078</v>
      </c>
      <c r="X304">
        <f t="shared" ca="1" si="53"/>
        <v>9261.1587565525078</v>
      </c>
      <c r="Y304">
        <f t="shared" ca="1" si="53"/>
        <v>9456.6899877205087</v>
      </c>
      <c r="Z304">
        <f t="shared" ca="1" si="53"/>
        <v>13056.199752426392</v>
      </c>
      <c r="AA304">
        <f t="shared" ca="1" si="53"/>
        <v>18455.464399485216</v>
      </c>
      <c r="AB304">
        <f t="shared" ca="1" si="53"/>
        <v>24115.437354768037</v>
      </c>
      <c r="AC304">
        <f t="shared" ca="1" si="53"/>
        <v>24329.706995589637</v>
      </c>
    </row>
    <row r="305" spans="3:29">
      <c r="C305">
        <v>8</v>
      </c>
      <c r="D305" s="29">
        <f t="shared" si="52"/>
        <v>16945.586770559999</v>
      </c>
      <c r="E305" s="29">
        <f t="shared" si="52"/>
        <v>16945.586770559999</v>
      </c>
      <c r="F305" s="29">
        <f t="shared" si="52"/>
        <v>16945.586770559999</v>
      </c>
      <c r="G305">
        <f t="shared" si="52"/>
        <v>16945.586770559999</v>
      </c>
      <c r="H305">
        <f t="shared" si="52"/>
        <v>16945.586770559999</v>
      </c>
      <c r="I305">
        <f t="shared" ca="1" si="52"/>
        <v>16945.586770559999</v>
      </c>
      <c r="J305">
        <f t="shared" ca="1" si="52"/>
        <v>17238.883617312</v>
      </c>
      <c r="K305">
        <f t="shared" ca="1" si="53"/>
        <v>17238.883617312</v>
      </c>
      <c r="L305">
        <f t="shared" ca="1" si="53"/>
        <v>18543.906402122127</v>
      </c>
      <c r="M305">
        <f t="shared" ca="1" si="53"/>
        <v>19848.929186932255</v>
      </c>
      <c r="N305">
        <f t="shared" ca="1" si="53"/>
        <v>21153.951971742379</v>
      </c>
      <c r="O305">
        <f t="shared" ca="1" si="53"/>
        <v>22458.974756552507</v>
      </c>
      <c r="P305">
        <f t="shared" ca="1" si="53"/>
        <v>22458.974756552507</v>
      </c>
      <c r="Q305">
        <f t="shared" ca="1" si="53"/>
        <v>22458.974756552507</v>
      </c>
      <c r="R305">
        <f t="shared" ca="1" si="53"/>
        <v>22458.974756552507</v>
      </c>
      <c r="S305">
        <f t="shared" ca="1" si="53"/>
        <v>22458.974756552507</v>
      </c>
      <c r="T305">
        <f t="shared" ca="1" si="53"/>
        <v>22458.974756552507</v>
      </c>
      <c r="U305">
        <f t="shared" ca="1" si="53"/>
        <v>22458.974756552507</v>
      </c>
      <c r="V305">
        <f t="shared" ca="1" si="53"/>
        <v>22458.974756552507</v>
      </c>
      <c r="W305">
        <f t="shared" ca="1" si="53"/>
        <v>22458.974756552507</v>
      </c>
      <c r="X305">
        <f t="shared" ca="1" si="53"/>
        <v>22458.974756552507</v>
      </c>
      <c r="Y305">
        <f t="shared" ca="1" si="53"/>
        <v>22654.505987720506</v>
      </c>
      <c r="Z305">
        <f t="shared" ca="1" si="53"/>
        <v>26254.015752426392</v>
      </c>
      <c r="AA305">
        <f t="shared" ca="1" si="53"/>
        <v>31653.280399485215</v>
      </c>
      <c r="AB305">
        <f t="shared" ca="1" si="53"/>
        <v>37313.253354768036</v>
      </c>
      <c r="AC305">
        <f t="shared" ca="1" si="53"/>
        <v>37527.522995589636</v>
      </c>
    </row>
    <row r="306" spans="3:29">
      <c r="C306">
        <v>9</v>
      </c>
      <c r="D306" s="29">
        <f t="shared" si="52"/>
        <v>17757.352961036191</v>
      </c>
      <c r="E306" s="29">
        <f t="shared" si="52"/>
        <v>17757.352961036191</v>
      </c>
      <c r="F306" s="29">
        <f t="shared" si="52"/>
        <v>17757.352961036191</v>
      </c>
      <c r="G306">
        <f t="shared" si="52"/>
        <v>17757.352961036191</v>
      </c>
      <c r="H306">
        <f t="shared" si="52"/>
        <v>17757.352961036191</v>
      </c>
      <c r="I306">
        <f t="shared" ca="1" si="52"/>
        <v>17757.352961036191</v>
      </c>
      <c r="J306">
        <f t="shared" ca="1" si="52"/>
        <v>18050.649807788192</v>
      </c>
      <c r="K306">
        <f t="shared" ca="1" si="53"/>
        <v>18050.649807788192</v>
      </c>
      <c r="L306">
        <f t="shared" ca="1" si="53"/>
        <v>19355.672592598319</v>
      </c>
      <c r="M306">
        <f t="shared" ca="1" si="53"/>
        <v>20660.695377408447</v>
      </c>
      <c r="N306">
        <f t="shared" ca="1" si="53"/>
        <v>21965.718162218571</v>
      </c>
      <c r="O306">
        <f t="shared" ca="1" si="53"/>
        <v>23270.740947028698</v>
      </c>
      <c r="P306">
        <f t="shared" ca="1" si="53"/>
        <v>23270.740947028698</v>
      </c>
      <c r="Q306">
        <f t="shared" ca="1" si="53"/>
        <v>23270.740947028698</v>
      </c>
      <c r="R306">
        <f t="shared" ca="1" si="53"/>
        <v>23270.740947028698</v>
      </c>
      <c r="S306">
        <f t="shared" ca="1" si="53"/>
        <v>23270.740947028698</v>
      </c>
      <c r="T306">
        <f t="shared" ca="1" si="53"/>
        <v>23270.740947028698</v>
      </c>
      <c r="U306">
        <f t="shared" ca="1" si="53"/>
        <v>23270.740947028698</v>
      </c>
      <c r="V306">
        <f t="shared" ca="1" si="53"/>
        <v>23270.740947028698</v>
      </c>
      <c r="W306">
        <f t="shared" ca="1" si="53"/>
        <v>23270.740947028698</v>
      </c>
      <c r="X306">
        <f t="shared" ca="1" si="53"/>
        <v>23270.740947028698</v>
      </c>
      <c r="Y306">
        <f t="shared" ca="1" si="53"/>
        <v>23466.272178196697</v>
      </c>
      <c r="Z306">
        <f t="shared" ca="1" si="53"/>
        <v>27065.781942902584</v>
      </c>
      <c r="AA306">
        <f t="shared" ca="1" si="53"/>
        <v>32465.046589961406</v>
      </c>
      <c r="AB306">
        <f t="shared" ca="1" si="53"/>
        <v>38125.019545244228</v>
      </c>
      <c r="AC306">
        <f t="shared" ca="1" si="53"/>
        <v>38339.289186065827</v>
      </c>
    </row>
    <row r="307" spans="3:29">
      <c r="C307">
        <v>10</v>
      </c>
      <c r="D307" s="29">
        <f t="shared" si="52"/>
        <v>17757.352961036191</v>
      </c>
      <c r="E307" s="29">
        <f t="shared" si="52"/>
        <v>17757.352961036191</v>
      </c>
      <c r="F307" s="29">
        <f t="shared" si="52"/>
        <v>17757.352961036191</v>
      </c>
      <c r="G307">
        <f t="shared" si="52"/>
        <v>17757.352961036191</v>
      </c>
      <c r="H307">
        <f t="shared" si="52"/>
        <v>17757.352961036191</v>
      </c>
      <c r="I307">
        <f t="shared" ca="1" si="52"/>
        <v>18020.15296103619</v>
      </c>
      <c r="J307">
        <f t="shared" ca="1" si="52"/>
        <v>18839.049807788193</v>
      </c>
      <c r="K307">
        <f t="shared" ca="1" si="53"/>
        <v>19364.649807788192</v>
      </c>
      <c r="L307">
        <f t="shared" ca="1" si="53"/>
        <v>21720.87259259832</v>
      </c>
      <c r="M307">
        <f t="shared" ca="1" si="53"/>
        <v>24077.095377408448</v>
      </c>
      <c r="N307">
        <f t="shared" ca="1" si="53"/>
        <v>27484.51816221857</v>
      </c>
      <c r="O307">
        <f t="shared" ca="1" si="53"/>
        <v>30891.940947028699</v>
      </c>
      <c r="P307">
        <f t="shared" ca="1" si="53"/>
        <v>33519.940947028699</v>
      </c>
      <c r="Q307">
        <f t="shared" ca="1" si="53"/>
        <v>36147.940947028699</v>
      </c>
      <c r="R307">
        <f t="shared" ca="1" si="53"/>
        <v>40089.940947028699</v>
      </c>
      <c r="S307">
        <f t="shared" ca="1" si="53"/>
        <v>44031.940947028699</v>
      </c>
      <c r="T307">
        <f t="shared" ca="1" si="53"/>
        <v>49287.940947028699</v>
      </c>
      <c r="U307">
        <f t="shared" ca="1" si="53"/>
        <v>49287.940947028699</v>
      </c>
      <c r="V307">
        <f t="shared" ca="1" si="53"/>
        <v>49287.940947028699</v>
      </c>
      <c r="W307">
        <f t="shared" ca="1" si="53"/>
        <v>49287.940947028699</v>
      </c>
      <c r="X307">
        <f t="shared" ca="1" si="53"/>
        <v>49287.940947028699</v>
      </c>
      <c r="Y307">
        <f t="shared" ca="1" si="53"/>
        <v>49483.472178196695</v>
      </c>
      <c r="Z307">
        <f t="shared" ca="1" si="53"/>
        <v>53082.981942902581</v>
      </c>
      <c r="AA307">
        <f t="shared" ca="1" si="53"/>
        <v>58482.246589961404</v>
      </c>
      <c r="AB307">
        <f t="shared" ca="1" si="53"/>
        <v>64142.219545244225</v>
      </c>
      <c r="AC307">
        <f t="shared" ca="1" si="53"/>
        <v>64093.689186065822</v>
      </c>
    </row>
    <row r="308" spans="3:29">
      <c r="C308">
        <v>11</v>
      </c>
      <c r="D308" s="29">
        <f t="shared" si="52"/>
        <v>17757.352961036191</v>
      </c>
      <c r="E308" s="29">
        <f t="shared" si="52"/>
        <v>17757.352961036191</v>
      </c>
      <c r="F308" s="29">
        <f t="shared" si="52"/>
        <v>17757.352961036191</v>
      </c>
      <c r="G308">
        <f t="shared" si="52"/>
        <v>17757.352961036191</v>
      </c>
      <c r="H308">
        <f t="shared" si="52"/>
        <v>17757.352961036191</v>
      </c>
      <c r="I308">
        <f t="shared" ca="1" si="52"/>
        <v>18020.15296103619</v>
      </c>
      <c r="J308">
        <f t="shared" ca="1" si="52"/>
        <v>18839.049807788193</v>
      </c>
      <c r="K308">
        <f t="shared" ca="1" si="53"/>
        <v>19364.649807788192</v>
      </c>
      <c r="L308">
        <f t="shared" ca="1" si="53"/>
        <v>21720.87259259832</v>
      </c>
      <c r="M308">
        <f t="shared" ca="1" si="53"/>
        <v>24077.095377408448</v>
      </c>
      <c r="N308">
        <f t="shared" ca="1" si="53"/>
        <v>27484.51816221857</v>
      </c>
      <c r="O308">
        <f t="shared" ca="1" si="53"/>
        <v>30891.940947028699</v>
      </c>
      <c r="P308">
        <f t="shared" ca="1" si="53"/>
        <v>33519.940947028699</v>
      </c>
      <c r="Q308">
        <f t="shared" ca="1" si="53"/>
        <v>36147.940947028699</v>
      </c>
      <c r="R308">
        <f t="shared" ca="1" si="53"/>
        <v>40089.940947028699</v>
      </c>
      <c r="S308">
        <f t="shared" ca="1" si="53"/>
        <v>44031.940947028699</v>
      </c>
      <c r="T308">
        <f t="shared" ca="1" si="53"/>
        <v>49287.940947028699</v>
      </c>
      <c r="U308">
        <f t="shared" ca="1" si="53"/>
        <v>51477.940947028699</v>
      </c>
      <c r="V308">
        <f t="shared" ca="1" si="53"/>
        <v>53667.940947028699</v>
      </c>
      <c r="W308">
        <f t="shared" ca="1" si="53"/>
        <v>55857.940947028699</v>
      </c>
      <c r="X308">
        <f t="shared" ca="1" si="53"/>
        <v>58047.940947028699</v>
      </c>
      <c r="Y308">
        <f t="shared" ca="1" si="53"/>
        <v>60433.472178196695</v>
      </c>
      <c r="Z308">
        <f t="shared" ca="1" si="53"/>
        <v>66222.981942902581</v>
      </c>
      <c r="AA308">
        <f t="shared" ca="1" si="53"/>
        <v>73812.246589961404</v>
      </c>
      <c r="AB308">
        <f t="shared" ca="1" si="53"/>
        <v>81662.219545244225</v>
      </c>
      <c r="AC308">
        <f t="shared" ca="1" si="53"/>
        <v>83803.689186065822</v>
      </c>
    </row>
    <row r="309" spans="3:29">
      <c r="C309">
        <v>12</v>
      </c>
      <c r="D309" s="29">
        <f t="shared" si="52"/>
        <v>17757.352961036191</v>
      </c>
      <c r="E309" s="29">
        <f t="shared" si="52"/>
        <v>17757.352961036191</v>
      </c>
      <c r="F309" s="29">
        <f t="shared" si="52"/>
        <v>17757.352961036191</v>
      </c>
      <c r="G309">
        <f t="shared" si="52"/>
        <v>17757.352961036191</v>
      </c>
      <c r="H309">
        <f t="shared" si="52"/>
        <v>17757.352961036191</v>
      </c>
      <c r="I309">
        <f t="shared" ca="1" si="52"/>
        <v>18020.15296103619</v>
      </c>
      <c r="J309">
        <f t="shared" ca="1" si="52"/>
        <v>18839.049807788193</v>
      </c>
      <c r="K309">
        <f t="shared" ca="1" si="53"/>
        <v>19364.649807788192</v>
      </c>
      <c r="L309">
        <f t="shared" ca="1" si="53"/>
        <v>21720.87259259832</v>
      </c>
      <c r="M309">
        <f t="shared" ca="1" si="53"/>
        <v>24077.095377408448</v>
      </c>
      <c r="N309">
        <f t="shared" ca="1" si="53"/>
        <v>28010.118162218569</v>
      </c>
      <c r="O309">
        <f t="shared" ca="1" si="53"/>
        <v>32468.740947028698</v>
      </c>
      <c r="P309">
        <f t="shared" ca="1" si="53"/>
        <v>37199.140947028696</v>
      </c>
      <c r="Q309">
        <f t="shared" ca="1" si="53"/>
        <v>44031.940947028699</v>
      </c>
      <c r="R309">
        <f t="shared" ca="1" si="53"/>
        <v>54281.140947028704</v>
      </c>
      <c r="S309">
        <f t="shared" ca="1" si="53"/>
        <v>66632.740947028709</v>
      </c>
      <c r="T309">
        <f t="shared" ca="1" si="53"/>
        <v>82400.740947028709</v>
      </c>
      <c r="U309">
        <f t="shared" ca="1" si="53"/>
        <v>95102.740947028709</v>
      </c>
      <c r="V309">
        <f t="shared" ca="1" si="53"/>
        <v>113060.74094702871</v>
      </c>
      <c r="W309">
        <f t="shared" ca="1" si="53"/>
        <v>131018.74094702871</v>
      </c>
      <c r="X309">
        <f t="shared" ca="1" si="53"/>
        <v>148976.74094702871</v>
      </c>
      <c r="Y309">
        <f t="shared" ca="1" si="53"/>
        <v>167130.2721781967</v>
      </c>
      <c r="Z309">
        <f t="shared" ca="1" si="53"/>
        <v>188687.7819429026</v>
      </c>
      <c r="AA309">
        <f t="shared" ca="1" si="53"/>
        <v>212045.04658996139</v>
      </c>
      <c r="AB309">
        <f t="shared" ca="1" si="53"/>
        <v>235663.01954524423</v>
      </c>
      <c r="AC309">
        <f t="shared" ca="1" si="53"/>
        <v>253572.4891860658</v>
      </c>
    </row>
    <row r="310" spans="3:29">
      <c r="C310">
        <v>13</v>
      </c>
      <c r="D310" s="29">
        <f t="shared" si="52"/>
        <v>17757.352961036191</v>
      </c>
      <c r="E310" s="29">
        <f t="shared" si="52"/>
        <v>17757.352961036191</v>
      </c>
      <c r="F310" s="29">
        <f t="shared" si="52"/>
        <v>17757.352961036191</v>
      </c>
      <c r="G310">
        <f t="shared" si="52"/>
        <v>17757.352961036191</v>
      </c>
      <c r="H310">
        <f t="shared" si="52"/>
        <v>17757.352961036191</v>
      </c>
      <c r="I310">
        <f t="shared" ca="1" si="52"/>
        <v>18020.15296103619</v>
      </c>
      <c r="J310">
        <f t="shared" ca="1" si="52"/>
        <v>18839.049807788193</v>
      </c>
      <c r="K310">
        <f t="shared" ca="1" si="53"/>
        <v>19364.649807788192</v>
      </c>
      <c r="L310">
        <f t="shared" ca="1" si="53"/>
        <v>21720.87259259832</v>
      </c>
      <c r="M310">
        <f t="shared" ca="1" si="53"/>
        <v>24077.095377408448</v>
      </c>
      <c r="N310">
        <f t="shared" ca="1" si="53"/>
        <v>28010.118162218569</v>
      </c>
      <c r="O310">
        <f t="shared" ca="1" si="53"/>
        <v>32468.740947028698</v>
      </c>
      <c r="P310">
        <f t="shared" ca="1" si="53"/>
        <v>37199.140947028696</v>
      </c>
      <c r="Q310">
        <f t="shared" ca="1" si="53"/>
        <v>44031.940947028699</v>
      </c>
      <c r="R310">
        <f t="shared" ca="1" si="53"/>
        <v>54281.140947028704</v>
      </c>
      <c r="S310">
        <f t="shared" ca="1" si="53"/>
        <v>66632.740947028709</v>
      </c>
      <c r="T310">
        <f t="shared" ca="1" si="53"/>
        <v>82400.740947028709</v>
      </c>
      <c r="U310">
        <f t="shared" ca="1" si="53"/>
        <v>95102.740947028709</v>
      </c>
      <c r="V310">
        <f t="shared" ca="1" si="53"/>
        <v>113060.74094702871</v>
      </c>
      <c r="W310">
        <f t="shared" ca="1" si="53"/>
        <v>131018.74094702871</v>
      </c>
      <c r="X310">
        <f t="shared" ca="1" si="53"/>
        <v>148976.74094702871</v>
      </c>
      <c r="Y310">
        <f t="shared" ca="1" si="53"/>
        <v>167130.2721781967</v>
      </c>
      <c r="Z310">
        <f t="shared" ca="1" si="53"/>
        <v>188687.7819429026</v>
      </c>
      <c r="AA310">
        <f t="shared" ca="1" si="53"/>
        <v>212045.04658996139</v>
      </c>
      <c r="AB310">
        <f t="shared" ca="1" si="53"/>
        <v>235663.01954524423</v>
      </c>
      <c r="AC310">
        <f t="shared" ca="1" si="53"/>
        <v>253572.4891860658</v>
      </c>
    </row>
    <row r="311" spans="3:29">
      <c r="C311">
        <v>14</v>
      </c>
      <c r="D311" s="29">
        <f t="shared" si="52"/>
        <v>17757.352961036191</v>
      </c>
      <c r="E311" s="29">
        <f t="shared" si="52"/>
        <v>17757.352961036191</v>
      </c>
      <c r="F311" s="29">
        <f t="shared" si="52"/>
        <v>17757.352961036191</v>
      </c>
      <c r="G311">
        <f t="shared" si="52"/>
        <v>17757.352961036191</v>
      </c>
      <c r="H311">
        <f t="shared" si="52"/>
        <v>17757.352961036191</v>
      </c>
      <c r="I311">
        <f t="shared" ca="1" si="52"/>
        <v>18020.15296103619</v>
      </c>
      <c r="J311">
        <f t="shared" ca="1" si="52"/>
        <v>18839.049807788193</v>
      </c>
      <c r="K311">
        <f t="shared" ca="1" si="53"/>
        <v>19364.649807788192</v>
      </c>
      <c r="L311">
        <f t="shared" ca="1" si="53"/>
        <v>21720.87259259832</v>
      </c>
      <c r="M311">
        <f t="shared" ca="1" si="53"/>
        <v>24077.095377408448</v>
      </c>
      <c r="N311">
        <f t="shared" ca="1" si="53"/>
        <v>28010.118162218569</v>
      </c>
      <c r="O311">
        <f t="shared" ca="1" si="53"/>
        <v>32468.740947028698</v>
      </c>
      <c r="P311">
        <f t="shared" ca="1" si="53"/>
        <v>37199.140947028696</v>
      </c>
      <c r="Q311">
        <f t="shared" ca="1" si="53"/>
        <v>44031.940947028699</v>
      </c>
      <c r="R311">
        <f t="shared" ca="1" si="53"/>
        <v>54281.140947028704</v>
      </c>
      <c r="S311">
        <f t="shared" ca="1" si="53"/>
        <v>66632.740947028709</v>
      </c>
      <c r="T311">
        <f t="shared" ca="1" si="53"/>
        <v>82400.740947028709</v>
      </c>
      <c r="U311">
        <f t="shared" ca="1" si="53"/>
        <v>95102.740947028709</v>
      </c>
      <c r="V311">
        <f t="shared" ca="1" si="53"/>
        <v>113060.74094702871</v>
      </c>
      <c r="W311">
        <f t="shared" ca="1" si="53"/>
        <v>131018.74094702871</v>
      </c>
      <c r="X311">
        <f t="shared" ca="1" si="53"/>
        <v>148976.74094702871</v>
      </c>
      <c r="Y311">
        <f t="shared" ca="1" si="53"/>
        <v>167130.2721781967</v>
      </c>
      <c r="Z311">
        <f t="shared" ca="1" si="53"/>
        <v>188687.7819429026</v>
      </c>
      <c r="AA311">
        <f t="shared" ca="1" si="53"/>
        <v>212045.04658996139</v>
      </c>
      <c r="AB311">
        <f t="shared" ca="1" si="53"/>
        <v>235663.01954524423</v>
      </c>
      <c r="AC311">
        <f t="shared" ca="1" si="53"/>
        <v>253572.4891860658</v>
      </c>
    </row>
    <row r="312" spans="3:29">
      <c r="C312">
        <v>15</v>
      </c>
      <c r="D312" s="29">
        <f t="shared" si="52"/>
        <v>18282.02221103619</v>
      </c>
      <c r="E312" s="29">
        <f t="shared" si="52"/>
        <v>18282.02221103619</v>
      </c>
      <c r="F312" s="29">
        <f t="shared" si="52"/>
        <v>18282.02221103619</v>
      </c>
      <c r="G312">
        <f t="shared" si="52"/>
        <v>18282.02221103619</v>
      </c>
      <c r="H312">
        <f t="shared" si="52"/>
        <v>18282.02221103619</v>
      </c>
      <c r="I312">
        <f t="shared" ca="1" si="52"/>
        <v>18544.822211036189</v>
      </c>
      <c r="J312">
        <f t="shared" ca="1" si="52"/>
        <v>19363.719057788192</v>
      </c>
      <c r="K312">
        <f t="shared" ca="1" si="53"/>
        <v>19889.319057788191</v>
      </c>
      <c r="L312">
        <f t="shared" ca="1" si="53"/>
        <v>22245.541842598319</v>
      </c>
      <c r="M312">
        <f t="shared" ca="1" si="53"/>
        <v>24601.764627408447</v>
      </c>
      <c r="N312">
        <f t="shared" ca="1" si="53"/>
        <v>28534.787412218568</v>
      </c>
      <c r="O312">
        <f t="shared" ca="1" si="53"/>
        <v>32993.410197028701</v>
      </c>
      <c r="P312">
        <f t="shared" ca="1" si="53"/>
        <v>37723.810197028695</v>
      </c>
      <c r="Q312">
        <f t="shared" ca="1" si="53"/>
        <v>44556.610197028698</v>
      </c>
      <c r="R312">
        <f t="shared" ca="1" si="53"/>
        <v>54805.810197028703</v>
      </c>
      <c r="S312">
        <f t="shared" ref="S312:AC317" ca="1" si="54">S290+S311</f>
        <v>67157.410197028716</v>
      </c>
      <c r="T312">
        <f t="shared" ca="1" si="54"/>
        <v>82925.410197028716</v>
      </c>
      <c r="U312">
        <f t="shared" ca="1" si="54"/>
        <v>95627.410197028716</v>
      </c>
      <c r="V312">
        <f t="shared" ca="1" si="54"/>
        <v>113585.41019702872</v>
      </c>
      <c r="W312">
        <f t="shared" ca="1" si="54"/>
        <v>131543.41019702872</v>
      </c>
      <c r="X312">
        <f t="shared" ca="1" si="54"/>
        <v>149501.41019702872</v>
      </c>
      <c r="Y312">
        <f t="shared" ca="1" si="54"/>
        <v>167654.9414281967</v>
      </c>
      <c r="Z312">
        <f t="shared" ca="1" si="54"/>
        <v>189212.4511929026</v>
      </c>
      <c r="AA312">
        <f t="shared" ca="1" si="54"/>
        <v>212569.7158399614</v>
      </c>
      <c r="AB312">
        <f t="shared" ca="1" si="54"/>
        <v>236187.68879524423</v>
      </c>
      <c r="AC312">
        <f t="shared" ca="1" si="54"/>
        <v>254097.1584360658</v>
      </c>
    </row>
    <row r="313" spans="3:29">
      <c r="C313">
        <v>16</v>
      </c>
      <c r="D313" s="29">
        <f t="shared" si="52"/>
        <v>19784.143211036189</v>
      </c>
      <c r="E313" s="29">
        <f t="shared" si="52"/>
        <v>19784.143211036189</v>
      </c>
      <c r="F313" s="29">
        <f t="shared" si="52"/>
        <v>19784.143211036189</v>
      </c>
      <c r="G313">
        <f t="shared" si="52"/>
        <v>19784.143211036189</v>
      </c>
      <c r="H313">
        <f t="shared" si="52"/>
        <v>19784.143211036189</v>
      </c>
      <c r="I313">
        <f t="shared" ca="1" si="52"/>
        <v>20046.943211036189</v>
      </c>
      <c r="J313">
        <f t="shared" ca="1" si="52"/>
        <v>20865.840057788191</v>
      </c>
      <c r="K313">
        <f t="shared" ca="1" si="52"/>
        <v>21391.44005778819</v>
      </c>
      <c r="L313">
        <f t="shared" ca="1" si="52"/>
        <v>23747.662842598318</v>
      </c>
      <c r="M313">
        <f t="shared" ca="1" si="52"/>
        <v>26103.885627408446</v>
      </c>
      <c r="N313">
        <f t="shared" ca="1" si="52"/>
        <v>30036.908412218567</v>
      </c>
      <c r="O313">
        <f t="shared" ca="1" si="52"/>
        <v>34495.5311970287</v>
      </c>
      <c r="P313">
        <f t="shared" ca="1" si="52"/>
        <v>39225.931197028694</v>
      </c>
      <c r="Q313">
        <f t="shared" ca="1" si="52"/>
        <v>46058.731197028697</v>
      </c>
      <c r="R313">
        <f t="shared" ca="1" si="52"/>
        <v>56307.931197028702</v>
      </c>
      <c r="S313">
        <f t="shared" ca="1" si="54"/>
        <v>68659.531197028715</v>
      </c>
      <c r="T313">
        <f t="shared" ca="1" si="54"/>
        <v>84427.531197028715</v>
      </c>
      <c r="U313">
        <f t="shared" ca="1" si="54"/>
        <v>97129.531197028715</v>
      </c>
      <c r="V313">
        <f t="shared" ca="1" si="54"/>
        <v>115087.53119702871</v>
      </c>
      <c r="W313">
        <f t="shared" ca="1" si="54"/>
        <v>133045.53119702873</v>
      </c>
      <c r="X313">
        <f t="shared" ca="1" si="54"/>
        <v>151003.53119702873</v>
      </c>
      <c r="Y313">
        <f t="shared" ca="1" si="54"/>
        <v>169157.06242819672</v>
      </c>
      <c r="Z313">
        <f t="shared" ca="1" si="54"/>
        <v>190714.57219290262</v>
      </c>
      <c r="AA313">
        <f t="shared" ca="1" si="54"/>
        <v>214071.83683996141</v>
      </c>
      <c r="AB313">
        <f t="shared" ca="1" si="54"/>
        <v>237689.80979524425</v>
      </c>
      <c r="AC313">
        <f t="shared" ca="1" si="54"/>
        <v>255599.27943606582</v>
      </c>
    </row>
    <row r="314" spans="3:29">
      <c r="C314">
        <v>17</v>
      </c>
      <c r="D314" s="29">
        <f t="shared" si="52"/>
        <v>89497.858057126636</v>
      </c>
      <c r="E314" s="29">
        <f t="shared" si="52"/>
        <v>89497.858057126636</v>
      </c>
      <c r="F314" s="29">
        <f t="shared" si="52"/>
        <v>89497.858057126636</v>
      </c>
      <c r="G314">
        <f t="shared" si="52"/>
        <v>89497.858057126636</v>
      </c>
      <c r="H314">
        <f t="shared" si="52"/>
        <v>89497.858057126636</v>
      </c>
      <c r="I314">
        <f t="shared" ca="1" si="52"/>
        <v>89760.658057126624</v>
      </c>
      <c r="J314">
        <f t="shared" ca="1" si="52"/>
        <v>90579.554903878627</v>
      </c>
      <c r="K314">
        <f t="shared" ca="1" si="52"/>
        <v>91105.154903878632</v>
      </c>
      <c r="L314">
        <f t="shared" ca="1" si="52"/>
        <v>93461.377688688764</v>
      </c>
      <c r="M314">
        <f t="shared" ca="1" si="52"/>
        <v>95817.600473498896</v>
      </c>
      <c r="N314">
        <f t="shared" ca="1" si="52"/>
        <v>99750.623258309002</v>
      </c>
      <c r="O314">
        <f t="shared" ca="1" si="52"/>
        <v>104209.24604311914</v>
      </c>
      <c r="P314">
        <f t="shared" ca="1" si="52"/>
        <v>108939.64604311914</v>
      </c>
      <c r="Q314">
        <f t="shared" ca="1" si="52"/>
        <v>115772.44604311914</v>
      </c>
      <c r="R314">
        <f t="shared" ca="1" si="52"/>
        <v>126021.64604311914</v>
      </c>
      <c r="S314">
        <f t="shared" ca="1" si="54"/>
        <v>138373.24604311917</v>
      </c>
      <c r="T314">
        <f t="shared" ca="1" si="54"/>
        <v>154141.24604311917</v>
      </c>
      <c r="U314">
        <f t="shared" ca="1" si="54"/>
        <v>166843.24604311917</v>
      </c>
      <c r="V314">
        <f t="shared" ca="1" si="54"/>
        <v>184801.24604311917</v>
      </c>
      <c r="W314">
        <f t="shared" ca="1" si="54"/>
        <v>200151.07319271902</v>
      </c>
      <c r="X314">
        <f t="shared" ca="1" si="54"/>
        <v>215500.90034231887</v>
      </c>
      <c r="Y314">
        <f t="shared" ca="1" si="54"/>
        <v>230394.21551048665</v>
      </c>
      <c r="Z314">
        <f t="shared" ca="1" si="54"/>
        <v>248691.50921219235</v>
      </c>
      <c r="AA314">
        <f t="shared" ca="1" si="54"/>
        <v>268102.19651982986</v>
      </c>
      <c r="AB314">
        <f t="shared" ca="1" si="54"/>
        <v>283827.01479627012</v>
      </c>
      <c r="AC314">
        <f t="shared" ca="1" si="54"/>
        <v>297789.90709767042</v>
      </c>
    </row>
    <row r="315" spans="3:29">
      <c r="C315">
        <v>18</v>
      </c>
      <c r="D315" s="29">
        <f t="shared" ref="D315:R317" si="55">D293+D314</f>
        <v>89497.858057126636</v>
      </c>
      <c r="E315" s="29">
        <f t="shared" si="55"/>
        <v>89497.858057126636</v>
      </c>
      <c r="F315" s="29">
        <f t="shared" si="55"/>
        <v>89497.858057126636</v>
      </c>
      <c r="G315">
        <f t="shared" si="55"/>
        <v>89497.858057126636</v>
      </c>
      <c r="H315">
        <f t="shared" si="55"/>
        <v>89497.858057126636</v>
      </c>
      <c r="I315">
        <f t="shared" ca="1" si="55"/>
        <v>89760.658057126624</v>
      </c>
      <c r="J315">
        <f t="shared" ca="1" si="55"/>
        <v>90579.554903878627</v>
      </c>
      <c r="K315">
        <f t="shared" ca="1" si="55"/>
        <v>91105.154903878632</v>
      </c>
      <c r="L315">
        <f t="shared" ca="1" si="55"/>
        <v>93461.377688688764</v>
      </c>
      <c r="M315">
        <f t="shared" ca="1" si="55"/>
        <v>95817.600473498896</v>
      </c>
      <c r="N315">
        <f t="shared" ca="1" si="55"/>
        <v>99750.623258309002</v>
      </c>
      <c r="O315">
        <f t="shared" ca="1" si="55"/>
        <v>104209.24604311914</v>
      </c>
      <c r="P315">
        <f t="shared" ca="1" si="55"/>
        <v>108939.64604311914</v>
      </c>
      <c r="Q315">
        <f t="shared" ca="1" si="55"/>
        <v>115772.44604311914</v>
      </c>
      <c r="R315">
        <f t="shared" ca="1" si="55"/>
        <v>126021.64604311914</v>
      </c>
      <c r="S315">
        <f t="shared" ca="1" si="54"/>
        <v>138373.24604311917</v>
      </c>
      <c r="T315">
        <f t="shared" ca="1" si="54"/>
        <v>154141.24604311917</v>
      </c>
      <c r="U315">
        <f t="shared" ca="1" si="54"/>
        <v>166843.24604311917</v>
      </c>
      <c r="V315">
        <f t="shared" ca="1" si="54"/>
        <v>184801.24604311917</v>
      </c>
      <c r="W315">
        <f t="shared" ca="1" si="54"/>
        <v>200151.07319271902</v>
      </c>
      <c r="X315">
        <f t="shared" ca="1" si="54"/>
        <v>215500.90034231887</v>
      </c>
      <c r="Y315">
        <f t="shared" ca="1" si="54"/>
        <v>230394.21551048665</v>
      </c>
      <c r="Z315">
        <f t="shared" ca="1" si="54"/>
        <v>248691.50921219235</v>
      </c>
      <c r="AA315">
        <f t="shared" ca="1" si="54"/>
        <v>268102.19651982986</v>
      </c>
      <c r="AB315">
        <f t="shared" ca="1" si="54"/>
        <v>285000.2580212701</v>
      </c>
      <c r="AC315">
        <f t="shared" ca="1" si="54"/>
        <v>300136.39354767045</v>
      </c>
    </row>
    <row r="316" spans="3:29">
      <c r="C316">
        <v>19</v>
      </c>
      <c r="D316" s="29">
        <f t="shared" si="55"/>
        <v>100978.96610872824</v>
      </c>
      <c r="E316" s="29">
        <f t="shared" si="55"/>
        <v>100978.96610872824</v>
      </c>
      <c r="F316" s="29">
        <f t="shared" si="55"/>
        <v>89497.858057126636</v>
      </c>
      <c r="G316">
        <f t="shared" si="55"/>
        <v>89497.858057126636</v>
      </c>
      <c r="H316">
        <f t="shared" si="55"/>
        <v>89497.858057126636</v>
      </c>
      <c r="I316">
        <f t="shared" ca="1" si="55"/>
        <v>89760.658057126624</v>
      </c>
      <c r="J316">
        <f t="shared" ca="1" si="55"/>
        <v>90579.554903878627</v>
      </c>
      <c r="K316">
        <f t="shared" ca="1" si="55"/>
        <v>92798.891486878638</v>
      </c>
      <c r="L316">
        <f t="shared" ca="1" si="55"/>
        <v>98542.587437688766</v>
      </c>
      <c r="M316">
        <f t="shared" ca="1" si="55"/>
        <v>105980.0199714989</v>
      </c>
      <c r="N316">
        <f t="shared" ca="1" si="55"/>
        <v>114994.25250530901</v>
      </c>
      <c r="O316">
        <f t="shared" ca="1" si="55"/>
        <v>122840.34845611914</v>
      </c>
      <c r="P316">
        <f t="shared" ca="1" si="55"/>
        <v>129264.48503911914</v>
      </c>
      <c r="Q316">
        <f t="shared" ca="1" si="55"/>
        <v>136097.28503911916</v>
      </c>
      <c r="R316">
        <f t="shared" ca="1" si="55"/>
        <v>146346.48503911914</v>
      </c>
      <c r="S316">
        <f t="shared" ca="1" si="54"/>
        <v>158698.08503911918</v>
      </c>
      <c r="T316">
        <f t="shared" ca="1" si="54"/>
        <v>174466.08503911918</v>
      </c>
      <c r="U316">
        <f t="shared" ca="1" si="54"/>
        <v>187168.08503911918</v>
      </c>
      <c r="V316">
        <f t="shared" ca="1" si="54"/>
        <v>205126.08503911918</v>
      </c>
      <c r="W316">
        <f t="shared" ca="1" si="54"/>
        <v>220475.91218871903</v>
      </c>
      <c r="X316">
        <f t="shared" ca="1" si="54"/>
        <v>235825.73933831888</v>
      </c>
      <c r="Y316">
        <f t="shared" ca="1" si="54"/>
        <v>250719.05450648666</v>
      </c>
      <c r="Z316">
        <f t="shared" ca="1" si="54"/>
        <v>269016.34820819239</v>
      </c>
      <c r="AA316">
        <f t="shared" ca="1" si="54"/>
        <v>288427.03551582986</v>
      </c>
      <c r="AB316">
        <f t="shared" ca="1" si="54"/>
        <v>305325.09701727011</v>
      </c>
      <c r="AC316">
        <f t="shared" ca="1" si="54"/>
        <v>320461.23254367046</v>
      </c>
    </row>
    <row r="317" spans="3:29">
      <c r="C317">
        <v>20</v>
      </c>
      <c r="D317" s="29">
        <f t="shared" si="55"/>
        <v>100978.96610872824</v>
      </c>
      <c r="E317" s="29">
        <f t="shared" si="55"/>
        <v>100978.96610872824</v>
      </c>
      <c r="F317" s="29">
        <f t="shared" si="55"/>
        <v>100978.96610872824</v>
      </c>
      <c r="G317">
        <f t="shared" si="55"/>
        <v>100978.96610872824</v>
      </c>
      <c r="H317">
        <f t="shared" si="55"/>
        <v>100978.96610872824</v>
      </c>
      <c r="I317">
        <f t="shared" ca="1" si="55"/>
        <v>102684.70970294609</v>
      </c>
      <c r="J317">
        <f t="shared" ca="1" si="55"/>
        <v>104357.11930528228</v>
      </c>
      <c r="K317">
        <f t="shared" ca="1" si="55"/>
        <v>106576.4558882823</v>
      </c>
      <c r="L317">
        <f t="shared" ca="1" si="55"/>
        <v>112320.15183909243</v>
      </c>
      <c r="M317">
        <f t="shared" ca="1" si="55"/>
        <v>119757.58437290255</v>
      </c>
      <c r="N317">
        <f t="shared" ca="1" si="55"/>
        <v>128771.81690671266</v>
      </c>
      <c r="O317">
        <f t="shared" ca="1" si="55"/>
        <v>136538.68828243762</v>
      </c>
      <c r="P317">
        <f t="shared" ca="1" si="55"/>
        <v>142883.60029035248</v>
      </c>
      <c r="Q317">
        <f t="shared" ca="1" si="55"/>
        <v>149610.76752357226</v>
      </c>
      <c r="R317">
        <f t="shared" ca="1" si="55"/>
        <v>159754.33475679203</v>
      </c>
      <c r="S317">
        <f t="shared" ca="1" si="54"/>
        <v>170098.91218796783</v>
      </c>
      <c r="T317">
        <f t="shared" ca="1" si="54"/>
        <v>183859.88961914356</v>
      </c>
      <c r="U317">
        <f t="shared" ca="1" si="54"/>
        <v>196561.88961914356</v>
      </c>
      <c r="V317">
        <f t="shared" ca="1" si="54"/>
        <v>214519.88961914356</v>
      </c>
      <c r="W317">
        <f t="shared" ca="1" si="54"/>
        <v>229869.71676874341</v>
      </c>
      <c r="X317">
        <f t="shared" ca="1" si="54"/>
        <v>244294.78773005283</v>
      </c>
      <c r="Y317">
        <f t="shared" ca="1" si="54"/>
        <v>258263.34670993022</v>
      </c>
      <c r="Z317">
        <f t="shared" ca="1" si="54"/>
        <v>276560.64041163592</v>
      </c>
      <c r="AA317">
        <f t="shared" ca="1" si="54"/>
        <v>295971.32771927339</v>
      </c>
      <c r="AB317">
        <f t="shared" ca="1" si="54"/>
        <v>312869.38922071364</v>
      </c>
      <c r="AC317">
        <f t="shared" ca="1" si="54"/>
        <v>328005.52474711399</v>
      </c>
    </row>
    <row r="318" spans="3:29">
      <c r="D318" s="29"/>
      <c r="E318" s="29"/>
      <c r="F318" s="29"/>
    </row>
    <row r="319" spans="3:29">
      <c r="C319" s="4" t="s">
        <v>232</v>
      </c>
      <c r="D319" s="29"/>
      <c r="E319" s="29"/>
      <c r="F319" s="29"/>
    </row>
    <row r="320" spans="3:29">
      <c r="C320" s="11" t="s">
        <v>230</v>
      </c>
      <c r="D320" s="29"/>
      <c r="E320" s="29"/>
      <c r="F320" s="29"/>
    </row>
    <row r="321" spans="3:29">
      <c r="C321">
        <v>1</v>
      </c>
      <c r="D321">
        <f>IF(D317+D239&lt;D$271,D239,D$271-D317)</f>
        <v>0</v>
      </c>
      <c r="E321">
        <f>IF(E317+E239&lt;E$271,E239,E$271-E317)</f>
        <v>0</v>
      </c>
      <c r="F321">
        <f>IF(F317+F239&lt;F$271,F239,F$271-F317)</f>
        <v>0</v>
      </c>
      <c r="G321">
        <f>IF(G317+G239&lt;G$271,G239,G$271-G317)</f>
        <v>0</v>
      </c>
      <c r="H321">
        <f>IF(H317+H239&lt;H$271,H239,H$271-H317)</f>
        <v>0</v>
      </c>
      <c r="I321">
        <f t="shared" ref="I321:AC321" ca="1" si="56">IF(I317+I239&lt;I$271,I239,I$271-I317)</f>
        <v>0</v>
      </c>
      <c r="J321">
        <f t="shared" ca="1" si="56"/>
        <v>0</v>
      </c>
      <c r="K321">
        <f t="shared" ca="1" si="56"/>
        <v>0</v>
      </c>
      <c r="L321">
        <f t="shared" ca="1" si="56"/>
        <v>0</v>
      </c>
      <c r="M321">
        <f t="shared" ca="1" si="56"/>
        <v>0</v>
      </c>
      <c r="N321">
        <f t="shared" ca="1" si="56"/>
        <v>0</v>
      </c>
      <c r="O321">
        <f t="shared" ca="1" si="56"/>
        <v>0</v>
      </c>
      <c r="P321">
        <f t="shared" ca="1" si="56"/>
        <v>0</v>
      </c>
      <c r="Q321">
        <f t="shared" ca="1" si="56"/>
        <v>0</v>
      </c>
      <c r="R321">
        <f t="shared" ca="1" si="56"/>
        <v>0</v>
      </c>
      <c r="S321">
        <f t="shared" ca="1" si="56"/>
        <v>0</v>
      </c>
      <c r="T321">
        <f t="shared" ca="1" si="56"/>
        <v>0</v>
      </c>
      <c r="U321">
        <f t="shared" ca="1" si="56"/>
        <v>0</v>
      </c>
      <c r="V321">
        <f t="shared" ca="1" si="56"/>
        <v>0</v>
      </c>
      <c r="W321">
        <f t="shared" ca="1" si="56"/>
        <v>0</v>
      </c>
      <c r="X321">
        <f t="shared" ca="1" si="56"/>
        <v>0</v>
      </c>
      <c r="Y321">
        <f t="shared" ca="1" si="56"/>
        <v>0</v>
      </c>
      <c r="Z321">
        <f t="shared" ca="1" si="56"/>
        <v>0</v>
      </c>
      <c r="AA321">
        <f t="shared" ca="1" si="56"/>
        <v>0</v>
      </c>
      <c r="AB321">
        <f t="shared" ca="1" si="56"/>
        <v>0</v>
      </c>
      <c r="AC321">
        <f t="shared" ca="1" si="56"/>
        <v>0</v>
      </c>
    </row>
    <row r="322" spans="3:29">
      <c r="C322">
        <v>2</v>
      </c>
      <c r="D322">
        <f t="shared" ref="D322:AC331" si="57">IF(D343+D240&lt;D$271,D240,D$271-D343)</f>
        <v>66.660329523809537</v>
      </c>
      <c r="E322">
        <f t="shared" si="57"/>
        <v>66.660329523809537</v>
      </c>
      <c r="F322">
        <f t="shared" si="57"/>
        <v>66.660329523809537</v>
      </c>
      <c r="G322">
        <f t="shared" si="57"/>
        <v>66.660329523809537</v>
      </c>
      <c r="H322">
        <f t="shared" si="57"/>
        <v>66.660329523809537</v>
      </c>
      <c r="I322">
        <f t="shared" ca="1" si="57"/>
        <v>66.660329523809537</v>
      </c>
      <c r="J322">
        <f t="shared" ca="1" si="57"/>
        <v>66.660329523809537</v>
      </c>
      <c r="K322">
        <f t="shared" ca="1" si="57"/>
        <v>66.660329523809537</v>
      </c>
      <c r="L322">
        <f t="shared" ca="1" si="57"/>
        <v>66.660329523809537</v>
      </c>
      <c r="M322">
        <f t="shared" ca="1" si="57"/>
        <v>66.660329523809537</v>
      </c>
      <c r="N322">
        <f t="shared" ca="1" si="57"/>
        <v>66.660329523809537</v>
      </c>
      <c r="O322">
        <f t="shared" ca="1" si="57"/>
        <v>66.660329523809537</v>
      </c>
      <c r="P322">
        <f t="shared" ca="1" si="57"/>
        <v>66.660329523809537</v>
      </c>
      <c r="Q322">
        <f t="shared" ca="1" si="57"/>
        <v>66.660329523809537</v>
      </c>
      <c r="R322">
        <f t="shared" ca="1" si="57"/>
        <v>66.660329523809537</v>
      </c>
      <c r="S322">
        <f t="shared" ca="1" si="57"/>
        <v>66.660329523809537</v>
      </c>
      <c r="T322">
        <f t="shared" ca="1" si="57"/>
        <v>66.660329523809537</v>
      </c>
      <c r="U322">
        <f t="shared" ca="1" si="57"/>
        <v>66.660329523809537</v>
      </c>
      <c r="V322">
        <f t="shared" ca="1" si="57"/>
        <v>66.660329523809537</v>
      </c>
      <c r="W322">
        <f t="shared" ca="1" si="57"/>
        <v>66.660329523809537</v>
      </c>
      <c r="X322">
        <f t="shared" ca="1" si="57"/>
        <v>66.660329523809537</v>
      </c>
      <c r="Y322">
        <f t="shared" ca="1" si="57"/>
        <v>66.660329523809537</v>
      </c>
      <c r="Z322">
        <f t="shared" ca="1" si="57"/>
        <v>66.660329523809537</v>
      </c>
      <c r="AA322">
        <f t="shared" ca="1" si="57"/>
        <v>66.660329523809537</v>
      </c>
      <c r="AB322">
        <f t="shared" ca="1" si="57"/>
        <v>66.660329523809537</v>
      </c>
      <c r="AC322">
        <f t="shared" ca="1" si="57"/>
        <v>66.660329523809537</v>
      </c>
    </row>
    <row r="323" spans="3:29">
      <c r="C323">
        <v>3</v>
      </c>
      <c r="D323">
        <f t="shared" si="57"/>
        <v>0</v>
      </c>
      <c r="E323">
        <f t="shared" si="57"/>
        <v>0</v>
      </c>
      <c r="F323">
        <f t="shared" si="57"/>
        <v>0</v>
      </c>
      <c r="G323">
        <f t="shared" si="57"/>
        <v>0</v>
      </c>
      <c r="H323">
        <f t="shared" si="57"/>
        <v>0</v>
      </c>
      <c r="I323">
        <f t="shared" ca="1" si="57"/>
        <v>0</v>
      </c>
      <c r="J323">
        <f t="shared" ca="1" si="57"/>
        <v>0</v>
      </c>
      <c r="K323">
        <f t="shared" ca="1" si="57"/>
        <v>0</v>
      </c>
      <c r="L323">
        <f t="shared" ca="1" si="57"/>
        <v>0</v>
      </c>
      <c r="M323">
        <f t="shared" ca="1" si="57"/>
        <v>0</v>
      </c>
      <c r="N323">
        <f t="shared" ca="1" si="57"/>
        <v>0</v>
      </c>
      <c r="O323">
        <f t="shared" ca="1" si="57"/>
        <v>0</v>
      </c>
      <c r="P323">
        <f t="shared" ca="1" si="57"/>
        <v>0</v>
      </c>
      <c r="Q323">
        <f t="shared" ca="1" si="57"/>
        <v>0</v>
      </c>
      <c r="R323">
        <f t="shared" ca="1" si="57"/>
        <v>0</v>
      </c>
      <c r="S323">
        <f t="shared" ca="1" si="57"/>
        <v>0</v>
      </c>
      <c r="T323">
        <f t="shared" ca="1" si="57"/>
        <v>0</v>
      </c>
      <c r="U323">
        <f t="shared" ca="1" si="57"/>
        <v>0</v>
      </c>
      <c r="V323">
        <f t="shared" ca="1" si="57"/>
        <v>0</v>
      </c>
      <c r="W323">
        <f t="shared" ca="1" si="57"/>
        <v>0</v>
      </c>
      <c r="X323">
        <f t="shared" ca="1" si="57"/>
        <v>0</v>
      </c>
      <c r="Y323">
        <f t="shared" ca="1" si="57"/>
        <v>0</v>
      </c>
      <c r="Z323">
        <f t="shared" ca="1" si="57"/>
        <v>0</v>
      </c>
      <c r="AA323">
        <f t="shared" ca="1" si="57"/>
        <v>0</v>
      </c>
      <c r="AB323">
        <f t="shared" ca="1" si="57"/>
        <v>0</v>
      </c>
      <c r="AC323">
        <f t="shared" ca="1" si="57"/>
        <v>0</v>
      </c>
    </row>
    <row r="324" spans="3:29">
      <c r="C324">
        <v>4</v>
      </c>
      <c r="D324">
        <f t="shared" si="57"/>
        <v>0</v>
      </c>
      <c r="E324">
        <f t="shared" si="57"/>
        <v>0</v>
      </c>
      <c r="F324">
        <f t="shared" si="57"/>
        <v>0</v>
      </c>
      <c r="G324">
        <f t="shared" si="57"/>
        <v>0</v>
      </c>
      <c r="H324">
        <f t="shared" si="57"/>
        <v>0</v>
      </c>
      <c r="I324">
        <f t="shared" ca="1" si="57"/>
        <v>0</v>
      </c>
      <c r="J324">
        <f t="shared" ca="1" si="57"/>
        <v>0</v>
      </c>
      <c r="K324">
        <f t="shared" ca="1" si="57"/>
        <v>0</v>
      </c>
      <c r="L324">
        <f t="shared" ca="1" si="57"/>
        <v>0</v>
      </c>
      <c r="M324">
        <f t="shared" ca="1" si="57"/>
        <v>0</v>
      </c>
      <c r="N324">
        <f t="shared" ca="1" si="57"/>
        <v>0</v>
      </c>
      <c r="O324">
        <f t="shared" ca="1" si="57"/>
        <v>0</v>
      </c>
      <c r="P324">
        <f t="shared" ca="1" si="57"/>
        <v>0</v>
      </c>
      <c r="Q324">
        <f t="shared" ca="1" si="57"/>
        <v>0</v>
      </c>
      <c r="R324">
        <f t="shared" ca="1" si="57"/>
        <v>0</v>
      </c>
      <c r="S324">
        <f t="shared" ca="1" si="57"/>
        <v>0</v>
      </c>
      <c r="T324">
        <f t="shared" ca="1" si="57"/>
        <v>0</v>
      </c>
      <c r="U324">
        <f t="shared" ca="1" si="57"/>
        <v>0</v>
      </c>
      <c r="V324">
        <f t="shared" ca="1" si="57"/>
        <v>0</v>
      </c>
      <c r="W324">
        <f t="shared" ca="1" si="57"/>
        <v>0</v>
      </c>
      <c r="X324">
        <f t="shared" ca="1" si="57"/>
        <v>0</v>
      </c>
      <c r="Y324">
        <f t="shared" ca="1" si="57"/>
        <v>0</v>
      </c>
      <c r="Z324">
        <f t="shared" ca="1" si="57"/>
        <v>0</v>
      </c>
      <c r="AA324">
        <f t="shared" ca="1" si="57"/>
        <v>0</v>
      </c>
      <c r="AB324">
        <f t="shared" ca="1" si="57"/>
        <v>0</v>
      </c>
      <c r="AC324">
        <f t="shared" ca="1" si="57"/>
        <v>0</v>
      </c>
    </row>
    <row r="325" spans="3:29">
      <c r="C325">
        <v>5</v>
      </c>
      <c r="D325">
        <f t="shared" si="57"/>
        <v>0</v>
      </c>
      <c r="E325">
        <f t="shared" si="57"/>
        <v>0</v>
      </c>
      <c r="F325">
        <f t="shared" si="57"/>
        <v>0</v>
      </c>
      <c r="G325">
        <f t="shared" si="57"/>
        <v>0</v>
      </c>
      <c r="H325">
        <f t="shared" si="57"/>
        <v>0</v>
      </c>
      <c r="I325">
        <f t="shared" ca="1" si="57"/>
        <v>0</v>
      </c>
      <c r="J325">
        <f t="shared" ca="1" si="57"/>
        <v>0</v>
      </c>
      <c r="K325">
        <f t="shared" ca="1" si="57"/>
        <v>0</v>
      </c>
      <c r="L325">
        <f t="shared" ca="1" si="57"/>
        <v>0</v>
      </c>
      <c r="M325">
        <f t="shared" ca="1" si="57"/>
        <v>0</v>
      </c>
      <c r="N325">
        <f t="shared" ca="1" si="57"/>
        <v>0</v>
      </c>
      <c r="O325">
        <f t="shared" ca="1" si="57"/>
        <v>0</v>
      </c>
      <c r="P325">
        <f t="shared" ca="1" si="57"/>
        <v>0</v>
      </c>
      <c r="Q325">
        <f t="shared" ca="1" si="57"/>
        <v>0</v>
      </c>
      <c r="R325">
        <f t="shared" ca="1" si="57"/>
        <v>0</v>
      </c>
      <c r="S325">
        <f t="shared" ca="1" si="57"/>
        <v>0</v>
      </c>
      <c r="T325">
        <f t="shared" ca="1" si="57"/>
        <v>0</v>
      </c>
      <c r="U325">
        <f t="shared" ca="1" si="57"/>
        <v>0</v>
      </c>
      <c r="V325">
        <f t="shared" ca="1" si="57"/>
        <v>0</v>
      </c>
      <c r="W325">
        <f t="shared" ca="1" si="57"/>
        <v>0</v>
      </c>
      <c r="X325">
        <f t="shared" ca="1" si="57"/>
        <v>0</v>
      </c>
      <c r="Y325">
        <f t="shared" ca="1" si="57"/>
        <v>0</v>
      </c>
      <c r="Z325">
        <f t="shared" ca="1" si="57"/>
        <v>0</v>
      </c>
      <c r="AA325">
        <f t="shared" ca="1" si="57"/>
        <v>0</v>
      </c>
      <c r="AB325">
        <f t="shared" ca="1" si="57"/>
        <v>0</v>
      </c>
      <c r="AC325">
        <f t="shared" ca="1" si="57"/>
        <v>0</v>
      </c>
    </row>
    <row r="326" spans="3:29">
      <c r="C326">
        <v>6</v>
      </c>
      <c r="D326">
        <f t="shared" si="57"/>
        <v>0</v>
      </c>
      <c r="E326">
        <f t="shared" si="57"/>
        <v>0</v>
      </c>
      <c r="F326">
        <f t="shared" si="57"/>
        <v>0</v>
      </c>
      <c r="G326">
        <f t="shared" si="57"/>
        <v>0</v>
      </c>
      <c r="H326">
        <f t="shared" si="57"/>
        <v>0</v>
      </c>
      <c r="I326">
        <f t="shared" ca="1" si="57"/>
        <v>0</v>
      </c>
      <c r="J326">
        <f t="shared" ca="1" si="57"/>
        <v>0</v>
      </c>
      <c r="K326">
        <f t="shared" ca="1" si="57"/>
        <v>0</v>
      </c>
      <c r="L326">
        <f t="shared" ca="1" si="57"/>
        <v>0</v>
      </c>
      <c r="M326">
        <f t="shared" ca="1" si="57"/>
        <v>0</v>
      </c>
      <c r="N326">
        <f t="shared" ca="1" si="57"/>
        <v>0</v>
      </c>
      <c r="O326">
        <f t="shared" ca="1" si="57"/>
        <v>0</v>
      </c>
      <c r="P326">
        <f t="shared" ca="1" si="57"/>
        <v>0</v>
      </c>
      <c r="Q326">
        <f t="shared" ca="1" si="57"/>
        <v>0</v>
      </c>
      <c r="R326">
        <f t="shared" ca="1" si="57"/>
        <v>0</v>
      </c>
      <c r="S326">
        <f t="shared" ca="1" si="57"/>
        <v>0</v>
      </c>
      <c r="T326">
        <f t="shared" ca="1" si="57"/>
        <v>0</v>
      </c>
      <c r="U326">
        <f t="shared" ca="1" si="57"/>
        <v>0</v>
      </c>
      <c r="V326">
        <f t="shared" ca="1" si="57"/>
        <v>0</v>
      </c>
      <c r="W326">
        <f t="shared" ca="1" si="57"/>
        <v>0</v>
      </c>
      <c r="X326">
        <f t="shared" ca="1" si="57"/>
        <v>0</v>
      </c>
      <c r="Y326">
        <f t="shared" ca="1" si="57"/>
        <v>0</v>
      </c>
      <c r="Z326">
        <f t="shared" ca="1" si="57"/>
        <v>0</v>
      </c>
      <c r="AA326">
        <f t="shared" ca="1" si="57"/>
        <v>0</v>
      </c>
      <c r="AB326">
        <f t="shared" ca="1" si="57"/>
        <v>0</v>
      </c>
      <c r="AC326">
        <f t="shared" ca="1" si="57"/>
        <v>0</v>
      </c>
    </row>
    <row r="327" spans="3:29">
      <c r="C327">
        <v>7</v>
      </c>
      <c r="D327">
        <f t="shared" si="57"/>
        <v>0</v>
      </c>
      <c r="E327">
        <f t="shared" si="57"/>
        <v>0</v>
      </c>
      <c r="F327">
        <f t="shared" si="57"/>
        <v>0</v>
      </c>
      <c r="G327">
        <f t="shared" si="57"/>
        <v>0</v>
      </c>
      <c r="H327">
        <f t="shared" si="57"/>
        <v>0</v>
      </c>
      <c r="I327">
        <f t="shared" ca="1" si="57"/>
        <v>0</v>
      </c>
      <c r="J327">
        <f t="shared" ca="1" si="57"/>
        <v>0</v>
      </c>
      <c r="K327">
        <f t="shared" ca="1" si="57"/>
        <v>0</v>
      </c>
      <c r="L327">
        <f t="shared" ca="1" si="57"/>
        <v>0</v>
      </c>
      <c r="M327">
        <f t="shared" ca="1" si="57"/>
        <v>0</v>
      </c>
      <c r="N327">
        <f t="shared" ca="1" si="57"/>
        <v>0</v>
      </c>
      <c r="O327">
        <f t="shared" ca="1" si="57"/>
        <v>0</v>
      </c>
      <c r="P327">
        <f t="shared" ca="1" si="57"/>
        <v>0</v>
      </c>
      <c r="Q327">
        <f t="shared" ca="1" si="57"/>
        <v>0</v>
      </c>
      <c r="R327">
        <f t="shared" ca="1" si="57"/>
        <v>0</v>
      </c>
      <c r="S327">
        <f t="shared" ca="1" si="57"/>
        <v>0</v>
      </c>
      <c r="T327">
        <f t="shared" ca="1" si="57"/>
        <v>0</v>
      </c>
      <c r="U327">
        <f t="shared" ca="1" si="57"/>
        <v>0</v>
      </c>
      <c r="V327">
        <f t="shared" ca="1" si="57"/>
        <v>0</v>
      </c>
      <c r="W327">
        <f t="shared" ca="1" si="57"/>
        <v>0</v>
      </c>
      <c r="X327">
        <f t="shared" ca="1" si="57"/>
        <v>0</v>
      </c>
      <c r="Y327">
        <f t="shared" ca="1" si="57"/>
        <v>0</v>
      </c>
      <c r="Z327">
        <f t="shared" ca="1" si="57"/>
        <v>0</v>
      </c>
      <c r="AA327">
        <f t="shared" ca="1" si="57"/>
        <v>0</v>
      </c>
      <c r="AB327">
        <f t="shared" ca="1" si="57"/>
        <v>0</v>
      </c>
      <c r="AC327">
        <f t="shared" ca="1" si="57"/>
        <v>0</v>
      </c>
    </row>
    <row r="328" spans="3:29">
      <c r="C328">
        <v>8</v>
      </c>
      <c r="D328">
        <f t="shared" si="57"/>
        <v>0</v>
      </c>
      <c r="E328">
        <f t="shared" si="57"/>
        <v>0</v>
      </c>
      <c r="F328">
        <f t="shared" si="57"/>
        <v>0</v>
      </c>
      <c r="G328">
        <f t="shared" si="57"/>
        <v>0</v>
      </c>
      <c r="H328">
        <f t="shared" si="57"/>
        <v>0</v>
      </c>
      <c r="I328">
        <f t="shared" ca="1" si="57"/>
        <v>0</v>
      </c>
      <c r="J328">
        <f t="shared" ca="1" si="57"/>
        <v>0</v>
      </c>
      <c r="K328">
        <f t="shared" ca="1" si="57"/>
        <v>0</v>
      </c>
      <c r="L328">
        <f t="shared" ca="1" si="57"/>
        <v>0</v>
      </c>
      <c r="M328">
        <f t="shared" ca="1" si="57"/>
        <v>0</v>
      </c>
      <c r="N328">
        <f t="shared" ca="1" si="57"/>
        <v>0</v>
      </c>
      <c r="O328">
        <f t="shared" ca="1" si="57"/>
        <v>0</v>
      </c>
      <c r="P328">
        <f t="shared" ca="1" si="57"/>
        <v>0</v>
      </c>
      <c r="Q328">
        <f t="shared" ca="1" si="57"/>
        <v>0</v>
      </c>
      <c r="R328">
        <f t="shared" ca="1" si="57"/>
        <v>0</v>
      </c>
      <c r="S328">
        <f t="shared" ca="1" si="57"/>
        <v>0</v>
      </c>
      <c r="T328">
        <f t="shared" ca="1" si="57"/>
        <v>0</v>
      </c>
      <c r="U328">
        <f t="shared" ca="1" si="57"/>
        <v>0</v>
      </c>
      <c r="V328">
        <f t="shared" ca="1" si="57"/>
        <v>0</v>
      </c>
      <c r="W328">
        <f t="shared" ca="1" si="57"/>
        <v>0</v>
      </c>
      <c r="X328">
        <f t="shared" ca="1" si="57"/>
        <v>0</v>
      </c>
      <c r="Y328">
        <f t="shared" ca="1" si="57"/>
        <v>0</v>
      </c>
      <c r="Z328">
        <f t="shared" ca="1" si="57"/>
        <v>0</v>
      </c>
      <c r="AA328">
        <f t="shared" ca="1" si="57"/>
        <v>0</v>
      </c>
      <c r="AB328">
        <f t="shared" ca="1" si="57"/>
        <v>0</v>
      </c>
      <c r="AC328">
        <f t="shared" ca="1" si="57"/>
        <v>0</v>
      </c>
    </row>
    <row r="329" spans="3:29">
      <c r="C329">
        <v>9</v>
      </c>
      <c r="D329">
        <f t="shared" si="57"/>
        <v>0</v>
      </c>
      <c r="E329">
        <f t="shared" si="57"/>
        <v>0</v>
      </c>
      <c r="F329">
        <f t="shared" si="57"/>
        <v>0</v>
      </c>
      <c r="G329">
        <f t="shared" si="57"/>
        <v>0</v>
      </c>
      <c r="H329">
        <f t="shared" si="57"/>
        <v>0</v>
      </c>
      <c r="I329">
        <f t="shared" ca="1" si="57"/>
        <v>0</v>
      </c>
      <c r="J329">
        <f t="shared" ca="1" si="57"/>
        <v>0</v>
      </c>
      <c r="K329">
        <f t="shared" ca="1" si="57"/>
        <v>0</v>
      </c>
      <c r="L329">
        <f t="shared" ca="1" si="57"/>
        <v>0</v>
      </c>
      <c r="M329">
        <f t="shared" ca="1" si="57"/>
        <v>0</v>
      </c>
      <c r="N329">
        <f t="shared" ca="1" si="57"/>
        <v>0</v>
      </c>
      <c r="O329">
        <f t="shared" ca="1" si="57"/>
        <v>0</v>
      </c>
      <c r="P329">
        <f t="shared" ca="1" si="57"/>
        <v>0</v>
      </c>
      <c r="Q329">
        <f t="shared" ca="1" si="57"/>
        <v>0</v>
      </c>
      <c r="R329">
        <f t="shared" ca="1" si="57"/>
        <v>0</v>
      </c>
      <c r="S329">
        <f t="shared" ca="1" si="57"/>
        <v>0</v>
      </c>
      <c r="T329">
        <f t="shared" ca="1" si="57"/>
        <v>0</v>
      </c>
      <c r="U329">
        <f t="shared" ca="1" si="57"/>
        <v>0</v>
      </c>
      <c r="V329">
        <f t="shared" ca="1" si="57"/>
        <v>0</v>
      </c>
      <c r="W329">
        <f t="shared" ca="1" si="57"/>
        <v>0</v>
      </c>
      <c r="X329">
        <f t="shared" ca="1" si="57"/>
        <v>0</v>
      </c>
      <c r="Y329">
        <f t="shared" ca="1" si="57"/>
        <v>0</v>
      </c>
      <c r="Z329">
        <f t="shared" ca="1" si="57"/>
        <v>0</v>
      </c>
      <c r="AA329">
        <f t="shared" ca="1" si="57"/>
        <v>0</v>
      </c>
      <c r="AB329">
        <f t="shared" ca="1" si="57"/>
        <v>0</v>
      </c>
      <c r="AC329">
        <f t="shared" ca="1" si="57"/>
        <v>0</v>
      </c>
    </row>
    <row r="330" spans="3:29">
      <c r="C330">
        <v>10</v>
      </c>
      <c r="D330">
        <f t="shared" si="57"/>
        <v>0</v>
      </c>
      <c r="E330">
        <f t="shared" si="57"/>
        <v>0</v>
      </c>
      <c r="F330">
        <f t="shared" si="57"/>
        <v>0</v>
      </c>
      <c r="G330">
        <f t="shared" si="57"/>
        <v>0</v>
      </c>
      <c r="H330">
        <f t="shared" si="57"/>
        <v>0</v>
      </c>
      <c r="I330">
        <f t="shared" ca="1" si="57"/>
        <v>0</v>
      </c>
      <c r="J330">
        <f t="shared" ca="1" si="57"/>
        <v>0</v>
      </c>
      <c r="K330">
        <f t="shared" ca="1" si="57"/>
        <v>0</v>
      </c>
      <c r="L330">
        <f t="shared" ca="1" si="57"/>
        <v>0</v>
      </c>
      <c r="M330">
        <f t="shared" ca="1" si="57"/>
        <v>0</v>
      </c>
      <c r="N330">
        <f t="shared" ca="1" si="57"/>
        <v>0</v>
      </c>
      <c r="O330">
        <f t="shared" ca="1" si="57"/>
        <v>0</v>
      </c>
      <c r="P330">
        <f t="shared" ca="1" si="57"/>
        <v>0</v>
      </c>
      <c r="Q330">
        <f t="shared" ca="1" si="57"/>
        <v>0</v>
      </c>
      <c r="R330">
        <f t="shared" ca="1" si="57"/>
        <v>0</v>
      </c>
      <c r="S330">
        <f t="shared" ca="1" si="57"/>
        <v>0</v>
      </c>
      <c r="T330">
        <f t="shared" ca="1" si="57"/>
        <v>0</v>
      </c>
      <c r="U330">
        <f t="shared" ca="1" si="57"/>
        <v>0</v>
      </c>
      <c r="V330">
        <f t="shared" ca="1" si="57"/>
        <v>0</v>
      </c>
      <c r="W330">
        <f t="shared" ca="1" si="57"/>
        <v>0</v>
      </c>
      <c r="X330">
        <f t="shared" ca="1" si="57"/>
        <v>0</v>
      </c>
      <c r="Y330">
        <f t="shared" ca="1" si="57"/>
        <v>0</v>
      </c>
      <c r="Z330">
        <f t="shared" ca="1" si="57"/>
        <v>0</v>
      </c>
      <c r="AA330">
        <f t="shared" ca="1" si="57"/>
        <v>0</v>
      </c>
      <c r="AB330">
        <f t="shared" ca="1" si="57"/>
        <v>0</v>
      </c>
      <c r="AC330">
        <f t="shared" ca="1" si="57"/>
        <v>0</v>
      </c>
    </row>
    <row r="331" spans="3:29">
      <c r="C331">
        <v>11</v>
      </c>
      <c r="D331">
        <f t="shared" si="57"/>
        <v>0</v>
      </c>
      <c r="E331">
        <f t="shared" si="57"/>
        <v>0</v>
      </c>
      <c r="F331">
        <f t="shared" si="57"/>
        <v>0</v>
      </c>
      <c r="G331">
        <f t="shared" si="57"/>
        <v>0</v>
      </c>
      <c r="H331">
        <f t="shared" si="57"/>
        <v>0</v>
      </c>
      <c r="I331">
        <f t="shared" ca="1" si="57"/>
        <v>0</v>
      </c>
      <c r="J331">
        <f t="shared" ca="1" si="57"/>
        <v>0</v>
      </c>
      <c r="K331">
        <f t="shared" ca="1" si="57"/>
        <v>0</v>
      </c>
      <c r="L331">
        <f t="shared" ca="1" si="57"/>
        <v>0</v>
      </c>
      <c r="M331">
        <f t="shared" ca="1" si="57"/>
        <v>0</v>
      </c>
      <c r="N331">
        <f t="shared" ca="1" si="57"/>
        <v>0</v>
      </c>
      <c r="O331">
        <f t="shared" ca="1" si="57"/>
        <v>0</v>
      </c>
      <c r="P331">
        <f t="shared" ca="1" si="57"/>
        <v>0</v>
      </c>
      <c r="Q331">
        <f t="shared" ca="1" si="57"/>
        <v>0</v>
      </c>
      <c r="R331">
        <f t="shared" ca="1" si="57"/>
        <v>0</v>
      </c>
      <c r="S331">
        <f t="shared" ca="1" si="57"/>
        <v>0</v>
      </c>
      <c r="T331">
        <f t="shared" ca="1" si="57"/>
        <v>0</v>
      </c>
      <c r="U331">
        <f t="shared" ca="1" si="57"/>
        <v>0</v>
      </c>
      <c r="V331">
        <f t="shared" ca="1" si="57"/>
        <v>0</v>
      </c>
      <c r="W331">
        <f t="shared" ca="1" si="57"/>
        <v>0</v>
      </c>
      <c r="X331">
        <f t="shared" ca="1" si="57"/>
        <v>0</v>
      </c>
      <c r="Y331">
        <f ca="1">IF(Y352+Y249&lt;Y$271,Y249,Y$271-Y352)</f>
        <v>0</v>
      </c>
      <c r="Z331">
        <f ca="1">IF(Z352+Z249&lt;Z$271,Z249,Z$271-Z352)</f>
        <v>0</v>
      </c>
      <c r="AA331">
        <f ca="1">IF(AA352+AA249&lt;AA$271,AA249,AA$271-AA352)</f>
        <v>0</v>
      </c>
      <c r="AB331">
        <f ca="1">IF(AB352+AB249&lt;AB$271,AB249,AB$271-AB352)</f>
        <v>0</v>
      </c>
      <c r="AC331">
        <f ca="1">IF(AC352+AC249&lt;AC$271,AC249,AC$271-AC352)</f>
        <v>0</v>
      </c>
    </row>
    <row r="332" spans="3:29">
      <c r="C332">
        <v>12</v>
      </c>
      <c r="D332">
        <f t="shared" ref="D332:AC340" si="58">IF(D353+D250&lt;D$271,D250,D$271-D353)</f>
        <v>0</v>
      </c>
      <c r="E332">
        <f t="shared" si="58"/>
        <v>0</v>
      </c>
      <c r="F332">
        <f t="shared" si="58"/>
        <v>0</v>
      </c>
      <c r="G332">
        <f t="shared" si="58"/>
        <v>0</v>
      </c>
      <c r="H332">
        <f t="shared" si="58"/>
        <v>0</v>
      </c>
      <c r="I332">
        <f t="shared" ca="1" si="58"/>
        <v>0</v>
      </c>
      <c r="J332">
        <f t="shared" ca="1" si="58"/>
        <v>0</v>
      </c>
      <c r="K332">
        <f t="shared" ca="1" si="58"/>
        <v>0</v>
      </c>
      <c r="L332">
        <f t="shared" ca="1" si="58"/>
        <v>0</v>
      </c>
      <c r="M332">
        <f t="shared" ca="1" si="58"/>
        <v>0</v>
      </c>
      <c r="N332">
        <f t="shared" ca="1" si="58"/>
        <v>0</v>
      </c>
      <c r="O332">
        <f t="shared" ca="1" si="58"/>
        <v>0</v>
      </c>
      <c r="P332">
        <f t="shared" ca="1" si="58"/>
        <v>0</v>
      </c>
      <c r="Q332">
        <f t="shared" ca="1" si="58"/>
        <v>0</v>
      </c>
      <c r="R332">
        <f t="shared" ca="1" si="58"/>
        <v>0</v>
      </c>
      <c r="S332">
        <f t="shared" ca="1" si="58"/>
        <v>0</v>
      </c>
      <c r="T332">
        <f t="shared" ca="1" si="58"/>
        <v>0</v>
      </c>
      <c r="U332">
        <f t="shared" ca="1" si="58"/>
        <v>0</v>
      </c>
      <c r="V332">
        <f t="shared" ca="1" si="58"/>
        <v>0</v>
      </c>
      <c r="W332">
        <f t="shared" ca="1" si="58"/>
        <v>0</v>
      </c>
      <c r="X332">
        <f t="shared" ca="1" si="58"/>
        <v>0</v>
      </c>
      <c r="Y332">
        <f t="shared" ca="1" si="58"/>
        <v>0</v>
      </c>
      <c r="Z332">
        <f t="shared" ca="1" si="58"/>
        <v>0</v>
      </c>
      <c r="AA332">
        <f t="shared" ca="1" si="58"/>
        <v>0</v>
      </c>
      <c r="AB332">
        <f t="shared" ca="1" si="58"/>
        <v>0</v>
      </c>
      <c r="AC332">
        <f t="shared" ca="1" si="58"/>
        <v>0</v>
      </c>
    </row>
    <row r="333" spans="3:29">
      <c r="C333">
        <v>13</v>
      </c>
      <c r="D333">
        <f t="shared" si="58"/>
        <v>0</v>
      </c>
      <c r="E333">
        <f t="shared" si="58"/>
        <v>0</v>
      </c>
      <c r="F333">
        <f t="shared" si="58"/>
        <v>0</v>
      </c>
      <c r="G333">
        <f t="shared" si="58"/>
        <v>0</v>
      </c>
      <c r="H333">
        <f t="shared" si="58"/>
        <v>0</v>
      </c>
      <c r="I333">
        <f t="shared" ca="1" si="58"/>
        <v>0</v>
      </c>
      <c r="J333">
        <f t="shared" ca="1" si="58"/>
        <v>0</v>
      </c>
      <c r="K333">
        <f t="shared" ca="1" si="58"/>
        <v>0</v>
      </c>
      <c r="L333">
        <f t="shared" ca="1" si="58"/>
        <v>0</v>
      </c>
      <c r="M333">
        <f t="shared" ca="1" si="58"/>
        <v>0</v>
      </c>
      <c r="N333">
        <f t="shared" ca="1" si="58"/>
        <v>0</v>
      </c>
      <c r="O333">
        <f t="shared" ca="1" si="58"/>
        <v>0</v>
      </c>
      <c r="P333">
        <f t="shared" ca="1" si="58"/>
        <v>0</v>
      </c>
      <c r="Q333">
        <f t="shared" ca="1" si="58"/>
        <v>0</v>
      </c>
      <c r="R333">
        <f t="shared" ca="1" si="58"/>
        <v>0</v>
      </c>
      <c r="S333">
        <f t="shared" ca="1" si="58"/>
        <v>0</v>
      </c>
      <c r="T333">
        <f t="shared" ca="1" si="58"/>
        <v>0</v>
      </c>
      <c r="U333">
        <f t="shared" ca="1" si="58"/>
        <v>0</v>
      </c>
      <c r="V333">
        <f t="shared" ca="1" si="58"/>
        <v>0</v>
      </c>
      <c r="W333">
        <f t="shared" ca="1" si="58"/>
        <v>0</v>
      </c>
      <c r="X333">
        <f t="shared" ca="1" si="58"/>
        <v>0</v>
      </c>
      <c r="Y333">
        <f t="shared" ca="1" si="58"/>
        <v>0</v>
      </c>
      <c r="Z333">
        <f t="shared" ca="1" si="58"/>
        <v>0</v>
      </c>
      <c r="AA333">
        <f t="shared" ca="1" si="58"/>
        <v>0</v>
      </c>
      <c r="AB333">
        <f t="shared" ca="1" si="58"/>
        <v>0</v>
      </c>
      <c r="AC333">
        <f t="shared" ca="1" si="58"/>
        <v>0</v>
      </c>
    </row>
    <row r="334" spans="3:29">
      <c r="C334">
        <v>14</v>
      </c>
      <c r="D334">
        <f t="shared" si="58"/>
        <v>136147.8229750279</v>
      </c>
      <c r="E334">
        <f t="shared" si="58"/>
        <v>0</v>
      </c>
      <c r="F334">
        <f t="shared" si="58"/>
        <v>0</v>
      </c>
      <c r="G334">
        <f t="shared" si="58"/>
        <v>0</v>
      </c>
      <c r="H334">
        <f t="shared" si="58"/>
        <v>0</v>
      </c>
      <c r="I334">
        <f t="shared" ca="1" si="58"/>
        <v>0</v>
      </c>
      <c r="J334">
        <f t="shared" ca="1" si="58"/>
        <v>0</v>
      </c>
      <c r="K334">
        <f t="shared" ca="1" si="58"/>
        <v>0</v>
      </c>
      <c r="L334">
        <f t="shared" ca="1" si="58"/>
        <v>0</v>
      </c>
      <c r="M334">
        <f t="shared" ca="1" si="58"/>
        <v>0</v>
      </c>
      <c r="N334">
        <f t="shared" ca="1" si="58"/>
        <v>0</v>
      </c>
      <c r="O334">
        <f t="shared" ca="1" si="58"/>
        <v>0</v>
      </c>
      <c r="P334">
        <f t="shared" ca="1" si="58"/>
        <v>0</v>
      </c>
      <c r="Q334">
        <f t="shared" ca="1" si="58"/>
        <v>0</v>
      </c>
      <c r="R334">
        <f t="shared" ca="1" si="58"/>
        <v>0</v>
      </c>
      <c r="S334">
        <f t="shared" ca="1" si="58"/>
        <v>0</v>
      </c>
      <c r="T334">
        <f t="shared" ca="1" si="58"/>
        <v>0</v>
      </c>
      <c r="U334">
        <f t="shared" ca="1" si="58"/>
        <v>0</v>
      </c>
      <c r="V334">
        <f t="shared" ca="1" si="58"/>
        <v>0</v>
      </c>
      <c r="W334">
        <f t="shared" ca="1" si="58"/>
        <v>0</v>
      </c>
      <c r="X334">
        <f t="shared" ca="1" si="58"/>
        <v>0</v>
      </c>
      <c r="Y334">
        <f t="shared" ca="1" si="58"/>
        <v>0</v>
      </c>
      <c r="Z334">
        <f t="shared" ca="1" si="58"/>
        <v>0</v>
      </c>
      <c r="AA334">
        <f t="shared" ca="1" si="58"/>
        <v>0</v>
      </c>
      <c r="AB334">
        <f t="shared" ca="1" si="58"/>
        <v>0</v>
      </c>
      <c r="AC334">
        <f t="shared" ca="1" si="58"/>
        <v>0</v>
      </c>
    </row>
    <row r="335" spans="3:29">
      <c r="C335">
        <v>15</v>
      </c>
      <c r="D335">
        <f t="shared" si="58"/>
        <v>2.9103830456733704E-11</v>
      </c>
      <c r="E335">
        <f t="shared" si="58"/>
        <v>136147.8229750279</v>
      </c>
      <c r="F335">
        <f t="shared" si="58"/>
        <v>142929.40190008626</v>
      </c>
      <c r="G335">
        <f t="shared" si="58"/>
        <v>145291.72006258956</v>
      </c>
      <c r="H335">
        <f t="shared" si="58"/>
        <v>145291.72006258956</v>
      </c>
      <c r="I335">
        <f t="shared" ca="1" si="58"/>
        <v>150367.59111368022</v>
      </c>
      <c r="J335">
        <f t="shared" ca="1" si="58"/>
        <v>153689.83959733526</v>
      </c>
      <c r="K335">
        <f t="shared" ca="1" si="58"/>
        <v>157441.43930135737</v>
      </c>
      <c r="L335">
        <f t="shared" ca="1" si="58"/>
        <v>160363.16615830557</v>
      </c>
      <c r="M335">
        <f t="shared" ca="1" si="58"/>
        <v>162665.33464087764</v>
      </c>
      <c r="N335">
        <f t="shared" ca="1" si="58"/>
        <v>162665.33464087764</v>
      </c>
      <c r="O335">
        <f t="shared" ca="1" si="58"/>
        <v>162665.33464087764</v>
      </c>
      <c r="P335">
        <f t="shared" ca="1" si="58"/>
        <v>162665.33464087764</v>
      </c>
      <c r="Q335">
        <f t="shared" ca="1" si="58"/>
        <v>162665.33464087764</v>
      </c>
      <c r="R335">
        <f t="shared" ca="1" si="58"/>
        <v>162665.33464087764</v>
      </c>
      <c r="S335">
        <f t="shared" ca="1" si="58"/>
        <v>162665.33464087764</v>
      </c>
      <c r="T335">
        <f t="shared" ca="1" si="58"/>
        <v>162665.33464087764</v>
      </c>
      <c r="U335">
        <f t="shared" ca="1" si="58"/>
        <v>162665.33464087764</v>
      </c>
      <c r="V335">
        <f t="shared" ca="1" si="58"/>
        <v>157232.96293863226</v>
      </c>
      <c r="W335">
        <f t="shared" ca="1" si="58"/>
        <v>153215.1688292819</v>
      </c>
      <c r="X335">
        <f t="shared" ca="1" si="58"/>
        <v>150493.8613390103</v>
      </c>
      <c r="Y335">
        <f t="shared" ca="1" si="58"/>
        <v>142886.69052534318</v>
      </c>
      <c r="Z335">
        <f t="shared" ca="1" si="58"/>
        <v>135279.51971167602</v>
      </c>
      <c r="AA335">
        <f t="shared" ca="1" si="58"/>
        <v>126070.83925302638</v>
      </c>
      <c r="AB335">
        <f t="shared" ca="1" si="58"/>
        <v>107653.47833572706</v>
      </c>
      <c r="AC335">
        <f t="shared" ca="1" si="58"/>
        <v>98444.797877077363</v>
      </c>
    </row>
    <row r="336" spans="3:29">
      <c r="C336">
        <v>16</v>
      </c>
      <c r="D336">
        <f t="shared" si="58"/>
        <v>0</v>
      </c>
      <c r="E336">
        <f t="shared" si="58"/>
        <v>2.9103830456733704E-11</v>
      </c>
      <c r="F336">
        <f t="shared" si="58"/>
        <v>0</v>
      </c>
      <c r="G336">
        <f t="shared" si="58"/>
        <v>2.9103830456733704E-11</v>
      </c>
      <c r="H336">
        <f t="shared" si="58"/>
        <v>2.9103830456733704E-11</v>
      </c>
      <c r="I336">
        <f t="shared" ca="1" si="58"/>
        <v>0</v>
      </c>
      <c r="J336">
        <f t="shared" ca="1" si="58"/>
        <v>0</v>
      </c>
      <c r="K336">
        <f t="shared" ca="1" si="58"/>
        <v>0</v>
      </c>
      <c r="L336">
        <f t="shared" ca="1" si="58"/>
        <v>0</v>
      </c>
      <c r="M336">
        <f t="shared" ca="1" si="58"/>
        <v>0</v>
      </c>
      <c r="N336">
        <f t="shared" ca="1" si="58"/>
        <v>0</v>
      </c>
      <c r="O336">
        <f t="shared" ca="1" si="58"/>
        <v>0</v>
      </c>
      <c r="P336">
        <f t="shared" ca="1" si="58"/>
        <v>0</v>
      </c>
      <c r="Q336">
        <f t="shared" ca="1" si="58"/>
        <v>0</v>
      </c>
      <c r="R336">
        <f t="shared" ca="1" si="58"/>
        <v>0</v>
      </c>
      <c r="S336">
        <f t="shared" ca="1" si="58"/>
        <v>0</v>
      </c>
      <c r="T336">
        <f t="shared" ca="1" si="58"/>
        <v>0</v>
      </c>
      <c r="U336">
        <f t="shared" ca="1" si="58"/>
        <v>0</v>
      </c>
      <c r="V336">
        <f t="shared" ca="1" si="58"/>
        <v>0</v>
      </c>
      <c r="W336">
        <f t="shared" ca="1" si="58"/>
        <v>0</v>
      </c>
      <c r="X336">
        <f t="shared" ca="1" si="58"/>
        <v>0</v>
      </c>
      <c r="Y336">
        <f t="shared" ca="1" si="58"/>
        <v>0</v>
      </c>
      <c r="Z336">
        <f t="shared" ca="1" si="58"/>
        <v>0</v>
      </c>
      <c r="AA336">
        <f t="shared" ca="1" si="58"/>
        <v>0</v>
      </c>
      <c r="AB336">
        <f t="shared" ca="1" si="58"/>
        <v>2956.5729270000002</v>
      </c>
      <c r="AC336">
        <f t="shared" ca="1" si="58"/>
        <v>5913.1458540000003</v>
      </c>
    </row>
    <row r="337" spans="3:29">
      <c r="C337">
        <v>17</v>
      </c>
      <c r="D337">
        <f t="shared" si="58"/>
        <v>0</v>
      </c>
      <c r="E337">
        <f t="shared" si="58"/>
        <v>0</v>
      </c>
      <c r="F337">
        <f t="shared" si="58"/>
        <v>0</v>
      </c>
      <c r="G337">
        <f t="shared" si="58"/>
        <v>0</v>
      </c>
      <c r="H337">
        <f t="shared" si="58"/>
        <v>0</v>
      </c>
      <c r="I337">
        <f t="shared" ca="1" si="58"/>
        <v>0</v>
      </c>
      <c r="J337">
        <f t="shared" ca="1" si="58"/>
        <v>0</v>
      </c>
      <c r="K337">
        <f t="shared" ca="1" si="58"/>
        <v>0</v>
      </c>
      <c r="L337">
        <f t="shared" ca="1" si="58"/>
        <v>0</v>
      </c>
      <c r="M337">
        <f t="shared" ca="1" si="58"/>
        <v>471.81850424123695</v>
      </c>
      <c r="N337">
        <f t="shared" ca="1" si="58"/>
        <v>1567.3655687555438</v>
      </c>
      <c r="O337">
        <f t="shared" ca="1" si="58"/>
        <v>4373.002911295509</v>
      </c>
      <c r="P337">
        <f t="shared" ca="1" si="58"/>
        <v>6668.4125181526178</v>
      </c>
      <c r="Q337">
        <f t="shared" ca="1" si="58"/>
        <v>9054.9949588347808</v>
      </c>
      <c r="R337">
        <f t="shared" ca="1" si="58"/>
        <v>8453.1349670921336</v>
      </c>
      <c r="S337">
        <f t="shared" ca="1" si="58"/>
        <v>7699.3382230944699</v>
      </c>
      <c r="T337">
        <f t="shared" ca="1" si="58"/>
        <v>4031.9916209977819</v>
      </c>
      <c r="U337">
        <f t="shared" ca="1" si="58"/>
        <v>1573.4075987280812</v>
      </c>
      <c r="V337">
        <f t="shared" ca="1" si="58"/>
        <v>0</v>
      </c>
      <c r="W337">
        <f t="shared" ca="1" si="58"/>
        <v>0</v>
      </c>
      <c r="X337">
        <f t="shared" ca="1" si="58"/>
        <v>128.44497631513514</v>
      </c>
      <c r="Y337">
        <f t="shared" ca="1" si="58"/>
        <v>6546.1213757177466</v>
      </c>
      <c r="Z337">
        <f t="shared" ca="1" si="58"/>
        <v>9178.034217153152</v>
      </c>
      <c r="AA337">
        <f t="shared" ca="1" si="58"/>
        <v>12715.321726025082</v>
      </c>
      <c r="AB337">
        <f t="shared" ca="1" si="58"/>
        <v>25308.888665654289</v>
      </c>
      <c r="AC337">
        <f t="shared" ca="1" si="58"/>
        <v>26641.529300660419</v>
      </c>
    </row>
    <row r="338" spans="3:29">
      <c r="C338">
        <v>18</v>
      </c>
      <c r="D338">
        <f t="shared" si="58"/>
        <v>0</v>
      </c>
      <c r="E338">
        <f t="shared" si="58"/>
        <v>0</v>
      </c>
      <c r="F338">
        <f t="shared" si="58"/>
        <v>0</v>
      </c>
      <c r="G338">
        <f t="shared" si="58"/>
        <v>0</v>
      </c>
      <c r="H338">
        <f t="shared" si="58"/>
        <v>0</v>
      </c>
      <c r="I338">
        <f t="shared" ca="1" si="58"/>
        <v>0</v>
      </c>
      <c r="J338">
        <f t="shared" ca="1" si="58"/>
        <v>0</v>
      </c>
      <c r="K338">
        <f t="shared" ca="1" si="58"/>
        <v>0</v>
      </c>
      <c r="L338">
        <f t="shared" ca="1" si="58"/>
        <v>0</v>
      </c>
      <c r="M338">
        <f t="shared" ca="1" si="58"/>
        <v>0</v>
      </c>
      <c r="N338">
        <f t="shared" ca="1" si="58"/>
        <v>0</v>
      </c>
      <c r="O338">
        <f t="shared" ca="1" si="58"/>
        <v>0</v>
      </c>
      <c r="P338">
        <f t="shared" ca="1" si="58"/>
        <v>0</v>
      </c>
      <c r="Q338">
        <f t="shared" ca="1" si="58"/>
        <v>0</v>
      </c>
      <c r="R338">
        <f t="shared" ca="1" si="58"/>
        <v>0</v>
      </c>
      <c r="S338">
        <f t="shared" ca="1" si="58"/>
        <v>0</v>
      </c>
      <c r="T338">
        <f t="shared" ca="1" si="58"/>
        <v>0</v>
      </c>
      <c r="U338">
        <f t="shared" ca="1" si="58"/>
        <v>0</v>
      </c>
      <c r="V338">
        <f t="shared" ca="1" si="58"/>
        <v>0</v>
      </c>
      <c r="W338">
        <f t="shared" ca="1" si="58"/>
        <v>0</v>
      </c>
      <c r="X338">
        <f t="shared" ca="1" si="58"/>
        <v>0</v>
      </c>
      <c r="Y338">
        <f t="shared" ca="1" si="58"/>
        <v>0</v>
      </c>
      <c r="Z338">
        <f t="shared" ca="1" si="58"/>
        <v>0</v>
      </c>
      <c r="AA338">
        <f t="shared" ca="1" si="58"/>
        <v>0</v>
      </c>
      <c r="AB338">
        <f t="shared" ca="1" si="58"/>
        <v>0</v>
      </c>
      <c r="AC338">
        <f t="shared" ca="1" si="58"/>
        <v>0</v>
      </c>
    </row>
    <row r="339" spans="3:29">
      <c r="C339">
        <v>19</v>
      </c>
      <c r="D339">
        <f t="shared" si="58"/>
        <v>0</v>
      </c>
      <c r="E339">
        <f t="shared" si="58"/>
        <v>0</v>
      </c>
      <c r="F339">
        <f t="shared" si="58"/>
        <v>0</v>
      </c>
      <c r="G339">
        <f t="shared" si="58"/>
        <v>0</v>
      </c>
      <c r="H339">
        <f t="shared" si="58"/>
        <v>0</v>
      </c>
      <c r="I339">
        <f t="shared" ca="1" si="58"/>
        <v>0</v>
      </c>
      <c r="J339">
        <f t="shared" ca="1" si="58"/>
        <v>0</v>
      </c>
      <c r="K339">
        <f t="shared" ca="1" si="58"/>
        <v>0</v>
      </c>
      <c r="L339">
        <f t="shared" ca="1" si="58"/>
        <v>0</v>
      </c>
      <c r="M339">
        <f t="shared" ca="1" si="58"/>
        <v>0</v>
      </c>
      <c r="N339">
        <f t="shared" ca="1" si="58"/>
        <v>0</v>
      </c>
      <c r="O339">
        <f t="shared" ca="1" si="58"/>
        <v>0</v>
      </c>
      <c r="P339">
        <f t="shared" ca="1" si="58"/>
        <v>0</v>
      </c>
      <c r="Q339">
        <f t="shared" ca="1" si="58"/>
        <v>0</v>
      </c>
      <c r="R339">
        <f t="shared" ca="1" si="58"/>
        <v>0</v>
      </c>
      <c r="S339">
        <f t="shared" ca="1" si="58"/>
        <v>0</v>
      </c>
      <c r="T339">
        <f t="shared" ca="1" si="58"/>
        <v>0</v>
      </c>
      <c r="U339">
        <f t="shared" ca="1" si="58"/>
        <v>0</v>
      </c>
      <c r="V339">
        <f t="shared" ca="1" si="58"/>
        <v>0</v>
      </c>
      <c r="W339">
        <f t="shared" ca="1" si="58"/>
        <v>0</v>
      </c>
      <c r="X339">
        <f t="shared" ca="1" si="58"/>
        <v>0</v>
      </c>
      <c r="Y339">
        <f t="shared" ca="1" si="58"/>
        <v>0</v>
      </c>
      <c r="Z339">
        <f t="shared" ca="1" si="58"/>
        <v>0</v>
      </c>
      <c r="AA339">
        <f t="shared" ca="1" si="58"/>
        <v>0</v>
      </c>
      <c r="AB339">
        <f t="shared" ca="1" si="58"/>
        <v>0</v>
      </c>
      <c r="AC339">
        <f t="shared" ca="1" si="58"/>
        <v>0</v>
      </c>
    </row>
    <row r="340" spans="3:29">
      <c r="C340">
        <v>20</v>
      </c>
      <c r="D340">
        <f t="shared" si="58"/>
        <v>0</v>
      </c>
      <c r="E340">
        <f t="shared" si="58"/>
        <v>0</v>
      </c>
      <c r="F340">
        <f t="shared" si="58"/>
        <v>0</v>
      </c>
      <c r="G340">
        <f t="shared" si="58"/>
        <v>0</v>
      </c>
      <c r="H340">
        <f t="shared" si="58"/>
        <v>0</v>
      </c>
      <c r="I340">
        <f t="shared" ca="1" si="58"/>
        <v>0</v>
      </c>
      <c r="J340">
        <f t="shared" ca="1" si="58"/>
        <v>0</v>
      </c>
      <c r="K340">
        <f t="shared" ca="1" si="58"/>
        <v>0</v>
      </c>
      <c r="L340">
        <f t="shared" ca="1" si="58"/>
        <v>0</v>
      </c>
      <c r="M340">
        <f t="shared" ca="1" si="58"/>
        <v>0</v>
      </c>
      <c r="N340">
        <f t="shared" ca="1" si="58"/>
        <v>0</v>
      </c>
      <c r="O340">
        <f t="shared" ca="1" si="58"/>
        <v>0</v>
      </c>
      <c r="P340">
        <f t="shared" ca="1" si="58"/>
        <v>0</v>
      </c>
      <c r="Q340">
        <f t="shared" ca="1" si="58"/>
        <v>0</v>
      </c>
      <c r="R340">
        <f t="shared" ca="1" si="58"/>
        <v>0</v>
      </c>
      <c r="S340">
        <f t="shared" ca="1" si="58"/>
        <v>0</v>
      </c>
      <c r="T340">
        <f t="shared" ca="1" si="58"/>
        <v>0</v>
      </c>
      <c r="U340">
        <f t="shared" ca="1" si="58"/>
        <v>0</v>
      </c>
      <c r="V340">
        <f t="shared" ca="1" si="58"/>
        <v>0</v>
      </c>
      <c r="W340">
        <f t="shared" ca="1" si="58"/>
        <v>0</v>
      </c>
      <c r="X340">
        <f t="shared" ca="1" si="58"/>
        <v>0</v>
      </c>
      <c r="Y340">
        <f t="shared" ca="1" si="58"/>
        <v>0</v>
      </c>
      <c r="Z340">
        <f t="shared" ca="1" si="58"/>
        <v>0</v>
      </c>
      <c r="AA340">
        <f t="shared" ca="1" si="58"/>
        <v>0</v>
      </c>
      <c r="AB340">
        <f t="shared" ca="1" si="58"/>
        <v>0</v>
      </c>
      <c r="AC340">
        <f t="shared" ca="1" si="58"/>
        <v>0</v>
      </c>
    </row>
    <row r="341" spans="3:29">
      <c r="D341" s="29"/>
      <c r="E341" s="29"/>
      <c r="F341" s="29"/>
    </row>
    <row r="342" spans="3:29">
      <c r="C342" s="11" t="s">
        <v>231</v>
      </c>
      <c r="D342" s="29"/>
      <c r="E342" s="29"/>
      <c r="F342" s="29"/>
    </row>
    <row r="343" spans="3:29">
      <c r="C343">
        <v>1</v>
      </c>
      <c r="D343">
        <f t="shared" ref="D343:AC343" si="59">D317+D321</f>
        <v>100978.96610872824</v>
      </c>
      <c r="E343">
        <f t="shared" si="59"/>
        <v>100978.96610872824</v>
      </c>
      <c r="F343">
        <f t="shared" si="59"/>
        <v>100978.96610872824</v>
      </c>
      <c r="G343">
        <f t="shared" si="59"/>
        <v>100978.96610872824</v>
      </c>
      <c r="H343">
        <f t="shared" si="59"/>
        <v>100978.96610872824</v>
      </c>
      <c r="I343">
        <f t="shared" ca="1" si="59"/>
        <v>102684.70970294609</v>
      </c>
      <c r="J343">
        <f t="shared" ca="1" si="59"/>
        <v>104357.11930528228</v>
      </c>
      <c r="K343">
        <f t="shared" ca="1" si="59"/>
        <v>106576.4558882823</v>
      </c>
      <c r="L343">
        <f t="shared" ca="1" si="59"/>
        <v>112320.15183909243</v>
      </c>
      <c r="M343">
        <f t="shared" ca="1" si="59"/>
        <v>119757.58437290255</v>
      </c>
      <c r="N343">
        <f t="shared" ca="1" si="59"/>
        <v>128771.81690671266</v>
      </c>
      <c r="O343">
        <f t="shared" ca="1" si="59"/>
        <v>136538.68828243762</v>
      </c>
      <c r="P343">
        <f t="shared" ca="1" si="59"/>
        <v>142883.60029035248</v>
      </c>
      <c r="Q343">
        <f t="shared" ca="1" si="59"/>
        <v>149610.76752357226</v>
      </c>
      <c r="R343">
        <f t="shared" ca="1" si="59"/>
        <v>159754.33475679203</v>
      </c>
      <c r="S343">
        <f t="shared" ca="1" si="59"/>
        <v>170098.91218796783</v>
      </c>
      <c r="T343">
        <f t="shared" ca="1" si="59"/>
        <v>183859.88961914356</v>
      </c>
      <c r="U343">
        <f t="shared" ca="1" si="59"/>
        <v>196561.88961914356</v>
      </c>
      <c r="V343">
        <f t="shared" ca="1" si="59"/>
        <v>214519.88961914356</v>
      </c>
      <c r="W343">
        <f t="shared" ca="1" si="59"/>
        <v>229869.71676874341</v>
      </c>
      <c r="X343">
        <f t="shared" ca="1" si="59"/>
        <v>244294.78773005283</v>
      </c>
      <c r="Y343">
        <f t="shared" ca="1" si="59"/>
        <v>258263.34670993022</v>
      </c>
      <c r="Z343">
        <f t="shared" ca="1" si="59"/>
        <v>276560.64041163592</v>
      </c>
      <c r="AA343">
        <f t="shared" ca="1" si="59"/>
        <v>295971.32771927339</v>
      </c>
      <c r="AB343">
        <f t="shared" ca="1" si="59"/>
        <v>312869.38922071364</v>
      </c>
      <c r="AC343">
        <f t="shared" ca="1" si="59"/>
        <v>328005.52474711399</v>
      </c>
    </row>
    <row r="344" spans="3:29">
      <c r="C344">
        <v>2</v>
      </c>
      <c r="D344">
        <f t="shared" ref="D344:R359" si="60">D343+D322</f>
        <v>101045.62643825206</v>
      </c>
      <c r="E344">
        <f t="shared" si="60"/>
        <v>101045.62643825206</v>
      </c>
      <c r="F344">
        <f t="shared" si="60"/>
        <v>101045.62643825206</v>
      </c>
      <c r="G344">
        <f t="shared" si="60"/>
        <v>101045.62643825206</v>
      </c>
      <c r="H344">
        <f t="shared" si="60"/>
        <v>101045.62643825206</v>
      </c>
      <c r="I344">
        <f ca="1">I343+I322</f>
        <v>102751.3700324699</v>
      </c>
      <c r="J344">
        <f ca="1">J343+J322</f>
        <v>104423.77963480609</v>
      </c>
      <c r="K344">
        <f t="shared" ref="K344:AC357" ca="1" si="61">K343+K322</f>
        <v>106643.11621780612</v>
      </c>
      <c r="L344">
        <f t="shared" ca="1" si="61"/>
        <v>112386.81216861625</v>
      </c>
      <c r="M344">
        <f t="shared" ca="1" si="61"/>
        <v>119824.24470242637</v>
      </c>
      <c r="N344">
        <f t="shared" ca="1" si="61"/>
        <v>128838.47723623647</v>
      </c>
      <c r="O344">
        <f t="shared" ca="1" si="61"/>
        <v>136605.34861196144</v>
      </c>
      <c r="P344">
        <f t="shared" ca="1" si="61"/>
        <v>142950.2606198763</v>
      </c>
      <c r="Q344">
        <f t="shared" ca="1" si="61"/>
        <v>149677.42785309607</v>
      </c>
      <c r="R344">
        <f t="shared" ca="1" si="61"/>
        <v>159820.99508631584</v>
      </c>
      <c r="S344">
        <f t="shared" ca="1" si="61"/>
        <v>170165.57251749164</v>
      </c>
      <c r="T344">
        <f t="shared" ca="1" si="61"/>
        <v>183926.54994866738</v>
      </c>
      <c r="U344">
        <f t="shared" ca="1" si="61"/>
        <v>196628.54994866738</v>
      </c>
      <c r="V344">
        <f t="shared" ca="1" si="61"/>
        <v>214586.54994866738</v>
      </c>
      <c r="W344">
        <f t="shared" ca="1" si="61"/>
        <v>229936.37709826723</v>
      </c>
      <c r="X344">
        <f t="shared" ca="1" si="61"/>
        <v>244361.44805957665</v>
      </c>
      <c r="Y344">
        <f t="shared" ca="1" si="61"/>
        <v>258330.00703945404</v>
      </c>
      <c r="Z344">
        <f t="shared" ca="1" si="61"/>
        <v>276627.30074115971</v>
      </c>
      <c r="AA344">
        <f t="shared" ca="1" si="61"/>
        <v>296037.98804879718</v>
      </c>
      <c r="AB344">
        <f t="shared" ca="1" si="61"/>
        <v>312936.04955023743</v>
      </c>
      <c r="AC344">
        <f t="shared" ca="1" si="61"/>
        <v>328072.18507663778</v>
      </c>
    </row>
    <row r="345" spans="3:29">
      <c r="C345">
        <v>3</v>
      </c>
      <c r="D345">
        <f t="shared" si="60"/>
        <v>101045.62643825206</v>
      </c>
      <c r="E345">
        <f t="shared" si="60"/>
        <v>101045.62643825206</v>
      </c>
      <c r="F345">
        <f t="shared" si="60"/>
        <v>101045.62643825206</v>
      </c>
      <c r="G345">
        <f t="shared" si="60"/>
        <v>101045.62643825206</v>
      </c>
      <c r="H345">
        <f t="shared" si="60"/>
        <v>101045.62643825206</v>
      </c>
      <c r="I345">
        <f t="shared" ca="1" si="60"/>
        <v>102751.3700324699</v>
      </c>
      <c r="J345">
        <f t="shared" ca="1" si="60"/>
        <v>104423.77963480609</v>
      </c>
      <c r="K345">
        <f t="shared" ca="1" si="61"/>
        <v>106643.11621780612</v>
      </c>
      <c r="L345">
        <f t="shared" ca="1" si="61"/>
        <v>112386.81216861625</v>
      </c>
      <c r="M345">
        <f t="shared" ca="1" si="61"/>
        <v>119824.24470242637</v>
      </c>
      <c r="N345">
        <f t="shared" ca="1" si="61"/>
        <v>128838.47723623647</v>
      </c>
      <c r="O345">
        <f t="shared" ca="1" si="61"/>
        <v>136605.34861196144</v>
      </c>
      <c r="P345">
        <f t="shared" ca="1" si="61"/>
        <v>142950.2606198763</v>
      </c>
      <c r="Q345">
        <f t="shared" ca="1" si="61"/>
        <v>149677.42785309607</v>
      </c>
      <c r="R345">
        <f t="shared" ca="1" si="61"/>
        <v>159820.99508631584</v>
      </c>
      <c r="S345">
        <f t="shared" ca="1" si="61"/>
        <v>170165.57251749164</v>
      </c>
      <c r="T345">
        <f t="shared" ca="1" si="61"/>
        <v>183926.54994866738</v>
      </c>
      <c r="U345">
        <f t="shared" ca="1" si="61"/>
        <v>196628.54994866738</v>
      </c>
      <c r="V345">
        <f t="shared" ca="1" si="61"/>
        <v>214586.54994866738</v>
      </c>
      <c r="W345">
        <f t="shared" ca="1" si="61"/>
        <v>229936.37709826723</v>
      </c>
      <c r="X345">
        <f t="shared" ca="1" si="61"/>
        <v>244361.44805957665</v>
      </c>
      <c r="Y345">
        <f t="shared" ca="1" si="61"/>
        <v>258330.00703945404</v>
      </c>
      <c r="Z345">
        <f t="shared" ca="1" si="61"/>
        <v>276627.30074115971</v>
      </c>
      <c r="AA345">
        <f t="shared" ca="1" si="61"/>
        <v>296037.98804879718</v>
      </c>
      <c r="AB345">
        <f t="shared" ca="1" si="61"/>
        <v>312936.04955023743</v>
      </c>
      <c r="AC345">
        <f t="shared" ca="1" si="61"/>
        <v>328072.18507663778</v>
      </c>
    </row>
    <row r="346" spans="3:29">
      <c r="C346">
        <v>4</v>
      </c>
      <c r="D346">
        <f t="shared" si="60"/>
        <v>101045.62643825206</v>
      </c>
      <c r="E346">
        <f t="shared" si="60"/>
        <v>101045.62643825206</v>
      </c>
      <c r="F346">
        <f t="shared" si="60"/>
        <v>101045.62643825206</v>
      </c>
      <c r="G346">
        <f t="shared" si="60"/>
        <v>101045.62643825206</v>
      </c>
      <c r="H346">
        <f t="shared" si="60"/>
        <v>101045.62643825206</v>
      </c>
      <c r="I346">
        <f t="shared" ca="1" si="60"/>
        <v>102751.3700324699</v>
      </c>
      <c r="J346">
        <f t="shared" ca="1" si="60"/>
        <v>104423.77963480609</v>
      </c>
      <c r="K346">
        <f t="shared" ca="1" si="61"/>
        <v>106643.11621780612</v>
      </c>
      <c r="L346">
        <f t="shared" ca="1" si="61"/>
        <v>112386.81216861625</v>
      </c>
      <c r="M346">
        <f t="shared" ca="1" si="61"/>
        <v>119824.24470242637</v>
      </c>
      <c r="N346">
        <f t="shared" ca="1" si="61"/>
        <v>128838.47723623647</v>
      </c>
      <c r="O346">
        <f t="shared" ca="1" si="61"/>
        <v>136605.34861196144</v>
      </c>
      <c r="P346">
        <f t="shared" ca="1" si="61"/>
        <v>142950.2606198763</v>
      </c>
      <c r="Q346">
        <f t="shared" ca="1" si="61"/>
        <v>149677.42785309607</v>
      </c>
      <c r="R346">
        <f t="shared" ca="1" si="61"/>
        <v>159820.99508631584</v>
      </c>
      <c r="S346">
        <f t="shared" ca="1" si="61"/>
        <v>170165.57251749164</v>
      </c>
      <c r="T346">
        <f t="shared" ca="1" si="61"/>
        <v>183926.54994866738</v>
      </c>
      <c r="U346">
        <f t="shared" ca="1" si="61"/>
        <v>196628.54994866738</v>
      </c>
      <c r="V346">
        <f t="shared" ca="1" si="61"/>
        <v>214586.54994866738</v>
      </c>
      <c r="W346">
        <f t="shared" ca="1" si="61"/>
        <v>229936.37709826723</v>
      </c>
      <c r="X346">
        <f t="shared" ca="1" si="61"/>
        <v>244361.44805957665</v>
      </c>
      <c r="Y346">
        <f t="shared" ca="1" si="61"/>
        <v>258330.00703945404</v>
      </c>
      <c r="Z346">
        <f t="shared" ca="1" si="61"/>
        <v>276627.30074115971</v>
      </c>
      <c r="AA346">
        <f t="shared" ca="1" si="61"/>
        <v>296037.98804879718</v>
      </c>
      <c r="AB346">
        <f t="shared" ca="1" si="61"/>
        <v>312936.04955023743</v>
      </c>
      <c r="AC346">
        <f t="shared" ca="1" si="61"/>
        <v>328072.18507663778</v>
      </c>
    </row>
    <row r="347" spans="3:29">
      <c r="C347">
        <v>5</v>
      </c>
      <c r="D347">
        <f t="shared" si="60"/>
        <v>101045.62643825206</v>
      </c>
      <c r="E347">
        <f t="shared" si="60"/>
        <v>101045.62643825206</v>
      </c>
      <c r="F347">
        <f t="shared" si="60"/>
        <v>101045.62643825206</v>
      </c>
      <c r="G347">
        <f t="shared" si="60"/>
        <v>101045.62643825206</v>
      </c>
      <c r="H347">
        <f t="shared" si="60"/>
        <v>101045.62643825206</v>
      </c>
      <c r="I347">
        <f t="shared" ca="1" si="60"/>
        <v>102751.3700324699</v>
      </c>
      <c r="J347">
        <f t="shared" ca="1" si="60"/>
        <v>104423.77963480609</v>
      </c>
      <c r="K347">
        <f t="shared" ca="1" si="61"/>
        <v>106643.11621780612</v>
      </c>
      <c r="L347">
        <f t="shared" ca="1" si="61"/>
        <v>112386.81216861625</v>
      </c>
      <c r="M347">
        <f t="shared" ca="1" si="61"/>
        <v>119824.24470242637</v>
      </c>
      <c r="N347">
        <f t="shared" ca="1" si="61"/>
        <v>128838.47723623647</v>
      </c>
      <c r="O347">
        <f t="shared" ca="1" si="61"/>
        <v>136605.34861196144</v>
      </c>
      <c r="P347">
        <f t="shared" ca="1" si="61"/>
        <v>142950.2606198763</v>
      </c>
      <c r="Q347">
        <f t="shared" ca="1" si="61"/>
        <v>149677.42785309607</v>
      </c>
      <c r="R347">
        <f t="shared" ca="1" si="61"/>
        <v>159820.99508631584</v>
      </c>
      <c r="S347">
        <f t="shared" ca="1" si="61"/>
        <v>170165.57251749164</v>
      </c>
      <c r="T347">
        <f t="shared" ca="1" si="61"/>
        <v>183926.54994866738</v>
      </c>
      <c r="U347">
        <f t="shared" ca="1" si="61"/>
        <v>196628.54994866738</v>
      </c>
      <c r="V347">
        <f t="shared" ca="1" si="61"/>
        <v>214586.54994866738</v>
      </c>
      <c r="W347">
        <f t="shared" ca="1" si="61"/>
        <v>229936.37709826723</v>
      </c>
      <c r="X347">
        <f t="shared" ca="1" si="61"/>
        <v>244361.44805957665</v>
      </c>
      <c r="Y347">
        <f t="shared" ca="1" si="61"/>
        <v>258330.00703945404</v>
      </c>
      <c r="Z347">
        <f t="shared" ca="1" si="61"/>
        <v>276627.30074115971</v>
      </c>
      <c r="AA347">
        <f t="shared" ca="1" si="61"/>
        <v>296037.98804879718</v>
      </c>
      <c r="AB347">
        <f t="shared" ca="1" si="61"/>
        <v>312936.04955023743</v>
      </c>
      <c r="AC347">
        <f t="shared" ca="1" si="61"/>
        <v>328072.18507663778</v>
      </c>
    </row>
    <row r="348" spans="3:29">
      <c r="C348">
        <v>6</v>
      </c>
      <c r="D348">
        <f t="shared" si="60"/>
        <v>101045.62643825206</v>
      </c>
      <c r="E348">
        <f t="shared" si="60"/>
        <v>101045.62643825206</v>
      </c>
      <c r="F348">
        <f t="shared" si="60"/>
        <v>101045.62643825206</v>
      </c>
      <c r="G348">
        <f t="shared" si="60"/>
        <v>101045.62643825206</v>
      </c>
      <c r="H348">
        <f t="shared" si="60"/>
        <v>101045.62643825206</v>
      </c>
      <c r="I348">
        <f t="shared" ca="1" si="60"/>
        <v>102751.3700324699</v>
      </c>
      <c r="J348">
        <f t="shared" ca="1" si="60"/>
        <v>104423.77963480609</v>
      </c>
      <c r="K348">
        <f t="shared" ca="1" si="61"/>
        <v>106643.11621780612</v>
      </c>
      <c r="L348">
        <f t="shared" ca="1" si="61"/>
        <v>112386.81216861625</v>
      </c>
      <c r="M348">
        <f t="shared" ca="1" si="61"/>
        <v>119824.24470242637</v>
      </c>
      <c r="N348">
        <f t="shared" ca="1" si="61"/>
        <v>128838.47723623647</v>
      </c>
      <c r="O348">
        <f t="shared" ca="1" si="61"/>
        <v>136605.34861196144</v>
      </c>
      <c r="P348">
        <f t="shared" ca="1" si="61"/>
        <v>142950.2606198763</v>
      </c>
      <c r="Q348">
        <f t="shared" ca="1" si="61"/>
        <v>149677.42785309607</v>
      </c>
      <c r="R348">
        <f t="shared" ca="1" si="61"/>
        <v>159820.99508631584</v>
      </c>
      <c r="S348">
        <f t="shared" ca="1" si="61"/>
        <v>170165.57251749164</v>
      </c>
      <c r="T348">
        <f t="shared" ca="1" si="61"/>
        <v>183926.54994866738</v>
      </c>
      <c r="U348">
        <f t="shared" ca="1" si="61"/>
        <v>196628.54994866738</v>
      </c>
      <c r="V348">
        <f t="shared" ca="1" si="61"/>
        <v>214586.54994866738</v>
      </c>
      <c r="W348">
        <f t="shared" ca="1" si="61"/>
        <v>229936.37709826723</v>
      </c>
      <c r="X348">
        <f t="shared" ca="1" si="61"/>
        <v>244361.44805957665</v>
      </c>
      <c r="Y348">
        <f t="shared" ca="1" si="61"/>
        <v>258330.00703945404</v>
      </c>
      <c r="Z348">
        <f t="shared" ca="1" si="61"/>
        <v>276627.30074115971</v>
      </c>
      <c r="AA348">
        <f t="shared" ca="1" si="61"/>
        <v>296037.98804879718</v>
      </c>
      <c r="AB348">
        <f t="shared" ca="1" si="61"/>
        <v>312936.04955023743</v>
      </c>
      <c r="AC348">
        <f t="shared" ca="1" si="61"/>
        <v>328072.18507663778</v>
      </c>
    </row>
    <row r="349" spans="3:29">
      <c r="C349">
        <v>7</v>
      </c>
      <c r="D349">
        <f t="shared" si="60"/>
        <v>101045.62643825206</v>
      </c>
      <c r="E349">
        <f t="shared" si="60"/>
        <v>101045.62643825206</v>
      </c>
      <c r="F349">
        <f t="shared" si="60"/>
        <v>101045.62643825206</v>
      </c>
      <c r="G349">
        <f t="shared" si="60"/>
        <v>101045.62643825206</v>
      </c>
      <c r="H349">
        <f t="shared" si="60"/>
        <v>101045.62643825206</v>
      </c>
      <c r="I349">
        <f t="shared" ca="1" si="60"/>
        <v>102751.3700324699</v>
      </c>
      <c r="J349">
        <f t="shared" ca="1" si="60"/>
        <v>104423.77963480609</v>
      </c>
      <c r="K349">
        <f t="shared" ca="1" si="61"/>
        <v>106643.11621780612</v>
      </c>
      <c r="L349">
        <f t="shared" ca="1" si="61"/>
        <v>112386.81216861625</v>
      </c>
      <c r="M349">
        <f t="shared" ca="1" si="61"/>
        <v>119824.24470242637</v>
      </c>
      <c r="N349">
        <f t="shared" ca="1" si="61"/>
        <v>128838.47723623647</v>
      </c>
      <c r="O349">
        <f t="shared" ca="1" si="61"/>
        <v>136605.34861196144</v>
      </c>
      <c r="P349">
        <f t="shared" ca="1" si="61"/>
        <v>142950.2606198763</v>
      </c>
      <c r="Q349">
        <f t="shared" ca="1" si="61"/>
        <v>149677.42785309607</v>
      </c>
      <c r="R349">
        <f t="shared" ca="1" si="61"/>
        <v>159820.99508631584</v>
      </c>
      <c r="S349">
        <f t="shared" ca="1" si="61"/>
        <v>170165.57251749164</v>
      </c>
      <c r="T349">
        <f t="shared" ca="1" si="61"/>
        <v>183926.54994866738</v>
      </c>
      <c r="U349">
        <f t="shared" ca="1" si="61"/>
        <v>196628.54994866738</v>
      </c>
      <c r="V349">
        <f t="shared" ca="1" si="61"/>
        <v>214586.54994866738</v>
      </c>
      <c r="W349">
        <f t="shared" ca="1" si="61"/>
        <v>229936.37709826723</v>
      </c>
      <c r="X349">
        <f t="shared" ca="1" si="61"/>
        <v>244361.44805957665</v>
      </c>
      <c r="Y349">
        <f t="shared" ca="1" si="61"/>
        <v>258330.00703945404</v>
      </c>
      <c r="Z349">
        <f t="shared" ca="1" si="61"/>
        <v>276627.30074115971</v>
      </c>
      <c r="AA349">
        <f t="shared" ca="1" si="61"/>
        <v>296037.98804879718</v>
      </c>
      <c r="AB349">
        <f t="shared" ca="1" si="61"/>
        <v>312936.04955023743</v>
      </c>
      <c r="AC349">
        <f t="shared" ca="1" si="61"/>
        <v>328072.18507663778</v>
      </c>
    </row>
    <row r="350" spans="3:29">
      <c r="C350">
        <v>8</v>
      </c>
      <c r="D350">
        <f t="shared" si="60"/>
        <v>101045.62643825206</v>
      </c>
      <c r="E350">
        <f t="shared" si="60"/>
        <v>101045.62643825206</v>
      </c>
      <c r="F350">
        <f t="shared" si="60"/>
        <v>101045.62643825206</v>
      </c>
      <c r="G350">
        <f t="shared" si="60"/>
        <v>101045.62643825206</v>
      </c>
      <c r="H350">
        <f t="shared" si="60"/>
        <v>101045.62643825206</v>
      </c>
      <c r="I350">
        <f t="shared" ca="1" si="60"/>
        <v>102751.3700324699</v>
      </c>
      <c r="J350">
        <f t="shared" ca="1" si="60"/>
        <v>104423.77963480609</v>
      </c>
      <c r="K350">
        <f t="shared" ca="1" si="61"/>
        <v>106643.11621780612</v>
      </c>
      <c r="L350">
        <f t="shared" ca="1" si="61"/>
        <v>112386.81216861625</v>
      </c>
      <c r="M350">
        <f t="shared" ca="1" si="61"/>
        <v>119824.24470242637</v>
      </c>
      <c r="N350">
        <f t="shared" ca="1" si="61"/>
        <v>128838.47723623647</v>
      </c>
      <c r="O350">
        <f t="shared" ca="1" si="61"/>
        <v>136605.34861196144</v>
      </c>
      <c r="P350">
        <f t="shared" ca="1" si="61"/>
        <v>142950.2606198763</v>
      </c>
      <c r="Q350">
        <f t="shared" ca="1" si="61"/>
        <v>149677.42785309607</v>
      </c>
      <c r="R350">
        <f t="shared" ca="1" si="61"/>
        <v>159820.99508631584</v>
      </c>
      <c r="S350">
        <f t="shared" ca="1" si="61"/>
        <v>170165.57251749164</v>
      </c>
      <c r="T350">
        <f t="shared" ca="1" si="61"/>
        <v>183926.54994866738</v>
      </c>
      <c r="U350">
        <f t="shared" ca="1" si="61"/>
        <v>196628.54994866738</v>
      </c>
      <c r="V350">
        <f t="shared" ca="1" si="61"/>
        <v>214586.54994866738</v>
      </c>
      <c r="W350">
        <f t="shared" ca="1" si="61"/>
        <v>229936.37709826723</v>
      </c>
      <c r="X350">
        <f t="shared" ca="1" si="61"/>
        <v>244361.44805957665</v>
      </c>
      <c r="Y350">
        <f t="shared" ca="1" si="61"/>
        <v>258330.00703945404</v>
      </c>
      <c r="Z350">
        <f t="shared" ca="1" si="61"/>
        <v>276627.30074115971</v>
      </c>
      <c r="AA350">
        <f t="shared" ca="1" si="61"/>
        <v>296037.98804879718</v>
      </c>
      <c r="AB350">
        <f t="shared" ca="1" si="61"/>
        <v>312936.04955023743</v>
      </c>
      <c r="AC350">
        <f t="shared" ca="1" si="61"/>
        <v>328072.18507663778</v>
      </c>
    </row>
    <row r="351" spans="3:29">
      <c r="C351">
        <v>9</v>
      </c>
      <c r="D351">
        <f t="shared" si="60"/>
        <v>101045.62643825206</v>
      </c>
      <c r="E351">
        <f t="shared" si="60"/>
        <v>101045.62643825206</v>
      </c>
      <c r="F351">
        <f t="shared" si="60"/>
        <v>101045.62643825206</v>
      </c>
      <c r="G351">
        <f t="shared" si="60"/>
        <v>101045.62643825206</v>
      </c>
      <c r="H351">
        <f t="shared" si="60"/>
        <v>101045.62643825206</v>
      </c>
      <c r="I351">
        <f t="shared" ca="1" si="60"/>
        <v>102751.3700324699</v>
      </c>
      <c r="J351">
        <f t="shared" ca="1" si="60"/>
        <v>104423.77963480609</v>
      </c>
      <c r="K351">
        <f t="shared" ca="1" si="61"/>
        <v>106643.11621780612</v>
      </c>
      <c r="L351">
        <f t="shared" ca="1" si="61"/>
        <v>112386.81216861625</v>
      </c>
      <c r="M351">
        <f t="shared" ca="1" si="61"/>
        <v>119824.24470242637</v>
      </c>
      <c r="N351">
        <f t="shared" ca="1" si="61"/>
        <v>128838.47723623647</v>
      </c>
      <c r="O351">
        <f t="shared" ca="1" si="61"/>
        <v>136605.34861196144</v>
      </c>
      <c r="P351">
        <f t="shared" ca="1" si="61"/>
        <v>142950.2606198763</v>
      </c>
      <c r="Q351">
        <f t="shared" ca="1" si="61"/>
        <v>149677.42785309607</v>
      </c>
      <c r="R351">
        <f t="shared" ca="1" si="61"/>
        <v>159820.99508631584</v>
      </c>
      <c r="S351">
        <f t="shared" ca="1" si="61"/>
        <v>170165.57251749164</v>
      </c>
      <c r="T351">
        <f t="shared" ca="1" si="61"/>
        <v>183926.54994866738</v>
      </c>
      <c r="U351">
        <f t="shared" ca="1" si="61"/>
        <v>196628.54994866738</v>
      </c>
      <c r="V351">
        <f t="shared" ca="1" si="61"/>
        <v>214586.54994866738</v>
      </c>
      <c r="W351">
        <f t="shared" ca="1" si="61"/>
        <v>229936.37709826723</v>
      </c>
      <c r="X351">
        <f t="shared" ca="1" si="61"/>
        <v>244361.44805957665</v>
      </c>
      <c r="Y351">
        <f t="shared" ca="1" si="61"/>
        <v>258330.00703945404</v>
      </c>
      <c r="Z351">
        <f t="shared" ca="1" si="61"/>
        <v>276627.30074115971</v>
      </c>
      <c r="AA351">
        <f t="shared" ca="1" si="61"/>
        <v>296037.98804879718</v>
      </c>
      <c r="AB351">
        <f t="shared" ca="1" si="61"/>
        <v>312936.04955023743</v>
      </c>
      <c r="AC351">
        <f t="shared" ca="1" si="61"/>
        <v>328072.18507663778</v>
      </c>
    </row>
    <row r="352" spans="3:29">
      <c r="C352">
        <v>10</v>
      </c>
      <c r="D352">
        <f t="shared" si="60"/>
        <v>101045.62643825206</v>
      </c>
      <c r="E352">
        <f t="shared" si="60"/>
        <v>101045.62643825206</v>
      </c>
      <c r="F352">
        <f t="shared" si="60"/>
        <v>101045.62643825206</v>
      </c>
      <c r="G352">
        <f t="shared" si="60"/>
        <v>101045.62643825206</v>
      </c>
      <c r="H352">
        <f t="shared" si="60"/>
        <v>101045.62643825206</v>
      </c>
      <c r="I352">
        <f t="shared" ca="1" si="60"/>
        <v>102751.3700324699</v>
      </c>
      <c r="J352">
        <f t="shared" ca="1" si="60"/>
        <v>104423.77963480609</v>
      </c>
      <c r="K352">
        <f t="shared" ca="1" si="61"/>
        <v>106643.11621780612</v>
      </c>
      <c r="L352">
        <f t="shared" ca="1" si="61"/>
        <v>112386.81216861625</v>
      </c>
      <c r="M352">
        <f t="shared" ca="1" si="61"/>
        <v>119824.24470242637</v>
      </c>
      <c r="N352">
        <f t="shared" ca="1" si="61"/>
        <v>128838.47723623647</v>
      </c>
      <c r="O352">
        <f t="shared" ca="1" si="61"/>
        <v>136605.34861196144</v>
      </c>
      <c r="P352">
        <f t="shared" ca="1" si="61"/>
        <v>142950.2606198763</v>
      </c>
      <c r="Q352">
        <f t="shared" ca="1" si="61"/>
        <v>149677.42785309607</v>
      </c>
      <c r="R352">
        <f t="shared" ca="1" si="61"/>
        <v>159820.99508631584</v>
      </c>
      <c r="S352">
        <f t="shared" ca="1" si="61"/>
        <v>170165.57251749164</v>
      </c>
      <c r="T352">
        <f t="shared" ca="1" si="61"/>
        <v>183926.54994866738</v>
      </c>
      <c r="U352">
        <f t="shared" ca="1" si="61"/>
        <v>196628.54994866738</v>
      </c>
      <c r="V352">
        <f t="shared" ca="1" si="61"/>
        <v>214586.54994866738</v>
      </c>
      <c r="W352">
        <f t="shared" ca="1" si="61"/>
        <v>229936.37709826723</v>
      </c>
      <c r="X352">
        <f t="shared" ca="1" si="61"/>
        <v>244361.44805957665</v>
      </c>
      <c r="Y352">
        <f t="shared" ca="1" si="61"/>
        <v>258330.00703945404</v>
      </c>
      <c r="Z352">
        <f t="shared" ca="1" si="61"/>
        <v>276627.30074115971</v>
      </c>
      <c r="AA352">
        <f t="shared" ca="1" si="61"/>
        <v>296037.98804879718</v>
      </c>
      <c r="AB352">
        <f t="shared" ca="1" si="61"/>
        <v>312936.04955023743</v>
      </c>
      <c r="AC352">
        <f t="shared" ca="1" si="61"/>
        <v>328072.18507663778</v>
      </c>
    </row>
    <row r="353" spans="3:49">
      <c r="C353">
        <v>11</v>
      </c>
      <c r="D353">
        <f t="shared" si="60"/>
        <v>101045.62643825206</v>
      </c>
      <c r="E353">
        <f t="shared" si="60"/>
        <v>101045.62643825206</v>
      </c>
      <c r="F353">
        <f t="shared" si="60"/>
        <v>101045.62643825206</v>
      </c>
      <c r="G353">
        <f t="shared" si="60"/>
        <v>101045.62643825206</v>
      </c>
      <c r="H353">
        <f t="shared" si="60"/>
        <v>101045.62643825206</v>
      </c>
      <c r="I353">
        <f t="shared" ca="1" si="60"/>
        <v>102751.3700324699</v>
      </c>
      <c r="J353">
        <f t="shared" ca="1" si="60"/>
        <v>104423.77963480609</v>
      </c>
      <c r="K353">
        <f t="shared" ca="1" si="61"/>
        <v>106643.11621780612</v>
      </c>
      <c r="L353">
        <f t="shared" ca="1" si="61"/>
        <v>112386.81216861625</v>
      </c>
      <c r="M353">
        <f t="shared" ca="1" si="61"/>
        <v>119824.24470242637</v>
      </c>
      <c r="N353">
        <f t="shared" ca="1" si="61"/>
        <v>128838.47723623647</v>
      </c>
      <c r="O353">
        <f t="shared" ca="1" si="61"/>
        <v>136605.34861196144</v>
      </c>
      <c r="P353">
        <f t="shared" ca="1" si="61"/>
        <v>142950.2606198763</v>
      </c>
      <c r="Q353">
        <f t="shared" ca="1" si="61"/>
        <v>149677.42785309607</v>
      </c>
      <c r="R353">
        <f t="shared" ca="1" si="61"/>
        <v>159820.99508631584</v>
      </c>
      <c r="S353">
        <f t="shared" ca="1" si="61"/>
        <v>170165.57251749164</v>
      </c>
      <c r="T353">
        <f t="shared" ca="1" si="61"/>
        <v>183926.54994866738</v>
      </c>
      <c r="U353">
        <f t="shared" ca="1" si="61"/>
        <v>196628.54994866738</v>
      </c>
      <c r="V353">
        <f t="shared" ca="1" si="61"/>
        <v>214586.54994866738</v>
      </c>
      <c r="W353">
        <f t="shared" ca="1" si="61"/>
        <v>229936.37709826723</v>
      </c>
      <c r="X353">
        <f t="shared" ca="1" si="61"/>
        <v>244361.44805957665</v>
      </c>
      <c r="Y353">
        <f t="shared" ca="1" si="61"/>
        <v>258330.00703945404</v>
      </c>
      <c r="Z353">
        <f t="shared" ca="1" si="61"/>
        <v>276627.30074115971</v>
      </c>
      <c r="AA353">
        <f t="shared" ca="1" si="61"/>
        <v>296037.98804879718</v>
      </c>
      <c r="AB353">
        <f t="shared" ca="1" si="61"/>
        <v>312936.04955023743</v>
      </c>
      <c r="AC353">
        <f t="shared" ca="1" si="61"/>
        <v>328072.18507663778</v>
      </c>
    </row>
    <row r="354" spans="3:49">
      <c r="C354">
        <v>12</v>
      </c>
      <c r="D354">
        <f t="shared" si="60"/>
        <v>101045.62643825206</v>
      </c>
      <c r="E354">
        <f t="shared" si="60"/>
        <v>101045.62643825206</v>
      </c>
      <c r="F354">
        <f t="shared" si="60"/>
        <v>101045.62643825206</v>
      </c>
      <c r="G354">
        <f t="shared" si="60"/>
        <v>101045.62643825206</v>
      </c>
      <c r="H354">
        <f t="shared" si="60"/>
        <v>101045.62643825206</v>
      </c>
      <c r="I354">
        <f t="shared" ca="1" si="60"/>
        <v>102751.3700324699</v>
      </c>
      <c r="J354">
        <f t="shared" ca="1" si="60"/>
        <v>104423.77963480609</v>
      </c>
      <c r="K354">
        <f t="shared" ca="1" si="61"/>
        <v>106643.11621780612</v>
      </c>
      <c r="L354">
        <f t="shared" ca="1" si="61"/>
        <v>112386.81216861625</v>
      </c>
      <c r="M354">
        <f t="shared" ca="1" si="61"/>
        <v>119824.24470242637</v>
      </c>
      <c r="N354">
        <f t="shared" ca="1" si="61"/>
        <v>128838.47723623647</v>
      </c>
      <c r="O354">
        <f t="shared" ca="1" si="61"/>
        <v>136605.34861196144</v>
      </c>
      <c r="P354">
        <f t="shared" ca="1" si="61"/>
        <v>142950.2606198763</v>
      </c>
      <c r="Q354">
        <f t="shared" ca="1" si="61"/>
        <v>149677.42785309607</v>
      </c>
      <c r="R354">
        <f t="shared" ca="1" si="61"/>
        <v>159820.99508631584</v>
      </c>
      <c r="S354">
        <f t="shared" ca="1" si="61"/>
        <v>170165.57251749164</v>
      </c>
      <c r="T354">
        <f t="shared" ca="1" si="61"/>
        <v>183926.54994866738</v>
      </c>
      <c r="U354">
        <f t="shared" ca="1" si="61"/>
        <v>196628.54994866738</v>
      </c>
      <c r="V354">
        <f t="shared" ca="1" si="61"/>
        <v>214586.54994866738</v>
      </c>
      <c r="W354">
        <f t="shared" ca="1" si="61"/>
        <v>229936.37709826723</v>
      </c>
      <c r="X354">
        <f t="shared" ca="1" si="61"/>
        <v>244361.44805957665</v>
      </c>
      <c r="Y354">
        <f t="shared" ca="1" si="61"/>
        <v>258330.00703945404</v>
      </c>
      <c r="Z354">
        <f t="shared" ca="1" si="61"/>
        <v>276627.30074115971</v>
      </c>
      <c r="AA354">
        <f t="shared" ca="1" si="61"/>
        <v>296037.98804879718</v>
      </c>
      <c r="AB354">
        <f t="shared" ca="1" si="61"/>
        <v>312936.04955023743</v>
      </c>
      <c r="AC354">
        <f t="shared" ca="1" si="61"/>
        <v>328072.18507663778</v>
      </c>
    </row>
    <row r="355" spans="3:49">
      <c r="C355">
        <v>13</v>
      </c>
      <c r="D355">
        <f t="shared" si="60"/>
        <v>101045.62643825206</v>
      </c>
      <c r="E355">
        <f t="shared" si="60"/>
        <v>101045.62643825206</v>
      </c>
      <c r="F355">
        <f t="shared" si="60"/>
        <v>101045.62643825206</v>
      </c>
      <c r="G355">
        <f t="shared" si="60"/>
        <v>101045.62643825206</v>
      </c>
      <c r="H355">
        <f t="shared" si="60"/>
        <v>101045.62643825206</v>
      </c>
      <c r="I355">
        <f t="shared" ca="1" si="60"/>
        <v>102751.3700324699</v>
      </c>
      <c r="J355">
        <f t="shared" ca="1" si="60"/>
        <v>104423.77963480609</v>
      </c>
      <c r="K355">
        <f t="shared" ca="1" si="61"/>
        <v>106643.11621780612</v>
      </c>
      <c r="L355">
        <f t="shared" ca="1" si="61"/>
        <v>112386.81216861625</v>
      </c>
      <c r="M355">
        <f t="shared" ca="1" si="61"/>
        <v>119824.24470242637</v>
      </c>
      <c r="N355">
        <f t="shared" ca="1" si="61"/>
        <v>128838.47723623647</v>
      </c>
      <c r="O355">
        <f t="shared" ca="1" si="61"/>
        <v>136605.34861196144</v>
      </c>
      <c r="P355">
        <f t="shared" ca="1" si="61"/>
        <v>142950.2606198763</v>
      </c>
      <c r="Q355">
        <f t="shared" ca="1" si="61"/>
        <v>149677.42785309607</v>
      </c>
      <c r="R355">
        <f t="shared" ca="1" si="61"/>
        <v>159820.99508631584</v>
      </c>
      <c r="S355">
        <f t="shared" ca="1" si="61"/>
        <v>170165.57251749164</v>
      </c>
      <c r="T355">
        <f t="shared" ca="1" si="61"/>
        <v>183926.54994866738</v>
      </c>
      <c r="U355">
        <f t="shared" ca="1" si="61"/>
        <v>196628.54994866738</v>
      </c>
      <c r="V355">
        <f t="shared" ca="1" si="61"/>
        <v>214586.54994866738</v>
      </c>
      <c r="W355">
        <f t="shared" ca="1" si="61"/>
        <v>229936.37709826723</v>
      </c>
      <c r="X355">
        <f t="shared" ca="1" si="61"/>
        <v>244361.44805957665</v>
      </c>
      <c r="Y355">
        <f t="shared" ca="1" si="61"/>
        <v>258330.00703945404</v>
      </c>
      <c r="Z355">
        <f t="shared" ca="1" si="61"/>
        <v>276627.30074115971</v>
      </c>
      <c r="AA355">
        <f t="shared" ca="1" si="61"/>
        <v>296037.98804879718</v>
      </c>
      <c r="AB355">
        <f t="shared" ca="1" si="61"/>
        <v>312936.04955023743</v>
      </c>
      <c r="AC355">
        <f t="shared" ca="1" si="61"/>
        <v>328072.18507663778</v>
      </c>
    </row>
    <row r="356" spans="3:49">
      <c r="C356">
        <v>14</v>
      </c>
      <c r="D356">
        <f t="shared" si="60"/>
        <v>237193.44941327994</v>
      </c>
      <c r="E356">
        <f t="shared" si="60"/>
        <v>101045.62643825206</v>
      </c>
      <c r="F356">
        <f t="shared" si="60"/>
        <v>101045.62643825206</v>
      </c>
      <c r="G356">
        <f t="shared" si="60"/>
        <v>101045.62643825206</v>
      </c>
      <c r="H356">
        <f t="shared" si="60"/>
        <v>101045.62643825206</v>
      </c>
      <c r="I356">
        <f t="shared" ca="1" si="60"/>
        <v>102751.3700324699</v>
      </c>
      <c r="J356">
        <f t="shared" ca="1" si="60"/>
        <v>104423.77963480609</v>
      </c>
      <c r="K356">
        <f t="shared" ca="1" si="61"/>
        <v>106643.11621780612</v>
      </c>
      <c r="L356">
        <f t="shared" ca="1" si="61"/>
        <v>112386.81216861625</v>
      </c>
      <c r="M356">
        <f t="shared" ca="1" si="61"/>
        <v>119824.24470242637</v>
      </c>
      <c r="N356">
        <f t="shared" ca="1" si="61"/>
        <v>128838.47723623647</v>
      </c>
      <c r="O356">
        <f t="shared" ca="1" si="61"/>
        <v>136605.34861196144</v>
      </c>
      <c r="P356">
        <f t="shared" ca="1" si="61"/>
        <v>142950.2606198763</v>
      </c>
      <c r="Q356">
        <f t="shared" ca="1" si="61"/>
        <v>149677.42785309607</v>
      </c>
      <c r="R356">
        <f t="shared" ca="1" si="61"/>
        <v>159820.99508631584</v>
      </c>
      <c r="S356">
        <f t="shared" ca="1" si="61"/>
        <v>170165.57251749164</v>
      </c>
      <c r="T356">
        <f t="shared" ca="1" si="61"/>
        <v>183926.54994866738</v>
      </c>
      <c r="U356">
        <f t="shared" ca="1" si="61"/>
        <v>196628.54994866738</v>
      </c>
      <c r="V356">
        <f t="shared" ca="1" si="61"/>
        <v>214586.54994866738</v>
      </c>
      <c r="W356">
        <f t="shared" ca="1" si="61"/>
        <v>229936.37709826723</v>
      </c>
      <c r="X356">
        <f t="shared" ca="1" si="61"/>
        <v>244361.44805957665</v>
      </c>
      <c r="Y356">
        <f t="shared" ca="1" si="61"/>
        <v>258330.00703945404</v>
      </c>
      <c r="Z356">
        <f t="shared" ca="1" si="61"/>
        <v>276627.30074115971</v>
      </c>
      <c r="AA356">
        <f t="shared" ca="1" si="61"/>
        <v>296037.98804879718</v>
      </c>
      <c r="AB356">
        <f t="shared" ca="1" si="61"/>
        <v>312936.04955023743</v>
      </c>
      <c r="AC356">
        <f t="shared" ca="1" si="61"/>
        <v>328072.18507663778</v>
      </c>
    </row>
    <row r="357" spans="3:49">
      <c r="C357">
        <v>15</v>
      </c>
      <c r="D357">
        <f t="shared" si="60"/>
        <v>237193.44941327997</v>
      </c>
      <c r="E357">
        <f t="shared" si="60"/>
        <v>237193.44941327994</v>
      </c>
      <c r="F357">
        <f t="shared" si="60"/>
        <v>243975.02833833831</v>
      </c>
      <c r="G357">
        <f t="shared" si="60"/>
        <v>246337.34650084161</v>
      </c>
      <c r="H357">
        <f t="shared" si="60"/>
        <v>246337.34650084161</v>
      </c>
      <c r="I357">
        <f t="shared" ca="1" si="60"/>
        <v>253118.96114615013</v>
      </c>
      <c r="J357">
        <f t="shared" ca="1" si="60"/>
        <v>258113.61923214135</v>
      </c>
      <c r="K357">
        <f t="shared" ca="1" si="61"/>
        <v>264084.55551916349</v>
      </c>
      <c r="L357">
        <f t="shared" ca="1" si="61"/>
        <v>272749.97832692182</v>
      </c>
      <c r="M357">
        <f t="shared" ca="1" si="61"/>
        <v>282489.57934330404</v>
      </c>
      <c r="N357">
        <f t="shared" ca="1" si="61"/>
        <v>291503.81187711412</v>
      </c>
      <c r="O357">
        <f t="shared" ca="1" si="61"/>
        <v>299270.68325283908</v>
      </c>
      <c r="P357">
        <f t="shared" ca="1" si="61"/>
        <v>305615.59526075394</v>
      </c>
      <c r="Q357">
        <f t="shared" ca="1" si="61"/>
        <v>312342.76249397371</v>
      </c>
      <c r="R357">
        <f t="shared" ca="1" si="61"/>
        <v>322486.32972719346</v>
      </c>
      <c r="S357">
        <f t="shared" ref="S357:AC362" ca="1" si="62">S356+S335</f>
        <v>332830.90715836931</v>
      </c>
      <c r="T357">
        <f t="shared" ca="1" si="62"/>
        <v>346591.88458954502</v>
      </c>
      <c r="U357">
        <f t="shared" ca="1" si="62"/>
        <v>359293.88458954502</v>
      </c>
      <c r="V357">
        <f t="shared" ca="1" si="62"/>
        <v>371819.51288729964</v>
      </c>
      <c r="W357">
        <f t="shared" ca="1" si="62"/>
        <v>383151.54592754913</v>
      </c>
      <c r="X357">
        <f t="shared" ca="1" si="62"/>
        <v>394855.30939858698</v>
      </c>
      <c r="Y357">
        <f t="shared" ca="1" si="62"/>
        <v>401216.69756479724</v>
      </c>
      <c r="Z357">
        <f t="shared" ca="1" si="62"/>
        <v>411906.82045283576</v>
      </c>
      <c r="AA357">
        <f t="shared" ca="1" si="62"/>
        <v>422108.82730182353</v>
      </c>
      <c r="AB357">
        <f t="shared" ca="1" si="62"/>
        <v>420589.52788596449</v>
      </c>
      <c r="AC357">
        <f t="shared" ca="1" si="62"/>
        <v>426516.98295371514</v>
      </c>
    </row>
    <row r="358" spans="3:49">
      <c r="C358">
        <v>16</v>
      </c>
      <c r="D358">
        <f t="shared" si="60"/>
        <v>237193.44941327997</v>
      </c>
      <c r="E358">
        <f t="shared" si="60"/>
        <v>237193.44941327997</v>
      </c>
      <c r="F358">
        <f t="shared" si="60"/>
        <v>243975.02833833831</v>
      </c>
      <c r="G358">
        <f t="shared" si="60"/>
        <v>246337.34650084164</v>
      </c>
      <c r="H358">
        <f t="shared" si="60"/>
        <v>246337.34650084164</v>
      </c>
      <c r="I358">
        <f t="shared" ca="1" si="60"/>
        <v>253118.96114615013</v>
      </c>
      <c r="J358">
        <f t="shared" ca="1" si="60"/>
        <v>258113.61923214135</v>
      </c>
      <c r="K358">
        <f t="shared" ca="1" si="60"/>
        <v>264084.55551916349</v>
      </c>
      <c r="L358">
        <f t="shared" ca="1" si="60"/>
        <v>272749.97832692182</v>
      </c>
      <c r="M358">
        <f t="shared" ca="1" si="60"/>
        <v>282489.57934330404</v>
      </c>
      <c r="N358">
        <f t="shared" ca="1" si="60"/>
        <v>291503.81187711412</v>
      </c>
      <c r="O358">
        <f t="shared" ca="1" si="60"/>
        <v>299270.68325283908</v>
      </c>
      <c r="P358">
        <f t="shared" ca="1" si="60"/>
        <v>305615.59526075394</v>
      </c>
      <c r="Q358">
        <f t="shared" ca="1" si="60"/>
        <v>312342.76249397371</v>
      </c>
      <c r="R358">
        <f t="shared" ca="1" si="60"/>
        <v>322486.32972719346</v>
      </c>
      <c r="S358">
        <f t="shared" ca="1" si="62"/>
        <v>332830.90715836931</v>
      </c>
      <c r="T358">
        <f t="shared" ca="1" si="62"/>
        <v>346591.88458954502</v>
      </c>
      <c r="U358">
        <f t="shared" ca="1" si="62"/>
        <v>359293.88458954502</v>
      </c>
      <c r="V358">
        <f t="shared" ca="1" si="62"/>
        <v>371819.51288729964</v>
      </c>
      <c r="W358">
        <f t="shared" ca="1" si="62"/>
        <v>383151.54592754913</v>
      </c>
      <c r="X358">
        <f t="shared" ca="1" si="62"/>
        <v>394855.30939858698</v>
      </c>
      <c r="Y358">
        <f t="shared" ca="1" si="62"/>
        <v>401216.69756479724</v>
      </c>
      <c r="Z358">
        <f t="shared" ca="1" si="62"/>
        <v>411906.82045283576</v>
      </c>
      <c r="AA358">
        <f t="shared" ca="1" si="62"/>
        <v>422108.82730182353</v>
      </c>
      <c r="AB358">
        <f t="shared" ca="1" si="62"/>
        <v>423546.10081296449</v>
      </c>
      <c r="AC358">
        <f t="shared" ca="1" si="62"/>
        <v>432430.12880771514</v>
      </c>
    </row>
    <row r="359" spans="3:49">
      <c r="C359">
        <v>17</v>
      </c>
      <c r="D359">
        <f t="shared" si="60"/>
        <v>237193.44941327997</v>
      </c>
      <c r="E359">
        <f t="shared" si="60"/>
        <v>237193.44941327997</v>
      </c>
      <c r="F359">
        <f t="shared" si="60"/>
        <v>243975.02833833831</v>
      </c>
      <c r="G359">
        <f t="shared" si="60"/>
        <v>246337.34650084164</v>
      </c>
      <c r="H359">
        <f t="shared" si="60"/>
        <v>246337.34650084164</v>
      </c>
      <c r="I359">
        <f t="shared" ca="1" si="60"/>
        <v>253118.96114615013</v>
      </c>
      <c r="J359">
        <f t="shared" ca="1" si="60"/>
        <v>258113.61923214135</v>
      </c>
      <c r="K359">
        <f t="shared" ca="1" si="60"/>
        <v>264084.55551916349</v>
      </c>
      <c r="L359">
        <f t="shared" ca="1" si="60"/>
        <v>272749.97832692182</v>
      </c>
      <c r="M359">
        <f t="shared" ca="1" si="60"/>
        <v>282961.39784754527</v>
      </c>
      <c r="N359">
        <f t="shared" ca="1" si="60"/>
        <v>293071.17744586966</v>
      </c>
      <c r="O359">
        <f t="shared" ca="1" si="60"/>
        <v>303643.68616413459</v>
      </c>
      <c r="P359">
        <f t="shared" ca="1" si="60"/>
        <v>312284.00777890655</v>
      </c>
      <c r="Q359">
        <f t="shared" ca="1" si="60"/>
        <v>321397.7574528085</v>
      </c>
      <c r="R359">
        <f t="shared" ca="1" si="60"/>
        <v>330939.46469428559</v>
      </c>
      <c r="S359">
        <f t="shared" ca="1" si="62"/>
        <v>340530.24538146378</v>
      </c>
      <c r="T359">
        <f t="shared" ca="1" si="62"/>
        <v>350623.8762105428</v>
      </c>
      <c r="U359">
        <f t="shared" ca="1" si="62"/>
        <v>360867.2921882731</v>
      </c>
      <c r="V359">
        <f t="shared" ca="1" si="62"/>
        <v>371819.51288729964</v>
      </c>
      <c r="W359">
        <f t="shared" ca="1" si="62"/>
        <v>383151.54592754913</v>
      </c>
      <c r="X359">
        <f t="shared" ca="1" si="62"/>
        <v>394983.75437490211</v>
      </c>
      <c r="Y359">
        <f t="shared" ca="1" si="62"/>
        <v>407762.81894051499</v>
      </c>
      <c r="Z359">
        <f t="shared" ca="1" si="62"/>
        <v>421084.85466998891</v>
      </c>
      <c r="AA359">
        <f t="shared" ca="1" si="62"/>
        <v>434824.14902784862</v>
      </c>
      <c r="AB359">
        <f t="shared" ca="1" si="62"/>
        <v>448854.98947861878</v>
      </c>
      <c r="AC359">
        <f t="shared" ca="1" si="62"/>
        <v>459071.65810837556</v>
      </c>
    </row>
    <row r="360" spans="3:49">
      <c r="C360">
        <v>18</v>
      </c>
      <c r="D360">
        <f t="shared" ref="D360:R362" si="63">D359+D338</f>
        <v>237193.44941327997</v>
      </c>
      <c r="E360">
        <f t="shared" si="63"/>
        <v>237193.44941327997</v>
      </c>
      <c r="F360">
        <f t="shared" si="63"/>
        <v>243975.02833833831</v>
      </c>
      <c r="G360">
        <f t="shared" si="63"/>
        <v>246337.34650084164</v>
      </c>
      <c r="H360">
        <f t="shared" si="63"/>
        <v>246337.34650084164</v>
      </c>
      <c r="I360">
        <f t="shared" ca="1" si="63"/>
        <v>253118.96114615013</v>
      </c>
      <c r="J360">
        <f t="shared" ca="1" si="63"/>
        <v>258113.61923214135</v>
      </c>
      <c r="K360">
        <f t="shared" ca="1" si="63"/>
        <v>264084.55551916349</v>
      </c>
      <c r="L360">
        <f t="shared" ca="1" si="63"/>
        <v>272749.97832692182</v>
      </c>
      <c r="M360">
        <f t="shared" ca="1" si="63"/>
        <v>282961.39784754527</v>
      </c>
      <c r="N360">
        <f t="shared" ca="1" si="63"/>
        <v>293071.17744586966</v>
      </c>
      <c r="O360">
        <f t="shared" ca="1" si="63"/>
        <v>303643.68616413459</v>
      </c>
      <c r="P360">
        <f t="shared" ca="1" si="63"/>
        <v>312284.00777890655</v>
      </c>
      <c r="Q360">
        <f t="shared" ca="1" si="63"/>
        <v>321397.7574528085</v>
      </c>
      <c r="R360">
        <f t="shared" ca="1" si="63"/>
        <v>330939.46469428559</v>
      </c>
      <c r="S360">
        <f t="shared" ca="1" si="62"/>
        <v>340530.24538146378</v>
      </c>
      <c r="T360">
        <f t="shared" ca="1" si="62"/>
        <v>350623.8762105428</v>
      </c>
      <c r="U360">
        <f t="shared" ca="1" si="62"/>
        <v>360867.2921882731</v>
      </c>
      <c r="V360">
        <f t="shared" ca="1" si="62"/>
        <v>371819.51288729964</v>
      </c>
      <c r="W360">
        <f t="shared" ca="1" si="62"/>
        <v>383151.54592754913</v>
      </c>
      <c r="X360">
        <f t="shared" ca="1" si="62"/>
        <v>394983.75437490211</v>
      </c>
      <c r="Y360">
        <f t="shared" ca="1" si="62"/>
        <v>407762.81894051499</v>
      </c>
      <c r="Z360">
        <f t="shared" ca="1" si="62"/>
        <v>421084.85466998891</v>
      </c>
      <c r="AA360">
        <f t="shared" ca="1" si="62"/>
        <v>434824.14902784862</v>
      </c>
      <c r="AB360">
        <f t="shared" ca="1" si="62"/>
        <v>448854.98947861878</v>
      </c>
      <c r="AC360">
        <f t="shared" ca="1" si="62"/>
        <v>459071.65810837556</v>
      </c>
    </row>
    <row r="361" spans="3:49">
      <c r="C361">
        <v>19</v>
      </c>
      <c r="D361">
        <f t="shared" si="63"/>
        <v>237193.44941327997</v>
      </c>
      <c r="E361">
        <f t="shared" si="63"/>
        <v>237193.44941327997</v>
      </c>
      <c r="F361">
        <f t="shared" si="63"/>
        <v>243975.02833833831</v>
      </c>
      <c r="G361">
        <f t="shared" si="63"/>
        <v>246337.34650084164</v>
      </c>
      <c r="H361">
        <f t="shared" si="63"/>
        <v>246337.34650084164</v>
      </c>
      <c r="I361">
        <f t="shared" ca="1" si="63"/>
        <v>253118.96114615013</v>
      </c>
      <c r="J361">
        <f t="shared" ca="1" si="63"/>
        <v>258113.61923214135</v>
      </c>
      <c r="K361">
        <f t="shared" ca="1" si="63"/>
        <v>264084.55551916349</v>
      </c>
      <c r="L361">
        <f t="shared" ca="1" si="63"/>
        <v>272749.97832692182</v>
      </c>
      <c r="M361">
        <f t="shared" ca="1" si="63"/>
        <v>282961.39784754527</v>
      </c>
      <c r="N361">
        <f t="shared" ca="1" si="63"/>
        <v>293071.17744586966</v>
      </c>
      <c r="O361">
        <f t="shared" ca="1" si="63"/>
        <v>303643.68616413459</v>
      </c>
      <c r="P361">
        <f t="shared" ca="1" si="63"/>
        <v>312284.00777890655</v>
      </c>
      <c r="Q361">
        <f t="shared" ca="1" si="63"/>
        <v>321397.7574528085</v>
      </c>
      <c r="R361">
        <f t="shared" ca="1" si="63"/>
        <v>330939.46469428559</v>
      </c>
      <c r="S361">
        <f t="shared" ca="1" si="62"/>
        <v>340530.24538146378</v>
      </c>
      <c r="T361">
        <f t="shared" ca="1" si="62"/>
        <v>350623.8762105428</v>
      </c>
      <c r="U361">
        <f t="shared" ca="1" si="62"/>
        <v>360867.2921882731</v>
      </c>
      <c r="V361">
        <f t="shared" ca="1" si="62"/>
        <v>371819.51288729964</v>
      </c>
      <c r="W361">
        <f t="shared" ca="1" si="62"/>
        <v>383151.54592754913</v>
      </c>
      <c r="X361">
        <f t="shared" ca="1" si="62"/>
        <v>394983.75437490211</v>
      </c>
      <c r="Y361">
        <f t="shared" ca="1" si="62"/>
        <v>407762.81894051499</v>
      </c>
      <c r="Z361">
        <f t="shared" ca="1" si="62"/>
        <v>421084.85466998891</v>
      </c>
      <c r="AA361">
        <f t="shared" ca="1" si="62"/>
        <v>434824.14902784862</v>
      </c>
      <c r="AB361">
        <f t="shared" ca="1" si="62"/>
        <v>448854.98947861878</v>
      </c>
      <c r="AC361">
        <f t="shared" ca="1" si="62"/>
        <v>459071.65810837556</v>
      </c>
    </row>
    <row r="362" spans="3:49">
      <c r="C362">
        <v>20</v>
      </c>
      <c r="D362">
        <f t="shared" si="63"/>
        <v>237193.44941327997</v>
      </c>
      <c r="E362">
        <f t="shared" si="63"/>
        <v>237193.44941327997</v>
      </c>
      <c r="F362">
        <f t="shared" si="63"/>
        <v>243975.02833833831</v>
      </c>
      <c r="G362">
        <f t="shared" si="63"/>
        <v>246337.34650084164</v>
      </c>
      <c r="H362">
        <f t="shared" si="63"/>
        <v>246337.34650084164</v>
      </c>
      <c r="I362">
        <f t="shared" ca="1" si="63"/>
        <v>253118.96114615013</v>
      </c>
      <c r="J362">
        <f t="shared" ca="1" si="63"/>
        <v>258113.61923214135</v>
      </c>
      <c r="K362">
        <f t="shared" ca="1" si="63"/>
        <v>264084.55551916349</v>
      </c>
      <c r="L362">
        <f t="shared" ca="1" si="63"/>
        <v>272749.97832692182</v>
      </c>
      <c r="M362">
        <f t="shared" ca="1" si="63"/>
        <v>282961.39784754527</v>
      </c>
      <c r="N362">
        <f t="shared" ca="1" si="63"/>
        <v>293071.17744586966</v>
      </c>
      <c r="O362">
        <f t="shared" ca="1" si="63"/>
        <v>303643.68616413459</v>
      </c>
      <c r="P362">
        <f t="shared" ca="1" si="63"/>
        <v>312284.00777890655</v>
      </c>
      <c r="Q362">
        <f t="shared" ca="1" si="63"/>
        <v>321397.7574528085</v>
      </c>
      <c r="R362">
        <f t="shared" ca="1" si="63"/>
        <v>330939.46469428559</v>
      </c>
      <c r="S362">
        <f t="shared" ca="1" si="62"/>
        <v>340530.24538146378</v>
      </c>
      <c r="T362">
        <f t="shared" ca="1" si="62"/>
        <v>350623.8762105428</v>
      </c>
      <c r="U362">
        <f t="shared" ca="1" si="62"/>
        <v>360867.2921882731</v>
      </c>
      <c r="V362">
        <f t="shared" ca="1" si="62"/>
        <v>371819.51288729964</v>
      </c>
      <c r="W362">
        <f t="shared" ca="1" si="62"/>
        <v>383151.54592754913</v>
      </c>
      <c r="X362">
        <f t="shared" ca="1" si="62"/>
        <v>394983.75437490211</v>
      </c>
      <c r="Y362">
        <f t="shared" ca="1" si="62"/>
        <v>407762.81894051499</v>
      </c>
      <c r="Z362">
        <f t="shared" ca="1" si="62"/>
        <v>421084.85466998891</v>
      </c>
      <c r="AA362">
        <f t="shared" ca="1" si="62"/>
        <v>434824.14902784862</v>
      </c>
      <c r="AB362">
        <f t="shared" ca="1" si="62"/>
        <v>448854.98947861878</v>
      </c>
      <c r="AC362">
        <f t="shared" ca="1" si="62"/>
        <v>459071.65810837556</v>
      </c>
    </row>
    <row r="364" spans="3:49">
      <c r="C364" s="11" t="s">
        <v>303</v>
      </c>
      <c r="D364">
        <f>D271-D362</f>
        <v>0</v>
      </c>
      <c r="E364">
        <f t="shared" ref="E364:AC364" si="64">E271-E362</f>
        <v>0</v>
      </c>
      <c r="F364">
        <f t="shared" si="64"/>
        <v>0</v>
      </c>
      <c r="G364">
        <f t="shared" si="64"/>
        <v>0</v>
      </c>
      <c r="H364">
        <f t="shared" si="64"/>
        <v>0</v>
      </c>
      <c r="I364">
        <f t="shared" ca="1" si="64"/>
        <v>0</v>
      </c>
      <c r="J364">
        <f t="shared" ca="1" si="64"/>
        <v>0</v>
      </c>
      <c r="K364">
        <f t="shared" ca="1" si="64"/>
        <v>0</v>
      </c>
      <c r="L364">
        <f t="shared" ca="1" si="64"/>
        <v>0</v>
      </c>
      <c r="M364">
        <f t="shared" ca="1" si="64"/>
        <v>0</v>
      </c>
      <c r="N364">
        <f t="shared" ca="1" si="64"/>
        <v>0</v>
      </c>
      <c r="O364">
        <f t="shared" ca="1" si="64"/>
        <v>0</v>
      </c>
      <c r="P364">
        <f t="shared" ca="1" si="64"/>
        <v>0</v>
      </c>
      <c r="Q364">
        <f t="shared" ca="1" si="64"/>
        <v>0</v>
      </c>
      <c r="R364">
        <f t="shared" ca="1" si="64"/>
        <v>0</v>
      </c>
      <c r="S364">
        <f t="shared" ca="1" si="64"/>
        <v>0</v>
      </c>
      <c r="T364">
        <f t="shared" ca="1" si="64"/>
        <v>0</v>
      </c>
      <c r="U364">
        <f t="shared" ca="1" si="64"/>
        <v>0</v>
      </c>
      <c r="V364">
        <f t="shared" ca="1" si="64"/>
        <v>0</v>
      </c>
      <c r="W364">
        <f t="shared" ca="1" si="64"/>
        <v>0</v>
      </c>
      <c r="X364">
        <f t="shared" ca="1" si="64"/>
        <v>0</v>
      </c>
      <c r="Y364">
        <f t="shared" ca="1" si="64"/>
        <v>0</v>
      </c>
      <c r="Z364">
        <f t="shared" ca="1" si="64"/>
        <v>0</v>
      </c>
      <c r="AA364">
        <f t="shared" ca="1" si="64"/>
        <v>0</v>
      </c>
      <c r="AB364">
        <f t="shared" ca="1" si="64"/>
        <v>0</v>
      </c>
      <c r="AC364">
        <f t="shared" ca="1" si="64"/>
        <v>0</v>
      </c>
    </row>
    <row r="366" spans="3:49">
      <c r="C366" s="4" t="s">
        <v>245</v>
      </c>
      <c r="AD366" s="4" t="s">
        <v>318</v>
      </c>
    </row>
    <row r="367" spans="3:49">
      <c r="C367" t="str">
        <f>C8</f>
        <v>Existing coal Large</v>
      </c>
      <c r="D367">
        <f>SUMIF($C$276:$C$295,'Tech Parameters'!H220,D$276:D$295)+SUMIF($C$321:$C$340,'Tech Parameters'!H170,D$321:D$340)</f>
        <v>205861.53782111834</v>
      </c>
      <c r="E367">
        <f>SUMIF($C$276:$C$295,'Tech Parameters'!I220,E$276:E$295)+SUMIF($C$321:$C$340,'Tech Parameters'!I170,E$321:E$340)</f>
        <v>205861.53782111834</v>
      </c>
      <c r="F367">
        <f>SUMIF($C$276:$C$295,'Tech Parameters'!J220,F$276:F$295)+SUMIF($C$321:$C$340,'Tech Parameters'!J170,F$321:F$340)</f>
        <v>212643.1167461767</v>
      </c>
      <c r="G367">
        <f>SUMIF($C$276:$C$295,'Tech Parameters'!K220,G$276:G$295)+SUMIF($C$321:$C$340,'Tech Parameters'!K170,G$321:G$340)</f>
        <v>215005.43490868001</v>
      </c>
      <c r="H367">
        <f>SUMIF($C$276:$C$295,'Tech Parameters'!L220,H$276:H$295)+SUMIF($C$321:$C$340,'Tech Parameters'!L170,H$321:H$340)</f>
        <v>215005.43490868001</v>
      </c>
      <c r="I367">
        <f ca="1">SUMIF($C$276:$C$295,'Tech Parameters'!M220,I$276:I$295)+SUMIF($C$321:$C$340,'Tech Parameters'!M170,I$321:I$340)</f>
        <v>220081.30595977066</v>
      </c>
      <c r="J367">
        <f ca="1">SUMIF($C$276:$C$295,'Tech Parameters'!N220,J$276:J$295)+SUMIF($C$321:$C$340,'Tech Parameters'!N170,J$321:J$340)</f>
        <v>223403.5544434257</v>
      </c>
      <c r="K367">
        <f ca="1">SUMIF($C$276:$C$295,'Tech Parameters'!O220,K$276:K$295)+SUMIF($C$321:$C$340,'Tech Parameters'!O170,K$321:K$340)</f>
        <v>227155.15414744781</v>
      </c>
      <c r="L367">
        <f ca="1">SUMIF($C$276:$C$295,'Tech Parameters'!P220,L$276:L$295)+SUMIF($C$321:$C$340,'Tech Parameters'!P170,L$321:L$340)</f>
        <v>230076.88100439601</v>
      </c>
      <c r="M367">
        <f ca="1">SUMIF($C$276:$C$295,'Tech Parameters'!Q220,M$276:M$295)+SUMIF($C$321:$C$340,'Tech Parameters'!Q170,M$321:M$340)</f>
        <v>232379.04948696808</v>
      </c>
      <c r="N367">
        <f ca="1">SUMIF($C$276:$C$295,'Tech Parameters'!R220,N$276:N$295)+SUMIF($C$321:$C$340,'Tech Parameters'!R170,N$321:N$340)</f>
        <v>232379.04948696808</v>
      </c>
      <c r="O367">
        <f ca="1">SUMIF($C$276:$C$295,'Tech Parameters'!S220,O$276:O$295)+SUMIF($C$321:$C$340,'Tech Parameters'!S170,O$321:O$340)</f>
        <v>232379.04948696808</v>
      </c>
      <c r="P367">
        <f ca="1">SUMIF($C$276:$C$295,'Tech Parameters'!T220,P$276:P$295)+SUMIF($C$321:$C$340,'Tech Parameters'!T170,P$321:P$340)</f>
        <v>232379.04948696808</v>
      </c>
      <c r="Q367">
        <f ca="1">SUMIF($C$276:$C$295,'Tech Parameters'!U220,Q$276:Q$295)+SUMIF($C$321:$C$340,'Tech Parameters'!U170,Q$321:Q$340)</f>
        <v>232379.04948696808</v>
      </c>
      <c r="R367">
        <f ca="1">SUMIF($C$276:$C$295,'Tech Parameters'!V220,R$276:R$295)+SUMIF($C$321:$C$340,'Tech Parameters'!V170,R$321:R$340)</f>
        <v>232379.04948696808</v>
      </c>
      <c r="S367">
        <f ca="1">SUMIF($C$276:$C$295,'Tech Parameters'!W220,S$276:S$295)+SUMIF($C$321:$C$340,'Tech Parameters'!W170,S$321:S$340)</f>
        <v>232379.04948696808</v>
      </c>
      <c r="T367">
        <f ca="1">SUMIF($C$276:$C$295,'Tech Parameters'!X220,T$276:T$295)+SUMIF($C$321:$C$340,'Tech Parameters'!X170,T$321:T$340)</f>
        <v>232379.04948696808</v>
      </c>
      <c r="U367">
        <f ca="1">SUMIF($C$276:$C$295,'Tech Parameters'!Y220,U$276:U$295)+SUMIF($C$321:$C$340,'Tech Parameters'!Y170,U$321:U$340)</f>
        <v>232379.04948696808</v>
      </c>
      <c r="V367">
        <f ca="1">SUMIF($C$276:$C$295,'Tech Parameters'!Z220,V$276:V$295)+SUMIF($C$321:$C$340,'Tech Parameters'!Z170,V$321:V$340)</f>
        <v>226946.67778472271</v>
      </c>
      <c r="W367">
        <f ca="1">SUMIF($C$276:$C$295,'Tech Parameters'!AA220,W$276:W$295)+SUMIF($C$321:$C$340,'Tech Parameters'!AA170,W$321:W$340)</f>
        <v>220320.71082497219</v>
      </c>
      <c r="X367">
        <f ca="1">SUMIF($C$276:$C$295,'Tech Parameters'!AB220,X$276:X$295)+SUMIF($C$321:$C$340,'Tech Parameters'!AB170,X$321:X$340)</f>
        <v>214991.23048430041</v>
      </c>
      <c r="Y367">
        <f ca="1">SUMIF($C$276:$C$295,'Tech Parameters'!AC220,Y$276:Y$295)+SUMIF($C$321:$C$340,'Tech Parameters'!AC170,Y$321:Y$340)</f>
        <v>204123.84360763311</v>
      </c>
      <c r="Z367">
        <f ca="1">SUMIF($C$276:$C$295,'Tech Parameters'!AD220,Z$276:Z$295)+SUMIF($C$321:$C$340,'Tech Parameters'!AD170,Z$321:Z$340)</f>
        <v>193256.45673096576</v>
      </c>
      <c r="AA367">
        <f ca="1">SUMIF($C$276:$C$295,'Tech Parameters'!AE220,AA$276:AA$295)+SUMIF($C$321:$C$340,'Tech Parameters'!AE170,AA$321:AA$340)</f>
        <v>180101.19893289483</v>
      </c>
      <c r="AB367">
        <f ca="1">SUMIF($C$276:$C$295,'Tech Parameters'!AF220,AB$276:AB$295)+SUMIF($C$321:$C$340,'Tech Parameters'!AF170,AB$321:AB$340)</f>
        <v>153790.68333675293</v>
      </c>
      <c r="AC367">
        <f ca="1">SUMIF($C$276:$C$295,'Tech Parameters'!AG220,AC$276:AC$295)+SUMIF($C$321:$C$340,'Tech Parameters'!AG170,AC$321:AC$340)</f>
        <v>140635.42553868194</v>
      </c>
      <c r="AD367" s="76">
        <f t="shared" ref="AD367:AW367" ca="1" si="65">$AC$367*AD8/$AC$8</f>
        <v>140635.42553868194</v>
      </c>
      <c r="AE367" s="76">
        <f t="shared" ca="1" si="65"/>
        <v>140635.42553868194</v>
      </c>
      <c r="AF367" s="76">
        <f t="shared" ca="1" si="65"/>
        <v>140635.42553868194</v>
      </c>
      <c r="AG367" s="76">
        <f t="shared" ca="1" si="65"/>
        <v>113684.30608454702</v>
      </c>
      <c r="AH367" s="76">
        <f t="shared" ca="1" si="65"/>
        <v>86733.186630412107</v>
      </c>
      <c r="AI367" s="76">
        <f t="shared" ca="1" si="65"/>
        <v>72662.780463779694</v>
      </c>
      <c r="AJ367" s="76">
        <f t="shared" ca="1" si="65"/>
        <v>43950.000400163968</v>
      </c>
      <c r="AK367" s="76">
        <f t="shared" ca="1" si="65"/>
        <v>29307.626503180647</v>
      </c>
      <c r="AL367" s="76">
        <f t="shared" ca="1" si="65"/>
        <v>29307.626503180647</v>
      </c>
      <c r="AM367" s="76">
        <f t="shared" ca="1" si="65"/>
        <v>29307.626503180647</v>
      </c>
      <c r="AN367" s="76">
        <f t="shared" ca="1" si="65"/>
        <v>29307.626503180647</v>
      </c>
      <c r="AO367" s="76">
        <f t="shared" ca="1" si="65"/>
        <v>29307.626503180647</v>
      </c>
      <c r="AP367" s="76">
        <f t="shared" ca="1" si="65"/>
        <v>29307.626503180647</v>
      </c>
      <c r="AQ367" s="76">
        <f t="shared" ca="1" si="65"/>
        <v>29307.626503180647</v>
      </c>
      <c r="AR367" s="76">
        <f t="shared" ca="1" si="65"/>
        <v>14653.813251590311</v>
      </c>
      <c r="AS367" s="76">
        <f t="shared" ca="1" si="65"/>
        <v>-2.709383439266877E-11</v>
      </c>
      <c r="AT367" s="76">
        <f t="shared" ca="1" si="65"/>
        <v>-2.709383439266877E-11</v>
      </c>
      <c r="AU367" s="76">
        <f t="shared" ca="1" si="65"/>
        <v>-2.709383439266877E-11</v>
      </c>
      <c r="AV367" s="76">
        <f t="shared" ca="1" si="65"/>
        <v>-2.709383439266877E-11</v>
      </c>
      <c r="AW367" s="76">
        <f t="shared" ca="1" si="65"/>
        <v>-2.709383439266877E-11</v>
      </c>
    </row>
    <row r="368" spans="3:49">
      <c r="C368" t="str">
        <f t="shared" ref="C368:C386" si="66">C9</f>
        <v>Existing coal Small</v>
      </c>
      <c r="D368">
        <f>SUMIF($C$276:$C$295,'Tech Parameters'!H221,D$276:D$295)+SUMIF($C$321:$C$340,'Tech Parameters'!H171,D$321:D$340)</f>
        <v>11481.108051601606</v>
      </c>
      <c r="E368">
        <f>SUMIF($C$276:$C$295,'Tech Parameters'!I221,E$276:E$295)+SUMIF($C$321:$C$340,'Tech Parameters'!I171,E$321:E$340)</f>
        <v>11481.108051601606</v>
      </c>
      <c r="F368">
        <f>SUMIF($C$276:$C$295,'Tech Parameters'!J221,F$276:F$295)+SUMIF($C$321:$C$340,'Tech Parameters'!J171,F$321:F$340)</f>
        <v>11481.108051601606</v>
      </c>
      <c r="G368">
        <f>SUMIF($C$276:$C$295,'Tech Parameters'!K221,G$276:G$295)+SUMIF($C$321:$C$340,'Tech Parameters'!K171,G$321:G$340)</f>
        <v>11481.108051601606</v>
      </c>
      <c r="H368">
        <f>SUMIF($C$276:$C$295,'Tech Parameters'!L221,H$276:H$295)+SUMIF($C$321:$C$340,'Tech Parameters'!L171,H$321:H$340)</f>
        <v>11481.108051601606</v>
      </c>
      <c r="I368">
        <f ca="1">SUMIF($C$276:$C$295,'Tech Parameters'!M221,I$276:I$295)+SUMIF($C$321:$C$340,'Tech Parameters'!M171,I$321:I$340)</f>
        <v>12924.051645819456</v>
      </c>
      <c r="J368">
        <f ca="1">SUMIF($C$276:$C$295,'Tech Parameters'!N221,J$276:J$295)+SUMIF($C$321:$C$340,'Tech Parameters'!N171,J$321:J$340)</f>
        <v>13777.564401403659</v>
      </c>
      <c r="K368">
        <f ca="1">SUMIF($C$276:$C$295,'Tech Parameters'!O221,K$276:K$295)+SUMIF($C$321:$C$340,'Tech Parameters'!O171,K$321:K$340)</f>
        <v>13777.564401403659</v>
      </c>
      <c r="L368">
        <f ca="1">SUMIF($C$276:$C$295,'Tech Parameters'!P221,L$276:L$295)+SUMIF($C$321:$C$340,'Tech Parameters'!P171,L$321:L$340)</f>
        <v>13777.564401403659</v>
      </c>
      <c r="M368">
        <f ca="1">SUMIF($C$276:$C$295,'Tech Parameters'!Q221,M$276:M$295)+SUMIF($C$321:$C$340,'Tech Parameters'!Q171,M$321:M$340)</f>
        <v>13777.564401403659</v>
      </c>
      <c r="N368">
        <f ca="1">SUMIF($C$276:$C$295,'Tech Parameters'!R221,N$276:N$295)+SUMIF($C$321:$C$340,'Tech Parameters'!R171,N$321:N$340)</f>
        <v>13777.564401403659</v>
      </c>
      <c r="O368">
        <f ca="1">SUMIF($C$276:$C$295,'Tech Parameters'!S221,O$276:O$295)+SUMIF($C$321:$C$340,'Tech Parameters'!S171,O$321:O$340)</f>
        <v>13698.339826318494</v>
      </c>
      <c r="P368">
        <f ca="1">SUMIF($C$276:$C$295,'Tech Parameters'!T221,P$276:P$295)+SUMIF($C$321:$C$340,'Tech Parameters'!T171,P$321:P$340)</f>
        <v>13619.115251233326</v>
      </c>
      <c r="Q368">
        <f ca="1">SUMIF($C$276:$C$295,'Tech Parameters'!U221,Q$276:Q$295)+SUMIF($C$321:$C$340,'Tech Parameters'!U171,Q$321:Q$340)</f>
        <v>13513.482484453105</v>
      </c>
      <c r="R368">
        <f ca="1">SUMIF($C$276:$C$295,'Tech Parameters'!V221,R$276:R$295)+SUMIF($C$321:$C$340,'Tech Parameters'!V171,R$321:R$340)</f>
        <v>13407.84971767288</v>
      </c>
      <c r="S368">
        <f ca="1">SUMIF($C$276:$C$295,'Tech Parameters'!W221,S$276:S$295)+SUMIF($C$321:$C$340,'Tech Parameters'!W171,S$321:S$340)</f>
        <v>11400.827148848637</v>
      </c>
      <c r="T368">
        <f ca="1">SUMIF($C$276:$C$295,'Tech Parameters'!X221,T$276:T$295)+SUMIF($C$321:$C$340,'Tech Parameters'!X171,T$321:T$340)</f>
        <v>9393.8045800243945</v>
      </c>
      <c r="U368">
        <f ca="1">SUMIF($C$276:$C$295,'Tech Parameters'!Y221,U$276:U$295)+SUMIF($C$321:$C$340,'Tech Parameters'!Y171,U$321:U$340)</f>
        <v>9393.8045800243945</v>
      </c>
      <c r="V368">
        <f ca="1">SUMIF($C$276:$C$295,'Tech Parameters'!Z221,V$276:V$295)+SUMIF($C$321:$C$340,'Tech Parameters'!Z171,V$321:V$340)</f>
        <v>9393.8045800243945</v>
      </c>
      <c r="W368">
        <f ca="1">SUMIF($C$276:$C$295,'Tech Parameters'!AA221,W$276:W$295)+SUMIF($C$321:$C$340,'Tech Parameters'!AA171,W$321:W$340)</f>
        <v>9393.8045800243945</v>
      </c>
      <c r="X368">
        <f ca="1">SUMIF($C$276:$C$295,'Tech Parameters'!AB221,X$276:X$295)+SUMIF($C$321:$C$340,'Tech Parameters'!AB171,X$321:X$340)</f>
        <v>8469.0483917339716</v>
      </c>
      <c r="Y368">
        <f ca="1">SUMIF($C$276:$C$295,'Tech Parameters'!AC221,Y$276:Y$295)+SUMIF($C$321:$C$340,'Tech Parameters'!AC171,Y$321:Y$340)</f>
        <v>7544.2922034435505</v>
      </c>
      <c r="Z368">
        <f ca="1">SUMIF($C$276:$C$295,'Tech Parameters'!AD221,Z$276:Z$295)+SUMIF($C$321:$C$340,'Tech Parameters'!AD171,Z$321:Z$340)</f>
        <v>7544.2922034435505</v>
      </c>
      <c r="AA368">
        <f ca="1">SUMIF($C$276:$C$295,'Tech Parameters'!AE221,AA$276:AA$295)+SUMIF($C$321:$C$340,'Tech Parameters'!AE171,AA$321:AA$340)</f>
        <v>7544.2922034435505</v>
      </c>
      <c r="AB368">
        <f ca="1">SUMIF($C$276:$C$295,'Tech Parameters'!AF221,AB$276:AB$295)+SUMIF($C$321:$C$340,'Tech Parameters'!AF171,AB$321:AB$340)</f>
        <v>7544.2922034435505</v>
      </c>
      <c r="AC368">
        <f ca="1">SUMIF($C$276:$C$295,'Tech Parameters'!AG221,AC$276:AC$295)+SUMIF($C$321:$C$340,'Tech Parameters'!AG171,AC$321:AC$340)</f>
        <v>7544.2922034435505</v>
      </c>
      <c r="AD368" s="76">
        <f t="shared" ref="AD368:AW368" ca="1" si="67">$AC$368*AD9/$AC$9</f>
        <v>7544.2922034435505</v>
      </c>
      <c r="AE368" s="76">
        <f t="shared" ca="1" si="67"/>
        <v>7328.8013592118959</v>
      </c>
      <c r="AF368" s="76">
        <f t="shared" ca="1" si="67"/>
        <v>7113.3105149802404</v>
      </c>
      <c r="AG368" s="76">
        <f t="shared" ca="1" si="67"/>
        <v>7113.3105149802404</v>
      </c>
      <c r="AH368" s="76">
        <f t="shared" ca="1" si="67"/>
        <v>7113.3105149802404</v>
      </c>
      <c r="AI368" s="76">
        <f t="shared" ca="1" si="67"/>
        <v>7113.3105149802404</v>
      </c>
      <c r="AJ368" s="76">
        <f t="shared" ca="1" si="67"/>
        <v>7113.3105149802404</v>
      </c>
      <c r="AK368" s="76">
        <f t="shared" ca="1" si="67"/>
        <v>6310.5014874505432</v>
      </c>
      <c r="AL368" s="76">
        <f t="shared" ca="1" si="67"/>
        <v>5507.6924599208451</v>
      </c>
      <c r="AM368" s="76">
        <f t="shared" ca="1" si="67"/>
        <v>5507.6924599208451</v>
      </c>
      <c r="AN368" s="76">
        <f t="shared" ca="1" si="67"/>
        <v>5507.6924599208451</v>
      </c>
      <c r="AO368" s="76">
        <f t="shared" ca="1" si="67"/>
        <v>5507.6924599208451</v>
      </c>
      <c r="AP368" s="76">
        <f t="shared" ca="1" si="67"/>
        <v>5507.6924599208451</v>
      </c>
      <c r="AQ368" s="76">
        <f t="shared" ca="1" si="67"/>
        <v>5507.6924599208451</v>
      </c>
      <c r="AR368" s="76">
        <f t="shared" ca="1" si="67"/>
        <v>5507.6924599208451</v>
      </c>
      <c r="AS368" s="76">
        <f t="shared" ca="1" si="67"/>
        <v>5507.6924599208451</v>
      </c>
      <c r="AT368" s="76">
        <f t="shared" ca="1" si="67"/>
        <v>5507.6924599208451</v>
      </c>
      <c r="AU368" s="76">
        <f t="shared" ca="1" si="67"/>
        <v>5507.6924599208451</v>
      </c>
      <c r="AV368" s="76">
        <f t="shared" ca="1" si="67"/>
        <v>5507.6924599208451</v>
      </c>
      <c r="AW368" s="76">
        <f t="shared" ca="1" si="67"/>
        <v>5507.6924599208451</v>
      </c>
    </row>
    <row r="369" spans="3:49">
      <c r="C369" t="str">
        <f t="shared" si="66"/>
        <v>OCGT liquid fuels</v>
      </c>
      <c r="D369" s="21">
        <f>SUMIF($C$276:$C$295,'Tech Parameters'!H222,D$276:D$295)+SUMIF($C$321:$C$340,'Tech Parameters'!H172,D$321:D$340)</f>
        <v>651.77077055999985</v>
      </c>
      <c r="E369" s="21">
        <f>SUMIF($C$276:$C$295,'Tech Parameters'!I222,E$276:E$295)+SUMIF($C$321:$C$340,'Tech Parameters'!I172,E$321:E$340)</f>
        <v>651.77077055999985</v>
      </c>
      <c r="F369" s="21">
        <f>SUMIF($C$276:$C$295,'Tech Parameters'!J222,F$276:F$295)+SUMIF($C$321:$C$340,'Tech Parameters'!J172,F$321:F$340)</f>
        <v>651.77077055999985</v>
      </c>
      <c r="G369" s="21">
        <f>SUMIF($C$276:$C$295,'Tech Parameters'!K222,G$276:G$295)+SUMIF($C$321:$C$340,'Tech Parameters'!K172,G$321:G$340)</f>
        <v>651.77077055999985</v>
      </c>
      <c r="H369" s="21">
        <f>SUMIF($C$276:$C$295,'Tech Parameters'!L222,H$276:H$295)+SUMIF($C$321:$C$340,'Tech Parameters'!L172,H$321:H$340)</f>
        <v>651.77077055999985</v>
      </c>
      <c r="I369" s="21">
        <f ca="1">SUMIF($C$276:$C$295,'Tech Parameters'!M222,I$276:I$295)+SUMIF($C$321:$C$340,'Tech Parameters'!M172,I$321:I$340)</f>
        <v>651.77077055999985</v>
      </c>
      <c r="J369">
        <f ca="1">SUMIF($C$276:$C$295,'Tech Parameters'!N222,J$276:J$295)+SUMIF($C$321:$C$340,'Tech Parameters'!N172,J$321:J$340)</f>
        <v>945.06761731199981</v>
      </c>
      <c r="K369">
        <f ca="1">SUMIF($C$276:$C$295,'Tech Parameters'!O222,K$276:K$295)+SUMIF($C$321:$C$340,'Tech Parameters'!O172,K$321:K$340)</f>
        <v>945.06761731199981</v>
      </c>
      <c r="L369">
        <f ca="1">SUMIF($C$276:$C$295,'Tech Parameters'!P222,L$276:L$295)+SUMIF($C$321:$C$340,'Tech Parameters'!P172,L$321:L$340)</f>
        <v>945.06761731199981</v>
      </c>
      <c r="M369">
        <f ca="1">SUMIF($C$276:$C$295,'Tech Parameters'!Q222,M$276:M$295)+SUMIF($C$321:$C$340,'Tech Parameters'!Q172,M$321:M$340)</f>
        <v>945.06761731199981</v>
      </c>
      <c r="N369">
        <f ca="1">SUMIF($C$276:$C$295,'Tech Parameters'!R222,N$276:N$295)+SUMIF($C$321:$C$340,'Tech Parameters'!R172,N$321:N$340)</f>
        <v>945.06761731199981</v>
      </c>
      <c r="O369">
        <f ca="1">SUMIF($C$276:$C$295,'Tech Parameters'!S222,O$276:O$295)+SUMIF($C$321:$C$340,'Tech Parameters'!S172,O$321:O$340)</f>
        <v>945.06761731199981</v>
      </c>
      <c r="P369">
        <f ca="1">SUMIF($C$276:$C$295,'Tech Parameters'!T222,P$276:P$295)+SUMIF($C$321:$C$340,'Tech Parameters'!T172,P$321:P$340)</f>
        <v>945.06761731199981</v>
      </c>
      <c r="Q369">
        <f ca="1">SUMIF($C$276:$C$295,'Tech Parameters'!U222,Q$276:Q$295)+SUMIF($C$321:$C$340,'Tech Parameters'!U172,Q$321:Q$340)</f>
        <v>945.06761731199981</v>
      </c>
      <c r="R369">
        <f ca="1">SUMIF($C$276:$C$295,'Tech Parameters'!V222,R$276:R$295)+SUMIF($C$321:$C$340,'Tech Parameters'!V172,R$321:R$340)</f>
        <v>945.06761731199981</v>
      </c>
      <c r="S369">
        <f ca="1">SUMIF($C$276:$C$295,'Tech Parameters'!W222,S$276:S$295)+SUMIF($C$321:$C$340,'Tech Parameters'!W172,S$321:S$340)</f>
        <v>945.06761731199981</v>
      </c>
      <c r="T369">
        <f ca="1">SUMIF($C$276:$C$295,'Tech Parameters'!X222,T$276:T$295)+SUMIF($C$321:$C$340,'Tech Parameters'!X172,T$321:T$340)</f>
        <v>945.06761731199981</v>
      </c>
      <c r="U369">
        <f ca="1">SUMIF($C$276:$C$295,'Tech Parameters'!Y222,U$276:U$295)+SUMIF($C$321:$C$340,'Tech Parameters'!Y172,U$321:U$340)</f>
        <v>945.06761731199981</v>
      </c>
      <c r="V369">
        <f ca="1">SUMIF($C$276:$C$295,'Tech Parameters'!Z222,V$276:V$295)+SUMIF($C$321:$C$340,'Tech Parameters'!Z172,V$321:V$340)</f>
        <v>945.06761731199981</v>
      </c>
      <c r="W369">
        <f ca="1">SUMIF($C$276:$C$295,'Tech Parameters'!AA222,W$276:W$295)+SUMIF($C$321:$C$340,'Tech Parameters'!AA172,W$321:W$340)</f>
        <v>945.06761731199981</v>
      </c>
      <c r="X369">
        <f ca="1">SUMIF($C$276:$C$295,'Tech Parameters'!AB222,X$276:X$295)+SUMIF($C$321:$C$340,'Tech Parameters'!AB172,X$321:X$340)</f>
        <v>945.06761731199981</v>
      </c>
      <c r="Y369">
        <f ca="1">SUMIF($C$276:$C$295,'Tech Parameters'!AC222,Y$276:Y$295)+SUMIF($C$321:$C$340,'Tech Parameters'!AC172,Y$321:Y$340)</f>
        <v>1140.59884848</v>
      </c>
      <c r="Z369">
        <f ca="1">SUMIF($C$276:$C$295,'Tech Parameters'!AD222,Z$276:Z$295)+SUMIF($C$321:$C$340,'Tech Parameters'!AD172,Z$321:Z$340)</f>
        <v>1140.59884848</v>
      </c>
      <c r="AA369">
        <f ca="1">SUMIF($C$276:$C$295,'Tech Parameters'!AE222,AA$276:AA$295)+SUMIF($C$321:$C$340,'Tech Parameters'!AE172,AA$321:AA$340)</f>
        <v>1140.59884848</v>
      </c>
      <c r="AB369">
        <f ca="1">SUMIF($C$276:$C$295,'Tech Parameters'!AF222,AB$276:AB$295)+SUMIF($C$321:$C$340,'Tech Parameters'!AF172,AB$321:AB$340)</f>
        <v>1401.3071567039999</v>
      </c>
      <c r="AC369">
        <f ca="1">SUMIF($C$276:$C$295,'Tech Parameters'!AG222,AC$276:AC$295)+SUMIF($C$321:$C$340,'Tech Parameters'!AG172,AC$321:AC$340)</f>
        <v>1615.5767975255997</v>
      </c>
      <c r="AD369" s="76">
        <f t="shared" ref="AD369:AW383" ca="1" si="68">AC369</f>
        <v>1615.5767975255997</v>
      </c>
      <c r="AE369" s="76">
        <f t="shared" ca="1" si="68"/>
        <v>1615.5767975255997</v>
      </c>
      <c r="AF369" s="76">
        <f t="shared" ca="1" si="68"/>
        <v>1615.5767975255997</v>
      </c>
      <c r="AG369" s="76">
        <f t="shared" ca="1" si="68"/>
        <v>1615.5767975255997</v>
      </c>
      <c r="AH369" s="76">
        <f t="shared" ca="1" si="68"/>
        <v>1615.5767975255997</v>
      </c>
      <c r="AI369" s="76">
        <f t="shared" ca="1" si="68"/>
        <v>1615.5767975255997</v>
      </c>
      <c r="AJ369" s="76">
        <f t="shared" ca="1" si="68"/>
        <v>1615.5767975255997</v>
      </c>
      <c r="AK369" s="76">
        <f t="shared" ca="1" si="68"/>
        <v>1615.5767975255997</v>
      </c>
      <c r="AL369" s="76">
        <f t="shared" ca="1" si="68"/>
        <v>1615.5767975255997</v>
      </c>
      <c r="AM369" s="76">
        <f t="shared" ca="1" si="68"/>
        <v>1615.5767975255997</v>
      </c>
      <c r="AN369" s="76">
        <f t="shared" ca="1" si="68"/>
        <v>1615.5767975255997</v>
      </c>
      <c r="AO369" s="76">
        <f t="shared" ca="1" si="68"/>
        <v>1615.5767975255997</v>
      </c>
      <c r="AP369" s="76">
        <f t="shared" ca="1" si="68"/>
        <v>1615.5767975255997</v>
      </c>
      <c r="AQ369" s="76">
        <f t="shared" ca="1" si="68"/>
        <v>1615.5767975255997</v>
      </c>
      <c r="AR369" s="76">
        <f t="shared" ca="1" si="68"/>
        <v>1615.5767975255997</v>
      </c>
      <c r="AS369" s="76">
        <f t="shared" ca="1" si="68"/>
        <v>1615.5767975255997</v>
      </c>
      <c r="AT369" s="76">
        <f t="shared" ca="1" si="68"/>
        <v>1615.5767975255997</v>
      </c>
      <c r="AU369" s="76">
        <f t="shared" ca="1" si="68"/>
        <v>1615.5767975255997</v>
      </c>
      <c r="AV369" s="76">
        <f t="shared" ca="1" si="68"/>
        <v>1615.5767975255997</v>
      </c>
      <c r="AW369" s="76">
        <f t="shared" ca="1" si="68"/>
        <v>1615.5767975255997</v>
      </c>
    </row>
    <row r="370" spans="3:49">
      <c r="C370" t="str">
        <f t="shared" si="66"/>
        <v>PWR nuclear</v>
      </c>
      <c r="D370" s="21">
        <f>SUMIF($C$276:$C$295,'Tech Parameters'!H223,D$276:D$295)+SUMIF($C$321:$C$340,'Tech Parameters'!H173,D$321:D$340)</f>
        <v>13197.815999999999</v>
      </c>
      <c r="E370" s="21">
        <f>SUMIF($C$276:$C$295,'Tech Parameters'!I223,E$276:E$295)+SUMIF($C$321:$C$340,'Tech Parameters'!I173,E$321:E$340)</f>
        <v>13197.815999999999</v>
      </c>
      <c r="F370" s="21">
        <f>SUMIF($C$276:$C$295,'Tech Parameters'!J223,F$276:F$295)+SUMIF($C$321:$C$340,'Tech Parameters'!J173,F$321:F$340)</f>
        <v>13197.815999999999</v>
      </c>
      <c r="G370" s="21">
        <f>SUMIF($C$276:$C$295,'Tech Parameters'!K223,G$276:G$295)+SUMIF($C$321:$C$340,'Tech Parameters'!K173,G$321:G$340)</f>
        <v>13197.815999999999</v>
      </c>
      <c r="H370" s="21">
        <f>SUMIF($C$276:$C$295,'Tech Parameters'!L223,H$276:H$295)+SUMIF($C$321:$C$340,'Tech Parameters'!L173,H$321:H$340)</f>
        <v>13197.815999999999</v>
      </c>
      <c r="I370" s="21">
        <f ca="1">SUMIF($C$276:$C$295,'Tech Parameters'!M223,I$276:I$295)+SUMIF($C$321:$C$340,'Tech Parameters'!M173,I$321:I$340)</f>
        <v>13197.815999999999</v>
      </c>
      <c r="J370">
        <f ca="1">SUMIF($C$276:$C$295,'Tech Parameters'!N223,J$276:J$295)+SUMIF($C$321:$C$340,'Tech Parameters'!N173,J$321:J$340)</f>
        <v>13197.815999999999</v>
      </c>
      <c r="K370">
        <f ca="1">SUMIF($C$276:$C$295,'Tech Parameters'!O223,K$276:K$295)+SUMIF($C$321:$C$340,'Tech Parameters'!O173,K$321:K$340)</f>
        <v>13197.815999999999</v>
      </c>
      <c r="L370">
        <f ca="1">SUMIF($C$276:$C$295,'Tech Parameters'!P223,L$276:L$295)+SUMIF($C$321:$C$340,'Tech Parameters'!P173,L$321:L$340)</f>
        <v>13197.815999999999</v>
      </c>
      <c r="M370">
        <f ca="1">SUMIF($C$276:$C$295,'Tech Parameters'!Q223,M$276:M$295)+SUMIF($C$321:$C$340,'Tech Parameters'!Q173,M$321:M$340)</f>
        <v>13197.815999999999</v>
      </c>
      <c r="N370">
        <f ca="1">SUMIF($C$276:$C$295,'Tech Parameters'!R223,N$276:N$295)+SUMIF($C$321:$C$340,'Tech Parameters'!R173,N$321:N$340)</f>
        <v>13197.815999999999</v>
      </c>
      <c r="O370">
        <f ca="1">SUMIF($C$276:$C$295,'Tech Parameters'!S223,O$276:O$295)+SUMIF($C$321:$C$340,'Tech Parameters'!S173,O$321:O$340)</f>
        <v>13197.815999999999</v>
      </c>
      <c r="P370">
        <f ca="1">SUMIF($C$276:$C$295,'Tech Parameters'!T223,P$276:P$295)+SUMIF($C$321:$C$340,'Tech Parameters'!T173,P$321:P$340)</f>
        <v>13197.815999999999</v>
      </c>
      <c r="Q370">
        <f ca="1">SUMIF($C$276:$C$295,'Tech Parameters'!U223,Q$276:Q$295)+SUMIF($C$321:$C$340,'Tech Parameters'!U173,Q$321:Q$340)</f>
        <v>13197.815999999999</v>
      </c>
      <c r="R370">
        <f ca="1">SUMIF($C$276:$C$295,'Tech Parameters'!V223,R$276:R$295)+SUMIF($C$321:$C$340,'Tech Parameters'!V173,R$321:R$340)</f>
        <v>13197.815999999999</v>
      </c>
      <c r="S370">
        <f ca="1">SUMIF($C$276:$C$295,'Tech Parameters'!W223,S$276:S$295)+SUMIF($C$321:$C$340,'Tech Parameters'!W173,S$321:S$340)</f>
        <v>13197.815999999999</v>
      </c>
      <c r="T370">
        <f ca="1">SUMIF($C$276:$C$295,'Tech Parameters'!X223,T$276:T$295)+SUMIF($C$321:$C$340,'Tech Parameters'!X173,T$321:T$340)</f>
        <v>13197.815999999999</v>
      </c>
      <c r="U370">
        <f ca="1">SUMIF($C$276:$C$295,'Tech Parameters'!Y223,U$276:U$295)+SUMIF($C$321:$C$340,'Tech Parameters'!Y173,U$321:U$340)</f>
        <v>13197.815999999999</v>
      </c>
      <c r="V370">
        <f ca="1">SUMIF($C$276:$C$295,'Tech Parameters'!Z223,V$276:V$295)+SUMIF($C$321:$C$340,'Tech Parameters'!Z173,V$321:V$340)</f>
        <v>13197.815999999999</v>
      </c>
      <c r="W370">
        <f ca="1">SUMIF($C$276:$C$295,'Tech Parameters'!AA223,W$276:W$295)+SUMIF($C$321:$C$340,'Tech Parameters'!AA173,W$321:W$340)</f>
        <v>13197.815999999999</v>
      </c>
      <c r="X370">
        <f ca="1">SUMIF($C$276:$C$295,'Tech Parameters'!AB223,X$276:X$295)+SUMIF($C$321:$C$340,'Tech Parameters'!AB173,X$321:X$340)</f>
        <v>13197.815999999999</v>
      </c>
      <c r="Y370">
        <f ca="1">SUMIF($C$276:$C$295,'Tech Parameters'!AC223,Y$276:Y$295)+SUMIF($C$321:$C$340,'Tech Parameters'!AC173,Y$321:Y$340)</f>
        <v>13197.815999999999</v>
      </c>
      <c r="Z370">
        <f ca="1">SUMIF($C$276:$C$295,'Tech Parameters'!AD223,Z$276:Z$295)+SUMIF($C$321:$C$340,'Tech Parameters'!AD173,Z$321:Z$340)</f>
        <v>13197.815999999999</v>
      </c>
      <c r="AA370">
        <f ca="1">SUMIF($C$276:$C$295,'Tech Parameters'!AE223,AA$276:AA$295)+SUMIF($C$321:$C$340,'Tech Parameters'!AE173,AA$321:AA$340)</f>
        <v>13197.815999999999</v>
      </c>
      <c r="AB370">
        <f ca="1">SUMIF($C$276:$C$295,'Tech Parameters'!AF223,AB$276:AB$295)+SUMIF($C$321:$C$340,'Tech Parameters'!AF173,AB$321:AB$340)</f>
        <v>13197.815999999999</v>
      </c>
      <c r="AC370">
        <f ca="1">SUMIF($C$276:$C$295,'Tech Parameters'!AG223,AC$276:AC$295)+SUMIF($C$321:$C$340,'Tech Parameters'!AG173,AC$321:AC$340)</f>
        <v>13197.815999999999</v>
      </c>
      <c r="AD370" s="76">
        <f ca="1">AC370</f>
        <v>13197.815999999999</v>
      </c>
      <c r="AE370" s="76">
        <f t="shared" ca="1" si="68"/>
        <v>13197.815999999999</v>
      </c>
      <c r="AF370" s="76">
        <f t="shared" ca="1" si="68"/>
        <v>13197.815999999999</v>
      </c>
      <c r="AG370" s="76">
        <f t="shared" ca="1" si="68"/>
        <v>13197.815999999999</v>
      </c>
      <c r="AH370" s="76">
        <f t="shared" ca="1" si="68"/>
        <v>13197.815999999999</v>
      </c>
      <c r="AI370" s="76">
        <f t="shared" ca="1" si="68"/>
        <v>13197.815999999999</v>
      </c>
      <c r="AJ370" s="76">
        <f t="shared" ca="1" si="68"/>
        <v>13197.815999999999</v>
      </c>
      <c r="AK370" s="76">
        <f t="shared" ca="1" si="68"/>
        <v>13197.815999999999</v>
      </c>
      <c r="AL370" s="76">
        <f t="shared" ca="1" si="68"/>
        <v>13197.815999999999</v>
      </c>
      <c r="AM370" s="76">
        <f t="shared" ca="1" si="68"/>
        <v>13197.815999999999</v>
      </c>
      <c r="AN370" s="76">
        <f t="shared" ca="1" si="68"/>
        <v>13197.815999999999</v>
      </c>
      <c r="AO370" s="76">
        <f t="shared" ca="1" si="68"/>
        <v>13197.815999999999</v>
      </c>
      <c r="AP370" s="76">
        <f t="shared" ca="1" si="68"/>
        <v>13197.815999999999</v>
      </c>
      <c r="AQ370" s="76">
        <f t="shared" ca="1" si="68"/>
        <v>13197.815999999999</v>
      </c>
      <c r="AR370" s="76">
        <f t="shared" ca="1" si="68"/>
        <v>13197.815999999999</v>
      </c>
      <c r="AS370" s="76">
        <f t="shared" ca="1" si="68"/>
        <v>13197.815999999999</v>
      </c>
      <c r="AT370" s="76">
        <f t="shared" ca="1" si="68"/>
        <v>13197.815999999999</v>
      </c>
      <c r="AU370" s="76">
        <f t="shared" ca="1" si="68"/>
        <v>13197.815999999999</v>
      </c>
      <c r="AV370" s="76">
        <f t="shared" ca="1" si="68"/>
        <v>13197.815999999999</v>
      </c>
      <c r="AW370" s="76">
        <f t="shared" ca="1" si="68"/>
        <v>13197.815999999999</v>
      </c>
    </row>
    <row r="371" spans="3:49">
      <c r="C371" t="str">
        <f t="shared" si="66"/>
        <v>Hydro</v>
      </c>
      <c r="D371" s="21">
        <f>SUMIF($C$276:$C$295,'Tech Parameters'!H224,D$276:D$295)+SUMIF($C$321:$C$340,'Tech Parameters'!H174,D$321:D$340)</f>
        <v>878.42652000000021</v>
      </c>
      <c r="E371" s="21">
        <f>SUMIF($C$276:$C$295,'Tech Parameters'!I224,E$276:E$295)+SUMIF($C$321:$C$340,'Tech Parameters'!I174,E$321:E$340)</f>
        <v>878.42652000000021</v>
      </c>
      <c r="F371" s="21">
        <f>SUMIF($C$276:$C$295,'Tech Parameters'!J224,F$276:F$295)+SUMIF($C$321:$C$340,'Tech Parameters'!J174,F$321:F$340)</f>
        <v>878.42652000000021</v>
      </c>
      <c r="G371" s="21">
        <f>SUMIF($C$276:$C$295,'Tech Parameters'!K224,G$276:G$295)+SUMIF($C$321:$C$340,'Tech Parameters'!K174,G$321:G$340)</f>
        <v>878.42652000000021</v>
      </c>
      <c r="H371" s="21">
        <f>SUMIF($C$276:$C$295,'Tech Parameters'!L224,H$276:H$295)+SUMIF($C$321:$C$340,'Tech Parameters'!L174,H$321:H$340)</f>
        <v>878.42652000000021</v>
      </c>
      <c r="I371" s="21">
        <f ca="1">SUMIF($C$276:$C$295,'Tech Parameters'!M224,I$276:I$295)+SUMIF($C$321:$C$340,'Tech Parameters'!M174,I$321:I$340)</f>
        <v>878.42652000000021</v>
      </c>
      <c r="J371">
        <f ca="1">SUMIF($C$276:$C$295,'Tech Parameters'!N224,J$276:J$295)+SUMIF($C$321:$C$340,'Tech Parameters'!N174,J$321:J$340)</f>
        <v>878.42652000000021</v>
      </c>
      <c r="K371">
        <f ca="1">SUMIF($C$276:$C$295,'Tech Parameters'!O224,K$276:K$295)+SUMIF($C$321:$C$340,'Tech Parameters'!O174,K$321:K$340)</f>
        <v>878.42652000000021</v>
      </c>
      <c r="L371">
        <f ca="1">SUMIF($C$276:$C$295,'Tech Parameters'!P224,L$276:L$295)+SUMIF($C$321:$C$340,'Tech Parameters'!P174,L$321:L$340)</f>
        <v>878.42652000000021</v>
      </c>
      <c r="M371">
        <f ca="1">SUMIF($C$276:$C$295,'Tech Parameters'!Q224,M$276:M$295)+SUMIF($C$321:$C$340,'Tech Parameters'!Q174,M$321:M$340)</f>
        <v>878.42652000000021</v>
      </c>
      <c r="N371">
        <f ca="1">SUMIF($C$276:$C$295,'Tech Parameters'!R224,N$276:N$295)+SUMIF($C$321:$C$340,'Tech Parameters'!R174,N$321:N$340)</f>
        <v>878.42652000000021</v>
      </c>
      <c r="O371">
        <f ca="1">SUMIF($C$276:$C$295,'Tech Parameters'!S224,O$276:O$295)+SUMIF($C$321:$C$340,'Tech Parameters'!S174,O$321:O$340)</f>
        <v>878.42652000000021</v>
      </c>
      <c r="P371">
        <f ca="1">SUMIF($C$276:$C$295,'Tech Parameters'!T224,P$276:P$295)+SUMIF($C$321:$C$340,'Tech Parameters'!T174,P$321:P$340)</f>
        <v>878.42652000000021</v>
      </c>
      <c r="Q371">
        <f ca="1">SUMIF($C$276:$C$295,'Tech Parameters'!U224,Q$276:Q$295)+SUMIF($C$321:$C$340,'Tech Parameters'!U174,Q$321:Q$340)</f>
        <v>878.42652000000021</v>
      </c>
      <c r="R371">
        <f ca="1">SUMIF($C$276:$C$295,'Tech Parameters'!V224,R$276:R$295)+SUMIF($C$321:$C$340,'Tech Parameters'!V174,R$321:R$340)</f>
        <v>878.42652000000021</v>
      </c>
      <c r="S371">
        <f ca="1">SUMIF($C$276:$C$295,'Tech Parameters'!W224,S$276:S$295)+SUMIF($C$321:$C$340,'Tech Parameters'!W174,S$321:S$340)</f>
        <v>878.42652000000021</v>
      </c>
      <c r="T371">
        <f ca="1">SUMIF($C$276:$C$295,'Tech Parameters'!X224,T$276:T$295)+SUMIF($C$321:$C$340,'Tech Parameters'!X174,T$321:T$340)</f>
        <v>878.42652000000021</v>
      </c>
      <c r="U371">
        <f ca="1">SUMIF($C$276:$C$295,'Tech Parameters'!Y224,U$276:U$295)+SUMIF($C$321:$C$340,'Tech Parameters'!Y174,U$321:U$340)</f>
        <v>878.42652000000021</v>
      </c>
      <c r="V371">
        <f ca="1">SUMIF($C$276:$C$295,'Tech Parameters'!Z224,V$276:V$295)+SUMIF($C$321:$C$340,'Tech Parameters'!Z174,V$321:V$340)</f>
        <v>878.42652000000021</v>
      </c>
      <c r="W371">
        <f ca="1">SUMIF($C$276:$C$295,'Tech Parameters'!AA224,W$276:W$295)+SUMIF($C$321:$C$340,'Tech Parameters'!AA174,W$321:W$340)</f>
        <v>878.42652000000021</v>
      </c>
      <c r="X371">
        <f ca="1">SUMIF($C$276:$C$295,'Tech Parameters'!AB224,X$276:X$295)+SUMIF($C$321:$C$340,'Tech Parameters'!AB174,X$321:X$340)</f>
        <v>878.42652000000021</v>
      </c>
      <c r="Y371">
        <f ca="1">SUMIF($C$276:$C$295,'Tech Parameters'!AC224,Y$276:Y$295)+SUMIF($C$321:$C$340,'Tech Parameters'!AC174,Y$321:Y$340)</f>
        <v>878.42652000000021</v>
      </c>
      <c r="Z371">
        <f ca="1">SUMIF($C$276:$C$295,'Tech Parameters'!AD224,Z$276:Z$295)+SUMIF($C$321:$C$340,'Tech Parameters'!AD174,Z$321:Z$340)</f>
        <v>878.42652000000021</v>
      </c>
      <c r="AA371">
        <f ca="1">SUMIF($C$276:$C$295,'Tech Parameters'!AE224,AA$276:AA$295)+SUMIF($C$321:$C$340,'Tech Parameters'!AE174,AA$321:AA$340)</f>
        <v>878.42652000000021</v>
      </c>
      <c r="AB371">
        <f ca="1">SUMIF($C$276:$C$295,'Tech Parameters'!AF224,AB$276:AB$295)+SUMIF($C$321:$C$340,'Tech Parameters'!AF174,AB$321:AB$340)</f>
        <v>878.42652000000021</v>
      </c>
      <c r="AC371">
        <f ca="1">SUMIF($C$276:$C$295,'Tech Parameters'!AG224,AC$276:AC$295)+SUMIF($C$321:$C$340,'Tech Parameters'!AG174,AC$321:AC$340)</f>
        <v>878.42652000000021</v>
      </c>
      <c r="AD371" s="76">
        <f ca="1">AC371</f>
        <v>878.42652000000021</v>
      </c>
      <c r="AE371" s="76">
        <f t="shared" ca="1" si="68"/>
        <v>878.42652000000021</v>
      </c>
      <c r="AF371" s="76">
        <f t="shared" ca="1" si="68"/>
        <v>878.42652000000021</v>
      </c>
      <c r="AG371" s="76">
        <f t="shared" ca="1" si="68"/>
        <v>878.42652000000021</v>
      </c>
      <c r="AH371" s="76">
        <f t="shared" ca="1" si="68"/>
        <v>878.42652000000021</v>
      </c>
      <c r="AI371" s="76">
        <f t="shared" ca="1" si="68"/>
        <v>878.42652000000021</v>
      </c>
      <c r="AJ371" s="76">
        <f t="shared" ca="1" si="68"/>
        <v>878.42652000000021</v>
      </c>
      <c r="AK371" s="76">
        <f t="shared" ca="1" si="68"/>
        <v>878.42652000000021</v>
      </c>
      <c r="AL371" s="76">
        <f t="shared" ca="1" si="68"/>
        <v>878.42652000000021</v>
      </c>
      <c r="AM371" s="76">
        <f t="shared" ca="1" si="68"/>
        <v>878.42652000000021</v>
      </c>
      <c r="AN371" s="76">
        <f t="shared" ca="1" si="68"/>
        <v>878.42652000000021</v>
      </c>
      <c r="AO371" s="76">
        <f t="shared" ca="1" si="68"/>
        <v>878.42652000000021</v>
      </c>
      <c r="AP371" s="76">
        <f t="shared" ca="1" si="68"/>
        <v>878.42652000000021</v>
      </c>
      <c r="AQ371" s="76">
        <f t="shared" ca="1" si="68"/>
        <v>878.42652000000021</v>
      </c>
      <c r="AR371" s="76">
        <f t="shared" ca="1" si="68"/>
        <v>878.42652000000021</v>
      </c>
      <c r="AS371" s="76">
        <f t="shared" ca="1" si="68"/>
        <v>878.42652000000021</v>
      </c>
      <c r="AT371" s="76">
        <f t="shared" ca="1" si="68"/>
        <v>878.42652000000021</v>
      </c>
      <c r="AU371" s="76">
        <f t="shared" ca="1" si="68"/>
        <v>878.42652000000021</v>
      </c>
      <c r="AV371" s="76">
        <f t="shared" ca="1" si="68"/>
        <v>878.42652000000021</v>
      </c>
      <c r="AW371" s="76">
        <f t="shared" ca="1" si="68"/>
        <v>878.42652000000021</v>
      </c>
    </row>
    <row r="372" spans="3:49">
      <c r="C372" t="str">
        <f t="shared" si="66"/>
        <v>Landfill gas</v>
      </c>
      <c r="D372" s="21">
        <f>SUMIF($C$276:$C$295,'Tech Parameters'!H225,D$276:D$295)+SUMIF($C$321:$C$340,'Tech Parameters'!H175,D$321:D$340)</f>
        <v>524.66925000000003</v>
      </c>
      <c r="E372" s="21">
        <f>SUMIF($C$276:$C$295,'Tech Parameters'!I225,E$276:E$295)+SUMIF($C$321:$C$340,'Tech Parameters'!I175,E$321:E$340)</f>
        <v>524.66925000000003</v>
      </c>
      <c r="F372" s="21">
        <f>SUMIF($C$276:$C$295,'Tech Parameters'!J225,F$276:F$295)+SUMIF($C$321:$C$340,'Tech Parameters'!J175,F$321:F$340)</f>
        <v>524.66925000000003</v>
      </c>
      <c r="G372" s="21">
        <f>SUMIF($C$276:$C$295,'Tech Parameters'!K225,G$276:G$295)+SUMIF($C$321:$C$340,'Tech Parameters'!K175,G$321:G$340)</f>
        <v>524.66925000000003</v>
      </c>
      <c r="H372" s="21">
        <f>SUMIF($C$276:$C$295,'Tech Parameters'!L225,H$276:H$295)+SUMIF($C$321:$C$340,'Tech Parameters'!L175,H$321:H$340)</f>
        <v>524.66925000000003</v>
      </c>
      <c r="I372" s="21">
        <f ca="1">SUMIF($C$276:$C$295,'Tech Parameters'!M225,I$276:I$295)+SUMIF($C$321:$C$340,'Tech Parameters'!M175,I$321:I$340)</f>
        <v>524.66925000000003</v>
      </c>
      <c r="J372">
        <f ca="1">SUMIF($C$276:$C$295,'Tech Parameters'!N225,J$276:J$295)+SUMIF($C$321:$C$340,'Tech Parameters'!N175,J$321:J$340)</f>
        <v>524.66925000000003</v>
      </c>
      <c r="K372">
        <f ca="1">SUMIF($C$276:$C$295,'Tech Parameters'!O225,K$276:K$295)+SUMIF($C$321:$C$340,'Tech Parameters'!O175,K$321:K$340)</f>
        <v>524.66925000000003</v>
      </c>
      <c r="L372">
        <f ca="1">SUMIF($C$276:$C$295,'Tech Parameters'!P225,L$276:L$295)+SUMIF($C$321:$C$340,'Tech Parameters'!P175,L$321:L$340)</f>
        <v>524.66925000000003</v>
      </c>
      <c r="M372">
        <f ca="1">SUMIF($C$276:$C$295,'Tech Parameters'!Q225,M$276:M$295)+SUMIF($C$321:$C$340,'Tech Parameters'!Q175,M$321:M$340)</f>
        <v>524.66925000000003</v>
      </c>
      <c r="N372">
        <f ca="1">SUMIF($C$276:$C$295,'Tech Parameters'!R225,N$276:N$295)+SUMIF($C$321:$C$340,'Tech Parameters'!R175,N$321:N$340)</f>
        <v>524.66925000000003</v>
      </c>
      <c r="O372">
        <f ca="1">SUMIF($C$276:$C$295,'Tech Parameters'!S225,O$276:O$295)+SUMIF($C$321:$C$340,'Tech Parameters'!S175,O$321:O$340)</f>
        <v>524.66925000000003</v>
      </c>
      <c r="P372">
        <f ca="1">SUMIF($C$276:$C$295,'Tech Parameters'!T225,P$276:P$295)+SUMIF($C$321:$C$340,'Tech Parameters'!T175,P$321:P$340)</f>
        <v>524.66925000000003</v>
      </c>
      <c r="Q372">
        <f ca="1">SUMIF($C$276:$C$295,'Tech Parameters'!U225,Q$276:Q$295)+SUMIF($C$321:$C$340,'Tech Parameters'!U175,Q$321:Q$340)</f>
        <v>524.66925000000003</v>
      </c>
      <c r="R372">
        <f ca="1">SUMIF($C$276:$C$295,'Tech Parameters'!V225,R$276:R$295)+SUMIF($C$321:$C$340,'Tech Parameters'!V175,R$321:R$340)</f>
        <v>524.66925000000003</v>
      </c>
      <c r="S372">
        <f ca="1">SUMIF($C$276:$C$295,'Tech Parameters'!W225,S$276:S$295)+SUMIF($C$321:$C$340,'Tech Parameters'!W175,S$321:S$340)</f>
        <v>524.66925000000003</v>
      </c>
      <c r="T372">
        <f ca="1">SUMIF($C$276:$C$295,'Tech Parameters'!X225,T$276:T$295)+SUMIF($C$321:$C$340,'Tech Parameters'!X175,T$321:T$340)</f>
        <v>524.66925000000003</v>
      </c>
      <c r="U372">
        <f ca="1">SUMIF($C$276:$C$295,'Tech Parameters'!Y225,U$276:U$295)+SUMIF($C$321:$C$340,'Tech Parameters'!Y175,U$321:U$340)</f>
        <v>524.66925000000003</v>
      </c>
      <c r="V372">
        <f ca="1">SUMIF($C$276:$C$295,'Tech Parameters'!Z225,V$276:V$295)+SUMIF($C$321:$C$340,'Tech Parameters'!Z175,V$321:V$340)</f>
        <v>524.66925000000003</v>
      </c>
      <c r="W372">
        <f ca="1">SUMIF($C$276:$C$295,'Tech Parameters'!AA225,W$276:W$295)+SUMIF($C$321:$C$340,'Tech Parameters'!AA175,W$321:W$340)</f>
        <v>524.66925000000003</v>
      </c>
      <c r="X372">
        <f ca="1">SUMIF($C$276:$C$295,'Tech Parameters'!AB225,X$276:X$295)+SUMIF($C$321:$C$340,'Tech Parameters'!AB175,X$321:X$340)</f>
        <v>524.66925000000003</v>
      </c>
      <c r="Y372">
        <f ca="1">SUMIF($C$276:$C$295,'Tech Parameters'!AC225,Y$276:Y$295)+SUMIF($C$321:$C$340,'Tech Parameters'!AC175,Y$321:Y$340)</f>
        <v>524.66925000000003</v>
      </c>
      <c r="Z372">
        <f ca="1">SUMIF($C$276:$C$295,'Tech Parameters'!AD225,Z$276:Z$295)+SUMIF($C$321:$C$340,'Tech Parameters'!AD175,Z$321:Z$340)</f>
        <v>524.66925000000003</v>
      </c>
      <c r="AA372">
        <f ca="1">SUMIF($C$276:$C$295,'Tech Parameters'!AE225,AA$276:AA$295)+SUMIF($C$321:$C$340,'Tech Parameters'!AE175,AA$321:AA$340)</f>
        <v>524.66925000000003</v>
      </c>
      <c r="AB372">
        <f ca="1">SUMIF($C$276:$C$295,'Tech Parameters'!AF225,AB$276:AB$295)+SUMIF($C$321:$C$340,'Tech Parameters'!AF175,AB$321:AB$340)</f>
        <v>524.66925000000003</v>
      </c>
      <c r="AC372">
        <f ca="1">SUMIF($C$276:$C$295,'Tech Parameters'!AG225,AC$276:AC$295)+SUMIF($C$321:$C$340,'Tech Parameters'!AG175,AC$321:AC$340)</f>
        <v>524.66925000000003</v>
      </c>
      <c r="AD372" s="76">
        <f ca="1">AC372</f>
        <v>524.66925000000003</v>
      </c>
      <c r="AE372" s="76">
        <f t="shared" ca="1" si="68"/>
        <v>524.66925000000003</v>
      </c>
      <c r="AF372" s="76">
        <f t="shared" ca="1" si="68"/>
        <v>524.66925000000003</v>
      </c>
      <c r="AG372" s="76">
        <f t="shared" ca="1" si="68"/>
        <v>524.66925000000003</v>
      </c>
      <c r="AH372" s="76">
        <f t="shared" ca="1" si="68"/>
        <v>524.66925000000003</v>
      </c>
      <c r="AI372" s="76">
        <f t="shared" ca="1" si="68"/>
        <v>524.66925000000003</v>
      </c>
      <c r="AJ372" s="76">
        <f t="shared" ca="1" si="68"/>
        <v>524.66925000000003</v>
      </c>
      <c r="AK372" s="76">
        <f t="shared" ca="1" si="68"/>
        <v>524.66925000000003</v>
      </c>
      <c r="AL372" s="76">
        <f t="shared" ca="1" si="68"/>
        <v>524.66925000000003</v>
      </c>
      <c r="AM372" s="76">
        <f t="shared" ca="1" si="68"/>
        <v>524.66925000000003</v>
      </c>
      <c r="AN372" s="76">
        <f t="shared" ca="1" si="68"/>
        <v>524.66925000000003</v>
      </c>
      <c r="AO372" s="76">
        <f t="shared" ca="1" si="68"/>
        <v>524.66925000000003</v>
      </c>
      <c r="AP372" s="76">
        <f t="shared" ca="1" si="68"/>
        <v>524.66925000000003</v>
      </c>
      <c r="AQ372" s="76">
        <f t="shared" ca="1" si="68"/>
        <v>524.66925000000003</v>
      </c>
      <c r="AR372" s="76">
        <f t="shared" ca="1" si="68"/>
        <v>524.66925000000003</v>
      </c>
      <c r="AS372" s="76">
        <f t="shared" ca="1" si="68"/>
        <v>524.66925000000003</v>
      </c>
      <c r="AT372" s="76">
        <f t="shared" ca="1" si="68"/>
        <v>524.66925000000003</v>
      </c>
      <c r="AU372" s="76">
        <f t="shared" ca="1" si="68"/>
        <v>524.66925000000003</v>
      </c>
      <c r="AV372" s="76">
        <f t="shared" ca="1" si="68"/>
        <v>524.66925000000003</v>
      </c>
      <c r="AW372" s="76">
        <f t="shared" ca="1" si="68"/>
        <v>524.66925000000003</v>
      </c>
    </row>
    <row r="373" spans="3:49">
      <c r="C373" t="str">
        <f t="shared" si="66"/>
        <v>Biomass</v>
      </c>
      <c r="D373" s="21">
        <f>SUMIF($C$276:$C$295,'Tech Parameters'!H226,D$276:D$295)+SUMIF($C$321:$C$340,'Tech Parameters'!H176,D$321:D$340)</f>
        <v>1502.121000000029</v>
      </c>
      <c r="E373" s="21">
        <f>SUMIF($C$276:$C$295,'Tech Parameters'!I226,E$276:E$295)+SUMIF($C$321:$C$340,'Tech Parameters'!I176,E$321:E$340)</f>
        <v>1502.1209999999999</v>
      </c>
      <c r="F373" s="21">
        <f>SUMIF($C$276:$C$295,'Tech Parameters'!J226,F$276:F$295)+SUMIF($C$321:$C$340,'Tech Parameters'!J176,F$321:F$340)</f>
        <v>1502.1209999999999</v>
      </c>
      <c r="G373" s="21">
        <f>SUMIF($C$276:$C$295,'Tech Parameters'!K226,G$276:G$295)+SUMIF($C$321:$C$340,'Tech Parameters'!K176,G$321:G$340)</f>
        <v>1502.1209999999999</v>
      </c>
      <c r="H373" s="21">
        <f>SUMIF($C$276:$C$295,'Tech Parameters'!L226,H$276:H$295)+SUMIF($C$321:$C$340,'Tech Parameters'!L176,H$321:H$340)</f>
        <v>1502.1209999999999</v>
      </c>
      <c r="I373" s="21">
        <f ca="1">SUMIF($C$276:$C$295,'Tech Parameters'!M226,I$276:I$295)+SUMIF($C$321:$C$340,'Tech Parameters'!M176,I$321:I$340)</f>
        <v>1502.1209999999999</v>
      </c>
      <c r="J373">
        <f ca="1">SUMIF($C$276:$C$295,'Tech Parameters'!N226,J$276:J$295)+SUMIF($C$321:$C$340,'Tech Parameters'!N176,J$321:J$340)</f>
        <v>1502.1209999999999</v>
      </c>
      <c r="K373">
        <f ca="1">SUMIF($C$276:$C$295,'Tech Parameters'!O226,K$276:K$295)+SUMIF($C$321:$C$340,'Tech Parameters'!O176,K$321:K$340)</f>
        <v>1502.1209999999999</v>
      </c>
      <c r="L373">
        <f ca="1">SUMIF($C$276:$C$295,'Tech Parameters'!P226,L$276:L$295)+SUMIF($C$321:$C$340,'Tech Parameters'!P176,L$321:L$340)</f>
        <v>1502.1209999999999</v>
      </c>
      <c r="M373">
        <f ca="1">SUMIF($C$276:$C$295,'Tech Parameters'!Q226,M$276:M$295)+SUMIF($C$321:$C$340,'Tech Parameters'!Q176,M$321:M$340)</f>
        <v>1502.1209999999999</v>
      </c>
      <c r="N373">
        <f ca="1">SUMIF($C$276:$C$295,'Tech Parameters'!R226,N$276:N$295)+SUMIF($C$321:$C$340,'Tech Parameters'!R176,N$321:N$340)</f>
        <v>1502.1209999999999</v>
      </c>
      <c r="O373">
        <f ca="1">SUMIF($C$276:$C$295,'Tech Parameters'!S226,O$276:O$295)+SUMIF($C$321:$C$340,'Tech Parameters'!S176,O$321:O$340)</f>
        <v>1502.1209999999999</v>
      </c>
      <c r="P373">
        <f ca="1">SUMIF($C$276:$C$295,'Tech Parameters'!T226,P$276:P$295)+SUMIF($C$321:$C$340,'Tech Parameters'!T176,P$321:P$340)</f>
        <v>1502.1209999999999</v>
      </c>
      <c r="Q373">
        <f ca="1">SUMIF($C$276:$C$295,'Tech Parameters'!U226,Q$276:Q$295)+SUMIF($C$321:$C$340,'Tech Parameters'!U176,Q$321:Q$340)</f>
        <v>1502.1209999999999</v>
      </c>
      <c r="R373">
        <f ca="1">SUMIF($C$276:$C$295,'Tech Parameters'!V226,R$276:R$295)+SUMIF($C$321:$C$340,'Tech Parameters'!V176,R$321:R$340)</f>
        <v>1502.1209999999999</v>
      </c>
      <c r="S373">
        <f ca="1">SUMIF($C$276:$C$295,'Tech Parameters'!W226,S$276:S$295)+SUMIF($C$321:$C$340,'Tech Parameters'!W176,S$321:S$340)</f>
        <v>1502.1209999999999</v>
      </c>
      <c r="T373">
        <f ca="1">SUMIF($C$276:$C$295,'Tech Parameters'!X226,T$276:T$295)+SUMIF($C$321:$C$340,'Tech Parameters'!X176,T$321:T$340)</f>
        <v>1502.1209999999999</v>
      </c>
      <c r="U373">
        <f ca="1">SUMIF($C$276:$C$295,'Tech Parameters'!Y226,U$276:U$295)+SUMIF($C$321:$C$340,'Tech Parameters'!Y176,U$321:U$340)</f>
        <v>1502.1209999999999</v>
      </c>
      <c r="V373">
        <f ca="1">SUMIF($C$276:$C$295,'Tech Parameters'!Z226,V$276:V$295)+SUMIF($C$321:$C$340,'Tech Parameters'!Z176,V$321:V$340)</f>
        <v>1502.1209999999999</v>
      </c>
      <c r="W373">
        <f ca="1">SUMIF($C$276:$C$295,'Tech Parameters'!AA226,W$276:W$295)+SUMIF($C$321:$C$340,'Tech Parameters'!AA176,W$321:W$340)</f>
        <v>1502.1209999999999</v>
      </c>
      <c r="X373">
        <f ca="1">SUMIF($C$276:$C$295,'Tech Parameters'!AB226,X$276:X$295)+SUMIF($C$321:$C$340,'Tech Parameters'!AB176,X$321:X$340)</f>
        <v>1502.1209999999999</v>
      </c>
      <c r="Y373">
        <f ca="1">SUMIF($C$276:$C$295,'Tech Parameters'!AC226,Y$276:Y$295)+SUMIF($C$321:$C$340,'Tech Parameters'!AC176,Y$321:Y$340)</f>
        <v>1502.1209999999999</v>
      </c>
      <c r="Z373">
        <f ca="1">SUMIF($C$276:$C$295,'Tech Parameters'!AD226,Z$276:Z$295)+SUMIF($C$321:$C$340,'Tech Parameters'!AD176,Z$321:Z$340)</f>
        <v>1502.1209999999999</v>
      </c>
      <c r="AA373">
        <f ca="1">SUMIF($C$276:$C$295,'Tech Parameters'!AE226,AA$276:AA$295)+SUMIF($C$321:$C$340,'Tech Parameters'!AE176,AA$321:AA$340)</f>
        <v>1502.1209999999999</v>
      </c>
      <c r="AB373">
        <f ca="1">SUMIF($C$276:$C$295,'Tech Parameters'!AF226,AB$276:AB$295)+SUMIF($C$321:$C$340,'Tech Parameters'!AF176,AB$321:AB$340)</f>
        <v>1502.1209999999999</v>
      </c>
      <c r="AC373">
        <f ca="1">SUMIF($C$276:$C$295,'Tech Parameters'!AG226,AC$276:AC$295)+SUMIF($C$321:$C$340,'Tech Parameters'!AG176,AC$321:AC$340)</f>
        <v>1502.1209999999999</v>
      </c>
      <c r="AD373" s="76">
        <f ca="1">AC373</f>
        <v>1502.1209999999999</v>
      </c>
      <c r="AE373" s="76">
        <f t="shared" ca="1" si="68"/>
        <v>1502.1209999999999</v>
      </c>
      <c r="AF373" s="76">
        <f t="shared" ca="1" si="68"/>
        <v>1502.1209999999999</v>
      </c>
      <c r="AG373" s="76">
        <f t="shared" ca="1" si="68"/>
        <v>1502.1209999999999</v>
      </c>
      <c r="AH373" s="76">
        <f t="shared" ca="1" si="68"/>
        <v>1502.1209999999999</v>
      </c>
      <c r="AI373" s="76">
        <f t="shared" ca="1" si="68"/>
        <v>1502.1209999999999</v>
      </c>
      <c r="AJ373" s="76">
        <f t="shared" ca="1" si="68"/>
        <v>1502.1209999999999</v>
      </c>
      <c r="AK373" s="76">
        <f t="shared" ca="1" si="68"/>
        <v>1502.1209999999999</v>
      </c>
      <c r="AL373" s="76">
        <f t="shared" ca="1" si="68"/>
        <v>1502.1209999999999</v>
      </c>
      <c r="AM373" s="76">
        <f t="shared" ca="1" si="68"/>
        <v>1502.1209999999999</v>
      </c>
      <c r="AN373" s="76">
        <f t="shared" ca="1" si="68"/>
        <v>1502.1209999999999</v>
      </c>
      <c r="AO373" s="76">
        <f t="shared" ca="1" si="68"/>
        <v>1502.1209999999999</v>
      </c>
      <c r="AP373" s="76">
        <f t="shared" ca="1" si="68"/>
        <v>1502.1209999999999</v>
      </c>
      <c r="AQ373" s="76">
        <f t="shared" ca="1" si="68"/>
        <v>1502.1209999999999</v>
      </c>
      <c r="AR373" s="76">
        <f t="shared" ca="1" si="68"/>
        <v>1502.1209999999999</v>
      </c>
      <c r="AS373" s="76">
        <f t="shared" ca="1" si="68"/>
        <v>1502.1209999999999</v>
      </c>
      <c r="AT373" s="76">
        <f t="shared" ca="1" si="68"/>
        <v>1502.1209999999999</v>
      </c>
      <c r="AU373" s="76">
        <f t="shared" ca="1" si="68"/>
        <v>1502.1209999999999</v>
      </c>
      <c r="AV373" s="76">
        <f t="shared" ca="1" si="68"/>
        <v>1502.1209999999999</v>
      </c>
      <c r="AW373" s="76">
        <f t="shared" ca="1" si="68"/>
        <v>1502.1209999999999</v>
      </c>
    </row>
    <row r="374" spans="3:49">
      <c r="C374" t="str">
        <f t="shared" si="66"/>
        <v>Supercritical coal</v>
      </c>
      <c r="D374" s="21">
        <f>SUMIF($C$276:$C$295,'Tech Parameters'!H227,D$276:D$295)+SUMIF($C$321:$C$340,'Tech Parameters'!H177,D$321:D$340)</f>
        <v>0</v>
      </c>
      <c r="E374" s="21">
        <f>SUMIF($C$276:$C$295,'Tech Parameters'!I227,E$276:E$295)+SUMIF($C$321:$C$340,'Tech Parameters'!I177,E$321:E$340)</f>
        <v>0</v>
      </c>
      <c r="F374" s="21">
        <f>SUMIF($C$276:$C$295,'Tech Parameters'!J227,F$276:F$295)+SUMIF($C$321:$C$340,'Tech Parameters'!J177,F$321:F$340)</f>
        <v>0</v>
      </c>
      <c r="G374" s="21">
        <f>SUMIF($C$276:$C$295,'Tech Parameters'!K227,G$276:G$295)+SUMIF($C$321:$C$340,'Tech Parameters'!K177,G$321:G$340)</f>
        <v>0</v>
      </c>
      <c r="H374" s="21">
        <f>SUMIF($C$276:$C$295,'Tech Parameters'!L227,H$276:H$295)+SUMIF($C$321:$C$340,'Tech Parameters'!L177,H$321:H$340)</f>
        <v>0</v>
      </c>
      <c r="I374" s="21">
        <f ca="1">SUMIF($C$276:$C$295,'Tech Parameters'!M227,I$276:I$295)+SUMIF($C$321:$C$340,'Tech Parameters'!M177,I$321:I$340)</f>
        <v>0</v>
      </c>
      <c r="J374">
        <f ca="1">SUMIF($C$276:$C$295,'Tech Parameters'!N227,J$276:J$295)+SUMIF($C$321:$C$340,'Tech Parameters'!N177,J$321:J$340)</f>
        <v>0</v>
      </c>
      <c r="K374">
        <f ca="1">SUMIF($C$276:$C$295,'Tech Parameters'!O227,K$276:K$295)+SUMIF($C$321:$C$340,'Tech Parameters'!O177,K$321:K$340)</f>
        <v>1693.7365830000003</v>
      </c>
      <c r="L374">
        <f ca="1">SUMIF($C$276:$C$295,'Tech Parameters'!P227,L$276:L$295)+SUMIF($C$321:$C$340,'Tech Parameters'!P177,L$321:L$340)</f>
        <v>5081.2097490000015</v>
      </c>
      <c r="M374">
        <f ca="1">SUMIF($C$276:$C$295,'Tech Parameters'!Q227,M$276:M$295)+SUMIF($C$321:$C$340,'Tech Parameters'!Q177,M$321:M$340)</f>
        <v>10634.23800224124</v>
      </c>
      <c r="N374">
        <f ca="1">SUMIF($C$276:$C$295,'Tech Parameters'!R227,N$276:N$295)+SUMIF($C$321:$C$340,'Tech Parameters'!R177,N$321:N$340)</f>
        <v>16810.994815755548</v>
      </c>
      <c r="O374">
        <f ca="1">SUMIF($C$276:$C$295,'Tech Parameters'!S227,O$276:O$295)+SUMIF($C$321:$C$340,'Tech Parameters'!S177,O$321:O$340)</f>
        <v>23004.105324295513</v>
      </c>
      <c r="P374">
        <f ca="1">SUMIF($C$276:$C$295,'Tech Parameters'!T227,P$276:P$295)+SUMIF($C$321:$C$340,'Tech Parameters'!T177,P$321:P$340)</f>
        <v>26993.251514152627</v>
      </c>
      <c r="Q374">
        <f ca="1">SUMIF($C$276:$C$295,'Tech Parameters'!U227,Q$276:Q$295)+SUMIF($C$321:$C$340,'Tech Parameters'!U177,Q$321:Q$340)</f>
        <v>29379.83395483479</v>
      </c>
      <c r="R374">
        <f ca="1">SUMIF($C$276:$C$295,'Tech Parameters'!V227,R$276:R$295)+SUMIF($C$321:$C$340,'Tech Parameters'!V177,R$321:R$340)</f>
        <v>28777.973963092143</v>
      </c>
      <c r="S374">
        <f ca="1">SUMIF($C$276:$C$295,'Tech Parameters'!W227,S$276:S$295)+SUMIF($C$321:$C$340,'Tech Parameters'!W177,S$321:S$340)</f>
        <v>28024.177219094479</v>
      </c>
      <c r="T374">
        <f ca="1">SUMIF($C$276:$C$295,'Tech Parameters'!X227,T$276:T$295)+SUMIF($C$321:$C$340,'Tech Parameters'!X177,T$321:T$340)</f>
        <v>24356.830616997791</v>
      </c>
      <c r="U374">
        <f ca="1">SUMIF($C$276:$C$295,'Tech Parameters'!Y227,U$276:U$295)+SUMIF($C$321:$C$340,'Tech Parameters'!Y177,U$321:U$340)</f>
        <v>21898.246594728091</v>
      </c>
      <c r="V374">
        <f ca="1">SUMIF($C$276:$C$295,'Tech Parameters'!Z227,V$276:V$295)+SUMIF($C$321:$C$340,'Tech Parameters'!Z177,V$321:V$340)</f>
        <v>20324.83899600001</v>
      </c>
      <c r="W374">
        <f ca="1">SUMIF($C$276:$C$295,'Tech Parameters'!AA227,W$276:W$295)+SUMIF($C$321:$C$340,'Tech Parameters'!AA177,W$321:W$340)</f>
        <v>20324.83899600001</v>
      </c>
      <c r="X374">
        <f ca="1">SUMIF($C$276:$C$295,'Tech Parameters'!AB227,X$276:X$295)+SUMIF($C$321:$C$340,'Tech Parameters'!AB177,X$321:X$340)</f>
        <v>20453.283972315145</v>
      </c>
      <c r="Y374">
        <f ca="1">SUMIF($C$276:$C$295,'Tech Parameters'!AC227,Y$276:Y$295)+SUMIF($C$321:$C$340,'Tech Parameters'!AC177,Y$321:Y$340)</f>
        <v>26870.960371717756</v>
      </c>
      <c r="Z374">
        <f ca="1">SUMIF($C$276:$C$295,'Tech Parameters'!AD227,Z$276:Z$295)+SUMIF($C$321:$C$340,'Tech Parameters'!AD177,Z$321:Z$340)</f>
        <v>29502.873213153161</v>
      </c>
      <c r="AA374">
        <f ca="1">SUMIF($C$276:$C$295,'Tech Parameters'!AE227,AA$276:AA$295)+SUMIF($C$321:$C$340,'Tech Parameters'!AE177,AA$321:AA$340)</f>
        <v>33040.160722025088</v>
      </c>
      <c r="AB374">
        <f ca="1">SUMIF($C$276:$C$295,'Tech Parameters'!AF227,AB$276:AB$295)+SUMIF($C$321:$C$340,'Tech Parameters'!AF177,AB$321:AB$340)</f>
        <v>45633.727661654295</v>
      </c>
      <c r="AC374">
        <f ca="1">SUMIF($C$276:$C$295,'Tech Parameters'!AG227,AC$276:AC$295)+SUMIF($C$321:$C$340,'Tech Parameters'!AG177,AC$321:AC$340)</f>
        <v>46966.368296660425</v>
      </c>
      <c r="AD374" s="76">
        <f ca="1">$AC$374+$AC$367-AD367+$AC$368-AD368</f>
        <v>46966.368296660425</v>
      </c>
      <c r="AE374" s="76">
        <f t="shared" ref="AE374:AW374" ca="1" si="69">$AC$374+$AC$367-AE367+$AC$368-AE368</f>
        <v>47181.859140892077</v>
      </c>
      <c r="AF374" s="76">
        <f t="shared" ca="1" si="69"/>
        <v>47397.349985123728</v>
      </c>
      <c r="AG374" s="76">
        <f t="shared" ca="1" si="69"/>
        <v>74348.469439258653</v>
      </c>
      <c r="AH374" s="76">
        <f t="shared" ca="1" si="69"/>
        <v>101299.58889339356</v>
      </c>
      <c r="AI374" s="76">
        <f t="shared" ca="1" si="69"/>
        <v>115369.99506002598</v>
      </c>
      <c r="AJ374" s="76">
        <f t="shared" ca="1" si="69"/>
        <v>144082.77512364174</v>
      </c>
      <c r="AK374" s="76">
        <f t="shared" ca="1" si="69"/>
        <v>159527.95804815472</v>
      </c>
      <c r="AL374" s="76">
        <f t="shared" ca="1" si="69"/>
        <v>160330.76707568442</v>
      </c>
      <c r="AM374" s="76">
        <f t="shared" ca="1" si="69"/>
        <v>160330.76707568442</v>
      </c>
      <c r="AN374" s="76">
        <f t="shared" ca="1" si="69"/>
        <v>160330.76707568442</v>
      </c>
      <c r="AO374" s="76">
        <f t="shared" ca="1" si="69"/>
        <v>160330.76707568442</v>
      </c>
      <c r="AP374" s="76">
        <f t="shared" ca="1" si="69"/>
        <v>160330.76707568442</v>
      </c>
      <c r="AQ374" s="76">
        <f t="shared" ca="1" si="69"/>
        <v>160330.76707568442</v>
      </c>
      <c r="AR374" s="76">
        <f t="shared" ca="1" si="69"/>
        <v>174984.58032727477</v>
      </c>
      <c r="AS374" s="76">
        <f t="shared" ca="1" si="69"/>
        <v>189638.3935788651</v>
      </c>
      <c r="AT374" s="76">
        <f t="shared" ca="1" si="69"/>
        <v>189638.3935788651</v>
      </c>
      <c r="AU374" s="76">
        <f t="shared" ca="1" si="69"/>
        <v>189638.3935788651</v>
      </c>
      <c r="AV374" s="76">
        <f t="shared" ca="1" si="69"/>
        <v>189638.3935788651</v>
      </c>
      <c r="AW374" s="76">
        <f t="shared" ca="1" si="69"/>
        <v>189638.3935788651</v>
      </c>
    </row>
    <row r="375" spans="3:49">
      <c r="C375" t="str">
        <f t="shared" si="66"/>
        <v xml:space="preserve">Wind 30% </v>
      </c>
      <c r="D375" s="21">
        <f>SUMIF($C$276:$C$295,'Tech Parameters'!H228,D$276:D$295)+SUMIF($C$321:$C$340,'Tech Parameters'!H178,D$321:D$340)</f>
        <v>0</v>
      </c>
      <c r="E375" s="21">
        <f>SUMIF($C$276:$C$295,'Tech Parameters'!I228,E$276:E$295)+SUMIF($C$321:$C$340,'Tech Parameters'!I178,E$321:E$340)</f>
        <v>0</v>
      </c>
      <c r="F375" s="21">
        <f>SUMIF($C$276:$C$295,'Tech Parameters'!J228,F$276:F$295)+SUMIF($C$321:$C$340,'Tech Parameters'!J178,F$321:F$340)</f>
        <v>0</v>
      </c>
      <c r="G375" s="21">
        <f>SUMIF($C$276:$C$295,'Tech Parameters'!K228,G$276:G$295)+SUMIF($C$321:$C$340,'Tech Parameters'!K178,G$321:G$340)</f>
        <v>0</v>
      </c>
      <c r="H375" s="21">
        <f>SUMIF($C$276:$C$295,'Tech Parameters'!L228,H$276:H$295)+SUMIF($C$321:$C$340,'Tech Parameters'!L178,H$321:H$340)</f>
        <v>0</v>
      </c>
      <c r="I375" s="21">
        <f ca="1">SUMIF($C$276:$C$295,'Tech Parameters'!M228,I$276:I$295)+SUMIF($C$321:$C$340,'Tech Parameters'!M178,I$321:I$340)</f>
        <v>262.8</v>
      </c>
      <c r="J375">
        <f ca="1">SUMIF($C$276:$C$295,'Tech Parameters'!N228,J$276:J$295)+SUMIF($C$321:$C$340,'Tech Parameters'!N178,J$321:J$340)</f>
        <v>788.40000000000009</v>
      </c>
      <c r="K375">
        <f ca="1">SUMIF($C$276:$C$295,'Tech Parameters'!O228,K$276:K$295)+SUMIF($C$321:$C$340,'Tech Parameters'!O178,K$321:K$340)</f>
        <v>1314</v>
      </c>
      <c r="L375">
        <f ca="1">SUMIF($C$276:$C$295,'Tech Parameters'!P228,L$276:L$295)+SUMIF($C$321:$C$340,'Tech Parameters'!P178,L$321:L$340)</f>
        <v>2365.2000000000003</v>
      </c>
      <c r="M375">
        <f ca="1">SUMIF($C$276:$C$295,'Tech Parameters'!Q228,M$276:M$295)+SUMIF($C$321:$C$340,'Tech Parameters'!Q178,M$321:M$340)</f>
        <v>3416.4</v>
      </c>
      <c r="N375">
        <f ca="1">SUMIF($C$276:$C$295,'Tech Parameters'!R228,N$276:N$295)+SUMIF($C$321:$C$340,'Tech Parameters'!R178,N$321:N$340)</f>
        <v>5518.8</v>
      </c>
      <c r="O375">
        <f ca="1">SUMIF($C$276:$C$295,'Tech Parameters'!S228,O$276:O$295)+SUMIF($C$321:$C$340,'Tech Parameters'!S178,O$321:O$340)</f>
        <v>7621.2000000000007</v>
      </c>
      <c r="P375">
        <f ca="1">SUMIF($C$276:$C$295,'Tech Parameters'!T228,P$276:P$295)+SUMIF($C$321:$C$340,'Tech Parameters'!T178,P$321:P$340)</f>
        <v>10249.200000000001</v>
      </c>
      <c r="Q375">
        <f ca="1">SUMIF($C$276:$C$295,'Tech Parameters'!U228,Q$276:Q$295)+SUMIF($C$321:$C$340,'Tech Parameters'!U178,Q$321:Q$340)</f>
        <v>12877.199999999999</v>
      </c>
      <c r="R375">
        <f ca="1">SUMIF($C$276:$C$295,'Tech Parameters'!V228,R$276:R$295)+SUMIF($C$321:$C$340,'Tech Parameters'!V178,R$321:R$340)</f>
        <v>16819.2</v>
      </c>
      <c r="S375">
        <f ca="1">SUMIF($C$276:$C$295,'Tech Parameters'!W228,S$276:S$295)+SUMIF($C$321:$C$340,'Tech Parameters'!W178,S$321:S$340)</f>
        <v>20761.2</v>
      </c>
      <c r="T375">
        <f ca="1">SUMIF($C$276:$C$295,'Tech Parameters'!X228,T$276:T$295)+SUMIF($C$321:$C$340,'Tech Parameters'!X178,T$321:T$340)</f>
        <v>26017.200000000001</v>
      </c>
      <c r="U375">
        <f ca="1">SUMIF($C$276:$C$295,'Tech Parameters'!Y228,U$276:U$295)+SUMIF($C$321:$C$340,'Tech Parameters'!Y178,U$321:U$340)</f>
        <v>26017.200000000001</v>
      </c>
      <c r="V375">
        <f ca="1">SUMIF($C$276:$C$295,'Tech Parameters'!Z228,V$276:V$295)+SUMIF($C$321:$C$340,'Tech Parameters'!Z178,V$321:V$340)</f>
        <v>26017.200000000001</v>
      </c>
      <c r="W375">
        <f ca="1">SUMIF($C$276:$C$295,'Tech Parameters'!AA228,W$276:W$295)+SUMIF($C$321:$C$340,'Tech Parameters'!AA178,W$321:W$340)</f>
        <v>26017.200000000001</v>
      </c>
      <c r="X375">
        <f ca="1">SUMIF($C$276:$C$295,'Tech Parameters'!AB228,X$276:X$295)+SUMIF($C$321:$C$340,'Tech Parameters'!AB178,X$321:X$340)</f>
        <v>26017.200000000001</v>
      </c>
      <c r="Y375">
        <f ca="1">SUMIF($C$276:$C$295,'Tech Parameters'!AC228,Y$276:Y$295)+SUMIF($C$321:$C$340,'Tech Parameters'!AC178,Y$321:Y$340)</f>
        <v>26017.200000000001</v>
      </c>
      <c r="Z375">
        <f ca="1">SUMIF($C$276:$C$295,'Tech Parameters'!AD228,Z$276:Z$295)+SUMIF($C$321:$C$340,'Tech Parameters'!AD178,Z$321:Z$340)</f>
        <v>26017.200000000001</v>
      </c>
      <c r="AA375">
        <f ca="1">SUMIF($C$276:$C$295,'Tech Parameters'!AE228,AA$276:AA$295)+SUMIF($C$321:$C$340,'Tech Parameters'!AE178,AA$321:AA$340)</f>
        <v>26017.200000000001</v>
      </c>
      <c r="AB375">
        <f ca="1">SUMIF($C$276:$C$295,'Tech Parameters'!AF228,AB$276:AB$295)+SUMIF($C$321:$C$340,'Tech Parameters'!AF178,AB$321:AB$340)</f>
        <v>26017.200000000001</v>
      </c>
      <c r="AC375">
        <f ca="1">SUMIF($C$276:$C$295,'Tech Parameters'!AG228,AC$276:AC$295)+SUMIF($C$321:$C$340,'Tech Parameters'!AG178,AC$321:AC$340)</f>
        <v>25754.399999999998</v>
      </c>
      <c r="AD375" s="76">
        <f t="shared" ref="AD375:AD386" ca="1" si="70">AC375</f>
        <v>25754.399999999998</v>
      </c>
      <c r="AE375" s="76">
        <f t="shared" ca="1" si="68"/>
        <v>25754.399999999998</v>
      </c>
      <c r="AF375" s="76">
        <f t="shared" ca="1" si="68"/>
        <v>25754.399999999998</v>
      </c>
      <c r="AG375" s="76">
        <f t="shared" ca="1" si="68"/>
        <v>25754.399999999998</v>
      </c>
      <c r="AH375" s="76">
        <f t="shared" ca="1" si="68"/>
        <v>25754.399999999998</v>
      </c>
      <c r="AI375" s="76">
        <f t="shared" ca="1" si="68"/>
        <v>25754.399999999998</v>
      </c>
      <c r="AJ375" s="76">
        <f t="shared" ca="1" si="68"/>
        <v>25754.399999999998</v>
      </c>
      <c r="AK375" s="76">
        <f t="shared" ca="1" si="68"/>
        <v>25754.399999999998</v>
      </c>
      <c r="AL375" s="76">
        <f t="shared" ca="1" si="68"/>
        <v>25754.399999999998</v>
      </c>
      <c r="AM375" s="76">
        <f t="shared" ca="1" si="68"/>
        <v>25754.399999999998</v>
      </c>
      <c r="AN375" s="76">
        <f t="shared" ca="1" si="68"/>
        <v>25754.399999999998</v>
      </c>
      <c r="AO375" s="76">
        <f t="shared" ca="1" si="68"/>
        <v>25754.399999999998</v>
      </c>
      <c r="AP375" s="76">
        <f t="shared" ca="1" si="68"/>
        <v>25754.399999999998</v>
      </c>
      <c r="AQ375" s="76">
        <f t="shared" ca="1" si="68"/>
        <v>25754.399999999998</v>
      </c>
      <c r="AR375" s="76">
        <f t="shared" ca="1" si="68"/>
        <v>25754.399999999998</v>
      </c>
      <c r="AS375" s="76">
        <f t="shared" ca="1" si="68"/>
        <v>25754.399999999998</v>
      </c>
      <c r="AT375" s="76">
        <f t="shared" ca="1" si="68"/>
        <v>25754.399999999998</v>
      </c>
      <c r="AU375" s="76">
        <f t="shared" ca="1" si="68"/>
        <v>25754.399999999998</v>
      </c>
      <c r="AV375" s="76">
        <f t="shared" ca="1" si="68"/>
        <v>25754.399999999998</v>
      </c>
      <c r="AW375" s="76">
        <f t="shared" ca="1" si="68"/>
        <v>25754.399999999998</v>
      </c>
    </row>
    <row r="376" spans="3:49">
      <c r="C376" t="str">
        <f t="shared" si="66"/>
        <v>Wind 25%</v>
      </c>
      <c r="D376" s="21">
        <f>SUMIF($C$276:$C$295,'Tech Parameters'!H229,D$276:D$295)+SUMIF($C$321:$C$340,'Tech Parameters'!H179,D$321:D$340)</f>
        <v>0</v>
      </c>
      <c r="E376" s="21">
        <f>SUMIF($C$276:$C$295,'Tech Parameters'!I229,E$276:E$295)+SUMIF($C$321:$C$340,'Tech Parameters'!I179,E$321:E$340)</f>
        <v>0</v>
      </c>
      <c r="F376" s="21">
        <f>SUMIF($C$276:$C$295,'Tech Parameters'!J229,F$276:F$295)+SUMIF($C$321:$C$340,'Tech Parameters'!J179,F$321:F$340)</f>
        <v>0</v>
      </c>
      <c r="G376" s="21">
        <f>SUMIF($C$276:$C$295,'Tech Parameters'!K229,G$276:G$295)+SUMIF($C$321:$C$340,'Tech Parameters'!K179,G$321:G$340)</f>
        <v>0</v>
      </c>
      <c r="H376" s="21">
        <f>SUMIF($C$276:$C$295,'Tech Parameters'!L229,H$276:H$295)+SUMIF($C$321:$C$340,'Tech Parameters'!L179,H$321:H$340)</f>
        <v>0</v>
      </c>
      <c r="I376" s="21">
        <f ca="1">SUMIF($C$276:$C$295,'Tech Parameters'!M229,I$276:I$295)+SUMIF($C$321:$C$340,'Tech Parameters'!M179,I$321:I$340)</f>
        <v>0</v>
      </c>
      <c r="J376">
        <f ca="1">SUMIF($C$276:$C$295,'Tech Parameters'!N229,J$276:J$295)+SUMIF($C$321:$C$340,'Tech Parameters'!N179,J$321:J$340)</f>
        <v>0</v>
      </c>
      <c r="K376">
        <f ca="1">SUMIF($C$276:$C$295,'Tech Parameters'!O229,K$276:K$295)+SUMIF($C$321:$C$340,'Tech Parameters'!O179,K$321:K$340)</f>
        <v>0</v>
      </c>
      <c r="L376">
        <f ca="1">SUMIF($C$276:$C$295,'Tech Parameters'!P229,L$276:L$295)+SUMIF($C$321:$C$340,'Tech Parameters'!P179,L$321:L$340)</f>
        <v>0</v>
      </c>
      <c r="M376">
        <f ca="1">SUMIF($C$276:$C$295,'Tech Parameters'!Q229,M$276:M$295)+SUMIF($C$321:$C$340,'Tech Parameters'!Q179,M$321:M$340)</f>
        <v>0</v>
      </c>
      <c r="N376">
        <f ca="1">SUMIF($C$276:$C$295,'Tech Parameters'!R229,N$276:N$295)+SUMIF($C$321:$C$340,'Tech Parameters'!R179,N$321:N$340)</f>
        <v>0</v>
      </c>
      <c r="O376">
        <f ca="1">SUMIF($C$276:$C$295,'Tech Parameters'!S229,O$276:O$295)+SUMIF($C$321:$C$340,'Tech Parameters'!S179,O$321:O$340)</f>
        <v>0</v>
      </c>
      <c r="P376">
        <f ca="1">SUMIF($C$276:$C$295,'Tech Parameters'!T229,P$276:P$295)+SUMIF($C$321:$C$340,'Tech Parameters'!T179,P$321:P$340)</f>
        <v>0</v>
      </c>
      <c r="Q376">
        <f ca="1">SUMIF($C$276:$C$295,'Tech Parameters'!U229,Q$276:Q$295)+SUMIF($C$321:$C$340,'Tech Parameters'!U179,Q$321:Q$340)</f>
        <v>0</v>
      </c>
      <c r="R376">
        <f ca="1">SUMIF($C$276:$C$295,'Tech Parameters'!V229,R$276:R$295)+SUMIF($C$321:$C$340,'Tech Parameters'!V179,R$321:R$340)</f>
        <v>0</v>
      </c>
      <c r="S376">
        <f ca="1">SUMIF($C$276:$C$295,'Tech Parameters'!W229,S$276:S$295)+SUMIF($C$321:$C$340,'Tech Parameters'!W179,S$321:S$340)</f>
        <v>0</v>
      </c>
      <c r="T376">
        <f ca="1">SUMIF($C$276:$C$295,'Tech Parameters'!X229,T$276:T$295)+SUMIF($C$321:$C$340,'Tech Parameters'!X179,T$321:T$340)</f>
        <v>0</v>
      </c>
      <c r="U376">
        <f ca="1">SUMIF($C$276:$C$295,'Tech Parameters'!Y229,U$276:U$295)+SUMIF($C$321:$C$340,'Tech Parameters'!Y179,U$321:U$340)</f>
        <v>2190</v>
      </c>
      <c r="V376">
        <f ca="1">SUMIF($C$276:$C$295,'Tech Parameters'!Z229,V$276:V$295)+SUMIF($C$321:$C$340,'Tech Parameters'!Z179,V$321:V$340)</f>
        <v>4380</v>
      </c>
      <c r="W376">
        <f ca="1">SUMIF($C$276:$C$295,'Tech Parameters'!AA229,W$276:W$295)+SUMIF($C$321:$C$340,'Tech Parameters'!AA179,W$321:W$340)</f>
        <v>6570</v>
      </c>
      <c r="X376">
        <f ca="1">SUMIF($C$276:$C$295,'Tech Parameters'!AB229,X$276:X$295)+SUMIF($C$321:$C$340,'Tech Parameters'!AB179,X$321:X$340)</f>
        <v>8760</v>
      </c>
      <c r="Y376">
        <f ca="1">SUMIF($C$276:$C$295,'Tech Parameters'!AC229,Y$276:Y$295)+SUMIF($C$321:$C$340,'Tech Parameters'!AC179,Y$321:Y$340)</f>
        <v>10950</v>
      </c>
      <c r="Z376">
        <f ca="1">SUMIF($C$276:$C$295,'Tech Parameters'!AD229,Z$276:Z$295)+SUMIF($C$321:$C$340,'Tech Parameters'!AD179,Z$321:Z$340)</f>
        <v>13140</v>
      </c>
      <c r="AA376">
        <f ca="1">SUMIF($C$276:$C$295,'Tech Parameters'!AE229,AA$276:AA$295)+SUMIF($C$321:$C$340,'Tech Parameters'!AE179,AA$321:AA$340)</f>
        <v>15330</v>
      </c>
      <c r="AB376">
        <f ca="1">SUMIF($C$276:$C$295,'Tech Parameters'!AF229,AB$276:AB$295)+SUMIF($C$321:$C$340,'Tech Parameters'!AF179,AB$321:AB$340)</f>
        <v>17520</v>
      </c>
      <c r="AC376">
        <f ca="1">SUMIF($C$276:$C$295,'Tech Parameters'!AG229,AC$276:AC$295)+SUMIF($C$321:$C$340,'Tech Parameters'!AG179,AC$321:AC$340)</f>
        <v>19710</v>
      </c>
      <c r="AD376" s="76">
        <f t="shared" ca="1" si="70"/>
        <v>19710</v>
      </c>
      <c r="AE376" s="76">
        <f t="shared" ca="1" si="68"/>
        <v>19710</v>
      </c>
      <c r="AF376" s="76">
        <f t="shared" ca="1" si="68"/>
        <v>19710</v>
      </c>
      <c r="AG376" s="76">
        <f t="shared" ca="1" si="68"/>
        <v>19710</v>
      </c>
      <c r="AH376" s="76">
        <f t="shared" ca="1" si="68"/>
        <v>19710</v>
      </c>
      <c r="AI376" s="76">
        <f t="shared" ca="1" si="68"/>
        <v>19710</v>
      </c>
      <c r="AJ376" s="76">
        <f t="shared" ca="1" si="68"/>
        <v>19710</v>
      </c>
      <c r="AK376" s="76">
        <f t="shared" ca="1" si="68"/>
        <v>19710</v>
      </c>
      <c r="AL376" s="76">
        <f t="shared" ca="1" si="68"/>
        <v>19710</v>
      </c>
      <c r="AM376" s="76">
        <f t="shared" ca="1" si="68"/>
        <v>19710</v>
      </c>
      <c r="AN376" s="76">
        <f t="shared" ca="1" si="68"/>
        <v>19710</v>
      </c>
      <c r="AO376" s="76">
        <f t="shared" ca="1" si="68"/>
        <v>19710</v>
      </c>
      <c r="AP376" s="76">
        <f t="shared" ca="1" si="68"/>
        <v>19710</v>
      </c>
      <c r="AQ376" s="76">
        <f t="shared" ca="1" si="68"/>
        <v>19710</v>
      </c>
      <c r="AR376" s="76">
        <f t="shared" ca="1" si="68"/>
        <v>19710</v>
      </c>
      <c r="AS376" s="76">
        <f t="shared" ca="1" si="68"/>
        <v>19710</v>
      </c>
      <c r="AT376" s="76">
        <f t="shared" ca="1" si="68"/>
        <v>19710</v>
      </c>
      <c r="AU376" s="76">
        <f t="shared" ca="1" si="68"/>
        <v>19710</v>
      </c>
      <c r="AV376" s="76">
        <f t="shared" ca="1" si="68"/>
        <v>19710</v>
      </c>
      <c r="AW376" s="76">
        <f t="shared" ca="1" si="68"/>
        <v>19710</v>
      </c>
    </row>
    <row r="377" spans="3:49">
      <c r="C377" t="str">
        <f t="shared" si="66"/>
        <v>solar thermal central reciever</v>
      </c>
      <c r="D377" s="21">
        <f>SUMIF($C$276:$C$295,'Tech Parameters'!H230,D$276:D$295)+SUMIF($C$321:$C$340,'Tech Parameters'!H180,D$321:D$340)</f>
        <v>0</v>
      </c>
      <c r="E377" s="21">
        <f>SUMIF($C$276:$C$295,'Tech Parameters'!I230,E$276:E$295)+SUMIF($C$321:$C$340,'Tech Parameters'!I180,E$321:E$340)</f>
        <v>0</v>
      </c>
      <c r="F377" s="21">
        <f>SUMIF($C$276:$C$295,'Tech Parameters'!J230,F$276:F$295)+SUMIF($C$321:$C$340,'Tech Parameters'!J180,F$321:F$340)</f>
        <v>0</v>
      </c>
      <c r="G377" s="21">
        <f>SUMIF($C$276:$C$295,'Tech Parameters'!K230,G$276:G$295)+SUMIF($C$321:$C$340,'Tech Parameters'!K180,G$321:G$340)</f>
        <v>0</v>
      </c>
      <c r="H377" s="21">
        <f>SUMIF($C$276:$C$295,'Tech Parameters'!L230,H$276:H$295)+SUMIF($C$321:$C$340,'Tech Parameters'!L180,H$321:H$340)</f>
        <v>0</v>
      </c>
      <c r="I377" s="21">
        <f ca="1">SUMIF($C$276:$C$295,'Tech Parameters'!M230,I$276:I$295)+SUMIF($C$321:$C$340,'Tech Parameters'!M180,I$321:I$340)</f>
        <v>0</v>
      </c>
      <c r="J377">
        <f ca="1">SUMIF($C$276:$C$295,'Tech Parameters'!N230,J$276:J$295)+SUMIF($C$321:$C$340,'Tech Parameters'!N180,J$321:J$340)</f>
        <v>0</v>
      </c>
      <c r="K377">
        <f ca="1">SUMIF($C$276:$C$295,'Tech Parameters'!O230,K$276:K$295)+SUMIF($C$321:$C$340,'Tech Parameters'!O180,K$321:K$340)</f>
        <v>0</v>
      </c>
      <c r="L377">
        <f ca="1">SUMIF($C$276:$C$295,'Tech Parameters'!P230,L$276:L$295)+SUMIF($C$321:$C$340,'Tech Parameters'!P180,L$321:L$340)</f>
        <v>0</v>
      </c>
      <c r="M377">
        <f ca="1">SUMIF($C$276:$C$295,'Tech Parameters'!Q230,M$276:M$295)+SUMIF($C$321:$C$340,'Tech Parameters'!Q180,M$321:M$340)</f>
        <v>0</v>
      </c>
      <c r="N377">
        <f ca="1">SUMIF($C$276:$C$295,'Tech Parameters'!R230,N$276:N$295)+SUMIF($C$321:$C$340,'Tech Parameters'!R180,N$321:N$340)</f>
        <v>525.6</v>
      </c>
      <c r="O377">
        <f ca="1">SUMIF($C$276:$C$295,'Tech Parameters'!S230,O$276:O$295)+SUMIF($C$321:$C$340,'Tech Parameters'!S180,O$321:O$340)</f>
        <v>1576.8000000000002</v>
      </c>
      <c r="P377">
        <f ca="1">SUMIF($C$276:$C$295,'Tech Parameters'!T230,P$276:P$295)+SUMIF($C$321:$C$340,'Tech Parameters'!T180,P$321:P$340)</f>
        <v>3679.2000000000003</v>
      </c>
      <c r="Q377">
        <f ca="1">SUMIF($C$276:$C$295,'Tech Parameters'!U230,Q$276:Q$295)+SUMIF($C$321:$C$340,'Tech Parameters'!U180,Q$321:Q$340)</f>
        <v>7883.9999999999991</v>
      </c>
      <c r="R377">
        <f ca="1">SUMIF($C$276:$C$295,'Tech Parameters'!V230,R$276:R$295)+SUMIF($C$321:$C$340,'Tech Parameters'!V180,R$321:R$340)</f>
        <v>14191.2</v>
      </c>
      <c r="S377">
        <f ca="1">SUMIF($C$276:$C$295,'Tech Parameters'!W230,S$276:S$295)+SUMIF($C$321:$C$340,'Tech Parameters'!W180,S$321:S$340)</f>
        <v>22600.800000000003</v>
      </c>
      <c r="T377">
        <f ca="1">SUMIF($C$276:$C$295,'Tech Parameters'!X230,T$276:T$295)+SUMIF($C$321:$C$340,'Tech Parameters'!X180,T$321:T$340)</f>
        <v>33112.800000000003</v>
      </c>
      <c r="U377">
        <f ca="1">SUMIF($C$276:$C$295,'Tech Parameters'!Y230,U$276:U$295)+SUMIF($C$321:$C$340,'Tech Parameters'!Y180,U$321:U$340)</f>
        <v>43624.800000000003</v>
      </c>
      <c r="V377">
        <f ca="1">SUMIF($C$276:$C$295,'Tech Parameters'!Z230,V$276:V$295)+SUMIF($C$321:$C$340,'Tech Parameters'!Z180,V$321:V$340)</f>
        <v>59392.800000000003</v>
      </c>
      <c r="W377">
        <f ca="1">SUMIF($C$276:$C$295,'Tech Parameters'!AA230,W$276:W$295)+SUMIF($C$321:$C$340,'Tech Parameters'!AA180,W$321:W$340)</f>
        <v>75160.800000000003</v>
      </c>
      <c r="X377">
        <f ca="1">SUMIF($C$276:$C$295,'Tech Parameters'!AB230,X$276:X$295)+SUMIF($C$321:$C$340,'Tech Parameters'!AB180,X$321:X$340)</f>
        <v>90928.8</v>
      </c>
      <c r="Y377">
        <f ca="1">SUMIF($C$276:$C$295,'Tech Parameters'!AC230,Y$276:Y$295)+SUMIF($C$321:$C$340,'Tech Parameters'!AC180,Y$321:Y$340)</f>
        <v>106696.8</v>
      </c>
      <c r="Z377">
        <f ca="1">SUMIF($C$276:$C$295,'Tech Parameters'!AD230,Z$276:Z$295)+SUMIF($C$321:$C$340,'Tech Parameters'!AD180,Z$321:Z$340)</f>
        <v>122464.8</v>
      </c>
      <c r="AA377">
        <f ca="1">SUMIF($C$276:$C$295,'Tech Parameters'!AE230,AA$276:AA$295)+SUMIF($C$321:$C$340,'Tech Parameters'!AE180,AA$321:AA$340)</f>
        <v>138232.79999999999</v>
      </c>
      <c r="AB377">
        <f ca="1">SUMIF($C$276:$C$295,'Tech Parameters'!AF230,AB$276:AB$295)+SUMIF($C$321:$C$340,'Tech Parameters'!AF180,AB$321:AB$340)</f>
        <v>154000.79999999999</v>
      </c>
      <c r="AC377">
        <f ca="1">SUMIF($C$276:$C$295,'Tech Parameters'!AG230,AC$276:AC$295)+SUMIF($C$321:$C$340,'Tech Parameters'!AG180,AC$321:AC$340)</f>
        <v>169768.8</v>
      </c>
      <c r="AD377" s="76">
        <f t="shared" ca="1" si="70"/>
        <v>169768.8</v>
      </c>
      <c r="AE377" s="76">
        <f t="shared" ca="1" si="68"/>
        <v>169768.8</v>
      </c>
      <c r="AF377" s="76">
        <f t="shared" ca="1" si="68"/>
        <v>169768.8</v>
      </c>
      <c r="AG377" s="76">
        <f t="shared" ca="1" si="68"/>
        <v>169768.8</v>
      </c>
      <c r="AH377" s="76">
        <f t="shared" ca="1" si="68"/>
        <v>169768.8</v>
      </c>
      <c r="AI377" s="76">
        <f t="shared" ca="1" si="68"/>
        <v>169768.8</v>
      </c>
      <c r="AJ377" s="76">
        <f t="shared" ca="1" si="68"/>
        <v>169768.8</v>
      </c>
      <c r="AK377" s="76">
        <f t="shared" ca="1" si="68"/>
        <v>169768.8</v>
      </c>
      <c r="AL377" s="76">
        <f t="shared" ca="1" si="68"/>
        <v>169768.8</v>
      </c>
      <c r="AM377" s="76">
        <f t="shared" ca="1" si="68"/>
        <v>169768.8</v>
      </c>
      <c r="AN377" s="76">
        <f t="shared" ca="1" si="68"/>
        <v>169768.8</v>
      </c>
      <c r="AO377" s="76">
        <f t="shared" ca="1" si="68"/>
        <v>169768.8</v>
      </c>
      <c r="AP377" s="76">
        <f t="shared" ca="1" si="68"/>
        <v>169768.8</v>
      </c>
      <c r="AQ377" s="76">
        <f t="shared" ca="1" si="68"/>
        <v>169768.8</v>
      </c>
      <c r="AR377" s="76">
        <f t="shared" ca="1" si="68"/>
        <v>169768.8</v>
      </c>
      <c r="AS377" s="76">
        <f t="shared" ca="1" si="68"/>
        <v>169768.8</v>
      </c>
      <c r="AT377" s="76">
        <f t="shared" ca="1" si="68"/>
        <v>169768.8</v>
      </c>
      <c r="AU377" s="76">
        <f t="shared" ca="1" si="68"/>
        <v>169768.8</v>
      </c>
      <c r="AV377" s="76">
        <f t="shared" ca="1" si="68"/>
        <v>169768.8</v>
      </c>
      <c r="AW377" s="76">
        <f t="shared" ca="1" si="68"/>
        <v>169768.8</v>
      </c>
    </row>
    <row r="378" spans="3:49">
      <c r="C378" t="str">
        <f t="shared" si="66"/>
        <v>solar thermal trough</v>
      </c>
      <c r="D378" s="21">
        <f>SUMIF($C$276:$C$295,'Tech Parameters'!H231,D$276:D$295)+SUMIF($C$321:$C$340,'Tech Parameters'!H181,D$321:D$340)</f>
        <v>0</v>
      </c>
      <c r="E378" s="21">
        <f>SUMIF($C$276:$C$295,'Tech Parameters'!I231,E$276:E$295)+SUMIF($C$321:$C$340,'Tech Parameters'!I181,E$321:E$340)</f>
        <v>0</v>
      </c>
      <c r="F378" s="21">
        <f>SUMIF($C$276:$C$295,'Tech Parameters'!J231,F$276:F$295)+SUMIF($C$321:$C$340,'Tech Parameters'!J181,F$321:F$340)</f>
        <v>0</v>
      </c>
      <c r="G378" s="21">
        <f>SUMIF($C$276:$C$295,'Tech Parameters'!K231,G$276:G$295)+SUMIF($C$321:$C$340,'Tech Parameters'!K181,G$321:G$340)</f>
        <v>0</v>
      </c>
      <c r="H378" s="21">
        <f>SUMIF($C$276:$C$295,'Tech Parameters'!L231,H$276:H$295)+SUMIF($C$321:$C$340,'Tech Parameters'!L181,H$321:H$340)</f>
        <v>0</v>
      </c>
      <c r="I378" s="21">
        <f ca="1">SUMIF($C$276:$C$295,'Tech Parameters'!M231,I$276:I$295)+SUMIF($C$321:$C$340,'Tech Parameters'!M181,I$321:I$340)</f>
        <v>0</v>
      </c>
      <c r="J378">
        <f ca="1">SUMIF($C$276:$C$295,'Tech Parameters'!N231,J$276:J$295)+SUMIF($C$321:$C$340,'Tech Parameters'!N181,J$321:J$340)</f>
        <v>0</v>
      </c>
      <c r="K378">
        <f ca="1">SUMIF($C$276:$C$295,'Tech Parameters'!O231,K$276:K$295)+SUMIF($C$321:$C$340,'Tech Parameters'!O181,K$321:K$340)</f>
        <v>0</v>
      </c>
      <c r="L378">
        <f ca="1">SUMIF($C$276:$C$295,'Tech Parameters'!P231,L$276:L$295)+SUMIF($C$321:$C$340,'Tech Parameters'!P181,L$321:L$340)</f>
        <v>0</v>
      </c>
      <c r="M378">
        <f ca="1">SUMIF($C$276:$C$295,'Tech Parameters'!Q231,M$276:M$295)+SUMIF($C$321:$C$340,'Tech Parameters'!Q181,M$321:M$340)</f>
        <v>0</v>
      </c>
      <c r="N378">
        <f ca="1">SUMIF($C$276:$C$295,'Tech Parameters'!R231,N$276:N$295)+SUMIF($C$321:$C$340,'Tech Parameters'!R181,N$321:N$340)</f>
        <v>0</v>
      </c>
      <c r="O378">
        <f ca="1">SUMIF($C$276:$C$295,'Tech Parameters'!S231,O$276:O$295)+SUMIF($C$321:$C$340,'Tech Parameters'!S181,O$321:O$340)</f>
        <v>0</v>
      </c>
      <c r="P378">
        <f ca="1">SUMIF($C$276:$C$295,'Tech Parameters'!T231,P$276:P$295)+SUMIF($C$321:$C$340,'Tech Parameters'!T181,P$321:P$340)</f>
        <v>0</v>
      </c>
      <c r="Q378">
        <f ca="1">SUMIF($C$276:$C$295,'Tech Parameters'!U231,Q$276:Q$295)+SUMIF($C$321:$C$340,'Tech Parameters'!U181,Q$321:Q$340)</f>
        <v>0</v>
      </c>
      <c r="R378">
        <f ca="1">SUMIF($C$276:$C$295,'Tech Parameters'!V231,R$276:R$295)+SUMIF($C$321:$C$340,'Tech Parameters'!V181,R$321:R$340)</f>
        <v>0</v>
      </c>
      <c r="S378">
        <f ca="1">SUMIF($C$276:$C$295,'Tech Parameters'!W231,S$276:S$295)+SUMIF($C$321:$C$340,'Tech Parameters'!W181,S$321:S$340)</f>
        <v>0</v>
      </c>
      <c r="T378">
        <f ca="1">SUMIF($C$276:$C$295,'Tech Parameters'!X231,T$276:T$295)+SUMIF($C$321:$C$340,'Tech Parameters'!X181,T$321:T$340)</f>
        <v>0</v>
      </c>
      <c r="U378">
        <f ca="1">SUMIF($C$276:$C$295,'Tech Parameters'!Y231,U$276:U$295)+SUMIF($C$321:$C$340,'Tech Parameters'!Y181,U$321:U$340)</f>
        <v>0</v>
      </c>
      <c r="V378">
        <f ca="1">SUMIF($C$276:$C$295,'Tech Parameters'!Z231,V$276:V$295)+SUMIF($C$321:$C$340,'Tech Parameters'!Z181,V$321:V$340)</f>
        <v>0</v>
      </c>
      <c r="W378">
        <f ca="1">SUMIF($C$276:$C$295,'Tech Parameters'!AA231,W$276:W$295)+SUMIF($C$321:$C$340,'Tech Parameters'!AA181,W$321:W$340)</f>
        <v>0</v>
      </c>
      <c r="X378">
        <f ca="1">SUMIF($C$276:$C$295,'Tech Parameters'!AB231,X$276:X$295)+SUMIF($C$321:$C$340,'Tech Parameters'!AB181,X$321:X$340)</f>
        <v>0</v>
      </c>
      <c r="Y378">
        <f ca="1">SUMIF($C$276:$C$295,'Tech Parameters'!AC231,Y$276:Y$295)+SUMIF($C$321:$C$340,'Tech Parameters'!AC181,Y$321:Y$340)</f>
        <v>0</v>
      </c>
      <c r="Z378">
        <f ca="1">SUMIF($C$276:$C$295,'Tech Parameters'!AD231,Z$276:Z$295)+SUMIF($C$321:$C$340,'Tech Parameters'!AD181,Z$321:Z$340)</f>
        <v>0</v>
      </c>
      <c r="AA378">
        <f ca="1">SUMIF($C$276:$C$295,'Tech Parameters'!AE231,AA$276:AA$295)+SUMIF($C$321:$C$340,'Tech Parameters'!AE181,AA$321:AA$340)</f>
        <v>0</v>
      </c>
      <c r="AB378">
        <f ca="1">SUMIF($C$276:$C$295,'Tech Parameters'!AF231,AB$276:AB$295)+SUMIF($C$321:$C$340,'Tech Parameters'!AF181,AB$321:AB$340)</f>
        <v>0</v>
      </c>
      <c r="AC378">
        <f ca="1">SUMIF($C$276:$C$295,'Tech Parameters'!AG231,AC$276:AC$295)+SUMIF($C$321:$C$340,'Tech Parameters'!AG181,AC$321:AC$340)</f>
        <v>0</v>
      </c>
      <c r="AD378" s="76">
        <f t="shared" ca="1" si="70"/>
        <v>0</v>
      </c>
      <c r="AE378" s="76">
        <f t="shared" ca="1" si="68"/>
        <v>0</v>
      </c>
      <c r="AF378" s="76">
        <f t="shared" ca="1" si="68"/>
        <v>0</v>
      </c>
      <c r="AG378" s="76">
        <f t="shared" ca="1" si="68"/>
        <v>0</v>
      </c>
      <c r="AH378" s="76">
        <f t="shared" ca="1" si="68"/>
        <v>0</v>
      </c>
      <c r="AI378" s="76">
        <f t="shared" ca="1" si="68"/>
        <v>0</v>
      </c>
      <c r="AJ378" s="76">
        <f t="shared" ca="1" si="68"/>
        <v>0</v>
      </c>
      <c r="AK378" s="76">
        <f t="shared" ca="1" si="68"/>
        <v>0</v>
      </c>
      <c r="AL378" s="76">
        <f t="shared" ca="1" si="68"/>
        <v>0</v>
      </c>
      <c r="AM378" s="76">
        <f t="shared" ca="1" si="68"/>
        <v>0</v>
      </c>
      <c r="AN378" s="76">
        <f t="shared" ca="1" si="68"/>
        <v>0</v>
      </c>
      <c r="AO378" s="76">
        <f t="shared" ca="1" si="68"/>
        <v>0</v>
      </c>
      <c r="AP378" s="76">
        <f t="shared" ca="1" si="68"/>
        <v>0</v>
      </c>
      <c r="AQ378" s="76">
        <f t="shared" ca="1" si="68"/>
        <v>0</v>
      </c>
      <c r="AR378" s="76">
        <f t="shared" ca="1" si="68"/>
        <v>0</v>
      </c>
      <c r="AS378" s="76">
        <f t="shared" ca="1" si="68"/>
        <v>0</v>
      </c>
      <c r="AT378" s="76">
        <f t="shared" ca="1" si="68"/>
        <v>0</v>
      </c>
      <c r="AU378" s="76">
        <f t="shared" ca="1" si="68"/>
        <v>0</v>
      </c>
      <c r="AV378" s="76">
        <f t="shared" ca="1" si="68"/>
        <v>0</v>
      </c>
      <c r="AW378" s="76">
        <f t="shared" ca="1" si="68"/>
        <v>0</v>
      </c>
    </row>
    <row r="379" spans="3:49">
      <c r="C379" t="str">
        <f t="shared" si="66"/>
        <v>solar PV</v>
      </c>
      <c r="D379" s="21">
        <f>SUMIF($C$276:$C$295,'Tech Parameters'!H232,D$276:D$295)+SUMIF($C$321:$C$340,'Tech Parameters'!H182,D$321:D$340)</f>
        <v>0</v>
      </c>
      <c r="E379" s="21">
        <f>SUMIF($C$276:$C$295,'Tech Parameters'!I232,E$276:E$295)+SUMIF($C$321:$C$340,'Tech Parameters'!I182,E$321:E$340)</f>
        <v>0</v>
      </c>
      <c r="F379" s="21">
        <f>SUMIF($C$276:$C$295,'Tech Parameters'!J232,F$276:F$295)+SUMIF($C$321:$C$340,'Tech Parameters'!J182,F$321:F$340)</f>
        <v>0</v>
      </c>
      <c r="G379" s="21">
        <f>SUMIF($C$276:$C$295,'Tech Parameters'!K232,G$276:G$295)+SUMIF($C$321:$C$340,'Tech Parameters'!K182,G$321:G$340)</f>
        <v>0</v>
      </c>
      <c r="H379" s="21">
        <f>SUMIF($C$276:$C$295,'Tech Parameters'!L232,H$276:H$295)+SUMIF($C$321:$C$340,'Tech Parameters'!L182,H$321:H$340)</f>
        <v>0</v>
      </c>
      <c r="I379" s="21">
        <f ca="1">SUMIF($C$276:$C$295,'Tech Parameters'!M232,I$276:I$295)+SUMIF($C$321:$C$340,'Tech Parameters'!M182,I$321:I$340)</f>
        <v>0</v>
      </c>
      <c r="J379">
        <f ca="1">SUMIF($C$276:$C$295,'Tech Parameters'!N232,J$276:J$295)+SUMIF($C$321:$C$340,'Tech Parameters'!N182,J$321:J$340)</f>
        <v>0</v>
      </c>
      <c r="K379">
        <f ca="1">SUMIF($C$276:$C$295,'Tech Parameters'!O232,K$276:K$295)+SUMIF($C$321:$C$340,'Tech Parameters'!O182,K$321:K$340)</f>
        <v>0</v>
      </c>
      <c r="L379">
        <f ca="1">SUMIF($C$276:$C$295,'Tech Parameters'!P232,L$276:L$295)+SUMIF($C$321:$C$340,'Tech Parameters'!P182,L$321:L$340)</f>
        <v>0</v>
      </c>
      <c r="M379">
        <f ca="1">SUMIF($C$276:$C$295,'Tech Parameters'!Q232,M$276:M$295)+SUMIF($C$321:$C$340,'Tech Parameters'!Q182,M$321:M$340)</f>
        <v>0</v>
      </c>
      <c r="N379">
        <f ca="1">SUMIF($C$276:$C$295,'Tech Parameters'!R232,N$276:N$295)+SUMIF($C$321:$C$340,'Tech Parameters'!R182,N$321:N$340)</f>
        <v>0</v>
      </c>
      <c r="O379">
        <f ca="1">SUMIF($C$276:$C$295,'Tech Parameters'!S232,O$276:O$295)+SUMIF($C$321:$C$340,'Tech Parameters'!S182,O$321:O$340)</f>
        <v>0</v>
      </c>
      <c r="P379">
        <f ca="1">SUMIF($C$276:$C$295,'Tech Parameters'!T232,P$276:P$295)+SUMIF($C$321:$C$340,'Tech Parameters'!T182,P$321:P$340)</f>
        <v>0</v>
      </c>
      <c r="Q379">
        <f ca="1">SUMIF($C$276:$C$295,'Tech Parameters'!U232,Q$276:Q$295)+SUMIF($C$321:$C$340,'Tech Parameters'!U182,Q$321:Q$340)</f>
        <v>0</v>
      </c>
      <c r="R379">
        <f ca="1">SUMIF($C$276:$C$295,'Tech Parameters'!V232,R$276:R$295)+SUMIF($C$321:$C$340,'Tech Parameters'!V182,R$321:R$340)</f>
        <v>0</v>
      </c>
      <c r="S379">
        <f ca="1">SUMIF($C$276:$C$295,'Tech Parameters'!W232,S$276:S$295)+SUMIF($C$321:$C$340,'Tech Parameters'!W182,S$321:S$340)</f>
        <v>0</v>
      </c>
      <c r="T379">
        <f ca="1">SUMIF($C$276:$C$295,'Tech Parameters'!X232,T$276:T$295)+SUMIF($C$321:$C$340,'Tech Parameters'!X182,T$321:T$340)</f>
        <v>0</v>
      </c>
      <c r="U379">
        <f ca="1">SUMIF($C$276:$C$295,'Tech Parameters'!Y232,U$276:U$295)+SUMIF($C$321:$C$340,'Tech Parameters'!Y182,U$321:U$340)</f>
        <v>0</v>
      </c>
      <c r="V379">
        <f ca="1">SUMIF($C$276:$C$295,'Tech Parameters'!Z232,V$276:V$295)+SUMIF($C$321:$C$340,'Tech Parameters'!Z182,V$321:V$340)</f>
        <v>0</v>
      </c>
      <c r="W379">
        <f ca="1">SUMIF($C$276:$C$295,'Tech Parameters'!AA232,W$276:W$295)+SUMIF($C$321:$C$340,'Tech Parameters'!AA182,W$321:W$340)</f>
        <v>0</v>
      </c>
      <c r="X379">
        <f ca="1">SUMIF($C$276:$C$295,'Tech Parameters'!AB232,X$276:X$295)+SUMIF($C$321:$C$340,'Tech Parameters'!AB182,X$321:X$340)</f>
        <v>0</v>
      </c>
      <c r="Y379">
        <f ca="1">SUMIF($C$276:$C$295,'Tech Parameters'!AC232,Y$276:Y$295)+SUMIF($C$321:$C$340,'Tech Parameters'!AC182,Y$321:Y$340)</f>
        <v>0</v>
      </c>
      <c r="Z379">
        <f ca="1">SUMIF($C$276:$C$295,'Tech Parameters'!AD232,Z$276:Z$295)+SUMIF($C$321:$C$340,'Tech Parameters'!AD182,Z$321:Z$340)</f>
        <v>0</v>
      </c>
      <c r="AA379">
        <f ca="1">SUMIF($C$276:$C$295,'Tech Parameters'!AE232,AA$276:AA$295)+SUMIF($C$321:$C$340,'Tech Parameters'!AE182,AA$321:AA$340)</f>
        <v>0</v>
      </c>
      <c r="AB379">
        <f ca="1">SUMIF($C$276:$C$295,'Tech Parameters'!AF232,AB$276:AB$295)+SUMIF($C$321:$C$340,'Tech Parameters'!AF182,AB$321:AB$340)</f>
        <v>0</v>
      </c>
      <c r="AC379">
        <f ca="1">SUMIF($C$276:$C$295,'Tech Parameters'!AG232,AC$276:AC$295)+SUMIF($C$321:$C$340,'Tech Parameters'!AG182,AC$321:AC$340)</f>
        <v>0</v>
      </c>
      <c r="AD379" s="76">
        <f t="shared" ca="1" si="70"/>
        <v>0</v>
      </c>
      <c r="AE379" s="76">
        <f t="shared" ca="1" si="68"/>
        <v>0</v>
      </c>
      <c r="AF379" s="76">
        <f t="shared" ca="1" si="68"/>
        <v>0</v>
      </c>
      <c r="AG379" s="76">
        <f t="shared" ca="1" si="68"/>
        <v>0</v>
      </c>
      <c r="AH379" s="76">
        <f t="shared" ca="1" si="68"/>
        <v>0</v>
      </c>
      <c r="AI379" s="76">
        <f t="shared" ca="1" si="68"/>
        <v>0</v>
      </c>
      <c r="AJ379" s="76">
        <f t="shared" ca="1" si="68"/>
        <v>0</v>
      </c>
      <c r="AK379" s="76">
        <f t="shared" ca="1" si="68"/>
        <v>0</v>
      </c>
      <c r="AL379" s="76">
        <f t="shared" ca="1" si="68"/>
        <v>0</v>
      </c>
      <c r="AM379" s="76">
        <f t="shared" ca="1" si="68"/>
        <v>0</v>
      </c>
      <c r="AN379" s="76">
        <f t="shared" ca="1" si="68"/>
        <v>0</v>
      </c>
      <c r="AO379" s="76">
        <f t="shared" ca="1" si="68"/>
        <v>0</v>
      </c>
      <c r="AP379" s="76">
        <f t="shared" ca="1" si="68"/>
        <v>0</v>
      </c>
      <c r="AQ379" s="76">
        <f t="shared" ca="1" si="68"/>
        <v>0</v>
      </c>
      <c r="AR379" s="76">
        <f t="shared" ca="1" si="68"/>
        <v>0</v>
      </c>
      <c r="AS379" s="76">
        <f t="shared" ca="1" si="68"/>
        <v>0</v>
      </c>
      <c r="AT379" s="76">
        <f t="shared" ca="1" si="68"/>
        <v>0</v>
      </c>
      <c r="AU379" s="76">
        <f t="shared" ca="1" si="68"/>
        <v>0</v>
      </c>
      <c r="AV379" s="76">
        <f t="shared" ca="1" si="68"/>
        <v>0</v>
      </c>
      <c r="AW379" s="76">
        <f t="shared" ca="1" si="68"/>
        <v>0</v>
      </c>
    </row>
    <row r="380" spans="3:49">
      <c r="C380" t="str">
        <f t="shared" si="66"/>
        <v>combined cycle gas</v>
      </c>
      <c r="D380" s="21">
        <f>SUMIF($C$276:$C$295,'Tech Parameters'!H233,D$276:D$295)+SUMIF($C$321:$C$340,'Tech Parameters'!H183,D$321:D$340)</f>
        <v>0</v>
      </c>
      <c r="E380" s="21">
        <f>SUMIF($C$276:$C$295,'Tech Parameters'!I233,E$276:E$295)+SUMIF($C$321:$C$340,'Tech Parameters'!I183,E$321:E$340)</f>
        <v>0</v>
      </c>
      <c r="F380" s="21">
        <f>SUMIF($C$276:$C$295,'Tech Parameters'!J233,F$276:F$295)+SUMIF($C$321:$C$340,'Tech Parameters'!J183,F$321:F$340)</f>
        <v>0</v>
      </c>
      <c r="G380" s="21">
        <f>SUMIF($C$276:$C$295,'Tech Parameters'!K233,G$276:G$295)+SUMIF($C$321:$C$340,'Tech Parameters'!K183,G$321:G$340)</f>
        <v>0</v>
      </c>
      <c r="H380" s="21">
        <f>SUMIF($C$276:$C$295,'Tech Parameters'!L233,H$276:H$295)+SUMIF($C$321:$C$340,'Tech Parameters'!L183,H$321:H$340)</f>
        <v>0</v>
      </c>
      <c r="I380" s="21">
        <f ca="1">SUMIF($C$276:$C$295,'Tech Parameters'!M233,I$276:I$295)+SUMIF($C$321:$C$340,'Tech Parameters'!M183,I$321:I$340)</f>
        <v>0</v>
      </c>
      <c r="J380">
        <f ca="1">SUMIF($C$276:$C$295,'Tech Parameters'!N233,J$276:J$295)+SUMIF($C$321:$C$340,'Tech Parameters'!N183,J$321:J$340)</f>
        <v>0</v>
      </c>
      <c r="K380">
        <f ca="1">SUMIF($C$276:$C$295,'Tech Parameters'!O233,K$276:K$295)+SUMIF($C$321:$C$340,'Tech Parameters'!O183,K$321:K$340)</f>
        <v>0</v>
      </c>
      <c r="L380">
        <f ca="1">SUMIF($C$276:$C$295,'Tech Parameters'!P233,L$276:L$295)+SUMIF($C$321:$C$340,'Tech Parameters'!P183,L$321:L$340)</f>
        <v>0</v>
      </c>
      <c r="M380">
        <f ca="1">SUMIF($C$276:$C$295,'Tech Parameters'!Q233,M$276:M$295)+SUMIF($C$321:$C$340,'Tech Parameters'!Q183,M$321:M$340)</f>
        <v>0</v>
      </c>
      <c r="N380">
        <f ca="1">SUMIF($C$276:$C$295,'Tech Parameters'!R233,N$276:N$295)+SUMIF($C$321:$C$340,'Tech Parameters'!R183,N$321:N$340)</f>
        <v>0</v>
      </c>
      <c r="O380">
        <f ca="1">SUMIF($C$276:$C$295,'Tech Parameters'!S233,O$276:O$295)+SUMIF($C$321:$C$340,'Tech Parameters'!S183,O$321:O$340)</f>
        <v>0</v>
      </c>
      <c r="P380">
        <f ca="1">SUMIF($C$276:$C$295,'Tech Parameters'!T233,P$276:P$295)+SUMIF($C$321:$C$340,'Tech Parameters'!T183,P$321:P$340)</f>
        <v>0</v>
      </c>
      <c r="Q380">
        <f ca="1">SUMIF($C$276:$C$295,'Tech Parameters'!U233,Q$276:Q$295)+SUMIF($C$321:$C$340,'Tech Parameters'!U183,Q$321:Q$340)</f>
        <v>0</v>
      </c>
      <c r="R380">
        <f ca="1">SUMIF($C$276:$C$295,'Tech Parameters'!V233,R$276:R$295)+SUMIF($C$321:$C$340,'Tech Parameters'!V183,R$321:R$340)</f>
        <v>0</v>
      </c>
      <c r="S380">
        <f ca="1">SUMIF($C$276:$C$295,'Tech Parameters'!W233,S$276:S$295)+SUMIF($C$321:$C$340,'Tech Parameters'!W183,S$321:S$340)</f>
        <v>0</v>
      </c>
      <c r="T380">
        <f ca="1">SUMIF($C$276:$C$295,'Tech Parameters'!X233,T$276:T$295)+SUMIF($C$321:$C$340,'Tech Parameters'!X183,T$321:T$340)</f>
        <v>0</v>
      </c>
      <c r="U380">
        <f ca="1">SUMIF($C$276:$C$295,'Tech Parameters'!Y233,U$276:U$295)+SUMIF($C$321:$C$340,'Tech Parameters'!Y183,U$321:U$340)</f>
        <v>0</v>
      </c>
      <c r="V380">
        <f ca="1">SUMIF($C$276:$C$295,'Tech Parameters'!Z233,V$276:V$295)+SUMIF($C$321:$C$340,'Tech Parameters'!Z183,V$321:V$340)</f>
        <v>0</v>
      </c>
      <c r="W380">
        <f ca="1">SUMIF($C$276:$C$295,'Tech Parameters'!AA233,W$276:W$295)+SUMIF($C$321:$C$340,'Tech Parameters'!AA183,W$321:W$340)</f>
        <v>0</v>
      </c>
      <c r="X380">
        <f ca="1">SUMIF($C$276:$C$295,'Tech Parameters'!AB233,X$276:X$295)+SUMIF($C$321:$C$340,'Tech Parameters'!AB183,X$321:X$340)</f>
        <v>0</v>
      </c>
      <c r="Y380">
        <f ca="1">SUMIF($C$276:$C$295,'Tech Parameters'!AC233,Y$276:Y$295)+SUMIF($C$321:$C$340,'Tech Parameters'!AC183,Y$321:Y$340)</f>
        <v>0</v>
      </c>
      <c r="Z380">
        <f ca="1">SUMIF($C$276:$C$295,'Tech Parameters'!AD233,Z$276:Z$295)+SUMIF($C$321:$C$340,'Tech Parameters'!AD183,Z$321:Z$340)</f>
        <v>3599.5097647058824</v>
      </c>
      <c r="AA380">
        <f ca="1">SUMIF($C$276:$C$295,'Tech Parameters'!AE233,AA$276:AA$295)+SUMIF($C$321:$C$340,'Tech Parameters'!AE183,AA$321:AA$340)</f>
        <v>8998.7744117647071</v>
      </c>
      <c r="AB380">
        <f ca="1">SUMIF($C$276:$C$295,'Tech Parameters'!AF233,AB$276:AB$295)+SUMIF($C$321:$C$340,'Tech Parameters'!AF183,AB$321:AB$340)</f>
        <v>14398.03905882353</v>
      </c>
      <c r="AC380">
        <f ca="1">SUMIF($C$276:$C$295,'Tech Parameters'!AG233,AC$276:AC$295)+SUMIF($C$321:$C$340,'Tech Parameters'!AG183,AC$321:AC$340)</f>
        <v>14398.03905882353</v>
      </c>
      <c r="AD380" s="76">
        <f t="shared" ca="1" si="70"/>
        <v>14398.03905882353</v>
      </c>
      <c r="AE380" s="76">
        <f t="shared" ca="1" si="68"/>
        <v>14398.03905882353</v>
      </c>
      <c r="AF380" s="76">
        <f t="shared" ca="1" si="68"/>
        <v>14398.03905882353</v>
      </c>
      <c r="AG380" s="76">
        <f t="shared" ca="1" si="68"/>
        <v>14398.03905882353</v>
      </c>
      <c r="AH380" s="76">
        <f t="shared" ca="1" si="68"/>
        <v>14398.03905882353</v>
      </c>
      <c r="AI380" s="76">
        <f t="shared" ca="1" si="68"/>
        <v>14398.03905882353</v>
      </c>
      <c r="AJ380" s="76">
        <f t="shared" ca="1" si="68"/>
        <v>14398.03905882353</v>
      </c>
      <c r="AK380" s="76">
        <f t="shared" ca="1" si="68"/>
        <v>14398.03905882353</v>
      </c>
      <c r="AL380" s="76">
        <f t="shared" ca="1" si="68"/>
        <v>14398.03905882353</v>
      </c>
      <c r="AM380" s="76">
        <f t="shared" ca="1" si="68"/>
        <v>14398.03905882353</v>
      </c>
      <c r="AN380" s="76">
        <f t="shared" ca="1" si="68"/>
        <v>14398.03905882353</v>
      </c>
      <c r="AO380" s="76">
        <f t="shared" ca="1" si="68"/>
        <v>14398.03905882353</v>
      </c>
      <c r="AP380" s="76">
        <f t="shared" ca="1" si="68"/>
        <v>14398.03905882353</v>
      </c>
      <c r="AQ380" s="76">
        <f t="shared" ca="1" si="68"/>
        <v>14398.03905882353</v>
      </c>
      <c r="AR380" s="76">
        <f t="shared" ca="1" si="68"/>
        <v>14398.03905882353</v>
      </c>
      <c r="AS380" s="76">
        <f t="shared" ca="1" si="68"/>
        <v>14398.03905882353</v>
      </c>
      <c r="AT380" s="76">
        <f t="shared" ca="1" si="68"/>
        <v>14398.03905882353</v>
      </c>
      <c r="AU380" s="76">
        <f t="shared" ca="1" si="68"/>
        <v>14398.03905882353</v>
      </c>
      <c r="AV380" s="76">
        <f t="shared" ca="1" si="68"/>
        <v>14398.03905882353</v>
      </c>
      <c r="AW380" s="76">
        <f t="shared" ca="1" si="68"/>
        <v>14398.03905882353</v>
      </c>
    </row>
    <row r="381" spans="3:49">
      <c r="C381" t="str">
        <f t="shared" si="66"/>
        <v>PBMR</v>
      </c>
      <c r="D381" s="21">
        <f>SUMIF($C$276:$C$295,'Tech Parameters'!H234,D$276:D$295)+SUMIF($C$321:$C$340,'Tech Parameters'!H184,D$321:D$340)</f>
        <v>0</v>
      </c>
      <c r="E381" s="21">
        <f>SUMIF($C$276:$C$295,'Tech Parameters'!I234,E$276:E$295)+SUMIF($C$321:$C$340,'Tech Parameters'!I184,E$321:E$340)</f>
        <v>0</v>
      </c>
      <c r="F381" s="21">
        <f>SUMIF($C$276:$C$295,'Tech Parameters'!J234,F$276:F$295)+SUMIF($C$321:$C$340,'Tech Parameters'!J184,F$321:F$340)</f>
        <v>0</v>
      </c>
      <c r="G381" s="21">
        <f>SUMIF($C$276:$C$295,'Tech Parameters'!K234,G$276:G$295)+SUMIF($C$321:$C$340,'Tech Parameters'!K184,G$321:G$340)</f>
        <v>0</v>
      </c>
      <c r="H381" s="21">
        <f>SUMIF($C$276:$C$295,'Tech Parameters'!L234,H$276:H$295)+SUMIF($C$321:$C$340,'Tech Parameters'!L184,H$321:H$340)</f>
        <v>0</v>
      </c>
      <c r="I381" s="21">
        <f ca="1">SUMIF($C$276:$C$295,'Tech Parameters'!M234,I$276:I$295)+SUMIF($C$321:$C$340,'Tech Parameters'!M184,I$321:I$340)</f>
        <v>0</v>
      </c>
      <c r="J381">
        <f ca="1">SUMIF($C$276:$C$295,'Tech Parameters'!N234,J$276:J$295)+SUMIF($C$321:$C$340,'Tech Parameters'!N184,J$321:J$340)</f>
        <v>0</v>
      </c>
      <c r="K381">
        <f ca="1">SUMIF($C$276:$C$295,'Tech Parameters'!O234,K$276:K$295)+SUMIF($C$321:$C$340,'Tech Parameters'!O184,K$321:K$340)</f>
        <v>0</v>
      </c>
      <c r="L381">
        <f ca="1">SUMIF($C$276:$C$295,'Tech Parameters'!P234,L$276:L$295)+SUMIF($C$321:$C$340,'Tech Parameters'!P184,L$321:L$340)</f>
        <v>0</v>
      </c>
      <c r="M381">
        <f ca="1">SUMIF($C$276:$C$295,'Tech Parameters'!Q234,M$276:M$295)+SUMIF($C$321:$C$340,'Tech Parameters'!Q184,M$321:M$340)</f>
        <v>0</v>
      </c>
      <c r="N381">
        <f ca="1">SUMIF($C$276:$C$295,'Tech Parameters'!R234,N$276:N$295)+SUMIF($C$321:$C$340,'Tech Parameters'!R184,N$321:N$340)</f>
        <v>0</v>
      </c>
      <c r="O381">
        <f ca="1">SUMIF($C$276:$C$295,'Tech Parameters'!S234,O$276:O$295)+SUMIF($C$321:$C$340,'Tech Parameters'!S184,O$321:O$340)</f>
        <v>0</v>
      </c>
      <c r="P381">
        <f ca="1">SUMIF($C$276:$C$295,'Tech Parameters'!T234,P$276:P$295)+SUMIF($C$321:$C$340,'Tech Parameters'!T184,P$321:P$340)</f>
        <v>0</v>
      </c>
      <c r="Q381">
        <f ca="1">SUMIF($C$276:$C$295,'Tech Parameters'!U234,Q$276:Q$295)+SUMIF($C$321:$C$340,'Tech Parameters'!U184,Q$321:Q$340)</f>
        <v>0</v>
      </c>
      <c r="R381">
        <f ca="1">SUMIF($C$276:$C$295,'Tech Parameters'!V234,R$276:R$295)+SUMIF($C$321:$C$340,'Tech Parameters'!V184,R$321:R$340)</f>
        <v>0</v>
      </c>
      <c r="S381">
        <f ca="1">SUMIF($C$276:$C$295,'Tech Parameters'!W234,S$276:S$295)+SUMIF($C$321:$C$340,'Tech Parameters'!W184,S$321:S$340)</f>
        <v>0</v>
      </c>
      <c r="T381">
        <f ca="1">SUMIF($C$276:$C$295,'Tech Parameters'!X234,T$276:T$295)+SUMIF($C$321:$C$340,'Tech Parameters'!X184,T$321:T$340)</f>
        <v>0</v>
      </c>
      <c r="U381">
        <f ca="1">SUMIF($C$276:$C$295,'Tech Parameters'!Y234,U$276:U$295)+SUMIF($C$321:$C$340,'Tech Parameters'!Y184,U$321:U$340)</f>
        <v>0</v>
      </c>
      <c r="V381">
        <f ca="1">SUMIF($C$276:$C$295,'Tech Parameters'!Z234,V$276:V$295)+SUMIF($C$321:$C$340,'Tech Parameters'!Z184,V$321:V$340)</f>
        <v>0</v>
      </c>
      <c r="W381">
        <f ca="1">SUMIF($C$276:$C$295,'Tech Parameters'!AA234,W$276:W$295)+SUMIF($C$321:$C$340,'Tech Parameters'!AA184,W$321:W$340)</f>
        <v>0</v>
      </c>
      <c r="X381">
        <f ca="1">SUMIF($C$276:$C$295,'Tech Parameters'!AB234,X$276:X$295)+SUMIF($C$321:$C$340,'Tech Parameters'!AB184,X$321:X$340)</f>
        <v>0</v>
      </c>
      <c r="Y381">
        <f ca="1">SUMIF($C$276:$C$295,'Tech Parameters'!AC234,Y$276:Y$295)+SUMIF($C$321:$C$340,'Tech Parameters'!AC184,Y$321:Y$340)</f>
        <v>0</v>
      </c>
      <c r="Z381">
        <f ca="1">SUMIF($C$276:$C$295,'Tech Parameters'!AD234,Z$276:Z$295)+SUMIF($C$321:$C$340,'Tech Parameters'!AD184,Z$321:Z$340)</f>
        <v>0</v>
      </c>
      <c r="AA381">
        <f ca="1">SUMIF($C$276:$C$295,'Tech Parameters'!AE234,AA$276:AA$295)+SUMIF($C$321:$C$340,'Tech Parameters'!AE184,AA$321:AA$340)</f>
        <v>0</v>
      </c>
      <c r="AB381">
        <f ca="1">SUMIF($C$276:$C$295,'Tech Parameters'!AF234,AB$276:AB$295)+SUMIF($C$321:$C$340,'Tech Parameters'!AF184,AB$321:AB$340)</f>
        <v>0</v>
      </c>
      <c r="AC381">
        <f ca="1">SUMIF($C$276:$C$295,'Tech Parameters'!AG234,AC$276:AC$295)+SUMIF($C$321:$C$340,'Tech Parameters'!AG184,AC$321:AC$340)</f>
        <v>0</v>
      </c>
      <c r="AD381" s="76">
        <f t="shared" ca="1" si="70"/>
        <v>0</v>
      </c>
      <c r="AE381" s="76">
        <f t="shared" ca="1" si="68"/>
        <v>0</v>
      </c>
      <c r="AF381" s="76">
        <f t="shared" ca="1" si="68"/>
        <v>0</v>
      </c>
      <c r="AG381" s="76">
        <f t="shared" ca="1" si="68"/>
        <v>0</v>
      </c>
      <c r="AH381" s="76">
        <f t="shared" ca="1" si="68"/>
        <v>0</v>
      </c>
      <c r="AI381" s="76">
        <f t="shared" ca="1" si="68"/>
        <v>0</v>
      </c>
      <c r="AJ381" s="76">
        <f t="shared" ca="1" si="68"/>
        <v>0</v>
      </c>
      <c r="AK381" s="76">
        <f t="shared" ca="1" si="68"/>
        <v>0</v>
      </c>
      <c r="AL381" s="76">
        <f t="shared" ca="1" si="68"/>
        <v>0</v>
      </c>
      <c r="AM381" s="76">
        <f t="shared" ca="1" si="68"/>
        <v>0</v>
      </c>
      <c r="AN381" s="76">
        <f t="shared" ca="1" si="68"/>
        <v>0</v>
      </c>
      <c r="AO381" s="76">
        <f t="shared" ca="1" si="68"/>
        <v>0</v>
      </c>
      <c r="AP381" s="76">
        <f t="shared" ca="1" si="68"/>
        <v>0</v>
      </c>
      <c r="AQ381" s="76">
        <f t="shared" ca="1" si="68"/>
        <v>0</v>
      </c>
      <c r="AR381" s="76">
        <f t="shared" ca="1" si="68"/>
        <v>0</v>
      </c>
      <c r="AS381" s="76">
        <f t="shared" ca="1" si="68"/>
        <v>0</v>
      </c>
      <c r="AT381" s="76">
        <f t="shared" ca="1" si="68"/>
        <v>0</v>
      </c>
      <c r="AU381" s="76">
        <f t="shared" ca="1" si="68"/>
        <v>0</v>
      </c>
      <c r="AV381" s="76">
        <f t="shared" ca="1" si="68"/>
        <v>0</v>
      </c>
      <c r="AW381" s="76">
        <f t="shared" ca="1" si="68"/>
        <v>0</v>
      </c>
    </row>
    <row r="382" spans="3:49">
      <c r="C382" t="str">
        <f t="shared" si="66"/>
        <v>IGCC</v>
      </c>
      <c r="D382" s="21">
        <f>SUMIF($C$276:$C$295,'Tech Parameters'!H235,D$276:D$295)+SUMIF($C$321:$C$340,'Tech Parameters'!H185,D$321:D$340)</f>
        <v>0</v>
      </c>
      <c r="E382" s="21">
        <f>SUMIF($C$276:$C$295,'Tech Parameters'!I235,E$276:E$295)+SUMIF($C$321:$C$340,'Tech Parameters'!I185,E$321:E$340)</f>
        <v>2.9103830456733704E-11</v>
      </c>
      <c r="F382" s="21">
        <f>SUMIF($C$276:$C$295,'Tech Parameters'!J235,F$276:F$295)+SUMIF($C$321:$C$340,'Tech Parameters'!J185,F$321:F$340)</f>
        <v>0</v>
      </c>
      <c r="G382" s="21">
        <f>SUMIF($C$276:$C$295,'Tech Parameters'!K235,G$276:G$295)+SUMIF($C$321:$C$340,'Tech Parameters'!K185,G$321:G$340)</f>
        <v>2.9103830456733704E-11</v>
      </c>
      <c r="H382" s="21">
        <f>SUMIF($C$276:$C$295,'Tech Parameters'!L235,H$276:H$295)+SUMIF($C$321:$C$340,'Tech Parameters'!L185,H$321:H$340)</f>
        <v>2.9103830456733704E-11</v>
      </c>
      <c r="I382" s="21">
        <f ca="1">SUMIF($C$276:$C$295,'Tech Parameters'!M235,I$276:I$295)+SUMIF($C$321:$C$340,'Tech Parameters'!M185,I$321:I$340)</f>
        <v>0</v>
      </c>
      <c r="J382">
        <f ca="1">SUMIF($C$276:$C$295,'Tech Parameters'!N235,J$276:J$295)+SUMIF($C$321:$C$340,'Tech Parameters'!N185,J$321:J$340)</f>
        <v>0</v>
      </c>
      <c r="K382">
        <f ca="1">SUMIF($C$276:$C$295,'Tech Parameters'!O235,K$276:K$295)+SUMIF($C$321:$C$340,'Tech Parameters'!O185,K$321:K$340)</f>
        <v>0</v>
      </c>
      <c r="L382">
        <f ca="1">SUMIF($C$276:$C$295,'Tech Parameters'!P235,L$276:L$295)+SUMIF($C$321:$C$340,'Tech Parameters'!P185,L$321:L$340)</f>
        <v>0</v>
      </c>
      <c r="M382">
        <f ca="1">SUMIF($C$276:$C$295,'Tech Parameters'!Q235,M$276:M$295)+SUMIF($C$321:$C$340,'Tech Parameters'!Q185,M$321:M$340)</f>
        <v>0</v>
      </c>
      <c r="N382">
        <f ca="1">SUMIF($C$276:$C$295,'Tech Parameters'!R235,N$276:N$295)+SUMIF($C$321:$C$340,'Tech Parameters'!R185,N$321:N$340)</f>
        <v>0</v>
      </c>
      <c r="O382">
        <f ca="1">SUMIF($C$276:$C$295,'Tech Parameters'!S235,O$276:O$295)+SUMIF($C$321:$C$340,'Tech Parameters'!S185,O$321:O$340)</f>
        <v>0</v>
      </c>
      <c r="P382">
        <f ca="1">SUMIF($C$276:$C$295,'Tech Parameters'!T235,P$276:P$295)+SUMIF($C$321:$C$340,'Tech Parameters'!T185,P$321:P$340)</f>
        <v>0</v>
      </c>
      <c r="Q382">
        <f ca="1">SUMIF($C$276:$C$295,'Tech Parameters'!U235,Q$276:Q$295)+SUMIF($C$321:$C$340,'Tech Parameters'!U185,Q$321:Q$340)</f>
        <v>0</v>
      </c>
      <c r="R382">
        <f ca="1">SUMIF($C$276:$C$295,'Tech Parameters'!V235,R$276:R$295)+SUMIF($C$321:$C$340,'Tech Parameters'!V185,R$321:R$340)</f>
        <v>0</v>
      </c>
      <c r="S382">
        <f ca="1">SUMIF($C$276:$C$295,'Tech Parameters'!W235,S$276:S$295)+SUMIF($C$321:$C$340,'Tech Parameters'!W185,S$321:S$340)</f>
        <v>0</v>
      </c>
      <c r="T382">
        <f ca="1">SUMIF($C$276:$C$295,'Tech Parameters'!X235,T$276:T$295)+SUMIF($C$321:$C$340,'Tech Parameters'!X185,T$321:T$340)</f>
        <v>0</v>
      </c>
      <c r="U382">
        <f ca="1">SUMIF($C$276:$C$295,'Tech Parameters'!Y235,U$276:U$295)+SUMIF($C$321:$C$340,'Tech Parameters'!Y185,U$321:U$340)</f>
        <v>0</v>
      </c>
      <c r="V382">
        <f ca="1">SUMIF($C$276:$C$295,'Tech Parameters'!Z235,V$276:V$295)+SUMIF($C$321:$C$340,'Tech Parameters'!Z185,V$321:V$340)</f>
        <v>0</v>
      </c>
      <c r="W382">
        <f ca="1">SUMIF($C$276:$C$295,'Tech Parameters'!AA235,W$276:W$295)+SUMIF($C$321:$C$340,'Tech Parameters'!AA185,W$321:W$340)</f>
        <v>0</v>
      </c>
      <c r="X382">
        <f ca="1">SUMIF($C$276:$C$295,'Tech Parameters'!AB235,X$276:X$295)+SUMIF($C$321:$C$340,'Tech Parameters'!AB185,X$321:X$340)</f>
        <v>0</v>
      </c>
      <c r="Y382">
        <f ca="1">SUMIF($C$276:$C$295,'Tech Parameters'!AC235,Y$276:Y$295)+SUMIF($C$321:$C$340,'Tech Parameters'!AC185,Y$321:Y$340)</f>
        <v>0</v>
      </c>
      <c r="Z382">
        <f ca="1">SUMIF($C$276:$C$295,'Tech Parameters'!AD235,Z$276:Z$295)+SUMIF($C$321:$C$340,'Tech Parameters'!AD185,Z$321:Z$340)</f>
        <v>0</v>
      </c>
      <c r="AA382">
        <f ca="1">SUMIF($C$276:$C$295,'Tech Parameters'!AE235,AA$276:AA$295)+SUMIF($C$321:$C$340,'Tech Parameters'!AE185,AA$321:AA$340)</f>
        <v>0</v>
      </c>
      <c r="AB382">
        <f ca="1">SUMIF($C$276:$C$295,'Tech Parameters'!AF235,AB$276:AB$295)+SUMIF($C$321:$C$340,'Tech Parameters'!AF185,AB$321:AB$340)</f>
        <v>4129.8161520000003</v>
      </c>
      <c r="AC382">
        <f ca="1">SUMIF($C$276:$C$295,'Tech Parameters'!AG235,AC$276:AC$295)+SUMIF($C$321:$C$340,'Tech Parameters'!AG185,AC$321:AC$340)</f>
        <v>8259.6323040000007</v>
      </c>
      <c r="AD382" s="76">
        <f t="shared" ca="1" si="70"/>
        <v>8259.6323040000007</v>
      </c>
      <c r="AE382" s="76">
        <f t="shared" ca="1" si="68"/>
        <v>8259.6323040000007</v>
      </c>
      <c r="AF382" s="76">
        <f t="shared" ca="1" si="68"/>
        <v>8259.6323040000007</v>
      </c>
      <c r="AG382" s="76">
        <f t="shared" ca="1" si="68"/>
        <v>8259.6323040000007</v>
      </c>
      <c r="AH382" s="76">
        <f t="shared" ca="1" si="68"/>
        <v>8259.6323040000007</v>
      </c>
      <c r="AI382" s="76">
        <f t="shared" ca="1" si="68"/>
        <v>8259.6323040000007</v>
      </c>
      <c r="AJ382" s="76">
        <f t="shared" ca="1" si="68"/>
        <v>8259.6323040000007</v>
      </c>
      <c r="AK382" s="76">
        <f t="shared" ca="1" si="68"/>
        <v>8259.6323040000007</v>
      </c>
      <c r="AL382" s="76">
        <f t="shared" ca="1" si="68"/>
        <v>8259.6323040000007</v>
      </c>
      <c r="AM382" s="76">
        <f t="shared" ca="1" si="68"/>
        <v>8259.6323040000007</v>
      </c>
      <c r="AN382" s="76">
        <f t="shared" ca="1" si="68"/>
        <v>8259.6323040000007</v>
      </c>
      <c r="AO382" s="76">
        <f t="shared" ca="1" si="68"/>
        <v>8259.6323040000007</v>
      </c>
      <c r="AP382" s="76">
        <f t="shared" ca="1" si="68"/>
        <v>8259.6323040000007</v>
      </c>
      <c r="AQ382" s="76">
        <f t="shared" ca="1" si="68"/>
        <v>8259.6323040000007</v>
      </c>
      <c r="AR382" s="76">
        <f t="shared" ca="1" si="68"/>
        <v>8259.6323040000007</v>
      </c>
      <c r="AS382" s="76">
        <f t="shared" ca="1" si="68"/>
        <v>8259.6323040000007</v>
      </c>
      <c r="AT382" s="76">
        <f t="shared" ca="1" si="68"/>
        <v>8259.6323040000007</v>
      </c>
      <c r="AU382" s="76">
        <f t="shared" ca="1" si="68"/>
        <v>8259.6323040000007</v>
      </c>
      <c r="AV382" s="76">
        <f t="shared" ca="1" si="68"/>
        <v>8259.6323040000007</v>
      </c>
      <c r="AW382" s="76">
        <f t="shared" ca="1" si="68"/>
        <v>8259.6323040000007</v>
      </c>
    </row>
    <row r="383" spans="3:49">
      <c r="C383" t="str">
        <f t="shared" si="66"/>
        <v>-</v>
      </c>
      <c r="D383" s="21">
        <f>SUMIF($C$276:$C$295,'Tech Parameters'!H236,D$276:D$295)+SUMIF($C$321:$C$340,'Tech Parameters'!H186,D$321:D$340)</f>
        <v>0</v>
      </c>
      <c r="E383" s="21">
        <f>SUMIF($C$276:$C$295,'Tech Parameters'!I236,E$276:E$295)+SUMIF($C$321:$C$340,'Tech Parameters'!I186,E$321:E$340)</f>
        <v>0</v>
      </c>
      <c r="F383" s="21">
        <f>SUMIF($C$276:$C$295,'Tech Parameters'!J236,F$276:F$295)+SUMIF($C$321:$C$340,'Tech Parameters'!J186,F$321:F$340)</f>
        <v>0</v>
      </c>
      <c r="G383" s="21">
        <f>SUMIF($C$276:$C$295,'Tech Parameters'!K236,G$276:G$295)+SUMIF($C$321:$C$340,'Tech Parameters'!K186,G$321:G$340)</f>
        <v>0</v>
      </c>
      <c r="H383" s="21">
        <f>SUMIF($C$276:$C$295,'Tech Parameters'!L236,H$276:H$295)+SUMIF($C$321:$C$340,'Tech Parameters'!L186,H$321:H$340)</f>
        <v>0</v>
      </c>
      <c r="I383" s="21">
        <f ca="1">SUMIF($C$276:$C$295,'Tech Parameters'!M236,I$276:I$295)+SUMIF($C$321:$C$340,'Tech Parameters'!M186,I$321:I$340)</f>
        <v>0</v>
      </c>
      <c r="J383">
        <f ca="1">SUMIF($C$276:$C$295,'Tech Parameters'!N236,J$276:J$295)+SUMIF($C$321:$C$340,'Tech Parameters'!N186,J$321:J$340)</f>
        <v>0</v>
      </c>
      <c r="K383">
        <f ca="1">SUMIF($C$276:$C$295,'Tech Parameters'!O236,K$276:K$295)+SUMIF($C$321:$C$340,'Tech Parameters'!O186,K$321:K$340)</f>
        <v>0</v>
      </c>
      <c r="L383">
        <f ca="1">SUMIF($C$276:$C$295,'Tech Parameters'!P236,L$276:L$295)+SUMIF($C$321:$C$340,'Tech Parameters'!P186,L$321:L$340)</f>
        <v>0</v>
      </c>
      <c r="M383">
        <f ca="1">SUMIF($C$276:$C$295,'Tech Parameters'!Q236,M$276:M$295)+SUMIF($C$321:$C$340,'Tech Parameters'!Q186,M$321:M$340)</f>
        <v>0</v>
      </c>
      <c r="N383">
        <f ca="1">SUMIF($C$276:$C$295,'Tech Parameters'!R236,N$276:N$295)+SUMIF($C$321:$C$340,'Tech Parameters'!R186,N$321:N$340)</f>
        <v>0</v>
      </c>
      <c r="O383">
        <f ca="1">SUMIF($C$276:$C$295,'Tech Parameters'!S236,O$276:O$295)+SUMIF($C$321:$C$340,'Tech Parameters'!S186,O$321:O$340)</f>
        <v>0</v>
      </c>
      <c r="P383">
        <f ca="1">SUMIF($C$276:$C$295,'Tech Parameters'!T236,P$276:P$295)+SUMIF($C$321:$C$340,'Tech Parameters'!T186,P$321:P$340)</f>
        <v>0</v>
      </c>
      <c r="Q383">
        <f ca="1">SUMIF($C$276:$C$295,'Tech Parameters'!U236,Q$276:Q$295)+SUMIF($C$321:$C$340,'Tech Parameters'!U186,Q$321:Q$340)</f>
        <v>0</v>
      </c>
      <c r="R383">
        <f ca="1">SUMIF($C$276:$C$295,'Tech Parameters'!V236,R$276:R$295)+SUMIF($C$321:$C$340,'Tech Parameters'!V186,R$321:R$340)</f>
        <v>0</v>
      </c>
      <c r="S383">
        <f ca="1">SUMIF($C$276:$C$295,'Tech Parameters'!W236,S$276:S$295)+SUMIF($C$321:$C$340,'Tech Parameters'!W186,S$321:S$340)</f>
        <v>0</v>
      </c>
      <c r="T383">
        <f ca="1">SUMIF($C$276:$C$295,'Tech Parameters'!X236,T$276:T$295)+SUMIF($C$321:$C$340,'Tech Parameters'!X186,T$321:T$340)</f>
        <v>0</v>
      </c>
      <c r="U383">
        <f ca="1">SUMIF($C$276:$C$295,'Tech Parameters'!Y236,U$276:U$295)+SUMIF($C$321:$C$340,'Tech Parameters'!Y186,U$321:U$340)</f>
        <v>0</v>
      </c>
      <c r="V383">
        <f ca="1">SUMIF($C$276:$C$295,'Tech Parameters'!Z236,V$276:V$295)+SUMIF($C$321:$C$340,'Tech Parameters'!Z186,V$321:V$340)</f>
        <v>0</v>
      </c>
      <c r="W383">
        <f ca="1">SUMIF($C$276:$C$295,'Tech Parameters'!AA236,W$276:W$295)+SUMIF($C$321:$C$340,'Tech Parameters'!AA186,W$321:W$340)</f>
        <v>0</v>
      </c>
      <c r="X383">
        <f ca="1">SUMIF($C$276:$C$295,'Tech Parameters'!AB236,X$276:X$295)+SUMIF($C$321:$C$340,'Tech Parameters'!AB186,X$321:X$340)</f>
        <v>0</v>
      </c>
      <c r="Y383">
        <f ca="1">SUMIF($C$276:$C$295,'Tech Parameters'!AC236,Y$276:Y$295)+SUMIF($C$321:$C$340,'Tech Parameters'!AC186,Y$321:Y$340)</f>
        <v>0</v>
      </c>
      <c r="Z383">
        <f ca="1">SUMIF($C$276:$C$295,'Tech Parameters'!AD236,Z$276:Z$295)+SUMIF($C$321:$C$340,'Tech Parameters'!AD186,Z$321:Z$340)</f>
        <v>0</v>
      </c>
      <c r="AA383">
        <f ca="1">SUMIF($C$276:$C$295,'Tech Parameters'!AE236,AA$276:AA$295)+SUMIF($C$321:$C$340,'Tech Parameters'!AE186,AA$321:AA$340)</f>
        <v>0</v>
      </c>
      <c r="AB383">
        <f ca="1">SUMIF($C$276:$C$295,'Tech Parameters'!AF236,AB$276:AB$295)+SUMIF($C$321:$C$340,'Tech Parameters'!AF186,AB$321:AB$340)</f>
        <v>0</v>
      </c>
      <c r="AC383">
        <f ca="1">SUMIF($C$276:$C$295,'Tech Parameters'!AG236,AC$276:AC$295)+SUMIF($C$321:$C$340,'Tech Parameters'!AG186,AC$321:AC$340)</f>
        <v>0</v>
      </c>
      <c r="AD383" s="76">
        <f t="shared" ca="1" si="70"/>
        <v>0</v>
      </c>
      <c r="AE383" s="76">
        <f t="shared" ca="1" si="68"/>
        <v>0</v>
      </c>
      <c r="AF383" s="76">
        <f t="shared" ca="1" si="68"/>
        <v>0</v>
      </c>
      <c r="AG383" s="76">
        <f t="shared" ca="1" si="68"/>
        <v>0</v>
      </c>
      <c r="AH383" s="76">
        <f t="shared" ca="1" si="68"/>
        <v>0</v>
      </c>
      <c r="AI383" s="76">
        <f t="shared" ca="1" si="68"/>
        <v>0</v>
      </c>
      <c r="AJ383" s="76">
        <f t="shared" ca="1" si="68"/>
        <v>0</v>
      </c>
      <c r="AK383" s="76">
        <f t="shared" ca="1" si="68"/>
        <v>0</v>
      </c>
      <c r="AL383" s="76">
        <f t="shared" ref="AL383:AW383" ca="1" si="71">AK383</f>
        <v>0</v>
      </c>
      <c r="AM383" s="76">
        <f t="shared" ca="1" si="71"/>
        <v>0</v>
      </c>
      <c r="AN383" s="76">
        <f t="shared" ca="1" si="71"/>
        <v>0</v>
      </c>
      <c r="AO383" s="76">
        <f t="shared" ca="1" si="71"/>
        <v>0</v>
      </c>
      <c r="AP383" s="76">
        <f t="shared" ca="1" si="71"/>
        <v>0</v>
      </c>
      <c r="AQ383" s="76">
        <f t="shared" ca="1" si="71"/>
        <v>0</v>
      </c>
      <c r="AR383" s="76">
        <f t="shared" ca="1" si="71"/>
        <v>0</v>
      </c>
      <c r="AS383" s="76">
        <f t="shared" ca="1" si="71"/>
        <v>0</v>
      </c>
      <c r="AT383" s="76">
        <f t="shared" ca="1" si="71"/>
        <v>0</v>
      </c>
      <c r="AU383" s="76">
        <f t="shared" ca="1" si="71"/>
        <v>0</v>
      </c>
      <c r="AV383" s="76">
        <f t="shared" ca="1" si="71"/>
        <v>0</v>
      </c>
      <c r="AW383" s="76">
        <f t="shared" ca="1" si="71"/>
        <v>0</v>
      </c>
    </row>
    <row r="384" spans="3:49">
      <c r="C384" t="str">
        <f t="shared" si="66"/>
        <v>-</v>
      </c>
      <c r="D384" s="21">
        <f>SUMIF($C$276:$C$295,'Tech Parameters'!H237,D$276:D$295)+SUMIF($C$321:$C$340,'Tech Parameters'!H187,D$321:D$340)</f>
        <v>0</v>
      </c>
      <c r="E384" s="21">
        <f>SUMIF($C$276:$C$295,'Tech Parameters'!I237,E$276:E$295)+SUMIF($C$321:$C$340,'Tech Parameters'!I187,E$321:E$340)</f>
        <v>0</v>
      </c>
      <c r="F384" s="21">
        <f>SUMIF($C$276:$C$295,'Tech Parameters'!J237,F$276:F$295)+SUMIF($C$321:$C$340,'Tech Parameters'!J187,F$321:F$340)</f>
        <v>0</v>
      </c>
      <c r="G384" s="21">
        <f>SUMIF($C$276:$C$295,'Tech Parameters'!K237,G$276:G$295)+SUMIF($C$321:$C$340,'Tech Parameters'!K187,G$321:G$340)</f>
        <v>0</v>
      </c>
      <c r="H384" s="21">
        <f>SUMIF($C$276:$C$295,'Tech Parameters'!L237,H$276:H$295)+SUMIF($C$321:$C$340,'Tech Parameters'!L187,H$321:H$340)</f>
        <v>0</v>
      </c>
      <c r="I384" s="21">
        <f ca="1">SUMIF($C$276:$C$295,'Tech Parameters'!M237,I$276:I$295)+SUMIF($C$321:$C$340,'Tech Parameters'!M187,I$321:I$340)</f>
        <v>0</v>
      </c>
      <c r="J384">
        <f ca="1">SUMIF($C$276:$C$295,'Tech Parameters'!N237,J$276:J$295)+SUMIF($C$321:$C$340,'Tech Parameters'!N187,J$321:J$340)</f>
        <v>0</v>
      </c>
      <c r="K384">
        <f ca="1">SUMIF($C$276:$C$295,'Tech Parameters'!O237,K$276:K$295)+SUMIF($C$321:$C$340,'Tech Parameters'!O187,K$321:K$340)</f>
        <v>0</v>
      </c>
      <c r="L384">
        <f ca="1">SUMIF($C$276:$C$295,'Tech Parameters'!P237,L$276:L$295)+SUMIF($C$321:$C$340,'Tech Parameters'!P187,L$321:L$340)</f>
        <v>0</v>
      </c>
      <c r="M384">
        <f ca="1">SUMIF($C$276:$C$295,'Tech Parameters'!Q237,M$276:M$295)+SUMIF($C$321:$C$340,'Tech Parameters'!Q187,M$321:M$340)</f>
        <v>0</v>
      </c>
      <c r="N384">
        <f ca="1">SUMIF($C$276:$C$295,'Tech Parameters'!R237,N$276:N$295)+SUMIF($C$321:$C$340,'Tech Parameters'!R187,N$321:N$340)</f>
        <v>0</v>
      </c>
      <c r="O384">
        <f ca="1">SUMIF($C$276:$C$295,'Tech Parameters'!S237,O$276:O$295)+SUMIF($C$321:$C$340,'Tech Parameters'!S187,O$321:O$340)</f>
        <v>0</v>
      </c>
      <c r="P384">
        <f ca="1">SUMIF($C$276:$C$295,'Tech Parameters'!T237,P$276:P$295)+SUMIF($C$321:$C$340,'Tech Parameters'!T187,P$321:P$340)</f>
        <v>0</v>
      </c>
      <c r="Q384">
        <f ca="1">SUMIF($C$276:$C$295,'Tech Parameters'!U237,Q$276:Q$295)+SUMIF($C$321:$C$340,'Tech Parameters'!U187,Q$321:Q$340)</f>
        <v>0</v>
      </c>
      <c r="R384">
        <f ca="1">SUMIF($C$276:$C$295,'Tech Parameters'!V237,R$276:R$295)+SUMIF($C$321:$C$340,'Tech Parameters'!V187,R$321:R$340)</f>
        <v>0</v>
      </c>
      <c r="S384">
        <f ca="1">SUMIF($C$276:$C$295,'Tech Parameters'!W237,S$276:S$295)+SUMIF($C$321:$C$340,'Tech Parameters'!W187,S$321:S$340)</f>
        <v>0</v>
      </c>
      <c r="T384">
        <f ca="1">SUMIF($C$276:$C$295,'Tech Parameters'!X237,T$276:T$295)+SUMIF($C$321:$C$340,'Tech Parameters'!X187,T$321:T$340)</f>
        <v>0</v>
      </c>
      <c r="U384">
        <f ca="1">SUMIF($C$276:$C$295,'Tech Parameters'!Y237,U$276:U$295)+SUMIF($C$321:$C$340,'Tech Parameters'!Y187,U$321:U$340)</f>
        <v>0</v>
      </c>
      <c r="V384">
        <f ca="1">SUMIF($C$276:$C$295,'Tech Parameters'!Z237,V$276:V$295)+SUMIF($C$321:$C$340,'Tech Parameters'!Z187,V$321:V$340)</f>
        <v>0</v>
      </c>
      <c r="W384">
        <f ca="1">SUMIF($C$276:$C$295,'Tech Parameters'!AA237,W$276:W$295)+SUMIF($C$321:$C$340,'Tech Parameters'!AA187,W$321:W$340)</f>
        <v>0</v>
      </c>
      <c r="X384">
        <f ca="1">SUMIF($C$276:$C$295,'Tech Parameters'!AB237,X$276:X$295)+SUMIF($C$321:$C$340,'Tech Parameters'!AB187,X$321:X$340)</f>
        <v>0</v>
      </c>
      <c r="Y384">
        <f ca="1">SUMIF($C$276:$C$295,'Tech Parameters'!AC237,Y$276:Y$295)+SUMIF($C$321:$C$340,'Tech Parameters'!AC187,Y$321:Y$340)</f>
        <v>0</v>
      </c>
      <c r="Z384">
        <f ca="1">SUMIF($C$276:$C$295,'Tech Parameters'!AD237,Z$276:Z$295)+SUMIF($C$321:$C$340,'Tech Parameters'!AD187,Z$321:Z$340)</f>
        <v>0</v>
      </c>
      <c r="AA384">
        <f ca="1">SUMIF($C$276:$C$295,'Tech Parameters'!AE237,AA$276:AA$295)+SUMIF($C$321:$C$340,'Tech Parameters'!AE187,AA$321:AA$340)</f>
        <v>0</v>
      </c>
      <c r="AB384">
        <f ca="1">SUMIF($C$276:$C$295,'Tech Parameters'!AF237,AB$276:AB$295)+SUMIF($C$321:$C$340,'Tech Parameters'!AF187,AB$321:AB$340)</f>
        <v>0</v>
      </c>
      <c r="AC384">
        <f ca="1">SUMIF($C$276:$C$295,'Tech Parameters'!AG237,AC$276:AC$295)+SUMIF($C$321:$C$340,'Tech Parameters'!AG187,AC$321:AC$340)</f>
        <v>0</v>
      </c>
      <c r="AD384" s="76">
        <f t="shared" ca="1" si="70"/>
        <v>0</v>
      </c>
      <c r="AE384" s="76">
        <f t="shared" ref="AE384:AK386" ca="1" si="72">AD384</f>
        <v>0</v>
      </c>
      <c r="AF384" s="76">
        <f t="shared" ca="1" si="72"/>
        <v>0</v>
      </c>
      <c r="AG384" s="76">
        <f t="shared" ca="1" si="72"/>
        <v>0</v>
      </c>
      <c r="AH384" s="76">
        <f t="shared" ca="1" si="72"/>
        <v>0</v>
      </c>
      <c r="AI384" s="76">
        <f t="shared" ca="1" si="72"/>
        <v>0</v>
      </c>
      <c r="AJ384" s="76">
        <f t="shared" ca="1" si="72"/>
        <v>0</v>
      </c>
      <c r="AK384" s="76">
        <f t="shared" ca="1" si="72"/>
        <v>0</v>
      </c>
      <c r="AL384" s="76">
        <f t="shared" ref="AL384:AW384" ca="1" si="73">AK384</f>
        <v>0</v>
      </c>
      <c r="AM384" s="76">
        <f t="shared" ca="1" si="73"/>
        <v>0</v>
      </c>
      <c r="AN384" s="76">
        <f t="shared" ca="1" si="73"/>
        <v>0</v>
      </c>
      <c r="AO384" s="76">
        <f t="shared" ca="1" si="73"/>
        <v>0</v>
      </c>
      <c r="AP384" s="76">
        <f t="shared" ca="1" si="73"/>
        <v>0</v>
      </c>
      <c r="AQ384" s="76">
        <f t="shared" ca="1" si="73"/>
        <v>0</v>
      </c>
      <c r="AR384" s="76">
        <f t="shared" ca="1" si="73"/>
        <v>0</v>
      </c>
      <c r="AS384" s="76">
        <f t="shared" ca="1" si="73"/>
        <v>0</v>
      </c>
      <c r="AT384" s="76">
        <f t="shared" ca="1" si="73"/>
        <v>0</v>
      </c>
      <c r="AU384" s="76">
        <f t="shared" ca="1" si="73"/>
        <v>0</v>
      </c>
      <c r="AV384" s="76">
        <f t="shared" ca="1" si="73"/>
        <v>0</v>
      </c>
      <c r="AW384" s="76">
        <f t="shared" ca="1" si="73"/>
        <v>0</v>
      </c>
    </row>
    <row r="385" spans="3:49">
      <c r="C385" t="str">
        <f t="shared" si="66"/>
        <v>-</v>
      </c>
      <c r="D385" s="21">
        <f>SUMIF($C$276:$C$295,'Tech Parameters'!H238,D$276:D$295)+SUMIF($C$321:$C$340,'Tech Parameters'!H188,D$321:D$340)</f>
        <v>0</v>
      </c>
      <c r="E385" s="21">
        <f>SUMIF($C$276:$C$295,'Tech Parameters'!I238,E$276:E$295)+SUMIF($C$321:$C$340,'Tech Parameters'!I188,E$321:E$340)</f>
        <v>0</v>
      </c>
      <c r="F385" s="21">
        <f>SUMIF($C$276:$C$295,'Tech Parameters'!J238,F$276:F$295)+SUMIF($C$321:$C$340,'Tech Parameters'!J188,F$321:F$340)</f>
        <v>0</v>
      </c>
      <c r="G385" s="21">
        <f>SUMIF($C$276:$C$295,'Tech Parameters'!K238,G$276:G$295)+SUMIF($C$321:$C$340,'Tech Parameters'!K188,G$321:G$340)</f>
        <v>0</v>
      </c>
      <c r="H385" s="21">
        <f>SUMIF($C$276:$C$295,'Tech Parameters'!L238,H$276:H$295)+SUMIF($C$321:$C$340,'Tech Parameters'!L188,H$321:H$340)</f>
        <v>0</v>
      </c>
      <c r="I385" s="21">
        <f ca="1">SUMIF($C$276:$C$295,'Tech Parameters'!M238,I$276:I$295)+SUMIF($C$321:$C$340,'Tech Parameters'!M188,I$321:I$340)</f>
        <v>0</v>
      </c>
      <c r="J385">
        <f ca="1">SUMIF($C$276:$C$295,'Tech Parameters'!N238,J$276:J$295)+SUMIF($C$321:$C$340,'Tech Parameters'!N188,J$321:J$340)</f>
        <v>0</v>
      </c>
      <c r="K385">
        <f ca="1">SUMIF($C$276:$C$295,'Tech Parameters'!O238,K$276:K$295)+SUMIF($C$321:$C$340,'Tech Parameters'!O188,K$321:K$340)</f>
        <v>0</v>
      </c>
      <c r="L385">
        <f ca="1">SUMIF($C$276:$C$295,'Tech Parameters'!P238,L$276:L$295)+SUMIF($C$321:$C$340,'Tech Parameters'!P188,L$321:L$340)</f>
        <v>0</v>
      </c>
      <c r="M385">
        <f ca="1">SUMIF($C$276:$C$295,'Tech Parameters'!Q238,M$276:M$295)+SUMIF($C$321:$C$340,'Tech Parameters'!Q188,M$321:M$340)</f>
        <v>0</v>
      </c>
      <c r="N385">
        <f ca="1">SUMIF($C$276:$C$295,'Tech Parameters'!R238,N$276:N$295)+SUMIF($C$321:$C$340,'Tech Parameters'!R188,N$321:N$340)</f>
        <v>0</v>
      </c>
      <c r="O385">
        <f ca="1">SUMIF($C$276:$C$295,'Tech Parameters'!S238,O$276:O$295)+SUMIF($C$321:$C$340,'Tech Parameters'!S188,O$321:O$340)</f>
        <v>0</v>
      </c>
      <c r="P385">
        <f ca="1">SUMIF($C$276:$C$295,'Tech Parameters'!T238,P$276:P$295)+SUMIF($C$321:$C$340,'Tech Parameters'!T188,P$321:P$340)</f>
        <v>0</v>
      </c>
      <c r="Q385">
        <f ca="1">SUMIF($C$276:$C$295,'Tech Parameters'!U238,Q$276:Q$295)+SUMIF($C$321:$C$340,'Tech Parameters'!U188,Q$321:Q$340)</f>
        <v>0</v>
      </c>
      <c r="R385">
        <f ca="1">SUMIF($C$276:$C$295,'Tech Parameters'!V238,R$276:R$295)+SUMIF($C$321:$C$340,'Tech Parameters'!V188,R$321:R$340)</f>
        <v>0</v>
      </c>
      <c r="S385">
        <f ca="1">SUMIF($C$276:$C$295,'Tech Parameters'!W238,S$276:S$295)+SUMIF($C$321:$C$340,'Tech Parameters'!W188,S$321:S$340)</f>
        <v>0</v>
      </c>
      <c r="T385">
        <f ca="1">SUMIF($C$276:$C$295,'Tech Parameters'!X238,T$276:T$295)+SUMIF($C$321:$C$340,'Tech Parameters'!X188,T$321:T$340)</f>
        <v>0</v>
      </c>
      <c r="U385">
        <f ca="1">SUMIF($C$276:$C$295,'Tech Parameters'!Y238,U$276:U$295)+SUMIF($C$321:$C$340,'Tech Parameters'!Y188,U$321:U$340)</f>
        <v>0</v>
      </c>
      <c r="V385">
        <f ca="1">SUMIF($C$276:$C$295,'Tech Parameters'!Z238,V$276:V$295)+SUMIF($C$321:$C$340,'Tech Parameters'!Z188,V$321:V$340)</f>
        <v>0</v>
      </c>
      <c r="W385">
        <f ca="1">SUMIF($C$276:$C$295,'Tech Parameters'!AA238,W$276:W$295)+SUMIF($C$321:$C$340,'Tech Parameters'!AA188,W$321:W$340)</f>
        <v>0</v>
      </c>
      <c r="X385">
        <f ca="1">SUMIF($C$276:$C$295,'Tech Parameters'!AB238,X$276:X$295)+SUMIF($C$321:$C$340,'Tech Parameters'!AB188,X$321:X$340)</f>
        <v>0</v>
      </c>
      <c r="Y385">
        <f ca="1">SUMIF($C$276:$C$295,'Tech Parameters'!AC238,Y$276:Y$295)+SUMIF($C$321:$C$340,'Tech Parameters'!AC188,Y$321:Y$340)</f>
        <v>0</v>
      </c>
      <c r="Z385">
        <f ca="1">SUMIF($C$276:$C$295,'Tech Parameters'!AD238,Z$276:Z$295)+SUMIF($C$321:$C$340,'Tech Parameters'!AD188,Z$321:Z$340)</f>
        <v>0</v>
      </c>
      <c r="AA385">
        <f ca="1">SUMIF($C$276:$C$295,'Tech Parameters'!AE238,AA$276:AA$295)+SUMIF($C$321:$C$340,'Tech Parameters'!AE188,AA$321:AA$340)</f>
        <v>0</v>
      </c>
      <c r="AB385">
        <f ca="1">SUMIF($C$276:$C$295,'Tech Parameters'!AF238,AB$276:AB$295)+SUMIF($C$321:$C$340,'Tech Parameters'!AF188,AB$321:AB$340)</f>
        <v>0</v>
      </c>
      <c r="AC385">
        <f ca="1">SUMIF($C$276:$C$295,'Tech Parameters'!AG238,AC$276:AC$295)+SUMIF($C$321:$C$340,'Tech Parameters'!AG188,AC$321:AC$340)</f>
        <v>0</v>
      </c>
      <c r="AD385" s="76">
        <f t="shared" ca="1" si="70"/>
        <v>0</v>
      </c>
      <c r="AE385" s="76">
        <f t="shared" ca="1" si="72"/>
        <v>0</v>
      </c>
      <c r="AF385" s="76">
        <f t="shared" ca="1" si="72"/>
        <v>0</v>
      </c>
      <c r="AG385" s="76">
        <f t="shared" ca="1" si="72"/>
        <v>0</v>
      </c>
      <c r="AH385" s="76">
        <f t="shared" ca="1" si="72"/>
        <v>0</v>
      </c>
      <c r="AI385" s="76">
        <f t="shared" ca="1" si="72"/>
        <v>0</v>
      </c>
      <c r="AJ385" s="76">
        <f t="shared" ca="1" si="72"/>
        <v>0</v>
      </c>
      <c r="AK385" s="76">
        <f t="shared" ca="1" si="72"/>
        <v>0</v>
      </c>
      <c r="AL385" s="76">
        <f t="shared" ref="AL385:AW385" ca="1" si="74">AK385</f>
        <v>0</v>
      </c>
      <c r="AM385" s="76">
        <f t="shared" ca="1" si="74"/>
        <v>0</v>
      </c>
      <c r="AN385" s="76">
        <f t="shared" ca="1" si="74"/>
        <v>0</v>
      </c>
      <c r="AO385" s="76">
        <f t="shared" ca="1" si="74"/>
        <v>0</v>
      </c>
      <c r="AP385" s="76">
        <f t="shared" ca="1" si="74"/>
        <v>0</v>
      </c>
      <c r="AQ385" s="76">
        <f t="shared" ca="1" si="74"/>
        <v>0</v>
      </c>
      <c r="AR385" s="76">
        <f t="shared" ca="1" si="74"/>
        <v>0</v>
      </c>
      <c r="AS385" s="76">
        <f t="shared" ca="1" si="74"/>
        <v>0</v>
      </c>
      <c r="AT385" s="76">
        <f t="shared" ca="1" si="74"/>
        <v>0</v>
      </c>
      <c r="AU385" s="76">
        <f t="shared" ca="1" si="74"/>
        <v>0</v>
      </c>
      <c r="AV385" s="76">
        <f t="shared" ca="1" si="74"/>
        <v>0</v>
      </c>
      <c r="AW385" s="76">
        <f t="shared" ca="1" si="74"/>
        <v>0</v>
      </c>
    </row>
    <row r="386" spans="3:49">
      <c r="C386" t="str">
        <f t="shared" si="66"/>
        <v>Pumped storage</v>
      </c>
      <c r="D386" s="21">
        <f>SUMIF($C$276:$C$295,'Tech Parameters'!H239,D$276:D$295)+SUMIF($C$321:$C$340,'Tech Parameters'!H189,D$321:D$340)</f>
        <v>3096.0000000000005</v>
      </c>
      <c r="E386" s="21">
        <f>SUMIF($C$276:$C$295,'Tech Parameters'!I239,E$276:E$295)+SUMIF($C$321:$C$340,'Tech Parameters'!I189,E$321:E$340)</f>
        <v>3096.0000000000005</v>
      </c>
      <c r="F386" s="21">
        <f>SUMIF($C$276:$C$295,'Tech Parameters'!J239,F$276:F$295)+SUMIF($C$321:$C$340,'Tech Parameters'!J189,F$321:F$340)</f>
        <v>3096.0000000000005</v>
      </c>
      <c r="G386" s="21">
        <f>SUMIF($C$276:$C$295,'Tech Parameters'!K239,G$276:G$295)+SUMIF($C$321:$C$340,'Tech Parameters'!K189,G$321:G$340)</f>
        <v>3096.0000000000005</v>
      </c>
      <c r="H386" s="21">
        <f>SUMIF($C$276:$C$295,'Tech Parameters'!L239,H$276:H$295)+SUMIF($C$321:$C$340,'Tech Parameters'!L189,H$321:H$340)</f>
        <v>3096.0000000000005</v>
      </c>
      <c r="I386" s="21">
        <f ca="1">SUMIF($C$276:$C$295,'Tech Parameters'!M239,I$276:I$295)+SUMIF($C$321:$C$340,'Tech Parameters'!M189,I$321:I$340)</f>
        <v>3096.0000000000005</v>
      </c>
      <c r="J386">
        <f ca="1">SUMIF($C$276:$C$295,'Tech Parameters'!N239,J$276:J$295)+SUMIF($C$321:$C$340,'Tech Parameters'!N189,J$321:J$340)</f>
        <v>3096.0000000000005</v>
      </c>
      <c r="K386">
        <f ca="1">SUMIF($C$276:$C$295,'Tech Parameters'!O239,K$276:K$295)+SUMIF($C$321:$C$340,'Tech Parameters'!O189,K$321:K$340)</f>
        <v>3096.0000000000005</v>
      </c>
      <c r="L386">
        <f ca="1">SUMIF($C$276:$C$295,'Tech Parameters'!P239,L$276:L$295)+SUMIF($C$321:$C$340,'Tech Parameters'!P189,L$321:L$340)</f>
        <v>4401.0227848101276</v>
      </c>
      <c r="M386">
        <f ca="1">SUMIF($C$276:$C$295,'Tech Parameters'!Q239,M$276:M$295)+SUMIF($C$321:$C$340,'Tech Parameters'!Q189,M$321:M$340)</f>
        <v>5706.0455696202544</v>
      </c>
      <c r="N386">
        <f ca="1">SUMIF($C$276:$C$295,'Tech Parameters'!R239,N$276:N$295)+SUMIF($C$321:$C$340,'Tech Parameters'!R189,N$321:N$340)</f>
        <v>7011.0683544303811</v>
      </c>
      <c r="O386">
        <f ca="1">SUMIF($C$276:$C$295,'Tech Parameters'!S239,O$276:O$295)+SUMIF($C$321:$C$340,'Tech Parameters'!S189,O$321:O$340)</f>
        <v>8316.0911392405087</v>
      </c>
      <c r="P386">
        <f ca="1">SUMIF($C$276:$C$295,'Tech Parameters'!T239,P$276:P$295)+SUMIF($C$321:$C$340,'Tech Parameters'!T189,P$321:P$340)</f>
        <v>8316.0911392405087</v>
      </c>
      <c r="Q386">
        <f ca="1">SUMIF($C$276:$C$295,'Tech Parameters'!U239,Q$276:Q$295)+SUMIF($C$321:$C$340,'Tech Parameters'!U189,Q$321:Q$340)</f>
        <v>8316.0911392405087</v>
      </c>
      <c r="R386">
        <f ca="1">SUMIF($C$276:$C$295,'Tech Parameters'!V239,R$276:R$295)+SUMIF($C$321:$C$340,'Tech Parameters'!V189,R$321:R$340)</f>
        <v>8316.0911392405087</v>
      </c>
      <c r="S386">
        <f ca="1">SUMIF($C$276:$C$295,'Tech Parameters'!W239,S$276:S$295)+SUMIF($C$321:$C$340,'Tech Parameters'!W189,S$321:S$340)</f>
        <v>8316.0911392405087</v>
      </c>
      <c r="T386">
        <f ca="1">SUMIF($C$276:$C$295,'Tech Parameters'!X239,T$276:T$295)+SUMIF($C$321:$C$340,'Tech Parameters'!X189,T$321:T$340)</f>
        <v>8316.0911392405087</v>
      </c>
      <c r="U386">
        <f ca="1">SUMIF($C$276:$C$295,'Tech Parameters'!Y239,U$276:U$295)+SUMIF($C$321:$C$340,'Tech Parameters'!Y189,U$321:U$340)</f>
        <v>8316.0911392405087</v>
      </c>
      <c r="V386">
        <f ca="1">SUMIF($C$276:$C$295,'Tech Parameters'!Z239,V$276:V$295)+SUMIF($C$321:$C$340,'Tech Parameters'!Z189,V$321:V$340)</f>
        <v>8316.0911392405087</v>
      </c>
      <c r="W386">
        <f ca="1">SUMIF($C$276:$C$295,'Tech Parameters'!AA239,W$276:W$295)+SUMIF($C$321:$C$340,'Tech Parameters'!AA189,W$321:W$340)</f>
        <v>8316.0911392405087</v>
      </c>
      <c r="X386">
        <f ca="1">SUMIF($C$276:$C$295,'Tech Parameters'!AB239,X$276:X$295)+SUMIF($C$321:$C$340,'Tech Parameters'!AB189,X$321:X$340)</f>
        <v>8316.0911392405087</v>
      </c>
      <c r="Y386">
        <f ca="1">SUMIF($C$276:$C$295,'Tech Parameters'!AC239,Y$276:Y$295)+SUMIF($C$321:$C$340,'Tech Parameters'!AC189,Y$321:Y$340)</f>
        <v>8316.0911392405087</v>
      </c>
      <c r="Z386">
        <f ca="1">SUMIF($C$276:$C$295,'Tech Parameters'!AD239,Z$276:Z$295)+SUMIF($C$321:$C$340,'Tech Parameters'!AD189,Z$321:Z$340)</f>
        <v>8316.0911392405087</v>
      </c>
      <c r="AA386">
        <f ca="1">SUMIF($C$276:$C$295,'Tech Parameters'!AE239,AA$276:AA$295)+SUMIF($C$321:$C$340,'Tech Parameters'!AE189,AA$321:AA$340)</f>
        <v>8316.0911392405087</v>
      </c>
      <c r="AB386">
        <f ca="1">SUMIF($C$276:$C$295,'Tech Parameters'!AF239,AB$276:AB$295)+SUMIF($C$321:$C$340,'Tech Parameters'!AF189,AB$321:AB$340)</f>
        <v>8316.0911392405087</v>
      </c>
      <c r="AC386">
        <f ca="1">SUMIF($C$276:$C$295,'Tech Parameters'!AG239,AC$276:AC$295)+SUMIF($C$321:$C$340,'Tech Parameters'!AG189,AC$321:AC$340)</f>
        <v>8316.0911392405087</v>
      </c>
      <c r="AD386" s="76">
        <f t="shared" ca="1" si="70"/>
        <v>8316.0911392405087</v>
      </c>
      <c r="AE386" s="76">
        <f t="shared" ca="1" si="72"/>
        <v>8316.0911392405087</v>
      </c>
      <c r="AF386" s="76">
        <f t="shared" ca="1" si="72"/>
        <v>8316.0911392405087</v>
      </c>
      <c r="AG386" s="76">
        <f t="shared" ca="1" si="72"/>
        <v>8316.0911392405087</v>
      </c>
      <c r="AH386" s="76">
        <f t="shared" ca="1" si="72"/>
        <v>8316.0911392405087</v>
      </c>
      <c r="AI386" s="76">
        <f t="shared" ca="1" si="72"/>
        <v>8316.0911392405087</v>
      </c>
      <c r="AJ386" s="76">
        <f t="shared" ca="1" si="72"/>
        <v>8316.0911392405087</v>
      </c>
      <c r="AK386" s="76">
        <f t="shared" ca="1" si="72"/>
        <v>8316.0911392405087</v>
      </c>
      <c r="AL386" s="76">
        <f t="shared" ref="AL386:AW386" ca="1" si="75">AK386</f>
        <v>8316.0911392405087</v>
      </c>
      <c r="AM386" s="76">
        <f t="shared" ca="1" si="75"/>
        <v>8316.0911392405087</v>
      </c>
      <c r="AN386" s="76">
        <f t="shared" ca="1" si="75"/>
        <v>8316.0911392405087</v>
      </c>
      <c r="AO386" s="76">
        <f t="shared" ca="1" si="75"/>
        <v>8316.0911392405087</v>
      </c>
      <c r="AP386" s="76">
        <f t="shared" ca="1" si="75"/>
        <v>8316.0911392405087</v>
      </c>
      <c r="AQ386" s="76">
        <f t="shared" ca="1" si="75"/>
        <v>8316.0911392405087</v>
      </c>
      <c r="AR386" s="76">
        <f t="shared" ca="1" si="75"/>
        <v>8316.0911392405087</v>
      </c>
      <c r="AS386" s="76">
        <f t="shared" ca="1" si="75"/>
        <v>8316.0911392405087</v>
      </c>
      <c r="AT386" s="76">
        <f t="shared" ca="1" si="75"/>
        <v>8316.0911392405087</v>
      </c>
      <c r="AU386" s="76">
        <f t="shared" ca="1" si="75"/>
        <v>8316.0911392405087</v>
      </c>
      <c r="AV386" s="76">
        <f t="shared" ca="1" si="75"/>
        <v>8316.0911392405087</v>
      </c>
      <c r="AW386" s="76">
        <f t="shared" ca="1" si="75"/>
        <v>8316.0911392405087</v>
      </c>
    </row>
    <row r="387" spans="3:49">
      <c r="C387" s="4" t="s">
        <v>5</v>
      </c>
      <c r="D387" s="21">
        <f t="shared" ref="D387:I387" si="76">SUM(D367:D386)</f>
        <v>237193.44941327997</v>
      </c>
      <c r="E387" s="21">
        <f t="shared" si="76"/>
        <v>237193.44941327997</v>
      </c>
      <c r="F387" s="21">
        <f t="shared" si="76"/>
        <v>243975.02833833831</v>
      </c>
      <c r="G387" s="21">
        <f t="shared" si="76"/>
        <v>246337.34650084164</v>
      </c>
      <c r="H387" s="21">
        <f t="shared" si="76"/>
        <v>246337.34650084164</v>
      </c>
      <c r="I387" s="21">
        <f t="shared" ca="1" si="76"/>
        <v>253118.9611461501</v>
      </c>
      <c r="J387">
        <f t="shared" ref="J387:AW387" ca="1" si="77">SUM(J367:J386)</f>
        <v>258113.61923214135</v>
      </c>
      <c r="K387">
        <f t="shared" ca="1" si="77"/>
        <v>264084.55551916349</v>
      </c>
      <c r="L387">
        <f t="shared" ca="1" si="77"/>
        <v>272749.97832692182</v>
      </c>
      <c r="M387">
        <f t="shared" ca="1" si="77"/>
        <v>282961.39784754527</v>
      </c>
      <c r="N387">
        <f t="shared" ca="1" si="77"/>
        <v>293071.1774458696</v>
      </c>
      <c r="O387">
        <f t="shared" ca="1" si="77"/>
        <v>303643.68616413459</v>
      </c>
      <c r="P387">
        <f t="shared" ca="1" si="77"/>
        <v>312284.00777890655</v>
      </c>
      <c r="Q387">
        <f t="shared" ca="1" si="77"/>
        <v>321397.75745280844</v>
      </c>
      <c r="R387">
        <f t="shared" ca="1" si="77"/>
        <v>330939.46469428559</v>
      </c>
      <c r="S387">
        <f t="shared" ca="1" si="77"/>
        <v>340530.24538146373</v>
      </c>
      <c r="T387">
        <f t="shared" ca="1" si="77"/>
        <v>350623.87621054274</v>
      </c>
      <c r="U387">
        <f t="shared" ca="1" si="77"/>
        <v>360867.29218827304</v>
      </c>
      <c r="V387">
        <f t="shared" ca="1" si="77"/>
        <v>371819.51288729958</v>
      </c>
      <c r="W387">
        <f t="shared" ca="1" si="77"/>
        <v>383151.54592754907</v>
      </c>
      <c r="X387">
        <f t="shared" ca="1" si="77"/>
        <v>394983.754374902</v>
      </c>
      <c r="Y387">
        <f t="shared" ca="1" si="77"/>
        <v>407762.81894051493</v>
      </c>
      <c r="Z387">
        <f t="shared" ca="1" si="77"/>
        <v>421084.85466998885</v>
      </c>
      <c r="AA387">
        <f t="shared" ca="1" si="77"/>
        <v>434824.14902784867</v>
      </c>
      <c r="AB387">
        <f t="shared" ca="1" si="77"/>
        <v>448854.98947861878</v>
      </c>
      <c r="AC387">
        <f t="shared" ca="1" si="77"/>
        <v>459071.65810837556</v>
      </c>
      <c r="AD387" s="76">
        <f t="shared" ca="1" si="77"/>
        <v>459071.65810837556</v>
      </c>
      <c r="AE387" s="76">
        <f t="shared" ca="1" si="77"/>
        <v>459071.65810837556</v>
      </c>
      <c r="AF387" s="76">
        <f t="shared" ca="1" si="77"/>
        <v>459071.65810837556</v>
      </c>
      <c r="AG387" s="76">
        <f t="shared" ca="1" si="77"/>
        <v>459071.65810837556</v>
      </c>
      <c r="AH387" s="76">
        <f t="shared" ca="1" si="77"/>
        <v>459071.65810837556</v>
      </c>
      <c r="AI387" s="76">
        <f t="shared" ca="1" si="77"/>
        <v>459071.65810837556</v>
      </c>
      <c r="AJ387" s="76">
        <f t="shared" ca="1" si="77"/>
        <v>459071.65810837556</v>
      </c>
      <c r="AK387" s="76">
        <f t="shared" ca="1" si="77"/>
        <v>459071.65810837556</v>
      </c>
      <c r="AL387" s="76">
        <f t="shared" ca="1" si="77"/>
        <v>459071.65810837556</v>
      </c>
      <c r="AM387" s="76">
        <f t="shared" ca="1" si="77"/>
        <v>459071.65810837556</v>
      </c>
      <c r="AN387" s="76">
        <f t="shared" ca="1" si="77"/>
        <v>459071.65810837556</v>
      </c>
      <c r="AO387" s="76">
        <f t="shared" ca="1" si="77"/>
        <v>459071.65810837556</v>
      </c>
      <c r="AP387" s="76">
        <f t="shared" ca="1" si="77"/>
        <v>459071.65810837556</v>
      </c>
      <c r="AQ387" s="76">
        <f t="shared" ca="1" si="77"/>
        <v>459071.65810837556</v>
      </c>
      <c r="AR387" s="76">
        <f t="shared" ca="1" si="77"/>
        <v>459071.65810837556</v>
      </c>
      <c r="AS387" s="76">
        <f t="shared" ca="1" si="77"/>
        <v>459071.65810837556</v>
      </c>
      <c r="AT387" s="76">
        <f t="shared" ca="1" si="77"/>
        <v>459071.65810837556</v>
      </c>
      <c r="AU387" s="76">
        <f t="shared" ca="1" si="77"/>
        <v>459071.65810837556</v>
      </c>
      <c r="AV387" s="76">
        <f t="shared" ca="1" si="77"/>
        <v>459071.65810837556</v>
      </c>
      <c r="AW387" s="76">
        <f t="shared" ca="1" si="77"/>
        <v>459071.65810837556</v>
      </c>
    </row>
    <row r="389" spans="3:49">
      <c r="C389" s="4" t="s">
        <v>246</v>
      </c>
    </row>
    <row r="390" spans="3:49">
      <c r="C390" t="str">
        <f>C8</f>
        <v>Existing coal Large</v>
      </c>
      <c r="D390" s="26">
        <f t="shared" ref="D390:AC390" si="78">IF(D8=0,0,D367/D8/8760)</f>
        <v>0.77123086050198464</v>
      </c>
      <c r="E390" s="26">
        <f t="shared" si="78"/>
        <v>0.77123086050198464</v>
      </c>
      <c r="F390" s="26">
        <f t="shared" si="78"/>
        <v>0.79663707773562631</v>
      </c>
      <c r="G390" s="26">
        <f t="shared" si="78"/>
        <v>0.80548716546221288</v>
      </c>
      <c r="H390" s="26">
        <f t="shared" si="78"/>
        <v>0.80548716546221288</v>
      </c>
      <c r="I390" s="26">
        <f t="shared" ca="1" si="78"/>
        <v>0.82450319167071895</v>
      </c>
      <c r="J390" s="26">
        <f t="shared" ca="1" si="78"/>
        <v>0.83694952129581446</v>
      </c>
      <c r="K390" s="26">
        <f t="shared" ca="1" si="78"/>
        <v>0.85100435396934715</v>
      </c>
      <c r="L390" s="26">
        <f t="shared" ca="1" si="78"/>
        <v>0.86195018650263922</v>
      </c>
      <c r="M390" s="26">
        <f t="shared" ca="1" si="78"/>
        <v>0.87057493204096037</v>
      </c>
      <c r="N390" s="26">
        <f t="shared" ca="1" si="78"/>
        <v>0.87057493204096037</v>
      </c>
      <c r="O390" s="26">
        <f t="shared" ca="1" si="78"/>
        <v>0.87057493204096037</v>
      </c>
      <c r="P390" s="26">
        <f t="shared" ca="1" si="78"/>
        <v>0.87057493204096037</v>
      </c>
      <c r="Q390" s="26">
        <f t="shared" ca="1" si="78"/>
        <v>0.87057493204096037</v>
      </c>
      <c r="R390" s="26">
        <f t="shared" ca="1" si="78"/>
        <v>0.87057493204096037</v>
      </c>
      <c r="S390" s="26">
        <f t="shared" ca="1" si="78"/>
        <v>0.87057493204096037</v>
      </c>
      <c r="T390" s="26">
        <f t="shared" ca="1" si="78"/>
        <v>0.87057493204096037</v>
      </c>
      <c r="U390" s="26">
        <f t="shared" ca="1" si="78"/>
        <v>0.87057493204096037</v>
      </c>
      <c r="V390" s="26">
        <f t="shared" ca="1" si="78"/>
        <v>0.85022332704066206</v>
      </c>
      <c r="W390" s="26">
        <f t="shared" ca="1" si="78"/>
        <v>0.85748068855170534</v>
      </c>
      <c r="X390" s="26">
        <f t="shared" ca="1" si="78"/>
        <v>0.87057493204096048</v>
      </c>
      <c r="Y390" s="26">
        <f t="shared" ca="1" si="78"/>
        <v>0.87057493204096048</v>
      </c>
      <c r="Z390" s="26">
        <f t="shared" ca="1" si="78"/>
        <v>0.87057493204096037</v>
      </c>
      <c r="AA390" s="26">
        <f t="shared" ca="1" si="78"/>
        <v>0.87057493204096048</v>
      </c>
      <c r="AB390" s="26">
        <f t="shared" ca="1" si="78"/>
        <v>0.87057493204096048</v>
      </c>
      <c r="AC390" s="26">
        <f t="shared" ca="1" si="78"/>
        <v>0.87057493204096037</v>
      </c>
    </row>
    <row r="391" spans="3:49">
      <c r="C391" t="str">
        <f t="shared" ref="C391:C409" si="79">C9</f>
        <v>Existing coal Small</v>
      </c>
      <c r="D391" s="26">
        <f t="shared" ref="D391:AC391" si="80">IF(D9=0,0,D368/D9/8760)</f>
        <v>0.24117070041146876</v>
      </c>
      <c r="E391" s="26">
        <f t="shared" si="80"/>
        <v>0.24117070041146876</v>
      </c>
      <c r="F391" s="26">
        <f t="shared" si="80"/>
        <v>0.24117070041146876</v>
      </c>
      <c r="G391" s="26">
        <f t="shared" si="80"/>
        <v>0.24117070041146876</v>
      </c>
      <c r="H391" s="26">
        <f t="shared" si="80"/>
        <v>0.24117070041146876</v>
      </c>
      <c r="I391" s="26">
        <f t="shared" ca="1" si="80"/>
        <v>0.24117070041146876</v>
      </c>
      <c r="J391" s="26">
        <f t="shared" ca="1" si="80"/>
        <v>0.24117070041146876</v>
      </c>
      <c r="K391" s="26">
        <f t="shared" ca="1" si="80"/>
        <v>0.24117070041146876</v>
      </c>
      <c r="L391" s="26">
        <f t="shared" ca="1" si="80"/>
        <v>0.24117070041146876</v>
      </c>
      <c r="M391" s="26">
        <f t="shared" ca="1" si="80"/>
        <v>0.24117070041146876</v>
      </c>
      <c r="N391" s="26">
        <f t="shared" ca="1" si="80"/>
        <v>0.24117070041146876</v>
      </c>
      <c r="O391" s="26">
        <f t="shared" ca="1" si="80"/>
        <v>0.24117070041146876</v>
      </c>
      <c r="P391" s="26">
        <f t="shared" ca="1" si="80"/>
        <v>0.24117070041146876</v>
      </c>
      <c r="Q391" s="26">
        <f t="shared" ca="1" si="80"/>
        <v>0.24117070041146882</v>
      </c>
      <c r="R391" s="26">
        <f t="shared" ca="1" si="80"/>
        <v>0.24117070041146876</v>
      </c>
      <c r="S391" s="26">
        <f t="shared" ca="1" si="80"/>
        <v>0.24117070041146876</v>
      </c>
      <c r="T391" s="26">
        <f t="shared" ca="1" si="80"/>
        <v>0.24117070041146882</v>
      </c>
      <c r="U391" s="26">
        <f t="shared" ca="1" si="80"/>
        <v>0.24117070041146882</v>
      </c>
      <c r="V391" s="26">
        <f t="shared" ca="1" si="80"/>
        <v>0.24117070041146882</v>
      </c>
      <c r="W391" s="26">
        <f t="shared" ca="1" si="80"/>
        <v>0.24117070041146882</v>
      </c>
      <c r="X391" s="26">
        <f t="shared" ca="1" si="80"/>
        <v>0.24117070041146876</v>
      </c>
      <c r="Y391" s="26">
        <f t="shared" ca="1" si="80"/>
        <v>0.24117070041146876</v>
      </c>
      <c r="Z391" s="26">
        <f t="shared" ca="1" si="80"/>
        <v>0.24117070041146876</v>
      </c>
      <c r="AA391" s="26">
        <f t="shared" ca="1" si="80"/>
        <v>0.24117070041146876</v>
      </c>
      <c r="AB391" s="26">
        <f t="shared" ca="1" si="80"/>
        <v>0.24117070041146876</v>
      </c>
      <c r="AC391" s="26">
        <f t="shared" ca="1" si="80"/>
        <v>0.24117070041146876</v>
      </c>
    </row>
    <row r="392" spans="3:49">
      <c r="C392" t="str">
        <f t="shared" si="79"/>
        <v>OCGT liquid fuels</v>
      </c>
      <c r="D392" s="26">
        <f t="shared" ref="D392:AC392" si="81">IF(D10=0,0,D369/D10/8760)</f>
        <v>3.1001273333333329E-2</v>
      </c>
      <c r="E392" s="26">
        <f t="shared" si="81"/>
        <v>3.1001273333333329E-2</v>
      </c>
      <c r="F392" s="26">
        <f t="shared" si="81"/>
        <v>3.1001273333333329E-2</v>
      </c>
      <c r="G392" s="26">
        <f t="shared" si="81"/>
        <v>3.1001273333333329E-2</v>
      </c>
      <c r="H392" s="26">
        <f t="shared" si="81"/>
        <v>3.1001273333333329E-2</v>
      </c>
      <c r="I392" s="26">
        <f t="shared" ca="1" si="81"/>
        <v>3.1001273333333329E-2</v>
      </c>
      <c r="J392" s="26">
        <f t="shared" ca="1" si="81"/>
        <v>3.1001273333333329E-2</v>
      </c>
      <c r="K392" s="26">
        <f t="shared" ca="1" si="81"/>
        <v>3.1001273333333329E-2</v>
      </c>
      <c r="L392" s="26">
        <f t="shared" ca="1" si="81"/>
        <v>3.1001273333333329E-2</v>
      </c>
      <c r="M392" s="26">
        <f t="shared" ca="1" si="81"/>
        <v>3.1001273333333329E-2</v>
      </c>
      <c r="N392" s="26">
        <f t="shared" ca="1" si="81"/>
        <v>3.1001273333333329E-2</v>
      </c>
      <c r="O392" s="26">
        <f t="shared" ca="1" si="81"/>
        <v>3.1001273333333329E-2</v>
      </c>
      <c r="P392" s="26">
        <f t="shared" ca="1" si="81"/>
        <v>3.1001273333333329E-2</v>
      </c>
      <c r="Q392" s="26">
        <f t="shared" ca="1" si="81"/>
        <v>3.1001273333333329E-2</v>
      </c>
      <c r="R392" s="26">
        <f t="shared" ca="1" si="81"/>
        <v>3.1001273333333329E-2</v>
      </c>
      <c r="S392" s="26">
        <f t="shared" ca="1" si="81"/>
        <v>3.1001273333333329E-2</v>
      </c>
      <c r="T392" s="26">
        <f t="shared" ca="1" si="81"/>
        <v>3.1001273333333329E-2</v>
      </c>
      <c r="U392" s="26">
        <f t="shared" ca="1" si="81"/>
        <v>3.1001273333333329E-2</v>
      </c>
      <c r="V392" s="26">
        <f t="shared" ca="1" si="81"/>
        <v>3.1001273333333329E-2</v>
      </c>
      <c r="W392" s="26">
        <f t="shared" ca="1" si="81"/>
        <v>3.1001273333333329E-2</v>
      </c>
      <c r="X392" s="26">
        <f t="shared" ca="1" si="81"/>
        <v>3.1001273333333329E-2</v>
      </c>
      <c r="Y392" s="26">
        <f t="shared" ca="1" si="81"/>
        <v>3.1001273333333336E-2</v>
      </c>
      <c r="Z392" s="26">
        <f t="shared" ca="1" si="81"/>
        <v>3.1001273333333336E-2</v>
      </c>
      <c r="AA392" s="26">
        <f t="shared" ca="1" si="81"/>
        <v>3.1001273333333336E-2</v>
      </c>
      <c r="AB392" s="26">
        <f t="shared" ca="1" si="81"/>
        <v>3.1001273333333329E-2</v>
      </c>
      <c r="AC392" s="26">
        <f t="shared" ca="1" si="81"/>
        <v>3.1001273333333329E-2</v>
      </c>
    </row>
    <row r="393" spans="3:49">
      <c r="C393" t="str">
        <f t="shared" si="79"/>
        <v>PWR nuclear</v>
      </c>
      <c r="D393" s="26">
        <f t="shared" ref="D393:AC393" si="82">IF(D11=0,0,D370/D11/8760)</f>
        <v>0.83699999999999986</v>
      </c>
      <c r="E393" s="26">
        <f t="shared" si="82"/>
        <v>0.83699999999999986</v>
      </c>
      <c r="F393" s="26">
        <f t="shared" si="82"/>
        <v>0.83699999999999986</v>
      </c>
      <c r="G393" s="26">
        <f t="shared" si="82"/>
        <v>0.83699999999999986</v>
      </c>
      <c r="H393" s="26">
        <f t="shared" si="82"/>
        <v>0.83699999999999986</v>
      </c>
      <c r="I393" s="26">
        <f t="shared" ca="1" si="82"/>
        <v>0.83699999999999986</v>
      </c>
      <c r="J393" s="26">
        <f t="shared" ca="1" si="82"/>
        <v>0.83699999999999986</v>
      </c>
      <c r="K393" s="26">
        <f t="shared" ca="1" si="82"/>
        <v>0.83699999999999986</v>
      </c>
      <c r="L393" s="26">
        <f t="shared" ca="1" si="82"/>
        <v>0.83699999999999986</v>
      </c>
      <c r="M393" s="26">
        <f t="shared" ca="1" si="82"/>
        <v>0.83699999999999986</v>
      </c>
      <c r="N393" s="26">
        <f t="shared" ca="1" si="82"/>
        <v>0.83699999999999986</v>
      </c>
      <c r="O393" s="26">
        <f t="shared" ca="1" si="82"/>
        <v>0.83699999999999986</v>
      </c>
      <c r="P393" s="26">
        <f t="shared" ca="1" si="82"/>
        <v>0.83699999999999986</v>
      </c>
      <c r="Q393" s="26">
        <f t="shared" ca="1" si="82"/>
        <v>0.83699999999999986</v>
      </c>
      <c r="R393" s="26">
        <f t="shared" ca="1" si="82"/>
        <v>0.83699999999999986</v>
      </c>
      <c r="S393" s="26">
        <f t="shared" ca="1" si="82"/>
        <v>0.83699999999999986</v>
      </c>
      <c r="T393" s="26">
        <f t="shared" ca="1" si="82"/>
        <v>0.83699999999999986</v>
      </c>
      <c r="U393" s="26">
        <f t="shared" ca="1" si="82"/>
        <v>0.83699999999999986</v>
      </c>
      <c r="V393" s="26">
        <f t="shared" ca="1" si="82"/>
        <v>0.83699999999999986</v>
      </c>
      <c r="W393" s="26">
        <f t="shared" ca="1" si="82"/>
        <v>0.83699999999999986</v>
      </c>
      <c r="X393" s="26">
        <f t="shared" ca="1" si="82"/>
        <v>0.83699999999999986</v>
      </c>
      <c r="Y393" s="26">
        <f t="shared" ca="1" si="82"/>
        <v>0.83699999999999986</v>
      </c>
      <c r="Z393" s="26">
        <f t="shared" ca="1" si="82"/>
        <v>0.83699999999999986</v>
      </c>
      <c r="AA393" s="26">
        <f t="shared" ca="1" si="82"/>
        <v>0.83699999999999986</v>
      </c>
      <c r="AB393" s="26">
        <f t="shared" ca="1" si="82"/>
        <v>0.83699999999999986</v>
      </c>
      <c r="AC393" s="26">
        <f t="shared" ca="1" si="82"/>
        <v>0.83699999999999986</v>
      </c>
    </row>
    <row r="394" spans="3:49">
      <c r="C394" t="str">
        <f t="shared" si="79"/>
        <v>Hydro</v>
      </c>
      <c r="D394" s="26">
        <f t="shared" ref="D394:AC394" si="83">IF(D12=0,0,D371/D12/8760)</f>
        <v>0.15079248120300756</v>
      </c>
      <c r="E394" s="26">
        <f t="shared" si="83"/>
        <v>0.15079248120300756</v>
      </c>
      <c r="F394" s="26">
        <f t="shared" si="83"/>
        <v>0.15079248120300756</v>
      </c>
      <c r="G394" s="26">
        <f t="shared" si="83"/>
        <v>0.15079248120300756</v>
      </c>
      <c r="H394" s="26">
        <f t="shared" si="83"/>
        <v>0.15079248120300756</v>
      </c>
      <c r="I394" s="26">
        <f t="shared" ca="1" si="83"/>
        <v>0.15079248120300756</v>
      </c>
      <c r="J394" s="26">
        <f t="shared" ca="1" si="83"/>
        <v>0.15079248120300756</v>
      </c>
      <c r="K394" s="26">
        <f t="shared" ca="1" si="83"/>
        <v>0.15079248120300756</v>
      </c>
      <c r="L394" s="26">
        <f t="shared" ca="1" si="83"/>
        <v>0.15079248120300756</v>
      </c>
      <c r="M394" s="26">
        <f t="shared" ca="1" si="83"/>
        <v>0.15079248120300756</v>
      </c>
      <c r="N394" s="26">
        <f t="shared" ca="1" si="83"/>
        <v>0.15079248120300756</v>
      </c>
      <c r="O394" s="26">
        <f t="shared" ca="1" si="83"/>
        <v>0.15079248120300756</v>
      </c>
      <c r="P394" s="26">
        <f t="shared" ca="1" si="83"/>
        <v>0.15079248120300756</v>
      </c>
      <c r="Q394" s="26">
        <f t="shared" ca="1" si="83"/>
        <v>0.15079248120300756</v>
      </c>
      <c r="R394" s="26">
        <f t="shared" ca="1" si="83"/>
        <v>0.15079248120300756</v>
      </c>
      <c r="S394" s="26">
        <f t="shared" ca="1" si="83"/>
        <v>0.15079248120300756</v>
      </c>
      <c r="T394" s="26">
        <f t="shared" ca="1" si="83"/>
        <v>0.15079248120300756</v>
      </c>
      <c r="U394" s="26">
        <f t="shared" ca="1" si="83"/>
        <v>0.15079248120300756</v>
      </c>
      <c r="V394" s="26">
        <f t="shared" ca="1" si="83"/>
        <v>0.15079248120300756</v>
      </c>
      <c r="W394" s="26">
        <f t="shared" ca="1" si="83"/>
        <v>0.15079248120300756</v>
      </c>
      <c r="X394" s="26">
        <f t="shared" ca="1" si="83"/>
        <v>0.15079248120300756</v>
      </c>
      <c r="Y394" s="26">
        <f t="shared" ca="1" si="83"/>
        <v>0.15079248120300756</v>
      </c>
      <c r="Z394" s="26">
        <f t="shared" ca="1" si="83"/>
        <v>0.15079248120300756</v>
      </c>
      <c r="AA394" s="26">
        <f t="shared" ca="1" si="83"/>
        <v>0.15079248120300756</v>
      </c>
      <c r="AB394" s="26">
        <f t="shared" ca="1" si="83"/>
        <v>0.15079248120300756</v>
      </c>
      <c r="AC394" s="26">
        <f t="shared" ca="1" si="83"/>
        <v>0.15079248120300756</v>
      </c>
    </row>
    <row r="395" spans="3:49">
      <c r="C395" t="str">
        <f t="shared" si="79"/>
        <v>Landfill gas</v>
      </c>
      <c r="D395" s="26">
        <f t="shared" ref="D395:AC395" si="84">IF(D13=0,0,D372/D13/8760)</f>
        <v>0.85562499999999997</v>
      </c>
      <c r="E395" s="26">
        <f t="shared" si="84"/>
        <v>0.85562499999999997</v>
      </c>
      <c r="F395" s="26">
        <f t="shared" si="84"/>
        <v>0.85562499999999997</v>
      </c>
      <c r="G395" s="26">
        <f t="shared" si="84"/>
        <v>0.85562499999999997</v>
      </c>
      <c r="H395" s="26">
        <f t="shared" si="84"/>
        <v>0.85562499999999997</v>
      </c>
      <c r="I395" s="26">
        <f t="shared" ca="1" si="84"/>
        <v>0.85562499999999997</v>
      </c>
      <c r="J395" s="26">
        <f t="shared" ca="1" si="84"/>
        <v>0.85562499999999997</v>
      </c>
      <c r="K395" s="26">
        <f t="shared" ca="1" si="84"/>
        <v>0.85562499999999997</v>
      </c>
      <c r="L395" s="26">
        <f t="shared" ca="1" si="84"/>
        <v>0.85562499999999997</v>
      </c>
      <c r="M395" s="26">
        <f t="shared" ca="1" si="84"/>
        <v>0.85562499999999997</v>
      </c>
      <c r="N395" s="26">
        <f t="shared" ca="1" si="84"/>
        <v>0.85562499999999997</v>
      </c>
      <c r="O395" s="26">
        <f t="shared" ca="1" si="84"/>
        <v>0.85562499999999997</v>
      </c>
      <c r="P395" s="26">
        <f t="shared" ca="1" si="84"/>
        <v>0.85562499999999997</v>
      </c>
      <c r="Q395" s="26">
        <f t="shared" ca="1" si="84"/>
        <v>0.85562499999999997</v>
      </c>
      <c r="R395" s="26">
        <f t="shared" ca="1" si="84"/>
        <v>0.85562499999999997</v>
      </c>
      <c r="S395" s="26">
        <f t="shared" ca="1" si="84"/>
        <v>0.85562499999999997</v>
      </c>
      <c r="T395" s="26">
        <f t="shared" ca="1" si="84"/>
        <v>0.85562499999999997</v>
      </c>
      <c r="U395" s="26">
        <f t="shared" ca="1" si="84"/>
        <v>0.85562499999999997</v>
      </c>
      <c r="V395" s="26">
        <f t="shared" ca="1" si="84"/>
        <v>0.85562499999999997</v>
      </c>
      <c r="W395" s="26">
        <f t="shared" ca="1" si="84"/>
        <v>0.85562499999999997</v>
      </c>
      <c r="X395" s="26">
        <f t="shared" ca="1" si="84"/>
        <v>0.85562499999999997</v>
      </c>
      <c r="Y395" s="26">
        <f t="shared" ca="1" si="84"/>
        <v>0.85562499999999997</v>
      </c>
      <c r="Z395" s="26">
        <f t="shared" ca="1" si="84"/>
        <v>0.85562499999999997</v>
      </c>
      <c r="AA395" s="26">
        <f t="shared" ca="1" si="84"/>
        <v>0.85562499999999997</v>
      </c>
      <c r="AB395" s="26">
        <f t="shared" ca="1" si="84"/>
        <v>0.85562499999999997</v>
      </c>
      <c r="AC395" s="26">
        <f t="shared" ca="1" si="84"/>
        <v>0.85562499999999997</v>
      </c>
    </row>
    <row r="396" spans="3:49">
      <c r="C396" t="str">
        <f t="shared" si="79"/>
        <v>Biomass</v>
      </c>
      <c r="D396" s="26">
        <f t="shared" ref="D396:AC396" si="85">IF(D14=0,0,D373/D14/8760)</f>
        <v>0.9025000000000174</v>
      </c>
      <c r="E396" s="26">
        <f t="shared" si="85"/>
        <v>0.90249999999999997</v>
      </c>
      <c r="F396" s="26">
        <f t="shared" si="85"/>
        <v>0.90249999999999997</v>
      </c>
      <c r="G396" s="26">
        <f t="shared" si="85"/>
        <v>0.90249999999999997</v>
      </c>
      <c r="H396" s="26">
        <f t="shared" si="85"/>
        <v>0.90249999999999997</v>
      </c>
      <c r="I396" s="26">
        <f t="shared" ca="1" si="85"/>
        <v>0.90249999999999997</v>
      </c>
      <c r="J396" s="26">
        <f t="shared" ca="1" si="85"/>
        <v>0.90249999999999997</v>
      </c>
      <c r="K396" s="26">
        <f t="shared" ca="1" si="85"/>
        <v>0.90249999999999997</v>
      </c>
      <c r="L396" s="26">
        <f t="shared" ca="1" si="85"/>
        <v>0.90249999999999997</v>
      </c>
      <c r="M396" s="26">
        <f t="shared" ca="1" si="85"/>
        <v>0.90249999999999997</v>
      </c>
      <c r="N396" s="26">
        <f t="shared" ca="1" si="85"/>
        <v>0.90249999999999997</v>
      </c>
      <c r="O396" s="26">
        <f t="shared" ca="1" si="85"/>
        <v>0.90249999999999997</v>
      </c>
      <c r="P396" s="26">
        <f t="shared" ca="1" si="85"/>
        <v>0.90249999999999997</v>
      </c>
      <c r="Q396" s="26">
        <f t="shared" ca="1" si="85"/>
        <v>0.90249999999999997</v>
      </c>
      <c r="R396" s="26">
        <f t="shared" ca="1" si="85"/>
        <v>0.90249999999999997</v>
      </c>
      <c r="S396" s="26">
        <f t="shared" ca="1" si="85"/>
        <v>0.90249999999999997</v>
      </c>
      <c r="T396" s="26">
        <f t="shared" ca="1" si="85"/>
        <v>0.90249999999999997</v>
      </c>
      <c r="U396" s="26">
        <f t="shared" ca="1" si="85"/>
        <v>0.90249999999999997</v>
      </c>
      <c r="V396" s="26">
        <f t="shared" ca="1" si="85"/>
        <v>0.90249999999999997</v>
      </c>
      <c r="W396" s="26">
        <f t="shared" ca="1" si="85"/>
        <v>0.90249999999999997</v>
      </c>
      <c r="X396" s="26">
        <f t="shared" ca="1" si="85"/>
        <v>0.90249999999999997</v>
      </c>
      <c r="Y396" s="26">
        <f t="shared" ca="1" si="85"/>
        <v>0.90249999999999997</v>
      </c>
      <c r="Z396" s="26">
        <f t="shared" ca="1" si="85"/>
        <v>0.90249999999999997</v>
      </c>
      <c r="AA396" s="26">
        <f t="shared" ca="1" si="85"/>
        <v>0.90249999999999997</v>
      </c>
      <c r="AB396" s="26">
        <f t="shared" ca="1" si="85"/>
        <v>0.90249999999999997</v>
      </c>
      <c r="AC396" s="26">
        <f t="shared" ca="1" si="85"/>
        <v>0.90249999999999997</v>
      </c>
    </row>
    <row r="397" spans="3:49">
      <c r="C397" t="str">
        <f t="shared" si="79"/>
        <v>Supercritical coal</v>
      </c>
      <c r="D397" s="26">
        <f t="shared" ref="D397:AC397" si="86">IF(D15=0,0,D374/D15/8760)</f>
        <v>0</v>
      </c>
      <c r="E397" s="26">
        <f t="shared" si="86"/>
        <v>0</v>
      </c>
      <c r="F397" s="26">
        <f t="shared" si="86"/>
        <v>0</v>
      </c>
      <c r="G397" s="26">
        <f t="shared" si="86"/>
        <v>0</v>
      </c>
      <c r="H397" s="26">
        <f t="shared" si="86"/>
        <v>0</v>
      </c>
      <c r="I397" s="26">
        <f t="shared" ca="1" si="86"/>
        <v>0</v>
      </c>
      <c r="J397" s="26">
        <f t="shared" ca="1" si="86"/>
        <v>0</v>
      </c>
      <c r="K397" s="26">
        <f t="shared" ca="1" si="86"/>
        <v>0.24351250000000005</v>
      </c>
      <c r="L397" s="26">
        <f t="shared" ca="1" si="86"/>
        <v>0.24351250000000005</v>
      </c>
      <c r="M397" s="26">
        <f t="shared" ca="1" si="86"/>
        <v>0.25481824304048917</v>
      </c>
      <c r="N397" s="26">
        <f t="shared" ca="1" si="86"/>
        <v>0.26855070460843994</v>
      </c>
      <c r="O397" s="26">
        <f t="shared" ca="1" si="86"/>
        <v>0.30066858490745124</v>
      </c>
      <c r="P397" s="26">
        <f t="shared" ca="1" si="86"/>
        <v>0.32340694854378516</v>
      </c>
      <c r="Q397" s="26">
        <f t="shared" ca="1" si="86"/>
        <v>0.35200066368716171</v>
      </c>
      <c r="R397" s="26">
        <f t="shared" ca="1" si="86"/>
        <v>0.34478976124074751</v>
      </c>
      <c r="S397" s="26">
        <f t="shared" ca="1" si="86"/>
        <v>0.33575850005049374</v>
      </c>
      <c r="T397" s="26">
        <f t="shared" ca="1" si="86"/>
        <v>0.2918199114290132</v>
      </c>
      <c r="U397" s="26">
        <f t="shared" ca="1" si="86"/>
        <v>0.26236354319698069</v>
      </c>
      <c r="V397" s="26">
        <f t="shared" ca="1" si="86"/>
        <v>0.24351250000000005</v>
      </c>
      <c r="W397" s="26">
        <f t="shared" ca="1" si="86"/>
        <v>0.24351250000000005</v>
      </c>
      <c r="X397" s="26">
        <f t="shared" ca="1" si="86"/>
        <v>0.24505140307820375</v>
      </c>
      <c r="Y397" s="26">
        <f t="shared" ca="1" si="86"/>
        <v>0.32194177473217306</v>
      </c>
      <c r="Z397" s="26">
        <f t="shared" ca="1" si="86"/>
        <v>0.35347480069740561</v>
      </c>
      <c r="AA397" s="26">
        <f t="shared" ca="1" si="86"/>
        <v>0.39585514745802181</v>
      </c>
      <c r="AB397" s="26">
        <f t="shared" ca="1" si="86"/>
        <v>0.54673904720207356</v>
      </c>
      <c r="AC397" s="26">
        <f t="shared" ca="1" si="86"/>
        <v>0.56270545425188068</v>
      </c>
    </row>
    <row r="398" spans="3:49">
      <c r="C398" t="str">
        <f t="shared" si="79"/>
        <v xml:space="preserve">Wind 30% </v>
      </c>
      <c r="D398" s="26">
        <f t="shared" ref="D398:AC398" si="87">IF(D16=0,0,D375/D16/8760)</f>
        <v>0</v>
      </c>
      <c r="E398" s="26">
        <f t="shared" si="87"/>
        <v>0</v>
      </c>
      <c r="F398" s="26">
        <f t="shared" si="87"/>
        <v>0</v>
      </c>
      <c r="G398" s="26">
        <f t="shared" si="87"/>
        <v>0</v>
      </c>
      <c r="H398" s="26">
        <f t="shared" si="87"/>
        <v>0</v>
      </c>
      <c r="I398" s="26">
        <f t="shared" ca="1" si="87"/>
        <v>0.3</v>
      </c>
      <c r="J398" s="26">
        <f t="shared" ca="1" si="87"/>
        <v>0.3</v>
      </c>
      <c r="K398" s="26">
        <f t="shared" ca="1" si="87"/>
        <v>0.3</v>
      </c>
      <c r="L398" s="26">
        <f t="shared" ca="1" si="87"/>
        <v>0.30000000000000004</v>
      </c>
      <c r="M398" s="26">
        <f t="shared" ca="1" si="87"/>
        <v>0.3</v>
      </c>
      <c r="N398" s="26">
        <f t="shared" ca="1" si="87"/>
        <v>0.3</v>
      </c>
      <c r="O398" s="26">
        <f t="shared" ca="1" si="87"/>
        <v>0.3</v>
      </c>
      <c r="P398" s="26">
        <f t="shared" ca="1" si="87"/>
        <v>0.3</v>
      </c>
      <c r="Q398" s="26">
        <f t="shared" ca="1" si="87"/>
        <v>0.29999999999999993</v>
      </c>
      <c r="R398" s="26">
        <f t="shared" ca="1" si="87"/>
        <v>0.3</v>
      </c>
      <c r="S398" s="26">
        <f t="shared" ca="1" si="87"/>
        <v>0.3</v>
      </c>
      <c r="T398" s="26">
        <f t="shared" ca="1" si="87"/>
        <v>0.3</v>
      </c>
      <c r="U398" s="26">
        <f t="shared" ca="1" si="87"/>
        <v>0.3</v>
      </c>
      <c r="V398" s="26">
        <f t="shared" ca="1" si="87"/>
        <v>0.3</v>
      </c>
      <c r="W398" s="26">
        <f t="shared" ca="1" si="87"/>
        <v>0.3</v>
      </c>
      <c r="X398" s="26">
        <f t="shared" ca="1" si="87"/>
        <v>0.3</v>
      </c>
      <c r="Y398" s="26">
        <f t="shared" ca="1" si="87"/>
        <v>0.3</v>
      </c>
      <c r="Z398" s="26">
        <f t="shared" ca="1" si="87"/>
        <v>0.3</v>
      </c>
      <c r="AA398" s="26">
        <f t="shared" ca="1" si="87"/>
        <v>0.3</v>
      </c>
      <c r="AB398" s="26">
        <f t="shared" ca="1" si="87"/>
        <v>0.3</v>
      </c>
      <c r="AC398" s="26">
        <f t="shared" ca="1" si="87"/>
        <v>0.29999999999999993</v>
      </c>
    </row>
    <row r="399" spans="3:49">
      <c r="C399" t="str">
        <f t="shared" si="79"/>
        <v>Wind 25%</v>
      </c>
      <c r="D399" s="26">
        <f t="shared" ref="D399:AC399" si="88">IF(D17=0,0,D376/D17/8760)</f>
        <v>0</v>
      </c>
      <c r="E399" s="26">
        <f t="shared" si="88"/>
        <v>0</v>
      </c>
      <c r="F399" s="26">
        <f t="shared" si="88"/>
        <v>0</v>
      </c>
      <c r="G399" s="26">
        <f t="shared" si="88"/>
        <v>0</v>
      </c>
      <c r="H399" s="26">
        <f t="shared" si="88"/>
        <v>0</v>
      </c>
      <c r="I399" s="26">
        <f t="shared" ca="1" si="88"/>
        <v>0</v>
      </c>
      <c r="J399" s="26">
        <f t="shared" ca="1" si="88"/>
        <v>0</v>
      </c>
      <c r="K399" s="26">
        <f t="shared" ca="1" si="88"/>
        <v>0</v>
      </c>
      <c r="L399" s="26">
        <f t="shared" ca="1" si="88"/>
        <v>0</v>
      </c>
      <c r="M399" s="26">
        <f t="shared" ca="1" si="88"/>
        <v>0</v>
      </c>
      <c r="N399" s="26">
        <f t="shared" ca="1" si="88"/>
        <v>0</v>
      </c>
      <c r="O399" s="26">
        <f t="shared" ca="1" si="88"/>
        <v>0</v>
      </c>
      <c r="P399" s="26">
        <f t="shared" ca="1" si="88"/>
        <v>0</v>
      </c>
      <c r="Q399" s="26">
        <f t="shared" ca="1" si="88"/>
        <v>0</v>
      </c>
      <c r="R399" s="26">
        <f t="shared" ca="1" si="88"/>
        <v>0</v>
      </c>
      <c r="S399" s="26">
        <f t="shared" ca="1" si="88"/>
        <v>0</v>
      </c>
      <c r="T399" s="26">
        <f t="shared" ca="1" si="88"/>
        <v>0</v>
      </c>
      <c r="U399" s="26">
        <f t="shared" ca="1" si="88"/>
        <v>0.25</v>
      </c>
      <c r="V399" s="26">
        <f t="shared" ca="1" si="88"/>
        <v>0.25</v>
      </c>
      <c r="W399" s="26">
        <f t="shared" ca="1" si="88"/>
        <v>0.25</v>
      </c>
      <c r="X399" s="26">
        <f t="shared" ca="1" si="88"/>
        <v>0.25</v>
      </c>
      <c r="Y399" s="26">
        <f t="shared" ca="1" si="88"/>
        <v>0.25</v>
      </c>
      <c r="Z399" s="26">
        <f t="shared" ca="1" si="88"/>
        <v>0.25</v>
      </c>
      <c r="AA399" s="26">
        <f t="shared" ca="1" si="88"/>
        <v>0.25</v>
      </c>
      <c r="AB399" s="26">
        <f t="shared" ca="1" si="88"/>
        <v>0.25</v>
      </c>
      <c r="AC399" s="26">
        <f t="shared" ca="1" si="88"/>
        <v>0.25</v>
      </c>
    </row>
    <row r="400" spans="3:49">
      <c r="C400" t="str">
        <f t="shared" si="79"/>
        <v>solar thermal central reciever</v>
      </c>
      <c r="D400" s="26">
        <f t="shared" ref="D400:AC400" si="89">IF(D18=0,0,D377/D18/8760)</f>
        <v>0</v>
      </c>
      <c r="E400" s="26">
        <f t="shared" si="89"/>
        <v>0</v>
      </c>
      <c r="F400" s="26">
        <f t="shared" si="89"/>
        <v>0</v>
      </c>
      <c r="G400" s="26">
        <f t="shared" si="89"/>
        <v>0</v>
      </c>
      <c r="H400" s="26">
        <f t="shared" si="89"/>
        <v>0</v>
      </c>
      <c r="I400" s="26">
        <f t="shared" ca="1" si="89"/>
        <v>0</v>
      </c>
      <c r="J400" s="26">
        <f t="shared" ca="1" si="89"/>
        <v>0</v>
      </c>
      <c r="K400" s="26">
        <f t="shared" ca="1" si="89"/>
        <v>0</v>
      </c>
      <c r="L400" s="26">
        <f t="shared" ca="1" si="89"/>
        <v>0</v>
      </c>
      <c r="M400" s="26">
        <f t="shared" ca="1" si="89"/>
        <v>0</v>
      </c>
      <c r="N400" s="26">
        <f t="shared" ca="1" si="89"/>
        <v>0.6</v>
      </c>
      <c r="O400" s="26">
        <f t="shared" ca="1" si="89"/>
        <v>0.6</v>
      </c>
      <c r="P400" s="26">
        <f t="shared" ca="1" si="89"/>
        <v>0.6</v>
      </c>
      <c r="Q400" s="26">
        <f t="shared" ca="1" si="89"/>
        <v>0.59999999999999987</v>
      </c>
      <c r="R400" s="26">
        <f t="shared" ca="1" si="89"/>
        <v>0.6</v>
      </c>
      <c r="S400" s="26">
        <f t="shared" ca="1" si="89"/>
        <v>0.6</v>
      </c>
      <c r="T400" s="26">
        <f t="shared" ca="1" si="89"/>
        <v>0.6</v>
      </c>
      <c r="U400" s="26">
        <f t="shared" ca="1" si="89"/>
        <v>0.6</v>
      </c>
      <c r="V400" s="26">
        <f t="shared" ca="1" si="89"/>
        <v>0.6</v>
      </c>
      <c r="W400" s="26">
        <f t="shared" ca="1" si="89"/>
        <v>0.6</v>
      </c>
      <c r="X400" s="26">
        <f t="shared" ca="1" si="89"/>
        <v>0.6</v>
      </c>
      <c r="Y400" s="26">
        <f t="shared" ca="1" si="89"/>
        <v>0.6</v>
      </c>
      <c r="Z400" s="26">
        <f t="shared" ca="1" si="89"/>
        <v>0.6</v>
      </c>
      <c r="AA400" s="26">
        <f t="shared" ca="1" si="89"/>
        <v>0.59999999999999987</v>
      </c>
      <c r="AB400" s="26">
        <f t="shared" ca="1" si="89"/>
        <v>0.59999999999999987</v>
      </c>
      <c r="AC400" s="26">
        <f t="shared" ca="1" si="89"/>
        <v>0.6</v>
      </c>
    </row>
    <row r="401" spans="3:29">
      <c r="C401" t="str">
        <f t="shared" si="79"/>
        <v>solar thermal trough</v>
      </c>
      <c r="D401" s="26">
        <f t="shared" ref="D401:AC401" si="90">IF(D19=0,0,D378/D19/8760)</f>
        <v>0</v>
      </c>
      <c r="E401" s="26">
        <f t="shared" si="90"/>
        <v>0</v>
      </c>
      <c r="F401" s="26">
        <f t="shared" si="90"/>
        <v>0</v>
      </c>
      <c r="G401" s="26">
        <f t="shared" si="90"/>
        <v>0</v>
      </c>
      <c r="H401" s="26">
        <f t="shared" si="90"/>
        <v>0</v>
      </c>
      <c r="I401" s="26">
        <f t="shared" ca="1" si="90"/>
        <v>0</v>
      </c>
      <c r="J401" s="26">
        <f t="shared" ca="1" si="90"/>
        <v>0</v>
      </c>
      <c r="K401" s="26">
        <f t="shared" ca="1" si="90"/>
        <v>0</v>
      </c>
      <c r="L401" s="26">
        <f t="shared" ca="1" si="90"/>
        <v>0</v>
      </c>
      <c r="M401" s="26">
        <f t="shared" ca="1" si="90"/>
        <v>0</v>
      </c>
      <c r="N401" s="26">
        <f t="shared" ca="1" si="90"/>
        <v>0</v>
      </c>
      <c r="O401" s="26">
        <f t="shared" ca="1" si="90"/>
        <v>0</v>
      </c>
      <c r="P401" s="26">
        <f t="shared" ca="1" si="90"/>
        <v>0</v>
      </c>
      <c r="Q401" s="26">
        <f t="shared" ca="1" si="90"/>
        <v>0</v>
      </c>
      <c r="R401" s="26">
        <f t="shared" ca="1" si="90"/>
        <v>0</v>
      </c>
      <c r="S401" s="26">
        <f t="shared" ca="1" si="90"/>
        <v>0</v>
      </c>
      <c r="T401" s="26">
        <f t="shared" ca="1" si="90"/>
        <v>0</v>
      </c>
      <c r="U401" s="26">
        <f t="shared" ca="1" si="90"/>
        <v>0</v>
      </c>
      <c r="V401" s="26">
        <f t="shared" ca="1" si="90"/>
        <v>0</v>
      </c>
      <c r="W401" s="26">
        <f t="shared" ca="1" si="90"/>
        <v>0</v>
      </c>
      <c r="X401" s="26">
        <f t="shared" ca="1" si="90"/>
        <v>0</v>
      </c>
      <c r="Y401" s="26">
        <f t="shared" ca="1" si="90"/>
        <v>0</v>
      </c>
      <c r="Z401" s="26">
        <f t="shared" ca="1" si="90"/>
        <v>0</v>
      </c>
      <c r="AA401" s="26">
        <f t="shared" ca="1" si="90"/>
        <v>0</v>
      </c>
      <c r="AB401" s="26">
        <f t="shared" ca="1" si="90"/>
        <v>0</v>
      </c>
      <c r="AC401" s="26">
        <f t="shared" ca="1" si="90"/>
        <v>0</v>
      </c>
    </row>
    <row r="402" spans="3:29">
      <c r="C402" t="str">
        <f t="shared" si="79"/>
        <v>solar PV</v>
      </c>
      <c r="D402" s="26">
        <f t="shared" ref="D402:AC402" si="91">IF(D20=0,0,D379/D20/8760)</f>
        <v>0</v>
      </c>
      <c r="E402" s="26">
        <f t="shared" si="91"/>
        <v>0</v>
      </c>
      <c r="F402" s="26">
        <f t="shared" si="91"/>
        <v>0</v>
      </c>
      <c r="G402" s="26">
        <f t="shared" si="91"/>
        <v>0</v>
      </c>
      <c r="H402" s="26">
        <f t="shared" si="91"/>
        <v>0</v>
      </c>
      <c r="I402" s="26">
        <f t="shared" ca="1" si="91"/>
        <v>0</v>
      </c>
      <c r="J402" s="26">
        <f t="shared" ca="1" si="91"/>
        <v>0</v>
      </c>
      <c r="K402" s="26">
        <f t="shared" ca="1" si="91"/>
        <v>0</v>
      </c>
      <c r="L402" s="26">
        <f t="shared" ca="1" si="91"/>
        <v>0</v>
      </c>
      <c r="M402" s="26">
        <f t="shared" ca="1" si="91"/>
        <v>0</v>
      </c>
      <c r="N402" s="26">
        <f t="shared" ca="1" si="91"/>
        <v>0</v>
      </c>
      <c r="O402" s="26">
        <f t="shared" ca="1" si="91"/>
        <v>0</v>
      </c>
      <c r="P402" s="26">
        <f t="shared" ca="1" si="91"/>
        <v>0</v>
      </c>
      <c r="Q402" s="26">
        <f t="shared" ca="1" si="91"/>
        <v>0</v>
      </c>
      <c r="R402" s="26">
        <f t="shared" ca="1" si="91"/>
        <v>0</v>
      </c>
      <c r="S402" s="26">
        <f t="shared" ca="1" si="91"/>
        <v>0</v>
      </c>
      <c r="T402" s="26">
        <f t="shared" ca="1" si="91"/>
        <v>0</v>
      </c>
      <c r="U402" s="26">
        <f t="shared" ca="1" si="91"/>
        <v>0</v>
      </c>
      <c r="V402" s="26">
        <f t="shared" ca="1" si="91"/>
        <v>0</v>
      </c>
      <c r="W402" s="26">
        <f t="shared" ca="1" si="91"/>
        <v>0</v>
      </c>
      <c r="X402" s="26">
        <f t="shared" ca="1" si="91"/>
        <v>0</v>
      </c>
      <c r="Y402" s="26">
        <f t="shared" ca="1" si="91"/>
        <v>0</v>
      </c>
      <c r="Z402" s="26">
        <f t="shared" ca="1" si="91"/>
        <v>0</v>
      </c>
      <c r="AA402" s="26">
        <f t="shared" ca="1" si="91"/>
        <v>0</v>
      </c>
      <c r="AB402" s="26">
        <f t="shared" ca="1" si="91"/>
        <v>0</v>
      </c>
      <c r="AC402" s="26">
        <f t="shared" ca="1" si="91"/>
        <v>0</v>
      </c>
    </row>
    <row r="403" spans="3:29">
      <c r="C403" t="str">
        <f t="shared" si="79"/>
        <v>combined cycle gas</v>
      </c>
      <c r="D403" s="26">
        <f t="shared" ref="D403:AC403" si="92">IF(D21=0,0,D380/D21/8760)</f>
        <v>0</v>
      </c>
      <c r="E403" s="26">
        <f t="shared" si="92"/>
        <v>0</v>
      </c>
      <c r="F403" s="26">
        <f t="shared" si="92"/>
        <v>0</v>
      </c>
      <c r="G403" s="26">
        <f t="shared" si="92"/>
        <v>0</v>
      </c>
      <c r="H403" s="26">
        <f t="shared" si="92"/>
        <v>0</v>
      </c>
      <c r="I403" s="26">
        <f t="shared" ca="1" si="92"/>
        <v>0</v>
      </c>
      <c r="J403" s="26">
        <f t="shared" ca="1" si="92"/>
        <v>0</v>
      </c>
      <c r="K403" s="26">
        <f t="shared" ca="1" si="92"/>
        <v>0</v>
      </c>
      <c r="L403" s="26">
        <f t="shared" ca="1" si="92"/>
        <v>0</v>
      </c>
      <c r="M403" s="26">
        <f t="shared" ca="1" si="92"/>
        <v>0</v>
      </c>
      <c r="N403" s="26">
        <f t="shared" ca="1" si="92"/>
        <v>0</v>
      </c>
      <c r="O403" s="26">
        <f t="shared" ca="1" si="92"/>
        <v>0</v>
      </c>
      <c r="P403" s="26">
        <f t="shared" ca="1" si="92"/>
        <v>0</v>
      </c>
      <c r="Q403" s="26">
        <f t="shared" ca="1" si="92"/>
        <v>0</v>
      </c>
      <c r="R403" s="26">
        <f t="shared" ca="1" si="92"/>
        <v>0</v>
      </c>
      <c r="S403" s="26">
        <f t="shared" ca="1" si="92"/>
        <v>0</v>
      </c>
      <c r="T403" s="26">
        <f t="shared" ca="1" si="92"/>
        <v>0</v>
      </c>
      <c r="U403" s="26">
        <f t="shared" ca="1" si="92"/>
        <v>0</v>
      </c>
      <c r="V403" s="26">
        <f t="shared" ca="1" si="92"/>
        <v>0</v>
      </c>
      <c r="W403" s="26">
        <f t="shared" ca="1" si="92"/>
        <v>0</v>
      </c>
      <c r="X403" s="26">
        <f t="shared" ca="1" si="92"/>
        <v>0</v>
      </c>
      <c r="Y403" s="26">
        <f t="shared" ca="1" si="92"/>
        <v>0</v>
      </c>
      <c r="Z403" s="26">
        <f t="shared" ca="1" si="92"/>
        <v>0.53088235294117636</v>
      </c>
      <c r="AA403" s="26">
        <f t="shared" ca="1" si="92"/>
        <v>0.53088235294117647</v>
      </c>
      <c r="AB403" s="26">
        <f t="shared" ca="1" si="92"/>
        <v>0.53088235294117636</v>
      </c>
      <c r="AC403" s="26">
        <f t="shared" ca="1" si="92"/>
        <v>0.53088235294117636</v>
      </c>
    </row>
    <row r="404" spans="3:29">
      <c r="C404" t="str">
        <f t="shared" si="79"/>
        <v>PBMR</v>
      </c>
      <c r="D404" s="26">
        <f t="shared" ref="D404:AC404" si="93">IF(D22=0,0,D381/D22/8760)</f>
        <v>0</v>
      </c>
      <c r="E404" s="26">
        <f t="shared" si="93"/>
        <v>0</v>
      </c>
      <c r="F404" s="26">
        <f t="shared" si="93"/>
        <v>0</v>
      </c>
      <c r="G404" s="26">
        <f t="shared" si="93"/>
        <v>0</v>
      </c>
      <c r="H404" s="26">
        <f t="shared" si="93"/>
        <v>0</v>
      </c>
      <c r="I404" s="26">
        <f t="shared" ca="1" si="93"/>
        <v>0</v>
      </c>
      <c r="J404" s="26">
        <f t="shared" ca="1" si="93"/>
        <v>0</v>
      </c>
      <c r="K404" s="26">
        <f t="shared" ca="1" si="93"/>
        <v>0</v>
      </c>
      <c r="L404" s="26">
        <f t="shared" ca="1" si="93"/>
        <v>0</v>
      </c>
      <c r="M404" s="26">
        <f t="shared" ca="1" si="93"/>
        <v>0</v>
      </c>
      <c r="N404" s="26">
        <f t="shared" ca="1" si="93"/>
        <v>0</v>
      </c>
      <c r="O404" s="26">
        <f t="shared" ca="1" si="93"/>
        <v>0</v>
      </c>
      <c r="P404" s="26">
        <f t="shared" ca="1" si="93"/>
        <v>0</v>
      </c>
      <c r="Q404" s="26">
        <f t="shared" ca="1" si="93"/>
        <v>0</v>
      </c>
      <c r="R404" s="26">
        <f t="shared" ca="1" si="93"/>
        <v>0</v>
      </c>
      <c r="S404" s="26">
        <f t="shared" ca="1" si="93"/>
        <v>0</v>
      </c>
      <c r="T404" s="26">
        <f t="shared" ca="1" si="93"/>
        <v>0</v>
      </c>
      <c r="U404" s="26">
        <f t="shared" ca="1" si="93"/>
        <v>0</v>
      </c>
      <c r="V404" s="26">
        <f t="shared" ca="1" si="93"/>
        <v>0</v>
      </c>
      <c r="W404" s="26">
        <f t="shared" ca="1" si="93"/>
        <v>0</v>
      </c>
      <c r="X404" s="26">
        <f t="shared" ca="1" si="93"/>
        <v>0</v>
      </c>
      <c r="Y404" s="26">
        <f t="shared" ca="1" si="93"/>
        <v>0</v>
      </c>
      <c r="Z404" s="26">
        <f t="shared" ca="1" si="93"/>
        <v>0</v>
      </c>
      <c r="AA404" s="26">
        <f t="shared" ca="1" si="93"/>
        <v>0</v>
      </c>
      <c r="AB404" s="26">
        <f t="shared" ca="1" si="93"/>
        <v>0</v>
      </c>
      <c r="AC404" s="26">
        <f t="shared" ca="1" si="93"/>
        <v>0</v>
      </c>
    </row>
    <row r="405" spans="3:29">
      <c r="C405" t="str">
        <f t="shared" si="79"/>
        <v>IGCC</v>
      </c>
      <c r="D405" s="26">
        <f t="shared" ref="D405:AC405" si="94">IF(D23=0,0,D382/D23/8760)</f>
        <v>0</v>
      </c>
      <c r="E405" s="26">
        <f t="shared" si="94"/>
        <v>0</v>
      </c>
      <c r="F405" s="26">
        <f t="shared" si="94"/>
        <v>0</v>
      </c>
      <c r="G405" s="26">
        <f t="shared" si="94"/>
        <v>0</v>
      </c>
      <c r="H405" s="26">
        <f t="shared" si="94"/>
        <v>0</v>
      </c>
      <c r="I405" s="26">
        <f t="shared" ca="1" si="94"/>
        <v>0</v>
      </c>
      <c r="J405" s="26">
        <f t="shared" ca="1" si="94"/>
        <v>0</v>
      </c>
      <c r="K405" s="26">
        <f t="shared" ca="1" si="94"/>
        <v>0</v>
      </c>
      <c r="L405" s="26">
        <f t="shared" ca="1" si="94"/>
        <v>0</v>
      </c>
      <c r="M405" s="26">
        <f t="shared" ca="1" si="94"/>
        <v>0</v>
      </c>
      <c r="N405" s="26">
        <f t="shared" ca="1" si="94"/>
        <v>0</v>
      </c>
      <c r="O405" s="26">
        <f t="shared" ca="1" si="94"/>
        <v>0</v>
      </c>
      <c r="P405" s="26">
        <f t="shared" ca="1" si="94"/>
        <v>0</v>
      </c>
      <c r="Q405" s="26">
        <f t="shared" ca="1" si="94"/>
        <v>0</v>
      </c>
      <c r="R405" s="26">
        <f t="shared" ca="1" si="94"/>
        <v>0</v>
      </c>
      <c r="S405" s="26">
        <f t="shared" ca="1" si="94"/>
        <v>0</v>
      </c>
      <c r="T405" s="26">
        <f t="shared" ca="1" si="94"/>
        <v>0</v>
      </c>
      <c r="U405" s="26">
        <f t="shared" ca="1" si="94"/>
        <v>0</v>
      </c>
      <c r="V405" s="26">
        <f t="shared" ca="1" si="94"/>
        <v>0</v>
      </c>
      <c r="W405" s="26">
        <f t="shared" ca="1" si="94"/>
        <v>0</v>
      </c>
      <c r="X405" s="26">
        <f t="shared" ca="1" si="94"/>
        <v>0</v>
      </c>
      <c r="Y405" s="26">
        <f t="shared" ca="1" si="94"/>
        <v>0</v>
      </c>
      <c r="Z405" s="26">
        <f t="shared" ca="1" si="94"/>
        <v>0</v>
      </c>
      <c r="AA405" s="26">
        <f t="shared" ca="1" si="94"/>
        <v>0</v>
      </c>
      <c r="AB405" s="26">
        <f t="shared" ca="1" si="94"/>
        <v>0.85716399999999993</v>
      </c>
      <c r="AC405" s="26">
        <f t="shared" ca="1" si="94"/>
        <v>0.85716399999999993</v>
      </c>
    </row>
    <row r="406" spans="3:29">
      <c r="C406" t="str">
        <f t="shared" si="79"/>
        <v>-</v>
      </c>
      <c r="D406" s="26">
        <f t="shared" ref="D406:AC406" si="95">IF(D24=0,0,D383/D24/8760)</f>
        <v>0</v>
      </c>
      <c r="E406" s="26">
        <f t="shared" si="95"/>
        <v>0</v>
      </c>
      <c r="F406" s="26">
        <f t="shared" si="95"/>
        <v>0</v>
      </c>
      <c r="G406" s="26">
        <f t="shared" si="95"/>
        <v>0</v>
      </c>
      <c r="H406" s="26">
        <f t="shared" si="95"/>
        <v>0</v>
      </c>
      <c r="I406" s="26">
        <f t="shared" ca="1" si="95"/>
        <v>0</v>
      </c>
      <c r="J406" s="26">
        <f t="shared" ca="1" si="95"/>
        <v>0</v>
      </c>
      <c r="K406" s="26">
        <f t="shared" ca="1" si="95"/>
        <v>0</v>
      </c>
      <c r="L406" s="26">
        <f t="shared" ca="1" si="95"/>
        <v>0</v>
      </c>
      <c r="M406" s="26">
        <f t="shared" ca="1" si="95"/>
        <v>0</v>
      </c>
      <c r="N406" s="26">
        <f t="shared" ca="1" si="95"/>
        <v>0</v>
      </c>
      <c r="O406" s="26">
        <f t="shared" ca="1" si="95"/>
        <v>0</v>
      </c>
      <c r="P406" s="26">
        <f t="shared" ca="1" si="95"/>
        <v>0</v>
      </c>
      <c r="Q406" s="26">
        <f t="shared" ca="1" si="95"/>
        <v>0</v>
      </c>
      <c r="R406" s="26">
        <f t="shared" ca="1" si="95"/>
        <v>0</v>
      </c>
      <c r="S406" s="26">
        <f t="shared" ca="1" si="95"/>
        <v>0</v>
      </c>
      <c r="T406" s="26">
        <f t="shared" ca="1" si="95"/>
        <v>0</v>
      </c>
      <c r="U406" s="26">
        <f t="shared" ca="1" si="95"/>
        <v>0</v>
      </c>
      <c r="V406" s="26">
        <f t="shared" ca="1" si="95"/>
        <v>0</v>
      </c>
      <c r="W406" s="26">
        <f t="shared" ca="1" si="95"/>
        <v>0</v>
      </c>
      <c r="X406" s="26">
        <f t="shared" ca="1" si="95"/>
        <v>0</v>
      </c>
      <c r="Y406" s="26">
        <f t="shared" ca="1" si="95"/>
        <v>0</v>
      </c>
      <c r="Z406" s="26">
        <f t="shared" ca="1" si="95"/>
        <v>0</v>
      </c>
      <c r="AA406" s="26">
        <f t="shared" ca="1" si="95"/>
        <v>0</v>
      </c>
      <c r="AB406" s="26">
        <f t="shared" ca="1" si="95"/>
        <v>0</v>
      </c>
      <c r="AC406" s="26">
        <f t="shared" ca="1" si="95"/>
        <v>0</v>
      </c>
    </row>
    <row r="407" spans="3:29">
      <c r="C407" t="str">
        <f t="shared" si="79"/>
        <v>-</v>
      </c>
      <c r="D407" s="26">
        <f t="shared" ref="D407:AC407" si="96">IF(D25=0,0,D384/D25/8760)</f>
        <v>0</v>
      </c>
      <c r="E407" s="26">
        <f t="shared" si="96"/>
        <v>0</v>
      </c>
      <c r="F407" s="26">
        <f t="shared" si="96"/>
        <v>0</v>
      </c>
      <c r="G407" s="26">
        <f t="shared" si="96"/>
        <v>0</v>
      </c>
      <c r="H407" s="26">
        <f t="shared" si="96"/>
        <v>0</v>
      </c>
      <c r="I407" s="26">
        <f t="shared" ca="1" si="96"/>
        <v>0</v>
      </c>
      <c r="J407" s="26">
        <f t="shared" ca="1" si="96"/>
        <v>0</v>
      </c>
      <c r="K407" s="26">
        <f t="shared" ca="1" si="96"/>
        <v>0</v>
      </c>
      <c r="L407" s="26">
        <f t="shared" ca="1" si="96"/>
        <v>0</v>
      </c>
      <c r="M407" s="26">
        <f t="shared" ca="1" si="96"/>
        <v>0</v>
      </c>
      <c r="N407" s="26">
        <f t="shared" ca="1" si="96"/>
        <v>0</v>
      </c>
      <c r="O407" s="26">
        <f t="shared" ca="1" si="96"/>
        <v>0</v>
      </c>
      <c r="P407" s="26">
        <f t="shared" ca="1" si="96"/>
        <v>0</v>
      </c>
      <c r="Q407" s="26">
        <f t="shared" ca="1" si="96"/>
        <v>0</v>
      </c>
      <c r="R407" s="26">
        <f t="shared" ca="1" si="96"/>
        <v>0</v>
      </c>
      <c r="S407" s="26">
        <f t="shared" ca="1" si="96"/>
        <v>0</v>
      </c>
      <c r="T407" s="26">
        <f t="shared" ca="1" si="96"/>
        <v>0</v>
      </c>
      <c r="U407" s="26">
        <f t="shared" ca="1" si="96"/>
        <v>0</v>
      </c>
      <c r="V407" s="26">
        <f t="shared" ca="1" si="96"/>
        <v>0</v>
      </c>
      <c r="W407" s="26">
        <f t="shared" ca="1" si="96"/>
        <v>0</v>
      </c>
      <c r="X407" s="26">
        <f t="shared" ca="1" si="96"/>
        <v>0</v>
      </c>
      <c r="Y407" s="26">
        <f t="shared" ca="1" si="96"/>
        <v>0</v>
      </c>
      <c r="Z407" s="26">
        <f t="shared" ca="1" si="96"/>
        <v>0</v>
      </c>
      <c r="AA407" s="26">
        <f t="shared" ca="1" si="96"/>
        <v>0</v>
      </c>
      <c r="AB407" s="26">
        <f t="shared" ca="1" si="96"/>
        <v>0</v>
      </c>
      <c r="AC407" s="26">
        <f t="shared" ca="1" si="96"/>
        <v>0</v>
      </c>
    </row>
    <row r="408" spans="3:29">
      <c r="C408" t="str">
        <f>C26</f>
        <v>-</v>
      </c>
      <c r="D408" s="26">
        <f t="shared" ref="D408:AC408" si="97">IF(D26=0,0,D385/D26/8760)</f>
        <v>0</v>
      </c>
      <c r="E408" s="26">
        <f t="shared" si="97"/>
        <v>0</v>
      </c>
      <c r="F408" s="26">
        <f t="shared" si="97"/>
        <v>0</v>
      </c>
      <c r="G408" s="26">
        <f t="shared" si="97"/>
        <v>0</v>
      </c>
      <c r="H408" s="26">
        <f t="shared" si="97"/>
        <v>0</v>
      </c>
      <c r="I408" s="26">
        <f t="shared" ca="1" si="97"/>
        <v>0</v>
      </c>
      <c r="J408" s="26">
        <f t="shared" ca="1" si="97"/>
        <v>0</v>
      </c>
      <c r="K408" s="26">
        <f t="shared" ca="1" si="97"/>
        <v>0</v>
      </c>
      <c r="L408" s="26">
        <f t="shared" ca="1" si="97"/>
        <v>0</v>
      </c>
      <c r="M408" s="26">
        <f t="shared" ca="1" si="97"/>
        <v>0</v>
      </c>
      <c r="N408" s="26">
        <f t="shared" ca="1" si="97"/>
        <v>0</v>
      </c>
      <c r="O408" s="26">
        <f t="shared" ca="1" si="97"/>
        <v>0</v>
      </c>
      <c r="P408" s="26">
        <f t="shared" ca="1" si="97"/>
        <v>0</v>
      </c>
      <c r="Q408" s="26">
        <f t="shared" ca="1" si="97"/>
        <v>0</v>
      </c>
      <c r="R408" s="26">
        <f t="shared" ca="1" si="97"/>
        <v>0</v>
      </c>
      <c r="S408" s="26">
        <f t="shared" ca="1" si="97"/>
        <v>0</v>
      </c>
      <c r="T408" s="26">
        <f t="shared" ca="1" si="97"/>
        <v>0</v>
      </c>
      <c r="U408" s="26">
        <f t="shared" ca="1" si="97"/>
        <v>0</v>
      </c>
      <c r="V408" s="26">
        <f t="shared" ca="1" si="97"/>
        <v>0</v>
      </c>
      <c r="W408" s="26">
        <f t="shared" ca="1" si="97"/>
        <v>0</v>
      </c>
      <c r="X408" s="26">
        <f t="shared" ca="1" si="97"/>
        <v>0</v>
      </c>
      <c r="Y408" s="26">
        <f t="shared" ca="1" si="97"/>
        <v>0</v>
      </c>
      <c r="Z408" s="26">
        <f t="shared" ca="1" si="97"/>
        <v>0</v>
      </c>
      <c r="AA408" s="26">
        <f t="shared" ca="1" si="97"/>
        <v>0</v>
      </c>
      <c r="AB408" s="26">
        <f t="shared" ca="1" si="97"/>
        <v>0</v>
      </c>
      <c r="AC408" s="26">
        <f t="shared" ca="1" si="97"/>
        <v>0</v>
      </c>
    </row>
    <row r="409" spans="3:29">
      <c r="C409" t="str">
        <f t="shared" si="79"/>
        <v>Pumped storage</v>
      </c>
      <c r="D409" s="26">
        <f t="shared" ref="D409:AC409" si="98">IF(D27=0,0,D386/D27/8760)</f>
        <v>0.22368649211028269</v>
      </c>
      <c r="E409" s="26">
        <f t="shared" si="98"/>
        <v>0.22368649211028269</v>
      </c>
      <c r="F409" s="26">
        <f t="shared" si="98"/>
        <v>0.22368649211028269</v>
      </c>
      <c r="G409" s="26">
        <f t="shared" si="98"/>
        <v>0.22368649211028269</v>
      </c>
      <c r="H409" s="26">
        <f t="shared" si="98"/>
        <v>0.22368649211028269</v>
      </c>
      <c r="I409" s="26">
        <f t="shared" ca="1" si="98"/>
        <v>0.22368649211028269</v>
      </c>
      <c r="J409" s="26">
        <f t="shared" ca="1" si="98"/>
        <v>0.22368649211028269</v>
      </c>
      <c r="K409" s="26">
        <f t="shared" ca="1" si="98"/>
        <v>0.22368649211028269</v>
      </c>
      <c r="L409" s="26">
        <f t="shared" ca="1" si="98"/>
        <v>0.22368649211028269</v>
      </c>
      <c r="M409" s="26">
        <f t="shared" ca="1" si="98"/>
        <v>0.22368649211028269</v>
      </c>
      <c r="N409" s="26">
        <f t="shared" ca="1" si="98"/>
        <v>0.22368649211028269</v>
      </c>
      <c r="O409" s="26">
        <f t="shared" ca="1" si="98"/>
        <v>0.22368649211028271</v>
      </c>
      <c r="P409" s="26">
        <f t="shared" ca="1" si="98"/>
        <v>0.22368649211028271</v>
      </c>
      <c r="Q409" s="26">
        <f t="shared" ca="1" si="98"/>
        <v>0.22368649211028271</v>
      </c>
      <c r="R409" s="26">
        <f t="shared" ca="1" si="98"/>
        <v>0.22368649211028271</v>
      </c>
      <c r="S409" s="26">
        <f t="shared" ca="1" si="98"/>
        <v>0.22368649211028271</v>
      </c>
      <c r="T409" s="26">
        <f t="shared" ca="1" si="98"/>
        <v>0.22368649211028271</v>
      </c>
      <c r="U409" s="26">
        <f t="shared" ca="1" si="98"/>
        <v>0.22368649211028271</v>
      </c>
      <c r="V409" s="26">
        <f t="shared" ca="1" si="98"/>
        <v>0.22368649211028271</v>
      </c>
      <c r="W409" s="26">
        <f t="shared" ca="1" si="98"/>
        <v>0.22368649211028271</v>
      </c>
      <c r="X409" s="26">
        <f t="shared" ca="1" si="98"/>
        <v>0.22368649211028271</v>
      </c>
      <c r="Y409" s="26">
        <f t="shared" ca="1" si="98"/>
        <v>0.22368649211028271</v>
      </c>
      <c r="Z409" s="26">
        <f t="shared" ca="1" si="98"/>
        <v>0.22368649211028271</v>
      </c>
      <c r="AA409" s="26">
        <f t="shared" ca="1" si="98"/>
        <v>0.22368649211028271</v>
      </c>
      <c r="AB409" s="26">
        <f t="shared" ca="1" si="98"/>
        <v>0.22368649211028271</v>
      </c>
      <c r="AC409" s="26">
        <f t="shared" ca="1" si="98"/>
        <v>0.22368649211028271</v>
      </c>
    </row>
    <row r="410" spans="3:29">
      <c r="C410" s="11" t="s">
        <v>247</v>
      </c>
      <c r="D410" s="26">
        <f t="shared" ref="D410:AC410" si="99">D387/D28/8760</f>
        <v>0.63545166308243939</v>
      </c>
      <c r="E410" s="26">
        <f t="shared" si="99"/>
        <v>0.63545166308243939</v>
      </c>
      <c r="F410" s="26">
        <f t="shared" si="99"/>
        <v>0.65361981071431019</v>
      </c>
      <c r="G410" s="26">
        <f t="shared" si="99"/>
        <v>0.65994856477057018</v>
      </c>
      <c r="H410" s="26">
        <f t="shared" si="99"/>
        <v>0.65994856477057018</v>
      </c>
      <c r="I410" s="26">
        <f t="shared" ca="1" si="99"/>
        <v>0.66588073263741532</v>
      </c>
      <c r="J410" s="26">
        <f t="shared" ca="1" si="99"/>
        <v>0.65365340448290588</v>
      </c>
      <c r="K410" s="26">
        <f t="shared" ca="1" si="99"/>
        <v>0.6543454220161885</v>
      </c>
      <c r="L410" s="26">
        <f t="shared" ca="1" si="99"/>
        <v>0.63900581369274312</v>
      </c>
      <c r="M410" s="26">
        <f t="shared" ca="1" si="99"/>
        <v>0.61911820809620399</v>
      </c>
      <c r="N410" s="26">
        <f t="shared" ca="1" si="99"/>
        <v>0.59612888076681658</v>
      </c>
      <c r="O410" s="26">
        <f t="shared" ca="1" si="99"/>
        <v>0.5841543986085761</v>
      </c>
      <c r="P410" s="26">
        <f t="shared" ca="1" si="99"/>
        <v>0.57970861689298869</v>
      </c>
      <c r="Q410" s="26">
        <f t="shared" ca="1" si="99"/>
        <v>0.58011801733171853</v>
      </c>
      <c r="R410" s="26">
        <f t="shared" ca="1" si="99"/>
        <v>0.57331810023344421</v>
      </c>
      <c r="S410" s="26">
        <f t="shared" ca="1" si="99"/>
        <v>0.57129301297410107</v>
      </c>
      <c r="T410" s="26">
        <f t="shared" ca="1" si="99"/>
        <v>0.5629913414165072</v>
      </c>
      <c r="U410" s="26">
        <f t="shared" ca="1" si="99"/>
        <v>0.55597820696816214</v>
      </c>
      <c r="V410" s="26">
        <f t="shared" ca="1" si="99"/>
        <v>0.54351049136631535</v>
      </c>
      <c r="W410" s="26">
        <f t="shared" ca="1" si="99"/>
        <v>0.54028856909331879</v>
      </c>
      <c r="X410" s="26">
        <f t="shared" ca="1" si="99"/>
        <v>0.54079206372882127</v>
      </c>
      <c r="Y410" s="26">
        <f t="shared" ca="1" si="99"/>
        <v>0.53979018719231264</v>
      </c>
      <c r="Z410" s="26">
        <f t="shared" ca="1" si="99"/>
        <v>0.53658671105853473</v>
      </c>
      <c r="AA410" s="26">
        <f t="shared" ca="1" si="99"/>
        <v>0.53362710773805266</v>
      </c>
      <c r="AB410" s="26">
        <f t="shared" ca="1" si="99"/>
        <v>0.53241016261503149</v>
      </c>
      <c r="AC410" s="26">
        <f t="shared" ca="1" si="99"/>
        <v>0.52534675725615565</v>
      </c>
    </row>
    <row r="412" spans="3:29">
      <c r="C412" s="4" t="s">
        <v>309</v>
      </c>
    </row>
    <row r="413" spans="3:29">
      <c r="C413" s="11" t="s">
        <v>19</v>
      </c>
      <c r="D413">
        <f t="array" ref="D413">SUM('Tech Parameters'!$D$68:$D$87*'Alt scen Calcs'!D$367:D$386)</f>
        <v>217342.64587271994</v>
      </c>
      <c r="E413">
        <f t="array" ref="E413">SUM('Tech Parameters'!$D$68:$D$87*'Alt scen Calcs'!E$367:E$386)</f>
        <v>217342.64587271996</v>
      </c>
      <c r="F413">
        <f t="array" ref="F413">SUM('Tech Parameters'!$D$68:$D$87*'Alt scen Calcs'!F$367:F$386)</f>
        <v>224124.2247977783</v>
      </c>
      <c r="G413">
        <f t="array" ref="G413">SUM('Tech Parameters'!$D$68:$D$87*'Alt scen Calcs'!G$367:G$386)</f>
        <v>226486.54296028163</v>
      </c>
      <c r="H413">
        <f t="array" ref="H413">SUM('Tech Parameters'!$D$68:$D$87*'Alt scen Calcs'!H$367:H$386)</f>
        <v>226486.54296028163</v>
      </c>
      <c r="I413">
        <f t="array" aca="1" ref="I413" ca="1">SUM('Tech Parameters'!$D$68:$D$87*'Alt scen Calcs'!I$367:I$386)</f>
        <v>233005.35760559011</v>
      </c>
      <c r="J413">
        <f t="array" aca="1" ref="J413" ca="1">SUM('Tech Parameters'!$D$68:$D$87*'Alt scen Calcs'!J$367:J$386)</f>
        <v>237181.11884482935</v>
      </c>
      <c r="K413">
        <f t="array" aca="1" ref="K413" ca="1">SUM('Tech Parameters'!$D$68:$D$87*'Alt scen Calcs'!K$367:K$386)</f>
        <v>242626.45513185146</v>
      </c>
      <c r="L413">
        <f t="array" aca="1" ref="L413" ca="1">SUM('Tech Parameters'!$D$68:$D$87*'Alt scen Calcs'!L$367:L$386)</f>
        <v>248935.65515479966</v>
      </c>
      <c r="M413">
        <f t="array" aca="1" ref="M413" ca="1">SUM('Tech Parameters'!$D$68:$D$87*'Alt scen Calcs'!M$367:M$386)</f>
        <v>256790.85189061298</v>
      </c>
      <c r="N413">
        <f t="array" aca="1" ref="N413" ca="1">SUM('Tech Parameters'!$D$68:$D$87*'Alt scen Calcs'!N$367:N$386)</f>
        <v>262967.60870412725</v>
      </c>
      <c r="O413">
        <f t="array" aca="1" ref="O413" ca="1">SUM('Tech Parameters'!$D$68:$D$87*'Alt scen Calcs'!O$367:O$386)</f>
        <v>269081.4946375821</v>
      </c>
      <c r="P413">
        <f t="array" aca="1" ref="P413" ca="1">SUM('Tech Parameters'!$D$68:$D$87*'Alt scen Calcs'!P$367:P$386)</f>
        <v>272991.41625235404</v>
      </c>
      <c r="Q413">
        <f t="array" aca="1" ref="Q413" ca="1">SUM('Tech Parameters'!$D$68:$D$87*'Alt scen Calcs'!Q$367:Q$386)</f>
        <v>275272.365926256</v>
      </c>
      <c r="R413">
        <f t="array" aca="1" ref="R413" ca="1">SUM('Tech Parameters'!$D$68:$D$87*'Alt scen Calcs'!R$367:R$386)</f>
        <v>274564.87316773314</v>
      </c>
      <c r="S413">
        <f t="array" aca="1" ref="S413" ca="1">SUM('Tech Parameters'!$D$68:$D$87*'Alt scen Calcs'!S$367:S$386)</f>
        <v>271804.05385491124</v>
      </c>
      <c r="T413">
        <f t="array" aca="1" ref="T413" ca="1">SUM('Tech Parameters'!$D$68:$D$87*'Alt scen Calcs'!T$367:T$386)</f>
        <v>266129.68468399026</v>
      </c>
      <c r="U413">
        <f t="array" aca="1" ref="U413" ca="1">SUM('Tech Parameters'!$D$68:$D$87*'Alt scen Calcs'!U$367:U$386)</f>
        <v>263671.10066172056</v>
      </c>
      <c r="V413">
        <f t="array" aca="1" ref="V413" ca="1">SUM('Tech Parameters'!$D$68:$D$87*'Alt scen Calcs'!V$367:V$386)</f>
        <v>256665.3213607471</v>
      </c>
      <c r="W413">
        <f t="array" aca="1" ref="W413" ca="1">SUM('Tech Parameters'!$D$68:$D$87*'Alt scen Calcs'!W$367:W$386)</f>
        <v>250039.35440099658</v>
      </c>
      <c r="X413">
        <f t="array" aca="1" ref="X413" ca="1">SUM('Tech Parameters'!$D$68:$D$87*'Alt scen Calcs'!X$367:X$386)</f>
        <v>243913.56284834951</v>
      </c>
      <c r="Y413">
        <f t="array" aca="1" ref="Y413" ca="1">SUM('Tech Parameters'!$D$68:$D$87*'Alt scen Calcs'!Y$367:Y$386)</f>
        <v>238539.09618279443</v>
      </c>
      <c r="Z413">
        <f t="array" aca="1" ref="Z413" ca="1">SUM('Tech Parameters'!$D$68:$D$87*'Alt scen Calcs'!Z$367:Z$386)</f>
        <v>230303.62214756248</v>
      </c>
      <c r="AA413">
        <f t="array" aca="1" ref="AA413" ca="1">SUM('Tech Parameters'!$D$68:$D$87*'Alt scen Calcs'!AA$367:AA$386)</f>
        <v>220685.65185836348</v>
      </c>
      <c r="AB413">
        <f t="array" aca="1" ref="AB413" ca="1">SUM('Tech Parameters'!$D$68:$D$87*'Alt scen Calcs'!AB$367:AB$386)</f>
        <v>211098.5193538508</v>
      </c>
      <c r="AC413">
        <f t="array" aca="1" ref="AC413" ca="1">SUM('Tech Parameters'!$D$68:$D$87*'Alt scen Calcs'!AC$367:AC$386)</f>
        <v>203405.71834278593</v>
      </c>
    </row>
    <row r="414" spans="3:29">
      <c r="C414" s="11" t="s">
        <v>78</v>
      </c>
      <c r="D414">
        <f t="array" ref="D414">SUM('Tech Parameters'!$E$68:$E$87*'Alt scen Calcs'!D$367:D$386)</f>
        <v>2905.2167700000291</v>
      </c>
      <c r="E414">
        <f t="array" ref="E414">SUM('Tech Parameters'!$E$68:$E$87*'Alt scen Calcs'!E$367:E$386)</f>
        <v>2905.21677</v>
      </c>
      <c r="F414">
        <f t="array" ref="F414">SUM('Tech Parameters'!$E$68:$E$87*'Alt scen Calcs'!F$367:F$386)</f>
        <v>2905.21677</v>
      </c>
      <c r="G414">
        <f t="array" ref="G414">SUM('Tech Parameters'!$E$68:$E$87*'Alt scen Calcs'!G$367:G$386)</f>
        <v>2905.21677</v>
      </c>
      <c r="H414">
        <f t="array" ref="H414">SUM('Tech Parameters'!$E$68:$E$87*'Alt scen Calcs'!H$367:H$386)</f>
        <v>2905.21677</v>
      </c>
      <c r="I414">
        <f t="array" aca="1" ref="I414" ca="1">SUM('Tech Parameters'!$E$68:$E$87*'Alt scen Calcs'!I$367:I$386)</f>
        <v>3168.0167700000002</v>
      </c>
      <c r="J414">
        <f t="array" aca="1" ref="J414" ca="1">SUM('Tech Parameters'!$E$68:$E$87*'Alt scen Calcs'!J$367:J$386)</f>
        <v>3693.6167700000001</v>
      </c>
      <c r="K414">
        <f t="array" aca="1" ref="K414" ca="1">SUM('Tech Parameters'!$E$68:$E$87*'Alt scen Calcs'!K$367:K$386)</f>
        <v>4219.21677</v>
      </c>
      <c r="L414">
        <f t="array" aca="1" ref="L414" ca="1">SUM('Tech Parameters'!$E$68:$E$87*'Alt scen Calcs'!L$367:L$386)</f>
        <v>5270.4167699999998</v>
      </c>
      <c r="M414">
        <f t="array" aca="1" ref="M414" ca="1">SUM('Tech Parameters'!$E$68:$E$87*'Alt scen Calcs'!M$367:M$386)</f>
        <v>6321.6167700000005</v>
      </c>
      <c r="N414">
        <f t="array" aca="1" ref="N414" ca="1">SUM('Tech Parameters'!$E$68:$E$87*'Alt scen Calcs'!N$367:N$386)</f>
        <v>8949.6167700000005</v>
      </c>
      <c r="O414">
        <f t="array" aca="1" ref="O414" ca="1">SUM('Tech Parameters'!$E$68:$E$87*'Alt scen Calcs'!O$367:O$386)</f>
        <v>12103.216769999999</v>
      </c>
      <c r="P414">
        <f t="array" aca="1" ref="P414" ca="1">SUM('Tech Parameters'!$E$68:$E$87*'Alt scen Calcs'!P$367:P$386)</f>
        <v>16833.616770000001</v>
      </c>
      <c r="Q414">
        <f t="array" aca="1" ref="Q414" ca="1">SUM('Tech Parameters'!$E$68:$E$87*'Alt scen Calcs'!Q$367:Q$386)</f>
        <v>23666.41677</v>
      </c>
      <c r="R414">
        <f t="array" aca="1" ref="R414" ca="1">SUM('Tech Parameters'!$E$68:$E$87*'Alt scen Calcs'!R$367:R$386)</f>
        <v>33915.616770000001</v>
      </c>
      <c r="S414">
        <f t="array" aca="1" ref="S414" ca="1">SUM('Tech Parameters'!$E$68:$E$87*'Alt scen Calcs'!S$367:S$386)</f>
        <v>46267.216769999999</v>
      </c>
      <c r="T414">
        <f t="array" aca="1" ref="T414" ca="1">SUM('Tech Parameters'!$E$68:$E$87*'Alt scen Calcs'!T$367:T$386)</f>
        <v>62035.216769999999</v>
      </c>
      <c r="U414">
        <f t="array" aca="1" ref="U414" ca="1">SUM('Tech Parameters'!$E$68:$E$87*'Alt scen Calcs'!U$367:U$386)</f>
        <v>74737.216769999999</v>
      </c>
      <c r="V414">
        <f t="array" aca="1" ref="V414" ca="1">SUM('Tech Parameters'!$E$68:$E$87*'Alt scen Calcs'!V$367:V$386)</f>
        <v>92695.216769999999</v>
      </c>
      <c r="W414">
        <f t="array" aca="1" ref="W414" ca="1">SUM('Tech Parameters'!$E$68:$E$87*'Alt scen Calcs'!W$367:W$386)</f>
        <v>110653.21677</v>
      </c>
      <c r="X414">
        <f t="array" aca="1" ref="X414" ca="1">SUM('Tech Parameters'!$E$68:$E$87*'Alt scen Calcs'!X$367:X$386)</f>
        <v>128611.21677</v>
      </c>
      <c r="Y414">
        <f t="array" aca="1" ref="Y414" ca="1">SUM('Tech Parameters'!$E$68:$E$87*'Alt scen Calcs'!Y$367:Y$386)</f>
        <v>146569.21677</v>
      </c>
      <c r="Z414">
        <f t="array" aca="1" ref="Z414" ca="1">SUM('Tech Parameters'!$E$68:$E$87*'Alt scen Calcs'!Z$367:Z$386)</f>
        <v>164527.21677</v>
      </c>
      <c r="AA414">
        <f t="array" aca="1" ref="AA414" ca="1">SUM('Tech Parameters'!$E$68:$E$87*'Alt scen Calcs'!AA$367:AA$386)</f>
        <v>182485.21677</v>
      </c>
      <c r="AB414">
        <f t="array" aca="1" ref="AB414" ca="1">SUM('Tech Parameters'!$E$68:$E$87*'Alt scen Calcs'!AB$367:AB$386)</f>
        <v>200443.21677</v>
      </c>
      <c r="AC414">
        <f t="array" aca="1" ref="AC414" ca="1">SUM('Tech Parameters'!$E$68:$E$87*'Alt scen Calcs'!AC$367:AC$386)</f>
        <v>218138.41676999998</v>
      </c>
    </row>
    <row r="415" spans="3:29">
      <c r="C415" s="11" t="s">
        <v>222</v>
      </c>
      <c r="D415">
        <f t="array" ref="D415">SUM('Tech Parameters'!$F$68:$F$87*'Alt scen Calcs'!D$367:D$386)</f>
        <v>13197.815999999999</v>
      </c>
      <c r="E415">
        <f t="array" ref="E415">SUM('Tech Parameters'!$F$68:$F$87*'Alt scen Calcs'!E$367:E$386)</f>
        <v>13197.815999999999</v>
      </c>
      <c r="F415">
        <f t="array" ref="F415">SUM('Tech Parameters'!$F$68:$F$87*'Alt scen Calcs'!F$367:F$386)</f>
        <v>13197.815999999999</v>
      </c>
      <c r="G415">
        <f t="array" ref="G415">SUM('Tech Parameters'!$F$68:$F$87*'Alt scen Calcs'!G$367:G$386)</f>
        <v>13197.815999999999</v>
      </c>
      <c r="H415">
        <f t="array" ref="H415">SUM('Tech Parameters'!$F$68:$F$87*'Alt scen Calcs'!H$367:H$386)</f>
        <v>13197.815999999999</v>
      </c>
      <c r="I415">
        <f t="array" aca="1" ref="I415" ca="1">SUM('Tech Parameters'!$F$68:$F$87*'Alt scen Calcs'!I$367:I$386)</f>
        <v>13197.815999999999</v>
      </c>
      <c r="J415">
        <f t="array" aca="1" ref="J415" ca="1">SUM('Tech Parameters'!$F$68:$F$87*'Alt scen Calcs'!J$367:J$386)</f>
        <v>13197.815999999999</v>
      </c>
      <c r="K415">
        <f t="array" aca="1" ref="K415" ca="1">SUM('Tech Parameters'!$F$68:$F$87*'Alt scen Calcs'!K$367:K$386)</f>
        <v>13197.815999999999</v>
      </c>
      <c r="L415">
        <f t="array" aca="1" ref="L415" ca="1">SUM('Tech Parameters'!$F$68:$F$87*'Alt scen Calcs'!L$367:L$386)</f>
        <v>13197.815999999999</v>
      </c>
      <c r="M415">
        <f t="array" aca="1" ref="M415" ca="1">SUM('Tech Parameters'!$F$68:$F$87*'Alt scen Calcs'!M$367:M$386)</f>
        <v>13197.815999999999</v>
      </c>
      <c r="N415">
        <f t="array" aca="1" ref="N415" ca="1">SUM('Tech Parameters'!$F$68:$F$87*'Alt scen Calcs'!N$367:N$386)</f>
        <v>13197.815999999999</v>
      </c>
      <c r="O415">
        <f t="array" aca="1" ref="O415" ca="1">SUM('Tech Parameters'!$F$68:$F$87*'Alt scen Calcs'!O$367:O$386)</f>
        <v>13197.815999999999</v>
      </c>
      <c r="P415">
        <f t="array" aca="1" ref="P415" ca="1">SUM('Tech Parameters'!$F$68:$F$87*'Alt scen Calcs'!P$367:P$386)</f>
        <v>13197.815999999999</v>
      </c>
      <c r="Q415">
        <f t="array" aca="1" ref="Q415" ca="1">SUM('Tech Parameters'!$F$68:$F$87*'Alt scen Calcs'!Q$367:Q$386)</f>
        <v>13197.815999999999</v>
      </c>
      <c r="R415">
        <f t="array" aca="1" ref="R415" ca="1">SUM('Tech Parameters'!$F$68:$F$87*'Alt scen Calcs'!R$367:R$386)</f>
        <v>13197.815999999999</v>
      </c>
      <c r="S415">
        <f t="array" aca="1" ref="S415" ca="1">SUM('Tech Parameters'!$F$68:$F$87*'Alt scen Calcs'!S$367:S$386)</f>
        <v>13197.815999999999</v>
      </c>
      <c r="T415">
        <f t="array" aca="1" ref="T415" ca="1">SUM('Tech Parameters'!$F$68:$F$87*'Alt scen Calcs'!T$367:T$386)</f>
        <v>13197.815999999999</v>
      </c>
      <c r="U415">
        <f t="array" aca="1" ref="U415" ca="1">SUM('Tech Parameters'!$F$68:$F$87*'Alt scen Calcs'!U$367:U$386)</f>
        <v>13197.815999999999</v>
      </c>
      <c r="V415">
        <f t="array" aca="1" ref="V415" ca="1">SUM('Tech Parameters'!$F$68:$F$87*'Alt scen Calcs'!V$367:V$386)</f>
        <v>13197.815999999999</v>
      </c>
      <c r="W415">
        <f t="array" aca="1" ref="W415" ca="1">SUM('Tech Parameters'!$F$68:$F$87*'Alt scen Calcs'!W$367:W$386)</f>
        <v>13197.815999999999</v>
      </c>
      <c r="X415">
        <f t="array" aca="1" ref="X415" ca="1">SUM('Tech Parameters'!$F$68:$F$87*'Alt scen Calcs'!X$367:X$386)</f>
        <v>13197.815999999999</v>
      </c>
      <c r="Y415">
        <f t="array" aca="1" ref="Y415" ca="1">SUM('Tech Parameters'!$F$68:$F$87*'Alt scen Calcs'!Y$367:Y$386)</f>
        <v>13197.815999999999</v>
      </c>
      <c r="Z415">
        <f t="array" aca="1" ref="Z415" ca="1">SUM('Tech Parameters'!$F$68:$F$87*'Alt scen Calcs'!Z$367:Z$386)</f>
        <v>13197.815999999999</v>
      </c>
      <c r="AA415">
        <f t="array" aca="1" ref="AA415" ca="1">SUM('Tech Parameters'!$F$68:$F$87*'Alt scen Calcs'!AA$367:AA$386)</f>
        <v>13197.815999999999</v>
      </c>
      <c r="AB415">
        <f t="array" aca="1" ref="AB415" ca="1">SUM('Tech Parameters'!$F$68:$F$87*'Alt scen Calcs'!AB$367:AB$386)</f>
        <v>13197.815999999999</v>
      </c>
      <c r="AC415">
        <f t="array" aca="1" ref="AC415" ca="1">SUM('Tech Parameters'!$F$68:$F$87*'Alt scen Calcs'!AC$367:AC$386)</f>
        <v>13197.815999999999</v>
      </c>
    </row>
    <row r="416" spans="3:29">
      <c r="C416" s="11" t="s">
        <v>21</v>
      </c>
      <c r="D416">
        <f t="array" ref="D416">SUM('Tech Parameters'!$G$68:$G$87*'Alt scen Calcs'!D$367:D$386)</f>
        <v>651.77077055999985</v>
      </c>
      <c r="E416">
        <f t="array" ref="E416">SUM('Tech Parameters'!$G$68:$G$87*'Alt scen Calcs'!E$367:E$386)</f>
        <v>651.77077055999985</v>
      </c>
      <c r="F416">
        <f t="array" ref="F416">SUM('Tech Parameters'!$G$68:$G$87*'Alt scen Calcs'!F$367:F$386)</f>
        <v>651.77077055999985</v>
      </c>
      <c r="G416">
        <f t="array" ref="G416">SUM('Tech Parameters'!$G$68:$G$87*'Alt scen Calcs'!G$367:G$386)</f>
        <v>651.77077055999985</v>
      </c>
      <c r="H416">
        <f t="array" ref="H416">SUM('Tech Parameters'!$G$68:$G$87*'Alt scen Calcs'!H$367:H$386)</f>
        <v>651.77077055999985</v>
      </c>
      <c r="I416">
        <f t="array" aca="1" ref="I416" ca="1">SUM('Tech Parameters'!$G$68:$G$87*'Alt scen Calcs'!I$367:I$386)</f>
        <v>651.77077055999985</v>
      </c>
      <c r="J416">
        <f t="array" aca="1" ref="J416" ca="1">SUM('Tech Parameters'!$G$68:$G$87*'Alt scen Calcs'!J$367:J$386)</f>
        <v>945.06761731199981</v>
      </c>
      <c r="K416">
        <f t="array" aca="1" ref="K416" ca="1">SUM('Tech Parameters'!$G$68:$G$87*'Alt scen Calcs'!K$367:K$386)</f>
        <v>945.06761731199981</v>
      </c>
      <c r="L416">
        <f t="array" aca="1" ref="L416" ca="1">SUM('Tech Parameters'!$G$68:$G$87*'Alt scen Calcs'!L$367:L$386)</f>
        <v>945.06761731199981</v>
      </c>
      <c r="M416">
        <f t="array" aca="1" ref="M416" ca="1">SUM('Tech Parameters'!$G$68:$G$87*'Alt scen Calcs'!M$367:M$386)</f>
        <v>945.06761731199981</v>
      </c>
      <c r="N416">
        <f t="array" aca="1" ref="N416" ca="1">SUM('Tech Parameters'!$G$68:$G$87*'Alt scen Calcs'!N$367:N$386)</f>
        <v>945.06761731199981</v>
      </c>
      <c r="O416">
        <f t="array" aca="1" ref="O416" ca="1">SUM('Tech Parameters'!$G$68:$G$87*'Alt scen Calcs'!O$367:O$386)</f>
        <v>945.06761731199981</v>
      </c>
      <c r="P416">
        <f t="array" aca="1" ref="P416" ca="1">SUM('Tech Parameters'!$G$68:$G$87*'Alt scen Calcs'!P$367:P$386)</f>
        <v>945.06761731199981</v>
      </c>
      <c r="Q416">
        <f t="array" aca="1" ref="Q416" ca="1">SUM('Tech Parameters'!$G$68:$G$87*'Alt scen Calcs'!Q$367:Q$386)</f>
        <v>945.06761731199981</v>
      </c>
      <c r="R416">
        <f t="array" aca="1" ref="R416" ca="1">SUM('Tech Parameters'!$G$68:$G$87*'Alt scen Calcs'!R$367:R$386)</f>
        <v>945.06761731199981</v>
      </c>
      <c r="S416">
        <f t="array" aca="1" ref="S416" ca="1">SUM('Tech Parameters'!$G$68:$G$87*'Alt scen Calcs'!S$367:S$386)</f>
        <v>945.06761731199981</v>
      </c>
      <c r="T416">
        <f t="array" aca="1" ref="T416" ca="1">SUM('Tech Parameters'!$G$68:$G$87*'Alt scen Calcs'!T$367:T$386)</f>
        <v>945.06761731199981</v>
      </c>
      <c r="U416">
        <f t="array" aca="1" ref="U416" ca="1">SUM('Tech Parameters'!$G$68:$G$87*'Alt scen Calcs'!U$367:U$386)</f>
        <v>945.06761731199981</v>
      </c>
      <c r="V416">
        <f t="array" aca="1" ref="V416" ca="1">SUM('Tech Parameters'!$G$68:$G$87*'Alt scen Calcs'!V$367:V$386)</f>
        <v>945.06761731199981</v>
      </c>
      <c r="W416">
        <f t="array" aca="1" ref="W416" ca="1">SUM('Tech Parameters'!$G$68:$G$87*'Alt scen Calcs'!W$367:W$386)</f>
        <v>945.06761731199981</v>
      </c>
      <c r="X416">
        <f t="array" aca="1" ref="X416" ca="1">SUM('Tech Parameters'!$G$68:$G$87*'Alt scen Calcs'!X$367:X$386)</f>
        <v>945.06761731199981</v>
      </c>
      <c r="Y416">
        <f t="array" aca="1" ref="Y416" ca="1">SUM('Tech Parameters'!$G$68:$G$87*'Alt scen Calcs'!Y$367:Y$386)</f>
        <v>1140.59884848</v>
      </c>
      <c r="Z416">
        <f t="array" aca="1" ref="Z416" ca="1">SUM('Tech Parameters'!$G$68:$G$87*'Alt scen Calcs'!Z$367:Z$386)</f>
        <v>1140.59884848</v>
      </c>
      <c r="AA416">
        <f t="array" aca="1" ref="AA416" ca="1">SUM('Tech Parameters'!$G$68:$G$87*'Alt scen Calcs'!AA$367:AA$386)</f>
        <v>1140.59884848</v>
      </c>
      <c r="AB416">
        <f t="array" aca="1" ref="AB416" ca="1">SUM('Tech Parameters'!$G$68:$G$87*'Alt scen Calcs'!AB$367:AB$386)</f>
        <v>1401.3071567039999</v>
      </c>
      <c r="AC416">
        <f t="array" aca="1" ref="AC416" ca="1">SUM('Tech Parameters'!$G$68:$G$87*'Alt scen Calcs'!AC$367:AC$386)</f>
        <v>1615.5767975255997</v>
      </c>
    </row>
    <row r="417" spans="3:29">
      <c r="C417" s="11" t="s">
        <v>18</v>
      </c>
      <c r="D417">
        <f t="array" ref="D417">SUM('Tech Parameters'!$H$68:$H$87*'Alt scen Calcs'!D$367:D$386)</f>
        <v>0</v>
      </c>
      <c r="E417">
        <f t="array" ref="E417">SUM('Tech Parameters'!$H$68:$H$87*'Alt scen Calcs'!E$367:E$386)</f>
        <v>0</v>
      </c>
      <c r="F417">
        <f t="array" ref="F417">SUM('Tech Parameters'!$H$68:$H$87*'Alt scen Calcs'!F$367:F$386)</f>
        <v>0</v>
      </c>
      <c r="G417">
        <f t="array" ref="G417">SUM('Tech Parameters'!$H$68:$H$87*'Alt scen Calcs'!G$367:G$386)</f>
        <v>0</v>
      </c>
      <c r="H417">
        <f t="array" ref="H417">SUM('Tech Parameters'!$H$68:$H$87*'Alt scen Calcs'!H$367:H$386)</f>
        <v>0</v>
      </c>
      <c r="I417">
        <f t="array" aca="1" ref="I417" ca="1">SUM('Tech Parameters'!$H$68:$H$87*'Alt scen Calcs'!I$367:I$386)</f>
        <v>0</v>
      </c>
      <c r="J417">
        <f t="array" aca="1" ref="J417" ca="1">SUM('Tech Parameters'!$H$68:$H$87*'Alt scen Calcs'!J$367:J$386)</f>
        <v>0</v>
      </c>
      <c r="K417">
        <f t="array" aca="1" ref="K417" ca="1">SUM('Tech Parameters'!$H$68:$H$87*'Alt scen Calcs'!K$367:K$386)</f>
        <v>0</v>
      </c>
      <c r="L417">
        <f t="array" aca="1" ref="L417" ca="1">SUM('Tech Parameters'!$H$68:$H$87*'Alt scen Calcs'!L$367:L$386)</f>
        <v>0</v>
      </c>
      <c r="M417">
        <f t="array" aca="1" ref="M417" ca="1">SUM('Tech Parameters'!$H$68:$H$87*'Alt scen Calcs'!M$367:M$386)</f>
        <v>0</v>
      </c>
      <c r="N417">
        <f t="array" aca="1" ref="N417" ca="1">SUM('Tech Parameters'!$H$68:$H$87*'Alt scen Calcs'!N$367:N$386)</f>
        <v>0</v>
      </c>
      <c r="O417">
        <f t="array" aca="1" ref="O417" ca="1">SUM('Tech Parameters'!$H$68:$H$87*'Alt scen Calcs'!O$367:O$386)</f>
        <v>0</v>
      </c>
      <c r="P417">
        <f t="array" aca="1" ref="P417" ca="1">SUM('Tech Parameters'!$H$68:$H$87*'Alt scen Calcs'!P$367:P$386)</f>
        <v>0</v>
      </c>
      <c r="Q417">
        <f t="array" aca="1" ref="Q417" ca="1">SUM('Tech Parameters'!$H$68:$H$87*'Alt scen Calcs'!Q$367:Q$386)</f>
        <v>0</v>
      </c>
      <c r="R417">
        <f t="array" aca="1" ref="R417" ca="1">SUM('Tech Parameters'!$H$68:$H$87*'Alt scen Calcs'!R$367:R$386)</f>
        <v>0</v>
      </c>
      <c r="S417">
        <f t="array" aca="1" ref="S417" ca="1">SUM('Tech Parameters'!$H$68:$H$87*'Alt scen Calcs'!S$367:S$386)</f>
        <v>0</v>
      </c>
      <c r="T417">
        <f t="array" aca="1" ref="T417" ca="1">SUM('Tech Parameters'!$H$68:$H$87*'Alt scen Calcs'!T$367:T$386)</f>
        <v>0</v>
      </c>
      <c r="U417">
        <f t="array" aca="1" ref="U417" ca="1">SUM('Tech Parameters'!$H$68:$H$87*'Alt scen Calcs'!U$367:U$386)</f>
        <v>0</v>
      </c>
      <c r="V417">
        <f t="array" aca="1" ref="V417" ca="1">SUM('Tech Parameters'!$H$68:$H$87*'Alt scen Calcs'!V$367:V$386)</f>
        <v>0</v>
      </c>
      <c r="W417">
        <f t="array" aca="1" ref="W417" ca="1">SUM('Tech Parameters'!$H$68:$H$87*'Alt scen Calcs'!W$367:W$386)</f>
        <v>0</v>
      </c>
      <c r="X417">
        <f t="array" aca="1" ref="X417" ca="1">SUM('Tech Parameters'!$H$68:$H$87*'Alt scen Calcs'!X$367:X$386)</f>
        <v>0</v>
      </c>
      <c r="Y417">
        <f t="array" aca="1" ref="Y417" ca="1">SUM('Tech Parameters'!$H$68:$H$87*'Alt scen Calcs'!Y$367:Y$386)</f>
        <v>0</v>
      </c>
      <c r="Z417">
        <f t="array" aca="1" ref="Z417" ca="1">SUM('Tech Parameters'!$H$68:$H$87*'Alt scen Calcs'!Z$367:Z$386)</f>
        <v>3599.5097647058824</v>
      </c>
      <c r="AA417">
        <f t="array" aca="1" ref="AA417" ca="1">SUM('Tech Parameters'!$H$68:$H$87*'Alt scen Calcs'!AA$367:AA$386)</f>
        <v>8998.7744117647071</v>
      </c>
      <c r="AB417">
        <f t="array" aca="1" ref="AB417" ca="1">SUM('Tech Parameters'!$H$68:$H$87*'Alt scen Calcs'!AB$367:AB$386)</f>
        <v>14398.03905882353</v>
      </c>
      <c r="AC417">
        <f t="array" aca="1" ref="AC417" ca="1">SUM('Tech Parameters'!$H$68:$H$87*'Alt scen Calcs'!AC$367:AC$386)</f>
        <v>14398.03905882353</v>
      </c>
    </row>
    <row r="418" spans="3:29">
      <c r="C418" s="11" t="s">
        <v>5</v>
      </c>
      <c r="D418">
        <f>SUM(D413:D417)</f>
        <v>234097.44941327994</v>
      </c>
      <c r="E418">
        <f t="shared" ref="E418:AC418" si="100">SUM(E413:E417)</f>
        <v>234097.44941327994</v>
      </c>
      <c r="F418">
        <f t="shared" si="100"/>
        <v>240879.02833833828</v>
      </c>
      <c r="G418">
        <f t="shared" si="100"/>
        <v>243241.34650084161</v>
      </c>
      <c r="H418">
        <f t="shared" si="100"/>
        <v>243241.34650084161</v>
      </c>
      <c r="I418">
        <f t="shared" ca="1" si="100"/>
        <v>250022.96114615008</v>
      </c>
      <c r="J418">
        <f t="shared" ca="1" si="100"/>
        <v>255017.61923214133</v>
      </c>
      <c r="K418">
        <f t="shared" ca="1" si="100"/>
        <v>260988.55551916343</v>
      </c>
      <c r="L418">
        <f t="shared" ca="1" si="100"/>
        <v>268348.95554211171</v>
      </c>
      <c r="M418">
        <f t="shared" ca="1" si="100"/>
        <v>277255.35227792501</v>
      </c>
      <c r="N418">
        <f t="shared" ca="1" si="100"/>
        <v>286060.10909143928</v>
      </c>
      <c r="O418">
        <f t="shared" ca="1" si="100"/>
        <v>295327.59502489411</v>
      </c>
      <c r="P418">
        <f t="shared" ca="1" si="100"/>
        <v>303967.91663966607</v>
      </c>
      <c r="Q418">
        <f t="shared" ca="1" si="100"/>
        <v>313081.66631356801</v>
      </c>
      <c r="R418">
        <f t="shared" ca="1" si="100"/>
        <v>322623.37355504517</v>
      </c>
      <c r="S418">
        <f t="shared" ca="1" si="100"/>
        <v>332214.15424222325</v>
      </c>
      <c r="T418">
        <f t="shared" ca="1" si="100"/>
        <v>342307.78507130226</v>
      </c>
      <c r="U418">
        <f t="shared" ca="1" si="100"/>
        <v>352551.20104903256</v>
      </c>
      <c r="V418">
        <f t="shared" ca="1" si="100"/>
        <v>363503.4217480591</v>
      </c>
      <c r="W418">
        <f t="shared" ca="1" si="100"/>
        <v>374835.45478830859</v>
      </c>
      <c r="X418">
        <f t="shared" ca="1" si="100"/>
        <v>386667.66323566152</v>
      </c>
      <c r="Y418">
        <f t="shared" ca="1" si="100"/>
        <v>399446.72780127439</v>
      </c>
      <c r="Z418">
        <f t="shared" ca="1" si="100"/>
        <v>412768.76353074837</v>
      </c>
      <c r="AA418">
        <f t="shared" ca="1" si="100"/>
        <v>426508.05788860813</v>
      </c>
      <c r="AB418">
        <f t="shared" ca="1" si="100"/>
        <v>440538.89833937836</v>
      </c>
      <c r="AC418">
        <f t="shared" ca="1" si="100"/>
        <v>450755.56696913502</v>
      </c>
    </row>
    <row r="420" spans="3:29">
      <c r="C420" s="4" t="s">
        <v>344</v>
      </c>
    </row>
    <row r="421" spans="3:29">
      <c r="C421" s="11" t="s">
        <v>1</v>
      </c>
      <c r="D421" s="15">
        <f>D413/D$418</f>
        <v>0.92842808162774648</v>
      </c>
      <c r="E421" s="15">
        <f t="shared" ref="E421:AC425" si="101">E413/E$418</f>
        <v>0.9284280816277467</v>
      </c>
      <c r="F421" s="15">
        <f t="shared" si="101"/>
        <v>0.9304430790171313</v>
      </c>
      <c r="G421" s="15">
        <f t="shared" si="101"/>
        <v>0.93111860388216516</v>
      </c>
      <c r="H421" s="15">
        <f t="shared" si="101"/>
        <v>0.93111860388216516</v>
      </c>
      <c r="I421" s="15">
        <f t="shared" ca="1" si="101"/>
        <v>0.93193583716252215</v>
      </c>
      <c r="J421" s="15">
        <f t="shared" ca="1" si="101"/>
        <v>0.93005777231778053</v>
      </c>
      <c r="K421" s="15">
        <f t="shared" ca="1" si="101"/>
        <v>0.92964403994349198</v>
      </c>
      <c r="L421" s="15">
        <f t="shared" ca="1" si="101"/>
        <v>0.92765650848875569</v>
      </c>
      <c r="M421" s="15">
        <f t="shared" ca="1" si="101"/>
        <v>0.92618897987297244</v>
      </c>
      <c r="N421" s="15">
        <f t="shared" ca="1" si="101"/>
        <v>0.91927395797807476</v>
      </c>
      <c r="O421" s="15">
        <f t="shared" ca="1" si="101"/>
        <v>0.9111288588352211</v>
      </c>
      <c r="P421" s="15">
        <f t="shared" ca="1" si="101"/>
        <v>0.89809286213573447</v>
      </c>
      <c r="Q421" s="15">
        <f t="shared" ca="1" si="101"/>
        <v>0.87923502250226304</v>
      </c>
      <c r="R421" s="15">
        <f t="shared" ca="1" si="101"/>
        <v>0.85103837996067444</v>
      </c>
      <c r="S421" s="15">
        <f t="shared" ca="1" si="101"/>
        <v>0.81815916144480128</v>
      </c>
      <c r="T421" s="15">
        <f t="shared" ca="1" si="101"/>
        <v>0.77745729513150219</v>
      </c>
      <c r="U421" s="15">
        <f t="shared" ca="1" si="101"/>
        <v>0.74789448987027951</v>
      </c>
      <c r="V421" s="15">
        <f t="shared" ca="1" si="101"/>
        <v>0.70608777250696553</v>
      </c>
      <c r="W421" s="15">
        <f t="shared" ca="1" si="101"/>
        <v>0.66706431103804831</v>
      </c>
      <c r="X421" s="15">
        <f t="shared" ca="1" si="101"/>
        <v>0.63080931259486273</v>
      </c>
      <c r="Y421" s="15">
        <f t="shared" ca="1" si="101"/>
        <v>0.59717373952670894</v>
      </c>
      <c r="Z421" s="15">
        <f t="shared" ca="1" si="101"/>
        <v>0.5579482812061346</v>
      </c>
      <c r="AA421" s="15">
        <f t="shared" ca="1" si="101"/>
        <v>0.51742434351850009</v>
      </c>
      <c r="AB421" s="15">
        <f t="shared" ca="1" si="101"/>
        <v>0.47918247435037314</v>
      </c>
      <c r="AC421" s="15">
        <f t="shared" ca="1" si="101"/>
        <v>0.45125503321119026</v>
      </c>
    </row>
    <row r="422" spans="3:29">
      <c r="C422" s="11" t="s">
        <v>37</v>
      </c>
      <c r="D422" s="15">
        <f>D414/D$418</f>
        <v>1.2410288011601127E-2</v>
      </c>
      <c r="E422" s="15">
        <f t="shared" ref="E422:S422" si="102">E414/E$418</f>
        <v>1.2410288011601002E-2</v>
      </c>
      <c r="F422" s="15">
        <f t="shared" si="102"/>
        <v>1.2060895421411852E-2</v>
      </c>
      <c r="G422" s="15">
        <f t="shared" si="102"/>
        <v>1.1943762077430977E-2</v>
      </c>
      <c r="H422" s="15">
        <f t="shared" si="102"/>
        <v>1.1943762077430977E-2</v>
      </c>
      <c r="I422" s="15">
        <f t="shared" ca="1" si="102"/>
        <v>1.26709033261475E-2</v>
      </c>
      <c r="J422" s="15">
        <f t="shared" ca="1" si="102"/>
        <v>1.4483770890503523E-2</v>
      </c>
      <c r="K422" s="15">
        <f t="shared" ca="1" si="102"/>
        <v>1.6166290363219388E-2</v>
      </c>
      <c r="L422" s="15">
        <f t="shared" ca="1" si="102"/>
        <v>1.9640161294285041E-2</v>
      </c>
      <c r="M422" s="15">
        <f t="shared" ca="1" si="102"/>
        <v>2.2800702378012582E-2</v>
      </c>
      <c r="N422" s="15">
        <f t="shared" ca="1" si="102"/>
        <v>3.1285790942417804E-2</v>
      </c>
      <c r="O422" s="15">
        <f t="shared" ca="1" si="102"/>
        <v>4.0982342909675541E-2</v>
      </c>
      <c r="P422" s="15">
        <f t="shared" ca="1" si="102"/>
        <v>5.5379583990619458E-2</v>
      </c>
      <c r="Q422" s="15">
        <f t="shared" ca="1" si="102"/>
        <v>7.5591832152499205E-2</v>
      </c>
      <c r="R422" s="15">
        <f t="shared" ca="1" si="102"/>
        <v>0.10512448740547747</v>
      </c>
      <c r="S422" s="15">
        <f t="shared" ca="1" si="102"/>
        <v>0.13926925201466808</v>
      </c>
      <c r="T422" s="15">
        <f t="shared" ca="1" si="101"/>
        <v>0.18122642684588125</v>
      </c>
      <c r="U422" s="15">
        <f t="shared" ca="1" si="101"/>
        <v>0.21198968135015828</v>
      </c>
      <c r="V422" s="15">
        <f t="shared" ca="1" si="101"/>
        <v>0.25500507347148499</v>
      </c>
      <c r="W422" s="15">
        <f t="shared" ca="1" si="101"/>
        <v>0.29520477680664525</v>
      </c>
      <c r="X422" s="15">
        <f t="shared" ca="1" si="101"/>
        <v>0.33261435852631821</v>
      </c>
      <c r="Y422" s="15">
        <f t="shared" ca="1" si="101"/>
        <v>0.36693057313744853</v>
      </c>
      <c r="Z422" s="15">
        <f t="shared" ca="1" si="101"/>
        <v>0.39859415563005379</v>
      </c>
      <c r="AA422" s="15">
        <f t="shared" ca="1" si="101"/>
        <v>0.42785877873768091</v>
      </c>
      <c r="AB422" s="15">
        <f t="shared" ca="1" si="101"/>
        <v>0.45499550102289577</v>
      </c>
      <c r="AC422" s="15">
        <f t="shared" ca="1" si="101"/>
        <v>0.48393948462301911</v>
      </c>
    </row>
    <row r="423" spans="3:29">
      <c r="C423" s="11" t="s">
        <v>308</v>
      </c>
      <c r="D423" s="15">
        <f>D415/D$418</f>
        <v>5.6377444662800799E-2</v>
      </c>
      <c r="E423" s="15">
        <f t="shared" si="101"/>
        <v>5.6377444662800799E-2</v>
      </c>
      <c r="F423" s="15">
        <f t="shared" si="101"/>
        <v>5.4790224333943961E-2</v>
      </c>
      <c r="G423" s="15">
        <f t="shared" si="101"/>
        <v>5.4258111089490843E-2</v>
      </c>
      <c r="H423" s="15">
        <f t="shared" si="101"/>
        <v>5.4258111089490843E-2</v>
      </c>
      <c r="I423" s="15">
        <f t="shared" ca="1" si="101"/>
        <v>5.2786415853563383E-2</v>
      </c>
      <c r="J423" s="15">
        <f t="shared" ca="1" si="101"/>
        <v>5.1752565331519659E-2</v>
      </c>
      <c r="K423" s="15">
        <f t="shared" ca="1" si="101"/>
        <v>5.0568562187512975E-2</v>
      </c>
      <c r="L423" s="15">
        <f t="shared" ca="1" si="101"/>
        <v>4.9181544132855325E-2</v>
      </c>
      <c r="M423" s="15">
        <f t="shared" ca="1" si="101"/>
        <v>4.7601663562369417E-2</v>
      </c>
      <c r="N423" s="15">
        <f t="shared" ca="1" si="101"/>
        <v>4.613651320317895E-2</v>
      </c>
      <c r="O423" s="15">
        <f t="shared" ca="1" si="101"/>
        <v>4.4688732859140753E-2</v>
      </c>
      <c r="P423" s="15">
        <f t="shared" ca="1" si="101"/>
        <v>4.3418450690127078E-2</v>
      </c>
      <c r="Q423" s="15">
        <f t="shared" ca="1" si="101"/>
        <v>4.215454758306314E-2</v>
      </c>
      <c r="R423" s="15">
        <f t="shared" ca="1" si="101"/>
        <v>4.0907811032321939E-2</v>
      </c>
      <c r="S423" s="15">
        <f t="shared" ca="1" si="101"/>
        <v>3.9726832320266636E-2</v>
      </c>
      <c r="T423" s="15">
        <f t="shared" ca="1" si="101"/>
        <v>3.8555407079774451E-2</v>
      </c>
      <c r="U423" s="15">
        <f t="shared" ca="1" si="101"/>
        <v>3.7435175261718814E-2</v>
      </c>
      <c r="V423" s="15">
        <f t="shared" ca="1" si="101"/>
        <v>3.6307267580956322E-2</v>
      </c>
      <c r="W423" s="15">
        <f t="shared" ca="1" si="101"/>
        <v>3.5209625534098885E-2</v>
      </c>
      <c r="X423" s="15">
        <f t="shared" ca="1" si="101"/>
        <v>3.4132194788567966E-2</v>
      </c>
      <c r="Y423" s="15">
        <f t="shared" ca="1" si="101"/>
        <v>3.304024061643069E-2</v>
      </c>
      <c r="Z423" s="15">
        <f t="shared" ca="1" si="101"/>
        <v>3.197387294306938E-2</v>
      </c>
      <c r="AA423" s="15">
        <f t="shared" ca="1" si="101"/>
        <v>3.0943884308621657E-2</v>
      </c>
      <c r="AB423" s="15">
        <f t="shared" ca="1" si="101"/>
        <v>2.9958344313633766E-2</v>
      </c>
      <c r="AC423" s="15">
        <f t="shared" ca="1" si="101"/>
        <v>2.9279318919434898E-2</v>
      </c>
    </row>
    <row r="424" spans="3:29">
      <c r="C424" s="11" t="s">
        <v>307</v>
      </c>
      <c r="D424" s="15">
        <f>D416/D$418</f>
        <v>2.7841856978516317E-3</v>
      </c>
      <c r="E424" s="15">
        <f t="shared" si="101"/>
        <v>2.7841856978516317E-3</v>
      </c>
      <c r="F424" s="15">
        <f t="shared" si="101"/>
        <v>2.7058012275129393E-3</v>
      </c>
      <c r="G424" s="15">
        <f t="shared" si="101"/>
        <v>2.6795229509130542E-3</v>
      </c>
      <c r="H424" s="15">
        <f t="shared" si="101"/>
        <v>2.6795229509130542E-3</v>
      </c>
      <c r="I424" s="15">
        <f t="shared" ca="1" si="101"/>
        <v>2.6068436577671339E-3</v>
      </c>
      <c r="J424" s="15">
        <f t="shared" ca="1" si="101"/>
        <v>3.7058914601963608E-3</v>
      </c>
      <c r="K424" s="15">
        <f t="shared" ca="1" si="101"/>
        <v>3.6211075057756966E-3</v>
      </c>
      <c r="L424" s="15">
        <f t="shared" ca="1" si="101"/>
        <v>3.5217860841038054E-3</v>
      </c>
      <c r="M424" s="15">
        <f t="shared" ca="1" si="101"/>
        <v>3.4086541866454197E-3</v>
      </c>
      <c r="N424" s="15">
        <f t="shared" ca="1" si="101"/>
        <v>3.3037378763283221E-3</v>
      </c>
      <c r="O424" s="15">
        <f t="shared" ca="1" si="101"/>
        <v>3.2000653959625312E-3</v>
      </c>
      <c r="P424" s="15">
        <f t="shared" ca="1" si="101"/>
        <v>3.1091031835189212E-3</v>
      </c>
      <c r="Q424" s="15">
        <f t="shared" ca="1" si="101"/>
        <v>3.0185977621744998E-3</v>
      </c>
      <c r="R424" s="15">
        <f t="shared" ca="1" si="101"/>
        <v>2.9293216015260433E-3</v>
      </c>
      <c r="S424" s="15">
        <f t="shared" ca="1" si="101"/>
        <v>2.8447542202639994E-3</v>
      </c>
      <c r="T424" s="15">
        <f t="shared" ca="1" si="101"/>
        <v>2.7608709428421077E-3</v>
      </c>
      <c r="U424" s="15">
        <f t="shared" ca="1" si="101"/>
        <v>2.6806535178433856E-3</v>
      </c>
      <c r="V424" s="15">
        <f t="shared" ca="1" si="101"/>
        <v>2.5998864405931714E-3</v>
      </c>
      <c r="W424" s="15">
        <f t="shared" ca="1" si="101"/>
        <v>2.5212866212075231E-3</v>
      </c>
      <c r="X424" s="15">
        <f t="shared" ca="1" si="101"/>
        <v>2.4441340902510676E-3</v>
      </c>
      <c r="Y424" s="15">
        <f t="shared" ca="1" si="101"/>
        <v>2.8554467194119824E-3</v>
      </c>
      <c r="Z424" s="15">
        <f t="shared" ca="1" si="101"/>
        <v>2.7632877030798709E-3</v>
      </c>
      <c r="AA424" s="15">
        <f t="shared" ca="1" si="101"/>
        <v>2.6742726834433975E-3</v>
      </c>
      <c r="AB424" s="15">
        <f t="shared" ca="1" si="101"/>
        <v>3.1808931333561232E-3</v>
      </c>
      <c r="AC424" s="15">
        <f t="shared" ca="1" si="101"/>
        <v>3.5841527335728381E-3</v>
      </c>
    </row>
    <row r="425" spans="3:29">
      <c r="C425" s="11" t="s">
        <v>2</v>
      </c>
      <c r="D425" s="15">
        <f>D417/D$418</f>
        <v>0</v>
      </c>
      <c r="E425" s="15">
        <f t="shared" si="101"/>
        <v>0</v>
      </c>
      <c r="F425" s="15">
        <f>F417/F$418</f>
        <v>0</v>
      </c>
      <c r="G425" s="15">
        <f t="shared" si="101"/>
        <v>0</v>
      </c>
      <c r="H425" s="15">
        <f t="shared" si="101"/>
        <v>0</v>
      </c>
      <c r="I425" s="15">
        <f t="shared" ca="1" si="101"/>
        <v>0</v>
      </c>
      <c r="J425" s="15">
        <f t="shared" ca="1" si="101"/>
        <v>0</v>
      </c>
      <c r="K425" s="15">
        <f t="shared" ca="1" si="101"/>
        <v>0</v>
      </c>
      <c r="L425" s="15">
        <f t="shared" ca="1" si="101"/>
        <v>0</v>
      </c>
      <c r="M425" s="15">
        <f t="shared" ca="1" si="101"/>
        <v>0</v>
      </c>
      <c r="N425" s="15">
        <f t="shared" ca="1" si="101"/>
        <v>0</v>
      </c>
      <c r="O425" s="15">
        <f t="shared" ca="1" si="101"/>
        <v>0</v>
      </c>
      <c r="P425" s="15">
        <f t="shared" ca="1" si="101"/>
        <v>0</v>
      </c>
      <c r="Q425" s="15">
        <f t="shared" ca="1" si="101"/>
        <v>0</v>
      </c>
      <c r="R425" s="15">
        <f t="shared" ca="1" si="101"/>
        <v>0</v>
      </c>
      <c r="S425" s="15">
        <f t="shared" ca="1" si="101"/>
        <v>0</v>
      </c>
      <c r="T425" s="15">
        <f t="shared" ca="1" si="101"/>
        <v>0</v>
      </c>
      <c r="U425" s="15">
        <f t="shared" ca="1" si="101"/>
        <v>0</v>
      </c>
      <c r="V425" s="15">
        <f t="shared" ca="1" si="101"/>
        <v>0</v>
      </c>
      <c r="W425" s="15">
        <f t="shared" ca="1" si="101"/>
        <v>0</v>
      </c>
      <c r="X425" s="15">
        <f t="shared" ca="1" si="101"/>
        <v>0</v>
      </c>
      <c r="Y425" s="15">
        <f t="shared" ca="1" si="101"/>
        <v>0</v>
      </c>
      <c r="Z425" s="15">
        <f t="shared" ca="1" si="101"/>
        <v>8.7204025176622745E-3</v>
      </c>
      <c r="AA425" s="15">
        <f t="shared" ca="1" si="101"/>
        <v>2.109872075175408E-2</v>
      </c>
      <c r="AB425" s="15">
        <f t="shared" ca="1" si="101"/>
        <v>3.2682787179741164E-2</v>
      </c>
      <c r="AC425" s="15">
        <f t="shared" ca="1" si="101"/>
        <v>3.1942010512782906E-2</v>
      </c>
    </row>
    <row r="427" spans="3:29">
      <c r="C427" s="4" t="s">
        <v>265</v>
      </c>
      <c r="H427" s="11" t="s">
        <v>267</v>
      </c>
      <c r="J427" t="str">
        <f>'Investment Plan'!AX63</f>
        <v>OCGT liquid fuels</v>
      </c>
    </row>
    <row r="428" spans="3:29">
      <c r="H428" s="11" t="s">
        <v>266</v>
      </c>
      <c r="J428" t="str">
        <f>'Investment Plan'!AX64</f>
        <v>Existing coal Small</v>
      </c>
    </row>
    <row r="430" spans="3:29">
      <c r="C430" t="str">
        <f>J427&amp;" capacity"</f>
        <v>OCGT liquid fuels capacity</v>
      </c>
      <c r="D430">
        <f t="shared" ref="D430:AC430" si="103">SUMIF($C$8:$C$27,$J$427,D$8:D$27)</f>
        <v>2.4</v>
      </c>
      <c r="E430">
        <f t="shared" si="103"/>
        <v>2.4</v>
      </c>
      <c r="F430">
        <f t="shared" si="103"/>
        <v>2.4</v>
      </c>
      <c r="G430">
        <f t="shared" si="103"/>
        <v>2.4</v>
      </c>
      <c r="H430">
        <f t="shared" si="103"/>
        <v>2.4</v>
      </c>
      <c r="I430">
        <f t="shared" ca="1" si="103"/>
        <v>2.4</v>
      </c>
      <c r="J430">
        <f t="shared" ca="1" si="103"/>
        <v>3.48</v>
      </c>
      <c r="K430">
        <f t="shared" ca="1" si="103"/>
        <v>3.48</v>
      </c>
      <c r="L430">
        <f t="shared" ca="1" si="103"/>
        <v>3.48</v>
      </c>
      <c r="M430">
        <f t="shared" ca="1" si="103"/>
        <v>3.48</v>
      </c>
      <c r="N430">
        <f t="shared" ca="1" si="103"/>
        <v>3.48</v>
      </c>
      <c r="O430">
        <f t="shared" ca="1" si="103"/>
        <v>3.48</v>
      </c>
      <c r="P430">
        <f t="shared" ca="1" si="103"/>
        <v>3.48</v>
      </c>
      <c r="Q430">
        <f t="shared" ca="1" si="103"/>
        <v>3.48</v>
      </c>
      <c r="R430">
        <f t="shared" ca="1" si="103"/>
        <v>3.48</v>
      </c>
      <c r="S430">
        <f t="shared" ca="1" si="103"/>
        <v>3.48</v>
      </c>
      <c r="T430">
        <f t="shared" ca="1" si="103"/>
        <v>3.48</v>
      </c>
      <c r="U430">
        <f t="shared" ca="1" si="103"/>
        <v>3.48</v>
      </c>
      <c r="V430">
        <f t="shared" ca="1" si="103"/>
        <v>3.48</v>
      </c>
      <c r="W430">
        <f t="shared" ca="1" si="103"/>
        <v>3.48</v>
      </c>
      <c r="X430">
        <f t="shared" ca="1" si="103"/>
        <v>3.48</v>
      </c>
      <c r="Y430">
        <f t="shared" ca="1" si="103"/>
        <v>4.2</v>
      </c>
      <c r="Z430">
        <f t="shared" ca="1" si="103"/>
        <v>4.2</v>
      </c>
      <c r="AA430">
        <f t="shared" ca="1" si="103"/>
        <v>4.2</v>
      </c>
      <c r="AB430">
        <f t="shared" ca="1" si="103"/>
        <v>5.16</v>
      </c>
      <c r="AC430">
        <f t="shared" ca="1" si="103"/>
        <v>5.9489999999999998</v>
      </c>
    </row>
    <row r="431" spans="3:29">
      <c r="C431" t="str">
        <f>J428&amp;" capacity"</f>
        <v>Existing coal Small capacity</v>
      </c>
      <c r="D431">
        <f t="shared" ref="D431:AC431" si="104">SUMIF($C$8:$C$27,$J$428,D$8:D$27)</f>
        <v>5.434444444444444</v>
      </c>
      <c r="E431">
        <f t="shared" si="104"/>
        <v>5.434444444444444</v>
      </c>
      <c r="F431">
        <f t="shared" si="104"/>
        <v>5.434444444444444</v>
      </c>
      <c r="G431">
        <f t="shared" si="104"/>
        <v>5.434444444444444</v>
      </c>
      <c r="H431">
        <f t="shared" si="104"/>
        <v>5.434444444444444</v>
      </c>
      <c r="I431">
        <f t="shared" ca="1" si="104"/>
        <v>6.1174444444444438</v>
      </c>
      <c r="J431">
        <f t="shared" ca="1" si="104"/>
        <v>6.5214444444444437</v>
      </c>
      <c r="K431">
        <f t="shared" ca="1" si="104"/>
        <v>6.5214444444444437</v>
      </c>
      <c r="L431">
        <f t="shared" ca="1" si="104"/>
        <v>6.5214444444444437</v>
      </c>
      <c r="M431">
        <f t="shared" ca="1" si="104"/>
        <v>6.5214444444444437</v>
      </c>
      <c r="N431">
        <f t="shared" ca="1" si="104"/>
        <v>6.5214444444444437</v>
      </c>
      <c r="O431">
        <f t="shared" ca="1" si="104"/>
        <v>6.4839444444444441</v>
      </c>
      <c r="P431">
        <f t="shared" ca="1" si="104"/>
        <v>6.4464444444444444</v>
      </c>
      <c r="Q431">
        <f t="shared" ca="1" si="104"/>
        <v>6.3964444444444446</v>
      </c>
      <c r="R431">
        <f t="shared" ca="1" si="104"/>
        <v>6.3464444444444448</v>
      </c>
      <c r="S431">
        <f t="shared" ca="1" si="104"/>
        <v>5.3964444444444446</v>
      </c>
      <c r="T431">
        <f t="shared" ca="1" si="104"/>
        <v>4.4464444444444444</v>
      </c>
      <c r="U431">
        <f t="shared" ca="1" si="104"/>
        <v>4.4464444444444444</v>
      </c>
      <c r="V431">
        <f t="shared" ca="1" si="104"/>
        <v>4.4464444444444444</v>
      </c>
      <c r="W431">
        <f t="shared" ca="1" si="104"/>
        <v>4.4464444444444444</v>
      </c>
      <c r="X431">
        <f t="shared" ca="1" si="104"/>
        <v>4.0087222222222225</v>
      </c>
      <c r="Y431">
        <f t="shared" ca="1" si="104"/>
        <v>3.5710000000000002</v>
      </c>
      <c r="Z431">
        <f t="shared" ca="1" si="104"/>
        <v>3.5710000000000002</v>
      </c>
      <c r="AA431">
        <f t="shared" ca="1" si="104"/>
        <v>3.5710000000000002</v>
      </c>
      <c r="AB431">
        <f t="shared" ca="1" si="104"/>
        <v>3.5710000000000002</v>
      </c>
      <c r="AC431">
        <f t="shared" ca="1" si="104"/>
        <v>3.5710000000000002</v>
      </c>
    </row>
    <row r="432" spans="3:29">
      <c r="C432" t="str">
        <f>J427&amp;" output"</f>
        <v>OCGT liquid fuels output</v>
      </c>
      <c r="D432">
        <f t="shared" ref="D432:AC432" si="105">SUMIF($C$367:$C$386,$J$427,D$367:D$386)</f>
        <v>651.77077055999985</v>
      </c>
      <c r="E432">
        <f t="shared" si="105"/>
        <v>651.77077055999985</v>
      </c>
      <c r="F432">
        <f t="shared" si="105"/>
        <v>651.77077055999985</v>
      </c>
      <c r="G432">
        <f t="shared" si="105"/>
        <v>651.77077055999985</v>
      </c>
      <c r="H432">
        <f t="shared" si="105"/>
        <v>651.77077055999985</v>
      </c>
      <c r="I432">
        <f t="shared" ca="1" si="105"/>
        <v>651.77077055999985</v>
      </c>
      <c r="J432">
        <f t="shared" ca="1" si="105"/>
        <v>945.06761731199981</v>
      </c>
      <c r="K432">
        <f t="shared" ca="1" si="105"/>
        <v>945.06761731199981</v>
      </c>
      <c r="L432">
        <f t="shared" ca="1" si="105"/>
        <v>945.06761731199981</v>
      </c>
      <c r="M432">
        <f t="shared" ca="1" si="105"/>
        <v>945.06761731199981</v>
      </c>
      <c r="N432">
        <f t="shared" ca="1" si="105"/>
        <v>945.06761731199981</v>
      </c>
      <c r="O432">
        <f t="shared" ca="1" si="105"/>
        <v>945.06761731199981</v>
      </c>
      <c r="P432">
        <f t="shared" ca="1" si="105"/>
        <v>945.06761731199981</v>
      </c>
      <c r="Q432">
        <f t="shared" ca="1" si="105"/>
        <v>945.06761731199981</v>
      </c>
      <c r="R432">
        <f t="shared" ca="1" si="105"/>
        <v>945.06761731199981</v>
      </c>
      <c r="S432">
        <f t="shared" ca="1" si="105"/>
        <v>945.06761731199981</v>
      </c>
      <c r="T432">
        <f t="shared" ca="1" si="105"/>
        <v>945.06761731199981</v>
      </c>
      <c r="U432">
        <f t="shared" ca="1" si="105"/>
        <v>945.06761731199981</v>
      </c>
      <c r="V432">
        <f t="shared" ca="1" si="105"/>
        <v>945.06761731199981</v>
      </c>
      <c r="W432">
        <f t="shared" ca="1" si="105"/>
        <v>945.06761731199981</v>
      </c>
      <c r="X432">
        <f t="shared" ca="1" si="105"/>
        <v>945.06761731199981</v>
      </c>
      <c r="Y432">
        <f t="shared" ca="1" si="105"/>
        <v>1140.59884848</v>
      </c>
      <c r="Z432">
        <f t="shared" ca="1" si="105"/>
        <v>1140.59884848</v>
      </c>
      <c r="AA432">
        <f t="shared" ca="1" si="105"/>
        <v>1140.59884848</v>
      </c>
      <c r="AB432">
        <f t="shared" ca="1" si="105"/>
        <v>1401.3071567039999</v>
      </c>
      <c r="AC432">
        <f t="shared" ca="1" si="105"/>
        <v>1615.5767975255997</v>
      </c>
    </row>
    <row r="433" spans="3:49">
      <c r="C433" t="str">
        <f>J428&amp;" output"</f>
        <v>Existing coal Small output</v>
      </c>
      <c r="D433">
        <f t="shared" ref="D433:AC433" si="106">SUMIF($C$367:$C$386,$J$428,D$367:D$386)</f>
        <v>11481.108051601606</v>
      </c>
      <c r="E433">
        <f t="shared" si="106"/>
        <v>11481.108051601606</v>
      </c>
      <c r="F433">
        <f t="shared" si="106"/>
        <v>11481.108051601606</v>
      </c>
      <c r="G433">
        <f t="shared" si="106"/>
        <v>11481.108051601606</v>
      </c>
      <c r="H433">
        <f t="shared" si="106"/>
        <v>11481.108051601606</v>
      </c>
      <c r="I433">
        <f t="shared" ca="1" si="106"/>
        <v>12924.051645819456</v>
      </c>
      <c r="J433">
        <f t="shared" ca="1" si="106"/>
        <v>13777.564401403659</v>
      </c>
      <c r="K433">
        <f t="shared" ca="1" si="106"/>
        <v>13777.564401403659</v>
      </c>
      <c r="L433">
        <f t="shared" ca="1" si="106"/>
        <v>13777.564401403659</v>
      </c>
      <c r="M433">
        <f t="shared" ca="1" si="106"/>
        <v>13777.564401403659</v>
      </c>
      <c r="N433">
        <f t="shared" ca="1" si="106"/>
        <v>13777.564401403659</v>
      </c>
      <c r="O433">
        <f t="shared" ca="1" si="106"/>
        <v>13698.339826318494</v>
      </c>
      <c r="P433">
        <f t="shared" ca="1" si="106"/>
        <v>13619.115251233326</v>
      </c>
      <c r="Q433">
        <f t="shared" ca="1" si="106"/>
        <v>13513.482484453105</v>
      </c>
      <c r="R433">
        <f t="shared" ca="1" si="106"/>
        <v>13407.84971767288</v>
      </c>
      <c r="S433">
        <f t="shared" ca="1" si="106"/>
        <v>11400.827148848637</v>
      </c>
      <c r="T433">
        <f t="shared" ca="1" si="106"/>
        <v>9393.8045800243945</v>
      </c>
      <c r="U433">
        <f t="shared" ca="1" si="106"/>
        <v>9393.8045800243945</v>
      </c>
      <c r="V433">
        <f t="shared" ca="1" si="106"/>
        <v>9393.8045800243945</v>
      </c>
      <c r="W433">
        <f t="shared" ca="1" si="106"/>
        <v>9393.8045800243945</v>
      </c>
      <c r="X433">
        <f t="shared" ca="1" si="106"/>
        <v>8469.0483917339716</v>
      </c>
      <c r="Y433">
        <f t="shared" ca="1" si="106"/>
        <v>7544.2922034435505</v>
      </c>
      <c r="Z433">
        <f t="shared" ca="1" si="106"/>
        <v>7544.2922034435505</v>
      </c>
      <c r="AA433">
        <f t="shared" ca="1" si="106"/>
        <v>7544.2922034435505</v>
      </c>
      <c r="AB433">
        <f t="shared" ca="1" si="106"/>
        <v>7544.2922034435505</v>
      </c>
      <c r="AC433">
        <f t="shared" ca="1" si="106"/>
        <v>7544.2922034435505</v>
      </c>
    </row>
    <row r="434" spans="3:49">
      <c r="C434" t="str">
        <f>J427&amp;" capacity utilisation"</f>
        <v>OCGT liquid fuels capacity utilisation</v>
      </c>
      <c r="D434">
        <f t="shared" ref="D434:AC434" si="107">SUMIF($C$390:$C$409,$J$427,D$390:D$409)</f>
        <v>3.1001273333333329E-2</v>
      </c>
      <c r="E434">
        <f t="shared" si="107"/>
        <v>3.1001273333333329E-2</v>
      </c>
      <c r="F434">
        <f t="shared" si="107"/>
        <v>3.1001273333333329E-2</v>
      </c>
      <c r="G434">
        <f t="shared" si="107"/>
        <v>3.1001273333333329E-2</v>
      </c>
      <c r="H434">
        <f t="shared" si="107"/>
        <v>3.1001273333333329E-2</v>
      </c>
      <c r="I434">
        <f t="shared" ca="1" si="107"/>
        <v>3.1001273333333329E-2</v>
      </c>
      <c r="J434">
        <f t="shared" ca="1" si="107"/>
        <v>3.1001273333333329E-2</v>
      </c>
      <c r="K434">
        <f t="shared" ca="1" si="107"/>
        <v>3.1001273333333329E-2</v>
      </c>
      <c r="L434">
        <f t="shared" ca="1" si="107"/>
        <v>3.1001273333333329E-2</v>
      </c>
      <c r="M434">
        <f t="shared" ca="1" si="107"/>
        <v>3.1001273333333329E-2</v>
      </c>
      <c r="N434">
        <f t="shared" ca="1" si="107"/>
        <v>3.1001273333333329E-2</v>
      </c>
      <c r="O434">
        <f t="shared" ca="1" si="107"/>
        <v>3.1001273333333329E-2</v>
      </c>
      <c r="P434">
        <f t="shared" ca="1" si="107"/>
        <v>3.1001273333333329E-2</v>
      </c>
      <c r="Q434">
        <f t="shared" ca="1" si="107"/>
        <v>3.1001273333333329E-2</v>
      </c>
      <c r="R434">
        <f t="shared" ca="1" si="107"/>
        <v>3.1001273333333329E-2</v>
      </c>
      <c r="S434">
        <f t="shared" ca="1" si="107"/>
        <v>3.1001273333333329E-2</v>
      </c>
      <c r="T434">
        <f t="shared" ca="1" si="107"/>
        <v>3.1001273333333329E-2</v>
      </c>
      <c r="U434">
        <f t="shared" ca="1" si="107"/>
        <v>3.1001273333333329E-2</v>
      </c>
      <c r="V434">
        <f t="shared" ca="1" si="107"/>
        <v>3.1001273333333329E-2</v>
      </c>
      <c r="W434">
        <f t="shared" ca="1" si="107"/>
        <v>3.1001273333333329E-2</v>
      </c>
      <c r="X434">
        <f t="shared" ca="1" si="107"/>
        <v>3.1001273333333329E-2</v>
      </c>
      <c r="Y434">
        <f t="shared" ca="1" si="107"/>
        <v>3.1001273333333336E-2</v>
      </c>
      <c r="Z434">
        <f t="shared" ca="1" si="107"/>
        <v>3.1001273333333336E-2</v>
      </c>
      <c r="AA434">
        <f t="shared" ca="1" si="107"/>
        <v>3.1001273333333336E-2</v>
      </c>
      <c r="AB434">
        <f t="shared" ca="1" si="107"/>
        <v>3.1001273333333329E-2</v>
      </c>
      <c r="AC434">
        <f t="shared" ca="1" si="107"/>
        <v>3.1001273333333329E-2</v>
      </c>
    </row>
    <row r="435" spans="3:49">
      <c r="C435" t="str">
        <f>J428&amp;" capacity utilisation"</f>
        <v>Existing coal Small capacity utilisation</v>
      </c>
      <c r="D435">
        <f t="shared" ref="D435:AC435" si="108">SUMIF($C$390:$C$409,$J$428,D$390:D$409)</f>
        <v>0.24117070041146876</v>
      </c>
      <c r="E435">
        <f t="shared" si="108"/>
        <v>0.24117070041146876</v>
      </c>
      <c r="F435">
        <f t="shared" si="108"/>
        <v>0.24117070041146876</v>
      </c>
      <c r="G435">
        <f t="shared" si="108"/>
        <v>0.24117070041146876</v>
      </c>
      <c r="H435">
        <f t="shared" si="108"/>
        <v>0.24117070041146876</v>
      </c>
      <c r="I435">
        <f t="shared" ca="1" si="108"/>
        <v>0.24117070041146876</v>
      </c>
      <c r="J435">
        <f t="shared" ca="1" si="108"/>
        <v>0.24117070041146876</v>
      </c>
      <c r="K435">
        <f t="shared" ca="1" si="108"/>
        <v>0.24117070041146876</v>
      </c>
      <c r="L435">
        <f t="shared" ca="1" si="108"/>
        <v>0.24117070041146876</v>
      </c>
      <c r="M435">
        <f t="shared" ca="1" si="108"/>
        <v>0.24117070041146876</v>
      </c>
      <c r="N435">
        <f t="shared" ca="1" si="108"/>
        <v>0.24117070041146876</v>
      </c>
      <c r="O435">
        <f t="shared" ca="1" si="108"/>
        <v>0.24117070041146876</v>
      </c>
      <c r="P435">
        <f t="shared" ca="1" si="108"/>
        <v>0.24117070041146876</v>
      </c>
      <c r="Q435">
        <f t="shared" ca="1" si="108"/>
        <v>0.24117070041146882</v>
      </c>
      <c r="R435">
        <f t="shared" ca="1" si="108"/>
        <v>0.24117070041146876</v>
      </c>
      <c r="S435">
        <f t="shared" ca="1" si="108"/>
        <v>0.24117070041146876</v>
      </c>
      <c r="T435">
        <f t="shared" ca="1" si="108"/>
        <v>0.24117070041146882</v>
      </c>
      <c r="U435">
        <f t="shared" ca="1" si="108"/>
        <v>0.24117070041146882</v>
      </c>
      <c r="V435">
        <f t="shared" ca="1" si="108"/>
        <v>0.24117070041146882</v>
      </c>
      <c r="W435">
        <f t="shared" ca="1" si="108"/>
        <v>0.24117070041146882</v>
      </c>
      <c r="X435">
        <f t="shared" ca="1" si="108"/>
        <v>0.24117070041146876</v>
      </c>
      <c r="Y435">
        <f t="shared" ca="1" si="108"/>
        <v>0.24117070041146876</v>
      </c>
      <c r="Z435">
        <f t="shared" ca="1" si="108"/>
        <v>0.24117070041146876</v>
      </c>
      <c r="AA435">
        <f t="shared" ca="1" si="108"/>
        <v>0.24117070041146876</v>
      </c>
      <c r="AB435">
        <f t="shared" ca="1" si="108"/>
        <v>0.24117070041146876</v>
      </c>
      <c r="AC435">
        <f t="shared" ca="1" si="108"/>
        <v>0.24117070041146876</v>
      </c>
    </row>
    <row r="438" spans="3:49">
      <c r="C438" s="34" t="s">
        <v>269</v>
      </c>
      <c r="H438" s="11" t="s">
        <v>270</v>
      </c>
      <c r="J438" t="str">
        <f>'Investment Plan'!AQ123</f>
        <v>Supercritical coal</v>
      </c>
    </row>
    <row r="440" spans="3:49">
      <c r="C440" t="str">
        <f>J438&amp;" capacity"</f>
        <v>Supercritical coal capacity</v>
      </c>
      <c r="D440">
        <f t="shared" ref="D440:AC440" si="109">SUMIF($C$8:$C$27,$J$438,D$8:D$27)</f>
        <v>0</v>
      </c>
      <c r="E440">
        <f t="shared" si="109"/>
        <v>0</v>
      </c>
      <c r="F440">
        <f t="shared" si="109"/>
        <v>0</v>
      </c>
      <c r="G440">
        <f t="shared" si="109"/>
        <v>0</v>
      </c>
      <c r="H440">
        <f t="shared" si="109"/>
        <v>0</v>
      </c>
      <c r="I440">
        <f t="shared" ca="1" si="109"/>
        <v>0</v>
      </c>
      <c r="J440">
        <f t="shared" ca="1" si="109"/>
        <v>0</v>
      </c>
      <c r="K440">
        <f t="shared" ca="1" si="109"/>
        <v>0.79400000000000004</v>
      </c>
      <c r="L440">
        <f t="shared" ca="1" si="109"/>
        <v>2.3820000000000001</v>
      </c>
      <c r="M440">
        <f t="shared" ca="1" si="109"/>
        <v>4.7640000000000002</v>
      </c>
      <c r="N440">
        <f t="shared" ca="1" si="109"/>
        <v>7.1460000000000008</v>
      </c>
      <c r="O440">
        <f t="shared" ca="1" si="109"/>
        <v>8.7340000000000018</v>
      </c>
      <c r="P440">
        <f t="shared" ca="1" si="109"/>
        <v>9.5280000000000022</v>
      </c>
      <c r="Q440">
        <f t="shared" ca="1" si="109"/>
        <v>9.5280000000000022</v>
      </c>
      <c r="R440">
        <f t="shared" ca="1" si="109"/>
        <v>9.5280000000000022</v>
      </c>
      <c r="S440">
        <f t="shared" ca="1" si="109"/>
        <v>9.5280000000000022</v>
      </c>
      <c r="T440">
        <f t="shared" ca="1" si="109"/>
        <v>9.5280000000000022</v>
      </c>
      <c r="U440">
        <f t="shared" ca="1" si="109"/>
        <v>9.5280000000000022</v>
      </c>
      <c r="V440">
        <f t="shared" ca="1" si="109"/>
        <v>9.5280000000000022</v>
      </c>
      <c r="W440">
        <f t="shared" ca="1" si="109"/>
        <v>9.5280000000000022</v>
      </c>
      <c r="X440">
        <f t="shared" ca="1" si="109"/>
        <v>9.5280000000000022</v>
      </c>
      <c r="Y440">
        <f t="shared" ca="1" si="109"/>
        <v>9.5280000000000022</v>
      </c>
      <c r="Z440">
        <f t="shared" ca="1" si="109"/>
        <v>9.5280000000000022</v>
      </c>
      <c r="AA440">
        <f t="shared" ca="1" si="109"/>
        <v>9.5280000000000022</v>
      </c>
      <c r="AB440">
        <f t="shared" ca="1" si="109"/>
        <v>9.5280000000000022</v>
      </c>
      <c r="AC440">
        <f t="shared" ca="1" si="109"/>
        <v>9.5280000000000022</v>
      </c>
    </row>
    <row r="441" spans="3:49">
      <c r="C441" t="str">
        <f>J438&amp;" output"</f>
        <v>Supercritical coal output</v>
      </c>
      <c r="D441">
        <f t="shared" ref="D441:AC441" si="110">SUMIF($C$367:$C$386,$J$438,D$367:D$386)</f>
        <v>0</v>
      </c>
      <c r="E441">
        <f t="shared" si="110"/>
        <v>0</v>
      </c>
      <c r="F441">
        <f t="shared" si="110"/>
        <v>0</v>
      </c>
      <c r="G441">
        <f t="shared" si="110"/>
        <v>0</v>
      </c>
      <c r="H441">
        <f t="shared" si="110"/>
        <v>0</v>
      </c>
      <c r="I441">
        <f t="shared" ca="1" si="110"/>
        <v>0</v>
      </c>
      <c r="J441">
        <f t="shared" ca="1" si="110"/>
        <v>0</v>
      </c>
      <c r="K441">
        <f t="shared" ca="1" si="110"/>
        <v>1693.7365830000003</v>
      </c>
      <c r="L441">
        <f t="shared" ca="1" si="110"/>
        <v>5081.2097490000015</v>
      </c>
      <c r="M441">
        <f t="shared" ca="1" si="110"/>
        <v>10634.23800224124</v>
      </c>
      <c r="N441">
        <f t="shared" ca="1" si="110"/>
        <v>16810.994815755548</v>
      </c>
      <c r="O441">
        <f t="shared" ca="1" si="110"/>
        <v>23004.105324295513</v>
      </c>
      <c r="P441">
        <f t="shared" ca="1" si="110"/>
        <v>26993.251514152627</v>
      </c>
      <c r="Q441">
        <f t="shared" ca="1" si="110"/>
        <v>29379.83395483479</v>
      </c>
      <c r="R441">
        <f t="shared" ca="1" si="110"/>
        <v>28777.973963092143</v>
      </c>
      <c r="S441">
        <f t="shared" ca="1" si="110"/>
        <v>28024.177219094479</v>
      </c>
      <c r="T441">
        <f t="shared" ca="1" si="110"/>
        <v>24356.830616997791</v>
      </c>
      <c r="U441">
        <f t="shared" ca="1" si="110"/>
        <v>21898.246594728091</v>
      </c>
      <c r="V441">
        <f t="shared" ca="1" si="110"/>
        <v>20324.83899600001</v>
      </c>
      <c r="W441">
        <f t="shared" ca="1" si="110"/>
        <v>20324.83899600001</v>
      </c>
      <c r="X441">
        <f t="shared" ca="1" si="110"/>
        <v>20453.283972315145</v>
      </c>
      <c r="Y441">
        <f t="shared" ca="1" si="110"/>
        <v>26870.960371717756</v>
      </c>
      <c r="Z441">
        <f t="shared" ca="1" si="110"/>
        <v>29502.873213153161</v>
      </c>
      <c r="AA441">
        <f t="shared" ca="1" si="110"/>
        <v>33040.160722025088</v>
      </c>
      <c r="AB441">
        <f t="shared" ca="1" si="110"/>
        <v>45633.727661654295</v>
      </c>
      <c r="AC441">
        <f t="shared" ca="1" si="110"/>
        <v>46966.368296660425</v>
      </c>
    </row>
    <row r="442" spans="3:49">
      <c r="C442" t="str">
        <f>J438&amp;" capacity utilisation"</f>
        <v>Supercritical coal capacity utilisation</v>
      </c>
      <c r="D442">
        <f t="shared" ref="D442:AC442" si="111">SUMIF($C$390:$C$409,$J$438,D$390:D$409)</f>
        <v>0</v>
      </c>
      <c r="E442">
        <f t="shared" si="111"/>
        <v>0</v>
      </c>
      <c r="F442">
        <f t="shared" si="111"/>
        <v>0</v>
      </c>
      <c r="G442">
        <f t="shared" si="111"/>
        <v>0</v>
      </c>
      <c r="H442">
        <f t="shared" si="111"/>
        <v>0</v>
      </c>
      <c r="I442">
        <f t="shared" ca="1" si="111"/>
        <v>0</v>
      </c>
      <c r="J442">
        <f t="shared" ca="1" si="111"/>
        <v>0</v>
      </c>
      <c r="K442">
        <f t="shared" ca="1" si="111"/>
        <v>0.24351250000000005</v>
      </c>
      <c r="L442">
        <f t="shared" ca="1" si="111"/>
        <v>0.24351250000000005</v>
      </c>
      <c r="M442">
        <f t="shared" ca="1" si="111"/>
        <v>0.25481824304048917</v>
      </c>
      <c r="N442">
        <f t="shared" ca="1" si="111"/>
        <v>0.26855070460843994</v>
      </c>
      <c r="O442">
        <f t="shared" ca="1" si="111"/>
        <v>0.30066858490745124</v>
      </c>
      <c r="P442">
        <f t="shared" ca="1" si="111"/>
        <v>0.32340694854378516</v>
      </c>
      <c r="Q442">
        <f t="shared" ca="1" si="111"/>
        <v>0.35200066368716171</v>
      </c>
      <c r="R442">
        <f t="shared" ca="1" si="111"/>
        <v>0.34478976124074751</v>
      </c>
      <c r="S442">
        <f t="shared" ca="1" si="111"/>
        <v>0.33575850005049374</v>
      </c>
      <c r="T442">
        <f t="shared" ca="1" si="111"/>
        <v>0.2918199114290132</v>
      </c>
      <c r="U442">
        <f t="shared" ca="1" si="111"/>
        <v>0.26236354319698069</v>
      </c>
      <c r="V442">
        <f t="shared" ca="1" si="111"/>
        <v>0.24351250000000005</v>
      </c>
      <c r="W442">
        <f t="shared" ca="1" si="111"/>
        <v>0.24351250000000005</v>
      </c>
      <c r="X442">
        <f t="shared" ca="1" si="111"/>
        <v>0.24505140307820375</v>
      </c>
      <c r="Y442">
        <f t="shared" ca="1" si="111"/>
        <v>0.32194177473217306</v>
      </c>
      <c r="Z442">
        <f t="shared" ca="1" si="111"/>
        <v>0.35347480069740561</v>
      </c>
      <c r="AA442">
        <f t="shared" ca="1" si="111"/>
        <v>0.39585514745802181</v>
      </c>
      <c r="AB442">
        <f t="shared" ca="1" si="111"/>
        <v>0.54673904720207356</v>
      </c>
      <c r="AC442">
        <f t="shared" ca="1" si="111"/>
        <v>0.56270545425188068</v>
      </c>
    </row>
    <row r="444" spans="3:49">
      <c r="C444" s="44" t="s">
        <v>129</v>
      </c>
    </row>
    <row r="446" spans="3:49">
      <c r="C446" s="4" t="s">
        <v>130</v>
      </c>
    </row>
    <row r="447" spans="3:49">
      <c r="C447" t="str">
        <f>C8</f>
        <v>Existing coal Large</v>
      </c>
      <c r="D447" s="49">
        <f>IF('Tech Parameters'!$I6=0,0,-PMT(discount_rate,'Tech Parameters'!$I6,'Tech Parameters'!G68))</f>
        <v>0</v>
      </c>
      <c r="E447" s="49">
        <f>IF('Tech Parameters'!$I6=0,0,-PMT(discount_rate,'Tech Parameters'!$I6,'Tech Parameters'!H68))</f>
        <v>0</v>
      </c>
      <c r="F447" s="49">
        <f>IF('Tech Parameters'!$I6=0,0,-PMT(discount_rate,'Tech Parameters'!$I6,'Tech Parameters'!I68))</f>
        <v>712.55242792628542</v>
      </c>
      <c r="G447" s="49">
        <f>IF('Tech Parameters'!$I6=0,0,-PMT(discount_rate,'Tech Parameters'!$I6,'Tech Parameters'!J68))</f>
        <v>712.55242792628542</v>
      </c>
      <c r="H447" s="49">
        <f>IF('Tech Parameters'!$I6=0,0,-PMT(discount_rate,'Tech Parameters'!$I6,'Tech Parameters'!K68))</f>
        <v>712.55242792628542</v>
      </c>
      <c r="I447" s="49">
        <f>IF('Tech Parameters'!$I6=0,0,-PMT(discount_rate,'Tech Parameters'!$I6,'Tech Parameters'!L68))</f>
        <v>712.55242792628542</v>
      </c>
      <c r="J447" s="49">
        <f>IF('Tech Parameters'!$I6=0,0,-PMT(discount_rate,'Tech Parameters'!$I6,'Tech Parameters'!M68))</f>
        <v>712.55242792628542</v>
      </c>
      <c r="K447" s="49">
        <f>IF('Tech Parameters'!$I6=0,0,-PMT(discount_rate,'Tech Parameters'!$I6,'Tech Parameters'!N68))</f>
        <v>712.55242792628542</v>
      </c>
      <c r="L447" s="49">
        <f>IF('Tech Parameters'!$I6=0,0,-PMT(discount_rate,'Tech Parameters'!$I6,'Tech Parameters'!O68))</f>
        <v>712.55242792628542</v>
      </c>
      <c r="M447" s="49">
        <f>IF('Tech Parameters'!$I6=0,0,-PMT(discount_rate,'Tech Parameters'!$I6,'Tech Parameters'!P68))</f>
        <v>712.55242792628542</v>
      </c>
      <c r="N447" s="49">
        <f>IF('Tech Parameters'!$I6=0,0,-PMT(discount_rate,'Tech Parameters'!$I6,'Tech Parameters'!Q68))</f>
        <v>712.55242792628542</v>
      </c>
      <c r="O447" s="49">
        <f>IF('Tech Parameters'!$I6=0,0,-PMT(discount_rate,'Tech Parameters'!$I6,'Tech Parameters'!R68))</f>
        <v>712.55242792628542</v>
      </c>
      <c r="P447" s="49">
        <f>IF('Tech Parameters'!$I6=0,0,-PMT(discount_rate,'Tech Parameters'!$I6,'Tech Parameters'!S68))</f>
        <v>712.55242792628542</v>
      </c>
      <c r="Q447" s="49">
        <f>IF('Tech Parameters'!$I6=0,0,-PMT(discount_rate,'Tech Parameters'!$I6,'Tech Parameters'!T68))</f>
        <v>712.55242792628542</v>
      </c>
      <c r="R447" s="49">
        <f>IF('Tech Parameters'!$I6=0,0,-PMT(discount_rate,'Tech Parameters'!$I6,'Tech Parameters'!U68))</f>
        <v>712.55242792628542</v>
      </c>
      <c r="S447" s="49">
        <f>IF('Tech Parameters'!$I6=0,0,-PMT(discount_rate,'Tech Parameters'!$I6,'Tech Parameters'!V68))</f>
        <v>712.55242792628542</v>
      </c>
      <c r="T447" s="49">
        <f>IF('Tech Parameters'!$I6=0,0,-PMT(discount_rate,'Tech Parameters'!$I6,'Tech Parameters'!W68))</f>
        <v>712.55242792628542</v>
      </c>
      <c r="U447" s="49">
        <f>IF('Tech Parameters'!$I6=0,0,-PMT(discount_rate,'Tech Parameters'!$I6,'Tech Parameters'!X68))</f>
        <v>712.55242792628542</v>
      </c>
      <c r="V447" s="49">
        <f>IF('Tech Parameters'!$I6=0,0,-PMT(discount_rate,'Tech Parameters'!$I6,'Tech Parameters'!Y68))</f>
        <v>712.55242792628542</v>
      </c>
      <c r="W447" s="49">
        <f>IF('Tech Parameters'!$I6=0,0,-PMT(discount_rate,'Tech Parameters'!$I6,'Tech Parameters'!Z68))</f>
        <v>712.55242792628542</v>
      </c>
      <c r="X447" s="49">
        <f>IF('Tech Parameters'!$I6=0,0,-PMT(discount_rate,'Tech Parameters'!$I6,'Tech Parameters'!AA68))</f>
        <v>712.55242792628542</v>
      </c>
      <c r="Y447" s="49">
        <f>IF('Tech Parameters'!$I6=0,0,-PMT(discount_rate,'Tech Parameters'!$I6,'Tech Parameters'!AB68))</f>
        <v>712.55242792628542</v>
      </c>
      <c r="Z447" s="49">
        <f>IF('Tech Parameters'!$I6=0,0,-PMT(discount_rate,'Tech Parameters'!$I6,'Tech Parameters'!AC68))</f>
        <v>712.55242792628542</v>
      </c>
      <c r="AA447" s="49">
        <f>IF('Tech Parameters'!$I6=0,0,-PMT(discount_rate,'Tech Parameters'!$I6,'Tech Parameters'!AD68))</f>
        <v>712.55242792628542</v>
      </c>
      <c r="AB447" s="49">
        <f>IF('Tech Parameters'!$I6=0,0,-PMT(discount_rate,'Tech Parameters'!$I6,'Tech Parameters'!AE68))</f>
        <v>712.55242792628542</v>
      </c>
      <c r="AC447" s="49">
        <f>IF('Tech Parameters'!$I6=0,0,-PMT(discount_rate,'Tech Parameters'!$I6,'Tech Parameters'!AF68))</f>
        <v>712.55242792628542</v>
      </c>
      <c r="AD447" s="49">
        <f>IF('Tech Parameters'!$I6=0,0,-PMT(discount_rate,'Tech Parameters'!$I6,'Tech Parameters'!AG68))</f>
        <v>712.55242792628542</v>
      </c>
      <c r="AE447" s="49">
        <f>IF('Tech Parameters'!$I6=0,0,-PMT(discount_rate,'Tech Parameters'!$I6,'Tech Parameters'!AH68))</f>
        <v>712.55242792628542</v>
      </c>
      <c r="AF447" s="49">
        <f>IF('Tech Parameters'!$I6=0,0,-PMT(discount_rate,'Tech Parameters'!$I6,'Tech Parameters'!AI68))</f>
        <v>712.55242792628542</v>
      </c>
      <c r="AG447" s="49">
        <f>IF('Tech Parameters'!$I6=0,0,-PMT(discount_rate,'Tech Parameters'!$I6,'Tech Parameters'!AJ68))</f>
        <v>712.55242792628542</v>
      </c>
      <c r="AH447" s="49">
        <f>IF('Tech Parameters'!$I6=0,0,-PMT(discount_rate,'Tech Parameters'!$I6,'Tech Parameters'!AK68))</f>
        <v>712.55242792628542</v>
      </c>
      <c r="AI447" s="49">
        <f>IF('Tech Parameters'!$I6=0,0,-PMT(discount_rate,'Tech Parameters'!$I6,'Tech Parameters'!AL68))</f>
        <v>712.55242792628542</v>
      </c>
      <c r="AJ447" s="49">
        <f>IF('Tech Parameters'!$I6=0,0,-PMT(discount_rate,'Tech Parameters'!$I6,'Tech Parameters'!AM68))</f>
        <v>712.55242792628542</v>
      </c>
      <c r="AK447" s="49">
        <f>IF('Tech Parameters'!$I6=0,0,-PMT(discount_rate,'Tech Parameters'!$I6,'Tech Parameters'!AN68))</f>
        <v>712.55242792628542</v>
      </c>
      <c r="AL447" s="49">
        <f>IF('Tech Parameters'!$I6=0,0,-PMT(discount_rate,'Tech Parameters'!$I6,'Tech Parameters'!AO68))</f>
        <v>712.55242792628542</v>
      </c>
      <c r="AM447" s="49">
        <f>IF('Tech Parameters'!$I6=0,0,-PMT(discount_rate,'Tech Parameters'!$I6,'Tech Parameters'!AP68))</f>
        <v>712.55242792628542</v>
      </c>
      <c r="AN447" s="49">
        <f>IF('Tech Parameters'!$I6=0,0,-PMT(discount_rate,'Tech Parameters'!$I6,'Tech Parameters'!AQ68))</f>
        <v>712.55242792628542</v>
      </c>
      <c r="AO447" s="49">
        <f>IF('Tech Parameters'!$I6=0,0,-PMT(discount_rate,'Tech Parameters'!$I6,'Tech Parameters'!AR68))</f>
        <v>712.55242792628542</v>
      </c>
      <c r="AP447" s="49">
        <f>IF('Tech Parameters'!$I6=0,0,-PMT(discount_rate,'Tech Parameters'!$I6,'Tech Parameters'!AS68))</f>
        <v>712.55242792628542</v>
      </c>
      <c r="AQ447" s="49">
        <f>IF('Tech Parameters'!$I6=0,0,-PMT(discount_rate,'Tech Parameters'!$I6,'Tech Parameters'!AT68))</f>
        <v>712.55242792628542</v>
      </c>
      <c r="AR447" s="49">
        <f>IF('Tech Parameters'!$I6=0,0,-PMT(discount_rate,'Tech Parameters'!$I6,'Tech Parameters'!AU68))</f>
        <v>712.55242792628542</v>
      </c>
      <c r="AS447" s="49">
        <f>IF('Tech Parameters'!$I6=0,0,-PMT(discount_rate,'Tech Parameters'!$I6,'Tech Parameters'!AV68))</f>
        <v>712.55242792628542</v>
      </c>
      <c r="AT447" s="49">
        <f>IF('Tech Parameters'!$I6=0,0,-PMT(discount_rate,'Tech Parameters'!$I6,'Tech Parameters'!AW68))</f>
        <v>712.55242792628542</v>
      </c>
      <c r="AU447" s="49">
        <f>IF('Tech Parameters'!$I6=0,0,-PMT(discount_rate,'Tech Parameters'!$I6,'Tech Parameters'!AX68))</f>
        <v>712.55242792628542</v>
      </c>
      <c r="AV447" s="49">
        <f>IF('Tech Parameters'!$I6=0,0,-PMT(discount_rate,'Tech Parameters'!$I6,'Tech Parameters'!AY68))</f>
        <v>712.55242792628542</v>
      </c>
      <c r="AW447" s="49">
        <f>IF('Tech Parameters'!$I6=0,0,-PMT(discount_rate,'Tech Parameters'!$I6,'Tech Parameters'!AZ68))</f>
        <v>712.55242792628542</v>
      </c>
    </row>
    <row r="448" spans="3:49">
      <c r="C448" t="str">
        <f t="shared" ref="C448:C466" si="112">C9</f>
        <v>Existing coal Small</v>
      </c>
      <c r="D448" s="49">
        <f>IF('Tech Parameters'!$I7=0,0,-PMT(discount_rate,'Tech Parameters'!$I7,'Tech Parameters'!G69))</f>
        <v>0</v>
      </c>
      <c r="E448" s="49">
        <f>IF('Tech Parameters'!$I7=0,0,-PMT(discount_rate,'Tech Parameters'!$I7,'Tech Parameters'!H69))</f>
        <v>0</v>
      </c>
      <c r="F448" s="49">
        <f>IF('Tech Parameters'!$I7=0,0,-PMT(discount_rate,'Tech Parameters'!$I7,'Tech Parameters'!I69))</f>
        <v>712.55242792628542</v>
      </c>
      <c r="G448" s="49">
        <f>IF('Tech Parameters'!$I7=0,0,-PMT(discount_rate,'Tech Parameters'!$I7,'Tech Parameters'!J69))</f>
        <v>712.55242792628542</v>
      </c>
      <c r="H448" s="49">
        <f>IF('Tech Parameters'!$I7=0,0,-PMT(discount_rate,'Tech Parameters'!$I7,'Tech Parameters'!K69))</f>
        <v>712.55242792628542</v>
      </c>
      <c r="I448" s="49">
        <f>IF('Tech Parameters'!$I7=0,0,-PMT(discount_rate,'Tech Parameters'!$I7,'Tech Parameters'!L69))</f>
        <v>712.55242792628542</v>
      </c>
      <c r="J448" s="49">
        <f>IF('Tech Parameters'!$I7=0,0,-PMT(discount_rate,'Tech Parameters'!$I7,'Tech Parameters'!M69))</f>
        <v>712.55242792628542</v>
      </c>
      <c r="K448" s="49">
        <f>IF('Tech Parameters'!$I7=0,0,-PMT(discount_rate,'Tech Parameters'!$I7,'Tech Parameters'!N69))</f>
        <v>712.55242792628542</v>
      </c>
      <c r="L448" s="49">
        <f>IF('Tech Parameters'!$I7=0,0,-PMT(discount_rate,'Tech Parameters'!$I7,'Tech Parameters'!O69))</f>
        <v>712.55242792628542</v>
      </c>
      <c r="M448" s="49">
        <f>IF('Tech Parameters'!$I7=0,0,-PMT(discount_rate,'Tech Parameters'!$I7,'Tech Parameters'!P69))</f>
        <v>712.55242792628542</v>
      </c>
      <c r="N448" s="49">
        <f>IF('Tech Parameters'!$I7=0,0,-PMT(discount_rate,'Tech Parameters'!$I7,'Tech Parameters'!Q69))</f>
        <v>712.55242792628542</v>
      </c>
      <c r="O448" s="49">
        <f>IF('Tech Parameters'!$I7=0,0,-PMT(discount_rate,'Tech Parameters'!$I7,'Tech Parameters'!R69))</f>
        <v>712.55242792628542</v>
      </c>
      <c r="P448" s="49">
        <f>IF('Tech Parameters'!$I7=0,0,-PMT(discount_rate,'Tech Parameters'!$I7,'Tech Parameters'!S69))</f>
        <v>712.55242792628542</v>
      </c>
      <c r="Q448" s="49">
        <f>IF('Tech Parameters'!$I7=0,0,-PMT(discount_rate,'Tech Parameters'!$I7,'Tech Parameters'!T69))</f>
        <v>712.55242792628542</v>
      </c>
      <c r="R448" s="49">
        <f>IF('Tech Parameters'!$I7=0,0,-PMT(discount_rate,'Tech Parameters'!$I7,'Tech Parameters'!U69))</f>
        <v>712.55242792628542</v>
      </c>
      <c r="S448" s="49">
        <f>IF('Tech Parameters'!$I7=0,0,-PMT(discount_rate,'Tech Parameters'!$I7,'Tech Parameters'!V69))</f>
        <v>712.55242792628542</v>
      </c>
      <c r="T448" s="49">
        <f>IF('Tech Parameters'!$I7=0,0,-PMT(discount_rate,'Tech Parameters'!$I7,'Tech Parameters'!W69))</f>
        <v>712.55242792628542</v>
      </c>
      <c r="U448" s="49">
        <f>IF('Tech Parameters'!$I7=0,0,-PMT(discount_rate,'Tech Parameters'!$I7,'Tech Parameters'!X69))</f>
        <v>712.55242792628542</v>
      </c>
      <c r="V448" s="49">
        <f>IF('Tech Parameters'!$I7=0,0,-PMT(discount_rate,'Tech Parameters'!$I7,'Tech Parameters'!Y69))</f>
        <v>712.55242792628542</v>
      </c>
      <c r="W448" s="49">
        <f>IF('Tech Parameters'!$I7=0,0,-PMT(discount_rate,'Tech Parameters'!$I7,'Tech Parameters'!Z69))</f>
        <v>712.55242792628542</v>
      </c>
      <c r="X448" s="49">
        <f>IF('Tech Parameters'!$I7=0,0,-PMT(discount_rate,'Tech Parameters'!$I7,'Tech Parameters'!AA69))</f>
        <v>712.55242792628542</v>
      </c>
      <c r="Y448" s="49">
        <f>IF('Tech Parameters'!$I7=0,0,-PMT(discount_rate,'Tech Parameters'!$I7,'Tech Parameters'!AB69))</f>
        <v>712.55242792628542</v>
      </c>
      <c r="Z448" s="49">
        <f>IF('Tech Parameters'!$I7=0,0,-PMT(discount_rate,'Tech Parameters'!$I7,'Tech Parameters'!AC69))</f>
        <v>712.55242792628542</v>
      </c>
      <c r="AA448" s="49">
        <f>IF('Tech Parameters'!$I7=0,0,-PMT(discount_rate,'Tech Parameters'!$I7,'Tech Parameters'!AD69))</f>
        <v>712.55242792628542</v>
      </c>
      <c r="AB448" s="49">
        <f>IF('Tech Parameters'!$I7=0,0,-PMT(discount_rate,'Tech Parameters'!$I7,'Tech Parameters'!AE69))</f>
        <v>712.55242792628542</v>
      </c>
      <c r="AC448" s="49">
        <f>IF('Tech Parameters'!$I7=0,0,-PMT(discount_rate,'Tech Parameters'!$I7,'Tech Parameters'!AF69))</f>
        <v>712.55242792628542</v>
      </c>
      <c r="AD448" s="49">
        <f>IF('Tech Parameters'!$I7=0,0,-PMT(discount_rate,'Tech Parameters'!$I7,'Tech Parameters'!AG69))</f>
        <v>712.55242792628542</v>
      </c>
      <c r="AE448" s="49">
        <f>IF('Tech Parameters'!$I7=0,0,-PMT(discount_rate,'Tech Parameters'!$I7,'Tech Parameters'!AH69))</f>
        <v>712.55242792628542</v>
      </c>
      <c r="AF448" s="49">
        <f>IF('Tech Parameters'!$I7=0,0,-PMT(discount_rate,'Tech Parameters'!$I7,'Tech Parameters'!AI69))</f>
        <v>712.55242792628542</v>
      </c>
      <c r="AG448" s="49">
        <f>IF('Tech Parameters'!$I7=0,0,-PMT(discount_rate,'Tech Parameters'!$I7,'Tech Parameters'!AJ69))</f>
        <v>712.55242792628542</v>
      </c>
      <c r="AH448" s="49">
        <f>IF('Tech Parameters'!$I7=0,0,-PMT(discount_rate,'Tech Parameters'!$I7,'Tech Parameters'!AK69))</f>
        <v>712.55242792628542</v>
      </c>
      <c r="AI448" s="49">
        <f>IF('Tech Parameters'!$I7=0,0,-PMT(discount_rate,'Tech Parameters'!$I7,'Tech Parameters'!AL69))</f>
        <v>712.55242792628542</v>
      </c>
      <c r="AJ448" s="49">
        <f>IF('Tech Parameters'!$I7=0,0,-PMT(discount_rate,'Tech Parameters'!$I7,'Tech Parameters'!AM69))</f>
        <v>712.55242792628542</v>
      </c>
      <c r="AK448" s="49">
        <f>IF('Tech Parameters'!$I7=0,0,-PMT(discount_rate,'Tech Parameters'!$I7,'Tech Parameters'!AN69))</f>
        <v>712.55242792628542</v>
      </c>
      <c r="AL448" s="49">
        <f>IF('Tech Parameters'!$I7=0,0,-PMT(discount_rate,'Tech Parameters'!$I7,'Tech Parameters'!AO69))</f>
        <v>712.55242792628542</v>
      </c>
      <c r="AM448" s="49">
        <f>IF('Tech Parameters'!$I7=0,0,-PMT(discount_rate,'Tech Parameters'!$I7,'Tech Parameters'!AP69))</f>
        <v>712.55242792628542</v>
      </c>
      <c r="AN448" s="49">
        <f>IF('Tech Parameters'!$I7=0,0,-PMT(discount_rate,'Tech Parameters'!$I7,'Tech Parameters'!AQ69))</f>
        <v>712.55242792628542</v>
      </c>
      <c r="AO448" s="49">
        <f>IF('Tech Parameters'!$I7=0,0,-PMT(discount_rate,'Tech Parameters'!$I7,'Tech Parameters'!AR69))</f>
        <v>712.55242792628542</v>
      </c>
      <c r="AP448" s="49">
        <f>IF('Tech Parameters'!$I7=0,0,-PMT(discount_rate,'Tech Parameters'!$I7,'Tech Parameters'!AS69))</f>
        <v>712.55242792628542</v>
      </c>
      <c r="AQ448" s="49">
        <f>IF('Tech Parameters'!$I7=0,0,-PMT(discount_rate,'Tech Parameters'!$I7,'Tech Parameters'!AT69))</f>
        <v>712.55242792628542</v>
      </c>
      <c r="AR448" s="49">
        <f>IF('Tech Parameters'!$I7=0,0,-PMT(discount_rate,'Tech Parameters'!$I7,'Tech Parameters'!AU69))</f>
        <v>712.55242792628542</v>
      </c>
      <c r="AS448" s="49">
        <f>IF('Tech Parameters'!$I7=0,0,-PMT(discount_rate,'Tech Parameters'!$I7,'Tech Parameters'!AV69))</f>
        <v>712.55242792628542</v>
      </c>
      <c r="AT448" s="49">
        <f>IF('Tech Parameters'!$I7=0,0,-PMT(discount_rate,'Tech Parameters'!$I7,'Tech Parameters'!AW69))</f>
        <v>712.55242792628542</v>
      </c>
      <c r="AU448" s="49">
        <f>IF('Tech Parameters'!$I7=0,0,-PMT(discount_rate,'Tech Parameters'!$I7,'Tech Parameters'!AX69))</f>
        <v>712.55242792628542</v>
      </c>
      <c r="AV448" s="49">
        <f>IF('Tech Parameters'!$I7=0,0,-PMT(discount_rate,'Tech Parameters'!$I7,'Tech Parameters'!AY69))</f>
        <v>712.55242792628542</v>
      </c>
      <c r="AW448" s="49">
        <f>IF('Tech Parameters'!$I7=0,0,-PMT(discount_rate,'Tech Parameters'!$I7,'Tech Parameters'!AZ69))</f>
        <v>712.55242792628542</v>
      </c>
    </row>
    <row r="449" spans="3:49">
      <c r="C449" t="str">
        <f t="shared" si="112"/>
        <v>OCGT liquid fuels</v>
      </c>
      <c r="D449" s="49">
        <f>IF('Tech Parameters'!$I8=0,0,-PMT(discount_rate,'Tech Parameters'!$I8,'Tech Parameters'!G70))</f>
        <v>0.11016807219002084</v>
      </c>
      <c r="E449" s="49">
        <f>IF('Tech Parameters'!$I8=0,0,-PMT(discount_rate,'Tech Parameters'!$I8,'Tech Parameters'!H70))</f>
        <v>0</v>
      </c>
      <c r="F449" s="49">
        <f>IF('Tech Parameters'!$I8=0,0,-PMT(discount_rate,'Tech Parameters'!$I8,'Tech Parameters'!I70))</f>
        <v>630.40540350161257</v>
      </c>
      <c r="G449" s="49">
        <f>IF('Tech Parameters'!$I8=0,0,-PMT(discount_rate,'Tech Parameters'!$I8,'Tech Parameters'!J70))</f>
        <v>630.40540350161257</v>
      </c>
      <c r="H449" s="49">
        <f>IF('Tech Parameters'!$I8=0,0,-PMT(discount_rate,'Tech Parameters'!$I8,'Tech Parameters'!K70))</f>
        <v>630.40540350161257</v>
      </c>
      <c r="I449" s="49">
        <f>IF('Tech Parameters'!$I8=0,0,-PMT(discount_rate,'Tech Parameters'!$I8,'Tech Parameters'!L70))</f>
        <v>630.40540350161257</v>
      </c>
      <c r="J449" s="49">
        <f>IF('Tech Parameters'!$I8=0,0,-PMT(discount_rate,'Tech Parameters'!$I8,'Tech Parameters'!M70))</f>
        <v>630.40540350161257</v>
      </c>
      <c r="K449" s="49">
        <f>IF('Tech Parameters'!$I8=0,0,-PMT(discount_rate,'Tech Parameters'!$I8,'Tech Parameters'!N70))</f>
        <v>630.40540350161257</v>
      </c>
      <c r="L449" s="49">
        <f>IF('Tech Parameters'!$I8=0,0,-PMT(discount_rate,'Tech Parameters'!$I8,'Tech Parameters'!O70))</f>
        <v>630.40540350161257</v>
      </c>
      <c r="M449" s="49">
        <f>IF('Tech Parameters'!$I8=0,0,-PMT(discount_rate,'Tech Parameters'!$I8,'Tech Parameters'!P70))</f>
        <v>630.40540350161257</v>
      </c>
      <c r="N449" s="49">
        <f>IF('Tech Parameters'!$I8=0,0,-PMT(discount_rate,'Tech Parameters'!$I8,'Tech Parameters'!Q70))</f>
        <v>630.40540350161257</v>
      </c>
      <c r="O449" s="49">
        <f>IF('Tech Parameters'!$I8=0,0,-PMT(discount_rate,'Tech Parameters'!$I8,'Tech Parameters'!R70))</f>
        <v>630.40540350161257</v>
      </c>
      <c r="P449" s="49">
        <f>IF('Tech Parameters'!$I8=0,0,-PMT(discount_rate,'Tech Parameters'!$I8,'Tech Parameters'!S70))</f>
        <v>630.40540350161257</v>
      </c>
      <c r="Q449" s="49">
        <f>IF('Tech Parameters'!$I8=0,0,-PMT(discount_rate,'Tech Parameters'!$I8,'Tech Parameters'!T70))</f>
        <v>630.40540350161257</v>
      </c>
      <c r="R449" s="49">
        <f>IF('Tech Parameters'!$I8=0,0,-PMT(discount_rate,'Tech Parameters'!$I8,'Tech Parameters'!U70))</f>
        <v>630.40540350161257</v>
      </c>
      <c r="S449" s="49">
        <f>IF('Tech Parameters'!$I8=0,0,-PMT(discount_rate,'Tech Parameters'!$I8,'Tech Parameters'!V70))</f>
        <v>630.40540350161257</v>
      </c>
      <c r="T449" s="49">
        <f>IF('Tech Parameters'!$I8=0,0,-PMT(discount_rate,'Tech Parameters'!$I8,'Tech Parameters'!W70))</f>
        <v>630.40540350161257</v>
      </c>
      <c r="U449" s="49">
        <f>IF('Tech Parameters'!$I8=0,0,-PMT(discount_rate,'Tech Parameters'!$I8,'Tech Parameters'!X70))</f>
        <v>630.40540350161257</v>
      </c>
      <c r="V449" s="49">
        <f>IF('Tech Parameters'!$I8=0,0,-PMT(discount_rate,'Tech Parameters'!$I8,'Tech Parameters'!Y70))</f>
        <v>630.40540350161257</v>
      </c>
      <c r="W449" s="49">
        <f>IF('Tech Parameters'!$I8=0,0,-PMT(discount_rate,'Tech Parameters'!$I8,'Tech Parameters'!Z70))</f>
        <v>630.40540350161257</v>
      </c>
      <c r="X449" s="49">
        <f>IF('Tech Parameters'!$I8=0,0,-PMT(discount_rate,'Tech Parameters'!$I8,'Tech Parameters'!AA70))</f>
        <v>630.40540350161257</v>
      </c>
      <c r="Y449" s="49">
        <f>IF('Tech Parameters'!$I8=0,0,-PMT(discount_rate,'Tech Parameters'!$I8,'Tech Parameters'!AB70))</f>
        <v>630.40540350161257</v>
      </c>
      <c r="Z449" s="49">
        <f>IF('Tech Parameters'!$I8=0,0,-PMT(discount_rate,'Tech Parameters'!$I8,'Tech Parameters'!AC70))</f>
        <v>630.40540350161257</v>
      </c>
      <c r="AA449" s="49">
        <f>IF('Tech Parameters'!$I8=0,0,-PMT(discount_rate,'Tech Parameters'!$I8,'Tech Parameters'!AD70))</f>
        <v>630.40540350161257</v>
      </c>
      <c r="AB449" s="49">
        <f>IF('Tech Parameters'!$I8=0,0,-PMT(discount_rate,'Tech Parameters'!$I8,'Tech Parameters'!AE70))</f>
        <v>630.40540350161257</v>
      </c>
      <c r="AC449" s="49">
        <f>IF('Tech Parameters'!$I8=0,0,-PMT(discount_rate,'Tech Parameters'!$I8,'Tech Parameters'!AF70))</f>
        <v>630.40540350161257</v>
      </c>
      <c r="AD449" s="49">
        <f>IF('Tech Parameters'!$I8=0,0,-PMT(discount_rate,'Tech Parameters'!$I8,'Tech Parameters'!AG70))</f>
        <v>630.40540350161257</v>
      </c>
      <c r="AE449" s="49">
        <f>IF('Tech Parameters'!$I8=0,0,-PMT(discount_rate,'Tech Parameters'!$I8,'Tech Parameters'!AH70))</f>
        <v>630.40540350161257</v>
      </c>
      <c r="AF449" s="49">
        <f>IF('Tech Parameters'!$I8=0,0,-PMT(discount_rate,'Tech Parameters'!$I8,'Tech Parameters'!AI70))</f>
        <v>630.40540350161257</v>
      </c>
      <c r="AG449" s="49">
        <f>IF('Tech Parameters'!$I8=0,0,-PMT(discount_rate,'Tech Parameters'!$I8,'Tech Parameters'!AJ70))</f>
        <v>630.40540350161257</v>
      </c>
      <c r="AH449" s="49">
        <f>IF('Tech Parameters'!$I8=0,0,-PMT(discount_rate,'Tech Parameters'!$I8,'Tech Parameters'!AK70))</f>
        <v>630.40540350161257</v>
      </c>
      <c r="AI449" s="49">
        <f>IF('Tech Parameters'!$I8=0,0,-PMT(discount_rate,'Tech Parameters'!$I8,'Tech Parameters'!AL70))</f>
        <v>630.40540350161257</v>
      </c>
      <c r="AJ449" s="49">
        <f>IF('Tech Parameters'!$I8=0,0,-PMT(discount_rate,'Tech Parameters'!$I8,'Tech Parameters'!AM70))</f>
        <v>630.40540350161257</v>
      </c>
      <c r="AK449" s="49">
        <f>IF('Tech Parameters'!$I8=0,0,-PMT(discount_rate,'Tech Parameters'!$I8,'Tech Parameters'!AN70))</f>
        <v>630.40540350161257</v>
      </c>
      <c r="AL449" s="49">
        <f>IF('Tech Parameters'!$I8=0,0,-PMT(discount_rate,'Tech Parameters'!$I8,'Tech Parameters'!AO70))</f>
        <v>630.40540350161257</v>
      </c>
      <c r="AM449" s="49">
        <f>IF('Tech Parameters'!$I8=0,0,-PMT(discount_rate,'Tech Parameters'!$I8,'Tech Parameters'!AP70))</f>
        <v>630.40540350161257</v>
      </c>
      <c r="AN449" s="49">
        <f>IF('Tech Parameters'!$I8=0,0,-PMT(discount_rate,'Tech Parameters'!$I8,'Tech Parameters'!AQ70))</f>
        <v>630.40540350161257</v>
      </c>
      <c r="AO449" s="49">
        <f>IF('Tech Parameters'!$I8=0,0,-PMT(discount_rate,'Tech Parameters'!$I8,'Tech Parameters'!AR70))</f>
        <v>630.40540350161257</v>
      </c>
      <c r="AP449" s="49">
        <f>IF('Tech Parameters'!$I8=0,0,-PMT(discount_rate,'Tech Parameters'!$I8,'Tech Parameters'!AS70))</f>
        <v>630.40540350161257</v>
      </c>
      <c r="AQ449" s="49">
        <f>IF('Tech Parameters'!$I8=0,0,-PMT(discount_rate,'Tech Parameters'!$I8,'Tech Parameters'!AT70))</f>
        <v>630.40540350161257</v>
      </c>
      <c r="AR449" s="49">
        <f>IF('Tech Parameters'!$I8=0,0,-PMT(discount_rate,'Tech Parameters'!$I8,'Tech Parameters'!AU70))</f>
        <v>630.40540350161257</v>
      </c>
      <c r="AS449" s="49">
        <f>IF('Tech Parameters'!$I8=0,0,-PMT(discount_rate,'Tech Parameters'!$I8,'Tech Parameters'!AV70))</f>
        <v>630.40540350161257</v>
      </c>
      <c r="AT449" s="49">
        <f>IF('Tech Parameters'!$I8=0,0,-PMT(discount_rate,'Tech Parameters'!$I8,'Tech Parameters'!AW70))</f>
        <v>630.40540350161257</v>
      </c>
      <c r="AU449" s="49">
        <f>IF('Tech Parameters'!$I8=0,0,-PMT(discount_rate,'Tech Parameters'!$I8,'Tech Parameters'!AX70))</f>
        <v>630.40540350161257</v>
      </c>
      <c r="AV449" s="49">
        <f>IF('Tech Parameters'!$I8=0,0,-PMT(discount_rate,'Tech Parameters'!$I8,'Tech Parameters'!AY70))</f>
        <v>630.40540350161257</v>
      </c>
      <c r="AW449" s="49">
        <f>IF('Tech Parameters'!$I8=0,0,-PMT(discount_rate,'Tech Parameters'!$I8,'Tech Parameters'!AZ70))</f>
        <v>630.40540350161257</v>
      </c>
    </row>
    <row r="450" spans="3:49">
      <c r="C450" t="str">
        <f t="shared" si="112"/>
        <v>PWR nuclear</v>
      </c>
      <c r="D450" s="49">
        <f>IF('Tech Parameters'!$I9=0,0,-PMT(discount_rate,'Tech Parameters'!$I9,'Tech Parameters'!G71))</f>
        <v>0</v>
      </c>
      <c r="E450" s="49">
        <f>IF('Tech Parameters'!$I9=0,0,-PMT(discount_rate,'Tech Parameters'!$I9,'Tech Parameters'!H71))</f>
        <v>0</v>
      </c>
      <c r="F450" s="49">
        <f>IF('Tech Parameters'!$I9=0,0,-PMT(discount_rate,'Tech Parameters'!$I9,'Tech Parameters'!I71))</f>
        <v>3829.0934918562289</v>
      </c>
      <c r="G450" s="49">
        <f>IF('Tech Parameters'!$I9=0,0,-PMT(discount_rate,'Tech Parameters'!$I9,'Tech Parameters'!J71))</f>
        <v>3829.0934918562289</v>
      </c>
      <c r="H450" s="49">
        <f>IF('Tech Parameters'!$I9=0,0,-PMT(discount_rate,'Tech Parameters'!$I9,'Tech Parameters'!K71))</f>
        <v>3829.0934918562289</v>
      </c>
      <c r="I450" s="49">
        <f>IF('Tech Parameters'!$I9=0,0,-PMT(discount_rate,'Tech Parameters'!$I9,'Tech Parameters'!L71))</f>
        <v>3829.0934918562289</v>
      </c>
      <c r="J450" s="49">
        <f>IF('Tech Parameters'!$I9=0,0,-PMT(discount_rate,'Tech Parameters'!$I9,'Tech Parameters'!M71))</f>
        <v>3829.0934918562289</v>
      </c>
      <c r="K450" s="49">
        <f>IF('Tech Parameters'!$I9=0,0,-PMT(discount_rate,'Tech Parameters'!$I9,'Tech Parameters'!N71))</f>
        <v>3829.0934918562289</v>
      </c>
      <c r="L450" s="49">
        <f>IF('Tech Parameters'!$I9=0,0,-PMT(discount_rate,'Tech Parameters'!$I9,'Tech Parameters'!O71))</f>
        <v>3829.0934918562289</v>
      </c>
      <c r="M450" s="49">
        <f>IF('Tech Parameters'!$I9=0,0,-PMT(discount_rate,'Tech Parameters'!$I9,'Tech Parameters'!P71))</f>
        <v>3829.0934918562289</v>
      </c>
      <c r="N450" s="49">
        <f>IF('Tech Parameters'!$I9=0,0,-PMT(discount_rate,'Tech Parameters'!$I9,'Tech Parameters'!Q71))</f>
        <v>3829.0934918562289</v>
      </c>
      <c r="O450" s="49">
        <f>IF('Tech Parameters'!$I9=0,0,-PMT(discount_rate,'Tech Parameters'!$I9,'Tech Parameters'!R71))</f>
        <v>3829.0934918562289</v>
      </c>
      <c r="P450" s="49">
        <f>IF('Tech Parameters'!$I9=0,0,-PMT(discount_rate,'Tech Parameters'!$I9,'Tech Parameters'!S71))</f>
        <v>3829.0934918562289</v>
      </c>
      <c r="Q450" s="49">
        <f>IF('Tech Parameters'!$I9=0,0,-PMT(discount_rate,'Tech Parameters'!$I9,'Tech Parameters'!T71))</f>
        <v>3829.0934918562289</v>
      </c>
      <c r="R450" s="49">
        <f>IF('Tech Parameters'!$I9=0,0,-PMT(discount_rate,'Tech Parameters'!$I9,'Tech Parameters'!U71))</f>
        <v>3829.0934918562289</v>
      </c>
      <c r="S450" s="49">
        <f>IF('Tech Parameters'!$I9=0,0,-PMT(discount_rate,'Tech Parameters'!$I9,'Tech Parameters'!V71))</f>
        <v>3829.0934918562289</v>
      </c>
      <c r="T450" s="49">
        <f>IF('Tech Parameters'!$I9=0,0,-PMT(discount_rate,'Tech Parameters'!$I9,'Tech Parameters'!W71))</f>
        <v>3829.0934918562289</v>
      </c>
      <c r="U450" s="49">
        <f>IF('Tech Parameters'!$I9=0,0,-PMT(discount_rate,'Tech Parameters'!$I9,'Tech Parameters'!X71))</f>
        <v>3829.0934918562289</v>
      </c>
      <c r="V450" s="49">
        <f>IF('Tech Parameters'!$I9=0,0,-PMT(discount_rate,'Tech Parameters'!$I9,'Tech Parameters'!Y71))</f>
        <v>3829.0934918562289</v>
      </c>
      <c r="W450" s="49">
        <f>IF('Tech Parameters'!$I9=0,0,-PMT(discount_rate,'Tech Parameters'!$I9,'Tech Parameters'!Z71))</f>
        <v>3829.0934918562289</v>
      </c>
      <c r="X450" s="49">
        <f>IF('Tech Parameters'!$I9=0,0,-PMT(discount_rate,'Tech Parameters'!$I9,'Tech Parameters'!AA71))</f>
        <v>3829.0934918562289</v>
      </c>
      <c r="Y450" s="49">
        <f>IF('Tech Parameters'!$I9=0,0,-PMT(discount_rate,'Tech Parameters'!$I9,'Tech Parameters'!AB71))</f>
        <v>3829.0934918562289</v>
      </c>
      <c r="Z450" s="49">
        <f>IF('Tech Parameters'!$I9=0,0,-PMT(discount_rate,'Tech Parameters'!$I9,'Tech Parameters'!AC71))</f>
        <v>3829.0934918562289</v>
      </c>
      <c r="AA450" s="49">
        <f>IF('Tech Parameters'!$I9=0,0,-PMT(discount_rate,'Tech Parameters'!$I9,'Tech Parameters'!AD71))</f>
        <v>3829.0934918562289</v>
      </c>
      <c r="AB450" s="49">
        <f>IF('Tech Parameters'!$I9=0,0,-PMT(discount_rate,'Tech Parameters'!$I9,'Tech Parameters'!AE71))</f>
        <v>3829.0934918562289</v>
      </c>
      <c r="AC450" s="49">
        <f>IF('Tech Parameters'!$I9=0,0,-PMT(discount_rate,'Tech Parameters'!$I9,'Tech Parameters'!AF71))</f>
        <v>3829.0934918562289</v>
      </c>
      <c r="AD450" s="49">
        <f>IF('Tech Parameters'!$I9=0,0,-PMT(discount_rate,'Tech Parameters'!$I9,'Tech Parameters'!AG71))</f>
        <v>3829.0934918562289</v>
      </c>
      <c r="AE450" s="49">
        <f>IF('Tech Parameters'!$I9=0,0,-PMT(discount_rate,'Tech Parameters'!$I9,'Tech Parameters'!AH71))</f>
        <v>3829.0934918562289</v>
      </c>
      <c r="AF450" s="49">
        <f>IF('Tech Parameters'!$I9=0,0,-PMT(discount_rate,'Tech Parameters'!$I9,'Tech Parameters'!AI71))</f>
        <v>3829.0934918562289</v>
      </c>
      <c r="AG450" s="49">
        <f>IF('Tech Parameters'!$I9=0,0,-PMT(discount_rate,'Tech Parameters'!$I9,'Tech Parameters'!AJ71))</f>
        <v>3829.0934918562289</v>
      </c>
      <c r="AH450" s="49">
        <f>IF('Tech Parameters'!$I9=0,0,-PMT(discount_rate,'Tech Parameters'!$I9,'Tech Parameters'!AK71))</f>
        <v>3829.0934918562289</v>
      </c>
      <c r="AI450" s="49">
        <f>IF('Tech Parameters'!$I9=0,0,-PMT(discount_rate,'Tech Parameters'!$I9,'Tech Parameters'!AL71))</f>
        <v>3829.0934918562289</v>
      </c>
      <c r="AJ450" s="49">
        <f>IF('Tech Parameters'!$I9=0,0,-PMT(discount_rate,'Tech Parameters'!$I9,'Tech Parameters'!AM71))</f>
        <v>3829.0934918562289</v>
      </c>
      <c r="AK450" s="49">
        <f>IF('Tech Parameters'!$I9=0,0,-PMT(discount_rate,'Tech Parameters'!$I9,'Tech Parameters'!AN71))</f>
        <v>3829.0934918562289</v>
      </c>
      <c r="AL450" s="49">
        <f>IF('Tech Parameters'!$I9=0,0,-PMT(discount_rate,'Tech Parameters'!$I9,'Tech Parameters'!AO71))</f>
        <v>3829.0934918562289</v>
      </c>
      <c r="AM450" s="49">
        <f>IF('Tech Parameters'!$I9=0,0,-PMT(discount_rate,'Tech Parameters'!$I9,'Tech Parameters'!AP71))</f>
        <v>3829.0934918562289</v>
      </c>
      <c r="AN450" s="49">
        <f>IF('Tech Parameters'!$I9=0,0,-PMT(discount_rate,'Tech Parameters'!$I9,'Tech Parameters'!AQ71))</f>
        <v>3829.0934918562289</v>
      </c>
      <c r="AO450" s="49">
        <f>IF('Tech Parameters'!$I9=0,0,-PMT(discount_rate,'Tech Parameters'!$I9,'Tech Parameters'!AR71))</f>
        <v>3829.0934918562289</v>
      </c>
      <c r="AP450" s="49">
        <f>IF('Tech Parameters'!$I9=0,0,-PMT(discount_rate,'Tech Parameters'!$I9,'Tech Parameters'!AS71))</f>
        <v>3829.0934918562289</v>
      </c>
      <c r="AQ450" s="49">
        <f>IF('Tech Parameters'!$I9=0,0,-PMT(discount_rate,'Tech Parameters'!$I9,'Tech Parameters'!AT71))</f>
        <v>3829.0934918562289</v>
      </c>
      <c r="AR450" s="49">
        <f>IF('Tech Parameters'!$I9=0,0,-PMT(discount_rate,'Tech Parameters'!$I9,'Tech Parameters'!AU71))</f>
        <v>3829.0934918562289</v>
      </c>
      <c r="AS450" s="49">
        <f>IF('Tech Parameters'!$I9=0,0,-PMT(discount_rate,'Tech Parameters'!$I9,'Tech Parameters'!AV71))</f>
        <v>3829.0934918562289</v>
      </c>
      <c r="AT450" s="49">
        <f>IF('Tech Parameters'!$I9=0,0,-PMT(discount_rate,'Tech Parameters'!$I9,'Tech Parameters'!AW71))</f>
        <v>3829.0934918562289</v>
      </c>
      <c r="AU450" s="49">
        <f>IF('Tech Parameters'!$I9=0,0,-PMT(discount_rate,'Tech Parameters'!$I9,'Tech Parameters'!AX71))</f>
        <v>3829.0934918562289</v>
      </c>
      <c r="AV450" s="49">
        <f>IF('Tech Parameters'!$I9=0,0,-PMT(discount_rate,'Tech Parameters'!$I9,'Tech Parameters'!AY71))</f>
        <v>3829.0934918562289</v>
      </c>
      <c r="AW450" s="49">
        <f>IF('Tech Parameters'!$I9=0,0,-PMT(discount_rate,'Tech Parameters'!$I9,'Tech Parameters'!AZ71))</f>
        <v>3829.0934918562289</v>
      </c>
    </row>
    <row r="451" spans="3:49">
      <c r="C451" t="str">
        <f t="shared" si="112"/>
        <v>Hydro</v>
      </c>
      <c r="D451" s="49">
        <f>IF('Tech Parameters'!$I10=0,0,-PMT(discount_rate,'Tech Parameters'!$I10,'Tech Parameters'!G72))</f>
        <v>0</v>
      </c>
      <c r="E451" s="49">
        <f>IF('Tech Parameters'!$I10=0,0,-PMT(discount_rate,'Tech Parameters'!$I10,'Tech Parameters'!H72))</f>
        <v>0</v>
      </c>
      <c r="F451" s="49">
        <f>IF('Tech Parameters'!$I10=0,0,-PMT(discount_rate,'Tech Parameters'!$I10,'Tech Parameters'!I72))</f>
        <v>0</v>
      </c>
      <c r="G451" s="49">
        <f>IF('Tech Parameters'!$I10=0,0,-PMT(discount_rate,'Tech Parameters'!$I10,'Tech Parameters'!J72))</f>
        <v>0</v>
      </c>
      <c r="H451" s="49">
        <f>IF('Tech Parameters'!$I10=0,0,-PMT(discount_rate,'Tech Parameters'!$I10,'Tech Parameters'!K72))</f>
        <v>0</v>
      </c>
      <c r="I451" s="49">
        <f>IF('Tech Parameters'!$I10=0,0,-PMT(discount_rate,'Tech Parameters'!$I10,'Tech Parameters'!L72))</f>
        <v>0</v>
      </c>
      <c r="J451" s="49">
        <f>IF('Tech Parameters'!$I10=0,0,-PMT(discount_rate,'Tech Parameters'!$I10,'Tech Parameters'!M72))</f>
        <v>0</v>
      </c>
      <c r="K451" s="49">
        <f>IF('Tech Parameters'!$I10=0,0,-PMT(discount_rate,'Tech Parameters'!$I10,'Tech Parameters'!N72))</f>
        <v>0</v>
      </c>
      <c r="L451" s="49">
        <f>IF('Tech Parameters'!$I10=0,0,-PMT(discount_rate,'Tech Parameters'!$I10,'Tech Parameters'!O72))</f>
        <v>0</v>
      </c>
      <c r="M451" s="49">
        <f>IF('Tech Parameters'!$I10=0,0,-PMT(discount_rate,'Tech Parameters'!$I10,'Tech Parameters'!P72))</f>
        <v>0</v>
      </c>
      <c r="N451" s="49">
        <f>IF('Tech Parameters'!$I10=0,0,-PMT(discount_rate,'Tech Parameters'!$I10,'Tech Parameters'!Q72))</f>
        <v>0</v>
      </c>
      <c r="O451" s="49">
        <f>IF('Tech Parameters'!$I10=0,0,-PMT(discount_rate,'Tech Parameters'!$I10,'Tech Parameters'!R72))</f>
        <v>0</v>
      </c>
      <c r="P451" s="49">
        <f>IF('Tech Parameters'!$I10=0,0,-PMT(discount_rate,'Tech Parameters'!$I10,'Tech Parameters'!S72))</f>
        <v>0</v>
      </c>
      <c r="Q451" s="49">
        <f>IF('Tech Parameters'!$I10=0,0,-PMT(discount_rate,'Tech Parameters'!$I10,'Tech Parameters'!T72))</f>
        <v>0</v>
      </c>
      <c r="R451" s="49">
        <f>IF('Tech Parameters'!$I10=0,0,-PMT(discount_rate,'Tech Parameters'!$I10,'Tech Parameters'!U72))</f>
        <v>0</v>
      </c>
      <c r="S451" s="49">
        <f>IF('Tech Parameters'!$I10=0,0,-PMT(discount_rate,'Tech Parameters'!$I10,'Tech Parameters'!V72))</f>
        <v>0</v>
      </c>
      <c r="T451" s="49">
        <f>IF('Tech Parameters'!$I10=0,0,-PMT(discount_rate,'Tech Parameters'!$I10,'Tech Parameters'!W72))</f>
        <v>0</v>
      </c>
      <c r="U451" s="49">
        <f>IF('Tech Parameters'!$I10=0,0,-PMT(discount_rate,'Tech Parameters'!$I10,'Tech Parameters'!X72))</f>
        <v>0</v>
      </c>
      <c r="V451" s="49">
        <f>IF('Tech Parameters'!$I10=0,0,-PMT(discount_rate,'Tech Parameters'!$I10,'Tech Parameters'!Y72))</f>
        <v>0</v>
      </c>
      <c r="W451" s="49">
        <f>IF('Tech Parameters'!$I10=0,0,-PMT(discount_rate,'Tech Parameters'!$I10,'Tech Parameters'!Z72))</f>
        <v>0</v>
      </c>
      <c r="X451" s="49">
        <f>IF('Tech Parameters'!$I10=0,0,-PMT(discount_rate,'Tech Parameters'!$I10,'Tech Parameters'!AA72))</f>
        <v>0</v>
      </c>
      <c r="Y451" s="49">
        <f>IF('Tech Parameters'!$I10=0,0,-PMT(discount_rate,'Tech Parameters'!$I10,'Tech Parameters'!AB72))</f>
        <v>0</v>
      </c>
      <c r="Z451" s="49">
        <f>IF('Tech Parameters'!$I10=0,0,-PMT(discount_rate,'Tech Parameters'!$I10,'Tech Parameters'!AC72))</f>
        <v>0</v>
      </c>
      <c r="AA451" s="49">
        <f>IF('Tech Parameters'!$I10=0,0,-PMT(discount_rate,'Tech Parameters'!$I10,'Tech Parameters'!AD72))</f>
        <v>0</v>
      </c>
      <c r="AB451" s="49">
        <f>IF('Tech Parameters'!$I10=0,0,-PMT(discount_rate,'Tech Parameters'!$I10,'Tech Parameters'!AE72))</f>
        <v>0</v>
      </c>
      <c r="AC451" s="49">
        <f>IF('Tech Parameters'!$I10=0,0,-PMT(discount_rate,'Tech Parameters'!$I10,'Tech Parameters'!AF72))</f>
        <v>0</v>
      </c>
      <c r="AD451" s="49">
        <f>IF('Tech Parameters'!$I10=0,0,-PMT(discount_rate,'Tech Parameters'!$I10,'Tech Parameters'!AG72))</f>
        <v>0</v>
      </c>
      <c r="AE451" s="49">
        <f>IF('Tech Parameters'!$I10=0,0,-PMT(discount_rate,'Tech Parameters'!$I10,'Tech Parameters'!AH72))</f>
        <v>0</v>
      </c>
      <c r="AF451" s="49">
        <f>IF('Tech Parameters'!$I10=0,0,-PMT(discount_rate,'Tech Parameters'!$I10,'Tech Parameters'!AI72))</f>
        <v>0</v>
      </c>
      <c r="AG451" s="49">
        <f>IF('Tech Parameters'!$I10=0,0,-PMT(discount_rate,'Tech Parameters'!$I10,'Tech Parameters'!AJ72))</f>
        <v>0</v>
      </c>
      <c r="AH451" s="49">
        <f>IF('Tech Parameters'!$I10=0,0,-PMT(discount_rate,'Tech Parameters'!$I10,'Tech Parameters'!AK72))</f>
        <v>0</v>
      </c>
      <c r="AI451" s="49">
        <f>IF('Tech Parameters'!$I10=0,0,-PMT(discount_rate,'Tech Parameters'!$I10,'Tech Parameters'!AL72))</f>
        <v>0</v>
      </c>
      <c r="AJ451" s="49">
        <f>IF('Tech Parameters'!$I10=0,0,-PMT(discount_rate,'Tech Parameters'!$I10,'Tech Parameters'!AM72))</f>
        <v>0</v>
      </c>
      <c r="AK451" s="49">
        <f>IF('Tech Parameters'!$I10=0,0,-PMT(discount_rate,'Tech Parameters'!$I10,'Tech Parameters'!AN72))</f>
        <v>0</v>
      </c>
      <c r="AL451" s="49">
        <f>IF('Tech Parameters'!$I10=0,0,-PMT(discount_rate,'Tech Parameters'!$I10,'Tech Parameters'!AO72))</f>
        <v>0</v>
      </c>
      <c r="AM451" s="49">
        <f>IF('Tech Parameters'!$I10=0,0,-PMT(discount_rate,'Tech Parameters'!$I10,'Tech Parameters'!AP72))</f>
        <v>0</v>
      </c>
      <c r="AN451" s="49">
        <f>IF('Tech Parameters'!$I10=0,0,-PMT(discount_rate,'Tech Parameters'!$I10,'Tech Parameters'!AQ72))</f>
        <v>0</v>
      </c>
      <c r="AO451" s="49">
        <f>IF('Tech Parameters'!$I10=0,0,-PMT(discount_rate,'Tech Parameters'!$I10,'Tech Parameters'!AR72))</f>
        <v>0</v>
      </c>
      <c r="AP451" s="49">
        <f>IF('Tech Parameters'!$I10=0,0,-PMT(discount_rate,'Tech Parameters'!$I10,'Tech Parameters'!AS72))</f>
        <v>0</v>
      </c>
      <c r="AQ451" s="49">
        <f>IF('Tech Parameters'!$I10=0,0,-PMT(discount_rate,'Tech Parameters'!$I10,'Tech Parameters'!AT72))</f>
        <v>0</v>
      </c>
      <c r="AR451" s="49">
        <f>IF('Tech Parameters'!$I10=0,0,-PMT(discount_rate,'Tech Parameters'!$I10,'Tech Parameters'!AU72))</f>
        <v>0</v>
      </c>
      <c r="AS451" s="49">
        <f>IF('Tech Parameters'!$I10=0,0,-PMT(discount_rate,'Tech Parameters'!$I10,'Tech Parameters'!AV72))</f>
        <v>0</v>
      </c>
      <c r="AT451" s="49">
        <f>IF('Tech Parameters'!$I10=0,0,-PMT(discount_rate,'Tech Parameters'!$I10,'Tech Parameters'!AW72))</f>
        <v>0</v>
      </c>
      <c r="AU451" s="49">
        <f>IF('Tech Parameters'!$I10=0,0,-PMT(discount_rate,'Tech Parameters'!$I10,'Tech Parameters'!AX72))</f>
        <v>0</v>
      </c>
      <c r="AV451" s="49">
        <f>IF('Tech Parameters'!$I10=0,0,-PMT(discount_rate,'Tech Parameters'!$I10,'Tech Parameters'!AY72))</f>
        <v>0</v>
      </c>
      <c r="AW451" s="49">
        <f>IF('Tech Parameters'!$I10=0,0,-PMT(discount_rate,'Tech Parameters'!$I10,'Tech Parameters'!AZ72))</f>
        <v>0</v>
      </c>
    </row>
    <row r="452" spans="3:49">
      <c r="C452" t="str">
        <f t="shared" si="112"/>
        <v>Landfill gas</v>
      </c>
      <c r="D452" s="49">
        <f>IF('Tech Parameters'!$I11=0,0,-PMT(discount_rate,'Tech Parameters'!$I11,'Tech Parameters'!G73))</f>
        <v>0</v>
      </c>
      <c r="E452" s="49">
        <f>IF('Tech Parameters'!$I11=0,0,-PMT(discount_rate,'Tech Parameters'!$I11,'Tech Parameters'!H73))</f>
        <v>0</v>
      </c>
      <c r="F452" s="49">
        <f>IF('Tech Parameters'!$I11=0,0,-PMT(discount_rate,'Tech Parameters'!$I11,'Tech Parameters'!I73))</f>
        <v>2321.8998763165264</v>
      </c>
      <c r="G452" s="49">
        <f>IF('Tech Parameters'!$I11=0,0,-PMT(discount_rate,'Tech Parameters'!$I11,'Tech Parameters'!J73))</f>
        <v>2321.8998763165264</v>
      </c>
      <c r="H452" s="49">
        <f>IF('Tech Parameters'!$I11=0,0,-PMT(discount_rate,'Tech Parameters'!$I11,'Tech Parameters'!K73))</f>
        <v>2321.8998763165264</v>
      </c>
      <c r="I452" s="49">
        <f>IF('Tech Parameters'!$I11=0,0,-PMT(discount_rate,'Tech Parameters'!$I11,'Tech Parameters'!L73))</f>
        <v>2321.8998763165264</v>
      </c>
      <c r="J452" s="49">
        <f>IF('Tech Parameters'!$I11=0,0,-PMT(discount_rate,'Tech Parameters'!$I11,'Tech Parameters'!M73))</f>
        <v>2321.8998763165264</v>
      </c>
      <c r="K452" s="49">
        <f>IF('Tech Parameters'!$I11=0,0,-PMT(discount_rate,'Tech Parameters'!$I11,'Tech Parameters'!N73))</f>
        <v>2321.8998763165264</v>
      </c>
      <c r="L452" s="49">
        <f>IF('Tech Parameters'!$I11=0,0,-PMT(discount_rate,'Tech Parameters'!$I11,'Tech Parameters'!O73))</f>
        <v>2321.8998763165264</v>
      </c>
      <c r="M452" s="49">
        <f>IF('Tech Parameters'!$I11=0,0,-PMT(discount_rate,'Tech Parameters'!$I11,'Tech Parameters'!P73))</f>
        <v>2321.8998763165264</v>
      </c>
      <c r="N452" s="49">
        <f>IF('Tech Parameters'!$I11=0,0,-PMT(discount_rate,'Tech Parameters'!$I11,'Tech Parameters'!Q73))</f>
        <v>2321.8998763165264</v>
      </c>
      <c r="O452" s="49">
        <f>IF('Tech Parameters'!$I11=0,0,-PMT(discount_rate,'Tech Parameters'!$I11,'Tech Parameters'!R73))</f>
        <v>2321.8998763165264</v>
      </c>
      <c r="P452" s="49">
        <f>IF('Tech Parameters'!$I11=0,0,-PMT(discount_rate,'Tech Parameters'!$I11,'Tech Parameters'!S73))</f>
        <v>2321.8998763165264</v>
      </c>
      <c r="Q452" s="49">
        <f>IF('Tech Parameters'!$I11=0,0,-PMT(discount_rate,'Tech Parameters'!$I11,'Tech Parameters'!T73))</f>
        <v>2321.8998763165264</v>
      </c>
      <c r="R452" s="49">
        <f>IF('Tech Parameters'!$I11=0,0,-PMT(discount_rate,'Tech Parameters'!$I11,'Tech Parameters'!U73))</f>
        <v>2321.8998763165264</v>
      </c>
      <c r="S452" s="49">
        <f>IF('Tech Parameters'!$I11=0,0,-PMT(discount_rate,'Tech Parameters'!$I11,'Tech Parameters'!V73))</f>
        <v>2321.8998763165264</v>
      </c>
      <c r="T452" s="49">
        <f>IF('Tech Parameters'!$I11=0,0,-PMT(discount_rate,'Tech Parameters'!$I11,'Tech Parameters'!W73))</f>
        <v>2321.8998763165264</v>
      </c>
      <c r="U452" s="49">
        <f>IF('Tech Parameters'!$I11=0,0,-PMT(discount_rate,'Tech Parameters'!$I11,'Tech Parameters'!X73))</f>
        <v>2321.8998763165264</v>
      </c>
      <c r="V452" s="49">
        <f>IF('Tech Parameters'!$I11=0,0,-PMT(discount_rate,'Tech Parameters'!$I11,'Tech Parameters'!Y73))</f>
        <v>2321.8998763165264</v>
      </c>
      <c r="W452" s="49">
        <f>IF('Tech Parameters'!$I11=0,0,-PMT(discount_rate,'Tech Parameters'!$I11,'Tech Parameters'!Z73))</f>
        <v>2321.8998763165264</v>
      </c>
      <c r="X452" s="49">
        <f>IF('Tech Parameters'!$I11=0,0,-PMT(discount_rate,'Tech Parameters'!$I11,'Tech Parameters'!AA73))</f>
        <v>2321.8998763165264</v>
      </c>
      <c r="Y452" s="49">
        <f>IF('Tech Parameters'!$I11=0,0,-PMT(discount_rate,'Tech Parameters'!$I11,'Tech Parameters'!AB73))</f>
        <v>2321.8998763165264</v>
      </c>
      <c r="Z452" s="49">
        <f>IF('Tech Parameters'!$I11=0,0,-PMT(discount_rate,'Tech Parameters'!$I11,'Tech Parameters'!AC73))</f>
        <v>2321.8998763165264</v>
      </c>
      <c r="AA452" s="49">
        <f>IF('Tech Parameters'!$I11=0,0,-PMT(discount_rate,'Tech Parameters'!$I11,'Tech Parameters'!AD73))</f>
        <v>2321.8998763165264</v>
      </c>
      <c r="AB452" s="49">
        <f>IF('Tech Parameters'!$I11=0,0,-PMT(discount_rate,'Tech Parameters'!$I11,'Tech Parameters'!AE73))</f>
        <v>2321.8998763165264</v>
      </c>
      <c r="AC452" s="49">
        <f>IF('Tech Parameters'!$I11=0,0,-PMT(discount_rate,'Tech Parameters'!$I11,'Tech Parameters'!AF73))</f>
        <v>2321.8998763165264</v>
      </c>
      <c r="AD452" s="49">
        <f>IF('Tech Parameters'!$I11=0,0,-PMT(discount_rate,'Tech Parameters'!$I11,'Tech Parameters'!AG73))</f>
        <v>2321.8998763165264</v>
      </c>
      <c r="AE452" s="49">
        <f>IF('Tech Parameters'!$I11=0,0,-PMT(discount_rate,'Tech Parameters'!$I11,'Tech Parameters'!AH73))</f>
        <v>2321.8998763165264</v>
      </c>
      <c r="AF452" s="49">
        <f>IF('Tech Parameters'!$I11=0,0,-PMT(discount_rate,'Tech Parameters'!$I11,'Tech Parameters'!AI73))</f>
        <v>2321.8998763165264</v>
      </c>
      <c r="AG452" s="49">
        <f>IF('Tech Parameters'!$I11=0,0,-PMT(discount_rate,'Tech Parameters'!$I11,'Tech Parameters'!AJ73))</f>
        <v>2321.8998763165264</v>
      </c>
      <c r="AH452" s="49">
        <f>IF('Tech Parameters'!$I11=0,0,-PMT(discount_rate,'Tech Parameters'!$I11,'Tech Parameters'!AK73))</f>
        <v>2321.8998763165264</v>
      </c>
      <c r="AI452" s="49">
        <f>IF('Tech Parameters'!$I11=0,0,-PMT(discount_rate,'Tech Parameters'!$I11,'Tech Parameters'!AL73))</f>
        <v>2321.8998763165264</v>
      </c>
      <c r="AJ452" s="49">
        <f>IF('Tech Parameters'!$I11=0,0,-PMT(discount_rate,'Tech Parameters'!$I11,'Tech Parameters'!AM73))</f>
        <v>2321.8998763165264</v>
      </c>
      <c r="AK452" s="49">
        <f>IF('Tech Parameters'!$I11=0,0,-PMT(discount_rate,'Tech Parameters'!$I11,'Tech Parameters'!AN73))</f>
        <v>2321.8998763165264</v>
      </c>
      <c r="AL452" s="49">
        <f>IF('Tech Parameters'!$I11=0,0,-PMT(discount_rate,'Tech Parameters'!$I11,'Tech Parameters'!AO73))</f>
        <v>2321.8998763165264</v>
      </c>
      <c r="AM452" s="49">
        <f>IF('Tech Parameters'!$I11=0,0,-PMT(discount_rate,'Tech Parameters'!$I11,'Tech Parameters'!AP73))</f>
        <v>2321.8998763165264</v>
      </c>
      <c r="AN452" s="49">
        <f>IF('Tech Parameters'!$I11=0,0,-PMT(discount_rate,'Tech Parameters'!$I11,'Tech Parameters'!AQ73))</f>
        <v>2321.8998763165264</v>
      </c>
      <c r="AO452" s="49">
        <f>IF('Tech Parameters'!$I11=0,0,-PMT(discount_rate,'Tech Parameters'!$I11,'Tech Parameters'!AR73))</f>
        <v>2321.8998763165264</v>
      </c>
      <c r="AP452" s="49">
        <f>IF('Tech Parameters'!$I11=0,0,-PMT(discount_rate,'Tech Parameters'!$I11,'Tech Parameters'!AS73))</f>
        <v>2321.8998763165264</v>
      </c>
      <c r="AQ452" s="49">
        <f>IF('Tech Parameters'!$I11=0,0,-PMT(discount_rate,'Tech Parameters'!$I11,'Tech Parameters'!AT73))</f>
        <v>2321.8998763165264</v>
      </c>
      <c r="AR452" s="49">
        <f>IF('Tech Parameters'!$I11=0,0,-PMT(discount_rate,'Tech Parameters'!$I11,'Tech Parameters'!AU73))</f>
        <v>2321.8998763165264</v>
      </c>
      <c r="AS452" s="49">
        <f>IF('Tech Parameters'!$I11=0,0,-PMT(discount_rate,'Tech Parameters'!$I11,'Tech Parameters'!AV73))</f>
        <v>2321.8998763165264</v>
      </c>
      <c r="AT452" s="49">
        <f>IF('Tech Parameters'!$I11=0,0,-PMT(discount_rate,'Tech Parameters'!$I11,'Tech Parameters'!AW73))</f>
        <v>2321.8998763165264</v>
      </c>
      <c r="AU452" s="49">
        <f>IF('Tech Parameters'!$I11=0,0,-PMT(discount_rate,'Tech Parameters'!$I11,'Tech Parameters'!AX73))</f>
        <v>2321.8998763165264</v>
      </c>
      <c r="AV452" s="49">
        <f>IF('Tech Parameters'!$I11=0,0,-PMT(discount_rate,'Tech Parameters'!$I11,'Tech Parameters'!AY73))</f>
        <v>2321.8998763165264</v>
      </c>
      <c r="AW452" s="49">
        <f>IF('Tech Parameters'!$I11=0,0,-PMT(discount_rate,'Tech Parameters'!$I11,'Tech Parameters'!AZ73))</f>
        <v>2321.8998763165264</v>
      </c>
    </row>
    <row r="453" spans="3:49">
      <c r="C453" t="str">
        <f t="shared" si="112"/>
        <v>Biomass</v>
      </c>
      <c r="D453" s="49">
        <f>IF('Tech Parameters'!$I12=0,0,-PMT(discount_rate,'Tech Parameters'!$I12,'Tech Parameters'!G74))</f>
        <v>0</v>
      </c>
      <c r="E453" s="49">
        <f>IF('Tech Parameters'!$I12=0,0,-PMT(discount_rate,'Tech Parameters'!$I12,'Tech Parameters'!H74))</f>
        <v>0</v>
      </c>
      <c r="F453" s="49">
        <f>IF('Tech Parameters'!$I12=0,0,-PMT(discount_rate,'Tech Parameters'!$I12,'Tech Parameters'!I74))</f>
        <v>3438.5666276869983</v>
      </c>
      <c r="G453" s="49">
        <f>IF('Tech Parameters'!$I12=0,0,-PMT(discount_rate,'Tech Parameters'!$I12,'Tech Parameters'!J74))</f>
        <v>3438.5666276869983</v>
      </c>
      <c r="H453" s="49">
        <f>IF('Tech Parameters'!$I12=0,0,-PMT(discount_rate,'Tech Parameters'!$I12,'Tech Parameters'!K74))</f>
        <v>3438.5666276869983</v>
      </c>
      <c r="I453" s="49">
        <f>IF('Tech Parameters'!$I12=0,0,-PMT(discount_rate,'Tech Parameters'!$I12,'Tech Parameters'!L74))</f>
        <v>3438.5666276869983</v>
      </c>
      <c r="J453" s="49">
        <f>IF('Tech Parameters'!$I12=0,0,-PMT(discount_rate,'Tech Parameters'!$I12,'Tech Parameters'!M74))</f>
        <v>3438.5666276869983</v>
      </c>
      <c r="K453" s="49">
        <f>IF('Tech Parameters'!$I12=0,0,-PMT(discount_rate,'Tech Parameters'!$I12,'Tech Parameters'!N74))</f>
        <v>3438.5666276869983</v>
      </c>
      <c r="L453" s="49">
        <f>IF('Tech Parameters'!$I12=0,0,-PMT(discount_rate,'Tech Parameters'!$I12,'Tech Parameters'!O74))</f>
        <v>3438.5666276869983</v>
      </c>
      <c r="M453" s="49">
        <f>IF('Tech Parameters'!$I12=0,0,-PMT(discount_rate,'Tech Parameters'!$I12,'Tech Parameters'!P74))</f>
        <v>3438.5666276869983</v>
      </c>
      <c r="N453" s="49">
        <f>IF('Tech Parameters'!$I12=0,0,-PMT(discount_rate,'Tech Parameters'!$I12,'Tech Parameters'!Q74))</f>
        <v>3438.5666276869983</v>
      </c>
      <c r="O453" s="49">
        <f>IF('Tech Parameters'!$I12=0,0,-PMT(discount_rate,'Tech Parameters'!$I12,'Tech Parameters'!R74))</f>
        <v>3438.5666276869983</v>
      </c>
      <c r="P453" s="49">
        <f>IF('Tech Parameters'!$I12=0,0,-PMT(discount_rate,'Tech Parameters'!$I12,'Tech Parameters'!S74))</f>
        <v>3438.5666276869983</v>
      </c>
      <c r="Q453" s="49">
        <f>IF('Tech Parameters'!$I12=0,0,-PMT(discount_rate,'Tech Parameters'!$I12,'Tech Parameters'!T74))</f>
        <v>3438.5666276869983</v>
      </c>
      <c r="R453" s="49">
        <f>IF('Tech Parameters'!$I12=0,0,-PMT(discount_rate,'Tech Parameters'!$I12,'Tech Parameters'!U74))</f>
        <v>3438.5666276869983</v>
      </c>
      <c r="S453" s="49">
        <f>IF('Tech Parameters'!$I12=0,0,-PMT(discount_rate,'Tech Parameters'!$I12,'Tech Parameters'!V74))</f>
        <v>3438.5666276869983</v>
      </c>
      <c r="T453" s="49">
        <f>IF('Tech Parameters'!$I12=0,0,-PMT(discount_rate,'Tech Parameters'!$I12,'Tech Parameters'!W74))</f>
        <v>3438.5666276869983</v>
      </c>
      <c r="U453" s="49">
        <f>IF('Tech Parameters'!$I12=0,0,-PMT(discount_rate,'Tech Parameters'!$I12,'Tech Parameters'!X74))</f>
        <v>3438.5666276869983</v>
      </c>
      <c r="V453" s="49">
        <f>IF('Tech Parameters'!$I12=0,0,-PMT(discount_rate,'Tech Parameters'!$I12,'Tech Parameters'!Y74))</f>
        <v>3438.5666276869983</v>
      </c>
      <c r="W453" s="49">
        <f>IF('Tech Parameters'!$I12=0,0,-PMT(discount_rate,'Tech Parameters'!$I12,'Tech Parameters'!Z74))</f>
        <v>3438.5666276869983</v>
      </c>
      <c r="X453" s="49">
        <f>IF('Tech Parameters'!$I12=0,0,-PMT(discount_rate,'Tech Parameters'!$I12,'Tech Parameters'!AA74))</f>
        <v>3438.5666276869983</v>
      </c>
      <c r="Y453" s="49">
        <f>IF('Tech Parameters'!$I12=0,0,-PMT(discount_rate,'Tech Parameters'!$I12,'Tech Parameters'!AB74))</f>
        <v>3438.5666276869983</v>
      </c>
      <c r="Z453" s="49">
        <f>IF('Tech Parameters'!$I12=0,0,-PMT(discount_rate,'Tech Parameters'!$I12,'Tech Parameters'!AC74))</f>
        <v>3438.5666276869983</v>
      </c>
      <c r="AA453" s="49">
        <f>IF('Tech Parameters'!$I12=0,0,-PMT(discount_rate,'Tech Parameters'!$I12,'Tech Parameters'!AD74))</f>
        <v>3438.5666276869983</v>
      </c>
      <c r="AB453" s="49">
        <f>IF('Tech Parameters'!$I12=0,0,-PMT(discount_rate,'Tech Parameters'!$I12,'Tech Parameters'!AE74))</f>
        <v>3438.5666276869983</v>
      </c>
      <c r="AC453" s="49">
        <f>IF('Tech Parameters'!$I12=0,0,-PMT(discount_rate,'Tech Parameters'!$I12,'Tech Parameters'!AF74))</f>
        <v>3438.5666276869983</v>
      </c>
      <c r="AD453" s="49">
        <f>IF('Tech Parameters'!$I12=0,0,-PMT(discount_rate,'Tech Parameters'!$I12,'Tech Parameters'!AG74))</f>
        <v>3438.5666276869983</v>
      </c>
      <c r="AE453" s="49">
        <f>IF('Tech Parameters'!$I12=0,0,-PMT(discount_rate,'Tech Parameters'!$I12,'Tech Parameters'!AH74))</f>
        <v>3438.5666276869983</v>
      </c>
      <c r="AF453" s="49">
        <f>IF('Tech Parameters'!$I12=0,0,-PMT(discount_rate,'Tech Parameters'!$I12,'Tech Parameters'!AI74))</f>
        <v>3438.5666276869983</v>
      </c>
      <c r="AG453" s="49">
        <f>IF('Tech Parameters'!$I12=0,0,-PMT(discount_rate,'Tech Parameters'!$I12,'Tech Parameters'!AJ74))</f>
        <v>3438.5666276869983</v>
      </c>
      <c r="AH453" s="49">
        <f>IF('Tech Parameters'!$I12=0,0,-PMT(discount_rate,'Tech Parameters'!$I12,'Tech Parameters'!AK74))</f>
        <v>3438.5666276869983</v>
      </c>
      <c r="AI453" s="49">
        <f>IF('Tech Parameters'!$I12=0,0,-PMT(discount_rate,'Tech Parameters'!$I12,'Tech Parameters'!AL74))</f>
        <v>3438.5666276869983</v>
      </c>
      <c r="AJ453" s="49">
        <f>IF('Tech Parameters'!$I12=0,0,-PMT(discount_rate,'Tech Parameters'!$I12,'Tech Parameters'!AM74))</f>
        <v>3438.5666276869983</v>
      </c>
      <c r="AK453" s="49">
        <f>IF('Tech Parameters'!$I12=0,0,-PMT(discount_rate,'Tech Parameters'!$I12,'Tech Parameters'!AN74))</f>
        <v>3438.5666276869983</v>
      </c>
      <c r="AL453" s="49">
        <f>IF('Tech Parameters'!$I12=0,0,-PMT(discount_rate,'Tech Parameters'!$I12,'Tech Parameters'!AO74))</f>
        <v>3438.5666276869983</v>
      </c>
      <c r="AM453" s="49">
        <f>IF('Tech Parameters'!$I12=0,0,-PMT(discount_rate,'Tech Parameters'!$I12,'Tech Parameters'!AP74))</f>
        <v>3438.5666276869983</v>
      </c>
      <c r="AN453" s="49">
        <f>IF('Tech Parameters'!$I12=0,0,-PMT(discount_rate,'Tech Parameters'!$I12,'Tech Parameters'!AQ74))</f>
        <v>3438.5666276869983</v>
      </c>
      <c r="AO453" s="49">
        <f>IF('Tech Parameters'!$I12=0,0,-PMT(discount_rate,'Tech Parameters'!$I12,'Tech Parameters'!AR74))</f>
        <v>3438.5666276869983</v>
      </c>
      <c r="AP453" s="49">
        <f>IF('Tech Parameters'!$I12=0,0,-PMT(discount_rate,'Tech Parameters'!$I12,'Tech Parameters'!AS74))</f>
        <v>3438.5666276869983</v>
      </c>
      <c r="AQ453" s="49">
        <f>IF('Tech Parameters'!$I12=0,0,-PMT(discount_rate,'Tech Parameters'!$I12,'Tech Parameters'!AT74))</f>
        <v>3438.5666276869983</v>
      </c>
      <c r="AR453" s="49">
        <f>IF('Tech Parameters'!$I12=0,0,-PMT(discount_rate,'Tech Parameters'!$I12,'Tech Parameters'!AU74))</f>
        <v>3438.5666276869983</v>
      </c>
      <c r="AS453" s="49">
        <f>IF('Tech Parameters'!$I12=0,0,-PMT(discount_rate,'Tech Parameters'!$I12,'Tech Parameters'!AV74))</f>
        <v>3438.5666276869983</v>
      </c>
      <c r="AT453" s="49">
        <f>IF('Tech Parameters'!$I12=0,0,-PMT(discount_rate,'Tech Parameters'!$I12,'Tech Parameters'!AW74))</f>
        <v>3438.5666276869983</v>
      </c>
      <c r="AU453" s="49">
        <f>IF('Tech Parameters'!$I12=0,0,-PMT(discount_rate,'Tech Parameters'!$I12,'Tech Parameters'!AX74))</f>
        <v>3438.5666276869983</v>
      </c>
      <c r="AV453" s="49">
        <f>IF('Tech Parameters'!$I12=0,0,-PMT(discount_rate,'Tech Parameters'!$I12,'Tech Parameters'!AY74))</f>
        <v>3438.5666276869983</v>
      </c>
      <c r="AW453" s="49">
        <f>IF('Tech Parameters'!$I12=0,0,-PMT(discount_rate,'Tech Parameters'!$I12,'Tech Parameters'!AZ74))</f>
        <v>3438.5666276869983</v>
      </c>
    </row>
    <row r="454" spans="3:49">
      <c r="C454" t="str">
        <f t="shared" si="112"/>
        <v>Supercritical coal</v>
      </c>
      <c r="D454" s="49">
        <f>IF('Tech Parameters'!$I13=0,0,-PMT(discount_rate,'Tech Parameters'!$I13,'Tech Parameters'!G75))</f>
        <v>0</v>
      </c>
      <c r="E454" s="49">
        <f>IF('Tech Parameters'!$I13=0,0,-PMT(discount_rate,'Tech Parameters'!$I13,'Tech Parameters'!H75))</f>
        <v>0</v>
      </c>
      <c r="F454" s="49">
        <f>IF('Tech Parameters'!$I13=0,0,-PMT(discount_rate,'Tech Parameters'!$I13,'Tech Parameters'!I75))</f>
        <v>2136.9939867745561</v>
      </c>
      <c r="G454" s="49">
        <f>IF('Tech Parameters'!$I13=0,0,-PMT(discount_rate,'Tech Parameters'!$I13,'Tech Parameters'!J75))</f>
        <v>2136.9939867745561</v>
      </c>
      <c r="H454" s="49">
        <f>IF('Tech Parameters'!$I13=0,0,-PMT(discount_rate,'Tech Parameters'!$I13,'Tech Parameters'!K75))</f>
        <v>2122.3570416596613</v>
      </c>
      <c r="I454" s="49">
        <f>IF('Tech Parameters'!$I13=0,0,-PMT(discount_rate,'Tech Parameters'!$I13,'Tech Parameters'!L75))</f>
        <v>2107.7200965447673</v>
      </c>
      <c r="J454" s="49">
        <f>IF('Tech Parameters'!$I13=0,0,-PMT(discount_rate,'Tech Parameters'!$I13,'Tech Parameters'!M75))</f>
        <v>2101.2348039400135</v>
      </c>
      <c r="K454" s="49">
        <f>IF('Tech Parameters'!$I13=0,0,-PMT(discount_rate,'Tech Parameters'!$I13,'Tech Parameters'!N75))</f>
        <v>2094.7495113352606</v>
      </c>
      <c r="L454" s="49">
        <f>IF('Tech Parameters'!$I13=0,0,-PMT(discount_rate,'Tech Parameters'!$I13,'Tech Parameters'!O75))</f>
        <v>2088.2642187305073</v>
      </c>
      <c r="M454" s="49">
        <f>IF('Tech Parameters'!$I13=0,0,-PMT(discount_rate,'Tech Parameters'!$I13,'Tech Parameters'!P75))</f>
        <v>2081.7789261257544</v>
      </c>
      <c r="N454" s="49">
        <f>IF('Tech Parameters'!$I13=0,0,-PMT(discount_rate,'Tech Parameters'!$I13,'Tech Parameters'!Q75))</f>
        <v>2075.2936335210011</v>
      </c>
      <c r="O454" s="49">
        <f>IF('Tech Parameters'!$I13=0,0,-PMT(discount_rate,'Tech Parameters'!$I13,'Tech Parameters'!R75))</f>
        <v>2068.8083409162487</v>
      </c>
      <c r="P454" s="49">
        <f>IF('Tech Parameters'!$I13=0,0,-PMT(discount_rate,'Tech Parameters'!$I13,'Tech Parameters'!S75))</f>
        <v>2062.3230483114953</v>
      </c>
      <c r="Q454" s="49">
        <f>IF('Tech Parameters'!$I13=0,0,-PMT(discount_rate,'Tech Parameters'!$I13,'Tech Parameters'!T75))</f>
        <v>2055.8377557067424</v>
      </c>
      <c r="R454" s="49">
        <f>IF('Tech Parameters'!$I13=0,0,-PMT(discount_rate,'Tech Parameters'!$I13,'Tech Parameters'!U75))</f>
        <v>2049.3524631019891</v>
      </c>
      <c r="S454" s="49">
        <f>IF('Tech Parameters'!$I13=0,0,-PMT(discount_rate,'Tech Parameters'!$I13,'Tech Parameters'!V75))</f>
        <v>2042.8671704972357</v>
      </c>
      <c r="T454" s="49">
        <f>IF('Tech Parameters'!$I13=0,0,-PMT(discount_rate,'Tech Parameters'!$I13,'Tech Parameters'!W75))</f>
        <v>2036.3818778924826</v>
      </c>
      <c r="U454" s="49">
        <f>IF('Tech Parameters'!$I13=0,0,-PMT(discount_rate,'Tech Parameters'!$I13,'Tech Parameters'!X75))</f>
        <v>2029.8965852877293</v>
      </c>
      <c r="V454" s="49">
        <f>IF('Tech Parameters'!$I13=0,0,-PMT(discount_rate,'Tech Parameters'!$I13,'Tech Parameters'!Y75))</f>
        <v>2023.4112926829762</v>
      </c>
      <c r="W454" s="49">
        <f>IF('Tech Parameters'!$I13=0,0,-PMT(discount_rate,'Tech Parameters'!$I13,'Tech Parameters'!Z75))</f>
        <v>2017.6301175610249</v>
      </c>
      <c r="X454" s="49">
        <f>IF('Tech Parameters'!$I13=0,0,-PMT(discount_rate,'Tech Parameters'!$I13,'Tech Parameters'!AA75))</f>
        <v>2011.8489424390734</v>
      </c>
      <c r="Y454" s="49">
        <f>IF('Tech Parameters'!$I13=0,0,-PMT(discount_rate,'Tech Parameters'!$I13,'Tech Parameters'!AB75))</f>
        <v>2006.0677673171222</v>
      </c>
      <c r="Z454" s="49">
        <f>IF('Tech Parameters'!$I13=0,0,-PMT(discount_rate,'Tech Parameters'!$I13,'Tech Parameters'!AC75))</f>
        <v>2000.2865921951711</v>
      </c>
      <c r="AA454" s="49">
        <f>IF('Tech Parameters'!$I13=0,0,-PMT(discount_rate,'Tech Parameters'!$I13,'Tech Parameters'!AD75))</f>
        <v>1994.5054170732196</v>
      </c>
      <c r="AB454" s="49">
        <f>IF('Tech Parameters'!$I13=0,0,-PMT(discount_rate,'Tech Parameters'!$I13,'Tech Parameters'!AE75))</f>
        <v>1988.7242419512684</v>
      </c>
      <c r="AC454" s="49">
        <f>IF('Tech Parameters'!$I13=0,0,-PMT(discount_rate,'Tech Parameters'!$I13,'Tech Parameters'!AF75))</f>
        <v>1982.9430668293169</v>
      </c>
      <c r="AD454" s="49">
        <f>IF('Tech Parameters'!$I13=0,0,-PMT(discount_rate,'Tech Parameters'!$I13,'Tech Parameters'!AG75))</f>
        <v>1977.1618917073654</v>
      </c>
      <c r="AE454" s="49">
        <f>IF('Tech Parameters'!$I13=0,0,-PMT(discount_rate,'Tech Parameters'!$I13,'Tech Parameters'!AH75))</f>
        <v>1971.3807165854139</v>
      </c>
      <c r="AF454" s="49">
        <f>IF('Tech Parameters'!$I13=0,0,-PMT(discount_rate,'Tech Parameters'!$I13,'Tech Parameters'!AI75))</f>
        <v>1965.5995414634624</v>
      </c>
      <c r="AG454" s="49">
        <f>IF('Tech Parameters'!$I13=0,0,-PMT(discount_rate,'Tech Parameters'!$I13,'Tech Parameters'!AJ75))</f>
        <v>1959.8183663415107</v>
      </c>
      <c r="AH454" s="49">
        <f>IF('Tech Parameters'!$I13=0,0,-PMT(discount_rate,'Tech Parameters'!$I13,'Tech Parameters'!AK75))</f>
        <v>1954.0371912195599</v>
      </c>
      <c r="AI454" s="49">
        <f>IF('Tech Parameters'!$I13=0,0,-PMT(discount_rate,'Tech Parameters'!$I13,'Tech Parameters'!AL75))</f>
        <v>1948.2560160976084</v>
      </c>
      <c r="AJ454" s="49">
        <f>IF('Tech Parameters'!$I13=0,0,-PMT(discount_rate,'Tech Parameters'!$I13,'Tech Parameters'!AM75))</f>
        <v>1942.4748409756569</v>
      </c>
      <c r="AK454" s="49">
        <f>IF('Tech Parameters'!$I13=0,0,-PMT(discount_rate,'Tech Parameters'!$I13,'Tech Parameters'!AN75))</f>
        <v>1938.9430685375194</v>
      </c>
      <c r="AL454" s="49">
        <f>IF('Tech Parameters'!$I13=0,0,-PMT(discount_rate,'Tech Parameters'!$I13,'Tech Parameters'!AO75))</f>
        <v>1935.4112960993823</v>
      </c>
      <c r="AM454" s="49">
        <f>IF('Tech Parameters'!$I13=0,0,-PMT(discount_rate,'Tech Parameters'!$I13,'Tech Parameters'!AP75))</f>
        <v>1931.8795236612448</v>
      </c>
      <c r="AN454" s="49">
        <f>IF('Tech Parameters'!$I13=0,0,-PMT(discount_rate,'Tech Parameters'!$I13,'Tech Parameters'!AQ75))</f>
        <v>1928.347751223107</v>
      </c>
      <c r="AO454" s="49">
        <f>IF('Tech Parameters'!$I13=0,0,-PMT(discount_rate,'Tech Parameters'!$I13,'Tech Parameters'!AR75))</f>
        <v>1924.8159787849695</v>
      </c>
      <c r="AP454" s="49">
        <f>IF('Tech Parameters'!$I13=0,0,-PMT(discount_rate,'Tech Parameters'!$I13,'Tech Parameters'!AS75))</f>
        <v>1921.2842063468315</v>
      </c>
      <c r="AQ454" s="49">
        <f>IF('Tech Parameters'!$I13=0,0,-PMT(discount_rate,'Tech Parameters'!$I13,'Tech Parameters'!AT75))</f>
        <v>1917.752433908694</v>
      </c>
      <c r="AR454" s="49">
        <f>IF('Tech Parameters'!$I13=0,0,-PMT(discount_rate,'Tech Parameters'!$I13,'Tech Parameters'!AU75))</f>
        <v>1914.2206614705569</v>
      </c>
      <c r="AS454" s="49">
        <f>IF('Tech Parameters'!$I13=0,0,-PMT(discount_rate,'Tech Parameters'!$I13,'Tech Parameters'!AV75))</f>
        <v>1910.6888890324192</v>
      </c>
      <c r="AT454" s="49">
        <f>IF('Tech Parameters'!$I13=0,0,-PMT(discount_rate,'Tech Parameters'!$I13,'Tech Parameters'!AW75))</f>
        <v>1907.1571165942817</v>
      </c>
      <c r="AU454" s="49">
        <f>IF('Tech Parameters'!$I13=0,0,-PMT(discount_rate,'Tech Parameters'!$I13,'Tech Parameters'!AX75))</f>
        <v>1903.6253441561441</v>
      </c>
      <c r="AV454" s="49">
        <f>IF('Tech Parameters'!$I13=0,0,-PMT(discount_rate,'Tech Parameters'!$I13,'Tech Parameters'!AY75))</f>
        <v>1900.0935717180064</v>
      </c>
      <c r="AW454" s="49">
        <f>IF('Tech Parameters'!$I13=0,0,-PMT(discount_rate,'Tech Parameters'!$I13,'Tech Parameters'!AZ75))</f>
        <v>1896.5617992798689</v>
      </c>
    </row>
    <row r="455" spans="3:49">
      <c r="C455" t="str">
        <f t="shared" si="112"/>
        <v xml:space="preserve">Wind 30% </v>
      </c>
      <c r="D455" s="49">
        <f>IF('Tech Parameters'!$I14=0,0,-PMT(discount_rate,'Tech Parameters'!$I14,'Tech Parameters'!G76))</f>
        <v>0</v>
      </c>
      <c r="E455" s="49">
        <f>IF('Tech Parameters'!$I14=0,0,-PMT(discount_rate,'Tech Parameters'!$I14,'Tech Parameters'!H76))</f>
        <v>0</v>
      </c>
      <c r="F455" s="49">
        <f>IF('Tech Parameters'!$I14=0,0,-PMT(discount_rate,'Tech Parameters'!$I14,'Tech Parameters'!I76))</f>
        <v>1929.1112240017158</v>
      </c>
      <c r="G455" s="49">
        <f>IF('Tech Parameters'!$I14=0,0,-PMT(discount_rate,'Tech Parameters'!$I14,'Tech Parameters'!J76))</f>
        <v>1929.1112240017158</v>
      </c>
      <c r="H455" s="49">
        <f>IF('Tech Parameters'!$I14=0,0,-PMT(discount_rate,'Tech Parameters'!$I14,'Tech Parameters'!K76))</f>
        <v>1880.8834434016726</v>
      </c>
      <c r="I455" s="49">
        <f>IF('Tech Parameters'!$I14=0,0,-PMT(discount_rate,'Tech Parameters'!$I14,'Tech Parameters'!L76))</f>
        <v>1832.6556628016301</v>
      </c>
      <c r="J455" s="49">
        <f>IF('Tech Parameters'!$I14=0,0,-PMT(discount_rate,'Tech Parameters'!$I14,'Tech Parameters'!M76))</f>
        <v>1784.4278822015872</v>
      </c>
      <c r="K455" s="49">
        <f>IF('Tech Parameters'!$I14=0,0,-PMT(discount_rate,'Tech Parameters'!$I14,'Tech Parameters'!N76))</f>
        <v>1736.2001016015442</v>
      </c>
      <c r="L455" s="49">
        <f>IF('Tech Parameters'!$I14=0,0,-PMT(discount_rate,'Tech Parameters'!$I14,'Tech Parameters'!O76))</f>
        <v>1692.7950990615057</v>
      </c>
      <c r="M455" s="49">
        <f>IF('Tech Parameters'!$I14=0,0,-PMT(discount_rate,'Tech Parameters'!$I14,'Tech Parameters'!P76))</f>
        <v>1649.3900965214668</v>
      </c>
      <c r="N455" s="49">
        <f>IF('Tech Parameters'!$I14=0,0,-PMT(discount_rate,'Tech Parameters'!$I14,'Tech Parameters'!Q76))</f>
        <v>1605.985093981428</v>
      </c>
      <c r="O455" s="49">
        <f>IF('Tech Parameters'!$I14=0,0,-PMT(discount_rate,'Tech Parameters'!$I14,'Tech Parameters'!R76))</f>
        <v>1562.5800914413896</v>
      </c>
      <c r="P455" s="49">
        <f>IF('Tech Parameters'!$I14=0,0,-PMT(discount_rate,'Tech Parameters'!$I14,'Tech Parameters'!S76))</f>
        <v>1531.328489612562</v>
      </c>
      <c r="Q455" s="49">
        <f>IF('Tech Parameters'!$I14=0,0,-PMT(discount_rate,'Tech Parameters'!$I14,'Tech Parameters'!T76))</f>
        <v>1500.076887783734</v>
      </c>
      <c r="R455" s="49">
        <f>IF('Tech Parameters'!$I14=0,0,-PMT(discount_rate,'Tech Parameters'!$I14,'Tech Parameters'!U76))</f>
        <v>1468.8252859549066</v>
      </c>
      <c r="S455" s="49">
        <f>IF('Tech Parameters'!$I14=0,0,-PMT(discount_rate,'Tech Parameters'!$I14,'Tech Parameters'!V76))</f>
        <v>1437.5736841260787</v>
      </c>
      <c r="T455" s="49">
        <f>IF('Tech Parameters'!$I14=0,0,-PMT(discount_rate,'Tech Parameters'!$I14,'Tech Parameters'!W76))</f>
        <v>1406.3220822972507</v>
      </c>
      <c r="U455" s="49">
        <f>IF('Tech Parameters'!$I14=0,0,-PMT(discount_rate,'Tech Parameters'!$I14,'Tech Parameters'!X76))</f>
        <v>1398.0495994602084</v>
      </c>
      <c r="V455" s="49">
        <f>IF('Tech Parameters'!$I14=0,0,-PMT(discount_rate,'Tech Parameters'!$I14,'Tech Parameters'!Y76))</f>
        <v>1389.7771166231655</v>
      </c>
      <c r="W455" s="49">
        <f>IF('Tech Parameters'!$I14=0,0,-PMT(discount_rate,'Tech Parameters'!$I14,'Tech Parameters'!Z76))</f>
        <v>1381.5046337861231</v>
      </c>
      <c r="X455" s="49">
        <f>IF('Tech Parameters'!$I14=0,0,-PMT(discount_rate,'Tech Parameters'!$I14,'Tech Parameters'!AA76))</f>
        <v>1373.2321509490807</v>
      </c>
      <c r="Y455" s="49">
        <f>IF('Tech Parameters'!$I14=0,0,-PMT(discount_rate,'Tech Parameters'!$I14,'Tech Parameters'!AB76))</f>
        <v>1364.9596681120374</v>
      </c>
      <c r="Z455" s="49">
        <f>IF('Tech Parameters'!$I14=0,0,-PMT(discount_rate,'Tech Parameters'!$I14,'Tech Parameters'!AC76))</f>
        <v>1356.6871852749953</v>
      </c>
      <c r="AA455" s="49">
        <f>IF('Tech Parameters'!$I14=0,0,-PMT(discount_rate,'Tech Parameters'!$I14,'Tech Parameters'!AD76))</f>
        <v>1348.4147024379527</v>
      </c>
      <c r="AB455" s="49">
        <f>IF('Tech Parameters'!$I14=0,0,-PMT(discount_rate,'Tech Parameters'!$I14,'Tech Parameters'!AE76))</f>
        <v>1340.1422196009098</v>
      </c>
      <c r="AC455" s="49">
        <f>IF('Tech Parameters'!$I14=0,0,-PMT(discount_rate,'Tech Parameters'!$I14,'Tech Parameters'!AF76))</f>
        <v>1331.8697367638672</v>
      </c>
      <c r="AD455" s="49">
        <f>IF('Tech Parameters'!$I14=0,0,-PMT(discount_rate,'Tech Parameters'!$I14,'Tech Parameters'!AG76))</f>
        <v>1323.5972539268246</v>
      </c>
      <c r="AE455" s="49">
        <f>IF('Tech Parameters'!$I14=0,0,-PMT(discount_rate,'Tech Parameters'!$I14,'Tech Parameters'!AH76))</f>
        <v>1315.3247710897817</v>
      </c>
      <c r="AF455" s="49">
        <f>IF('Tech Parameters'!$I14=0,0,-PMT(discount_rate,'Tech Parameters'!$I14,'Tech Parameters'!AI76))</f>
        <v>1307.0522882527391</v>
      </c>
      <c r="AG455" s="49">
        <f>IF('Tech Parameters'!$I14=0,0,-PMT(discount_rate,'Tech Parameters'!$I14,'Tech Parameters'!AJ76))</f>
        <v>1298.7798054156965</v>
      </c>
      <c r="AH455" s="49">
        <f>IF('Tech Parameters'!$I14=0,0,-PMT(discount_rate,'Tech Parameters'!$I14,'Tech Parameters'!AK76))</f>
        <v>1290.5073225786539</v>
      </c>
      <c r="AI455" s="49">
        <f>IF('Tech Parameters'!$I14=0,0,-PMT(discount_rate,'Tech Parameters'!$I14,'Tech Parameters'!AL76))</f>
        <v>1282.2348397416115</v>
      </c>
      <c r="AJ455" s="49">
        <f>IF('Tech Parameters'!$I14=0,0,-PMT(discount_rate,'Tech Parameters'!$I14,'Tech Parameters'!AM76))</f>
        <v>1273.9623569045682</v>
      </c>
      <c r="AK455" s="49">
        <f>IF('Tech Parameters'!$I14=0,0,-PMT(discount_rate,'Tech Parameters'!$I14,'Tech Parameters'!AN76))</f>
        <v>1265.689874067526</v>
      </c>
      <c r="AL455" s="49">
        <f>IF('Tech Parameters'!$I14=0,0,-PMT(discount_rate,'Tech Parameters'!$I14,'Tech Parameters'!AO76))</f>
        <v>1265.689874067526</v>
      </c>
      <c r="AM455" s="49">
        <f>IF('Tech Parameters'!$I14=0,0,-PMT(discount_rate,'Tech Parameters'!$I14,'Tech Parameters'!AP76))</f>
        <v>1265.689874067526</v>
      </c>
      <c r="AN455" s="49">
        <f>IF('Tech Parameters'!$I14=0,0,-PMT(discount_rate,'Tech Parameters'!$I14,'Tech Parameters'!AQ76))</f>
        <v>1265.689874067526</v>
      </c>
      <c r="AO455" s="49">
        <f>IF('Tech Parameters'!$I14=0,0,-PMT(discount_rate,'Tech Parameters'!$I14,'Tech Parameters'!AR76))</f>
        <v>1265.689874067526</v>
      </c>
      <c r="AP455" s="49">
        <f>IF('Tech Parameters'!$I14=0,0,-PMT(discount_rate,'Tech Parameters'!$I14,'Tech Parameters'!AS76))</f>
        <v>1265.689874067526</v>
      </c>
      <c r="AQ455" s="49">
        <f>IF('Tech Parameters'!$I14=0,0,-PMT(discount_rate,'Tech Parameters'!$I14,'Tech Parameters'!AT76))</f>
        <v>1265.689874067526</v>
      </c>
      <c r="AR455" s="49">
        <f>IF('Tech Parameters'!$I14=0,0,-PMT(discount_rate,'Tech Parameters'!$I14,'Tech Parameters'!AU76))</f>
        <v>1265.689874067526</v>
      </c>
      <c r="AS455" s="49">
        <f>IF('Tech Parameters'!$I14=0,0,-PMT(discount_rate,'Tech Parameters'!$I14,'Tech Parameters'!AV76))</f>
        <v>1265.689874067526</v>
      </c>
      <c r="AT455" s="49">
        <f>IF('Tech Parameters'!$I14=0,0,-PMT(discount_rate,'Tech Parameters'!$I14,'Tech Parameters'!AW76))</f>
        <v>1265.689874067526</v>
      </c>
      <c r="AU455" s="49">
        <f>IF('Tech Parameters'!$I14=0,0,-PMT(discount_rate,'Tech Parameters'!$I14,'Tech Parameters'!AX76))</f>
        <v>1265.689874067526</v>
      </c>
      <c r="AV455" s="49">
        <f>IF('Tech Parameters'!$I14=0,0,-PMT(discount_rate,'Tech Parameters'!$I14,'Tech Parameters'!AY76))</f>
        <v>1265.689874067526</v>
      </c>
      <c r="AW455" s="49">
        <f>IF('Tech Parameters'!$I14=0,0,-PMT(discount_rate,'Tech Parameters'!$I14,'Tech Parameters'!AZ76))</f>
        <v>1265.689874067526</v>
      </c>
    </row>
    <row r="456" spans="3:49">
      <c r="C456" t="str">
        <f t="shared" si="112"/>
        <v>Wind 25%</v>
      </c>
      <c r="D456" s="49">
        <f>IF('Tech Parameters'!$I15=0,0,-PMT(discount_rate,'Tech Parameters'!$I15,'Tech Parameters'!G77))</f>
        <v>0</v>
      </c>
      <c r="E456" s="49">
        <f>IF('Tech Parameters'!$I15=0,0,-PMT(discount_rate,'Tech Parameters'!$I15,'Tech Parameters'!H77))</f>
        <v>0</v>
      </c>
      <c r="F456" s="49">
        <f>IF('Tech Parameters'!$I15=0,0,-PMT(discount_rate,'Tech Parameters'!$I15,'Tech Parameters'!I77))</f>
        <v>1929.1112240017158</v>
      </c>
      <c r="G456" s="49">
        <f>IF('Tech Parameters'!$I15=0,0,-PMT(discount_rate,'Tech Parameters'!$I15,'Tech Parameters'!J77))</f>
        <v>1929.1112240017158</v>
      </c>
      <c r="H456" s="49">
        <f>IF('Tech Parameters'!$I15=0,0,-PMT(discount_rate,'Tech Parameters'!$I15,'Tech Parameters'!K77))</f>
        <v>1880.8834434016726</v>
      </c>
      <c r="I456" s="49">
        <f>IF('Tech Parameters'!$I15=0,0,-PMT(discount_rate,'Tech Parameters'!$I15,'Tech Parameters'!L77))</f>
        <v>1832.6556628016301</v>
      </c>
      <c r="J456" s="49">
        <f>IF('Tech Parameters'!$I15=0,0,-PMT(discount_rate,'Tech Parameters'!$I15,'Tech Parameters'!M77))</f>
        <v>1784.4278822015872</v>
      </c>
      <c r="K456" s="49">
        <f>IF('Tech Parameters'!$I15=0,0,-PMT(discount_rate,'Tech Parameters'!$I15,'Tech Parameters'!N77))</f>
        <v>1736.2001016015442</v>
      </c>
      <c r="L456" s="49">
        <f>IF('Tech Parameters'!$I15=0,0,-PMT(discount_rate,'Tech Parameters'!$I15,'Tech Parameters'!O77))</f>
        <v>1692.7950990615057</v>
      </c>
      <c r="M456" s="49">
        <f>IF('Tech Parameters'!$I15=0,0,-PMT(discount_rate,'Tech Parameters'!$I15,'Tech Parameters'!P77))</f>
        <v>1649.3900965214668</v>
      </c>
      <c r="N456" s="49">
        <f>IF('Tech Parameters'!$I15=0,0,-PMT(discount_rate,'Tech Parameters'!$I15,'Tech Parameters'!Q77))</f>
        <v>1605.985093981428</v>
      </c>
      <c r="O456" s="49">
        <f>IF('Tech Parameters'!$I15=0,0,-PMT(discount_rate,'Tech Parameters'!$I15,'Tech Parameters'!R77))</f>
        <v>1562.5800914413896</v>
      </c>
      <c r="P456" s="49">
        <f>IF('Tech Parameters'!$I15=0,0,-PMT(discount_rate,'Tech Parameters'!$I15,'Tech Parameters'!S77))</f>
        <v>1531.328489612562</v>
      </c>
      <c r="Q456" s="49">
        <f>IF('Tech Parameters'!$I15=0,0,-PMT(discount_rate,'Tech Parameters'!$I15,'Tech Parameters'!T77))</f>
        <v>1500.076887783734</v>
      </c>
      <c r="R456" s="49">
        <f>IF('Tech Parameters'!$I15=0,0,-PMT(discount_rate,'Tech Parameters'!$I15,'Tech Parameters'!U77))</f>
        <v>1468.8252859549066</v>
      </c>
      <c r="S456" s="49">
        <f>IF('Tech Parameters'!$I15=0,0,-PMT(discount_rate,'Tech Parameters'!$I15,'Tech Parameters'!V77))</f>
        <v>1437.5736841260787</v>
      </c>
      <c r="T456" s="49">
        <f>IF('Tech Parameters'!$I15=0,0,-PMT(discount_rate,'Tech Parameters'!$I15,'Tech Parameters'!W77))</f>
        <v>1406.3220822972507</v>
      </c>
      <c r="U456" s="49">
        <f>IF('Tech Parameters'!$I15=0,0,-PMT(discount_rate,'Tech Parameters'!$I15,'Tech Parameters'!X77))</f>
        <v>1398.0495994602084</v>
      </c>
      <c r="V456" s="49">
        <f>IF('Tech Parameters'!$I15=0,0,-PMT(discount_rate,'Tech Parameters'!$I15,'Tech Parameters'!Y77))</f>
        <v>1389.7771166231655</v>
      </c>
      <c r="W456" s="49">
        <f>IF('Tech Parameters'!$I15=0,0,-PMT(discount_rate,'Tech Parameters'!$I15,'Tech Parameters'!Z77))</f>
        <v>1381.5046337861231</v>
      </c>
      <c r="X456" s="49">
        <f>IF('Tech Parameters'!$I15=0,0,-PMT(discount_rate,'Tech Parameters'!$I15,'Tech Parameters'!AA77))</f>
        <v>1373.2321509490807</v>
      </c>
      <c r="Y456" s="49">
        <f>IF('Tech Parameters'!$I15=0,0,-PMT(discount_rate,'Tech Parameters'!$I15,'Tech Parameters'!AB77))</f>
        <v>1364.9596681120374</v>
      </c>
      <c r="Z456" s="49">
        <f>IF('Tech Parameters'!$I15=0,0,-PMT(discount_rate,'Tech Parameters'!$I15,'Tech Parameters'!AC77))</f>
        <v>1356.6871852749953</v>
      </c>
      <c r="AA456" s="49">
        <f>IF('Tech Parameters'!$I15=0,0,-PMT(discount_rate,'Tech Parameters'!$I15,'Tech Parameters'!AD77))</f>
        <v>1348.4147024379527</v>
      </c>
      <c r="AB456" s="49">
        <f>IF('Tech Parameters'!$I15=0,0,-PMT(discount_rate,'Tech Parameters'!$I15,'Tech Parameters'!AE77))</f>
        <v>1340.1422196009098</v>
      </c>
      <c r="AC456" s="49">
        <f>IF('Tech Parameters'!$I15=0,0,-PMT(discount_rate,'Tech Parameters'!$I15,'Tech Parameters'!AF77))</f>
        <v>1331.8697367638672</v>
      </c>
      <c r="AD456" s="49">
        <f>IF('Tech Parameters'!$I15=0,0,-PMT(discount_rate,'Tech Parameters'!$I15,'Tech Parameters'!AG77))</f>
        <v>1323.5972539268246</v>
      </c>
      <c r="AE456" s="49">
        <f>IF('Tech Parameters'!$I15=0,0,-PMT(discount_rate,'Tech Parameters'!$I15,'Tech Parameters'!AH77))</f>
        <v>1315.3247710897817</v>
      </c>
      <c r="AF456" s="49">
        <f>IF('Tech Parameters'!$I15=0,0,-PMT(discount_rate,'Tech Parameters'!$I15,'Tech Parameters'!AI77))</f>
        <v>1307.0522882527391</v>
      </c>
      <c r="AG456" s="49">
        <f>IF('Tech Parameters'!$I15=0,0,-PMT(discount_rate,'Tech Parameters'!$I15,'Tech Parameters'!AJ77))</f>
        <v>1298.7798054156965</v>
      </c>
      <c r="AH456" s="49">
        <f>IF('Tech Parameters'!$I15=0,0,-PMT(discount_rate,'Tech Parameters'!$I15,'Tech Parameters'!AK77))</f>
        <v>1290.5073225786539</v>
      </c>
      <c r="AI456" s="49">
        <f>IF('Tech Parameters'!$I15=0,0,-PMT(discount_rate,'Tech Parameters'!$I15,'Tech Parameters'!AL77))</f>
        <v>1282.2348397416115</v>
      </c>
      <c r="AJ456" s="49">
        <f>IF('Tech Parameters'!$I15=0,0,-PMT(discount_rate,'Tech Parameters'!$I15,'Tech Parameters'!AM77))</f>
        <v>1273.9623569045682</v>
      </c>
      <c r="AK456" s="49">
        <f>IF('Tech Parameters'!$I15=0,0,-PMT(discount_rate,'Tech Parameters'!$I15,'Tech Parameters'!AN77))</f>
        <v>1265.689874067526</v>
      </c>
      <c r="AL456" s="49">
        <f>IF('Tech Parameters'!$I15=0,0,-PMT(discount_rate,'Tech Parameters'!$I15,'Tech Parameters'!AO77))</f>
        <v>1265.689874067526</v>
      </c>
      <c r="AM456" s="49">
        <f>IF('Tech Parameters'!$I15=0,0,-PMT(discount_rate,'Tech Parameters'!$I15,'Tech Parameters'!AP77))</f>
        <v>1265.689874067526</v>
      </c>
      <c r="AN456" s="49">
        <f>IF('Tech Parameters'!$I15=0,0,-PMT(discount_rate,'Tech Parameters'!$I15,'Tech Parameters'!AQ77))</f>
        <v>1265.689874067526</v>
      </c>
      <c r="AO456" s="49">
        <f>IF('Tech Parameters'!$I15=0,0,-PMT(discount_rate,'Tech Parameters'!$I15,'Tech Parameters'!AR77))</f>
        <v>1265.689874067526</v>
      </c>
      <c r="AP456" s="49">
        <f>IF('Tech Parameters'!$I15=0,0,-PMT(discount_rate,'Tech Parameters'!$I15,'Tech Parameters'!AS77))</f>
        <v>1265.689874067526</v>
      </c>
      <c r="AQ456" s="49">
        <f>IF('Tech Parameters'!$I15=0,0,-PMT(discount_rate,'Tech Parameters'!$I15,'Tech Parameters'!AT77))</f>
        <v>1265.689874067526</v>
      </c>
      <c r="AR456" s="49">
        <f>IF('Tech Parameters'!$I15=0,0,-PMT(discount_rate,'Tech Parameters'!$I15,'Tech Parameters'!AU77))</f>
        <v>1265.689874067526</v>
      </c>
      <c r="AS456" s="49">
        <f>IF('Tech Parameters'!$I15=0,0,-PMT(discount_rate,'Tech Parameters'!$I15,'Tech Parameters'!AV77))</f>
        <v>1265.689874067526</v>
      </c>
      <c r="AT456" s="49">
        <f>IF('Tech Parameters'!$I15=0,0,-PMT(discount_rate,'Tech Parameters'!$I15,'Tech Parameters'!AW77))</f>
        <v>1265.689874067526</v>
      </c>
      <c r="AU456" s="49">
        <f>IF('Tech Parameters'!$I15=0,0,-PMT(discount_rate,'Tech Parameters'!$I15,'Tech Parameters'!AX77))</f>
        <v>1265.689874067526</v>
      </c>
      <c r="AV456" s="49">
        <f>IF('Tech Parameters'!$I15=0,0,-PMT(discount_rate,'Tech Parameters'!$I15,'Tech Parameters'!AY77))</f>
        <v>1265.689874067526</v>
      </c>
      <c r="AW456" s="49">
        <f>IF('Tech Parameters'!$I15=0,0,-PMT(discount_rate,'Tech Parameters'!$I15,'Tech Parameters'!AZ77))</f>
        <v>1265.689874067526</v>
      </c>
    </row>
    <row r="457" spans="3:49">
      <c r="C457" t="str">
        <f t="shared" si="112"/>
        <v>solar thermal central reciever</v>
      </c>
      <c r="D457" s="49">
        <f>IF('Tech Parameters'!$I16=0,0,-PMT(discount_rate,'Tech Parameters'!$I16,'Tech Parameters'!G78))</f>
        <v>0</v>
      </c>
      <c r="E457" s="49">
        <f>IF('Tech Parameters'!$I16=0,0,-PMT(discount_rate,'Tech Parameters'!$I16,'Tech Parameters'!H78))</f>
        <v>0</v>
      </c>
      <c r="F457" s="49">
        <f>IF('Tech Parameters'!$I16=0,0,-PMT(discount_rate,'Tech Parameters'!$I16,'Tech Parameters'!I78))</f>
        <v>7156.1682961556662</v>
      </c>
      <c r="G457" s="49">
        <f>IF('Tech Parameters'!$I16=0,0,-PMT(discount_rate,'Tech Parameters'!$I16,'Tech Parameters'!J78))</f>
        <v>7156.1682961556662</v>
      </c>
      <c r="H457" s="49">
        <f>IF('Tech Parameters'!$I16=0,0,-PMT(discount_rate,'Tech Parameters'!$I16,'Tech Parameters'!K78))</f>
        <v>6977.2640887517746</v>
      </c>
      <c r="I457" s="49">
        <f>IF('Tech Parameters'!$I16=0,0,-PMT(discount_rate,'Tech Parameters'!$I16,'Tech Parameters'!L78))</f>
        <v>6798.3598813478829</v>
      </c>
      <c r="J457" s="49">
        <f>IF('Tech Parameters'!$I16=0,0,-PMT(discount_rate,'Tech Parameters'!$I16,'Tech Parameters'!M78))</f>
        <v>6619.4556739439913</v>
      </c>
      <c r="K457" s="49">
        <f>IF('Tech Parameters'!$I16=0,0,-PMT(discount_rate,'Tech Parameters'!$I16,'Tech Parameters'!N78))</f>
        <v>6440.5514665400988</v>
      </c>
      <c r="L457" s="49">
        <f>IF('Tech Parameters'!$I16=0,0,-PMT(discount_rate,'Tech Parameters'!$I16,'Tech Parameters'!O78))</f>
        <v>6261.6472591362062</v>
      </c>
      <c r="M457" s="49">
        <f>IF('Tech Parameters'!$I16=0,0,-PMT(discount_rate,'Tech Parameters'!$I16,'Tech Parameters'!P78))</f>
        <v>6082.7430517323155</v>
      </c>
      <c r="N457" s="49">
        <f>IF('Tech Parameters'!$I16=0,0,-PMT(discount_rate,'Tech Parameters'!$I16,'Tech Parameters'!Q78))</f>
        <v>5903.8388443284248</v>
      </c>
      <c r="O457" s="49">
        <f>IF('Tech Parameters'!$I16=0,0,-PMT(discount_rate,'Tech Parameters'!$I16,'Tech Parameters'!R78))</f>
        <v>5724.9346369245322</v>
      </c>
      <c r="P457" s="49">
        <f>IF('Tech Parameters'!$I16=0,0,-PMT(discount_rate,'Tech Parameters'!$I16,'Tech Parameters'!S78))</f>
        <v>5581.8112710014211</v>
      </c>
      <c r="Q457" s="49">
        <f>IF('Tech Parameters'!$I16=0,0,-PMT(discount_rate,'Tech Parameters'!$I16,'Tech Parameters'!T78))</f>
        <v>5438.6879050783073</v>
      </c>
      <c r="R457" s="49">
        <f>IF('Tech Parameters'!$I16=0,0,-PMT(discount_rate,'Tech Parameters'!$I16,'Tech Parameters'!U78))</f>
        <v>5295.5645391551943</v>
      </c>
      <c r="S457" s="49">
        <f>IF('Tech Parameters'!$I16=0,0,-PMT(discount_rate,'Tech Parameters'!$I16,'Tech Parameters'!V78))</f>
        <v>5152.4411732320796</v>
      </c>
      <c r="T457" s="49">
        <f>IF('Tech Parameters'!$I16=0,0,-PMT(discount_rate,'Tech Parameters'!$I16,'Tech Parameters'!W78))</f>
        <v>5009.3178073089666</v>
      </c>
      <c r="U457" s="49">
        <f>IF('Tech Parameters'!$I16=0,0,-PMT(discount_rate,'Tech Parameters'!$I16,'Tech Parameters'!X78))</f>
        <v>4866.1944413858528</v>
      </c>
      <c r="V457" s="49">
        <f>IF('Tech Parameters'!$I16=0,0,-PMT(discount_rate,'Tech Parameters'!$I16,'Tech Parameters'!Y78))</f>
        <v>4723.0710754627389</v>
      </c>
      <c r="W457" s="49">
        <f>IF('Tech Parameters'!$I16=0,0,-PMT(discount_rate,'Tech Parameters'!$I16,'Tech Parameters'!Z78))</f>
        <v>4579.9477095396278</v>
      </c>
      <c r="X457" s="49">
        <f>IF('Tech Parameters'!$I16=0,0,-PMT(discount_rate,'Tech Parameters'!$I16,'Tech Parameters'!AA78))</f>
        <v>4449.0920606956379</v>
      </c>
      <c r="Y457" s="49">
        <f>IF('Tech Parameters'!$I16=0,0,-PMT(discount_rate,'Tech Parameters'!$I16,'Tech Parameters'!AB78))</f>
        <v>4318.2364118516489</v>
      </c>
      <c r="Z457" s="49">
        <f>IF('Tech Parameters'!$I16=0,0,-PMT(discount_rate,'Tech Parameters'!$I16,'Tech Parameters'!AC78))</f>
        <v>4187.380763007659</v>
      </c>
      <c r="AA457" s="49">
        <f>IF('Tech Parameters'!$I16=0,0,-PMT(discount_rate,'Tech Parameters'!$I16,'Tech Parameters'!AD78))</f>
        <v>4056.5251141636691</v>
      </c>
      <c r="AB457" s="49">
        <f>IF('Tech Parameters'!$I16=0,0,-PMT(discount_rate,'Tech Parameters'!$I16,'Tech Parameters'!AE78))</f>
        <v>3925.669465319681</v>
      </c>
      <c r="AC457" s="49">
        <f>IF('Tech Parameters'!$I16=0,0,-PMT(discount_rate,'Tech Parameters'!$I16,'Tech Parameters'!AF78))</f>
        <v>3794.8138164756911</v>
      </c>
      <c r="AD457" s="49">
        <f>IF('Tech Parameters'!$I16=0,0,-PMT(discount_rate,'Tech Parameters'!$I16,'Tech Parameters'!AG78))</f>
        <v>3663.9581676317011</v>
      </c>
      <c r="AE457" s="49">
        <f>IF('Tech Parameters'!$I16=0,0,-PMT(discount_rate,'Tech Parameters'!$I16,'Tech Parameters'!AH78))</f>
        <v>3559.2736485565106</v>
      </c>
      <c r="AF457" s="49">
        <f>IF('Tech Parameters'!$I16=0,0,-PMT(discount_rate,'Tech Parameters'!$I16,'Tech Parameters'!AI78))</f>
        <v>3454.5891294813182</v>
      </c>
      <c r="AG457" s="49">
        <f>IF('Tech Parameters'!$I16=0,0,-PMT(discount_rate,'Tech Parameters'!$I16,'Tech Parameters'!AJ78))</f>
        <v>3349.9046104061267</v>
      </c>
      <c r="AH457" s="49">
        <f>IF('Tech Parameters'!$I16=0,0,-PMT(discount_rate,'Tech Parameters'!$I16,'Tech Parameters'!AK78))</f>
        <v>3245.2200913309352</v>
      </c>
      <c r="AI457" s="49">
        <f>IF('Tech Parameters'!$I16=0,0,-PMT(discount_rate,'Tech Parameters'!$I16,'Tech Parameters'!AL78))</f>
        <v>3140.5355722557447</v>
      </c>
      <c r="AJ457" s="49">
        <f>IF('Tech Parameters'!$I16=0,0,-PMT(discount_rate,'Tech Parameters'!$I16,'Tech Parameters'!AM78))</f>
        <v>3035.8510531805523</v>
      </c>
      <c r="AK457" s="49">
        <f>IF('Tech Parameters'!$I16=0,0,-PMT(discount_rate,'Tech Parameters'!$I16,'Tech Parameters'!AN78))</f>
        <v>2931.1665341053604</v>
      </c>
      <c r="AL457" s="49">
        <f>IF('Tech Parameters'!$I16=0,0,-PMT(discount_rate,'Tech Parameters'!$I16,'Tech Parameters'!AO78))</f>
        <v>2847.4189188452078</v>
      </c>
      <c r="AM457" s="49">
        <f>IF('Tech Parameters'!$I16=0,0,-PMT(discount_rate,'Tech Parameters'!$I16,'Tech Parameters'!AP78))</f>
        <v>2763.6713035850544</v>
      </c>
      <c r="AN457" s="49">
        <f>IF('Tech Parameters'!$I16=0,0,-PMT(discount_rate,'Tech Parameters'!$I16,'Tech Parameters'!AQ78))</f>
        <v>2679.9236883249018</v>
      </c>
      <c r="AO457" s="49">
        <f>IF('Tech Parameters'!$I16=0,0,-PMT(discount_rate,'Tech Parameters'!$I16,'Tech Parameters'!AR78))</f>
        <v>2596.1760730647479</v>
      </c>
      <c r="AP457" s="49">
        <f>IF('Tech Parameters'!$I16=0,0,-PMT(discount_rate,'Tech Parameters'!$I16,'Tech Parameters'!AS78))</f>
        <v>2512.4284578045949</v>
      </c>
      <c r="AQ457" s="49">
        <f>IF('Tech Parameters'!$I16=0,0,-PMT(discount_rate,'Tech Parameters'!$I16,'Tech Parameters'!AT78))</f>
        <v>2428.6808425444419</v>
      </c>
      <c r="AR457" s="49">
        <f>IF('Tech Parameters'!$I16=0,0,-PMT(discount_rate,'Tech Parameters'!$I16,'Tech Parameters'!AU78))</f>
        <v>2344.9332272842894</v>
      </c>
      <c r="AS457" s="49">
        <f>IF('Tech Parameters'!$I16=0,0,-PMT(discount_rate,'Tech Parameters'!$I16,'Tech Parameters'!AV78))</f>
        <v>2277.9351350761663</v>
      </c>
      <c r="AT457" s="49">
        <f>IF('Tech Parameters'!$I16=0,0,-PMT(discount_rate,'Tech Parameters'!$I16,'Tech Parameters'!AW78))</f>
        <v>2210.9370428680436</v>
      </c>
      <c r="AU457" s="49">
        <f>IF('Tech Parameters'!$I16=0,0,-PMT(discount_rate,'Tech Parameters'!$I16,'Tech Parameters'!AX78))</f>
        <v>2143.9389506599214</v>
      </c>
      <c r="AV457" s="49">
        <f>IF('Tech Parameters'!$I16=0,0,-PMT(discount_rate,'Tech Parameters'!$I16,'Tech Parameters'!AY78))</f>
        <v>2076.9408584517987</v>
      </c>
      <c r="AW457" s="49">
        <f>IF('Tech Parameters'!$I16=0,0,-PMT(discount_rate,'Tech Parameters'!$I16,'Tech Parameters'!AZ78))</f>
        <v>2009.9427662436763</v>
      </c>
    </row>
    <row r="458" spans="3:49">
      <c r="C458" t="str">
        <f t="shared" si="112"/>
        <v>solar thermal trough</v>
      </c>
      <c r="D458" s="49">
        <f>IF('Tech Parameters'!$I17=0,0,-PMT(discount_rate,'Tech Parameters'!$I17,'Tech Parameters'!G79))</f>
        <v>0</v>
      </c>
      <c r="E458" s="49">
        <f>IF('Tech Parameters'!$I17=0,0,-PMT(discount_rate,'Tech Parameters'!$I17,'Tech Parameters'!H79))</f>
        <v>0</v>
      </c>
      <c r="F458" s="49">
        <f>IF('Tech Parameters'!$I17=0,0,-PMT(discount_rate,'Tech Parameters'!$I17,'Tech Parameters'!I79))</f>
        <v>4770.7788641037778</v>
      </c>
      <c r="G458" s="49">
        <f>IF('Tech Parameters'!$I17=0,0,-PMT(discount_rate,'Tech Parameters'!$I17,'Tech Parameters'!J79))</f>
        <v>4770.7788641037778</v>
      </c>
      <c r="H458" s="49">
        <f>IF('Tech Parameters'!$I17=0,0,-PMT(discount_rate,'Tech Parameters'!$I17,'Tech Parameters'!K79))</f>
        <v>4681.326760401832</v>
      </c>
      <c r="I458" s="49">
        <f>IF('Tech Parameters'!$I17=0,0,-PMT(discount_rate,'Tech Parameters'!$I17,'Tech Parameters'!L79))</f>
        <v>4591.8746566998861</v>
      </c>
      <c r="J458" s="49">
        <f>IF('Tech Parameters'!$I17=0,0,-PMT(discount_rate,'Tech Parameters'!$I17,'Tech Parameters'!M79))</f>
        <v>4502.4225529979403</v>
      </c>
      <c r="K458" s="49">
        <f>IF('Tech Parameters'!$I17=0,0,-PMT(discount_rate,'Tech Parameters'!$I17,'Tech Parameters'!N79))</f>
        <v>4412.9704492959945</v>
      </c>
      <c r="L458" s="49">
        <f>IF('Tech Parameters'!$I17=0,0,-PMT(discount_rate,'Tech Parameters'!$I17,'Tech Parameters'!O79))</f>
        <v>4323.5183455940487</v>
      </c>
      <c r="M458" s="49">
        <f>IF('Tech Parameters'!$I17=0,0,-PMT(discount_rate,'Tech Parameters'!$I17,'Tech Parameters'!P79))</f>
        <v>4234.066241892102</v>
      </c>
      <c r="N458" s="49">
        <f>IF('Tech Parameters'!$I17=0,0,-PMT(discount_rate,'Tech Parameters'!$I17,'Tech Parameters'!Q79))</f>
        <v>4144.6141381901571</v>
      </c>
      <c r="O458" s="49">
        <f>IF('Tech Parameters'!$I17=0,0,-PMT(discount_rate,'Tech Parameters'!$I17,'Tech Parameters'!R79))</f>
        <v>4055.1620344882112</v>
      </c>
      <c r="P458" s="49">
        <f>IF('Tech Parameters'!$I17=0,0,-PMT(discount_rate,'Tech Parameters'!$I17,'Tech Parameters'!S79))</f>
        <v>3979.1277463415572</v>
      </c>
      <c r="Q458" s="49">
        <f>IF('Tech Parameters'!$I17=0,0,-PMT(discount_rate,'Tech Parameters'!$I17,'Tech Parameters'!T79))</f>
        <v>3903.0934581949032</v>
      </c>
      <c r="R458" s="49">
        <f>IF('Tech Parameters'!$I17=0,0,-PMT(discount_rate,'Tech Parameters'!$I17,'Tech Parameters'!U79))</f>
        <v>3827.0591700482496</v>
      </c>
      <c r="S458" s="49">
        <f>IF('Tech Parameters'!$I17=0,0,-PMT(discount_rate,'Tech Parameters'!$I17,'Tech Parameters'!V79))</f>
        <v>3751.0248819015951</v>
      </c>
      <c r="T458" s="49">
        <f>IF('Tech Parameters'!$I17=0,0,-PMT(discount_rate,'Tech Parameters'!$I17,'Tech Parameters'!W79))</f>
        <v>3674.9905937549415</v>
      </c>
      <c r="U458" s="49">
        <f>IF('Tech Parameters'!$I17=0,0,-PMT(discount_rate,'Tech Parameters'!$I17,'Tech Parameters'!X79))</f>
        <v>3598.9563056082861</v>
      </c>
      <c r="V458" s="49">
        <f>IF('Tech Parameters'!$I17=0,0,-PMT(discount_rate,'Tech Parameters'!$I17,'Tech Parameters'!Y79))</f>
        <v>3522.9220174616335</v>
      </c>
      <c r="W458" s="49">
        <f>IF('Tech Parameters'!$I17=0,0,-PMT(discount_rate,'Tech Parameters'!$I17,'Tech Parameters'!Z79))</f>
        <v>3446.8877293149803</v>
      </c>
      <c r="X458" s="49">
        <f>IF('Tech Parameters'!$I17=0,0,-PMT(discount_rate,'Tech Parameters'!$I17,'Tech Parameters'!AA79))</f>
        <v>3373.0258494010873</v>
      </c>
      <c r="Y458" s="49">
        <f>IF('Tech Parameters'!$I17=0,0,-PMT(discount_rate,'Tech Parameters'!$I17,'Tech Parameters'!AB79))</f>
        <v>3299.1639694871951</v>
      </c>
      <c r="Z458" s="49">
        <f>IF('Tech Parameters'!$I17=0,0,-PMT(discount_rate,'Tech Parameters'!$I17,'Tech Parameters'!AC79))</f>
        <v>3225.302089573303</v>
      </c>
      <c r="AA458" s="49">
        <f>IF('Tech Parameters'!$I17=0,0,-PMT(discount_rate,'Tech Parameters'!$I17,'Tech Parameters'!AD79))</f>
        <v>3151.4402096594104</v>
      </c>
      <c r="AB458" s="49">
        <f>IF('Tech Parameters'!$I17=0,0,-PMT(discount_rate,'Tech Parameters'!$I17,'Tech Parameters'!AE79))</f>
        <v>3077.5783297455173</v>
      </c>
      <c r="AC458" s="49">
        <f>IF('Tech Parameters'!$I17=0,0,-PMT(discount_rate,'Tech Parameters'!$I17,'Tech Parameters'!AF79))</f>
        <v>3003.7164498316251</v>
      </c>
      <c r="AD458" s="49">
        <f>IF('Tech Parameters'!$I17=0,0,-PMT(discount_rate,'Tech Parameters'!$I17,'Tech Parameters'!AG79))</f>
        <v>2929.8545699177325</v>
      </c>
      <c r="AE458" s="49">
        <f>IF('Tech Parameters'!$I17=0,0,-PMT(discount_rate,'Tech Parameters'!$I17,'Tech Parameters'!AH79))</f>
        <v>2867.0719719909248</v>
      </c>
      <c r="AF458" s="49">
        <f>IF('Tech Parameters'!$I17=0,0,-PMT(discount_rate,'Tech Parameters'!$I17,'Tech Parameters'!AI79))</f>
        <v>2804.2893740641161</v>
      </c>
      <c r="AG458" s="49">
        <f>IF('Tech Parameters'!$I17=0,0,-PMT(discount_rate,'Tech Parameters'!$I17,'Tech Parameters'!AJ79))</f>
        <v>2741.5067761373075</v>
      </c>
      <c r="AH458" s="49">
        <f>IF('Tech Parameters'!$I17=0,0,-PMT(discount_rate,'Tech Parameters'!$I17,'Tech Parameters'!AK79))</f>
        <v>2678.7241782104988</v>
      </c>
      <c r="AI458" s="49">
        <f>IF('Tech Parameters'!$I17=0,0,-PMT(discount_rate,'Tech Parameters'!$I17,'Tech Parameters'!AL79))</f>
        <v>2615.9415802836902</v>
      </c>
      <c r="AJ458" s="49">
        <f>IF('Tech Parameters'!$I17=0,0,-PMT(discount_rate,'Tech Parameters'!$I17,'Tech Parameters'!AM79))</f>
        <v>2553.1589823568816</v>
      </c>
      <c r="AK458" s="49">
        <f>IF('Tech Parameters'!$I17=0,0,-PMT(discount_rate,'Tech Parameters'!$I17,'Tech Parameters'!AN79))</f>
        <v>2490.3763844300729</v>
      </c>
      <c r="AL458" s="49">
        <f>IF('Tech Parameters'!$I17=0,0,-PMT(discount_rate,'Tech Parameters'!$I17,'Tech Parameters'!AO79))</f>
        <v>2443.6818272220085</v>
      </c>
      <c r="AM458" s="49">
        <f>IF('Tech Parameters'!$I17=0,0,-PMT(discount_rate,'Tech Parameters'!$I17,'Tech Parameters'!AP79))</f>
        <v>2396.9872700139449</v>
      </c>
      <c r="AN458" s="49">
        <f>IF('Tech Parameters'!$I17=0,0,-PMT(discount_rate,'Tech Parameters'!$I17,'Tech Parameters'!AQ79))</f>
        <v>2350.2927128058805</v>
      </c>
      <c r="AO458" s="49">
        <f>IF('Tech Parameters'!$I17=0,0,-PMT(discount_rate,'Tech Parameters'!$I17,'Tech Parameters'!AR79))</f>
        <v>2303.5981555978165</v>
      </c>
      <c r="AP458" s="49">
        <f>IF('Tech Parameters'!$I17=0,0,-PMT(discount_rate,'Tech Parameters'!$I17,'Tech Parameters'!AS79))</f>
        <v>2256.9035983897529</v>
      </c>
      <c r="AQ458" s="49">
        <f>IF('Tech Parameters'!$I17=0,0,-PMT(discount_rate,'Tech Parameters'!$I17,'Tech Parameters'!AT79))</f>
        <v>2210.2090411816894</v>
      </c>
      <c r="AR458" s="49">
        <f>IF('Tech Parameters'!$I17=0,0,-PMT(discount_rate,'Tech Parameters'!$I17,'Tech Parameters'!AU79))</f>
        <v>2163.5144839736249</v>
      </c>
      <c r="AS458" s="49">
        <f>IF('Tech Parameters'!$I17=0,0,-PMT(discount_rate,'Tech Parameters'!$I17,'Tech Parameters'!AV79))</f>
        <v>2116.8199267655618</v>
      </c>
      <c r="AT458" s="49">
        <f>IF('Tech Parameters'!$I17=0,0,-PMT(discount_rate,'Tech Parameters'!$I17,'Tech Parameters'!AW79))</f>
        <v>2077.1295531387068</v>
      </c>
      <c r="AU458" s="49">
        <f>IF('Tech Parameters'!$I17=0,0,-PMT(discount_rate,'Tech Parameters'!$I17,'Tech Parameters'!AX79))</f>
        <v>2037.4391795118529</v>
      </c>
      <c r="AV458" s="49">
        <f>IF('Tech Parameters'!$I17=0,0,-PMT(discount_rate,'Tech Parameters'!$I17,'Tech Parameters'!AY79))</f>
        <v>1997.748805884999</v>
      </c>
      <c r="AW458" s="49">
        <f>IF('Tech Parameters'!$I17=0,0,-PMT(discount_rate,'Tech Parameters'!$I17,'Tech Parameters'!AZ79))</f>
        <v>1958.0584322581446</v>
      </c>
    </row>
    <row r="459" spans="3:49">
      <c r="C459" t="str">
        <f t="shared" si="112"/>
        <v>solar PV</v>
      </c>
      <c r="D459" s="49">
        <f>IF('Tech Parameters'!$I18=0,0,-PMT(discount_rate,'Tech Parameters'!$I18,'Tech Parameters'!G80))</f>
        <v>0</v>
      </c>
      <c r="E459" s="49">
        <f>IF('Tech Parameters'!$I18=0,0,-PMT(discount_rate,'Tech Parameters'!$I18,'Tech Parameters'!H80))</f>
        <v>0</v>
      </c>
      <c r="F459" s="49">
        <f>IF('Tech Parameters'!$I18=0,0,-PMT(discount_rate,'Tech Parameters'!$I18,'Tech Parameters'!I80))</f>
        <v>6579.2081446208786</v>
      </c>
      <c r="G459" s="49">
        <f>IF('Tech Parameters'!$I18=0,0,-PMT(discount_rate,'Tech Parameters'!$I18,'Tech Parameters'!J80))</f>
        <v>6579.2081446208786</v>
      </c>
      <c r="H459" s="49">
        <f>IF('Tech Parameters'!$I18=0,0,-PMT(discount_rate,'Tech Parameters'!$I18,'Tech Parameters'!K80))</f>
        <v>5987.0794116049974</v>
      </c>
      <c r="I459" s="49">
        <f>IF('Tech Parameters'!$I18=0,0,-PMT(discount_rate,'Tech Parameters'!$I18,'Tech Parameters'!L80))</f>
        <v>5394.9506785891208</v>
      </c>
      <c r="J459" s="49">
        <f>IF('Tech Parameters'!$I18=0,0,-PMT(discount_rate,'Tech Parameters'!$I18,'Tech Parameters'!M80))</f>
        <v>5071.2536378737723</v>
      </c>
      <c r="K459" s="49">
        <f>IF('Tech Parameters'!$I18=0,0,-PMT(discount_rate,'Tech Parameters'!$I18,'Tech Parameters'!N80))</f>
        <v>4747.5565971584256</v>
      </c>
      <c r="L459" s="49">
        <f>IF('Tech Parameters'!$I18=0,0,-PMT(discount_rate,'Tech Parameters'!$I18,'Tech Parameters'!O80))</f>
        <v>4423.8595564430789</v>
      </c>
      <c r="M459" s="49">
        <f>IF('Tech Parameters'!$I18=0,0,-PMT(discount_rate,'Tech Parameters'!$I18,'Tech Parameters'!P80))</f>
        <v>4025.712196363203</v>
      </c>
      <c r="N459" s="49">
        <f>IF('Tech Parameters'!$I18=0,0,-PMT(discount_rate,'Tech Parameters'!$I18,'Tech Parameters'!Q80))</f>
        <v>3627.564836283324</v>
      </c>
      <c r="O459" s="49">
        <f>IF('Tech Parameters'!$I18=0,0,-PMT(discount_rate,'Tech Parameters'!$I18,'Tech Parameters'!R80))</f>
        <v>3409.9109461063249</v>
      </c>
      <c r="P459" s="49">
        <f>IF('Tech Parameters'!$I18=0,0,-PMT(discount_rate,'Tech Parameters'!$I18,'Tech Parameters'!S80))</f>
        <v>3192.2570559293249</v>
      </c>
      <c r="Q459" s="49">
        <f>IF('Tech Parameters'!$I18=0,0,-PMT(discount_rate,'Tech Parameters'!$I18,'Tech Parameters'!T80))</f>
        <v>2974.6031657523263</v>
      </c>
      <c r="R459" s="49">
        <f>IF('Tech Parameters'!$I18=0,0,-PMT(discount_rate,'Tech Parameters'!$I18,'Tech Parameters'!U80))</f>
        <v>2796.1269758071871</v>
      </c>
      <c r="S459" s="49">
        <f>IF('Tech Parameters'!$I18=0,0,-PMT(discount_rate,'Tech Parameters'!$I18,'Tech Parameters'!V80))</f>
        <v>2617.6507858620466</v>
      </c>
      <c r="T459" s="49">
        <f>IF('Tech Parameters'!$I18=0,0,-PMT(discount_rate,'Tech Parameters'!$I18,'Tech Parameters'!W80))</f>
        <v>2439.1745959169079</v>
      </c>
      <c r="U459" s="49">
        <f>IF('Tech Parameters'!$I18=0,0,-PMT(discount_rate,'Tech Parameters'!$I18,'Tech Parameters'!X80))</f>
        <v>2329.4117391006475</v>
      </c>
      <c r="V459" s="49">
        <f>IF('Tech Parameters'!$I18=0,0,-PMT(discount_rate,'Tech Parameters'!$I18,'Tech Parameters'!Y80))</f>
        <v>2219.6488822843862</v>
      </c>
      <c r="W459" s="49">
        <f>IF('Tech Parameters'!$I18=0,0,-PMT(discount_rate,'Tech Parameters'!$I18,'Tech Parameters'!Z80))</f>
        <v>2109.8860254681258</v>
      </c>
      <c r="X459" s="49">
        <f>IF('Tech Parameters'!$I18=0,0,-PMT(discount_rate,'Tech Parameters'!$I18,'Tech Parameters'!AA80))</f>
        <v>2000.1231686518647</v>
      </c>
      <c r="Y459" s="49">
        <f>IF('Tech Parameters'!$I18=0,0,-PMT(discount_rate,'Tech Parameters'!$I18,'Tech Parameters'!AB80))</f>
        <v>2000.1231686518647</v>
      </c>
      <c r="Z459" s="49">
        <f>IF('Tech Parameters'!$I18=0,0,-PMT(discount_rate,'Tech Parameters'!$I18,'Tech Parameters'!AC80))</f>
        <v>2000.1231686518647</v>
      </c>
      <c r="AA459" s="49">
        <f>IF('Tech Parameters'!$I18=0,0,-PMT(discount_rate,'Tech Parameters'!$I18,'Tech Parameters'!AD80))</f>
        <v>2000.1231686518647</v>
      </c>
      <c r="AB459" s="49">
        <f>IF('Tech Parameters'!$I18=0,0,-PMT(discount_rate,'Tech Parameters'!$I18,'Tech Parameters'!AE80))</f>
        <v>2000.1231686518647</v>
      </c>
      <c r="AC459" s="49">
        <f>IF('Tech Parameters'!$I18=0,0,-PMT(discount_rate,'Tech Parameters'!$I18,'Tech Parameters'!AF80))</f>
        <v>2000.1231686518647</v>
      </c>
      <c r="AD459" s="49">
        <f>IF('Tech Parameters'!$I18=0,0,-PMT(discount_rate,'Tech Parameters'!$I18,'Tech Parameters'!AG80))</f>
        <v>2000.1231686518647</v>
      </c>
      <c r="AE459" s="49">
        <f>IF('Tech Parameters'!$I18=0,0,-PMT(discount_rate,'Tech Parameters'!$I18,'Tech Parameters'!AH80))</f>
        <v>2000.1231686518647</v>
      </c>
      <c r="AF459" s="49">
        <f>IF('Tech Parameters'!$I18=0,0,-PMT(discount_rate,'Tech Parameters'!$I18,'Tech Parameters'!AI80))</f>
        <v>2000.1231686518647</v>
      </c>
      <c r="AG459" s="49">
        <f>IF('Tech Parameters'!$I18=0,0,-PMT(discount_rate,'Tech Parameters'!$I18,'Tech Parameters'!AJ80))</f>
        <v>2000.1231686518647</v>
      </c>
      <c r="AH459" s="49">
        <f>IF('Tech Parameters'!$I18=0,0,-PMT(discount_rate,'Tech Parameters'!$I18,'Tech Parameters'!AK80))</f>
        <v>2000.1231686518647</v>
      </c>
      <c r="AI459" s="49">
        <f>IF('Tech Parameters'!$I18=0,0,-PMT(discount_rate,'Tech Parameters'!$I18,'Tech Parameters'!AL80))</f>
        <v>2000.1231686518647</v>
      </c>
      <c r="AJ459" s="49">
        <f>IF('Tech Parameters'!$I18=0,0,-PMT(discount_rate,'Tech Parameters'!$I18,'Tech Parameters'!AM80))</f>
        <v>2000.1231686518647</v>
      </c>
      <c r="AK459" s="49">
        <f>IF('Tech Parameters'!$I18=0,0,-PMT(discount_rate,'Tech Parameters'!$I18,'Tech Parameters'!AN80))</f>
        <v>2000.1231686518647</v>
      </c>
      <c r="AL459" s="49">
        <f>IF('Tech Parameters'!$I18=0,0,-PMT(discount_rate,'Tech Parameters'!$I18,'Tech Parameters'!AO80))</f>
        <v>2000.1231686518647</v>
      </c>
      <c r="AM459" s="49">
        <f>IF('Tech Parameters'!$I18=0,0,-PMT(discount_rate,'Tech Parameters'!$I18,'Tech Parameters'!AP80))</f>
        <v>2000.1231686518647</v>
      </c>
      <c r="AN459" s="49">
        <f>IF('Tech Parameters'!$I18=0,0,-PMT(discount_rate,'Tech Parameters'!$I18,'Tech Parameters'!AQ80))</f>
        <v>2000.1231686518647</v>
      </c>
      <c r="AO459" s="49">
        <f>IF('Tech Parameters'!$I18=0,0,-PMT(discount_rate,'Tech Parameters'!$I18,'Tech Parameters'!AR80))</f>
        <v>2000.1231686518647</v>
      </c>
      <c r="AP459" s="49">
        <f>IF('Tech Parameters'!$I18=0,0,-PMT(discount_rate,'Tech Parameters'!$I18,'Tech Parameters'!AS80))</f>
        <v>2000.1231686518647</v>
      </c>
      <c r="AQ459" s="49">
        <f>IF('Tech Parameters'!$I18=0,0,-PMT(discount_rate,'Tech Parameters'!$I18,'Tech Parameters'!AT80))</f>
        <v>2000.1231686518647</v>
      </c>
      <c r="AR459" s="49">
        <f>IF('Tech Parameters'!$I18=0,0,-PMT(discount_rate,'Tech Parameters'!$I18,'Tech Parameters'!AU80))</f>
        <v>2000.1231686518647</v>
      </c>
      <c r="AS459" s="49">
        <f>IF('Tech Parameters'!$I18=0,0,-PMT(discount_rate,'Tech Parameters'!$I18,'Tech Parameters'!AV80))</f>
        <v>2000.1231686518647</v>
      </c>
      <c r="AT459" s="49">
        <f>IF('Tech Parameters'!$I18=0,0,-PMT(discount_rate,'Tech Parameters'!$I18,'Tech Parameters'!AW80))</f>
        <v>2000.1231686518647</v>
      </c>
      <c r="AU459" s="49">
        <f>IF('Tech Parameters'!$I18=0,0,-PMT(discount_rate,'Tech Parameters'!$I18,'Tech Parameters'!AX80))</f>
        <v>2000.1231686518647</v>
      </c>
      <c r="AV459" s="49">
        <f>IF('Tech Parameters'!$I18=0,0,-PMT(discount_rate,'Tech Parameters'!$I18,'Tech Parameters'!AY80))</f>
        <v>2000.1231686518647</v>
      </c>
      <c r="AW459" s="49">
        <f>IF('Tech Parameters'!$I18=0,0,-PMT(discount_rate,'Tech Parameters'!$I18,'Tech Parameters'!AZ80))</f>
        <v>2000.1231686518647</v>
      </c>
    </row>
    <row r="460" spans="3:49">
      <c r="C460" t="str">
        <f t="shared" si="112"/>
        <v>combined cycle gas</v>
      </c>
      <c r="D460" s="49">
        <f>IF('Tech Parameters'!$I19=0,0,-PMT(discount_rate,'Tech Parameters'!$I19,'Tech Parameters'!G81))</f>
        <v>0</v>
      </c>
      <c r="E460" s="49">
        <f>IF('Tech Parameters'!$I19=0,0,-PMT(discount_rate,'Tech Parameters'!$I19,'Tech Parameters'!H81))</f>
        <v>0.11016807219002084</v>
      </c>
      <c r="F460" s="49">
        <f>IF('Tech Parameters'!$I19=0,0,-PMT(discount_rate,'Tech Parameters'!$I19,'Tech Parameters'!I81))</f>
        <v>965.45300822952811</v>
      </c>
      <c r="G460" s="49">
        <f>IF('Tech Parameters'!$I19=0,0,-PMT(discount_rate,'Tech Parameters'!$I19,'Tech Parameters'!J81))</f>
        <v>965.45300822952811</v>
      </c>
      <c r="H460" s="49">
        <f>IF('Tech Parameters'!$I19=0,0,-PMT(discount_rate,'Tech Parameters'!$I19,'Tech Parameters'!K81))</f>
        <v>959.96747977367841</v>
      </c>
      <c r="I460" s="49">
        <f>IF('Tech Parameters'!$I19=0,0,-PMT(discount_rate,'Tech Parameters'!$I19,'Tech Parameters'!L81))</f>
        <v>954.4819513178287</v>
      </c>
      <c r="J460" s="49">
        <f>IF('Tech Parameters'!$I19=0,0,-PMT(discount_rate,'Tech Parameters'!$I19,'Tech Parameters'!M81))</f>
        <v>948.99642286197911</v>
      </c>
      <c r="K460" s="49">
        <f>IF('Tech Parameters'!$I19=0,0,-PMT(discount_rate,'Tech Parameters'!$I19,'Tech Parameters'!N81))</f>
        <v>943.51089440612964</v>
      </c>
      <c r="L460" s="49">
        <f>IF('Tech Parameters'!$I19=0,0,-PMT(discount_rate,'Tech Parameters'!$I19,'Tech Parameters'!O81))</f>
        <v>938.02536595028005</v>
      </c>
      <c r="M460" s="49">
        <f>IF('Tech Parameters'!$I19=0,0,-PMT(discount_rate,'Tech Parameters'!$I19,'Tech Parameters'!P81))</f>
        <v>935.79197222182677</v>
      </c>
      <c r="N460" s="49">
        <f>IF('Tech Parameters'!$I19=0,0,-PMT(discount_rate,'Tech Parameters'!$I19,'Tech Parameters'!Q81))</f>
        <v>933.55857849337349</v>
      </c>
      <c r="O460" s="49">
        <f>IF('Tech Parameters'!$I19=0,0,-PMT(discount_rate,'Tech Parameters'!$I19,'Tech Parameters'!R81))</f>
        <v>931.32518476492066</v>
      </c>
      <c r="P460" s="49">
        <f>IF('Tech Parameters'!$I19=0,0,-PMT(discount_rate,'Tech Parameters'!$I19,'Tech Parameters'!S81))</f>
        <v>929.09179103646773</v>
      </c>
      <c r="Q460" s="49">
        <f>IF('Tech Parameters'!$I19=0,0,-PMT(discount_rate,'Tech Parameters'!$I19,'Tech Parameters'!T81))</f>
        <v>926.85839730801456</v>
      </c>
      <c r="R460" s="49">
        <f>IF('Tech Parameters'!$I19=0,0,-PMT(discount_rate,'Tech Parameters'!$I19,'Tech Parameters'!U81))</f>
        <v>924.62500357956162</v>
      </c>
      <c r="S460" s="49">
        <f>IF('Tech Parameters'!$I19=0,0,-PMT(discount_rate,'Tech Parameters'!$I19,'Tech Parameters'!V81))</f>
        <v>922.39160985110868</v>
      </c>
      <c r="T460" s="49">
        <f>IF('Tech Parameters'!$I19=0,0,-PMT(discount_rate,'Tech Parameters'!$I19,'Tech Parameters'!W81))</f>
        <v>920.15821612265552</v>
      </c>
      <c r="U460" s="49">
        <f>IF('Tech Parameters'!$I19=0,0,-PMT(discount_rate,'Tech Parameters'!$I19,'Tech Parameters'!X81))</f>
        <v>917.92482239420258</v>
      </c>
      <c r="V460" s="49">
        <f>IF('Tech Parameters'!$I19=0,0,-PMT(discount_rate,'Tech Parameters'!$I19,'Tech Parameters'!Y81))</f>
        <v>915.6914286657493</v>
      </c>
      <c r="W460" s="49">
        <f>IF('Tech Parameters'!$I19=0,0,-PMT(discount_rate,'Tech Parameters'!$I19,'Tech Parameters'!Z81))</f>
        <v>913.45803493729636</v>
      </c>
      <c r="X460" s="49">
        <f>IF('Tech Parameters'!$I19=0,0,-PMT(discount_rate,'Tech Parameters'!$I19,'Tech Parameters'!AA81))</f>
        <v>911.2246412088432</v>
      </c>
      <c r="Y460" s="49">
        <f>IF('Tech Parameters'!$I19=0,0,-PMT(discount_rate,'Tech Parameters'!$I19,'Tech Parameters'!AB81))</f>
        <v>908.99124748038992</v>
      </c>
      <c r="Z460" s="49">
        <f>IF('Tech Parameters'!$I19=0,0,-PMT(discount_rate,'Tech Parameters'!$I19,'Tech Parameters'!AC81))</f>
        <v>906.75785375193709</v>
      </c>
      <c r="AA460" s="49">
        <f>IF('Tech Parameters'!$I19=0,0,-PMT(discount_rate,'Tech Parameters'!$I19,'Tech Parameters'!AD81))</f>
        <v>904.52446002348404</v>
      </c>
      <c r="AB460" s="49">
        <f>IF('Tech Parameters'!$I19=0,0,-PMT(discount_rate,'Tech Parameters'!$I19,'Tech Parameters'!AE81))</f>
        <v>902.29106629503087</v>
      </c>
      <c r="AC460" s="49">
        <f>IF('Tech Parameters'!$I19=0,0,-PMT(discount_rate,'Tech Parameters'!$I19,'Tech Parameters'!AF81))</f>
        <v>900.05767256657805</v>
      </c>
      <c r="AD460" s="49">
        <f>IF('Tech Parameters'!$I19=0,0,-PMT(discount_rate,'Tech Parameters'!$I19,'Tech Parameters'!AG81))</f>
        <v>897.824278838125</v>
      </c>
      <c r="AE460" s="49">
        <f>IF('Tech Parameters'!$I19=0,0,-PMT(discount_rate,'Tech Parameters'!$I19,'Tech Parameters'!AH81))</f>
        <v>895.59088510967194</v>
      </c>
      <c r="AF460" s="49">
        <f>IF('Tech Parameters'!$I19=0,0,-PMT(discount_rate,'Tech Parameters'!$I19,'Tech Parameters'!AI81))</f>
        <v>893.35749138121889</v>
      </c>
      <c r="AG460" s="49">
        <f>IF('Tech Parameters'!$I19=0,0,-PMT(discount_rate,'Tech Parameters'!$I19,'Tech Parameters'!AJ81))</f>
        <v>891.12409765276607</v>
      </c>
      <c r="AH460" s="49">
        <f>IF('Tech Parameters'!$I19=0,0,-PMT(discount_rate,'Tech Parameters'!$I19,'Tech Parameters'!AK81))</f>
        <v>889.73171625018347</v>
      </c>
      <c r="AI460" s="49">
        <f>IF('Tech Parameters'!$I19=0,0,-PMT(discount_rate,'Tech Parameters'!$I19,'Tech Parameters'!AL81))</f>
        <v>888.33933484760098</v>
      </c>
      <c r="AJ460" s="49">
        <f>IF('Tech Parameters'!$I19=0,0,-PMT(discount_rate,'Tech Parameters'!$I19,'Tech Parameters'!AM81))</f>
        <v>886.94695344501861</v>
      </c>
      <c r="AK460" s="49">
        <f>IF('Tech Parameters'!$I19=0,0,-PMT(discount_rate,'Tech Parameters'!$I19,'Tech Parameters'!AN81))</f>
        <v>885.55457204243601</v>
      </c>
      <c r="AL460" s="49">
        <f>IF('Tech Parameters'!$I19=0,0,-PMT(discount_rate,'Tech Parameters'!$I19,'Tech Parameters'!AO81))</f>
        <v>884.16219063985363</v>
      </c>
      <c r="AM460" s="49">
        <f>IF('Tech Parameters'!$I19=0,0,-PMT(discount_rate,'Tech Parameters'!$I19,'Tech Parameters'!AP81))</f>
        <v>882.76980923727115</v>
      </c>
      <c r="AN460" s="49">
        <f>IF('Tech Parameters'!$I19=0,0,-PMT(discount_rate,'Tech Parameters'!$I19,'Tech Parameters'!AQ81))</f>
        <v>881.37742783468889</v>
      </c>
      <c r="AO460" s="49">
        <f>IF('Tech Parameters'!$I19=0,0,-PMT(discount_rate,'Tech Parameters'!$I19,'Tech Parameters'!AR81))</f>
        <v>879.98504643210617</v>
      </c>
      <c r="AP460" s="49">
        <f>IF('Tech Parameters'!$I19=0,0,-PMT(discount_rate,'Tech Parameters'!$I19,'Tech Parameters'!AS81))</f>
        <v>878.5926650295238</v>
      </c>
      <c r="AQ460" s="49">
        <f>IF('Tech Parameters'!$I19=0,0,-PMT(discount_rate,'Tech Parameters'!$I19,'Tech Parameters'!AT81))</f>
        <v>877.20028362694143</v>
      </c>
      <c r="AR460" s="49">
        <f>IF('Tech Parameters'!$I19=0,0,-PMT(discount_rate,'Tech Parameters'!$I19,'Tech Parameters'!AU81))</f>
        <v>875.80790222435894</v>
      </c>
      <c r="AS460" s="49">
        <f>IF('Tech Parameters'!$I19=0,0,-PMT(discount_rate,'Tech Parameters'!$I19,'Tech Parameters'!AV81))</f>
        <v>874.41552082177645</v>
      </c>
      <c r="AT460" s="49">
        <f>IF('Tech Parameters'!$I19=0,0,-PMT(discount_rate,'Tech Parameters'!$I19,'Tech Parameters'!AW81))</f>
        <v>873.02313941919385</v>
      </c>
      <c r="AU460" s="49">
        <f>IF('Tech Parameters'!$I19=0,0,-PMT(discount_rate,'Tech Parameters'!$I19,'Tech Parameters'!AX81))</f>
        <v>871.63075801661148</v>
      </c>
      <c r="AV460" s="49">
        <f>IF('Tech Parameters'!$I19=0,0,-PMT(discount_rate,'Tech Parameters'!$I19,'Tech Parameters'!AY81))</f>
        <v>870.23837661402922</v>
      </c>
      <c r="AW460" s="49">
        <f>IF('Tech Parameters'!$I19=0,0,-PMT(discount_rate,'Tech Parameters'!$I19,'Tech Parameters'!AZ81))</f>
        <v>868.84599521144685</v>
      </c>
    </row>
    <row r="461" spans="3:49">
      <c r="C461" t="str">
        <f t="shared" si="112"/>
        <v>PBMR</v>
      </c>
      <c r="D461" s="49">
        <f>IF('Tech Parameters'!$I20=0,0,-PMT(discount_rate,'Tech Parameters'!$I20,'Tech Parameters'!G82))</f>
        <v>0</v>
      </c>
      <c r="E461" s="49">
        <f>IF('Tech Parameters'!$I20=0,0,-PMT(discount_rate,'Tech Parameters'!$I20,'Tech Parameters'!H82))</f>
        <v>0</v>
      </c>
      <c r="F461" s="49">
        <f>IF('Tech Parameters'!$I20=0,0,-PMT(discount_rate,'Tech Parameters'!$I20,'Tech Parameters'!I82))</f>
        <v>3579.653336491594</v>
      </c>
      <c r="G461" s="49">
        <f>IF('Tech Parameters'!$I20=0,0,-PMT(discount_rate,'Tech Parameters'!$I20,'Tech Parameters'!J82))</f>
        <v>3579.653336491594</v>
      </c>
      <c r="H461" s="49">
        <f>IF('Tech Parameters'!$I20=0,0,-PMT(discount_rate,'Tech Parameters'!$I20,'Tech Parameters'!K82))</f>
        <v>3579.653336491594</v>
      </c>
      <c r="I461" s="49">
        <f>IF('Tech Parameters'!$I20=0,0,-PMT(discount_rate,'Tech Parameters'!$I20,'Tech Parameters'!L82))</f>
        <v>3579.653336491594</v>
      </c>
      <c r="J461" s="49">
        <f>IF('Tech Parameters'!$I20=0,0,-PMT(discount_rate,'Tech Parameters'!$I20,'Tech Parameters'!M82))</f>
        <v>3579.653336491594</v>
      </c>
      <c r="K461" s="49">
        <f>IF('Tech Parameters'!$I20=0,0,-PMT(discount_rate,'Tech Parameters'!$I20,'Tech Parameters'!N82))</f>
        <v>3579.653336491594</v>
      </c>
      <c r="L461" s="49">
        <f>IF('Tech Parameters'!$I20=0,0,-PMT(discount_rate,'Tech Parameters'!$I20,'Tech Parameters'!O82))</f>
        <v>3579.653336491594</v>
      </c>
      <c r="M461" s="49">
        <f>IF('Tech Parameters'!$I20=0,0,-PMT(discount_rate,'Tech Parameters'!$I20,'Tech Parameters'!P82))</f>
        <v>3579.653336491594</v>
      </c>
      <c r="N461" s="49">
        <f>IF('Tech Parameters'!$I20=0,0,-PMT(discount_rate,'Tech Parameters'!$I20,'Tech Parameters'!Q82))</f>
        <v>3579.653336491594</v>
      </c>
      <c r="O461" s="49">
        <f>IF('Tech Parameters'!$I20=0,0,-PMT(discount_rate,'Tech Parameters'!$I20,'Tech Parameters'!R82))</f>
        <v>3579.653336491594</v>
      </c>
      <c r="P461" s="49">
        <f>IF('Tech Parameters'!$I20=0,0,-PMT(discount_rate,'Tech Parameters'!$I20,'Tech Parameters'!S82))</f>
        <v>3579.653336491594</v>
      </c>
      <c r="Q461" s="49">
        <f>IF('Tech Parameters'!$I20=0,0,-PMT(discount_rate,'Tech Parameters'!$I20,'Tech Parameters'!T82))</f>
        <v>3579.653336491594</v>
      </c>
      <c r="R461" s="49">
        <f>IF('Tech Parameters'!$I20=0,0,-PMT(discount_rate,'Tech Parameters'!$I20,'Tech Parameters'!U82))</f>
        <v>3579.653336491594</v>
      </c>
      <c r="S461" s="49">
        <f>IF('Tech Parameters'!$I20=0,0,-PMT(discount_rate,'Tech Parameters'!$I20,'Tech Parameters'!V82))</f>
        <v>3579.653336491594</v>
      </c>
      <c r="T461" s="49">
        <f>IF('Tech Parameters'!$I20=0,0,-PMT(discount_rate,'Tech Parameters'!$I20,'Tech Parameters'!W82))</f>
        <v>3579.653336491594</v>
      </c>
      <c r="U461" s="49">
        <f>IF('Tech Parameters'!$I20=0,0,-PMT(discount_rate,'Tech Parameters'!$I20,'Tech Parameters'!X82))</f>
        <v>3579.653336491594</v>
      </c>
      <c r="V461" s="49">
        <f>IF('Tech Parameters'!$I20=0,0,-PMT(discount_rate,'Tech Parameters'!$I20,'Tech Parameters'!Y82))</f>
        <v>3579.653336491594</v>
      </c>
      <c r="W461" s="49">
        <f>IF('Tech Parameters'!$I20=0,0,-PMT(discount_rate,'Tech Parameters'!$I20,'Tech Parameters'!Z82))</f>
        <v>3579.653336491594</v>
      </c>
      <c r="X461" s="49">
        <f>IF('Tech Parameters'!$I20=0,0,-PMT(discount_rate,'Tech Parameters'!$I20,'Tech Parameters'!AA82))</f>
        <v>3579.653336491594</v>
      </c>
      <c r="Y461" s="49">
        <f>IF('Tech Parameters'!$I20=0,0,-PMT(discount_rate,'Tech Parameters'!$I20,'Tech Parameters'!AB82))</f>
        <v>3579.653336491594</v>
      </c>
      <c r="Z461" s="49">
        <f>IF('Tech Parameters'!$I20=0,0,-PMT(discount_rate,'Tech Parameters'!$I20,'Tech Parameters'!AC82))</f>
        <v>3579.653336491594</v>
      </c>
      <c r="AA461" s="49">
        <f>IF('Tech Parameters'!$I20=0,0,-PMT(discount_rate,'Tech Parameters'!$I20,'Tech Parameters'!AD82))</f>
        <v>3579.653336491594</v>
      </c>
      <c r="AB461" s="49">
        <f>IF('Tech Parameters'!$I20=0,0,-PMT(discount_rate,'Tech Parameters'!$I20,'Tech Parameters'!AE82))</f>
        <v>3579.653336491594</v>
      </c>
      <c r="AC461" s="49">
        <f>IF('Tech Parameters'!$I20=0,0,-PMT(discount_rate,'Tech Parameters'!$I20,'Tech Parameters'!AF82))</f>
        <v>3579.653336491594</v>
      </c>
      <c r="AD461" s="49">
        <f>IF('Tech Parameters'!$I20=0,0,-PMT(discount_rate,'Tech Parameters'!$I20,'Tech Parameters'!AG82))</f>
        <v>3579.653336491594</v>
      </c>
      <c r="AE461" s="49">
        <f>IF('Tech Parameters'!$I20=0,0,-PMT(discount_rate,'Tech Parameters'!$I20,'Tech Parameters'!AH82))</f>
        <v>3579.653336491594</v>
      </c>
      <c r="AF461" s="49">
        <f>IF('Tech Parameters'!$I20=0,0,-PMT(discount_rate,'Tech Parameters'!$I20,'Tech Parameters'!AI82))</f>
        <v>3579.653336491594</v>
      </c>
      <c r="AG461" s="49">
        <f>IF('Tech Parameters'!$I20=0,0,-PMT(discount_rate,'Tech Parameters'!$I20,'Tech Parameters'!AJ82))</f>
        <v>3579.653336491594</v>
      </c>
      <c r="AH461" s="49">
        <f>IF('Tech Parameters'!$I20=0,0,-PMT(discount_rate,'Tech Parameters'!$I20,'Tech Parameters'!AK82))</f>
        <v>3579.653336491594</v>
      </c>
      <c r="AI461" s="49">
        <f>IF('Tech Parameters'!$I20=0,0,-PMT(discount_rate,'Tech Parameters'!$I20,'Tech Parameters'!AL82))</f>
        <v>3579.653336491594</v>
      </c>
      <c r="AJ461" s="49">
        <f>IF('Tech Parameters'!$I20=0,0,-PMT(discount_rate,'Tech Parameters'!$I20,'Tech Parameters'!AM82))</f>
        <v>3579.653336491594</v>
      </c>
      <c r="AK461" s="49">
        <f>IF('Tech Parameters'!$I20=0,0,-PMT(discount_rate,'Tech Parameters'!$I20,'Tech Parameters'!AN82))</f>
        <v>3579.653336491594</v>
      </c>
      <c r="AL461" s="49">
        <f>IF('Tech Parameters'!$I20=0,0,-PMT(discount_rate,'Tech Parameters'!$I20,'Tech Parameters'!AO82))</f>
        <v>3579.653336491594</v>
      </c>
      <c r="AM461" s="49">
        <f>IF('Tech Parameters'!$I20=0,0,-PMT(discount_rate,'Tech Parameters'!$I20,'Tech Parameters'!AP82))</f>
        <v>3579.653336491594</v>
      </c>
      <c r="AN461" s="49">
        <f>IF('Tech Parameters'!$I20=0,0,-PMT(discount_rate,'Tech Parameters'!$I20,'Tech Parameters'!AQ82))</f>
        <v>3579.653336491594</v>
      </c>
      <c r="AO461" s="49">
        <f>IF('Tech Parameters'!$I20=0,0,-PMT(discount_rate,'Tech Parameters'!$I20,'Tech Parameters'!AR82))</f>
        <v>3579.653336491594</v>
      </c>
      <c r="AP461" s="49">
        <f>IF('Tech Parameters'!$I20=0,0,-PMT(discount_rate,'Tech Parameters'!$I20,'Tech Parameters'!AS82))</f>
        <v>3579.653336491594</v>
      </c>
      <c r="AQ461" s="49">
        <f>IF('Tech Parameters'!$I20=0,0,-PMT(discount_rate,'Tech Parameters'!$I20,'Tech Parameters'!AT82))</f>
        <v>3579.653336491594</v>
      </c>
      <c r="AR461" s="49">
        <f>IF('Tech Parameters'!$I20=0,0,-PMT(discount_rate,'Tech Parameters'!$I20,'Tech Parameters'!AU82))</f>
        <v>3579.653336491594</v>
      </c>
      <c r="AS461" s="49">
        <f>IF('Tech Parameters'!$I20=0,0,-PMT(discount_rate,'Tech Parameters'!$I20,'Tech Parameters'!AV82))</f>
        <v>3579.653336491594</v>
      </c>
      <c r="AT461" s="49">
        <f>IF('Tech Parameters'!$I20=0,0,-PMT(discount_rate,'Tech Parameters'!$I20,'Tech Parameters'!AW82))</f>
        <v>3579.653336491594</v>
      </c>
      <c r="AU461" s="49">
        <f>IF('Tech Parameters'!$I20=0,0,-PMT(discount_rate,'Tech Parameters'!$I20,'Tech Parameters'!AX82))</f>
        <v>3579.653336491594</v>
      </c>
      <c r="AV461" s="49">
        <f>IF('Tech Parameters'!$I20=0,0,-PMT(discount_rate,'Tech Parameters'!$I20,'Tech Parameters'!AY82))</f>
        <v>3579.653336491594</v>
      </c>
      <c r="AW461" s="49">
        <f>IF('Tech Parameters'!$I20=0,0,-PMT(discount_rate,'Tech Parameters'!$I20,'Tech Parameters'!AZ82))</f>
        <v>3579.653336491594</v>
      </c>
    </row>
    <row r="462" spans="3:49">
      <c r="C462" t="str">
        <f t="shared" si="112"/>
        <v>IGCC</v>
      </c>
      <c r="D462" s="49">
        <f>IF('Tech Parameters'!$I21=0,0,-PMT(discount_rate,'Tech Parameters'!$I21,'Tech Parameters'!G83))</f>
        <v>0</v>
      </c>
      <c r="E462" s="49">
        <f>IF('Tech Parameters'!$I21=0,0,-PMT(discount_rate,'Tech Parameters'!$I21,'Tech Parameters'!H83))</f>
        <v>0</v>
      </c>
      <c r="F462" s="49">
        <f>IF('Tech Parameters'!$I21=0,0,-PMT(discount_rate,'Tech Parameters'!$I21,'Tech Parameters'!I83))</f>
        <v>2482.9676219095945</v>
      </c>
      <c r="G462" s="49">
        <f>IF('Tech Parameters'!$I21=0,0,-PMT(discount_rate,'Tech Parameters'!$I21,'Tech Parameters'!J83))</f>
        <v>2482.9676219095945</v>
      </c>
      <c r="H462" s="49">
        <f>IF('Tech Parameters'!$I21=0,0,-PMT(discount_rate,'Tech Parameters'!$I21,'Tech Parameters'!K83))</f>
        <v>2482.9676219095945</v>
      </c>
      <c r="I462" s="49">
        <f>IF('Tech Parameters'!$I21=0,0,-PMT(discount_rate,'Tech Parameters'!$I21,'Tech Parameters'!L83))</f>
        <v>2482.9676219095945</v>
      </c>
      <c r="J462" s="49">
        <f>IF('Tech Parameters'!$I21=0,0,-PMT(discount_rate,'Tech Parameters'!$I21,'Tech Parameters'!M83))</f>
        <v>2482.9676219095945</v>
      </c>
      <c r="K462" s="49">
        <f>IF('Tech Parameters'!$I21=0,0,-PMT(discount_rate,'Tech Parameters'!$I21,'Tech Parameters'!N83))</f>
        <v>2482.9676219095945</v>
      </c>
      <c r="L462" s="49">
        <f>IF('Tech Parameters'!$I21=0,0,-PMT(discount_rate,'Tech Parameters'!$I21,'Tech Parameters'!O83))</f>
        <v>2482.9676219095945</v>
      </c>
      <c r="M462" s="49">
        <f>IF('Tech Parameters'!$I21=0,0,-PMT(discount_rate,'Tech Parameters'!$I21,'Tech Parameters'!P83))</f>
        <v>2482.9676219095945</v>
      </c>
      <c r="N462" s="49">
        <f>IF('Tech Parameters'!$I21=0,0,-PMT(discount_rate,'Tech Parameters'!$I21,'Tech Parameters'!Q83))</f>
        <v>2482.9676219095945</v>
      </c>
      <c r="O462" s="49">
        <f>IF('Tech Parameters'!$I21=0,0,-PMT(discount_rate,'Tech Parameters'!$I21,'Tech Parameters'!R83))</f>
        <v>2482.9676219095945</v>
      </c>
      <c r="P462" s="49">
        <f>IF('Tech Parameters'!$I21=0,0,-PMT(discount_rate,'Tech Parameters'!$I21,'Tech Parameters'!S83))</f>
        <v>2482.9676219095945</v>
      </c>
      <c r="Q462" s="49">
        <f>IF('Tech Parameters'!$I21=0,0,-PMT(discount_rate,'Tech Parameters'!$I21,'Tech Parameters'!T83))</f>
        <v>2482.9676219095945</v>
      </c>
      <c r="R462" s="49">
        <f>IF('Tech Parameters'!$I21=0,0,-PMT(discount_rate,'Tech Parameters'!$I21,'Tech Parameters'!U83))</f>
        <v>2482.9676219095945</v>
      </c>
      <c r="S462" s="49">
        <f>IF('Tech Parameters'!$I21=0,0,-PMT(discount_rate,'Tech Parameters'!$I21,'Tech Parameters'!V83))</f>
        <v>2482.9676219095945</v>
      </c>
      <c r="T462" s="49">
        <f>IF('Tech Parameters'!$I21=0,0,-PMT(discount_rate,'Tech Parameters'!$I21,'Tech Parameters'!W83))</f>
        <v>2482.9676219095945</v>
      </c>
      <c r="U462" s="49">
        <f>IF('Tech Parameters'!$I21=0,0,-PMT(discount_rate,'Tech Parameters'!$I21,'Tech Parameters'!X83))</f>
        <v>2482.9676219095945</v>
      </c>
      <c r="V462" s="49">
        <f>IF('Tech Parameters'!$I21=0,0,-PMT(discount_rate,'Tech Parameters'!$I21,'Tech Parameters'!Y83))</f>
        <v>2482.9676219095945</v>
      </c>
      <c r="W462" s="49">
        <f>IF('Tech Parameters'!$I21=0,0,-PMT(discount_rate,'Tech Parameters'!$I21,'Tech Parameters'!Z83))</f>
        <v>2482.9676219095945</v>
      </c>
      <c r="X462" s="49">
        <f>IF('Tech Parameters'!$I21=0,0,-PMT(discount_rate,'Tech Parameters'!$I21,'Tech Parameters'!AA83))</f>
        <v>2482.9676219095945</v>
      </c>
      <c r="Y462" s="49">
        <f>IF('Tech Parameters'!$I21=0,0,-PMT(discount_rate,'Tech Parameters'!$I21,'Tech Parameters'!AB83))</f>
        <v>2482.9676219095945</v>
      </c>
      <c r="Z462" s="49">
        <f>IF('Tech Parameters'!$I21=0,0,-PMT(discount_rate,'Tech Parameters'!$I21,'Tech Parameters'!AC83))</f>
        <v>2482.9676219095945</v>
      </c>
      <c r="AA462" s="49">
        <f>IF('Tech Parameters'!$I21=0,0,-PMT(discount_rate,'Tech Parameters'!$I21,'Tech Parameters'!AD83))</f>
        <v>2482.9676219095945</v>
      </c>
      <c r="AB462" s="49">
        <f>IF('Tech Parameters'!$I21=0,0,-PMT(discount_rate,'Tech Parameters'!$I21,'Tech Parameters'!AE83))</f>
        <v>2482.9676219095945</v>
      </c>
      <c r="AC462" s="49">
        <f>IF('Tech Parameters'!$I21=0,0,-PMT(discount_rate,'Tech Parameters'!$I21,'Tech Parameters'!AF83))</f>
        <v>2482.9676219095945</v>
      </c>
      <c r="AD462" s="49">
        <f>IF('Tech Parameters'!$I21=0,0,-PMT(discount_rate,'Tech Parameters'!$I21,'Tech Parameters'!AG83))</f>
        <v>2482.9676219095945</v>
      </c>
      <c r="AE462" s="49">
        <f>IF('Tech Parameters'!$I21=0,0,-PMT(discount_rate,'Tech Parameters'!$I21,'Tech Parameters'!AH83))</f>
        <v>2482.9676219095945</v>
      </c>
      <c r="AF462" s="49">
        <f>IF('Tech Parameters'!$I21=0,0,-PMT(discount_rate,'Tech Parameters'!$I21,'Tech Parameters'!AI83))</f>
        <v>2482.9676219095945</v>
      </c>
      <c r="AG462" s="49">
        <f>IF('Tech Parameters'!$I21=0,0,-PMT(discount_rate,'Tech Parameters'!$I21,'Tech Parameters'!AJ83))</f>
        <v>2482.9676219095945</v>
      </c>
      <c r="AH462" s="49">
        <f>IF('Tech Parameters'!$I21=0,0,-PMT(discount_rate,'Tech Parameters'!$I21,'Tech Parameters'!AK83))</f>
        <v>2482.9676219095945</v>
      </c>
      <c r="AI462" s="49">
        <f>IF('Tech Parameters'!$I21=0,0,-PMT(discount_rate,'Tech Parameters'!$I21,'Tech Parameters'!AL83))</f>
        <v>2482.9676219095945</v>
      </c>
      <c r="AJ462" s="49">
        <f>IF('Tech Parameters'!$I21=0,0,-PMT(discount_rate,'Tech Parameters'!$I21,'Tech Parameters'!AM83))</f>
        <v>2482.9676219095945</v>
      </c>
      <c r="AK462" s="49">
        <f>IF('Tech Parameters'!$I21=0,0,-PMT(discount_rate,'Tech Parameters'!$I21,'Tech Parameters'!AN83))</f>
        <v>2482.9676219095945</v>
      </c>
      <c r="AL462" s="49">
        <f>IF('Tech Parameters'!$I21=0,0,-PMT(discount_rate,'Tech Parameters'!$I21,'Tech Parameters'!AO83))</f>
        <v>2482.9676219095945</v>
      </c>
      <c r="AM462" s="49">
        <f>IF('Tech Parameters'!$I21=0,0,-PMT(discount_rate,'Tech Parameters'!$I21,'Tech Parameters'!AP83))</f>
        <v>2482.9676219095945</v>
      </c>
      <c r="AN462" s="49">
        <f>IF('Tech Parameters'!$I21=0,0,-PMT(discount_rate,'Tech Parameters'!$I21,'Tech Parameters'!AQ83))</f>
        <v>2482.9676219095945</v>
      </c>
      <c r="AO462" s="49">
        <f>IF('Tech Parameters'!$I21=0,0,-PMT(discount_rate,'Tech Parameters'!$I21,'Tech Parameters'!AR83))</f>
        <v>2482.9676219095945</v>
      </c>
      <c r="AP462" s="49">
        <f>IF('Tech Parameters'!$I21=0,0,-PMT(discount_rate,'Tech Parameters'!$I21,'Tech Parameters'!AS83))</f>
        <v>2482.9676219095945</v>
      </c>
      <c r="AQ462" s="49">
        <f>IF('Tech Parameters'!$I21=0,0,-PMT(discount_rate,'Tech Parameters'!$I21,'Tech Parameters'!AT83))</f>
        <v>2482.9676219095945</v>
      </c>
      <c r="AR462" s="49">
        <f>IF('Tech Parameters'!$I21=0,0,-PMT(discount_rate,'Tech Parameters'!$I21,'Tech Parameters'!AU83))</f>
        <v>2482.9676219095945</v>
      </c>
      <c r="AS462" s="49">
        <f>IF('Tech Parameters'!$I21=0,0,-PMT(discount_rate,'Tech Parameters'!$I21,'Tech Parameters'!AV83))</f>
        <v>2482.9676219095945</v>
      </c>
      <c r="AT462" s="49">
        <f>IF('Tech Parameters'!$I21=0,0,-PMT(discount_rate,'Tech Parameters'!$I21,'Tech Parameters'!AW83))</f>
        <v>2482.9676219095945</v>
      </c>
      <c r="AU462" s="49">
        <f>IF('Tech Parameters'!$I21=0,0,-PMT(discount_rate,'Tech Parameters'!$I21,'Tech Parameters'!AX83))</f>
        <v>2482.9676219095945</v>
      </c>
      <c r="AV462" s="49">
        <f>IF('Tech Parameters'!$I21=0,0,-PMT(discount_rate,'Tech Parameters'!$I21,'Tech Parameters'!AY83))</f>
        <v>2482.9676219095945</v>
      </c>
      <c r="AW462" s="49">
        <f>IF('Tech Parameters'!$I21=0,0,-PMT(discount_rate,'Tech Parameters'!$I21,'Tech Parameters'!AZ83))</f>
        <v>2482.9676219095945</v>
      </c>
    </row>
    <row r="463" spans="3:49">
      <c r="C463" t="str">
        <f t="shared" si="112"/>
        <v>-</v>
      </c>
      <c r="D463" s="49">
        <f>IF('Tech Parameters'!$I22=0,0,-PMT(discount_rate,'Tech Parameters'!$I22,'Tech Parameters'!G84))</f>
        <v>0</v>
      </c>
      <c r="E463" s="49">
        <f>IF('Tech Parameters'!$I22=0,0,-PMT(discount_rate,'Tech Parameters'!$I22,'Tech Parameters'!H84))</f>
        <v>0</v>
      </c>
      <c r="F463" s="49">
        <f>IF('Tech Parameters'!$I22=0,0,-PMT(discount_rate,'Tech Parameters'!$I22,'Tech Parameters'!I84))</f>
        <v>0</v>
      </c>
      <c r="G463" s="49">
        <f>IF('Tech Parameters'!$I22=0,0,-PMT(discount_rate,'Tech Parameters'!$I22,'Tech Parameters'!J84))</f>
        <v>0</v>
      </c>
      <c r="H463" s="49">
        <f>IF('Tech Parameters'!$I22=0,0,-PMT(discount_rate,'Tech Parameters'!$I22,'Tech Parameters'!K84))</f>
        <v>0</v>
      </c>
      <c r="I463" s="49">
        <f>IF('Tech Parameters'!$I22=0,0,-PMT(discount_rate,'Tech Parameters'!$I22,'Tech Parameters'!L84))</f>
        <v>0</v>
      </c>
      <c r="J463" s="49">
        <f>IF('Tech Parameters'!$I22=0,0,-PMT(discount_rate,'Tech Parameters'!$I22,'Tech Parameters'!M84))</f>
        <v>0</v>
      </c>
      <c r="K463" s="49">
        <f>IF('Tech Parameters'!$I22=0,0,-PMT(discount_rate,'Tech Parameters'!$I22,'Tech Parameters'!N84))</f>
        <v>0</v>
      </c>
      <c r="L463" s="49">
        <f>IF('Tech Parameters'!$I22=0,0,-PMT(discount_rate,'Tech Parameters'!$I22,'Tech Parameters'!O84))</f>
        <v>0</v>
      </c>
      <c r="M463" s="49">
        <f>IF('Tech Parameters'!$I22=0,0,-PMT(discount_rate,'Tech Parameters'!$I22,'Tech Parameters'!P84))</f>
        <v>0</v>
      </c>
      <c r="N463" s="49">
        <f>IF('Tech Parameters'!$I22=0,0,-PMT(discount_rate,'Tech Parameters'!$I22,'Tech Parameters'!Q84))</f>
        <v>0</v>
      </c>
      <c r="O463" s="49">
        <f>IF('Tech Parameters'!$I22=0,0,-PMT(discount_rate,'Tech Parameters'!$I22,'Tech Parameters'!R84))</f>
        <v>0</v>
      </c>
      <c r="P463" s="49">
        <f>IF('Tech Parameters'!$I22=0,0,-PMT(discount_rate,'Tech Parameters'!$I22,'Tech Parameters'!S84))</f>
        <v>0</v>
      </c>
      <c r="Q463" s="49">
        <f>IF('Tech Parameters'!$I22=0,0,-PMT(discount_rate,'Tech Parameters'!$I22,'Tech Parameters'!T84))</f>
        <v>0</v>
      </c>
      <c r="R463" s="49">
        <f>IF('Tech Parameters'!$I22=0,0,-PMT(discount_rate,'Tech Parameters'!$I22,'Tech Parameters'!U84))</f>
        <v>0</v>
      </c>
      <c r="S463" s="49">
        <f>IF('Tech Parameters'!$I22=0,0,-PMT(discount_rate,'Tech Parameters'!$I22,'Tech Parameters'!V84))</f>
        <v>0</v>
      </c>
      <c r="T463" s="49">
        <f>IF('Tech Parameters'!$I22=0,0,-PMT(discount_rate,'Tech Parameters'!$I22,'Tech Parameters'!W84))</f>
        <v>0</v>
      </c>
      <c r="U463" s="49">
        <f>IF('Tech Parameters'!$I22=0,0,-PMT(discount_rate,'Tech Parameters'!$I22,'Tech Parameters'!X84))</f>
        <v>0</v>
      </c>
      <c r="V463" s="49">
        <f>IF('Tech Parameters'!$I22=0,0,-PMT(discount_rate,'Tech Parameters'!$I22,'Tech Parameters'!Y84))</f>
        <v>0</v>
      </c>
      <c r="W463" s="49">
        <f>IF('Tech Parameters'!$I22=0,0,-PMT(discount_rate,'Tech Parameters'!$I22,'Tech Parameters'!Z84))</f>
        <v>0</v>
      </c>
      <c r="X463" s="49">
        <f>IF('Tech Parameters'!$I22=0,0,-PMT(discount_rate,'Tech Parameters'!$I22,'Tech Parameters'!AA84))</f>
        <v>0</v>
      </c>
      <c r="Y463" s="49">
        <f>IF('Tech Parameters'!$I22=0,0,-PMT(discount_rate,'Tech Parameters'!$I22,'Tech Parameters'!AB84))</f>
        <v>0</v>
      </c>
      <c r="Z463" s="49">
        <f>IF('Tech Parameters'!$I22=0,0,-PMT(discount_rate,'Tech Parameters'!$I22,'Tech Parameters'!AC84))</f>
        <v>0</v>
      </c>
      <c r="AA463" s="49">
        <f>IF('Tech Parameters'!$I22=0,0,-PMT(discount_rate,'Tech Parameters'!$I22,'Tech Parameters'!AD84))</f>
        <v>0</v>
      </c>
      <c r="AB463" s="49">
        <f>IF('Tech Parameters'!$I22=0,0,-PMT(discount_rate,'Tech Parameters'!$I22,'Tech Parameters'!AE84))</f>
        <v>0</v>
      </c>
      <c r="AC463" s="49">
        <f>IF('Tech Parameters'!$I22=0,0,-PMT(discount_rate,'Tech Parameters'!$I22,'Tech Parameters'!AF84))</f>
        <v>0</v>
      </c>
      <c r="AD463" s="49">
        <f>IF('Tech Parameters'!$I22=0,0,-PMT(discount_rate,'Tech Parameters'!$I22,'Tech Parameters'!AG84))</f>
        <v>0</v>
      </c>
      <c r="AE463" s="49">
        <f>IF('Tech Parameters'!$I22=0,0,-PMT(discount_rate,'Tech Parameters'!$I22,'Tech Parameters'!AH84))</f>
        <v>0</v>
      </c>
      <c r="AF463" s="49">
        <f>IF('Tech Parameters'!$I22=0,0,-PMT(discount_rate,'Tech Parameters'!$I22,'Tech Parameters'!AI84))</f>
        <v>0</v>
      </c>
      <c r="AG463" s="49">
        <f>IF('Tech Parameters'!$I22=0,0,-PMT(discount_rate,'Tech Parameters'!$I22,'Tech Parameters'!AJ84))</f>
        <v>0</v>
      </c>
      <c r="AH463" s="49">
        <f>IF('Tech Parameters'!$I22=0,0,-PMT(discount_rate,'Tech Parameters'!$I22,'Tech Parameters'!AK84))</f>
        <v>0</v>
      </c>
      <c r="AI463" s="49">
        <f>IF('Tech Parameters'!$I22=0,0,-PMT(discount_rate,'Tech Parameters'!$I22,'Tech Parameters'!AL84))</f>
        <v>0</v>
      </c>
      <c r="AJ463" s="49">
        <f>IF('Tech Parameters'!$I22=0,0,-PMT(discount_rate,'Tech Parameters'!$I22,'Tech Parameters'!AM84))</f>
        <v>0</v>
      </c>
      <c r="AK463" s="49">
        <f>IF('Tech Parameters'!$I22=0,0,-PMT(discount_rate,'Tech Parameters'!$I22,'Tech Parameters'!AN84))</f>
        <v>0</v>
      </c>
      <c r="AL463" s="49">
        <f>IF('Tech Parameters'!$I22=0,0,-PMT(discount_rate,'Tech Parameters'!$I22,'Tech Parameters'!AO84))</f>
        <v>0</v>
      </c>
      <c r="AM463" s="49">
        <f>IF('Tech Parameters'!$I22=0,0,-PMT(discount_rate,'Tech Parameters'!$I22,'Tech Parameters'!AP84))</f>
        <v>0</v>
      </c>
      <c r="AN463" s="49">
        <f>IF('Tech Parameters'!$I22=0,0,-PMT(discount_rate,'Tech Parameters'!$I22,'Tech Parameters'!AQ84))</f>
        <v>0</v>
      </c>
      <c r="AO463" s="49">
        <f>IF('Tech Parameters'!$I22=0,0,-PMT(discount_rate,'Tech Parameters'!$I22,'Tech Parameters'!AR84))</f>
        <v>0</v>
      </c>
      <c r="AP463" s="49">
        <f>IF('Tech Parameters'!$I22=0,0,-PMT(discount_rate,'Tech Parameters'!$I22,'Tech Parameters'!AS84))</f>
        <v>0</v>
      </c>
      <c r="AQ463" s="49">
        <f>IF('Tech Parameters'!$I22=0,0,-PMT(discount_rate,'Tech Parameters'!$I22,'Tech Parameters'!AT84))</f>
        <v>0</v>
      </c>
      <c r="AR463" s="49">
        <f>IF('Tech Parameters'!$I22=0,0,-PMT(discount_rate,'Tech Parameters'!$I22,'Tech Parameters'!AU84))</f>
        <v>0</v>
      </c>
      <c r="AS463" s="49">
        <f>IF('Tech Parameters'!$I22=0,0,-PMT(discount_rate,'Tech Parameters'!$I22,'Tech Parameters'!AV84))</f>
        <v>0</v>
      </c>
      <c r="AT463" s="49">
        <f>IF('Tech Parameters'!$I22=0,0,-PMT(discount_rate,'Tech Parameters'!$I22,'Tech Parameters'!AW84))</f>
        <v>0</v>
      </c>
      <c r="AU463" s="49">
        <f>IF('Tech Parameters'!$I22=0,0,-PMT(discount_rate,'Tech Parameters'!$I22,'Tech Parameters'!AX84))</f>
        <v>0</v>
      </c>
      <c r="AV463" s="49">
        <f>IF('Tech Parameters'!$I22=0,0,-PMT(discount_rate,'Tech Parameters'!$I22,'Tech Parameters'!AY84))</f>
        <v>0</v>
      </c>
      <c r="AW463" s="49">
        <f>IF('Tech Parameters'!$I22=0,0,-PMT(discount_rate,'Tech Parameters'!$I22,'Tech Parameters'!AZ84))</f>
        <v>0</v>
      </c>
    </row>
    <row r="464" spans="3:49">
      <c r="C464" t="str">
        <f t="shared" si="112"/>
        <v>-</v>
      </c>
      <c r="D464" s="49">
        <f>IF('Tech Parameters'!$I23=0,0,-PMT(discount_rate,'Tech Parameters'!$I23,'Tech Parameters'!G85))</f>
        <v>0</v>
      </c>
      <c r="E464" s="49">
        <f>IF('Tech Parameters'!$I23=0,0,-PMT(discount_rate,'Tech Parameters'!$I23,'Tech Parameters'!H85))</f>
        <v>0</v>
      </c>
      <c r="F464" s="49">
        <f>IF('Tech Parameters'!$I23=0,0,-PMT(discount_rate,'Tech Parameters'!$I23,'Tech Parameters'!I85))</f>
        <v>0</v>
      </c>
      <c r="G464" s="49">
        <f>IF('Tech Parameters'!$I23=0,0,-PMT(discount_rate,'Tech Parameters'!$I23,'Tech Parameters'!J85))</f>
        <v>0</v>
      </c>
      <c r="H464" s="49">
        <f>IF('Tech Parameters'!$I23=0,0,-PMT(discount_rate,'Tech Parameters'!$I23,'Tech Parameters'!K85))</f>
        <v>0</v>
      </c>
      <c r="I464" s="49">
        <f>IF('Tech Parameters'!$I23=0,0,-PMT(discount_rate,'Tech Parameters'!$I23,'Tech Parameters'!L85))</f>
        <v>0</v>
      </c>
      <c r="J464" s="49">
        <f>IF('Tech Parameters'!$I23=0,0,-PMT(discount_rate,'Tech Parameters'!$I23,'Tech Parameters'!M85))</f>
        <v>0</v>
      </c>
      <c r="K464" s="49">
        <f>IF('Tech Parameters'!$I23=0,0,-PMT(discount_rate,'Tech Parameters'!$I23,'Tech Parameters'!N85))</f>
        <v>0</v>
      </c>
      <c r="L464" s="49">
        <f>IF('Tech Parameters'!$I23=0,0,-PMT(discount_rate,'Tech Parameters'!$I23,'Tech Parameters'!O85))</f>
        <v>0</v>
      </c>
      <c r="M464" s="49">
        <f>IF('Tech Parameters'!$I23=0,0,-PMT(discount_rate,'Tech Parameters'!$I23,'Tech Parameters'!P85))</f>
        <v>0</v>
      </c>
      <c r="N464" s="49">
        <f>IF('Tech Parameters'!$I23=0,0,-PMT(discount_rate,'Tech Parameters'!$I23,'Tech Parameters'!Q85))</f>
        <v>0</v>
      </c>
      <c r="O464" s="49">
        <f>IF('Tech Parameters'!$I23=0,0,-PMT(discount_rate,'Tech Parameters'!$I23,'Tech Parameters'!R85))</f>
        <v>0</v>
      </c>
      <c r="P464" s="49">
        <f>IF('Tech Parameters'!$I23=0,0,-PMT(discount_rate,'Tech Parameters'!$I23,'Tech Parameters'!S85))</f>
        <v>0</v>
      </c>
      <c r="Q464" s="49">
        <f>IF('Tech Parameters'!$I23=0,0,-PMT(discount_rate,'Tech Parameters'!$I23,'Tech Parameters'!T85))</f>
        <v>0</v>
      </c>
      <c r="R464" s="49">
        <f>IF('Tech Parameters'!$I23=0,0,-PMT(discount_rate,'Tech Parameters'!$I23,'Tech Parameters'!U85))</f>
        <v>0</v>
      </c>
      <c r="S464" s="49">
        <f>IF('Tech Parameters'!$I23=0,0,-PMT(discount_rate,'Tech Parameters'!$I23,'Tech Parameters'!V85))</f>
        <v>0</v>
      </c>
      <c r="T464" s="49">
        <f>IF('Tech Parameters'!$I23=0,0,-PMT(discount_rate,'Tech Parameters'!$I23,'Tech Parameters'!W85))</f>
        <v>0</v>
      </c>
      <c r="U464" s="49">
        <f>IF('Tech Parameters'!$I23=0,0,-PMT(discount_rate,'Tech Parameters'!$I23,'Tech Parameters'!X85))</f>
        <v>0</v>
      </c>
      <c r="V464" s="49">
        <f>IF('Tech Parameters'!$I23=0,0,-PMT(discount_rate,'Tech Parameters'!$I23,'Tech Parameters'!Y85))</f>
        <v>0</v>
      </c>
      <c r="W464" s="49">
        <f>IF('Tech Parameters'!$I23=0,0,-PMT(discount_rate,'Tech Parameters'!$I23,'Tech Parameters'!Z85))</f>
        <v>0</v>
      </c>
      <c r="X464" s="49">
        <f>IF('Tech Parameters'!$I23=0,0,-PMT(discount_rate,'Tech Parameters'!$I23,'Tech Parameters'!AA85))</f>
        <v>0</v>
      </c>
      <c r="Y464" s="49">
        <f>IF('Tech Parameters'!$I23=0,0,-PMT(discount_rate,'Tech Parameters'!$I23,'Tech Parameters'!AB85))</f>
        <v>0</v>
      </c>
      <c r="Z464" s="49">
        <f>IF('Tech Parameters'!$I23=0,0,-PMT(discount_rate,'Tech Parameters'!$I23,'Tech Parameters'!AC85))</f>
        <v>0</v>
      </c>
      <c r="AA464" s="49">
        <f>IF('Tech Parameters'!$I23=0,0,-PMT(discount_rate,'Tech Parameters'!$I23,'Tech Parameters'!AD85))</f>
        <v>0</v>
      </c>
      <c r="AB464" s="49">
        <f>IF('Tech Parameters'!$I23=0,0,-PMT(discount_rate,'Tech Parameters'!$I23,'Tech Parameters'!AE85))</f>
        <v>0</v>
      </c>
      <c r="AC464" s="49">
        <f>IF('Tech Parameters'!$I23=0,0,-PMT(discount_rate,'Tech Parameters'!$I23,'Tech Parameters'!AF85))</f>
        <v>0</v>
      </c>
      <c r="AD464" s="49">
        <f>IF('Tech Parameters'!$I23=0,0,-PMT(discount_rate,'Tech Parameters'!$I23,'Tech Parameters'!AG85))</f>
        <v>0</v>
      </c>
      <c r="AE464" s="49">
        <f>IF('Tech Parameters'!$I23=0,0,-PMT(discount_rate,'Tech Parameters'!$I23,'Tech Parameters'!AH85))</f>
        <v>0</v>
      </c>
      <c r="AF464" s="49">
        <f>IF('Tech Parameters'!$I23=0,0,-PMT(discount_rate,'Tech Parameters'!$I23,'Tech Parameters'!AI85))</f>
        <v>0</v>
      </c>
      <c r="AG464" s="49">
        <f>IF('Tech Parameters'!$I23=0,0,-PMT(discount_rate,'Tech Parameters'!$I23,'Tech Parameters'!AJ85))</f>
        <v>0</v>
      </c>
      <c r="AH464" s="49">
        <f>IF('Tech Parameters'!$I23=0,0,-PMT(discount_rate,'Tech Parameters'!$I23,'Tech Parameters'!AK85))</f>
        <v>0</v>
      </c>
      <c r="AI464" s="49">
        <f>IF('Tech Parameters'!$I23=0,0,-PMT(discount_rate,'Tech Parameters'!$I23,'Tech Parameters'!AL85))</f>
        <v>0</v>
      </c>
      <c r="AJ464" s="49">
        <f>IF('Tech Parameters'!$I23=0,0,-PMT(discount_rate,'Tech Parameters'!$I23,'Tech Parameters'!AM85))</f>
        <v>0</v>
      </c>
      <c r="AK464" s="49">
        <f>IF('Tech Parameters'!$I23=0,0,-PMT(discount_rate,'Tech Parameters'!$I23,'Tech Parameters'!AN85))</f>
        <v>0</v>
      </c>
      <c r="AL464" s="49">
        <f>IF('Tech Parameters'!$I23=0,0,-PMT(discount_rate,'Tech Parameters'!$I23,'Tech Parameters'!AO85))</f>
        <v>0</v>
      </c>
      <c r="AM464" s="49">
        <f>IF('Tech Parameters'!$I23=0,0,-PMT(discount_rate,'Tech Parameters'!$I23,'Tech Parameters'!AP85))</f>
        <v>0</v>
      </c>
      <c r="AN464" s="49">
        <f>IF('Tech Parameters'!$I23=0,0,-PMT(discount_rate,'Tech Parameters'!$I23,'Tech Parameters'!AQ85))</f>
        <v>0</v>
      </c>
      <c r="AO464" s="49">
        <f>IF('Tech Parameters'!$I23=0,0,-PMT(discount_rate,'Tech Parameters'!$I23,'Tech Parameters'!AR85))</f>
        <v>0</v>
      </c>
      <c r="AP464" s="49">
        <f>IF('Tech Parameters'!$I23=0,0,-PMT(discount_rate,'Tech Parameters'!$I23,'Tech Parameters'!AS85))</f>
        <v>0</v>
      </c>
      <c r="AQ464" s="49">
        <f>IF('Tech Parameters'!$I23=0,0,-PMT(discount_rate,'Tech Parameters'!$I23,'Tech Parameters'!AT85))</f>
        <v>0</v>
      </c>
      <c r="AR464" s="49">
        <f>IF('Tech Parameters'!$I23=0,0,-PMT(discount_rate,'Tech Parameters'!$I23,'Tech Parameters'!AU85))</f>
        <v>0</v>
      </c>
      <c r="AS464" s="49">
        <f>IF('Tech Parameters'!$I23=0,0,-PMT(discount_rate,'Tech Parameters'!$I23,'Tech Parameters'!AV85))</f>
        <v>0</v>
      </c>
      <c r="AT464" s="49">
        <f>IF('Tech Parameters'!$I23=0,0,-PMT(discount_rate,'Tech Parameters'!$I23,'Tech Parameters'!AW85))</f>
        <v>0</v>
      </c>
      <c r="AU464" s="49">
        <f>IF('Tech Parameters'!$I23=0,0,-PMT(discount_rate,'Tech Parameters'!$I23,'Tech Parameters'!AX85))</f>
        <v>0</v>
      </c>
      <c r="AV464" s="49">
        <f>IF('Tech Parameters'!$I23=0,0,-PMT(discount_rate,'Tech Parameters'!$I23,'Tech Parameters'!AY85))</f>
        <v>0</v>
      </c>
      <c r="AW464" s="49">
        <f>IF('Tech Parameters'!$I23=0,0,-PMT(discount_rate,'Tech Parameters'!$I23,'Tech Parameters'!AZ85))</f>
        <v>0</v>
      </c>
    </row>
    <row r="465" spans="3:49">
      <c r="C465" t="str">
        <f t="shared" si="112"/>
        <v>-</v>
      </c>
      <c r="D465" s="49">
        <f>IF('Tech Parameters'!$I24=0,0,-PMT(discount_rate,'Tech Parameters'!$I24,'Tech Parameters'!G86))</f>
        <v>0</v>
      </c>
      <c r="E465" s="49">
        <f>IF('Tech Parameters'!$I24=0,0,-PMT(discount_rate,'Tech Parameters'!$I24,'Tech Parameters'!H86))</f>
        <v>0</v>
      </c>
      <c r="F465" s="49">
        <f>IF('Tech Parameters'!$I24=0,0,-PMT(discount_rate,'Tech Parameters'!$I24,'Tech Parameters'!I86))</f>
        <v>0</v>
      </c>
      <c r="G465" s="49">
        <f>IF('Tech Parameters'!$I24=0,0,-PMT(discount_rate,'Tech Parameters'!$I24,'Tech Parameters'!J86))</f>
        <v>0</v>
      </c>
      <c r="H465" s="49">
        <f>IF('Tech Parameters'!$I24=0,0,-PMT(discount_rate,'Tech Parameters'!$I24,'Tech Parameters'!K86))</f>
        <v>0</v>
      </c>
      <c r="I465" s="49">
        <f>IF('Tech Parameters'!$I24=0,0,-PMT(discount_rate,'Tech Parameters'!$I24,'Tech Parameters'!L86))</f>
        <v>0</v>
      </c>
      <c r="J465" s="49">
        <f>IF('Tech Parameters'!$I24=0,0,-PMT(discount_rate,'Tech Parameters'!$I24,'Tech Parameters'!M86))</f>
        <v>0</v>
      </c>
      <c r="K465" s="49">
        <f>IF('Tech Parameters'!$I24=0,0,-PMT(discount_rate,'Tech Parameters'!$I24,'Tech Parameters'!N86))</f>
        <v>0</v>
      </c>
      <c r="L465" s="49">
        <f>IF('Tech Parameters'!$I24=0,0,-PMT(discount_rate,'Tech Parameters'!$I24,'Tech Parameters'!O86))</f>
        <v>0</v>
      </c>
      <c r="M465" s="49">
        <f>IF('Tech Parameters'!$I24=0,0,-PMT(discount_rate,'Tech Parameters'!$I24,'Tech Parameters'!P86))</f>
        <v>0</v>
      </c>
      <c r="N465" s="49">
        <f>IF('Tech Parameters'!$I24=0,0,-PMT(discount_rate,'Tech Parameters'!$I24,'Tech Parameters'!Q86))</f>
        <v>0</v>
      </c>
      <c r="O465" s="49">
        <f>IF('Tech Parameters'!$I24=0,0,-PMT(discount_rate,'Tech Parameters'!$I24,'Tech Parameters'!R86))</f>
        <v>0</v>
      </c>
      <c r="P465" s="49">
        <f>IF('Tech Parameters'!$I24=0,0,-PMT(discount_rate,'Tech Parameters'!$I24,'Tech Parameters'!S86))</f>
        <v>0</v>
      </c>
      <c r="Q465" s="49">
        <f>IF('Tech Parameters'!$I24=0,0,-PMT(discount_rate,'Tech Parameters'!$I24,'Tech Parameters'!T86))</f>
        <v>0</v>
      </c>
      <c r="R465" s="49">
        <f>IF('Tech Parameters'!$I24=0,0,-PMT(discount_rate,'Tech Parameters'!$I24,'Tech Parameters'!U86))</f>
        <v>0</v>
      </c>
      <c r="S465" s="49">
        <f>IF('Tech Parameters'!$I24=0,0,-PMT(discount_rate,'Tech Parameters'!$I24,'Tech Parameters'!V86))</f>
        <v>0</v>
      </c>
      <c r="T465" s="49">
        <f>IF('Tech Parameters'!$I24=0,0,-PMT(discount_rate,'Tech Parameters'!$I24,'Tech Parameters'!W86))</f>
        <v>0</v>
      </c>
      <c r="U465" s="49">
        <f>IF('Tech Parameters'!$I24=0,0,-PMT(discount_rate,'Tech Parameters'!$I24,'Tech Parameters'!X86))</f>
        <v>0</v>
      </c>
      <c r="V465" s="49">
        <f>IF('Tech Parameters'!$I24=0,0,-PMT(discount_rate,'Tech Parameters'!$I24,'Tech Parameters'!Y86))</f>
        <v>0</v>
      </c>
      <c r="W465" s="49">
        <f>IF('Tech Parameters'!$I24=0,0,-PMT(discount_rate,'Tech Parameters'!$I24,'Tech Parameters'!Z86))</f>
        <v>0</v>
      </c>
      <c r="X465" s="49">
        <f>IF('Tech Parameters'!$I24=0,0,-PMT(discount_rate,'Tech Parameters'!$I24,'Tech Parameters'!AA86))</f>
        <v>0</v>
      </c>
      <c r="Y465" s="49">
        <f>IF('Tech Parameters'!$I24=0,0,-PMT(discount_rate,'Tech Parameters'!$I24,'Tech Parameters'!AB86))</f>
        <v>0</v>
      </c>
      <c r="Z465" s="49">
        <f>IF('Tech Parameters'!$I24=0,0,-PMT(discount_rate,'Tech Parameters'!$I24,'Tech Parameters'!AC86))</f>
        <v>0</v>
      </c>
      <c r="AA465" s="49">
        <f>IF('Tech Parameters'!$I24=0,0,-PMT(discount_rate,'Tech Parameters'!$I24,'Tech Parameters'!AD86))</f>
        <v>0</v>
      </c>
      <c r="AB465" s="49">
        <f>IF('Tech Parameters'!$I24=0,0,-PMT(discount_rate,'Tech Parameters'!$I24,'Tech Parameters'!AE86))</f>
        <v>0</v>
      </c>
      <c r="AC465" s="49">
        <f>IF('Tech Parameters'!$I24=0,0,-PMT(discount_rate,'Tech Parameters'!$I24,'Tech Parameters'!AF86))</f>
        <v>0</v>
      </c>
      <c r="AD465" s="49">
        <f>IF('Tech Parameters'!$I24=0,0,-PMT(discount_rate,'Tech Parameters'!$I24,'Tech Parameters'!AG86))</f>
        <v>0</v>
      </c>
      <c r="AE465" s="49">
        <f>IF('Tech Parameters'!$I24=0,0,-PMT(discount_rate,'Tech Parameters'!$I24,'Tech Parameters'!AH86))</f>
        <v>0</v>
      </c>
      <c r="AF465" s="49">
        <f>IF('Tech Parameters'!$I24=0,0,-PMT(discount_rate,'Tech Parameters'!$I24,'Tech Parameters'!AI86))</f>
        <v>0</v>
      </c>
      <c r="AG465" s="49">
        <f>IF('Tech Parameters'!$I24=0,0,-PMT(discount_rate,'Tech Parameters'!$I24,'Tech Parameters'!AJ86))</f>
        <v>0</v>
      </c>
      <c r="AH465" s="49">
        <f>IF('Tech Parameters'!$I24=0,0,-PMT(discount_rate,'Tech Parameters'!$I24,'Tech Parameters'!AK86))</f>
        <v>0</v>
      </c>
      <c r="AI465" s="49">
        <f>IF('Tech Parameters'!$I24=0,0,-PMT(discount_rate,'Tech Parameters'!$I24,'Tech Parameters'!AL86))</f>
        <v>0</v>
      </c>
      <c r="AJ465" s="49">
        <f>IF('Tech Parameters'!$I24=0,0,-PMT(discount_rate,'Tech Parameters'!$I24,'Tech Parameters'!AM86))</f>
        <v>0</v>
      </c>
      <c r="AK465" s="49">
        <f>IF('Tech Parameters'!$I24=0,0,-PMT(discount_rate,'Tech Parameters'!$I24,'Tech Parameters'!AN86))</f>
        <v>0</v>
      </c>
      <c r="AL465" s="49">
        <f>IF('Tech Parameters'!$I24=0,0,-PMT(discount_rate,'Tech Parameters'!$I24,'Tech Parameters'!AO86))</f>
        <v>0</v>
      </c>
      <c r="AM465" s="49">
        <f>IF('Tech Parameters'!$I24=0,0,-PMT(discount_rate,'Tech Parameters'!$I24,'Tech Parameters'!AP86))</f>
        <v>0</v>
      </c>
      <c r="AN465" s="49">
        <f>IF('Tech Parameters'!$I24=0,0,-PMT(discount_rate,'Tech Parameters'!$I24,'Tech Parameters'!AQ86))</f>
        <v>0</v>
      </c>
      <c r="AO465" s="49">
        <f>IF('Tech Parameters'!$I24=0,0,-PMT(discount_rate,'Tech Parameters'!$I24,'Tech Parameters'!AR86))</f>
        <v>0</v>
      </c>
      <c r="AP465" s="49">
        <f>IF('Tech Parameters'!$I24=0,0,-PMT(discount_rate,'Tech Parameters'!$I24,'Tech Parameters'!AS86))</f>
        <v>0</v>
      </c>
      <c r="AQ465" s="49">
        <f>IF('Tech Parameters'!$I24=0,0,-PMT(discount_rate,'Tech Parameters'!$I24,'Tech Parameters'!AT86))</f>
        <v>0</v>
      </c>
      <c r="AR465" s="49">
        <f>IF('Tech Parameters'!$I24=0,0,-PMT(discount_rate,'Tech Parameters'!$I24,'Tech Parameters'!AU86))</f>
        <v>0</v>
      </c>
      <c r="AS465" s="49">
        <f>IF('Tech Parameters'!$I24=0,0,-PMT(discount_rate,'Tech Parameters'!$I24,'Tech Parameters'!AV86))</f>
        <v>0</v>
      </c>
      <c r="AT465" s="49">
        <f>IF('Tech Parameters'!$I24=0,0,-PMT(discount_rate,'Tech Parameters'!$I24,'Tech Parameters'!AW86))</f>
        <v>0</v>
      </c>
      <c r="AU465" s="49">
        <f>IF('Tech Parameters'!$I24=0,0,-PMT(discount_rate,'Tech Parameters'!$I24,'Tech Parameters'!AX86))</f>
        <v>0</v>
      </c>
      <c r="AV465" s="49">
        <f>IF('Tech Parameters'!$I24=0,0,-PMT(discount_rate,'Tech Parameters'!$I24,'Tech Parameters'!AY86))</f>
        <v>0</v>
      </c>
      <c r="AW465" s="49">
        <f>IF('Tech Parameters'!$I24=0,0,-PMT(discount_rate,'Tech Parameters'!$I24,'Tech Parameters'!AZ86))</f>
        <v>0</v>
      </c>
    </row>
    <row r="466" spans="3:49">
      <c r="C466" t="str">
        <f t="shared" si="112"/>
        <v>Pumped storage</v>
      </c>
      <c r="D466" s="49">
        <f>IF('Tech Parameters'!$I25=0,0,-PMT(discount_rate,'Tech Parameters'!$I25,'Tech Parameters'!G87))</f>
        <v>0</v>
      </c>
      <c r="E466" s="49">
        <f>IF('Tech Parameters'!$I25=0,0,-PMT(discount_rate,'Tech Parameters'!$I25,'Tech Parameters'!H87))</f>
        <v>0</v>
      </c>
      <c r="F466" s="49">
        <f>IF('Tech Parameters'!$I25=0,0,-PMT(discount_rate,'Tech Parameters'!$I25,'Tech Parameters'!I87))</f>
        <v>1312.1362995365118</v>
      </c>
      <c r="G466" s="49">
        <f>IF('Tech Parameters'!$I25=0,0,-PMT(discount_rate,'Tech Parameters'!$I25,'Tech Parameters'!J87))</f>
        <v>1312.1362995365118</v>
      </c>
      <c r="H466" s="49">
        <f>IF('Tech Parameters'!$I25=0,0,-PMT(discount_rate,'Tech Parameters'!$I25,'Tech Parameters'!K87))</f>
        <v>1312.1362995365118</v>
      </c>
      <c r="I466" s="49">
        <f>IF('Tech Parameters'!$I25=0,0,-PMT(discount_rate,'Tech Parameters'!$I25,'Tech Parameters'!L87))</f>
        <v>1312.1362995365118</v>
      </c>
      <c r="J466" s="49">
        <f>IF('Tech Parameters'!$I25=0,0,-PMT(discount_rate,'Tech Parameters'!$I25,'Tech Parameters'!M87))</f>
        <v>1312.1362995365118</v>
      </c>
      <c r="K466" s="49">
        <f>IF('Tech Parameters'!$I25=0,0,-PMT(discount_rate,'Tech Parameters'!$I25,'Tech Parameters'!N87))</f>
        <v>1312.1362995365118</v>
      </c>
      <c r="L466" s="49">
        <f>IF('Tech Parameters'!$I25=0,0,-PMT(discount_rate,'Tech Parameters'!$I25,'Tech Parameters'!O87))</f>
        <v>1312.1362995365118</v>
      </c>
      <c r="M466" s="49">
        <f>IF('Tech Parameters'!$I25=0,0,-PMT(discount_rate,'Tech Parameters'!$I25,'Tech Parameters'!P87))</f>
        <v>1312.1362995365118</v>
      </c>
      <c r="N466" s="49">
        <f>IF('Tech Parameters'!$I25=0,0,-PMT(discount_rate,'Tech Parameters'!$I25,'Tech Parameters'!Q87))</f>
        <v>1312.1362995365118</v>
      </c>
      <c r="O466" s="49">
        <f>IF('Tech Parameters'!$I25=0,0,-PMT(discount_rate,'Tech Parameters'!$I25,'Tech Parameters'!R87))</f>
        <v>1312.1362995365118</v>
      </c>
      <c r="P466" s="49">
        <f>IF('Tech Parameters'!$I25=0,0,-PMT(discount_rate,'Tech Parameters'!$I25,'Tech Parameters'!S87))</f>
        <v>1312.1362995365118</v>
      </c>
      <c r="Q466" s="49">
        <f>IF('Tech Parameters'!$I25=0,0,-PMT(discount_rate,'Tech Parameters'!$I25,'Tech Parameters'!T87))</f>
        <v>1312.1362995365118</v>
      </c>
      <c r="R466" s="49">
        <f>IF('Tech Parameters'!$I25=0,0,-PMT(discount_rate,'Tech Parameters'!$I25,'Tech Parameters'!U87))</f>
        <v>1312.1362995365118</v>
      </c>
      <c r="S466" s="49">
        <f>IF('Tech Parameters'!$I25=0,0,-PMT(discount_rate,'Tech Parameters'!$I25,'Tech Parameters'!V87))</f>
        <v>1312.1362995365118</v>
      </c>
      <c r="T466" s="49">
        <f>IF('Tech Parameters'!$I25=0,0,-PMT(discount_rate,'Tech Parameters'!$I25,'Tech Parameters'!W87))</f>
        <v>1312.1362995365118</v>
      </c>
      <c r="U466" s="49">
        <f>IF('Tech Parameters'!$I25=0,0,-PMT(discount_rate,'Tech Parameters'!$I25,'Tech Parameters'!X87))</f>
        <v>1312.1362995365118</v>
      </c>
      <c r="V466" s="49">
        <f>IF('Tech Parameters'!$I25=0,0,-PMT(discount_rate,'Tech Parameters'!$I25,'Tech Parameters'!Y87))</f>
        <v>1312.1362995365118</v>
      </c>
      <c r="W466" s="49">
        <f>IF('Tech Parameters'!$I25=0,0,-PMT(discount_rate,'Tech Parameters'!$I25,'Tech Parameters'!Z87))</f>
        <v>1312.1362995365118</v>
      </c>
      <c r="X466" s="49">
        <f>IF('Tech Parameters'!$I25=0,0,-PMT(discount_rate,'Tech Parameters'!$I25,'Tech Parameters'!AA87))</f>
        <v>1312.1362995365118</v>
      </c>
      <c r="Y466" s="49">
        <f>IF('Tech Parameters'!$I25=0,0,-PMT(discount_rate,'Tech Parameters'!$I25,'Tech Parameters'!AB87))</f>
        <v>1312.1362995365118</v>
      </c>
      <c r="Z466" s="49">
        <f>IF('Tech Parameters'!$I25=0,0,-PMT(discount_rate,'Tech Parameters'!$I25,'Tech Parameters'!AC87))</f>
        <v>1312.1362995365118</v>
      </c>
      <c r="AA466" s="49">
        <f>IF('Tech Parameters'!$I25=0,0,-PMT(discount_rate,'Tech Parameters'!$I25,'Tech Parameters'!AD87))</f>
        <v>1312.1362995365118</v>
      </c>
      <c r="AB466" s="49">
        <f>IF('Tech Parameters'!$I25=0,0,-PMT(discount_rate,'Tech Parameters'!$I25,'Tech Parameters'!AE87))</f>
        <v>1312.1362995365118</v>
      </c>
      <c r="AC466" s="49">
        <f>IF('Tech Parameters'!$I25=0,0,-PMT(discount_rate,'Tech Parameters'!$I25,'Tech Parameters'!AF87))</f>
        <v>1312.1362995365118</v>
      </c>
      <c r="AD466" s="49">
        <f>IF('Tech Parameters'!$I25=0,0,-PMT(discount_rate,'Tech Parameters'!$I25,'Tech Parameters'!AG87))</f>
        <v>1312.1362995365118</v>
      </c>
      <c r="AE466" s="49">
        <f>IF('Tech Parameters'!$I25=0,0,-PMT(discount_rate,'Tech Parameters'!$I25,'Tech Parameters'!AH87))</f>
        <v>1312.1362995365118</v>
      </c>
      <c r="AF466" s="49">
        <f>IF('Tech Parameters'!$I25=0,0,-PMT(discount_rate,'Tech Parameters'!$I25,'Tech Parameters'!AI87))</f>
        <v>1312.1362995365118</v>
      </c>
      <c r="AG466" s="49">
        <f>IF('Tech Parameters'!$I25=0,0,-PMT(discount_rate,'Tech Parameters'!$I25,'Tech Parameters'!AJ87))</f>
        <v>1312.1362995365118</v>
      </c>
      <c r="AH466" s="49">
        <f>IF('Tech Parameters'!$I25=0,0,-PMT(discount_rate,'Tech Parameters'!$I25,'Tech Parameters'!AK87))</f>
        <v>1312.1362995365118</v>
      </c>
      <c r="AI466" s="49">
        <f>IF('Tech Parameters'!$I25=0,0,-PMT(discount_rate,'Tech Parameters'!$I25,'Tech Parameters'!AL87))</f>
        <v>1312.1362995365118</v>
      </c>
      <c r="AJ466" s="49">
        <f>IF('Tech Parameters'!$I25=0,0,-PMT(discount_rate,'Tech Parameters'!$I25,'Tech Parameters'!AM87))</f>
        <v>1312.1362995365118</v>
      </c>
      <c r="AK466" s="49">
        <f>IF('Tech Parameters'!$I25=0,0,-PMT(discount_rate,'Tech Parameters'!$I25,'Tech Parameters'!AN87))</f>
        <v>1312.1362995365118</v>
      </c>
      <c r="AL466" s="49">
        <f>IF('Tech Parameters'!$I25=0,0,-PMT(discount_rate,'Tech Parameters'!$I25,'Tech Parameters'!AO87))</f>
        <v>1312.1362995365118</v>
      </c>
      <c r="AM466" s="49">
        <f>IF('Tech Parameters'!$I25=0,0,-PMT(discount_rate,'Tech Parameters'!$I25,'Tech Parameters'!AP87))</f>
        <v>1312.1362995365118</v>
      </c>
      <c r="AN466" s="49">
        <f>IF('Tech Parameters'!$I25=0,0,-PMT(discount_rate,'Tech Parameters'!$I25,'Tech Parameters'!AQ87))</f>
        <v>1312.1362995365118</v>
      </c>
      <c r="AO466" s="49">
        <f>IF('Tech Parameters'!$I25=0,0,-PMT(discount_rate,'Tech Parameters'!$I25,'Tech Parameters'!AR87))</f>
        <v>1312.1362995365118</v>
      </c>
      <c r="AP466" s="49">
        <f>IF('Tech Parameters'!$I25=0,0,-PMT(discount_rate,'Tech Parameters'!$I25,'Tech Parameters'!AS87))</f>
        <v>1312.1362995365118</v>
      </c>
      <c r="AQ466" s="49">
        <f>IF('Tech Parameters'!$I25=0,0,-PMT(discount_rate,'Tech Parameters'!$I25,'Tech Parameters'!AT87))</f>
        <v>1312.1362995365118</v>
      </c>
      <c r="AR466" s="49">
        <f>IF('Tech Parameters'!$I25=0,0,-PMT(discount_rate,'Tech Parameters'!$I25,'Tech Parameters'!AU87))</f>
        <v>1312.1362995365118</v>
      </c>
      <c r="AS466" s="49">
        <f>IF('Tech Parameters'!$I25=0,0,-PMT(discount_rate,'Tech Parameters'!$I25,'Tech Parameters'!AV87))</f>
        <v>1312.1362995365118</v>
      </c>
      <c r="AT466" s="49">
        <f>IF('Tech Parameters'!$I25=0,0,-PMT(discount_rate,'Tech Parameters'!$I25,'Tech Parameters'!AW87))</f>
        <v>1312.1362995365118</v>
      </c>
      <c r="AU466" s="49">
        <f>IF('Tech Parameters'!$I25=0,0,-PMT(discount_rate,'Tech Parameters'!$I25,'Tech Parameters'!AX87))</f>
        <v>1312.1362995365118</v>
      </c>
      <c r="AV466" s="49">
        <f>IF('Tech Parameters'!$I25=0,0,-PMT(discount_rate,'Tech Parameters'!$I25,'Tech Parameters'!AY87))</f>
        <v>1312.1362995365118</v>
      </c>
      <c r="AW466" s="49">
        <f>IF('Tech Parameters'!$I25=0,0,-PMT(discount_rate,'Tech Parameters'!$I25,'Tech Parameters'!AZ87))</f>
        <v>1312.1362995365118</v>
      </c>
    </row>
    <row r="469" spans="3:49">
      <c r="C469" s="4" t="s">
        <v>319</v>
      </c>
    </row>
    <row r="470" spans="3:49">
      <c r="C470" t="str">
        <f>C8</f>
        <v>Existing coal Large</v>
      </c>
      <c r="D470">
        <f t="array" aca="1" ref="D470" ca="1">SUM(OFFSET(D121,0,IF(D$7-2004-'Tech Parameters'!$I6&lt;1,-D$7+2004+1,-'Tech Parameters'!$I6+1)):D121*OFFSET(D447,0,IF(D$7-2004-'Tech Parameters'!$I6&lt;1,-D$7+2004+1,-'Tech Parameters'!$I6+1)):D447)</f>
        <v>0</v>
      </c>
      <c r="E470">
        <f t="array" aca="1" ref="E470" ca="1">SUM(OFFSET(E121,0,IF(E$7-2004-'Tech Parameters'!$I6&lt;1,-E$7+2004+1,-'Tech Parameters'!$I6+1)):E121*OFFSET(E447,0,IF(E$7-2004-'Tech Parameters'!$I6&lt;1,-E$7+2004+1,-'Tech Parameters'!$I6+1)):E447)</f>
        <v>0</v>
      </c>
      <c r="F470">
        <f t="array" aca="1" ref="F470" ca="1">SUM(OFFSET(F121,0,IF(F$7-2004-'Tech Parameters'!$I6&lt;1,-F$7+2004+1,-'Tech Parameters'!$I6+1)):F121*OFFSET(F447,0,IF(F$7-2004-'Tech Parameters'!$I6&lt;1,-F$7+2004+1,-'Tech Parameters'!$I6+1)):F447)</f>
        <v>0</v>
      </c>
      <c r="G470">
        <f t="array" aca="1" ref="G470" ca="1">SUM(OFFSET(G121,0,IF(G$7-2004-'Tech Parameters'!$I6&lt;1,-G$7+2004+1,-'Tech Parameters'!$I6+1)):G121*OFFSET(G447,0,IF(G$7-2004-'Tech Parameters'!$I6&lt;1,-G$7+2004+1,-'Tech Parameters'!$I6+1)):G447)</f>
        <v>0</v>
      </c>
      <c r="H470">
        <f t="array" aca="1" ref="H470" ca="1">SUM(OFFSET(H121,0,IF(H$7-2004-'Tech Parameters'!$I6&lt;1,-H$7+2004+1,-'Tech Parameters'!$I6+1)):H121*OFFSET(H447,0,IF(H$7-2004-'Tech Parameters'!$I6&lt;1,-H$7+2004+1,-'Tech Parameters'!$I6+1)):H447)</f>
        <v>0</v>
      </c>
      <c r="I470">
        <f t="array" aca="1" ref="I470" ca="1">SUM(OFFSET(I121,0,IF(I$7-2004-'Tech Parameters'!$I6&lt;1,-I$7+2004+1,-'Tech Parameters'!$I6+1)):I121*OFFSET(I447,0,IF(I$7-2004-'Tech Parameters'!$I6&lt;1,-I$7+2004+1,-'Tech Parameters'!$I6+1)):I447)</f>
        <v>0</v>
      </c>
      <c r="J470">
        <f t="array" aca="1" ref="J470" ca="1">SUM(OFFSET(J121,0,IF(J$7-2004-'Tech Parameters'!$I6&lt;1,-J$7+2004+1,-'Tech Parameters'!$I6+1)):J121*OFFSET(J447,0,IF(J$7-2004-'Tech Parameters'!$I6&lt;1,-J$7+2004+1,-'Tech Parameters'!$I6+1)):J447)</f>
        <v>0</v>
      </c>
      <c r="K470">
        <f t="array" aca="1" ref="K470" ca="1">SUM(OFFSET(K121,0,IF(K$7-2004-'Tech Parameters'!$I6&lt;1,-K$7+2004+1,-'Tech Parameters'!$I6+1)):K121*OFFSET(K447,0,IF(K$7-2004-'Tech Parameters'!$I6&lt;1,-K$7+2004+1,-'Tech Parameters'!$I6+1)):K447)</f>
        <v>0</v>
      </c>
      <c r="L470">
        <f t="array" aca="1" ref="L470" ca="1">SUM(OFFSET(L121,0,IF(L$7-2004-'Tech Parameters'!$I6&lt;1,-L$7+2004+1,-'Tech Parameters'!$I6+1)):L121*OFFSET(L447,0,IF(L$7-2004-'Tech Parameters'!$I6&lt;1,-L$7+2004+1,-'Tech Parameters'!$I6+1)):L447)</f>
        <v>0</v>
      </c>
      <c r="M470">
        <f t="array" aca="1" ref="M470" ca="1">SUM(OFFSET(M121,0,IF(M$7-2004-'Tech Parameters'!$I6&lt;1,-M$7+2004+1,-'Tech Parameters'!$I6+1)):M121*OFFSET(M447,0,IF(M$7-2004-'Tech Parameters'!$I6&lt;1,-M$7+2004+1,-'Tech Parameters'!$I6+1)):M447)</f>
        <v>0</v>
      </c>
      <c r="N470">
        <f t="array" aca="1" ref="N470" ca="1">SUM(OFFSET(N121,0,IF(N$7-2004-'Tech Parameters'!$I6&lt;1,-N$7+2004+1,-'Tech Parameters'!$I6+1)):N121*OFFSET(N447,0,IF(N$7-2004-'Tech Parameters'!$I6&lt;1,-N$7+2004+1,-'Tech Parameters'!$I6+1)):N447)</f>
        <v>0</v>
      </c>
      <c r="O470">
        <f t="array" aca="1" ref="O470" ca="1">SUM(OFFSET(O121,0,IF(O$7-2004-'Tech Parameters'!$I6&lt;1,-O$7+2004+1,-'Tech Parameters'!$I6+1)):O121*OFFSET(O447,0,IF(O$7-2004-'Tech Parameters'!$I6&lt;1,-O$7+2004+1,-'Tech Parameters'!$I6+1)):O447)</f>
        <v>0</v>
      </c>
      <c r="P470">
        <f t="array" aca="1" ref="P470" ca="1">SUM(OFFSET(P121,0,IF(P$7-2004-'Tech Parameters'!$I6&lt;1,-P$7+2004+1,-'Tech Parameters'!$I6+1)):P121*OFFSET(P447,0,IF(P$7-2004-'Tech Parameters'!$I6&lt;1,-P$7+2004+1,-'Tech Parameters'!$I6+1)):P447)</f>
        <v>0</v>
      </c>
      <c r="Q470">
        <f t="array" aca="1" ref="Q470" ca="1">SUM(OFFSET(Q121,0,IF(Q$7-2004-'Tech Parameters'!$I6&lt;1,-Q$7+2004+1,-'Tech Parameters'!$I6+1)):Q121*OFFSET(Q447,0,IF(Q$7-2004-'Tech Parameters'!$I6&lt;1,-Q$7+2004+1,-'Tech Parameters'!$I6+1)):Q447)</f>
        <v>0</v>
      </c>
      <c r="R470">
        <f t="array" aca="1" ref="R470" ca="1">SUM(OFFSET(R121,0,IF(R$7-2004-'Tech Parameters'!$I6&lt;1,-R$7+2004+1,-'Tech Parameters'!$I6+1)):R121*OFFSET(R447,0,IF(R$7-2004-'Tech Parameters'!$I6&lt;1,-R$7+2004+1,-'Tech Parameters'!$I6+1)):R447)</f>
        <v>0</v>
      </c>
      <c r="S470">
        <f t="array" aca="1" ref="S470" ca="1">SUM(OFFSET(S121,0,IF(S$7-2004-'Tech Parameters'!$I6&lt;1,-S$7+2004+1,-'Tech Parameters'!$I6+1)):S121*OFFSET(S447,0,IF(S$7-2004-'Tech Parameters'!$I6&lt;1,-S$7+2004+1,-'Tech Parameters'!$I6+1)):S447)</f>
        <v>0</v>
      </c>
      <c r="T470">
        <f t="array" aca="1" ref="T470" ca="1">SUM(OFFSET(T121,0,IF(T$7-2004-'Tech Parameters'!$I6&lt;1,-T$7+2004+1,-'Tech Parameters'!$I6+1)):T121*OFFSET(T447,0,IF(T$7-2004-'Tech Parameters'!$I6&lt;1,-T$7+2004+1,-'Tech Parameters'!$I6+1)):T447)</f>
        <v>0</v>
      </c>
      <c r="U470">
        <f t="array" aca="1" ref="U470" ca="1">SUM(OFFSET(U121,0,IF(U$7-2004-'Tech Parameters'!$I6&lt;1,-U$7+2004+1,-'Tech Parameters'!$I6+1)):U121*OFFSET(U447,0,IF(U$7-2004-'Tech Parameters'!$I6&lt;1,-U$7+2004+1,-'Tech Parameters'!$I6+1)):U447)</f>
        <v>0</v>
      </c>
      <c r="V470">
        <f t="array" aca="1" ref="V470" ca="1">SUM(OFFSET(V121,0,IF(V$7-2004-'Tech Parameters'!$I6&lt;1,-V$7+2004+1,-'Tech Parameters'!$I6+1)):V121*OFFSET(V447,0,IF(V$7-2004-'Tech Parameters'!$I6&lt;1,-V$7+2004+1,-'Tech Parameters'!$I6+1)):V447)</f>
        <v>0</v>
      </c>
      <c r="W470">
        <f t="array" aca="1" ref="W470" ca="1">SUM(OFFSET(W121,0,IF(W$7-2004-'Tech Parameters'!$I6&lt;1,-W$7+2004+1,-'Tech Parameters'!$I6+1)):W121*OFFSET(W447,0,IF(W$7-2004-'Tech Parameters'!$I6&lt;1,-W$7+2004+1,-'Tech Parameters'!$I6+1)):W447)</f>
        <v>0</v>
      </c>
      <c r="X470">
        <f t="array" aca="1" ref="X470" ca="1">SUM(OFFSET(X121,0,IF(X$7-2004-'Tech Parameters'!$I6&lt;1,-X$7+2004+1,-'Tech Parameters'!$I6+1)):X121*OFFSET(X447,0,IF(X$7-2004-'Tech Parameters'!$I6&lt;1,-X$7+2004+1,-'Tech Parameters'!$I6+1)):X447)</f>
        <v>0</v>
      </c>
      <c r="Y470">
        <f t="array" aca="1" ref="Y470" ca="1">SUM(OFFSET(Y121,0,IF(Y$7-2004-'Tech Parameters'!$I6&lt;1,-Y$7+2004+1,-'Tech Parameters'!$I6+1)):Y121*OFFSET(Y447,0,IF(Y$7-2004-'Tech Parameters'!$I6&lt;1,-Y$7+2004+1,-'Tech Parameters'!$I6+1)):Y447)</f>
        <v>0</v>
      </c>
      <c r="Z470">
        <f t="array" aca="1" ref="Z470" ca="1">SUM(OFFSET(Z121,0,IF(Z$7-2004-'Tech Parameters'!$I6&lt;1,-Z$7+2004+1,-'Tech Parameters'!$I6+1)):Z121*OFFSET(Z447,0,IF(Z$7-2004-'Tech Parameters'!$I6&lt;1,-Z$7+2004+1,-'Tech Parameters'!$I6+1)):Z447)</f>
        <v>0</v>
      </c>
      <c r="AA470">
        <f t="array" aca="1" ref="AA470" ca="1">SUM(OFFSET(AA121,0,IF(AA$7-2004-'Tech Parameters'!$I6&lt;1,-AA$7+2004+1,-'Tech Parameters'!$I6+1)):AA121*OFFSET(AA447,0,IF(AA$7-2004-'Tech Parameters'!$I6&lt;1,-AA$7+2004+1,-'Tech Parameters'!$I6+1)):AA447)</f>
        <v>0</v>
      </c>
      <c r="AB470">
        <f t="array" aca="1" ref="AB470" ca="1">SUM(OFFSET(AB121,0,IF(AB$7-2004-'Tech Parameters'!$I6&lt;1,-AB$7+2004+1,-'Tech Parameters'!$I6+1)):AB121*OFFSET(AB447,0,IF(AB$7-2004-'Tech Parameters'!$I6&lt;1,-AB$7+2004+1,-'Tech Parameters'!$I6+1)):AB447)</f>
        <v>0</v>
      </c>
      <c r="AC470">
        <f t="array" aca="1" ref="AC470" ca="1">SUM(OFFSET(AC121,0,IF(AC$7-2004-'Tech Parameters'!$I6&lt;1,-AC$7+2004+1,-'Tech Parameters'!$I6+1)):AC121*OFFSET(AC447,0,IF(AC$7-2004-'Tech Parameters'!$I6&lt;1,-AC$7+2004+1,-'Tech Parameters'!$I6+1)):AC447)</f>
        <v>0</v>
      </c>
      <c r="AD470" s="76">
        <f t="array" aca="1" ref="AD470" ca="1">SUM(OFFSET(AD121,0,IF(AD$7-2004-'Tech Parameters'!$I6&lt;1,-AD$7+2004+1,-'Tech Parameters'!$I6+1)):AD121*OFFSET(AD447,0,IF(AD$7-2004-'Tech Parameters'!$I6&lt;1,-AD$7+2004+1,-'Tech Parameters'!$I6+1)):AD447)</f>
        <v>0</v>
      </c>
      <c r="AE470" s="76">
        <f t="array" aca="1" ref="AE470" ca="1">SUM(OFFSET(AE121,0,IF(AE$7-2004-'Tech Parameters'!$I6&lt;1,-AE$7+2004+1,-'Tech Parameters'!$I6+1)):AE121*OFFSET(AE447,0,IF(AE$7-2004-'Tech Parameters'!$I6&lt;1,-AE$7+2004+1,-'Tech Parameters'!$I6+1)):AE447)</f>
        <v>0</v>
      </c>
      <c r="AF470" s="76">
        <f t="array" aca="1" ref="AF470" ca="1">SUM(OFFSET(AF121,0,IF(AF$7-2004-'Tech Parameters'!$I6&lt;1,-AF$7+2004+1,-'Tech Parameters'!$I6+1)):AF121*OFFSET(AF447,0,IF(AF$7-2004-'Tech Parameters'!$I6&lt;1,-AF$7+2004+1,-'Tech Parameters'!$I6+1)):AF447)</f>
        <v>0</v>
      </c>
      <c r="AG470" s="76">
        <f t="array" aca="1" ref="AG470" ca="1">SUM(OFFSET(AG121,0,IF(AG$7-2004-'Tech Parameters'!$I6&lt;1,-AG$7+2004+1,-'Tech Parameters'!$I6+1)):AG121*OFFSET(AG447,0,IF(AG$7-2004-'Tech Parameters'!$I6&lt;1,-AG$7+2004+1,-'Tech Parameters'!$I6+1)):AG447)</f>
        <v>0</v>
      </c>
      <c r="AH470" s="76">
        <f t="array" aca="1" ref="AH470" ca="1">SUM(OFFSET(AH121,0,IF(AH$7-2004-'Tech Parameters'!$I6&lt;1,-AH$7+2004+1,-'Tech Parameters'!$I6+1)):AH121*OFFSET(AH447,0,IF(AH$7-2004-'Tech Parameters'!$I6&lt;1,-AH$7+2004+1,-'Tech Parameters'!$I6+1)):AH447)</f>
        <v>0</v>
      </c>
      <c r="AI470" s="76">
        <f t="array" aca="1" ref="AI470" ca="1">SUM(OFFSET(AI121,0,IF(AI$7-2004-'Tech Parameters'!$I6&lt;1,-AI$7+2004+1,-'Tech Parameters'!$I6+1)):AI121*OFFSET(AI447,0,IF(AI$7-2004-'Tech Parameters'!$I6&lt;1,-AI$7+2004+1,-'Tech Parameters'!$I6+1)):AI447)</f>
        <v>0</v>
      </c>
      <c r="AJ470" s="76">
        <f t="array" aca="1" ref="AJ470" ca="1">SUM(OFFSET(AJ121,0,IF(AJ$7-2004-'Tech Parameters'!$I6&lt;1,-AJ$7+2004+1,-'Tech Parameters'!$I6+1)):AJ121*OFFSET(AJ447,0,IF(AJ$7-2004-'Tech Parameters'!$I6&lt;1,-AJ$7+2004+1,-'Tech Parameters'!$I6+1)):AJ447)</f>
        <v>0</v>
      </c>
      <c r="AK470" s="76">
        <f t="array" aca="1" ref="AK470" ca="1">SUM(OFFSET(AK121,0,IF(AK$7-2004-'Tech Parameters'!$I6&lt;1,-AK$7+2004+1,-'Tech Parameters'!$I6+1)):AK121*OFFSET(AK447,0,IF(AK$7-2004-'Tech Parameters'!$I6&lt;1,-AK$7+2004+1,-'Tech Parameters'!$I6+1)):AK447)</f>
        <v>0</v>
      </c>
      <c r="AL470" s="76">
        <f t="array" aca="1" ref="AL470" ca="1">SUM(OFFSET(AL121,0,IF(AL$7-2004-'Tech Parameters'!$I6&lt;1,-AL$7+2004+1,-'Tech Parameters'!$I6+1)):AL121*OFFSET(AL447,0,IF(AL$7-2004-'Tech Parameters'!$I6&lt;1,-AL$7+2004+1,-'Tech Parameters'!$I6+1)):AL447)</f>
        <v>0</v>
      </c>
      <c r="AM470" s="76">
        <f t="array" aca="1" ref="AM470" ca="1">SUM(OFFSET(AM121,0,IF(AM$7-2004-'Tech Parameters'!$I6&lt;1,-AM$7+2004+1,-'Tech Parameters'!$I6+1)):AM121*OFFSET(AM447,0,IF(AM$7-2004-'Tech Parameters'!$I6&lt;1,-AM$7+2004+1,-'Tech Parameters'!$I6+1)):AM447)</f>
        <v>0</v>
      </c>
      <c r="AN470" s="76">
        <f t="array" aca="1" ref="AN470" ca="1">SUM(OFFSET(AN121,0,IF(AN$7-2004-'Tech Parameters'!$I6&lt;1,-AN$7+2004+1,-'Tech Parameters'!$I6+1)):AN121*OFFSET(AN447,0,IF(AN$7-2004-'Tech Parameters'!$I6&lt;1,-AN$7+2004+1,-'Tech Parameters'!$I6+1)):AN447)</f>
        <v>0</v>
      </c>
      <c r="AO470" s="76">
        <f t="array" aca="1" ref="AO470" ca="1">SUM(OFFSET(AO121,0,IF(AO$7-2004-'Tech Parameters'!$I6&lt;1,-AO$7+2004+1,-'Tech Parameters'!$I6+1)):AO121*OFFSET(AO447,0,IF(AO$7-2004-'Tech Parameters'!$I6&lt;1,-AO$7+2004+1,-'Tech Parameters'!$I6+1)):AO447)</f>
        <v>0</v>
      </c>
      <c r="AP470" s="76">
        <f t="array" aca="1" ref="AP470" ca="1">SUM(OFFSET(AP121,0,IF(AP$7-2004-'Tech Parameters'!$I6&lt;1,-AP$7+2004+1,-'Tech Parameters'!$I6+1)):AP121*OFFSET(AP447,0,IF(AP$7-2004-'Tech Parameters'!$I6&lt;1,-AP$7+2004+1,-'Tech Parameters'!$I6+1)):AP447)</f>
        <v>0</v>
      </c>
      <c r="AQ470" s="76">
        <f t="array" aca="1" ref="AQ470" ca="1">SUM(OFFSET(AQ121,0,IF(AQ$7-2004-'Tech Parameters'!$I6&lt;1,-AQ$7+2004+1,-'Tech Parameters'!$I6+1)):AQ121*OFFSET(AQ447,0,IF(AQ$7-2004-'Tech Parameters'!$I6&lt;1,-AQ$7+2004+1,-'Tech Parameters'!$I6+1)):AQ447)</f>
        <v>0</v>
      </c>
      <c r="AR470" s="76">
        <f t="array" aca="1" ref="AR470" ca="1">SUM(OFFSET(AR121,0,IF(AR$7-2004-'Tech Parameters'!$I6&lt;1,-AR$7+2004+1,-'Tech Parameters'!$I6+1)):AR121*OFFSET(AR447,0,IF(AR$7-2004-'Tech Parameters'!$I6&lt;1,-AR$7+2004+1,-'Tech Parameters'!$I6+1)):AR447)</f>
        <v>0</v>
      </c>
      <c r="AS470" s="76">
        <f t="array" aca="1" ref="AS470" ca="1">SUM(OFFSET(AS121,0,IF(AS$7-2004-'Tech Parameters'!$I6&lt;1,-AS$7+2004+1,-'Tech Parameters'!$I6+1)):AS121*OFFSET(AS447,0,IF(AS$7-2004-'Tech Parameters'!$I6&lt;1,-AS$7+2004+1,-'Tech Parameters'!$I6+1)):AS447)</f>
        <v>0</v>
      </c>
      <c r="AT470" s="76">
        <f t="array" aca="1" ref="AT470" ca="1">SUM(OFFSET(AT121,0,IF(AT$7-2004-'Tech Parameters'!$I6&lt;1,-AT$7+2004+1,-'Tech Parameters'!$I6+1)):AT121*OFFSET(AT447,0,IF(AT$7-2004-'Tech Parameters'!$I6&lt;1,-AT$7+2004+1,-'Tech Parameters'!$I6+1)):AT447)</f>
        <v>0</v>
      </c>
      <c r="AU470" s="76">
        <f t="array" aca="1" ref="AU470" ca="1">SUM(OFFSET(AU121,0,IF(AU$7-2004-'Tech Parameters'!$I6&lt;1,-AU$7+2004+1,-'Tech Parameters'!$I6+1)):AU121*OFFSET(AU447,0,IF(AU$7-2004-'Tech Parameters'!$I6&lt;1,-AU$7+2004+1,-'Tech Parameters'!$I6+1)):AU447)</f>
        <v>0</v>
      </c>
      <c r="AV470" s="76">
        <f t="array" aca="1" ref="AV470" ca="1">SUM(OFFSET(AV121,0,IF(AV$7-2004-'Tech Parameters'!$I6&lt;1,-AV$7+2004+1,-'Tech Parameters'!$I6+1)):AV121*OFFSET(AV447,0,IF(AV$7-2004-'Tech Parameters'!$I6&lt;1,-AV$7+2004+1,-'Tech Parameters'!$I6+1)):AV447)</f>
        <v>0</v>
      </c>
      <c r="AW470" s="76">
        <f t="array" aca="1" ref="AW470" ca="1">SUM(OFFSET(AW121,0,IF(AW$7-2004-'Tech Parameters'!$I6&lt;1,-AW$7+2004+1,-'Tech Parameters'!$I6+1)):AW121*OFFSET(AW447,0,IF(AW$7-2004-'Tech Parameters'!$I6&lt;1,-AW$7+2004+1,-'Tech Parameters'!$I6+1)):AW447)</f>
        <v>0</v>
      </c>
    </row>
    <row r="471" spans="3:49">
      <c r="C471" t="str">
        <f t="shared" ref="C471:C488" si="113">C9</f>
        <v>Existing coal Small</v>
      </c>
      <c r="D471">
        <f t="array" aca="1" ref="D471" ca="1">SUM(OFFSET(D122,0,IF(D$7-2004-'Tech Parameters'!$I7&lt;1,-D$7+2004+1,-'Tech Parameters'!$I7+1)):D122*OFFSET(D448,0,IF(D$7-2004-'Tech Parameters'!$I7&lt;1,-D$7+2004+1,-'Tech Parameters'!$I7+1)):D448)</f>
        <v>0</v>
      </c>
      <c r="E471">
        <f t="array" aca="1" ref="E471" ca="1">SUM(OFFSET(E122,0,IF(E$7-2004-'Tech Parameters'!$I7&lt;1,-E$7+2004+1,-'Tech Parameters'!$I7+1)):E122*OFFSET(E448,0,IF(E$7-2004-'Tech Parameters'!$I7&lt;1,-E$7+2004+1,-'Tech Parameters'!$I7+1)):E448)</f>
        <v>0</v>
      </c>
      <c r="F471">
        <f t="array" aca="1" ref="F471" ca="1">SUM(OFFSET(F122,0,IF(F$7-2004-'Tech Parameters'!$I7&lt;1,-F$7+2004+1,-'Tech Parameters'!$I7+1)):F122*OFFSET(F448,0,IF(F$7-2004-'Tech Parameters'!$I7&lt;1,-F$7+2004+1,-'Tech Parameters'!$I7+1)):F448)</f>
        <v>0</v>
      </c>
      <c r="G471">
        <f t="array" aca="1" ref="G471" ca="1">SUM(OFFSET(G122,0,IF(G$7-2004-'Tech Parameters'!$I7&lt;1,-G$7+2004+1,-'Tech Parameters'!$I7+1)):G122*OFFSET(G448,0,IF(G$7-2004-'Tech Parameters'!$I7&lt;1,-G$7+2004+1,-'Tech Parameters'!$I7+1)):G448)</f>
        <v>0</v>
      </c>
      <c r="H471">
        <f t="array" aca="1" ref="H471" ca="1">SUM(OFFSET(H122,0,IF(H$7-2004-'Tech Parameters'!$I7&lt;1,-H$7+2004+1,-'Tech Parameters'!$I7+1)):H122*OFFSET(H448,0,IF(H$7-2004-'Tech Parameters'!$I7&lt;1,-H$7+2004+1,-'Tech Parameters'!$I7+1)):H448)</f>
        <v>0</v>
      </c>
      <c r="I471">
        <f t="array" aca="1" ref="I471" ca="1">SUM(OFFSET(I122,0,IF(I$7-2004-'Tech Parameters'!$I7&lt;1,-I$7+2004+1,-'Tech Parameters'!$I7+1)):I122*OFFSET(I448,0,IF(I$7-2004-'Tech Parameters'!$I7&lt;1,-I$7+2004+1,-'Tech Parameters'!$I7+1)):I448)</f>
        <v>0</v>
      </c>
      <c r="J471">
        <f t="array" aca="1" ref="J471" ca="1">SUM(OFFSET(J122,0,IF(J$7-2004-'Tech Parameters'!$I7&lt;1,-J$7+2004+1,-'Tech Parameters'!$I7+1)):J122*OFFSET(J448,0,IF(J$7-2004-'Tech Parameters'!$I7&lt;1,-J$7+2004+1,-'Tech Parameters'!$I7+1)):J448)</f>
        <v>0</v>
      </c>
      <c r="K471">
        <f t="array" aca="1" ref="K471" ca="1">SUM(OFFSET(K122,0,IF(K$7-2004-'Tech Parameters'!$I7&lt;1,-K$7+2004+1,-'Tech Parameters'!$I7+1)):K122*OFFSET(K448,0,IF(K$7-2004-'Tech Parameters'!$I7&lt;1,-K$7+2004+1,-'Tech Parameters'!$I7+1)):K448)</f>
        <v>0</v>
      </c>
      <c r="L471">
        <f t="array" aca="1" ref="L471" ca="1">SUM(OFFSET(L122,0,IF(L$7-2004-'Tech Parameters'!$I7&lt;1,-L$7+2004+1,-'Tech Parameters'!$I7+1)):L122*OFFSET(L448,0,IF(L$7-2004-'Tech Parameters'!$I7&lt;1,-L$7+2004+1,-'Tech Parameters'!$I7+1)):L448)</f>
        <v>0</v>
      </c>
      <c r="M471">
        <f t="array" aca="1" ref="M471" ca="1">SUM(OFFSET(M122,0,IF(M$7-2004-'Tech Parameters'!$I7&lt;1,-M$7+2004+1,-'Tech Parameters'!$I7+1)):M122*OFFSET(M448,0,IF(M$7-2004-'Tech Parameters'!$I7&lt;1,-M$7+2004+1,-'Tech Parameters'!$I7+1)):M448)</f>
        <v>0</v>
      </c>
      <c r="N471">
        <f t="array" aca="1" ref="N471" ca="1">SUM(OFFSET(N122,0,IF(N$7-2004-'Tech Parameters'!$I7&lt;1,-N$7+2004+1,-'Tech Parameters'!$I7+1)):N122*OFFSET(N448,0,IF(N$7-2004-'Tech Parameters'!$I7&lt;1,-N$7+2004+1,-'Tech Parameters'!$I7+1)):N448)</f>
        <v>0</v>
      </c>
      <c r="O471">
        <f t="array" aca="1" ref="O471" ca="1">SUM(OFFSET(O122,0,IF(O$7-2004-'Tech Parameters'!$I7&lt;1,-O$7+2004+1,-'Tech Parameters'!$I7+1)):O122*OFFSET(O448,0,IF(O$7-2004-'Tech Parameters'!$I7&lt;1,-O$7+2004+1,-'Tech Parameters'!$I7+1)):O448)</f>
        <v>0</v>
      </c>
      <c r="P471">
        <f t="array" aca="1" ref="P471" ca="1">SUM(OFFSET(P122,0,IF(P$7-2004-'Tech Parameters'!$I7&lt;1,-P$7+2004+1,-'Tech Parameters'!$I7+1)):P122*OFFSET(P448,0,IF(P$7-2004-'Tech Parameters'!$I7&lt;1,-P$7+2004+1,-'Tech Parameters'!$I7+1)):P448)</f>
        <v>0</v>
      </c>
      <c r="Q471">
        <f t="array" aca="1" ref="Q471" ca="1">SUM(OFFSET(Q122,0,IF(Q$7-2004-'Tech Parameters'!$I7&lt;1,-Q$7+2004+1,-'Tech Parameters'!$I7+1)):Q122*OFFSET(Q448,0,IF(Q$7-2004-'Tech Parameters'!$I7&lt;1,-Q$7+2004+1,-'Tech Parameters'!$I7+1)):Q448)</f>
        <v>0</v>
      </c>
      <c r="R471">
        <f t="array" aca="1" ref="R471" ca="1">SUM(OFFSET(R122,0,IF(R$7-2004-'Tech Parameters'!$I7&lt;1,-R$7+2004+1,-'Tech Parameters'!$I7+1)):R122*OFFSET(R448,0,IF(R$7-2004-'Tech Parameters'!$I7&lt;1,-R$7+2004+1,-'Tech Parameters'!$I7+1)):R448)</f>
        <v>0</v>
      </c>
      <c r="S471">
        <f t="array" aca="1" ref="S471" ca="1">SUM(OFFSET(S122,0,IF(S$7-2004-'Tech Parameters'!$I7&lt;1,-S$7+2004+1,-'Tech Parameters'!$I7+1)):S122*OFFSET(S448,0,IF(S$7-2004-'Tech Parameters'!$I7&lt;1,-S$7+2004+1,-'Tech Parameters'!$I7+1)):S448)</f>
        <v>0</v>
      </c>
      <c r="T471">
        <f t="array" aca="1" ref="T471" ca="1">SUM(OFFSET(T122,0,IF(T$7-2004-'Tech Parameters'!$I7&lt;1,-T$7+2004+1,-'Tech Parameters'!$I7+1)):T122*OFFSET(T448,0,IF(T$7-2004-'Tech Parameters'!$I7&lt;1,-T$7+2004+1,-'Tech Parameters'!$I7+1)):T448)</f>
        <v>0</v>
      </c>
      <c r="U471">
        <f t="array" aca="1" ref="U471" ca="1">SUM(OFFSET(U122,0,IF(U$7-2004-'Tech Parameters'!$I7&lt;1,-U$7+2004+1,-'Tech Parameters'!$I7+1)):U122*OFFSET(U448,0,IF(U$7-2004-'Tech Parameters'!$I7&lt;1,-U$7+2004+1,-'Tech Parameters'!$I7+1)):U448)</f>
        <v>0</v>
      </c>
      <c r="V471">
        <f t="array" aca="1" ref="V471" ca="1">SUM(OFFSET(V122,0,IF(V$7-2004-'Tech Parameters'!$I7&lt;1,-V$7+2004+1,-'Tech Parameters'!$I7+1)):V122*OFFSET(V448,0,IF(V$7-2004-'Tech Parameters'!$I7&lt;1,-V$7+2004+1,-'Tech Parameters'!$I7+1)):V448)</f>
        <v>0</v>
      </c>
      <c r="W471">
        <f t="array" aca="1" ref="W471" ca="1">SUM(OFFSET(W122,0,IF(W$7-2004-'Tech Parameters'!$I7&lt;1,-W$7+2004+1,-'Tech Parameters'!$I7+1)):W122*OFFSET(W448,0,IF(W$7-2004-'Tech Parameters'!$I7&lt;1,-W$7+2004+1,-'Tech Parameters'!$I7+1)):W448)</f>
        <v>0</v>
      </c>
      <c r="X471">
        <f t="array" aca="1" ref="X471" ca="1">SUM(OFFSET(X122,0,IF(X$7-2004-'Tech Parameters'!$I7&lt;1,-X$7+2004+1,-'Tech Parameters'!$I7+1)):X122*OFFSET(X448,0,IF(X$7-2004-'Tech Parameters'!$I7&lt;1,-X$7+2004+1,-'Tech Parameters'!$I7+1)):X448)</f>
        <v>0</v>
      </c>
      <c r="Y471">
        <f t="array" aca="1" ref="Y471" ca="1">SUM(OFFSET(Y122,0,IF(Y$7-2004-'Tech Parameters'!$I7&lt;1,-Y$7+2004+1,-'Tech Parameters'!$I7+1)):Y122*OFFSET(Y448,0,IF(Y$7-2004-'Tech Parameters'!$I7&lt;1,-Y$7+2004+1,-'Tech Parameters'!$I7+1)):Y448)</f>
        <v>0</v>
      </c>
      <c r="Z471">
        <f t="array" aca="1" ref="Z471" ca="1">SUM(OFFSET(Z122,0,IF(Z$7-2004-'Tech Parameters'!$I7&lt;1,-Z$7+2004+1,-'Tech Parameters'!$I7+1)):Z122*OFFSET(Z448,0,IF(Z$7-2004-'Tech Parameters'!$I7&lt;1,-Z$7+2004+1,-'Tech Parameters'!$I7+1)):Z448)</f>
        <v>0</v>
      </c>
      <c r="AA471">
        <f t="array" aca="1" ref="AA471" ca="1">SUM(OFFSET(AA122,0,IF(AA$7-2004-'Tech Parameters'!$I7&lt;1,-AA$7+2004+1,-'Tech Parameters'!$I7+1)):AA122*OFFSET(AA448,0,IF(AA$7-2004-'Tech Parameters'!$I7&lt;1,-AA$7+2004+1,-'Tech Parameters'!$I7+1)):AA448)</f>
        <v>0</v>
      </c>
      <c r="AB471">
        <f t="array" aca="1" ref="AB471" ca="1">SUM(OFFSET(AB122,0,IF(AB$7-2004-'Tech Parameters'!$I7&lt;1,-AB$7+2004+1,-'Tech Parameters'!$I7+1)):AB122*OFFSET(AB448,0,IF(AB$7-2004-'Tech Parameters'!$I7&lt;1,-AB$7+2004+1,-'Tech Parameters'!$I7+1)):AB448)</f>
        <v>0</v>
      </c>
      <c r="AC471">
        <f t="array" aca="1" ref="AC471" ca="1">SUM(OFFSET(AC122,0,IF(AC$7-2004-'Tech Parameters'!$I7&lt;1,-AC$7+2004+1,-'Tech Parameters'!$I7+1)):AC122*OFFSET(AC448,0,IF(AC$7-2004-'Tech Parameters'!$I7&lt;1,-AC$7+2004+1,-'Tech Parameters'!$I7+1)):AC448)</f>
        <v>0</v>
      </c>
      <c r="AD471" s="76">
        <f t="array" aca="1" ref="AD471" ca="1">SUM(OFFSET(AD122,0,IF(AD$7-2004-'Tech Parameters'!$I7&lt;1,-AD$7+2004+1,-'Tech Parameters'!$I7+1)):AD122*OFFSET(AD448,0,IF(AD$7-2004-'Tech Parameters'!$I7&lt;1,-AD$7+2004+1,-'Tech Parameters'!$I7+1)):AD448)</f>
        <v>0</v>
      </c>
      <c r="AE471" s="76">
        <f t="array" aca="1" ref="AE471" ca="1">SUM(OFFSET(AE122,0,IF(AE$7-2004-'Tech Parameters'!$I7&lt;1,-AE$7+2004+1,-'Tech Parameters'!$I7+1)):AE122*OFFSET(AE448,0,IF(AE$7-2004-'Tech Parameters'!$I7&lt;1,-AE$7+2004+1,-'Tech Parameters'!$I7+1)):AE448)</f>
        <v>0</v>
      </c>
      <c r="AF471" s="76">
        <f t="array" aca="1" ref="AF471" ca="1">SUM(OFFSET(AF122,0,IF(AF$7-2004-'Tech Parameters'!$I7&lt;1,-AF$7+2004+1,-'Tech Parameters'!$I7+1)):AF122*OFFSET(AF448,0,IF(AF$7-2004-'Tech Parameters'!$I7&lt;1,-AF$7+2004+1,-'Tech Parameters'!$I7+1)):AF448)</f>
        <v>0</v>
      </c>
      <c r="AG471" s="76">
        <f t="array" aca="1" ref="AG471" ca="1">SUM(OFFSET(AG122,0,IF(AG$7-2004-'Tech Parameters'!$I7&lt;1,-AG$7+2004+1,-'Tech Parameters'!$I7+1)):AG122*OFFSET(AG448,0,IF(AG$7-2004-'Tech Parameters'!$I7&lt;1,-AG$7+2004+1,-'Tech Parameters'!$I7+1)):AG448)</f>
        <v>0</v>
      </c>
      <c r="AH471" s="76">
        <f t="array" aca="1" ref="AH471" ca="1">SUM(OFFSET(AH122,0,IF(AH$7-2004-'Tech Parameters'!$I7&lt;1,-AH$7+2004+1,-'Tech Parameters'!$I7+1)):AH122*OFFSET(AH448,0,IF(AH$7-2004-'Tech Parameters'!$I7&lt;1,-AH$7+2004+1,-'Tech Parameters'!$I7+1)):AH448)</f>
        <v>0</v>
      </c>
      <c r="AI471" s="76">
        <f t="array" aca="1" ref="AI471" ca="1">SUM(OFFSET(AI122,0,IF(AI$7-2004-'Tech Parameters'!$I7&lt;1,-AI$7+2004+1,-'Tech Parameters'!$I7+1)):AI122*OFFSET(AI448,0,IF(AI$7-2004-'Tech Parameters'!$I7&lt;1,-AI$7+2004+1,-'Tech Parameters'!$I7+1)):AI448)</f>
        <v>0</v>
      </c>
      <c r="AJ471" s="76">
        <f t="array" aca="1" ref="AJ471" ca="1">SUM(OFFSET(AJ122,0,IF(AJ$7-2004-'Tech Parameters'!$I7&lt;1,-AJ$7+2004+1,-'Tech Parameters'!$I7+1)):AJ122*OFFSET(AJ448,0,IF(AJ$7-2004-'Tech Parameters'!$I7&lt;1,-AJ$7+2004+1,-'Tech Parameters'!$I7+1)):AJ448)</f>
        <v>0</v>
      </c>
      <c r="AK471" s="76">
        <f t="array" aca="1" ref="AK471" ca="1">SUM(OFFSET(AK122,0,IF(AK$7-2004-'Tech Parameters'!$I7&lt;1,-AK$7+2004+1,-'Tech Parameters'!$I7+1)):AK122*OFFSET(AK448,0,IF(AK$7-2004-'Tech Parameters'!$I7&lt;1,-AK$7+2004+1,-'Tech Parameters'!$I7+1)):AK448)</f>
        <v>0</v>
      </c>
      <c r="AL471" s="76">
        <f t="array" aca="1" ref="AL471" ca="1">SUM(OFFSET(AL122,0,IF(AL$7-2004-'Tech Parameters'!$I7&lt;1,-AL$7+2004+1,-'Tech Parameters'!$I7+1)):AL122*OFFSET(AL448,0,IF(AL$7-2004-'Tech Parameters'!$I7&lt;1,-AL$7+2004+1,-'Tech Parameters'!$I7+1)):AL448)</f>
        <v>0</v>
      </c>
      <c r="AM471" s="76">
        <f t="array" aca="1" ref="AM471" ca="1">SUM(OFFSET(AM122,0,IF(AM$7-2004-'Tech Parameters'!$I7&lt;1,-AM$7+2004+1,-'Tech Parameters'!$I7+1)):AM122*OFFSET(AM448,0,IF(AM$7-2004-'Tech Parameters'!$I7&lt;1,-AM$7+2004+1,-'Tech Parameters'!$I7+1)):AM448)</f>
        <v>0</v>
      </c>
      <c r="AN471" s="76">
        <f t="array" aca="1" ref="AN471" ca="1">SUM(OFFSET(AN122,0,IF(AN$7-2004-'Tech Parameters'!$I7&lt;1,-AN$7+2004+1,-'Tech Parameters'!$I7+1)):AN122*OFFSET(AN448,0,IF(AN$7-2004-'Tech Parameters'!$I7&lt;1,-AN$7+2004+1,-'Tech Parameters'!$I7+1)):AN448)</f>
        <v>0</v>
      </c>
      <c r="AO471" s="76">
        <f t="array" aca="1" ref="AO471" ca="1">SUM(OFFSET(AO122,0,IF(AO$7-2004-'Tech Parameters'!$I7&lt;1,-AO$7+2004+1,-'Tech Parameters'!$I7+1)):AO122*OFFSET(AO448,0,IF(AO$7-2004-'Tech Parameters'!$I7&lt;1,-AO$7+2004+1,-'Tech Parameters'!$I7+1)):AO448)</f>
        <v>0</v>
      </c>
      <c r="AP471" s="76">
        <f t="array" aca="1" ref="AP471" ca="1">SUM(OFFSET(AP122,0,IF(AP$7-2004-'Tech Parameters'!$I7&lt;1,-AP$7+2004+1,-'Tech Parameters'!$I7+1)):AP122*OFFSET(AP448,0,IF(AP$7-2004-'Tech Parameters'!$I7&lt;1,-AP$7+2004+1,-'Tech Parameters'!$I7+1)):AP448)</f>
        <v>0</v>
      </c>
      <c r="AQ471" s="76">
        <f t="array" aca="1" ref="AQ471" ca="1">SUM(OFFSET(AQ122,0,IF(AQ$7-2004-'Tech Parameters'!$I7&lt;1,-AQ$7+2004+1,-'Tech Parameters'!$I7+1)):AQ122*OFFSET(AQ448,0,IF(AQ$7-2004-'Tech Parameters'!$I7&lt;1,-AQ$7+2004+1,-'Tech Parameters'!$I7+1)):AQ448)</f>
        <v>0</v>
      </c>
      <c r="AR471" s="76">
        <f t="array" aca="1" ref="AR471" ca="1">SUM(OFFSET(AR122,0,IF(AR$7-2004-'Tech Parameters'!$I7&lt;1,-AR$7+2004+1,-'Tech Parameters'!$I7+1)):AR122*OFFSET(AR448,0,IF(AR$7-2004-'Tech Parameters'!$I7&lt;1,-AR$7+2004+1,-'Tech Parameters'!$I7+1)):AR448)</f>
        <v>0</v>
      </c>
      <c r="AS471" s="76">
        <f t="array" aca="1" ref="AS471" ca="1">SUM(OFFSET(AS122,0,IF(AS$7-2004-'Tech Parameters'!$I7&lt;1,-AS$7+2004+1,-'Tech Parameters'!$I7+1)):AS122*OFFSET(AS448,0,IF(AS$7-2004-'Tech Parameters'!$I7&lt;1,-AS$7+2004+1,-'Tech Parameters'!$I7+1)):AS448)</f>
        <v>0</v>
      </c>
      <c r="AT471" s="76">
        <f t="array" aca="1" ref="AT471" ca="1">SUM(OFFSET(AT122,0,IF(AT$7-2004-'Tech Parameters'!$I7&lt;1,-AT$7+2004+1,-'Tech Parameters'!$I7+1)):AT122*OFFSET(AT448,0,IF(AT$7-2004-'Tech Parameters'!$I7&lt;1,-AT$7+2004+1,-'Tech Parameters'!$I7+1)):AT448)</f>
        <v>0</v>
      </c>
      <c r="AU471" s="76">
        <f t="array" aca="1" ref="AU471" ca="1">SUM(OFFSET(AU122,0,IF(AU$7-2004-'Tech Parameters'!$I7&lt;1,-AU$7+2004+1,-'Tech Parameters'!$I7+1)):AU122*OFFSET(AU448,0,IF(AU$7-2004-'Tech Parameters'!$I7&lt;1,-AU$7+2004+1,-'Tech Parameters'!$I7+1)):AU448)</f>
        <v>0</v>
      </c>
      <c r="AV471" s="76">
        <f t="array" aca="1" ref="AV471" ca="1">SUM(OFFSET(AV122,0,IF(AV$7-2004-'Tech Parameters'!$I7&lt;1,-AV$7+2004+1,-'Tech Parameters'!$I7+1)):AV122*OFFSET(AV448,0,IF(AV$7-2004-'Tech Parameters'!$I7&lt;1,-AV$7+2004+1,-'Tech Parameters'!$I7+1)):AV448)</f>
        <v>0</v>
      </c>
      <c r="AW471" s="76">
        <f t="array" aca="1" ref="AW471" ca="1">SUM(OFFSET(AW122,0,IF(AW$7-2004-'Tech Parameters'!$I7&lt;1,-AW$7+2004+1,-'Tech Parameters'!$I7+1)):AW122*OFFSET(AW448,0,IF(AW$7-2004-'Tech Parameters'!$I7&lt;1,-AW$7+2004+1,-'Tech Parameters'!$I7+1)):AW448)</f>
        <v>0</v>
      </c>
    </row>
    <row r="472" spans="3:49">
      <c r="C472" t="str">
        <f t="shared" si="113"/>
        <v>OCGT liquid fuels</v>
      </c>
      <c r="D472">
        <f t="array" aca="1" ref="D472" ca="1">SUM(OFFSET(D123,0,IF(D$7-2004-'Tech Parameters'!$I8&lt;1,-D$7+2004+1,-'Tech Parameters'!$I8+1)):D123*OFFSET(D449,0,IF(D$7-2004-'Tech Parameters'!$I8&lt;1,-D$7+2004+1,-'Tech Parameters'!$I8+1)):D449)</f>
        <v>0</v>
      </c>
      <c r="E472">
        <f t="array" aca="1" ref="E472" ca="1">SUM(OFFSET(E123,0,IF(E$7-2004-'Tech Parameters'!$I8&lt;1,-E$7+2004+1,-'Tech Parameters'!$I8+1)):E123*OFFSET(E449,0,IF(E$7-2004-'Tech Parameters'!$I8&lt;1,-E$7+2004+1,-'Tech Parameters'!$I8+1)):E449)</f>
        <v>0</v>
      </c>
      <c r="F472">
        <f t="array" aca="1" ref="F472" ca="1">SUM(OFFSET(F123,0,IF(F$7-2004-'Tech Parameters'!$I8&lt;1,-F$7+2004+1,-'Tech Parameters'!$I8+1)):F123*OFFSET(F449,0,IF(F$7-2004-'Tech Parameters'!$I8&lt;1,-F$7+2004+1,-'Tech Parameters'!$I8+1)):F449)</f>
        <v>0</v>
      </c>
      <c r="G472">
        <f t="array" aca="1" ref="G472" ca="1">SUM(OFFSET(G123,0,IF(G$7-2004-'Tech Parameters'!$I8&lt;1,-G$7+2004+1,-'Tech Parameters'!$I8+1)):G123*OFFSET(G449,0,IF(G$7-2004-'Tech Parameters'!$I8&lt;1,-G$7+2004+1,-'Tech Parameters'!$I8+1)):G449)</f>
        <v>0</v>
      </c>
      <c r="H472">
        <f t="array" aca="1" ref="H472" ca="1">SUM(OFFSET(H123,0,IF(H$7-2004-'Tech Parameters'!$I8&lt;1,-H$7+2004+1,-'Tech Parameters'!$I8+1)):H123*OFFSET(H449,0,IF(H$7-2004-'Tech Parameters'!$I8&lt;1,-H$7+2004+1,-'Tech Parameters'!$I8+1)):H449)</f>
        <v>0</v>
      </c>
      <c r="I472">
        <f t="array" aca="1" ref="I472" ca="1">SUM(OFFSET(I123,0,IF(I$7-2004-'Tech Parameters'!$I8&lt;1,-I$7+2004+1,-'Tech Parameters'!$I8+1)):I123*OFFSET(I449,0,IF(I$7-2004-'Tech Parameters'!$I8&lt;1,-I$7+2004+1,-'Tech Parameters'!$I8+1)):I449)</f>
        <v>0</v>
      </c>
      <c r="J472">
        <f t="array" aca="1" ref="J472" ca="1">SUM(OFFSET(J123,0,IF(J$7-2004-'Tech Parameters'!$I8&lt;1,-J$7+2004+1,-'Tech Parameters'!$I8+1)):J123*OFFSET(J449,0,IF(J$7-2004-'Tech Parameters'!$I8&lt;1,-J$7+2004+1,-'Tech Parameters'!$I8+1)):J449)</f>
        <v>680.83783578174166</v>
      </c>
      <c r="K472">
        <f t="array" aca="1" ref="K472" ca="1">SUM(OFFSET(K123,0,IF(K$7-2004-'Tech Parameters'!$I8&lt;1,-K$7+2004+1,-'Tech Parameters'!$I8+1)):K123*OFFSET(K449,0,IF(K$7-2004-'Tech Parameters'!$I8&lt;1,-K$7+2004+1,-'Tech Parameters'!$I8+1)):K449)</f>
        <v>680.83783578174166</v>
      </c>
      <c r="L472">
        <f t="array" aca="1" ref="L472" ca="1">SUM(OFFSET(L123,0,IF(L$7-2004-'Tech Parameters'!$I8&lt;1,-L$7+2004+1,-'Tech Parameters'!$I8+1)):L123*OFFSET(L449,0,IF(L$7-2004-'Tech Parameters'!$I8&lt;1,-L$7+2004+1,-'Tech Parameters'!$I8+1)):L449)</f>
        <v>680.83783578174166</v>
      </c>
      <c r="M472">
        <f t="array" aca="1" ref="M472" ca="1">SUM(OFFSET(M123,0,IF(M$7-2004-'Tech Parameters'!$I8&lt;1,-M$7+2004+1,-'Tech Parameters'!$I8+1)):M123*OFFSET(M449,0,IF(M$7-2004-'Tech Parameters'!$I8&lt;1,-M$7+2004+1,-'Tech Parameters'!$I8+1)):M449)</f>
        <v>680.83783578174166</v>
      </c>
      <c r="N472">
        <f t="array" aca="1" ref="N472" ca="1">SUM(OFFSET(N123,0,IF(N$7-2004-'Tech Parameters'!$I8&lt;1,-N$7+2004+1,-'Tech Parameters'!$I8+1)):N123*OFFSET(N449,0,IF(N$7-2004-'Tech Parameters'!$I8&lt;1,-N$7+2004+1,-'Tech Parameters'!$I8+1)):N449)</f>
        <v>680.83783578174166</v>
      </c>
      <c r="O472">
        <f t="array" aca="1" ref="O472" ca="1">SUM(OFFSET(O123,0,IF(O$7-2004-'Tech Parameters'!$I8&lt;1,-O$7+2004+1,-'Tech Parameters'!$I8+1)):O123*OFFSET(O449,0,IF(O$7-2004-'Tech Parameters'!$I8&lt;1,-O$7+2004+1,-'Tech Parameters'!$I8+1)):O449)</f>
        <v>680.83783578174166</v>
      </c>
      <c r="P472">
        <f t="array" aca="1" ref="P472" ca="1">SUM(OFFSET(P123,0,IF(P$7-2004-'Tech Parameters'!$I8&lt;1,-P$7+2004+1,-'Tech Parameters'!$I8+1)):P123*OFFSET(P449,0,IF(P$7-2004-'Tech Parameters'!$I8&lt;1,-P$7+2004+1,-'Tech Parameters'!$I8+1)):P449)</f>
        <v>680.83783578174166</v>
      </c>
      <c r="Q472">
        <f t="array" aca="1" ref="Q472" ca="1">SUM(OFFSET(Q123,0,IF(Q$7-2004-'Tech Parameters'!$I8&lt;1,-Q$7+2004+1,-'Tech Parameters'!$I8+1)):Q123*OFFSET(Q449,0,IF(Q$7-2004-'Tech Parameters'!$I8&lt;1,-Q$7+2004+1,-'Tech Parameters'!$I8+1)):Q449)</f>
        <v>680.83783578174166</v>
      </c>
      <c r="R472">
        <f t="array" aca="1" ref="R472" ca="1">SUM(OFFSET(R123,0,IF(R$7-2004-'Tech Parameters'!$I8&lt;1,-R$7+2004+1,-'Tech Parameters'!$I8+1)):R123*OFFSET(R449,0,IF(R$7-2004-'Tech Parameters'!$I8&lt;1,-R$7+2004+1,-'Tech Parameters'!$I8+1)):R449)</f>
        <v>680.83783578174166</v>
      </c>
      <c r="S472">
        <f t="array" aca="1" ref="S472" ca="1">SUM(OFFSET(S123,0,IF(S$7-2004-'Tech Parameters'!$I8&lt;1,-S$7+2004+1,-'Tech Parameters'!$I8+1)):S123*OFFSET(S449,0,IF(S$7-2004-'Tech Parameters'!$I8&lt;1,-S$7+2004+1,-'Tech Parameters'!$I8+1)):S449)</f>
        <v>680.83783578174166</v>
      </c>
      <c r="T472">
        <f t="array" aca="1" ref="T472" ca="1">SUM(OFFSET(T123,0,IF(T$7-2004-'Tech Parameters'!$I8&lt;1,-T$7+2004+1,-'Tech Parameters'!$I8+1)):T123*OFFSET(T449,0,IF(T$7-2004-'Tech Parameters'!$I8&lt;1,-T$7+2004+1,-'Tech Parameters'!$I8+1)):T449)</f>
        <v>680.83783578174166</v>
      </c>
      <c r="U472">
        <f t="array" aca="1" ref="U472" ca="1">SUM(OFFSET(U123,0,IF(U$7-2004-'Tech Parameters'!$I8&lt;1,-U$7+2004+1,-'Tech Parameters'!$I8+1)):U123*OFFSET(U449,0,IF(U$7-2004-'Tech Parameters'!$I8&lt;1,-U$7+2004+1,-'Tech Parameters'!$I8+1)):U449)</f>
        <v>680.83783578174166</v>
      </c>
      <c r="V472">
        <f t="array" aca="1" ref="V472" ca="1">SUM(OFFSET(V123,0,IF(V$7-2004-'Tech Parameters'!$I8&lt;1,-V$7+2004+1,-'Tech Parameters'!$I8+1)):V123*OFFSET(V449,0,IF(V$7-2004-'Tech Parameters'!$I8&lt;1,-V$7+2004+1,-'Tech Parameters'!$I8+1)):V449)</f>
        <v>680.83783578174166</v>
      </c>
      <c r="W472">
        <f t="array" aca="1" ref="W472" ca="1">SUM(OFFSET(W123,0,IF(W$7-2004-'Tech Parameters'!$I8&lt;1,-W$7+2004+1,-'Tech Parameters'!$I8+1)):W123*OFFSET(W449,0,IF(W$7-2004-'Tech Parameters'!$I8&lt;1,-W$7+2004+1,-'Tech Parameters'!$I8+1)):W449)</f>
        <v>680.83783578174166</v>
      </c>
      <c r="X472">
        <f t="array" aca="1" ref="X472" ca="1">SUM(OFFSET(X123,0,IF(X$7-2004-'Tech Parameters'!$I8&lt;1,-X$7+2004+1,-'Tech Parameters'!$I8+1)):X123*OFFSET(X449,0,IF(X$7-2004-'Tech Parameters'!$I8&lt;1,-X$7+2004+1,-'Tech Parameters'!$I8+1)):X449)</f>
        <v>680.83783578174166</v>
      </c>
      <c r="Y472">
        <f t="array" aca="1" ref="Y472" ca="1">SUM(OFFSET(Y123,0,IF(Y$7-2004-'Tech Parameters'!$I8&lt;1,-Y$7+2004+1,-'Tech Parameters'!$I8+1)):Y123*OFFSET(Y449,0,IF(Y$7-2004-'Tech Parameters'!$I8&lt;1,-Y$7+2004+1,-'Tech Parameters'!$I8+1)):Y449)</f>
        <v>1134.7297263029027</v>
      </c>
      <c r="Z472">
        <f t="array" aca="1" ref="Z472" ca="1">SUM(OFFSET(Z123,0,IF(Z$7-2004-'Tech Parameters'!$I8&lt;1,-Z$7+2004+1,-'Tech Parameters'!$I8+1)):Z123*OFFSET(Z449,0,IF(Z$7-2004-'Tech Parameters'!$I8&lt;1,-Z$7+2004+1,-'Tech Parameters'!$I8+1)):Z449)</f>
        <v>1134.7297263029027</v>
      </c>
      <c r="AA472">
        <f t="array" aca="1" ref="AA472" ca="1">SUM(OFFSET(AA123,0,IF(AA$7-2004-'Tech Parameters'!$I8&lt;1,-AA$7+2004+1,-'Tech Parameters'!$I8+1)):AA123*OFFSET(AA449,0,IF(AA$7-2004-'Tech Parameters'!$I8&lt;1,-AA$7+2004+1,-'Tech Parameters'!$I8+1)):AA449)</f>
        <v>1134.7297263029027</v>
      </c>
      <c r="AB472">
        <f t="array" aca="1" ref="AB472" ca="1">SUM(OFFSET(AB123,0,IF(AB$7-2004-'Tech Parameters'!$I8&lt;1,-AB$7+2004+1,-'Tech Parameters'!$I8+1)):AB123*OFFSET(AB449,0,IF(AB$7-2004-'Tech Parameters'!$I8&lt;1,-AB$7+2004+1,-'Tech Parameters'!$I8+1)):AB449)</f>
        <v>1739.9189136644509</v>
      </c>
      <c r="AC472">
        <f t="array" aca="1" ref="AC472" ca="1">SUM(OFFSET(AC123,0,IF(AC$7-2004-'Tech Parameters'!$I8&lt;1,-AC$7+2004+1,-'Tech Parameters'!$I8+1)):AC123*OFFSET(AC449,0,IF(AC$7-2004-'Tech Parameters'!$I8&lt;1,-AC$7+2004+1,-'Tech Parameters'!$I8+1)):AC449)</f>
        <v>2345.1081010259991</v>
      </c>
      <c r="AD472" s="76">
        <f t="array" aca="1" ref="AD472" ca="1">SUM(OFFSET(AD123,0,IF(AD$7-2004-'Tech Parameters'!$I8&lt;1,-AD$7+2004+1,-'Tech Parameters'!$I8+1)):AD123*OFFSET(AD449,0,IF(AD$7-2004-'Tech Parameters'!$I8&lt;1,-AD$7+2004+1,-'Tech Parameters'!$I8+1)):AD449)</f>
        <v>2345.1081010259991</v>
      </c>
      <c r="AE472" s="76">
        <f t="array" aca="1" ref="AE472" ca="1">SUM(OFFSET(AE123,0,IF(AE$7-2004-'Tech Parameters'!$I8&lt;1,-AE$7+2004+1,-'Tech Parameters'!$I8+1)):AE123*OFFSET(AE449,0,IF(AE$7-2004-'Tech Parameters'!$I8&lt;1,-AE$7+2004+1,-'Tech Parameters'!$I8+1)):AE449)</f>
        <v>2345.1081010259991</v>
      </c>
      <c r="AF472" s="76">
        <f t="array" aca="1" ref="AF472" ca="1">SUM(OFFSET(AF123,0,IF(AF$7-2004-'Tech Parameters'!$I8&lt;1,-AF$7+2004+1,-'Tech Parameters'!$I8+1)):AF123*OFFSET(AF449,0,IF(AF$7-2004-'Tech Parameters'!$I8&lt;1,-AF$7+2004+1,-'Tech Parameters'!$I8+1)):AF449)</f>
        <v>2345.1081010259991</v>
      </c>
      <c r="AG472" s="76">
        <f t="array" aca="1" ref="AG472" ca="1">SUM(OFFSET(AG123,0,IF(AG$7-2004-'Tech Parameters'!$I8&lt;1,-AG$7+2004+1,-'Tech Parameters'!$I8+1)):AG123*OFFSET(AG449,0,IF(AG$7-2004-'Tech Parameters'!$I8&lt;1,-AG$7+2004+1,-'Tech Parameters'!$I8+1)):AG449)</f>
        <v>2345.1081010259991</v>
      </c>
      <c r="AH472" s="76">
        <f t="array" aca="1" ref="AH472" ca="1">SUM(OFFSET(AH123,0,IF(AH$7-2004-'Tech Parameters'!$I8&lt;1,-AH$7+2004+1,-'Tech Parameters'!$I8+1)):AH123*OFFSET(AH449,0,IF(AH$7-2004-'Tech Parameters'!$I8&lt;1,-AH$7+2004+1,-'Tech Parameters'!$I8+1)):AH449)</f>
        <v>2345.1081010259991</v>
      </c>
      <c r="AI472" s="76">
        <f t="array" aca="1" ref="AI472" ca="1">SUM(OFFSET(AI123,0,IF(AI$7-2004-'Tech Parameters'!$I8&lt;1,-AI$7+2004+1,-'Tech Parameters'!$I8+1)):AI123*OFFSET(AI449,0,IF(AI$7-2004-'Tech Parameters'!$I8&lt;1,-AI$7+2004+1,-'Tech Parameters'!$I8+1)):AI449)</f>
        <v>2345.1081010259986</v>
      </c>
      <c r="AJ472" s="76">
        <f t="array" aca="1" ref="AJ472" ca="1">SUM(OFFSET(AJ123,0,IF(AJ$7-2004-'Tech Parameters'!$I8&lt;1,-AJ$7+2004+1,-'Tech Parameters'!$I8+1)):AJ123*OFFSET(AJ449,0,IF(AJ$7-2004-'Tech Parameters'!$I8&lt;1,-AJ$7+2004+1,-'Tech Parameters'!$I8+1)):AJ449)</f>
        <v>2345.1081010259986</v>
      </c>
      <c r="AK472" s="76">
        <f t="array" aca="1" ref="AK472" ca="1">SUM(OFFSET(AK123,0,IF(AK$7-2004-'Tech Parameters'!$I8&lt;1,-AK$7+2004+1,-'Tech Parameters'!$I8+1)):AK123*OFFSET(AK449,0,IF(AK$7-2004-'Tech Parameters'!$I8&lt;1,-AK$7+2004+1,-'Tech Parameters'!$I8+1)):AK449)</f>
        <v>2345.1081010259986</v>
      </c>
      <c r="AL472" s="76">
        <f t="array" aca="1" ref="AL472" ca="1">SUM(OFFSET(AL123,0,IF(AL$7-2004-'Tech Parameters'!$I8&lt;1,-AL$7+2004+1,-'Tech Parameters'!$I8+1)):AL123*OFFSET(AL449,0,IF(AL$7-2004-'Tech Parameters'!$I8&lt;1,-AL$7+2004+1,-'Tech Parameters'!$I8+1)):AL449)</f>
        <v>2345.1081010259986</v>
      </c>
      <c r="AM472" s="76">
        <f t="array" aca="1" ref="AM472" ca="1">SUM(OFFSET(AM123,0,IF(AM$7-2004-'Tech Parameters'!$I8&lt;1,-AM$7+2004+1,-'Tech Parameters'!$I8+1)):AM123*OFFSET(AM449,0,IF(AM$7-2004-'Tech Parameters'!$I8&lt;1,-AM$7+2004+1,-'Tech Parameters'!$I8+1)):AM449)</f>
        <v>2345.1081010259986</v>
      </c>
      <c r="AN472" s="76">
        <f t="array" aca="1" ref="AN472" ca="1">SUM(OFFSET(AN123,0,IF(AN$7-2004-'Tech Parameters'!$I8&lt;1,-AN$7+2004+1,-'Tech Parameters'!$I8+1)):AN123*OFFSET(AN449,0,IF(AN$7-2004-'Tech Parameters'!$I8&lt;1,-AN$7+2004+1,-'Tech Parameters'!$I8+1)):AN449)</f>
        <v>2345.1081010259986</v>
      </c>
      <c r="AO472" s="76">
        <f t="array" aca="1" ref="AO472" ca="1">SUM(OFFSET(AO123,0,IF(AO$7-2004-'Tech Parameters'!$I8&lt;1,-AO$7+2004+1,-'Tech Parameters'!$I8+1)):AO123*OFFSET(AO449,0,IF(AO$7-2004-'Tech Parameters'!$I8&lt;1,-AO$7+2004+1,-'Tech Parameters'!$I8+1)):AO449)</f>
        <v>2345.1081010259986</v>
      </c>
      <c r="AP472" s="76">
        <f t="array" aca="1" ref="AP472" ca="1">SUM(OFFSET(AP123,0,IF(AP$7-2004-'Tech Parameters'!$I8&lt;1,-AP$7+2004+1,-'Tech Parameters'!$I8+1)):AP123*OFFSET(AP449,0,IF(AP$7-2004-'Tech Parameters'!$I8&lt;1,-AP$7+2004+1,-'Tech Parameters'!$I8+1)):AP449)</f>
        <v>2345.1081010259986</v>
      </c>
      <c r="AQ472" s="76">
        <f t="array" aca="1" ref="AQ472" ca="1">SUM(OFFSET(AQ123,0,IF(AQ$7-2004-'Tech Parameters'!$I8&lt;1,-AQ$7+2004+1,-'Tech Parameters'!$I8+1)):AQ123*OFFSET(AQ449,0,IF(AQ$7-2004-'Tech Parameters'!$I8&lt;1,-AQ$7+2004+1,-'Tech Parameters'!$I8+1)):AQ449)</f>
        <v>2345.1081010259986</v>
      </c>
      <c r="AR472" s="76">
        <f t="array" aca="1" ref="AR472" ca="1">SUM(OFFSET(AR123,0,IF(AR$7-2004-'Tech Parameters'!$I8&lt;1,-AR$7+2004+1,-'Tech Parameters'!$I8+1)):AR123*OFFSET(AR449,0,IF(AR$7-2004-'Tech Parameters'!$I8&lt;1,-AR$7+2004+1,-'Tech Parameters'!$I8+1)):AR449)</f>
        <v>2345.1081010259986</v>
      </c>
      <c r="AS472" s="76">
        <f t="array" aca="1" ref="AS472" ca="1">SUM(OFFSET(AS123,0,IF(AS$7-2004-'Tech Parameters'!$I8&lt;1,-AS$7+2004+1,-'Tech Parameters'!$I8+1)):AS123*OFFSET(AS449,0,IF(AS$7-2004-'Tech Parameters'!$I8&lt;1,-AS$7+2004+1,-'Tech Parameters'!$I8+1)):AS449)</f>
        <v>2345.1081010259986</v>
      </c>
      <c r="AT472" s="76">
        <f t="array" aca="1" ref="AT472" ca="1">SUM(OFFSET(AT123,0,IF(AT$7-2004-'Tech Parameters'!$I8&lt;1,-AT$7+2004+1,-'Tech Parameters'!$I8+1)):AT123*OFFSET(AT449,0,IF(AT$7-2004-'Tech Parameters'!$I8&lt;1,-AT$7+2004+1,-'Tech Parameters'!$I8+1)):AT449)</f>
        <v>2345.1081010259986</v>
      </c>
      <c r="AU472" s="76">
        <f t="array" aca="1" ref="AU472" ca="1">SUM(OFFSET(AU123,0,IF(AU$7-2004-'Tech Parameters'!$I8&lt;1,-AU$7+2004+1,-'Tech Parameters'!$I8+1)):AU123*OFFSET(AU449,0,IF(AU$7-2004-'Tech Parameters'!$I8&lt;1,-AU$7+2004+1,-'Tech Parameters'!$I8+1)):AU449)</f>
        <v>2345.1081010259986</v>
      </c>
      <c r="AV472" s="76">
        <f t="array" aca="1" ref="AV472" ca="1">SUM(OFFSET(AV123,0,IF(AV$7-2004-'Tech Parameters'!$I8&lt;1,-AV$7+2004+1,-'Tech Parameters'!$I8+1)):AV123*OFFSET(AV449,0,IF(AV$7-2004-'Tech Parameters'!$I8&lt;1,-AV$7+2004+1,-'Tech Parameters'!$I8+1)):AV449)</f>
        <v>2345.1081010259986</v>
      </c>
      <c r="AW472" s="76">
        <f t="array" aca="1" ref="AW472" ca="1">SUM(OFFSET(AW123,0,IF(AW$7-2004-'Tech Parameters'!$I8&lt;1,-AW$7+2004+1,-'Tech Parameters'!$I8+1)):AW123*OFFSET(AW449,0,IF(AW$7-2004-'Tech Parameters'!$I8&lt;1,-AW$7+2004+1,-'Tech Parameters'!$I8+1)):AW449)</f>
        <v>2345.1081010259986</v>
      </c>
    </row>
    <row r="473" spans="3:49">
      <c r="C473" t="str">
        <f t="shared" si="113"/>
        <v>PWR nuclear</v>
      </c>
      <c r="D473">
        <f t="array" aca="1" ref="D473" ca="1">SUM(OFFSET(D124,0,IF(D$7-2004-'Tech Parameters'!$I9&lt;1,-D$7+2004+1,-'Tech Parameters'!$I9+1)):D124*OFFSET(D450,0,IF(D$7-2004-'Tech Parameters'!$I9&lt;1,-D$7+2004+1,-'Tech Parameters'!$I9+1)):D450)</f>
        <v>0</v>
      </c>
      <c r="E473">
        <f t="array" aca="1" ref="E473" ca="1">SUM(OFFSET(E124,0,IF(E$7-2004-'Tech Parameters'!$I9&lt;1,-E$7+2004+1,-'Tech Parameters'!$I9+1)):E124*OFFSET(E450,0,IF(E$7-2004-'Tech Parameters'!$I9&lt;1,-E$7+2004+1,-'Tech Parameters'!$I9+1)):E450)</f>
        <v>0</v>
      </c>
      <c r="F473">
        <f t="array" aca="1" ref="F473" ca="1">SUM(OFFSET(F124,0,IF(F$7-2004-'Tech Parameters'!$I9&lt;1,-F$7+2004+1,-'Tech Parameters'!$I9+1)):F124*OFFSET(F450,0,IF(F$7-2004-'Tech Parameters'!$I9&lt;1,-F$7+2004+1,-'Tech Parameters'!$I9+1)):F450)</f>
        <v>0</v>
      </c>
      <c r="G473">
        <f t="array" aca="1" ref="G473" ca="1">SUM(OFFSET(G124,0,IF(G$7-2004-'Tech Parameters'!$I9&lt;1,-G$7+2004+1,-'Tech Parameters'!$I9+1)):G124*OFFSET(G450,0,IF(G$7-2004-'Tech Parameters'!$I9&lt;1,-G$7+2004+1,-'Tech Parameters'!$I9+1)):G450)</f>
        <v>0</v>
      </c>
      <c r="H473">
        <f t="array" aca="1" ref="H473" ca="1">SUM(OFFSET(H124,0,IF(H$7-2004-'Tech Parameters'!$I9&lt;1,-H$7+2004+1,-'Tech Parameters'!$I9+1)):H124*OFFSET(H450,0,IF(H$7-2004-'Tech Parameters'!$I9&lt;1,-H$7+2004+1,-'Tech Parameters'!$I9+1)):H450)</f>
        <v>0</v>
      </c>
      <c r="I473">
        <f t="array" aca="1" ref="I473" ca="1">SUM(OFFSET(I124,0,IF(I$7-2004-'Tech Parameters'!$I9&lt;1,-I$7+2004+1,-'Tech Parameters'!$I9+1)):I124*OFFSET(I450,0,IF(I$7-2004-'Tech Parameters'!$I9&lt;1,-I$7+2004+1,-'Tech Parameters'!$I9+1)):I450)</f>
        <v>0</v>
      </c>
      <c r="J473">
        <f t="array" aca="1" ref="J473" ca="1">SUM(OFFSET(J124,0,IF(J$7-2004-'Tech Parameters'!$I9&lt;1,-J$7+2004+1,-'Tech Parameters'!$I9+1)):J124*OFFSET(J450,0,IF(J$7-2004-'Tech Parameters'!$I9&lt;1,-J$7+2004+1,-'Tech Parameters'!$I9+1)):J450)</f>
        <v>0</v>
      </c>
      <c r="K473">
        <f t="array" aca="1" ref="K473" ca="1">SUM(OFFSET(K124,0,IF(K$7-2004-'Tech Parameters'!$I9&lt;1,-K$7+2004+1,-'Tech Parameters'!$I9+1)):K124*OFFSET(K450,0,IF(K$7-2004-'Tech Parameters'!$I9&lt;1,-K$7+2004+1,-'Tech Parameters'!$I9+1)):K450)</f>
        <v>0</v>
      </c>
      <c r="L473">
        <f t="array" aca="1" ref="L473" ca="1">SUM(OFFSET(L124,0,IF(L$7-2004-'Tech Parameters'!$I9&lt;1,-L$7+2004+1,-'Tech Parameters'!$I9+1)):L124*OFFSET(L450,0,IF(L$7-2004-'Tech Parameters'!$I9&lt;1,-L$7+2004+1,-'Tech Parameters'!$I9+1)):L450)</f>
        <v>0</v>
      </c>
      <c r="M473">
        <f t="array" aca="1" ref="M473" ca="1">SUM(OFFSET(M124,0,IF(M$7-2004-'Tech Parameters'!$I9&lt;1,-M$7+2004+1,-'Tech Parameters'!$I9+1)):M124*OFFSET(M450,0,IF(M$7-2004-'Tech Parameters'!$I9&lt;1,-M$7+2004+1,-'Tech Parameters'!$I9+1)):M450)</f>
        <v>0</v>
      </c>
      <c r="N473">
        <f t="array" aca="1" ref="N473" ca="1">SUM(OFFSET(N124,0,IF(N$7-2004-'Tech Parameters'!$I9&lt;1,-N$7+2004+1,-'Tech Parameters'!$I9+1)):N124*OFFSET(N450,0,IF(N$7-2004-'Tech Parameters'!$I9&lt;1,-N$7+2004+1,-'Tech Parameters'!$I9+1)):N450)</f>
        <v>0</v>
      </c>
      <c r="O473">
        <f t="array" aca="1" ref="O473" ca="1">SUM(OFFSET(O124,0,IF(O$7-2004-'Tech Parameters'!$I9&lt;1,-O$7+2004+1,-'Tech Parameters'!$I9+1)):O124*OFFSET(O450,0,IF(O$7-2004-'Tech Parameters'!$I9&lt;1,-O$7+2004+1,-'Tech Parameters'!$I9+1)):O450)</f>
        <v>0</v>
      </c>
      <c r="P473">
        <f t="array" aca="1" ref="P473" ca="1">SUM(OFFSET(P124,0,IF(P$7-2004-'Tech Parameters'!$I9&lt;1,-P$7+2004+1,-'Tech Parameters'!$I9+1)):P124*OFFSET(P450,0,IF(P$7-2004-'Tech Parameters'!$I9&lt;1,-P$7+2004+1,-'Tech Parameters'!$I9+1)):P450)</f>
        <v>0</v>
      </c>
      <c r="Q473">
        <f t="array" aca="1" ref="Q473" ca="1">SUM(OFFSET(Q124,0,IF(Q$7-2004-'Tech Parameters'!$I9&lt;1,-Q$7+2004+1,-'Tech Parameters'!$I9+1)):Q124*OFFSET(Q450,0,IF(Q$7-2004-'Tech Parameters'!$I9&lt;1,-Q$7+2004+1,-'Tech Parameters'!$I9+1)):Q450)</f>
        <v>0</v>
      </c>
      <c r="R473">
        <f t="array" aca="1" ref="R473" ca="1">SUM(OFFSET(R124,0,IF(R$7-2004-'Tech Parameters'!$I9&lt;1,-R$7+2004+1,-'Tech Parameters'!$I9+1)):R124*OFFSET(R450,0,IF(R$7-2004-'Tech Parameters'!$I9&lt;1,-R$7+2004+1,-'Tech Parameters'!$I9+1)):R450)</f>
        <v>0</v>
      </c>
      <c r="S473">
        <f t="array" aca="1" ref="S473" ca="1">SUM(OFFSET(S124,0,IF(S$7-2004-'Tech Parameters'!$I9&lt;1,-S$7+2004+1,-'Tech Parameters'!$I9+1)):S124*OFFSET(S450,0,IF(S$7-2004-'Tech Parameters'!$I9&lt;1,-S$7+2004+1,-'Tech Parameters'!$I9+1)):S450)</f>
        <v>0</v>
      </c>
      <c r="T473">
        <f t="array" aca="1" ref="T473" ca="1">SUM(OFFSET(T124,0,IF(T$7-2004-'Tech Parameters'!$I9&lt;1,-T$7+2004+1,-'Tech Parameters'!$I9+1)):T124*OFFSET(T450,0,IF(T$7-2004-'Tech Parameters'!$I9&lt;1,-T$7+2004+1,-'Tech Parameters'!$I9+1)):T450)</f>
        <v>0</v>
      </c>
      <c r="U473">
        <f t="array" aca="1" ref="U473" ca="1">SUM(OFFSET(U124,0,IF(U$7-2004-'Tech Parameters'!$I9&lt;1,-U$7+2004+1,-'Tech Parameters'!$I9+1)):U124*OFFSET(U450,0,IF(U$7-2004-'Tech Parameters'!$I9&lt;1,-U$7+2004+1,-'Tech Parameters'!$I9+1)):U450)</f>
        <v>0</v>
      </c>
      <c r="V473">
        <f t="array" aca="1" ref="V473" ca="1">SUM(OFFSET(V124,0,IF(V$7-2004-'Tech Parameters'!$I9&lt;1,-V$7+2004+1,-'Tech Parameters'!$I9+1)):V124*OFFSET(V450,0,IF(V$7-2004-'Tech Parameters'!$I9&lt;1,-V$7+2004+1,-'Tech Parameters'!$I9+1)):V450)</f>
        <v>0</v>
      </c>
      <c r="W473">
        <f t="array" aca="1" ref="W473" ca="1">SUM(OFFSET(W124,0,IF(W$7-2004-'Tech Parameters'!$I9&lt;1,-W$7+2004+1,-'Tech Parameters'!$I9+1)):W124*OFFSET(W450,0,IF(W$7-2004-'Tech Parameters'!$I9&lt;1,-W$7+2004+1,-'Tech Parameters'!$I9+1)):W450)</f>
        <v>0</v>
      </c>
      <c r="X473">
        <f t="array" aca="1" ref="X473" ca="1">SUM(OFFSET(X124,0,IF(X$7-2004-'Tech Parameters'!$I9&lt;1,-X$7+2004+1,-'Tech Parameters'!$I9+1)):X124*OFFSET(X450,0,IF(X$7-2004-'Tech Parameters'!$I9&lt;1,-X$7+2004+1,-'Tech Parameters'!$I9+1)):X450)</f>
        <v>0</v>
      </c>
      <c r="Y473">
        <f t="array" aca="1" ref="Y473" ca="1">SUM(OFFSET(Y124,0,IF(Y$7-2004-'Tech Parameters'!$I9&lt;1,-Y$7+2004+1,-'Tech Parameters'!$I9+1)):Y124*OFFSET(Y450,0,IF(Y$7-2004-'Tech Parameters'!$I9&lt;1,-Y$7+2004+1,-'Tech Parameters'!$I9+1)):Y450)</f>
        <v>0</v>
      </c>
      <c r="Z473">
        <f t="array" aca="1" ref="Z473" ca="1">SUM(OFFSET(Z124,0,IF(Z$7-2004-'Tech Parameters'!$I9&lt;1,-Z$7+2004+1,-'Tech Parameters'!$I9+1)):Z124*OFFSET(Z450,0,IF(Z$7-2004-'Tech Parameters'!$I9&lt;1,-Z$7+2004+1,-'Tech Parameters'!$I9+1)):Z450)</f>
        <v>0</v>
      </c>
      <c r="AA473">
        <f t="array" aca="1" ref="AA473" ca="1">SUM(OFFSET(AA124,0,IF(AA$7-2004-'Tech Parameters'!$I9&lt;1,-AA$7+2004+1,-'Tech Parameters'!$I9+1)):AA124*OFFSET(AA450,0,IF(AA$7-2004-'Tech Parameters'!$I9&lt;1,-AA$7+2004+1,-'Tech Parameters'!$I9+1)):AA450)</f>
        <v>0</v>
      </c>
      <c r="AB473">
        <f t="array" aca="1" ref="AB473" ca="1">SUM(OFFSET(AB124,0,IF(AB$7-2004-'Tech Parameters'!$I9&lt;1,-AB$7+2004+1,-'Tech Parameters'!$I9+1)):AB124*OFFSET(AB450,0,IF(AB$7-2004-'Tech Parameters'!$I9&lt;1,-AB$7+2004+1,-'Tech Parameters'!$I9+1)):AB450)</f>
        <v>0</v>
      </c>
      <c r="AC473">
        <f t="array" aca="1" ref="AC473" ca="1">SUM(OFFSET(AC124,0,IF(AC$7-2004-'Tech Parameters'!$I9&lt;1,-AC$7+2004+1,-'Tech Parameters'!$I9+1)):AC124*OFFSET(AC450,0,IF(AC$7-2004-'Tech Parameters'!$I9&lt;1,-AC$7+2004+1,-'Tech Parameters'!$I9+1)):AC450)</f>
        <v>0</v>
      </c>
      <c r="AD473" s="76">
        <f t="array" aca="1" ref="AD473" ca="1">SUM(OFFSET(AD124,0,IF(AD$7-2004-'Tech Parameters'!$I9&lt;1,-AD$7+2004+1,-'Tech Parameters'!$I9+1)):AD124*OFFSET(AD450,0,IF(AD$7-2004-'Tech Parameters'!$I9&lt;1,-AD$7+2004+1,-'Tech Parameters'!$I9+1)):AD450)</f>
        <v>0</v>
      </c>
      <c r="AE473" s="76">
        <f t="array" aca="1" ref="AE473" ca="1">SUM(OFFSET(AE124,0,IF(AE$7-2004-'Tech Parameters'!$I9&lt;1,-AE$7+2004+1,-'Tech Parameters'!$I9+1)):AE124*OFFSET(AE450,0,IF(AE$7-2004-'Tech Parameters'!$I9&lt;1,-AE$7+2004+1,-'Tech Parameters'!$I9+1)):AE450)</f>
        <v>0</v>
      </c>
      <c r="AF473" s="76">
        <f t="array" aca="1" ref="AF473" ca="1">SUM(OFFSET(AF124,0,IF(AF$7-2004-'Tech Parameters'!$I9&lt;1,-AF$7+2004+1,-'Tech Parameters'!$I9+1)):AF124*OFFSET(AF450,0,IF(AF$7-2004-'Tech Parameters'!$I9&lt;1,-AF$7+2004+1,-'Tech Parameters'!$I9+1)):AF450)</f>
        <v>0</v>
      </c>
      <c r="AG473" s="76">
        <f t="array" aca="1" ref="AG473" ca="1">SUM(OFFSET(AG124,0,IF(AG$7-2004-'Tech Parameters'!$I9&lt;1,-AG$7+2004+1,-'Tech Parameters'!$I9+1)):AG124*OFFSET(AG450,0,IF(AG$7-2004-'Tech Parameters'!$I9&lt;1,-AG$7+2004+1,-'Tech Parameters'!$I9+1)):AG450)</f>
        <v>0</v>
      </c>
      <c r="AH473" s="76">
        <f t="array" aca="1" ref="AH473" ca="1">SUM(OFFSET(AH124,0,IF(AH$7-2004-'Tech Parameters'!$I9&lt;1,-AH$7+2004+1,-'Tech Parameters'!$I9+1)):AH124*OFFSET(AH450,0,IF(AH$7-2004-'Tech Parameters'!$I9&lt;1,-AH$7+2004+1,-'Tech Parameters'!$I9+1)):AH450)</f>
        <v>0</v>
      </c>
      <c r="AI473" s="76">
        <f t="array" aca="1" ref="AI473" ca="1">SUM(OFFSET(AI124,0,IF(AI$7-2004-'Tech Parameters'!$I9&lt;1,-AI$7+2004+1,-'Tech Parameters'!$I9+1)):AI124*OFFSET(AI450,0,IF(AI$7-2004-'Tech Parameters'!$I9&lt;1,-AI$7+2004+1,-'Tech Parameters'!$I9+1)):AI450)</f>
        <v>0</v>
      </c>
      <c r="AJ473" s="76">
        <f t="array" aca="1" ref="AJ473" ca="1">SUM(OFFSET(AJ124,0,IF(AJ$7-2004-'Tech Parameters'!$I9&lt;1,-AJ$7+2004+1,-'Tech Parameters'!$I9+1)):AJ124*OFFSET(AJ450,0,IF(AJ$7-2004-'Tech Parameters'!$I9&lt;1,-AJ$7+2004+1,-'Tech Parameters'!$I9+1)):AJ450)</f>
        <v>0</v>
      </c>
      <c r="AK473" s="76">
        <f t="array" aca="1" ref="AK473" ca="1">SUM(OFFSET(AK124,0,IF(AK$7-2004-'Tech Parameters'!$I9&lt;1,-AK$7+2004+1,-'Tech Parameters'!$I9+1)):AK124*OFFSET(AK450,0,IF(AK$7-2004-'Tech Parameters'!$I9&lt;1,-AK$7+2004+1,-'Tech Parameters'!$I9+1)):AK450)</f>
        <v>0</v>
      </c>
      <c r="AL473" s="76">
        <f t="array" aca="1" ref="AL473" ca="1">SUM(OFFSET(AL124,0,IF(AL$7-2004-'Tech Parameters'!$I9&lt;1,-AL$7+2004+1,-'Tech Parameters'!$I9+1)):AL124*OFFSET(AL450,0,IF(AL$7-2004-'Tech Parameters'!$I9&lt;1,-AL$7+2004+1,-'Tech Parameters'!$I9+1)):AL450)</f>
        <v>0</v>
      </c>
      <c r="AM473" s="76">
        <f t="array" aca="1" ref="AM473" ca="1">SUM(OFFSET(AM124,0,IF(AM$7-2004-'Tech Parameters'!$I9&lt;1,-AM$7+2004+1,-'Tech Parameters'!$I9+1)):AM124*OFFSET(AM450,0,IF(AM$7-2004-'Tech Parameters'!$I9&lt;1,-AM$7+2004+1,-'Tech Parameters'!$I9+1)):AM450)</f>
        <v>0</v>
      </c>
      <c r="AN473" s="76">
        <f t="array" aca="1" ref="AN473" ca="1">SUM(OFFSET(AN124,0,IF(AN$7-2004-'Tech Parameters'!$I9&lt;1,-AN$7+2004+1,-'Tech Parameters'!$I9+1)):AN124*OFFSET(AN450,0,IF(AN$7-2004-'Tech Parameters'!$I9&lt;1,-AN$7+2004+1,-'Tech Parameters'!$I9+1)):AN450)</f>
        <v>0</v>
      </c>
      <c r="AO473" s="76">
        <f t="array" aca="1" ref="AO473" ca="1">SUM(OFFSET(AO124,0,IF(AO$7-2004-'Tech Parameters'!$I9&lt;1,-AO$7+2004+1,-'Tech Parameters'!$I9+1)):AO124*OFFSET(AO450,0,IF(AO$7-2004-'Tech Parameters'!$I9&lt;1,-AO$7+2004+1,-'Tech Parameters'!$I9+1)):AO450)</f>
        <v>0</v>
      </c>
      <c r="AP473" s="76">
        <f t="array" aca="1" ref="AP473" ca="1">SUM(OFFSET(AP124,0,IF(AP$7-2004-'Tech Parameters'!$I9&lt;1,-AP$7+2004+1,-'Tech Parameters'!$I9+1)):AP124*OFFSET(AP450,0,IF(AP$7-2004-'Tech Parameters'!$I9&lt;1,-AP$7+2004+1,-'Tech Parameters'!$I9+1)):AP450)</f>
        <v>0</v>
      </c>
      <c r="AQ473" s="76">
        <f t="array" aca="1" ref="AQ473" ca="1">SUM(OFFSET(AQ124,0,IF(AQ$7-2004-'Tech Parameters'!$I9&lt;1,-AQ$7+2004+1,-'Tech Parameters'!$I9+1)):AQ124*OFFSET(AQ450,0,IF(AQ$7-2004-'Tech Parameters'!$I9&lt;1,-AQ$7+2004+1,-'Tech Parameters'!$I9+1)):AQ450)</f>
        <v>0</v>
      </c>
      <c r="AR473" s="76">
        <f t="array" aca="1" ref="AR473" ca="1">SUM(OFFSET(AR124,0,IF(AR$7-2004-'Tech Parameters'!$I9&lt;1,-AR$7+2004+1,-'Tech Parameters'!$I9+1)):AR124*OFFSET(AR450,0,IF(AR$7-2004-'Tech Parameters'!$I9&lt;1,-AR$7+2004+1,-'Tech Parameters'!$I9+1)):AR450)</f>
        <v>0</v>
      </c>
      <c r="AS473" s="76">
        <f t="array" aca="1" ref="AS473" ca="1">SUM(OFFSET(AS124,0,IF(AS$7-2004-'Tech Parameters'!$I9&lt;1,-AS$7+2004+1,-'Tech Parameters'!$I9+1)):AS124*OFFSET(AS450,0,IF(AS$7-2004-'Tech Parameters'!$I9&lt;1,-AS$7+2004+1,-'Tech Parameters'!$I9+1)):AS450)</f>
        <v>0</v>
      </c>
      <c r="AT473" s="76">
        <f t="array" aca="1" ref="AT473" ca="1">SUM(OFFSET(AT124,0,IF(AT$7-2004-'Tech Parameters'!$I9&lt;1,-AT$7+2004+1,-'Tech Parameters'!$I9+1)):AT124*OFFSET(AT450,0,IF(AT$7-2004-'Tech Parameters'!$I9&lt;1,-AT$7+2004+1,-'Tech Parameters'!$I9+1)):AT450)</f>
        <v>0</v>
      </c>
      <c r="AU473" s="76">
        <f t="array" aca="1" ref="AU473" ca="1">SUM(OFFSET(AU124,0,IF(AU$7-2004-'Tech Parameters'!$I9&lt;1,-AU$7+2004+1,-'Tech Parameters'!$I9+1)):AU124*OFFSET(AU450,0,IF(AU$7-2004-'Tech Parameters'!$I9&lt;1,-AU$7+2004+1,-'Tech Parameters'!$I9+1)):AU450)</f>
        <v>0</v>
      </c>
      <c r="AV473" s="76">
        <f t="array" aca="1" ref="AV473" ca="1">SUM(OFFSET(AV124,0,IF(AV$7-2004-'Tech Parameters'!$I9&lt;1,-AV$7+2004+1,-'Tech Parameters'!$I9+1)):AV124*OFFSET(AV450,0,IF(AV$7-2004-'Tech Parameters'!$I9&lt;1,-AV$7+2004+1,-'Tech Parameters'!$I9+1)):AV450)</f>
        <v>0</v>
      </c>
      <c r="AW473" s="76">
        <f t="array" aca="1" ref="AW473" ca="1">SUM(OFFSET(AW124,0,IF(AW$7-2004-'Tech Parameters'!$I9&lt;1,-AW$7+2004+1,-'Tech Parameters'!$I9+1)):AW124*OFFSET(AW450,0,IF(AW$7-2004-'Tech Parameters'!$I9&lt;1,-AW$7+2004+1,-'Tech Parameters'!$I9+1)):AW450)</f>
        <v>0</v>
      </c>
    </row>
    <row r="474" spans="3:49">
      <c r="C474" t="str">
        <f t="shared" si="113"/>
        <v>Hydro</v>
      </c>
      <c r="D474">
        <f t="array" aca="1" ref="D474" ca="1">SUM(OFFSET(D125,0,IF(D$7-2004-'Tech Parameters'!$I10&lt;1,-D$7+2004+1,-'Tech Parameters'!$I10+1)):D125*OFFSET(D451,0,IF(D$7-2004-'Tech Parameters'!$I10&lt;1,-D$7+2004+1,-'Tech Parameters'!$I10+1)):D451)</f>
        <v>0</v>
      </c>
      <c r="E474">
        <f t="array" aca="1" ref="E474" ca="1">SUM(OFFSET(E125,0,IF(E$7-2004-'Tech Parameters'!$I10&lt;1,-E$7+2004+1,-'Tech Parameters'!$I10+1)):E125*OFFSET(E451,0,IF(E$7-2004-'Tech Parameters'!$I10&lt;1,-E$7+2004+1,-'Tech Parameters'!$I10+1)):E451)</f>
        <v>0</v>
      </c>
      <c r="F474">
        <f t="array" aca="1" ref="F474" ca="1">SUM(OFFSET(F125,0,IF(F$7-2004-'Tech Parameters'!$I10&lt;1,-F$7+2004+1,-'Tech Parameters'!$I10+1)):F125*OFFSET(F451,0,IF(F$7-2004-'Tech Parameters'!$I10&lt;1,-F$7+2004+1,-'Tech Parameters'!$I10+1)):F451)</f>
        <v>0</v>
      </c>
      <c r="G474">
        <f t="array" aca="1" ref="G474" ca="1">SUM(OFFSET(G125,0,IF(G$7-2004-'Tech Parameters'!$I10&lt;1,-G$7+2004+1,-'Tech Parameters'!$I10+1)):G125*OFFSET(G451,0,IF(G$7-2004-'Tech Parameters'!$I10&lt;1,-G$7+2004+1,-'Tech Parameters'!$I10+1)):G451)</f>
        <v>0</v>
      </c>
      <c r="H474">
        <f t="array" aca="1" ref="H474" ca="1">SUM(OFFSET(H125,0,IF(H$7-2004-'Tech Parameters'!$I10&lt;1,-H$7+2004+1,-'Tech Parameters'!$I10+1)):H125*OFFSET(H451,0,IF(H$7-2004-'Tech Parameters'!$I10&lt;1,-H$7+2004+1,-'Tech Parameters'!$I10+1)):H451)</f>
        <v>0</v>
      </c>
      <c r="I474">
        <f t="array" aca="1" ref="I474" ca="1">SUM(OFFSET(I125,0,IF(I$7-2004-'Tech Parameters'!$I10&lt;1,-I$7+2004+1,-'Tech Parameters'!$I10+1)):I125*OFFSET(I451,0,IF(I$7-2004-'Tech Parameters'!$I10&lt;1,-I$7+2004+1,-'Tech Parameters'!$I10+1)):I451)</f>
        <v>0</v>
      </c>
      <c r="J474">
        <f t="array" aca="1" ref="J474" ca="1">SUM(OFFSET(J125,0,IF(J$7-2004-'Tech Parameters'!$I10&lt;1,-J$7+2004+1,-'Tech Parameters'!$I10+1)):J125*OFFSET(J451,0,IF(J$7-2004-'Tech Parameters'!$I10&lt;1,-J$7+2004+1,-'Tech Parameters'!$I10+1)):J451)</f>
        <v>0</v>
      </c>
      <c r="K474">
        <f t="array" aca="1" ref="K474" ca="1">SUM(OFFSET(K125,0,IF(K$7-2004-'Tech Parameters'!$I10&lt;1,-K$7+2004+1,-'Tech Parameters'!$I10+1)):K125*OFFSET(K451,0,IF(K$7-2004-'Tech Parameters'!$I10&lt;1,-K$7+2004+1,-'Tech Parameters'!$I10+1)):K451)</f>
        <v>0</v>
      </c>
      <c r="L474">
        <f t="array" aca="1" ref="L474" ca="1">SUM(OFFSET(L125,0,IF(L$7-2004-'Tech Parameters'!$I10&lt;1,-L$7+2004+1,-'Tech Parameters'!$I10+1)):L125*OFFSET(L451,0,IF(L$7-2004-'Tech Parameters'!$I10&lt;1,-L$7+2004+1,-'Tech Parameters'!$I10+1)):L451)</f>
        <v>0</v>
      </c>
      <c r="M474">
        <f t="array" aca="1" ref="M474" ca="1">SUM(OFFSET(M125,0,IF(M$7-2004-'Tech Parameters'!$I10&lt;1,-M$7+2004+1,-'Tech Parameters'!$I10+1)):M125*OFFSET(M451,0,IF(M$7-2004-'Tech Parameters'!$I10&lt;1,-M$7+2004+1,-'Tech Parameters'!$I10+1)):M451)</f>
        <v>0</v>
      </c>
      <c r="N474">
        <f t="array" aca="1" ref="N474" ca="1">SUM(OFFSET(N125,0,IF(N$7-2004-'Tech Parameters'!$I10&lt;1,-N$7+2004+1,-'Tech Parameters'!$I10+1)):N125*OFFSET(N451,0,IF(N$7-2004-'Tech Parameters'!$I10&lt;1,-N$7+2004+1,-'Tech Parameters'!$I10+1)):N451)</f>
        <v>0</v>
      </c>
      <c r="O474">
        <f t="array" aca="1" ref="O474" ca="1">SUM(OFFSET(O125,0,IF(O$7-2004-'Tech Parameters'!$I10&lt;1,-O$7+2004+1,-'Tech Parameters'!$I10+1)):O125*OFFSET(O451,0,IF(O$7-2004-'Tech Parameters'!$I10&lt;1,-O$7+2004+1,-'Tech Parameters'!$I10+1)):O451)</f>
        <v>0</v>
      </c>
      <c r="P474">
        <f t="array" aca="1" ref="P474" ca="1">SUM(OFFSET(P125,0,IF(P$7-2004-'Tech Parameters'!$I10&lt;1,-P$7+2004+1,-'Tech Parameters'!$I10+1)):P125*OFFSET(P451,0,IF(P$7-2004-'Tech Parameters'!$I10&lt;1,-P$7+2004+1,-'Tech Parameters'!$I10+1)):P451)</f>
        <v>0</v>
      </c>
      <c r="Q474">
        <f t="array" aca="1" ref="Q474" ca="1">SUM(OFFSET(Q125,0,IF(Q$7-2004-'Tech Parameters'!$I10&lt;1,-Q$7+2004+1,-'Tech Parameters'!$I10+1)):Q125*OFFSET(Q451,0,IF(Q$7-2004-'Tech Parameters'!$I10&lt;1,-Q$7+2004+1,-'Tech Parameters'!$I10+1)):Q451)</f>
        <v>0</v>
      </c>
      <c r="R474">
        <f t="array" aca="1" ref="R474" ca="1">SUM(OFFSET(R125,0,IF(R$7-2004-'Tech Parameters'!$I10&lt;1,-R$7+2004+1,-'Tech Parameters'!$I10+1)):R125*OFFSET(R451,0,IF(R$7-2004-'Tech Parameters'!$I10&lt;1,-R$7+2004+1,-'Tech Parameters'!$I10+1)):R451)</f>
        <v>0</v>
      </c>
      <c r="S474">
        <f t="array" aca="1" ref="S474" ca="1">SUM(OFFSET(S125,0,IF(S$7-2004-'Tech Parameters'!$I10&lt;1,-S$7+2004+1,-'Tech Parameters'!$I10+1)):S125*OFFSET(S451,0,IF(S$7-2004-'Tech Parameters'!$I10&lt;1,-S$7+2004+1,-'Tech Parameters'!$I10+1)):S451)</f>
        <v>0</v>
      </c>
      <c r="T474">
        <f t="array" aca="1" ref="T474" ca="1">SUM(OFFSET(T125,0,IF(T$7-2004-'Tech Parameters'!$I10&lt;1,-T$7+2004+1,-'Tech Parameters'!$I10+1)):T125*OFFSET(T451,0,IF(T$7-2004-'Tech Parameters'!$I10&lt;1,-T$7+2004+1,-'Tech Parameters'!$I10+1)):T451)</f>
        <v>0</v>
      </c>
      <c r="U474">
        <f t="array" aca="1" ref="U474" ca="1">SUM(OFFSET(U125,0,IF(U$7-2004-'Tech Parameters'!$I10&lt;1,-U$7+2004+1,-'Tech Parameters'!$I10+1)):U125*OFFSET(U451,0,IF(U$7-2004-'Tech Parameters'!$I10&lt;1,-U$7+2004+1,-'Tech Parameters'!$I10+1)):U451)</f>
        <v>0</v>
      </c>
      <c r="V474">
        <f t="array" aca="1" ref="V474" ca="1">SUM(OFFSET(V125,0,IF(V$7-2004-'Tech Parameters'!$I10&lt;1,-V$7+2004+1,-'Tech Parameters'!$I10+1)):V125*OFFSET(V451,0,IF(V$7-2004-'Tech Parameters'!$I10&lt;1,-V$7+2004+1,-'Tech Parameters'!$I10+1)):V451)</f>
        <v>0</v>
      </c>
      <c r="W474">
        <f t="array" aca="1" ref="W474" ca="1">SUM(OFFSET(W125,0,IF(W$7-2004-'Tech Parameters'!$I10&lt;1,-W$7+2004+1,-'Tech Parameters'!$I10+1)):W125*OFFSET(W451,0,IF(W$7-2004-'Tech Parameters'!$I10&lt;1,-W$7+2004+1,-'Tech Parameters'!$I10+1)):W451)</f>
        <v>0</v>
      </c>
      <c r="X474">
        <f t="array" aca="1" ref="X474" ca="1">SUM(OFFSET(X125,0,IF(X$7-2004-'Tech Parameters'!$I10&lt;1,-X$7+2004+1,-'Tech Parameters'!$I10+1)):X125*OFFSET(X451,0,IF(X$7-2004-'Tech Parameters'!$I10&lt;1,-X$7+2004+1,-'Tech Parameters'!$I10+1)):X451)</f>
        <v>0</v>
      </c>
      <c r="Y474">
        <f t="array" aca="1" ref="Y474" ca="1">SUM(OFFSET(Y125,0,IF(Y$7-2004-'Tech Parameters'!$I10&lt;1,-Y$7+2004+1,-'Tech Parameters'!$I10+1)):Y125*OFFSET(Y451,0,IF(Y$7-2004-'Tech Parameters'!$I10&lt;1,-Y$7+2004+1,-'Tech Parameters'!$I10+1)):Y451)</f>
        <v>0</v>
      </c>
      <c r="Z474">
        <f t="array" aca="1" ref="Z474" ca="1">SUM(OFFSET(Z125,0,IF(Z$7-2004-'Tech Parameters'!$I10&lt;1,-Z$7+2004+1,-'Tech Parameters'!$I10+1)):Z125*OFFSET(Z451,0,IF(Z$7-2004-'Tech Parameters'!$I10&lt;1,-Z$7+2004+1,-'Tech Parameters'!$I10+1)):Z451)</f>
        <v>0</v>
      </c>
      <c r="AA474">
        <f t="array" aca="1" ref="AA474" ca="1">SUM(OFFSET(AA125,0,IF(AA$7-2004-'Tech Parameters'!$I10&lt;1,-AA$7+2004+1,-'Tech Parameters'!$I10+1)):AA125*OFFSET(AA451,0,IF(AA$7-2004-'Tech Parameters'!$I10&lt;1,-AA$7+2004+1,-'Tech Parameters'!$I10+1)):AA451)</f>
        <v>0</v>
      </c>
      <c r="AB474">
        <f t="array" aca="1" ref="AB474" ca="1">SUM(OFFSET(AB125,0,IF(AB$7-2004-'Tech Parameters'!$I10&lt;1,-AB$7+2004+1,-'Tech Parameters'!$I10+1)):AB125*OFFSET(AB451,0,IF(AB$7-2004-'Tech Parameters'!$I10&lt;1,-AB$7+2004+1,-'Tech Parameters'!$I10+1)):AB451)</f>
        <v>0</v>
      </c>
      <c r="AC474">
        <f t="array" aca="1" ref="AC474" ca="1">SUM(OFFSET(AC125,0,IF(AC$7-2004-'Tech Parameters'!$I10&lt;1,-AC$7+2004+1,-'Tech Parameters'!$I10+1)):AC125*OFFSET(AC451,0,IF(AC$7-2004-'Tech Parameters'!$I10&lt;1,-AC$7+2004+1,-'Tech Parameters'!$I10+1)):AC451)</f>
        <v>0</v>
      </c>
      <c r="AD474" s="76">
        <f t="array" aca="1" ref="AD474" ca="1">SUM(OFFSET(AD125,0,IF(AD$7-2004-'Tech Parameters'!$I10&lt;1,-AD$7+2004+1,-'Tech Parameters'!$I10+1)):AD125*OFFSET(AD451,0,IF(AD$7-2004-'Tech Parameters'!$I10&lt;1,-AD$7+2004+1,-'Tech Parameters'!$I10+1)):AD451)</f>
        <v>0</v>
      </c>
      <c r="AE474" s="76">
        <f t="array" aca="1" ref="AE474" ca="1">SUM(OFFSET(AE125,0,IF(AE$7-2004-'Tech Parameters'!$I10&lt;1,-AE$7+2004+1,-'Tech Parameters'!$I10+1)):AE125*OFFSET(AE451,0,IF(AE$7-2004-'Tech Parameters'!$I10&lt;1,-AE$7+2004+1,-'Tech Parameters'!$I10+1)):AE451)</f>
        <v>0</v>
      </c>
      <c r="AF474" s="76">
        <f t="array" aca="1" ref="AF474" ca="1">SUM(OFFSET(AF125,0,IF(AF$7-2004-'Tech Parameters'!$I10&lt;1,-AF$7+2004+1,-'Tech Parameters'!$I10+1)):AF125*OFFSET(AF451,0,IF(AF$7-2004-'Tech Parameters'!$I10&lt;1,-AF$7+2004+1,-'Tech Parameters'!$I10+1)):AF451)</f>
        <v>0</v>
      </c>
      <c r="AG474" s="76">
        <f t="array" aca="1" ref="AG474" ca="1">SUM(OFFSET(AG125,0,IF(AG$7-2004-'Tech Parameters'!$I10&lt;1,-AG$7+2004+1,-'Tech Parameters'!$I10+1)):AG125*OFFSET(AG451,0,IF(AG$7-2004-'Tech Parameters'!$I10&lt;1,-AG$7+2004+1,-'Tech Parameters'!$I10+1)):AG451)</f>
        <v>0</v>
      </c>
      <c r="AH474" s="76">
        <f t="array" aca="1" ref="AH474" ca="1">SUM(OFFSET(AH125,0,IF(AH$7-2004-'Tech Parameters'!$I10&lt;1,-AH$7+2004+1,-'Tech Parameters'!$I10+1)):AH125*OFFSET(AH451,0,IF(AH$7-2004-'Tech Parameters'!$I10&lt;1,-AH$7+2004+1,-'Tech Parameters'!$I10+1)):AH451)</f>
        <v>0</v>
      </c>
      <c r="AI474" s="76">
        <f t="array" aca="1" ref="AI474" ca="1">SUM(OFFSET(AI125,0,IF(AI$7-2004-'Tech Parameters'!$I10&lt;1,-AI$7+2004+1,-'Tech Parameters'!$I10+1)):AI125*OFFSET(AI451,0,IF(AI$7-2004-'Tech Parameters'!$I10&lt;1,-AI$7+2004+1,-'Tech Parameters'!$I10+1)):AI451)</f>
        <v>0</v>
      </c>
      <c r="AJ474" s="76">
        <f t="array" aca="1" ref="AJ474" ca="1">SUM(OFFSET(AJ125,0,IF(AJ$7-2004-'Tech Parameters'!$I10&lt;1,-AJ$7+2004+1,-'Tech Parameters'!$I10+1)):AJ125*OFFSET(AJ451,0,IF(AJ$7-2004-'Tech Parameters'!$I10&lt;1,-AJ$7+2004+1,-'Tech Parameters'!$I10+1)):AJ451)</f>
        <v>0</v>
      </c>
      <c r="AK474" s="76">
        <f t="array" aca="1" ref="AK474" ca="1">SUM(OFFSET(AK125,0,IF(AK$7-2004-'Tech Parameters'!$I10&lt;1,-AK$7+2004+1,-'Tech Parameters'!$I10+1)):AK125*OFFSET(AK451,0,IF(AK$7-2004-'Tech Parameters'!$I10&lt;1,-AK$7+2004+1,-'Tech Parameters'!$I10+1)):AK451)</f>
        <v>0</v>
      </c>
      <c r="AL474" s="76">
        <f t="array" aca="1" ref="AL474" ca="1">SUM(OFFSET(AL125,0,IF(AL$7-2004-'Tech Parameters'!$I10&lt;1,-AL$7+2004+1,-'Tech Parameters'!$I10+1)):AL125*OFFSET(AL451,0,IF(AL$7-2004-'Tech Parameters'!$I10&lt;1,-AL$7+2004+1,-'Tech Parameters'!$I10+1)):AL451)</f>
        <v>0</v>
      </c>
      <c r="AM474" s="76">
        <f t="array" aca="1" ref="AM474" ca="1">SUM(OFFSET(AM125,0,IF(AM$7-2004-'Tech Parameters'!$I10&lt;1,-AM$7+2004+1,-'Tech Parameters'!$I10+1)):AM125*OFFSET(AM451,0,IF(AM$7-2004-'Tech Parameters'!$I10&lt;1,-AM$7+2004+1,-'Tech Parameters'!$I10+1)):AM451)</f>
        <v>0</v>
      </c>
      <c r="AN474" s="76">
        <f t="array" aca="1" ref="AN474" ca="1">SUM(OFFSET(AN125,0,IF(AN$7-2004-'Tech Parameters'!$I10&lt;1,-AN$7+2004+1,-'Tech Parameters'!$I10+1)):AN125*OFFSET(AN451,0,IF(AN$7-2004-'Tech Parameters'!$I10&lt;1,-AN$7+2004+1,-'Tech Parameters'!$I10+1)):AN451)</f>
        <v>0</v>
      </c>
      <c r="AO474" s="76">
        <f t="array" aca="1" ref="AO474" ca="1">SUM(OFFSET(AO125,0,IF(AO$7-2004-'Tech Parameters'!$I10&lt;1,-AO$7+2004+1,-'Tech Parameters'!$I10+1)):AO125*OFFSET(AO451,0,IF(AO$7-2004-'Tech Parameters'!$I10&lt;1,-AO$7+2004+1,-'Tech Parameters'!$I10+1)):AO451)</f>
        <v>0</v>
      </c>
      <c r="AP474" s="76">
        <f t="array" aca="1" ref="AP474" ca="1">SUM(OFFSET(AP125,0,IF(AP$7-2004-'Tech Parameters'!$I10&lt;1,-AP$7+2004+1,-'Tech Parameters'!$I10+1)):AP125*OFFSET(AP451,0,IF(AP$7-2004-'Tech Parameters'!$I10&lt;1,-AP$7+2004+1,-'Tech Parameters'!$I10+1)):AP451)</f>
        <v>0</v>
      </c>
      <c r="AQ474" s="76">
        <f t="array" aca="1" ref="AQ474" ca="1">SUM(OFFSET(AQ125,0,IF(AQ$7-2004-'Tech Parameters'!$I10&lt;1,-AQ$7+2004+1,-'Tech Parameters'!$I10+1)):AQ125*OFFSET(AQ451,0,IF(AQ$7-2004-'Tech Parameters'!$I10&lt;1,-AQ$7+2004+1,-'Tech Parameters'!$I10+1)):AQ451)</f>
        <v>0</v>
      </c>
      <c r="AR474" s="76">
        <f t="array" aca="1" ref="AR474" ca="1">SUM(OFFSET(AR125,0,IF(AR$7-2004-'Tech Parameters'!$I10&lt;1,-AR$7+2004+1,-'Tech Parameters'!$I10+1)):AR125*OFFSET(AR451,0,IF(AR$7-2004-'Tech Parameters'!$I10&lt;1,-AR$7+2004+1,-'Tech Parameters'!$I10+1)):AR451)</f>
        <v>0</v>
      </c>
      <c r="AS474" s="76">
        <f t="array" aca="1" ref="AS474" ca="1">SUM(OFFSET(AS125,0,IF(AS$7-2004-'Tech Parameters'!$I10&lt;1,-AS$7+2004+1,-'Tech Parameters'!$I10+1)):AS125*OFFSET(AS451,0,IF(AS$7-2004-'Tech Parameters'!$I10&lt;1,-AS$7+2004+1,-'Tech Parameters'!$I10+1)):AS451)</f>
        <v>0</v>
      </c>
      <c r="AT474" s="76">
        <f t="array" aca="1" ref="AT474" ca="1">SUM(OFFSET(AT125,0,IF(AT$7-2004-'Tech Parameters'!$I10&lt;1,-AT$7+2004+1,-'Tech Parameters'!$I10+1)):AT125*OFFSET(AT451,0,IF(AT$7-2004-'Tech Parameters'!$I10&lt;1,-AT$7+2004+1,-'Tech Parameters'!$I10+1)):AT451)</f>
        <v>0</v>
      </c>
      <c r="AU474" s="76">
        <f t="array" aca="1" ref="AU474" ca="1">SUM(OFFSET(AU125,0,IF(AU$7-2004-'Tech Parameters'!$I10&lt;1,-AU$7+2004+1,-'Tech Parameters'!$I10+1)):AU125*OFFSET(AU451,0,IF(AU$7-2004-'Tech Parameters'!$I10&lt;1,-AU$7+2004+1,-'Tech Parameters'!$I10+1)):AU451)</f>
        <v>0</v>
      </c>
      <c r="AV474" s="76">
        <f t="array" aca="1" ref="AV474" ca="1">SUM(OFFSET(AV125,0,IF(AV$7-2004-'Tech Parameters'!$I10&lt;1,-AV$7+2004+1,-'Tech Parameters'!$I10+1)):AV125*OFFSET(AV451,0,IF(AV$7-2004-'Tech Parameters'!$I10&lt;1,-AV$7+2004+1,-'Tech Parameters'!$I10+1)):AV451)</f>
        <v>0</v>
      </c>
      <c r="AW474" s="76">
        <f t="array" aca="1" ref="AW474" ca="1">SUM(OFFSET(AW125,0,IF(AW$7-2004-'Tech Parameters'!$I10&lt;1,-AW$7+2004+1,-'Tech Parameters'!$I10+1)):AW125*OFFSET(AW451,0,IF(AW$7-2004-'Tech Parameters'!$I10&lt;1,-AW$7+2004+1,-'Tech Parameters'!$I10+1)):AW451)</f>
        <v>0</v>
      </c>
    </row>
    <row r="475" spans="3:49">
      <c r="C475" t="str">
        <f t="shared" si="113"/>
        <v>Landfill gas</v>
      </c>
      <c r="D475">
        <f t="array" aca="1" ref="D475" ca="1">SUM(OFFSET(D126,0,IF(D$7-2004-'Tech Parameters'!$I11&lt;1,-D$7+2004+1,-'Tech Parameters'!$I11+1)):D126*OFFSET(D452,0,IF(D$7-2004-'Tech Parameters'!$I11&lt;1,-D$7+2004+1,-'Tech Parameters'!$I11+1)):D452)</f>
        <v>0</v>
      </c>
      <c r="E475">
        <f t="array" aca="1" ref="E475" ca="1">SUM(OFFSET(E126,0,IF(E$7-2004-'Tech Parameters'!$I11&lt;1,-E$7+2004+1,-'Tech Parameters'!$I11+1)):E126*OFFSET(E452,0,IF(E$7-2004-'Tech Parameters'!$I11&lt;1,-E$7+2004+1,-'Tech Parameters'!$I11+1)):E452)</f>
        <v>0</v>
      </c>
      <c r="F475">
        <f t="array" aca="1" ref="F475" ca="1">SUM(OFFSET(F126,0,IF(F$7-2004-'Tech Parameters'!$I11&lt;1,-F$7+2004+1,-'Tech Parameters'!$I11+1)):F126*OFFSET(F452,0,IF(F$7-2004-'Tech Parameters'!$I11&lt;1,-F$7+2004+1,-'Tech Parameters'!$I11+1)):F452)</f>
        <v>0</v>
      </c>
      <c r="G475">
        <f t="array" aca="1" ref="G475" ca="1">SUM(OFFSET(G126,0,IF(G$7-2004-'Tech Parameters'!$I11&lt;1,-G$7+2004+1,-'Tech Parameters'!$I11+1)):G126*OFFSET(G452,0,IF(G$7-2004-'Tech Parameters'!$I11&lt;1,-G$7+2004+1,-'Tech Parameters'!$I11+1)):G452)</f>
        <v>0</v>
      </c>
      <c r="H475">
        <f t="array" aca="1" ref="H475" ca="1">SUM(OFFSET(H126,0,IF(H$7-2004-'Tech Parameters'!$I11&lt;1,-H$7+2004+1,-'Tech Parameters'!$I11+1)):H126*OFFSET(H452,0,IF(H$7-2004-'Tech Parameters'!$I11&lt;1,-H$7+2004+1,-'Tech Parameters'!$I11+1)):H452)</f>
        <v>0</v>
      </c>
      <c r="I475">
        <f t="array" aca="1" ref="I475" ca="1">SUM(OFFSET(I126,0,IF(I$7-2004-'Tech Parameters'!$I11&lt;1,-I$7+2004+1,-'Tech Parameters'!$I11+1)):I126*OFFSET(I452,0,IF(I$7-2004-'Tech Parameters'!$I11&lt;1,-I$7+2004+1,-'Tech Parameters'!$I11+1)):I452)</f>
        <v>0</v>
      </c>
      <c r="J475">
        <f t="array" aca="1" ref="J475" ca="1">SUM(OFFSET(J126,0,IF(J$7-2004-'Tech Parameters'!$I11&lt;1,-J$7+2004+1,-'Tech Parameters'!$I11+1)):J126*OFFSET(J452,0,IF(J$7-2004-'Tech Parameters'!$I11&lt;1,-J$7+2004+1,-'Tech Parameters'!$I11+1)):J452)</f>
        <v>0</v>
      </c>
      <c r="K475">
        <f t="array" aca="1" ref="K475" ca="1">SUM(OFFSET(K126,0,IF(K$7-2004-'Tech Parameters'!$I11&lt;1,-K$7+2004+1,-'Tech Parameters'!$I11+1)):K126*OFFSET(K452,0,IF(K$7-2004-'Tech Parameters'!$I11&lt;1,-K$7+2004+1,-'Tech Parameters'!$I11+1)):K452)</f>
        <v>0</v>
      </c>
      <c r="L475">
        <f t="array" aca="1" ref="L475" ca="1">SUM(OFFSET(L126,0,IF(L$7-2004-'Tech Parameters'!$I11&lt;1,-L$7+2004+1,-'Tech Parameters'!$I11+1)):L126*OFFSET(L452,0,IF(L$7-2004-'Tech Parameters'!$I11&lt;1,-L$7+2004+1,-'Tech Parameters'!$I11+1)):L452)</f>
        <v>0</v>
      </c>
      <c r="M475">
        <f t="array" aca="1" ref="M475" ca="1">SUM(OFFSET(M126,0,IF(M$7-2004-'Tech Parameters'!$I11&lt;1,-M$7+2004+1,-'Tech Parameters'!$I11+1)):M126*OFFSET(M452,0,IF(M$7-2004-'Tech Parameters'!$I11&lt;1,-M$7+2004+1,-'Tech Parameters'!$I11+1)):M452)</f>
        <v>0</v>
      </c>
      <c r="N475">
        <f t="array" aca="1" ref="N475" ca="1">SUM(OFFSET(N126,0,IF(N$7-2004-'Tech Parameters'!$I11&lt;1,-N$7+2004+1,-'Tech Parameters'!$I11+1)):N126*OFFSET(N452,0,IF(N$7-2004-'Tech Parameters'!$I11&lt;1,-N$7+2004+1,-'Tech Parameters'!$I11+1)):N452)</f>
        <v>0</v>
      </c>
      <c r="O475">
        <f t="array" aca="1" ref="O475" ca="1">SUM(OFFSET(O126,0,IF(O$7-2004-'Tech Parameters'!$I11&lt;1,-O$7+2004+1,-'Tech Parameters'!$I11+1)):O126*OFFSET(O452,0,IF(O$7-2004-'Tech Parameters'!$I11&lt;1,-O$7+2004+1,-'Tech Parameters'!$I11+1)):O452)</f>
        <v>0</v>
      </c>
      <c r="P475">
        <f t="array" aca="1" ref="P475" ca="1">SUM(OFFSET(P126,0,IF(P$7-2004-'Tech Parameters'!$I11&lt;1,-P$7+2004+1,-'Tech Parameters'!$I11+1)):P126*OFFSET(P452,0,IF(P$7-2004-'Tech Parameters'!$I11&lt;1,-P$7+2004+1,-'Tech Parameters'!$I11+1)):P452)</f>
        <v>0</v>
      </c>
      <c r="Q475">
        <f t="array" aca="1" ref="Q475" ca="1">SUM(OFFSET(Q126,0,IF(Q$7-2004-'Tech Parameters'!$I11&lt;1,-Q$7+2004+1,-'Tech Parameters'!$I11+1)):Q126*OFFSET(Q452,0,IF(Q$7-2004-'Tech Parameters'!$I11&lt;1,-Q$7+2004+1,-'Tech Parameters'!$I11+1)):Q452)</f>
        <v>0</v>
      </c>
      <c r="R475">
        <f t="array" aca="1" ref="R475" ca="1">SUM(OFFSET(R126,0,IF(R$7-2004-'Tech Parameters'!$I11&lt;1,-R$7+2004+1,-'Tech Parameters'!$I11+1)):R126*OFFSET(R452,0,IF(R$7-2004-'Tech Parameters'!$I11&lt;1,-R$7+2004+1,-'Tech Parameters'!$I11+1)):R452)</f>
        <v>0</v>
      </c>
      <c r="S475">
        <f t="array" aca="1" ref="S475" ca="1">SUM(OFFSET(S126,0,IF(S$7-2004-'Tech Parameters'!$I11&lt;1,-S$7+2004+1,-'Tech Parameters'!$I11+1)):S126*OFFSET(S452,0,IF(S$7-2004-'Tech Parameters'!$I11&lt;1,-S$7+2004+1,-'Tech Parameters'!$I11+1)):S452)</f>
        <v>0</v>
      </c>
      <c r="T475">
        <f t="array" aca="1" ref="T475" ca="1">SUM(OFFSET(T126,0,IF(T$7-2004-'Tech Parameters'!$I11&lt;1,-T$7+2004+1,-'Tech Parameters'!$I11+1)):T126*OFFSET(T452,0,IF(T$7-2004-'Tech Parameters'!$I11&lt;1,-T$7+2004+1,-'Tech Parameters'!$I11+1)):T452)</f>
        <v>0</v>
      </c>
      <c r="U475">
        <f t="array" aca="1" ref="U475" ca="1">SUM(OFFSET(U126,0,IF(U$7-2004-'Tech Parameters'!$I11&lt;1,-U$7+2004+1,-'Tech Parameters'!$I11+1)):U126*OFFSET(U452,0,IF(U$7-2004-'Tech Parameters'!$I11&lt;1,-U$7+2004+1,-'Tech Parameters'!$I11+1)):U452)</f>
        <v>0</v>
      </c>
      <c r="V475">
        <f t="array" aca="1" ref="V475" ca="1">SUM(OFFSET(V126,0,IF(V$7-2004-'Tech Parameters'!$I11&lt;1,-V$7+2004+1,-'Tech Parameters'!$I11+1)):V126*OFFSET(V452,0,IF(V$7-2004-'Tech Parameters'!$I11&lt;1,-V$7+2004+1,-'Tech Parameters'!$I11+1)):V452)</f>
        <v>0</v>
      </c>
      <c r="W475">
        <f t="array" aca="1" ref="W475" ca="1">SUM(OFFSET(W126,0,IF(W$7-2004-'Tech Parameters'!$I11&lt;1,-W$7+2004+1,-'Tech Parameters'!$I11+1)):W126*OFFSET(W452,0,IF(W$7-2004-'Tech Parameters'!$I11&lt;1,-W$7+2004+1,-'Tech Parameters'!$I11+1)):W452)</f>
        <v>0</v>
      </c>
      <c r="X475">
        <f t="array" aca="1" ref="X475" ca="1">SUM(OFFSET(X126,0,IF(X$7-2004-'Tech Parameters'!$I11&lt;1,-X$7+2004+1,-'Tech Parameters'!$I11+1)):X126*OFFSET(X452,0,IF(X$7-2004-'Tech Parameters'!$I11&lt;1,-X$7+2004+1,-'Tech Parameters'!$I11+1)):X452)</f>
        <v>0</v>
      </c>
      <c r="Y475">
        <f t="array" aca="1" ref="Y475" ca="1">SUM(OFFSET(Y126,0,IF(Y$7-2004-'Tech Parameters'!$I11&lt;1,-Y$7+2004+1,-'Tech Parameters'!$I11+1)):Y126*OFFSET(Y452,0,IF(Y$7-2004-'Tech Parameters'!$I11&lt;1,-Y$7+2004+1,-'Tech Parameters'!$I11+1)):Y452)</f>
        <v>0</v>
      </c>
      <c r="Z475">
        <f t="array" aca="1" ref="Z475" ca="1">SUM(OFFSET(Z126,0,IF(Z$7-2004-'Tech Parameters'!$I11&lt;1,-Z$7+2004+1,-'Tech Parameters'!$I11+1)):Z126*OFFSET(Z452,0,IF(Z$7-2004-'Tech Parameters'!$I11&lt;1,-Z$7+2004+1,-'Tech Parameters'!$I11+1)):Z452)</f>
        <v>0</v>
      </c>
      <c r="AA475">
        <f t="array" aca="1" ref="AA475" ca="1">SUM(OFFSET(AA126,0,IF(AA$7-2004-'Tech Parameters'!$I11&lt;1,-AA$7+2004+1,-'Tech Parameters'!$I11+1)):AA126*OFFSET(AA452,0,IF(AA$7-2004-'Tech Parameters'!$I11&lt;1,-AA$7+2004+1,-'Tech Parameters'!$I11+1)):AA452)</f>
        <v>0</v>
      </c>
      <c r="AB475">
        <f t="array" aca="1" ref="AB475" ca="1">SUM(OFFSET(AB126,0,IF(AB$7-2004-'Tech Parameters'!$I11&lt;1,-AB$7+2004+1,-'Tech Parameters'!$I11+1)):AB126*OFFSET(AB452,0,IF(AB$7-2004-'Tech Parameters'!$I11&lt;1,-AB$7+2004+1,-'Tech Parameters'!$I11+1)):AB452)</f>
        <v>0</v>
      </c>
      <c r="AC475">
        <f t="array" aca="1" ref="AC475" ca="1">SUM(OFFSET(AC126,0,IF(AC$7-2004-'Tech Parameters'!$I11&lt;1,-AC$7+2004+1,-'Tech Parameters'!$I11+1)):AC126*OFFSET(AC452,0,IF(AC$7-2004-'Tech Parameters'!$I11&lt;1,-AC$7+2004+1,-'Tech Parameters'!$I11+1)):AC452)</f>
        <v>0</v>
      </c>
      <c r="AD475" s="76">
        <f t="array" aca="1" ref="AD475" ca="1">SUM(OFFSET(AD126,0,IF(AD$7-2004-'Tech Parameters'!$I11&lt;1,-AD$7+2004+1,-'Tech Parameters'!$I11+1)):AD126*OFFSET(AD452,0,IF(AD$7-2004-'Tech Parameters'!$I11&lt;1,-AD$7+2004+1,-'Tech Parameters'!$I11+1)):AD452)</f>
        <v>0</v>
      </c>
      <c r="AE475" s="76">
        <f t="array" aca="1" ref="AE475" ca="1">SUM(OFFSET(AE126,0,IF(AE$7-2004-'Tech Parameters'!$I11&lt;1,-AE$7+2004+1,-'Tech Parameters'!$I11+1)):AE126*OFFSET(AE452,0,IF(AE$7-2004-'Tech Parameters'!$I11&lt;1,-AE$7+2004+1,-'Tech Parameters'!$I11+1)):AE452)</f>
        <v>0</v>
      </c>
      <c r="AF475" s="76">
        <f t="array" aca="1" ref="AF475" ca="1">SUM(OFFSET(AF126,0,IF(AF$7-2004-'Tech Parameters'!$I11&lt;1,-AF$7+2004+1,-'Tech Parameters'!$I11+1)):AF126*OFFSET(AF452,0,IF(AF$7-2004-'Tech Parameters'!$I11&lt;1,-AF$7+2004+1,-'Tech Parameters'!$I11+1)):AF452)</f>
        <v>0</v>
      </c>
      <c r="AG475" s="76">
        <f t="array" aca="1" ref="AG475" ca="1">SUM(OFFSET(AG126,0,IF(AG$7-2004-'Tech Parameters'!$I11&lt;1,-AG$7+2004+1,-'Tech Parameters'!$I11+1)):AG126*OFFSET(AG452,0,IF(AG$7-2004-'Tech Parameters'!$I11&lt;1,-AG$7+2004+1,-'Tech Parameters'!$I11+1)):AG452)</f>
        <v>0</v>
      </c>
      <c r="AH475" s="76">
        <f t="array" aca="1" ref="AH475" ca="1">SUM(OFFSET(AH126,0,IF(AH$7-2004-'Tech Parameters'!$I11&lt;1,-AH$7+2004+1,-'Tech Parameters'!$I11+1)):AH126*OFFSET(AH452,0,IF(AH$7-2004-'Tech Parameters'!$I11&lt;1,-AH$7+2004+1,-'Tech Parameters'!$I11+1)):AH452)</f>
        <v>0</v>
      </c>
      <c r="AI475" s="76">
        <f t="array" aca="1" ref="AI475" ca="1">SUM(OFFSET(AI126,0,IF(AI$7-2004-'Tech Parameters'!$I11&lt;1,-AI$7+2004+1,-'Tech Parameters'!$I11+1)):AI126*OFFSET(AI452,0,IF(AI$7-2004-'Tech Parameters'!$I11&lt;1,-AI$7+2004+1,-'Tech Parameters'!$I11+1)):AI452)</f>
        <v>0</v>
      </c>
      <c r="AJ475" s="76">
        <f t="array" aca="1" ref="AJ475" ca="1">SUM(OFFSET(AJ126,0,IF(AJ$7-2004-'Tech Parameters'!$I11&lt;1,-AJ$7+2004+1,-'Tech Parameters'!$I11+1)):AJ126*OFFSET(AJ452,0,IF(AJ$7-2004-'Tech Parameters'!$I11&lt;1,-AJ$7+2004+1,-'Tech Parameters'!$I11+1)):AJ452)</f>
        <v>0</v>
      </c>
      <c r="AK475" s="76">
        <f t="array" aca="1" ref="AK475" ca="1">SUM(OFFSET(AK126,0,IF(AK$7-2004-'Tech Parameters'!$I11&lt;1,-AK$7+2004+1,-'Tech Parameters'!$I11+1)):AK126*OFFSET(AK452,0,IF(AK$7-2004-'Tech Parameters'!$I11&lt;1,-AK$7+2004+1,-'Tech Parameters'!$I11+1)):AK452)</f>
        <v>0</v>
      </c>
      <c r="AL475" s="76">
        <f t="array" aca="1" ref="AL475" ca="1">SUM(OFFSET(AL126,0,IF(AL$7-2004-'Tech Parameters'!$I11&lt;1,-AL$7+2004+1,-'Tech Parameters'!$I11+1)):AL126*OFFSET(AL452,0,IF(AL$7-2004-'Tech Parameters'!$I11&lt;1,-AL$7+2004+1,-'Tech Parameters'!$I11+1)):AL452)</f>
        <v>0</v>
      </c>
      <c r="AM475" s="76">
        <f t="array" aca="1" ref="AM475" ca="1">SUM(OFFSET(AM126,0,IF(AM$7-2004-'Tech Parameters'!$I11&lt;1,-AM$7+2004+1,-'Tech Parameters'!$I11+1)):AM126*OFFSET(AM452,0,IF(AM$7-2004-'Tech Parameters'!$I11&lt;1,-AM$7+2004+1,-'Tech Parameters'!$I11+1)):AM452)</f>
        <v>0</v>
      </c>
      <c r="AN475" s="76">
        <f t="array" aca="1" ref="AN475" ca="1">SUM(OFFSET(AN126,0,IF(AN$7-2004-'Tech Parameters'!$I11&lt;1,-AN$7+2004+1,-'Tech Parameters'!$I11+1)):AN126*OFFSET(AN452,0,IF(AN$7-2004-'Tech Parameters'!$I11&lt;1,-AN$7+2004+1,-'Tech Parameters'!$I11+1)):AN452)</f>
        <v>0</v>
      </c>
      <c r="AO475" s="76">
        <f t="array" aca="1" ref="AO475" ca="1">SUM(OFFSET(AO126,0,IF(AO$7-2004-'Tech Parameters'!$I11&lt;1,-AO$7+2004+1,-'Tech Parameters'!$I11+1)):AO126*OFFSET(AO452,0,IF(AO$7-2004-'Tech Parameters'!$I11&lt;1,-AO$7+2004+1,-'Tech Parameters'!$I11+1)):AO452)</f>
        <v>0</v>
      </c>
      <c r="AP475" s="76">
        <f t="array" aca="1" ref="AP475" ca="1">SUM(OFFSET(AP126,0,IF(AP$7-2004-'Tech Parameters'!$I11&lt;1,-AP$7+2004+1,-'Tech Parameters'!$I11+1)):AP126*OFFSET(AP452,0,IF(AP$7-2004-'Tech Parameters'!$I11&lt;1,-AP$7+2004+1,-'Tech Parameters'!$I11+1)):AP452)</f>
        <v>0</v>
      </c>
      <c r="AQ475" s="76">
        <f t="array" aca="1" ref="AQ475" ca="1">SUM(OFFSET(AQ126,0,IF(AQ$7-2004-'Tech Parameters'!$I11&lt;1,-AQ$7+2004+1,-'Tech Parameters'!$I11+1)):AQ126*OFFSET(AQ452,0,IF(AQ$7-2004-'Tech Parameters'!$I11&lt;1,-AQ$7+2004+1,-'Tech Parameters'!$I11+1)):AQ452)</f>
        <v>0</v>
      </c>
      <c r="AR475" s="76">
        <f t="array" aca="1" ref="AR475" ca="1">SUM(OFFSET(AR126,0,IF(AR$7-2004-'Tech Parameters'!$I11&lt;1,-AR$7+2004+1,-'Tech Parameters'!$I11+1)):AR126*OFFSET(AR452,0,IF(AR$7-2004-'Tech Parameters'!$I11&lt;1,-AR$7+2004+1,-'Tech Parameters'!$I11+1)):AR452)</f>
        <v>0</v>
      </c>
      <c r="AS475" s="76">
        <f t="array" aca="1" ref="AS475" ca="1">SUM(OFFSET(AS126,0,IF(AS$7-2004-'Tech Parameters'!$I11&lt;1,-AS$7+2004+1,-'Tech Parameters'!$I11+1)):AS126*OFFSET(AS452,0,IF(AS$7-2004-'Tech Parameters'!$I11&lt;1,-AS$7+2004+1,-'Tech Parameters'!$I11+1)):AS452)</f>
        <v>0</v>
      </c>
      <c r="AT475" s="76">
        <f t="array" aca="1" ref="AT475" ca="1">SUM(OFFSET(AT126,0,IF(AT$7-2004-'Tech Parameters'!$I11&lt;1,-AT$7+2004+1,-'Tech Parameters'!$I11+1)):AT126*OFFSET(AT452,0,IF(AT$7-2004-'Tech Parameters'!$I11&lt;1,-AT$7+2004+1,-'Tech Parameters'!$I11+1)):AT452)</f>
        <v>0</v>
      </c>
      <c r="AU475" s="76">
        <f t="array" aca="1" ref="AU475" ca="1">SUM(OFFSET(AU126,0,IF(AU$7-2004-'Tech Parameters'!$I11&lt;1,-AU$7+2004+1,-'Tech Parameters'!$I11+1)):AU126*OFFSET(AU452,0,IF(AU$7-2004-'Tech Parameters'!$I11&lt;1,-AU$7+2004+1,-'Tech Parameters'!$I11+1)):AU452)</f>
        <v>0</v>
      </c>
      <c r="AV475" s="76">
        <f t="array" aca="1" ref="AV475" ca="1">SUM(OFFSET(AV126,0,IF(AV$7-2004-'Tech Parameters'!$I11&lt;1,-AV$7+2004+1,-'Tech Parameters'!$I11+1)):AV126*OFFSET(AV452,0,IF(AV$7-2004-'Tech Parameters'!$I11&lt;1,-AV$7+2004+1,-'Tech Parameters'!$I11+1)):AV452)</f>
        <v>0</v>
      </c>
      <c r="AW475" s="76">
        <f t="array" aca="1" ref="AW475" ca="1">SUM(OFFSET(AW126,0,IF(AW$7-2004-'Tech Parameters'!$I11&lt;1,-AW$7+2004+1,-'Tech Parameters'!$I11+1)):AW126*OFFSET(AW452,0,IF(AW$7-2004-'Tech Parameters'!$I11&lt;1,-AW$7+2004+1,-'Tech Parameters'!$I11+1)):AW452)</f>
        <v>0</v>
      </c>
    </row>
    <row r="476" spans="3:49">
      <c r="C476" t="str">
        <f t="shared" si="113"/>
        <v>Biomass</v>
      </c>
      <c r="D476">
        <f t="array" aca="1" ref="D476" ca="1">SUM(OFFSET(D127,0,IF(D$7-2004-'Tech Parameters'!$I12&lt;1,-D$7+2004+1,-'Tech Parameters'!$I12+1)):D127*OFFSET(D453,0,IF(D$7-2004-'Tech Parameters'!$I12&lt;1,-D$7+2004+1,-'Tech Parameters'!$I12+1)):D453)</f>
        <v>0</v>
      </c>
      <c r="E476">
        <f t="array" aca="1" ref="E476" ca="1">SUM(OFFSET(E127,0,IF(E$7-2004-'Tech Parameters'!$I12&lt;1,-E$7+2004+1,-'Tech Parameters'!$I12+1)):E127*OFFSET(E453,0,IF(E$7-2004-'Tech Parameters'!$I12&lt;1,-E$7+2004+1,-'Tech Parameters'!$I12+1)):E453)</f>
        <v>0</v>
      </c>
      <c r="F476">
        <f t="array" aca="1" ref="F476" ca="1">SUM(OFFSET(F127,0,IF(F$7-2004-'Tech Parameters'!$I12&lt;1,-F$7+2004+1,-'Tech Parameters'!$I12+1)):F127*OFFSET(F453,0,IF(F$7-2004-'Tech Parameters'!$I12&lt;1,-F$7+2004+1,-'Tech Parameters'!$I12+1)):F453)</f>
        <v>0</v>
      </c>
      <c r="G476">
        <f t="array" aca="1" ref="G476" ca="1">SUM(OFFSET(G127,0,IF(G$7-2004-'Tech Parameters'!$I12&lt;1,-G$7+2004+1,-'Tech Parameters'!$I12+1)):G127*OFFSET(G453,0,IF(G$7-2004-'Tech Parameters'!$I12&lt;1,-G$7+2004+1,-'Tech Parameters'!$I12+1)):G453)</f>
        <v>0</v>
      </c>
      <c r="H476">
        <f t="array" aca="1" ref="H476" ca="1">SUM(OFFSET(H127,0,IF(H$7-2004-'Tech Parameters'!$I12&lt;1,-H$7+2004+1,-'Tech Parameters'!$I12+1)):H127*OFFSET(H453,0,IF(H$7-2004-'Tech Parameters'!$I12&lt;1,-H$7+2004+1,-'Tech Parameters'!$I12+1)):H453)</f>
        <v>0</v>
      </c>
      <c r="I476">
        <f t="array" aca="1" ref="I476" ca="1">SUM(OFFSET(I127,0,IF(I$7-2004-'Tech Parameters'!$I12&lt;1,-I$7+2004+1,-'Tech Parameters'!$I12+1)):I127*OFFSET(I453,0,IF(I$7-2004-'Tech Parameters'!$I12&lt;1,-I$7+2004+1,-'Tech Parameters'!$I12+1)):I453)</f>
        <v>0</v>
      </c>
      <c r="J476">
        <f t="array" aca="1" ref="J476" ca="1">SUM(OFFSET(J127,0,IF(J$7-2004-'Tech Parameters'!$I12&lt;1,-J$7+2004+1,-'Tech Parameters'!$I12+1)):J127*OFFSET(J453,0,IF(J$7-2004-'Tech Parameters'!$I12&lt;1,-J$7+2004+1,-'Tech Parameters'!$I12+1)):J453)</f>
        <v>0</v>
      </c>
      <c r="K476">
        <f t="array" aca="1" ref="K476" ca="1">SUM(OFFSET(K127,0,IF(K$7-2004-'Tech Parameters'!$I12&lt;1,-K$7+2004+1,-'Tech Parameters'!$I12+1)):K127*OFFSET(K453,0,IF(K$7-2004-'Tech Parameters'!$I12&lt;1,-K$7+2004+1,-'Tech Parameters'!$I12+1)):K453)</f>
        <v>0</v>
      </c>
      <c r="L476">
        <f t="array" aca="1" ref="L476" ca="1">SUM(OFFSET(L127,0,IF(L$7-2004-'Tech Parameters'!$I12&lt;1,-L$7+2004+1,-'Tech Parameters'!$I12+1)):L127*OFFSET(L453,0,IF(L$7-2004-'Tech Parameters'!$I12&lt;1,-L$7+2004+1,-'Tech Parameters'!$I12+1)):L453)</f>
        <v>0</v>
      </c>
      <c r="M476">
        <f t="array" aca="1" ref="M476" ca="1">SUM(OFFSET(M127,0,IF(M$7-2004-'Tech Parameters'!$I12&lt;1,-M$7+2004+1,-'Tech Parameters'!$I12+1)):M127*OFFSET(M453,0,IF(M$7-2004-'Tech Parameters'!$I12&lt;1,-M$7+2004+1,-'Tech Parameters'!$I12+1)):M453)</f>
        <v>0</v>
      </c>
      <c r="N476">
        <f t="array" aca="1" ref="N476" ca="1">SUM(OFFSET(N127,0,IF(N$7-2004-'Tech Parameters'!$I12&lt;1,-N$7+2004+1,-'Tech Parameters'!$I12+1)):N127*OFFSET(N453,0,IF(N$7-2004-'Tech Parameters'!$I12&lt;1,-N$7+2004+1,-'Tech Parameters'!$I12+1)):N453)</f>
        <v>0</v>
      </c>
      <c r="O476">
        <f t="array" aca="1" ref="O476" ca="1">SUM(OFFSET(O127,0,IF(O$7-2004-'Tech Parameters'!$I12&lt;1,-O$7+2004+1,-'Tech Parameters'!$I12+1)):O127*OFFSET(O453,0,IF(O$7-2004-'Tech Parameters'!$I12&lt;1,-O$7+2004+1,-'Tech Parameters'!$I12+1)):O453)</f>
        <v>0</v>
      </c>
      <c r="P476">
        <f t="array" aca="1" ref="P476" ca="1">SUM(OFFSET(P127,0,IF(P$7-2004-'Tech Parameters'!$I12&lt;1,-P$7+2004+1,-'Tech Parameters'!$I12+1)):P127*OFFSET(P453,0,IF(P$7-2004-'Tech Parameters'!$I12&lt;1,-P$7+2004+1,-'Tech Parameters'!$I12+1)):P453)</f>
        <v>0</v>
      </c>
      <c r="Q476">
        <f t="array" aca="1" ref="Q476" ca="1">SUM(OFFSET(Q127,0,IF(Q$7-2004-'Tech Parameters'!$I12&lt;1,-Q$7+2004+1,-'Tech Parameters'!$I12+1)):Q127*OFFSET(Q453,0,IF(Q$7-2004-'Tech Parameters'!$I12&lt;1,-Q$7+2004+1,-'Tech Parameters'!$I12+1)):Q453)</f>
        <v>0</v>
      </c>
      <c r="R476">
        <f t="array" aca="1" ref="R476" ca="1">SUM(OFFSET(R127,0,IF(R$7-2004-'Tech Parameters'!$I12&lt;1,-R$7+2004+1,-'Tech Parameters'!$I12+1)):R127*OFFSET(R453,0,IF(R$7-2004-'Tech Parameters'!$I12&lt;1,-R$7+2004+1,-'Tech Parameters'!$I12+1)):R453)</f>
        <v>0</v>
      </c>
      <c r="S476">
        <f t="array" aca="1" ref="S476" ca="1">SUM(OFFSET(S127,0,IF(S$7-2004-'Tech Parameters'!$I12&lt;1,-S$7+2004+1,-'Tech Parameters'!$I12+1)):S127*OFFSET(S453,0,IF(S$7-2004-'Tech Parameters'!$I12&lt;1,-S$7+2004+1,-'Tech Parameters'!$I12+1)):S453)</f>
        <v>0</v>
      </c>
      <c r="T476">
        <f t="array" aca="1" ref="T476" ca="1">SUM(OFFSET(T127,0,IF(T$7-2004-'Tech Parameters'!$I12&lt;1,-T$7+2004+1,-'Tech Parameters'!$I12+1)):T127*OFFSET(T453,0,IF(T$7-2004-'Tech Parameters'!$I12&lt;1,-T$7+2004+1,-'Tech Parameters'!$I12+1)):T453)</f>
        <v>0</v>
      </c>
      <c r="U476">
        <f t="array" aca="1" ref="U476" ca="1">SUM(OFFSET(U127,0,IF(U$7-2004-'Tech Parameters'!$I12&lt;1,-U$7+2004+1,-'Tech Parameters'!$I12+1)):U127*OFFSET(U453,0,IF(U$7-2004-'Tech Parameters'!$I12&lt;1,-U$7+2004+1,-'Tech Parameters'!$I12+1)):U453)</f>
        <v>0</v>
      </c>
      <c r="V476">
        <f t="array" aca="1" ref="V476" ca="1">SUM(OFFSET(V127,0,IF(V$7-2004-'Tech Parameters'!$I12&lt;1,-V$7+2004+1,-'Tech Parameters'!$I12+1)):V127*OFFSET(V453,0,IF(V$7-2004-'Tech Parameters'!$I12&lt;1,-V$7+2004+1,-'Tech Parameters'!$I12+1)):V453)</f>
        <v>0</v>
      </c>
      <c r="W476">
        <f t="array" aca="1" ref="W476" ca="1">SUM(OFFSET(W127,0,IF(W$7-2004-'Tech Parameters'!$I12&lt;1,-W$7+2004+1,-'Tech Parameters'!$I12+1)):W127*OFFSET(W453,0,IF(W$7-2004-'Tech Parameters'!$I12&lt;1,-W$7+2004+1,-'Tech Parameters'!$I12+1)):W453)</f>
        <v>0</v>
      </c>
      <c r="X476">
        <f t="array" aca="1" ref="X476" ca="1">SUM(OFFSET(X127,0,IF(X$7-2004-'Tech Parameters'!$I12&lt;1,-X$7+2004+1,-'Tech Parameters'!$I12+1)):X127*OFFSET(X453,0,IF(X$7-2004-'Tech Parameters'!$I12&lt;1,-X$7+2004+1,-'Tech Parameters'!$I12+1)):X453)</f>
        <v>0</v>
      </c>
      <c r="Y476">
        <f t="array" aca="1" ref="Y476" ca="1">SUM(OFFSET(Y127,0,IF(Y$7-2004-'Tech Parameters'!$I12&lt;1,-Y$7+2004+1,-'Tech Parameters'!$I12+1)):Y127*OFFSET(Y453,0,IF(Y$7-2004-'Tech Parameters'!$I12&lt;1,-Y$7+2004+1,-'Tech Parameters'!$I12+1)):Y453)</f>
        <v>0</v>
      </c>
      <c r="Z476">
        <f t="array" aca="1" ref="Z476" ca="1">SUM(OFFSET(Z127,0,IF(Z$7-2004-'Tech Parameters'!$I12&lt;1,-Z$7+2004+1,-'Tech Parameters'!$I12+1)):Z127*OFFSET(Z453,0,IF(Z$7-2004-'Tech Parameters'!$I12&lt;1,-Z$7+2004+1,-'Tech Parameters'!$I12+1)):Z453)</f>
        <v>0</v>
      </c>
      <c r="AA476">
        <f t="array" aca="1" ref="AA476" ca="1">SUM(OFFSET(AA127,0,IF(AA$7-2004-'Tech Parameters'!$I12&lt;1,-AA$7+2004+1,-'Tech Parameters'!$I12+1)):AA127*OFFSET(AA453,0,IF(AA$7-2004-'Tech Parameters'!$I12&lt;1,-AA$7+2004+1,-'Tech Parameters'!$I12+1)):AA453)</f>
        <v>0</v>
      </c>
      <c r="AB476">
        <f t="array" aca="1" ref="AB476" ca="1">SUM(OFFSET(AB127,0,IF(AB$7-2004-'Tech Parameters'!$I12&lt;1,-AB$7+2004+1,-'Tech Parameters'!$I12+1)):AB127*OFFSET(AB453,0,IF(AB$7-2004-'Tech Parameters'!$I12&lt;1,-AB$7+2004+1,-'Tech Parameters'!$I12+1)):AB453)</f>
        <v>0</v>
      </c>
      <c r="AC476">
        <f t="array" aca="1" ref="AC476" ca="1">SUM(OFFSET(AC127,0,IF(AC$7-2004-'Tech Parameters'!$I12&lt;1,-AC$7+2004+1,-'Tech Parameters'!$I12+1)):AC127*OFFSET(AC453,0,IF(AC$7-2004-'Tech Parameters'!$I12&lt;1,-AC$7+2004+1,-'Tech Parameters'!$I12+1)):AC453)</f>
        <v>0</v>
      </c>
      <c r="AD476" s="76">
        <f t="array" aca="1" ref="AD476" ca="1">SUM(OFFSET(AD127,0,IF(AD$7-2004-'Tech Parameters'!$I12&lt;1,-AD$7+2004+1,-'Tech Parameters'!$I12+1)):AD127*OFFSET(AD453,0,IF(AD$7-2004-'Tech Parameters'!$I12&lt;1,-AD$7+2004+1,-'Tech Parameters'!$I12+1)):AD453)</f>
        <v>0</v>
      </c>
      <c r="AE476" s="76">
        <f t="array" aca="1" ref="AE476" ca="1">SUM(OFFSET(AE127,0,IF(AE$7-2004-'Tech Parameters'!$I12&lt;1,-AE$7+2004+1,-'Tech Parameters'!$I12+1)):AE127*OFFSET(AE453,0,IF(AE$7-2004-'Tech Parameters'!$I12&lt;1,-AE$7+2004+1,-'Tech Parameters'!$I12+1)):AE453)</f>
        <v>0</v>
      </c>
      <c r="AF476" s="76">
        <f t="array" aca="1" ref="AF476" ca="1">SUM(OFFSET(AF127,0,IF(AF$7-2004-'Tech Parameters'!$I12&lt;1,-AF$7+2004+1,-'Tech Parameters'!$I12+1)):AF127*OFFSET(AF453,0,IF(AF$7-2004-'Tech Parameters'!$I12&lt;1,-AF$7+2004+1,-'Tech Parameters'!$I12+1)):AF453)</f>
        <v>0</v>
      </c>
      <c r="AG476" s="76">
        <f t="array" aca="1" ref="AG476" ca="1">SUM(OFFSET(AG127,0,IF(AG$7-2004-'Tech Parameters'!$I12&lt;1,-AG$7+2004+1,-'Tech Parameters'!$I12+1)):AG127*OFFSET(AG453,0,IF(AG$7-2004-'Tech Parameters'!$I12&lt;1,-AG$7+2004+1,-'Tech Parameters'!$I12+1)):AG453)</f>
        <v>0</v>
      </c>
      <c r="AH476" s="76">
        <f t="array" aca="1" ref="AH476" ca="1">SUM(OFFSET(AH127,0,IF(AH$7-2004-'Tech Parameters'!$I12&lt;1,-AH$7+2004+1,-'Tech Parameters'!$I12+1)):AH127*OFFSET(AH453,0,IF(AH$7-2004-'Tech Parameters'!$I12&lt;1,-AH$7+2004+1,-'Tech Parameters'!$I12+1)):AH453)</f>
        <v>0</v>
      </c>
      <c r="AI476" s="76">
        <f t="array" aca="1" ref="AI476" ca="1">SUM(OFFSET(AI127,0,IF(AI$7-2004-'Tech Parameters'!$I12&lt;1,-AI$7+2004+1,-'Tech Parameters'!$I12+1)):AI127*OFFSET(AI453,0,IF(AI$7-2004-'Tech Parameters'!$I12&lt;1,-AI$7+2004+1,-'Tech Parameters'!$I12+1)):AI453)</f>
        <v>0</v>
      </c>
      <c r="AJ476" s="76">
        <f t="array" aca="1" ref="AJ476" ca="1">SUM(OFFSET(AJ127,0,IF(AJ$7-2004-'Tech Parameters'!$I12&lt;1,-AJ$7+2004+1,-'Tech Parameters'!$I12+1)):AJ127*OFFSET(AJ453,0,IF(AJ$7-2004-'Tech Parameters'!$I12&lt;1,-AJ$7+2004+1,-'Tech Parameters'!$I12+1)):AJ453)</f>
        <v>0</v>
      </c>
      <c r="AK476" s="76">
        <f t="array" aca="1" ref="AK476" ca="1">SUM(OFFSET(AK127,0,IF(AK$7-2004-'Tech Parameters'!$I12&lt;1,-AK$7+2004+1,-'Tech Parameters'!$I12+1)):AK127*OFFSET(AK453,0,IF(AK$7-2004-'Tech Parameters'!$I12&lt;1,-AK$7+2004+1,-'Tech Parameters'!$I12+1)):AK453)</f>
        <v>0</v>
      </c>
      <c r="AL476" s="76">
        <f t="array" aca="1" ref="AL476" ca="1">SUM(OFFSET(AL127,0,IF(AL$7-2004-'Tech Parameters'!$I12&lt;1,-AL$7+2004+1,-'Tech Parameters'!$I12+1)):AL127*OFFSET(AL453,0,IF(AL$7-2004-'Tech Parameters'!$I12&lt;1,-AL$7+2004+1,-'Tech Parameters'!$I12+1)):AL453)</f>
        <v>0</v>
      </c>
      <c r="AM476" s="76">
        <f t="array" aca="1" ref="AM476" ca="1">SUM(OFFSET(AM127,0,IF(AM$7-2004-'Tech Parameters'!$I12&lt;1,-AM$7+2004+1,-'Tech Parameters'!$I12+1)):AM127*OFFSET(AM453,0,IF(AM$7-2004-'Tech Parameters'!$I12&lt;1,-AM$7+2004+1,-'Tech Parameters'!$I12+1)):AM453)</f>
        <v>0</v>
      </c>
      <c r="AN476" s="76">
        <f t="array" aca="1" ref="AN476" ca="1">SUM(OFFSET(AN127,0,IF(AN$7-2004-'Tech Parameters'!$I12&lt;1,-AN$7+2004+1,-'Tech Parameters'!$I12+1)):AN127*OFFSET(AN453,0,IF(AN$7-2004-'Tech Parameters'!$I12&lt;1,-AN$7+2004+1,-'Tech Parameters'!$I12+1)):AN453)</f>
        <v>0</v>
      </c>
      <c r="AO476" s="76">
        <f t="array" aca="1" ref="AO476" ca="1">SUM(OFFSET(AO127,0,IF(AO$7-2004-'Tech Parameters'!$I12&lt;1,-AO$7+2004+1,-'Tech Parameters'!$I12+1)):AO127*OFFSET(AO453,0,IF(AO$7-2004-'Tech Parameters'!$I12&lt;1,-AO$7+2004+1,-'Tech Parameters'!$I12+1)):AO453)</f>
        <v>0</v>
      </c>
      <c r="AP476" s="76">
        <f t="array" aca="1" ref="AP476" ca="1">SUM(OFFSET(AP127,0,IF(AP$7-2004-'Tech Parameters'!$I12&lt;1,-AP$7+2004+1,-'Tech Parameters'!$I12+1)):AP127*OFFSET(AP453,0,IF(AP$7-2004-'Tech Parameters'!$I12&lt;1,-AP$7+2004+1,-'Tech Parameters'!$I12+1)):AP453)</f>
        <v>0</v>
      </c>
      <c r="AQ476" s="76">
        <f t="array" aca="1" ref="AQ476" ca="1">SUM(OFFSET(AQ127,0,IF(AQ$7-2004-'Tech Parameters'!$I12&lt;1,-AQ$7+2004+1,-'Tech Parameters'!$I12+1)):AQ127*OFFSET(AQ453,0,IF(AQ$7-2004-'Tech Parameters'!$I12&lt;1,-AQ$7+2004+1,-'Tech Parameters'!$I12+1)):AQ453)</f>
        <v>0</v>
      </c>
      <c r="AR476" s="76">
        <f t="array" aca="1" ref="AR476" ca="1">SUM(OFFSET(AR127,0,IF(AR$7-2004-'Tech Parameters'!$I12&lt;1,-AR$7+2004+1,-'Tech Parameters'!$I12+1)):AR127*OFFSET(AR453,0,IF(AR$7-2004-'Tech Parameters'!$I12&lt;1,-AR$7+2004+1,-'Tech Parameters'!$I12+1)):AR453)</f>
        <v>0</v>
      </c>
      <c r="AS476" s="76">
        <f t="array" aca="1" ref="AS476" ca="1">SUM(OFFSET(AS127,0,IF(AS$7-2004-'Tech Parameters'!$I12&lt;1,-AS$7+2004+1,-'Tech Parameters'!$I12+1)):AS127*OFFSET(AS453,0,IF(AS$7-2004-'Tech Parameters'!$I12&lt;1,-AS$7+2004+1,-'Tech Parameters'!$I12+1)):AS453)</f>
        <v>0</v>
      </c>
      <c r="AT476" s="76">
        <f t="array" aca="1" ref="AT476" ca="1">SUM(OFFSET(AT127,0,IF(AT$7-2004-'Tech Parameters'!$I12&lt;1,-AT$7+2004+1,-'Tech Parameters'!$I12+1)):AT127*OFFSET(AT453,0,IF(AT$7-2004-'Tech Parameters'!$I12&lt;1,-AT$7+2004+1,-'Tech Parameters'!$I12+1)):AT453)</f>
        <v>0</v>
      </c>
      <c r="AU476" s="76">
        <f t="array" aca="1" ref="AU476" ca="1">SUM(OFFSET(AU127,0,IF(AU$7-2004-'Tech Parameters'!$I12&lt;1,-AU$7+2004+1,-'Tech Parameters'!$I12+1)):AU127*OFFSET(AU453,0,IF(AU$7-2004-'Tech Parameters'!$I12&lt;1,-AU$7+2004+1,-'Tech Parameters'!$I12+1)):AU453)</f>
        <v>0</v>
      </c>
      <c r="AV476" s="76">
        <f t="array" aca="1" ref="AV476" ca="1">SUM(OFFSET(AV127,0,IF(AV$7-2004-'Tech Parameters'!$I12&lt;1,-AV$7+2004+1,-'Tech Parameters'!$I12+1)):AV127*OFFSET(AV453,0,IF(AV$7-2004-'Tech Parameters'!$I12&lt;1,-AV$7+2004+1,-'Tech Parameters'!$I12+1)):AV453)</f>
        <v>0</v>
      </c>
      <c r="AW476" s="76">
        <f t="array" aca="1" ref="AW476" ca="1">SUM(OFFSET(AW127,0,IF(AW$7-2004-'Tech Parameters'!$I12&lt;1,-AW$7+2004+1,-'Tech Parameters'!$I12+1)):AW127*OFFSET(AW453,0,IF(AW$7-2004-'Tech Parameters'!$I12&lt;1,-AW$7+2004+1,-'Tech Parameters'!$I12+1)):AW453)</f>
        <v>0</v>
      </c>
    </row>
    <row r="477" spans="3:49">
      <c r="C477" t="str">
        <f t="shared" si="113"/>
        <v>Supercritical coal</v>
      </c>
      <c r="D477">
        <f t="array" aca="1" ref="D477" ca="1">SUM(OFFSET(D128,0,IF(D$7-2004-'Tech Parameters'!$I13&lt;1,-D$7+2004+1,-'Tech Parameters'!$I13+1)):D128*OFFSET(D454,0,IF(D$7-2004-'Tech Parameters'!$I13&lt;1,-D$7+2004+1,-'Tech Parameters'!$I13+1)):D454)</f>
        <v>0</v>
      </c>
      <c r="E477">
        <f t="array" aca="1" ref="E477" ca="1">SUM(OFFSET(E128,0,IF(E$7-2004-'Tech Parameters'!$I13&lt;1,-E$7+2004+1,-'Tech Parameters'!$I13+1)):E128*OFFSET(E454,0,IF(E$7-2004-'Tech Parameters'!$I13&lt;1,-E$7+2004+1,-'Tech Parameters'!$I13+1)):E454)</f>
        <v>0</v>
      </c>
      <c r="F477">
        <f t="array" aca="1" ref="F477" ca="1">SUM(OFFSET(F128,0,IF(F$7-2004-'Tech Parameters'!$I13&lt;1,-F$7+2004+1,-'Tech Parameters'!$I13+1)):F128*OFFSET(F454,0,IF(F$7-2004-'Tech Parameters'!$I13&lt;1,-F$7+2004+1,-'Tech Parameters'!$I13+1)):F454)</f>
        <v>0</v>
      </c>
      <c r="G477">
        <f t="array" aca="1" ref="G477" ca="1">SUM(OFFSET(G128,0,IF(G$7-2004-'Tech Parameters'!$I13&lt;1,-G$7+2004+1,-'Tech Parameters'!$I13+1)):G128*OFFSET(G454,0,IF(G$7-2004-'Tech Parameters'!$I13&lt;1,-G$7+2004+1,-'Tech Parameters'!$I13+1)):G454)</f>
        <v>0</v>
      </c>
      <c r="H477">
        <f t="array" aca="1" ref="H477" ca="1">SUM(OFFSET(H128,0,IF(H$7-2004-'Tech Parameters'!$I13&lt;1,-H$7+2004+1,-'Tech Parameters'!$I13+1)):H128*OFFSET(H454,0,IF(H$7-2004-'Tech Parameters'!$I13&lt;1,-H$7+2004+1,-'Tech Parameters'!$I13+1)):H454)</f>
        <v>0</v>
      </c>
      <c r="I477">
        <f t="array" aca="1" ref="I477" ca="1">SUM(OFFSET(I128,0,IF(I$7-2004-'Tech Parameters'!$I13&lt;1,-I$7+2004+1,-'Tech Parameters'!$I13+1)):I128*OFFSET(I454,0,IF(I$7-2004-'Tech Parameters'!$I13&lt;1,-I$7+2004+1,-'Tech Parameters'!$I13+1)):I454)</f>
        <v>0</v>
      </c>
      <c r="J477">
        <f t="array" aca="1" ref="J477" ca="1">SUM(OFFSET(J128,0,IF(J$7-2004-'Tech Parameters'!$I13&lt;1,-J$7+2004+1,-'Tech Parameters'!$I13+1)):J128*OFFSET(J454,0,IF(J$7-2004-'Tech Parameters'!$I13&lt;1,-J$7+2004+1,-'Tech Parameters'!$I13+1)):J454)</f>
        <v>0</v>
      </c>
      <c r="K477">
        <f t="array" aca="1" ref="K477" ca="1">SUM(OFFSET(K128,0,IF(K$7-2004-'Tech Parameters'!$I13&lt;1,-K$7+2004+1,-'Tech Parameters'!$I13+1)):K128*OFFSET(K454,0,IF(K$7-2004-'Tech Parameters'!$I13&lt;1,-K$7+2004+1,-'Tech Parameters'!$I13+1)):K454)</f>
        <v>1663.2311120001971</v>
      </c>
      <c r="L477">
        <f t="array" aca="1" ref="L477" ca="1">SUM(OFFSET(L128,0,IF(L$7-2004-'Tech Parameters'!$I13&lt;1,-L$7+2004+1,-'Tech Parameters'!$I13+1)):L128*OFFSET(L454,0,IF(L$7-2004-'Tech Parameters'!$I13&lt;1,-L$7+2004+1,-'Tech Parameters'!$I13+1)):L454)</f>
        <v>4979.3946913442433</v>
      </c>
      <c r="M477">
        <f t="array" aca="1" ref="M477" ca="1">SUM(OFFSET(M128,0,IF(M$7-2004-'Tech Parameters'!$I13&lt;1,-M$7+2004+1,-'Tech Parameters'!$I13+1)):M128*OFFSET(M454,0,IF(M$7-2004-'Tech Parameters'!$I13&lt;1,-M$7+2004+1,-'Tech Parameters'!$I13+1)):M454)</f>
        <v>9938.1920933757901</v>
      </c>
      <c r="N477">
        <f t="array" aca="1" ref="N477" ca="1">SUM(OFFSET(N128,0,IF(N$7-2004-'Tech Parameters'!$I13&lt;1,-N$7+2004+1,-'Tech Parameters'!$I13+1)):N128*OFFSET(N454,0,IF(N$7-2004-'Tech Parameters'!$I13&lt;1,-N$7+2004+1,-'Tech Parameters'!$I13+1)):N454)</f>
        <v>14881.541528422815</v>
      </c>
      <c r="O477">
        <f t="array" aca="1" ref="O477" ca="1">SUM(OFFSET(O128,0,IF(O$7-2004-'Tech Parameters'!$I13&lt;1,-O$7+2004+1,-'Tech Parameters'!$I13+1)):O128*OFFSET(O454,0,IF(O$7-2004-'Tech Parameters'!$I13&lt;1,-O$7+2004+1,-'Tech Parameters'!$I13+1)):O454)</f>
        <v>18166.809173797817</v>
      </c>
      <c r="P477">
        <f t="array" aca="1" ref="P477" ca="1">SUM(OFFSET(P128,0,IF(P$7-2004-'Tech Parameters'!$I13&lt;1,-P$7+2004+1,-'Tech Parameters'!$I13+1)):P128*OFFSET(P454,0,IF(P$7-2004-'Tech Parameters'!$I13&lt;1,-P$7+2004+1,-'Tech Parameters'!$I13+1)):P454)</f>
        <v>19804.293674157147</v>
      </c>
      <c r="Q477">
        <f t="array" aca="1" ref="Q477" ca="1">SUM(OFFSET(Q128,0,IF(Q$7-2004-'Tech Parameters'!$I13&lt;1,-Q$7+2004+1,-'Tech Parameters'!$I13+1)):Q128*OFFSET(Q454,0,IF(Q$7-2004-'Tech Parameters'!$I13&lt;1,-Q$7+2004+1,-'Tech Parameters'!$I13+1)):Q454)</f>
        <v>19804.293674157147</v>
      </c>
      <c r="R477">
        <f t="array" aca="1" ref="R477" ca="1">SUM(OFFSET(R128,0,IF(R$7-2004-'Tech Parameters'!$I13&lt;1,-R$7+2004+1,-'Tech Parameters'!$I13+1)):R128*OFFSET(R454,0,IF(R$7-2004-'Tech Parameters'!$I13&lt;1,-R$7+2004+1,-'Tech Parameters'!$I13+1)):R454)</f>
        <v>19804.293674157147</v>
      </c>
      <c r="S477">
        <f t="array" aca="1" ref="S477" ca="1">SUM(OFFSET(S128,0,IF(S$7-2004-'Tech Parameters'!$I13&lt;1,-S$7+2004+1,-'Tech Parameters'!$I13+1)):S128*OFFSET(S454,0,IF(S$7-2004-'Tech Parameters'!$I13&lt;1,-S$7+2004+1,-'Tech Parameters'!$I13+1)):S454)</f>
        <v>19804.293674157147</v>
      </c>
      <c r="T477">
        <f t="array" aca="1" ref="T477" ca="1">SUM(OFFSET(T128,0,IF(T$7-2004-'Tech Parameters'!$I13&lt;1,-T$7+2004+1,-'Tech Parameters'!$I13+1)):T128*OFFSET(T454,0,IF(T$7-2004-'Tech Parameters'!$I13&lt;1,-T$7+2004+1,-'Tech Parameters'!$I13+1)):T454)</f>
        <v>19804.293674157147</v>
      </c>
      <c r="U477">
        <f t="array" aca="1" ref="U477" ca="1">SUM(OFFSET(U128,0,IF(U$7-2004-'Tech Parameters'!$I13&lt;1,-U$7+2004+1,-'Tech Parameters'!$I13+1)):U128*OFFSET(U454,0,IF(U$7-2004-'Tech Parameters'!$I13&lt;1,-U$7+2004+1,-'Tech Parameters'!$I13+1)):U454)</f>
        <v>19804.293674157147</v>
      </c>
      <c r="V477">
        <f t="array" aca="1" ref="V477" ca="1">SUM(OFFSET(V128,0,IF(V$7-2004-'Tech Parameters'!$I13&lt;1,-V$7+2004+1,-'Tech Parameters'!$I13+1)):V128*OFFSET(V454,0,IF(V$7-2004-'Tech Parameters'!$I13&lt;1,-V$7+2004+1,-'Tech Parameters'!$I13+1)):V454)</f>
        <v>19804.293674157147</v>
      </c>
      <c r="W477">
        <f t="array" aca="1" ref="W477" ca="1">SUM(OFFSET(W128,0,IF(W$7-2004-'Tech Parameters'!$I13&lt;1,-W$7+2004+1,-'Tech Parameters'!$I13+1)):W128*OFFSET(W454,0,IF(W$7-2004-'Tech Parameters'!$I13&lt;1,-W$7+2004+1,-'Tech Parameters'!$I13+1)):W454)</f>
        <v>19804.293674157147</v>
      </c>
      <c r="X477">
        <f t="array" aca="1" ref="X477" ca="1">SUM(OFFSET(X128,0,IF(X$7-2004-'Tech Parameters'!$I13&lt;1,-X$7+2004+1,-'Tech Parameters'!$I13+1)):X128*OFFSET(X454,0,IF(X$7-2004-'Tech Parameters'!$I13&lt;1,-X$7+2004+1,-'Tech Parameters'!$I13+1)):X454)</f>
        <v>19804.293674157147</v>
      </c>
      <c r="Y477">
        <f t="array" aca="1" ref="Y477" ca="1">SUM(OFFSET(Y128,0,IF(Y$7-2004-'Tech Parameters'!$I13&lt;1,-Y$7+2004+1,-'Tech Parameters'!$I13+1)):Y128*OFFSET(Y454,0,IF(Y$7-2004-'Tech Parameters'!$I13&lt;1,-Y$7+2004+1,-'Tech Parameters'!$I13+1)):Y454)</f>
        <v>19804.293674157147</v>
      </c>
      <c r="Z477">
        <f t="array" aca="1" ref="Z477" ca="1">SUM(OFFSET(Z128,0,IF(Z$7-2004-'Tech Parameters'!$I13&lt;1,-Z$7+2004+1,-'Tech Parameters'!$I13+1)):Z128*OFFSET(Z454,0,IF(Z$7-2004-'Tech Parameters'!$I13&lt;1,-Z$7+2004+1,-'Tech Parameters'!$I13+1)):Z454)</f>
        <v>19804.293674157147</v>
      </c>
      <c r="AA477">
        <f t="array" aca="1" ref="AA477" ca="1">SUM(OFFSET(AA128,0,IF(AA$7-2004-'Tech Parameters'!$I13&lt;1,-AA$7+2004+1,-'Tech Parameters'!$I13+1)):AA128*OFFSET(AA454,0,IF(AA$7-2004-'Tech Parameters'!$I13&lt;1,-AA$7+2004+1,-'Tech Parameters'!$I13+1)):AA454)</f>
        <v>19804.293674157147</v>
      </c>
      <c r="AB477">
        <f t="array" aca="1" ref="AB477" ca="1">SUM(OFFSET(AB128,0,IF(AB$7-2004-'Tech Parameters'!$I13&lt;1,-AB$7+2004+1,-'Tech Parameters'!$I13+1)):AB128*OFFSET(AB454,0,IF(AB$7-2004-'Tech Parameters'!$I13&lt;1,-AB$7+2004+1,-'Tech Parameters'!$I13+1)):AB454)</f>
        <v>19804.293674157147</v>
      </c>
      <c r="AC477">
        <f t="array" aca="1" ref="AC477" ca="1">SUM(OFFSET(AC128,0,IF(AC$7-2004-'Tech Parameters'!$I13&lt;1,-AC$7+2004+1,-'Tech Parameters'!$I13+1)):AC128*OFFSET(AC454,0,IF(AC$7-2004-'Tech Parameters'!$I13&lt;1,-AC$7+2004+1,-'Tech Parameters'!$I13+1)):AC454)</f>
        <v>19804.293674157147</v>
      </c>
      <c r="AD477" s="76">
        <f t="array" aca="1" ref="AD477" ca="1">SUM(OFFSET(AD128,0,IF(AD$7-2004-'Tech Parameters'!$I13&lt;1,-AD$7+2004+1,-'Tech Parameters'!$I13+1)):AD128*OFFSET(AD454,0,IF(AD$7-2004-'Tech Parameters'!$I13&lt;1,-AD$7+2004+1,-'Tech Parameters'!$I13+1)):AD454)</f>
        <v>19804.293674157147</v>
      </c>
      <c r="AE477" s="76">
        <f t="array" aca="1" ref="AE477" ca="1">SUM(OFFSET(AE128,0,IF(AE$7-2004-'Tech Parameters'!$I13&lt;1,-AE$7+2004+1,-'Tech Parameters'!$I13+1)):AE128*OFFSET(AE454,0,IF(AE$7-2004-'Tech Parameters'!$I13&lt;1,-AE$7+2004+1,-'Tech Parameters'!$I13+1)):AE454)</f>
        <v>19804.293674157147</v>
      </c>
      <c r="AF477" s="76">
        <f t="array" aca="1" ref="AF477" ca="1">SUM(OFFSET(AF128,0,IF(AF$7-2004-'Tech Parameters'!$I13&lt;1,-AF$7+2004+1,-'Tech Parameters'!$I13+1)):AF128*OFFSET(AF454,0,IF(AF$7-2004-'Tech Parameters'!$I13&lt;1,-AF$7+2004+1,-'Tech Parameters'!$I13+1)):AF454)</f>
        <v>19804.293674157147</v>
      </c>
      <c r="AG477" s="76">
        <f t="array" aca="1" ref="AG477" ca="1">SUM(OFFSET(AG128,0,IF(AG$7-2004-'Tech Parameters'!$I13&lt;1,-AG$7+2004+1,-'Tech Parameters'!$I13+1)):AG128*OFFSET(AG454,0,IF(AG$7-2004-'Tech Parameters'!$I13&lt;1,-AG$7+2004+1,-'Tech Parameters'!$I13+1)):AG454)</f>
        <v>19804.293674157147</v>
      </c>
      <c r="AH477" s="76">
        <f t="array" aca="1" ref="AH477" ca="1">SUM(OFFSET(AH128,0,IF(AH$7-2004-'Tech Parameters'!$I13&lt;1,-AH$7+2004+1,-'Tech Parameters'!$I13+1)):AH128*OFFSET(AH454,0,IF(AH$7-2004-'Tech Parameters'!$I13&lt;1,-AH$7+2004+1,-'Tech Parameters'!$I13+1)):AH454)</f>
        <v>19804.293674157147</v>
      </c>
      <c r="AI477" s="76">
        <f t="array" aca="1" ref="AI477" ca="1">SUM(OFFSET(AI128,0,IF(AI$7-2004-'Tech Parameters'!$I13&lt;1,-AI$7+2004+1,-'Tech Parameters'!$I13+1)):AI128*OFFSET(AI454,0,IF(AI$7-2004-'Tech Parameters'!$I13&lt;1,-AI$7+2004+1,-'Tech Parameters'!$I13+1)):AI454)</f>
        <v>19804.293674157147</v>
      </c>
      <c r="AJ477" s="76">
        <f t="array" aca="1" ref="AJ477" ca="1">SUM(OFFSET(AJ128,0,IF(AJ$7-2004-'Tech Parameters'!$I13&lt;1,-AJ$7+2004+1,-'Tech Parameters'!$I13+1)):AJ128*OFFSET(AJ454,0,IF(AJ$7-2004-'Tech Parameters'!$I13&lt;1,-AJ$7+2004+1,-'Tech Parameters'!$I13+1)):AJ454)</f>
        <v>19804.293674157147</v>
      </c>
      <c r="AK477" s="76">
        <f t="array" aca="1" ref="AK477" ca="1">SUM(OFFSET(AK128,0,IF(AK$7-2004-'Tech Parameters'!$I13&lt;1,-AK$7+2004+1,-'Tech Parameters'!$I13+1)):AK128*OFFSET(AK454,0,IF(AK$7-2004-'Tech Parameters'!$I13&lt;1,-AK$7+2004+1,-'Tech Parameters'!$I13+1)):AK454)</f>
        <v>19804.293674157147</v>
      </c>
      <c r="AL477" s="76">
        <f t="array" aca="1" ref="AL477" ca="1">SUM(OFFSET(AL128,0,IF(AL$7-2004-'Tech Parameters'!$I13&lt;1,-AL$7+2004+1,-'Tech Parameters'!$I13+1)):AL128*OFFSET(AL454,0,IF(AL$7-2004-'Tech Parameters'!$I13&lt;1,-AL$7+2004+1,-'Tech Parameters'!$I13+1)):AL454)</f>
        <v>19804.293674157147</v>
      </c>
      <c r="AM477" s="76">
        <f t="array" aca="1" ref="AM477" ca="1">SUM(OFFSET(AM128,0,IF(AM$7-2004-'Tech Parameters'!$I13&lt;1,-AM$7+2004+1,-'Tech Parameters'!$I13+1)):AM128*OFFSET(AM454,0,IF(AM$7-2004-'Tech Parameters'!$I13&lt;1,-AM$7+2004+1,-'Tech Parameters'!$I13+1)):AM454)</f>
        <v>19804.293674157147</v>
      </c>
      <c r="AN477" s="76">
        <f t="array" aca="1" ref="AN477" ca="1">SUM(OFFSET(AN128,0,IF(AN$7-2004-'Tech Parameters'!$I13&lt;1,-AN$7+2004+1,-'Tech Parameters'!$I13+1)):AN128*OFFSET(AN454,0,IF(AN$7-2004-'Tech Parameters'!$I13&lt;1,-AN$7+2004+1,-'Tech Parameters'!$I13+1)):AN454)</f>
        <v>19804.293674157147</v>
      </c>
      <c r="AO477" s="76">
        <f t="array" aca="1" ref="AO477" ca="1">SUM(OFFSET(AO128,0,IF(AO$7-2004-'Tech Parameters'!$I13&lt;1,-AO$7+2004+1,-'Tech Parameters'!$I13+1)):AO128*OFFSET(AO454,0,IF(AO$7-2004-'Tech Parameters'!$I13&lt;1,-AO$7+2004+1,-'Tech Parameters'!$I13+1)):AO454)</f>
        <v>19669.366449312216</v>
      </c>
      <c r="AP477" s="76">
        <f t="array" aca="1" ref="AP477" ca="1">SUM(OFFSET(AP128,0,IF(AP$7-2004-'Tech Parameters'!$I13&lt;1,-AP$7+2004+1,-'Tech Parameters'!$I13+1)):AP128*OFFSET(AP454,0,IF(AP$7-2004-'Tech Parameters'!$I13&lt;1,-AP$7+2004+1,-'Tech Parameters'!$I13+1)):AP454)</f>
        <v>19404.202189646934</v>
      </c>
      <c r="AQ477" s="76">
        <f t="array" aca="1" ref="AQ477" ca="1">SUM(OFFSET(AQ128,0,IF(AQ$7-2004-'Tech Parameters'!$I13&lt;1,-AQ$7+2004+1,-'Tech Parameters'!$I13+1)):AQ128*OFFSET(AQ454,0,IF(AQ$7-2004-'Tech Parameters'!$I13&lt;1,-AQ$7+2004+1,-'Tech Parameters'!$I13+1)):AQ454)</f>
        <v>19013.491085185899</v>
      </c>
      <c r="AR477" s="76">
        <f t="array" aca="1" ref="AR477" ca="1">SUM(OFFSET(AR128,0,IF(AR$7-2004-'Tech Parameters'!$I13&lt;1,-AR$7+2004+1,-'Tech Parameters'!$I13+1)):AR128*OFFSET(AR454,0,IF(AR$7-2004-'Tech Parameters'!$I13&lt;1,-AR$7+2004+1,-'Tech Parameters'!$I13+1)):AR454)</f>
        <v>18629.815265761739</v>
      </c>
      <c r="AS477" s="76">
        <f t="array" aca="1" ref="AS477" ca="1">SUM(OFFSET(AS128,0,IF(AS$7-2004-'Tech Parameters'!$I13&lt;1,-AS$7+2004+1,-'Tech Parameters'!$I13+1)):AS128*OFFSET(AS454,0,IF(AS$7-2004-'Tech Parameters'!$I13&lt;1,-AS$7+2004+1,-'Tech Parameters'!$I13+1)):AS454)</f>
        <v>18378.721576170221</v>
      </c>
      <c r="AT477" s="76">
        <f t="array" aca="1" ref="AT477" ca="1">SUM(OFFSET(AT128,0,IF(AT$7-2004-'Tech Parameters'!$I13&lt;1,-AT$7+2004+1,-'Tech Parameters'!$I13+1)):AT128*OFFSET(AT454,0,IF(AT$7-2004-'Tech Parameters'!$I13&lt;1,-AT$7+2004+1,-'Tech Parameters'!$I13+1)):AT454)</f>
        <v>18255.51982638675</v>
      </c>
      <c r="AU477" s="76">
        <f t="array" aca="1" ref="AU477" ca="1">SUM(OFFSET(AU128,0,IF(AU$7-2004-'Tech Parameters'!$I13&lt;1,-AU$7+2004+1,-'Tech Parameters'!$I13+1)):AU128*OFFSET(AU454,0,IF(AU$7-2004-'Tech Parameters'!$I13&lt;1,-AU$7+2004+1,-'Tech Parameters'!$I13+1)):AU454)</f>
        <v>18255.51982638675</v>
      </c>
      <c r="AV477" s="76">
        <f t="array" aca="1" ref="AV477" ca="1">SUM(OFFSET(AV128,0,IF(AV$7-2004-'Tech Parameters'!$I13&lt;1,-AV$7+2004+1,-'Tech Parameters'!$I13+1)):AV128*OFFSET(AV454,0,IF(AV$7-2004-'Tech Parameters'!$I13&lt;1,-AV$7+2004+1,-'Tech Parameters'!$I13+1)):AV454)</f>
        <v>18255.51982638675</v>
      </c>
      <c r="AW477" s="76">
        <f t="array" aca="1" ref="AW477" ca="1">SUM(OFFSET(AW128,0,IF(AW$7-2004-'Tech Parameters'!$I13&lt;1,-AW$7+2004+1,-'Tech Parameters'!$I13+1)):AW128*OFFSET(AW454,0,IF(AW$7-2004-'Tech Parameters'!$I13&lt;1,-AW$7+2004+1,-'Tech Parameters'!$I13+1)):AW454)</f>
        <v>18255.51982638675</v>
      </c>
    </row>
    <row r="478" spans="3:49">
      <c r="C478" t="str">
        <f t="shared" si="113"/>
        <v xml:space="preserve">Wind 30% </v>
      </c>
      <c r="D478">
        <f t="array" aca="1" ref="D478" ca="1">SUM(OFFSET(D129,0,IF(D$7-2004-'Tech Parameters'!$I14&lt;1,-D$7+2004+1,-'Tech Parameters'!$I14+1)):D129*OFFSET(D455,0,IF(D$7-2004-'Tech Parameters'!$I14&lt;1,-D$7+2004+1,-'Tech Parameters'!$I14+1)):D455)</f>
        <v>0</v>
      </c>
      <c r="E478">
        <f t="array" aca="1" ref="E478" ca="1">SUM(OFFSET(E129,0,IF(E$7-2004-'Tech Parameters'!$I14&lt;1,-E$7+2004+1,-'Tech Parameters'!$I14+1)):E129*OFFSET(E455,0,IF(E$7-2004-'Tech Parameters'!$I14&lt;1,-E$7+2004+1,-'Tech Parameters'!$I14+1)):E455)</f>
        <v>0</v>
      </c>
      <c r="F478">
        <f t="array" aca="1" ref="F478" ca="1">SUM(OFFSET(F129,0,IF(F$7-2004-'Tech Parameters'!$I14&lt;1,-F$7+2004+1,-'Tech Parameters'!$I14+1)):F129*OFFSET(F455,0,IF(F$7-2004-'Tech Parameters'!$I14&lt;1,-F$7+2004+1,-'Tech Parameters'!$I14+1)):F455)</f>
        <v>0</v>
      </c>
      <c r="G478">
        <f t="array" aca="1" ref="G478" ca="1">SUM(OFFSET(G129,0,IF(G$7-2004-'Tech Parameters'!$I14&lt;1,-G$7+2004+1,-'Tech Parameters'!$I14+1)):G129*OFFSET(G455,0,IF(G$7-2004-'Tech Parameters'!$I14&lt;1,-G$7+2004+1,-'Tech Parameters'!$I14+1)):G455)</f>
        <v>0</v>
      </c>
      <c r="H478">
        <f t="array" aca="1" ref="H478" ca="1">SUM(OFFSET(H129,0,IF(H$7-2004-'Tech Parameters'!$I14&lt;1,-H$7+2004+1,-'Tech Parameters'!$I14+1)):H129*OFFSET(H455,0,IF(H$7-2004-'Tech Parameters'!$I14&lt;1,-H$7+2004+1,-'Tech Parameters'!$I14+1)):H455)</f>
        <v>0</v>
      </c>
      <c r="I478">
        <f t="array" aca="1" ref="I478" ca="1">SUM(OFFSET(I129,0,IF(I$7-2004-'Tech Parameters'!$I14&lt;1,-I$7+2004+1,-'Tech Parameters'!$I14+1)):I129*OFFSET(I455,0,IF(I$7-2004-'Tech Parameters'!$I14&lt;1,-I$7+2004+1,-'Tech Parameters'!$I14+1)):I455)</f>
        <v>183.26556628016303</v>
      </c>
      <c r="J478">
        <f t="array" aca="1" ref="J478" ca="1">SUM(OFFSET(J129,0,IF(J$7-2004-'Tech Parameters'!$I14&lt;1,-J$7+2004+1,-'Tech Parameters'!$I14+1)):J129*OFFSET(J455,0,IF(J$7-2004-'Tech Parameters'!$I14&lt;1,-J$7+2004+1,-'Tech Parameters'!$I14+1)):J455)</f>
        <v>540.15114272048049</v>
      </c>
      <c r="K478">
        <f t="array" aca="1" ref="K478" ca="1">SUM(OFFSET(K129,0,IF(K$7-2004-'Tech Parameters'!$I14&lt;1,-K$7+2004+1,-'Tech Parameters'!$I14+1)):K129*OFFSET(K455,0,IF(K$7-2004-'Tech Parameters'!$I14&lt;1,-K$7+2004+1,-'Tech Parameters'!$I14+1)):K455)</f>
        <v>887.39116304078937</v>
      </c>
      <c r="L478">
        <f t="array" aca="1" ref="L478" ca="1">SUM(OFFSET(L129,0,IF(L$7-2004-'Tech Parameters'!$I14&lt;1,-L$7+2004+1,-'Tech Parameters'!$I14+1)):L129*OFFSET(L455,0,IF(L$7-2004-'Tech Parameters'!$I14&lt;1,-L$7+2004+1,-'Tech Parameters'!$I14+1)):L455)</f>
        <v>1564.5092026653915</v>
      </c>
      <c r="M478">
        <f t="array" aca="1" ref="M478" ca="1">SUM(OFFSET(M129,0,IF(M$7-2004-'Tech Parameters'!$I14&lt;1,-M$7+2004+1,-'Tech Parameters'!$I14+1)):M129*OFFSET(M455,0,IF(M$7-2004-'Tech Parameters'!$I14&lt;1,-M$7+2004+1,-'Tech Parameters'!$I14+1)):M455)</f>
        <v>2224.2652412739781</v>
      </c>
      <c r="N478">
        <f t="array" aca="1" ref="N478" ca="1">SUM(OFFSET(N129,0,IF(N$7-2004-'Tech Parameters'!$I14&lt;1,-N$7+2004+1,-'Tech Parameters'!$I14+1)):N129*OFFSET(N455,0,IF(N$7-2004-'Tech Parameters'!$I14&lt;1,-N$7+2004+1,-'Tech Parameters'!$I14+1)):N455)</f>
        <v>3509.0533164591207</v>
      </c>
      <c r="O478">
        <f t="array" aca="1" ref="O478" ca="1">SUM(OFFSET(O129,0,IF(O$7-2004-'Tech Parameters'!$I14&lt;1,-O$7+2004+1,-'Tech Parameters'!$I14+1)):O129*OFFSET(O455,0,IF(O$7-2004-'Tech Parameters'!$I14&lt;1,-O$7+2004+1,-'Tech Parameters'!$I14+1)):O455)</f>
        <v>4759.1173896122327</v>
      </c>
      <c r="P478">
        <f t="array" aca="1" ref="P478" ca="1">SUM(OFFSET(P129,0,IF(P$7-2004-'Tech Parameters'!$I14&lt;1,-P$7+2004+1,-'Tech Parameters'!$I14+1)):P129*OFFSET(P455,0,IF(P$7-2004-'Tech Parameters'!$I14&lt;1,-P$7+2004+1,-'Tech Parameters'!$I14+1)):P455)</f>
        <v>6290.4458792247951</v>
      </c>
      <c r="Q478">
        <f t="array" aca="1" ref="Q478" ca="1">SUM(OFFSET(Q129,0,IF(Q$7-2004-'Tech Parameters'!$I14&lt;1,-Q$7+2004+1,-'Tech Parameters'!$I14+1)):Q129*OFFSET(Q455,0,IF(Q$7-2004-'Tech Parameters'!$I14&lt;1,-Q$7+2004+1,-'Tech Parameters'!$I14+1)):Q455)</f>
        <v>7790.5227670085296</v>
      </c>
      <c r="R478">
        <f t="array" aca="1" ref="R478" ca="1">SUM(OFFSET(R129,0,IF(R$7-2004-'Tech Parameters'!$I14&lt;1,-R$7+2004+1,-'Tech Parameters'!$I14+1)):R129*OFFSET(R455,0,IF(R$7-2004-'Tech Parameters'!$I14&lt;1,-R$7+2004+1,-'Tech Parameters'!$I14+1)):R455)</f>
        <v>9993.7606959408895</v>
      </c>
      <c r="S478">
        <f t="array" aca="1" ref="S478" ca="1">SUM(OFFSET(S129,0,IF(S$7-2004-'Tech Parameters'!$I14&lt;1,-S$7+2004+1,-'Tech Parameters'!$I14+1)):S129*OFFSET(S455,0,IF(S$7-2004-'Tech Parameters'!$I14&lt;1,-S$7+2004+1,-'Tech Parameters'!$I14+1)):S455)</f>
        <v>12150.121222130008</v>
      </c>
      <c r="T478">
        <f t="array" aca="1" ref="T478" ca="1">SUM(OFFSET(T129,0,IF(T$7-2004-'Tech Parameters'!$I14&lt;1,-T$7+2004+1,-'Tech Parameters'!$I14+1)):T129*OFFSET(T455,0,IF(T$7-2004-'Tech Parameters'!$I14&lt;1,-T$7+2004+1,-'Tech Parameters'!$I14+1)):T455)</f>
        <v>14962.76538672451</v>
      </c>
      <c r="U478">
        <f t="array" aca="1" ref="U478" ca="1">SUM(OFFSET(U129,0,IF(U$7-2004-'Tech Parameters'!$I14&lt;1,-U$7+2004+1,-'Tech Parameters'!$I14+1)):U129*OFFSET(U455,0,IF(U$7-2004-'Tech Parameters'!$I14&lt;1,-U$7+2004+1,-'Tech Parameters'!$I14+1)):U455)</f>
        <v>14962.76538672451</v>
      </c>
      <c r="V478">
        <f t="array" aca="1" ref="V478" ca="1">SUM(OFFSET(V129,0,IF(V$7-2004-'Tech Parameters'!$I14&lt;1,-V$7+2004+1,-'Tech Parameters'!$I14+1)):V129*OFFSET(V455,0,IF(V$7-2004-'Tech Parameters'!$I14&lt;1,-V$7+2004+1,-'Tech Parameters'!$I14+1)):V455)</f>
        <v>14962.76538672451</v>
      </c>
      <c r="W478">
        <f t="array" aca="1" ref="W478" ca="1">SUM(OFFSET(W129,0,IF(W$7-2004-'Tech Parameters'!$I14&lt;1,-W$7+2004+1,-'Tech Parameters'!$I14+1)):W129*OFFSET(W455,0,IF(W$7-2004-'Tech Parameters'!$I14&lt;1,-W$7+2004+1,-'Tech Parameters'!$I14+1)):W455)</f>
        <v>14962.76538672451</v>
      </c>
      <c r="X478">
        <f t="array" aca="1" ref="X478" ca="1">SUM(OFFSET(X129,0,IF(X$7-2004-'Tech Parameters'!$I14&lt;1,-X$7+2004+1,-'Tech Parameters'!$I14+1)):X129*OFFSET(X455,0,IF(X$7-2004-'Tech Parameters'!$I14&lt;1,-X$7+2004+1,-'Tech Parameters'!$I14+1)):X455)</f>
        <v>14962.76538672451</v>
      </c>
      <c r="Y478">
        <f t="array" aca="1" ref="Y478" ca="1">SUM(OFFSET(Y129,0,IF(Y$7-2004-'Tech Parameters'!$I14&lt;1,-Y$7+2004+1,-'Tech Parameters'!$I14+1)):Y129*OFFSET(Y455,0,IF(Y$7-2004-'Tech Parameters'!$I14&lt;1,-Y$7+2004+1,-'Tech Parameters'!$I14+1)):Y455)</f>
        <v>14962.76538672451</v>
      </c>
      <c r="Z478">
        <f t="array" aca="1" ref="Z478" ca="1">SUM(OFFSET(Z129,0,IF(Z$7-2004-'Tech Parameters'!$I14&lt;1,-Z$7+2004+1,-'Tech Parameters'!$I14+1)):Z129*OFFSET(Z455,0,IF(Z$7-2004-'Tech Parameters'!$I14&lt;1,-Z$7+2004+1,-'Tech Parameters'!$I14+1)):Z455)</f>
        <v>14962.76538672451</v>
      </c>
      <c r="AA478">
        <f t="array" aca="1" ref="AA478" ca="1">SUM(OFFSET(AA129,0,IF(AA$7-2004-'Tech Parameters'!$I14&lt;1,-AA$7+2004+1,-'Tech Parameters'!$I14+1)):AA129*OFFSET(AA455,0,IF(AA$7-2004-'Tech Parameters'!$I14&lt;1,-AA$7+2004+1,-'Tech Parameters'!$I14+1)):AA455)</f>
        <v>14962.76538672451</v>
      </c>
      <c r="AB478">
        <f t="array" aca="1" ref="AB478" ca="1">SUM(OFFSET(AB129,0,IF(AB$7-2004-'Tech Parameters'!$I14&lt;1,-AB$7+2004+1,-'Tech Parameters'!$I14+1)):AB129*OFFSET(AB455,0,IF(AB$7-2004-'Tech Parameters'!$I14&lt;1,-AB$7+2004+1,-'Tech Parameters'!$I14+1)):AB455)</f>
        <v>14962.76538672451</v>
      </c>
      <c r="AC478">
        <f t="array" aca="1" ref="AC478" ca="1">SUM(OFFSET(AC129,0,IF(AC$7-2004-'Tech Parameters'!$I14&lt;1,-AC$7+2004+1,-'Tech Parameters'!$I14+1)):AC129*OFFSET(AC455,0,IF(AC$7-2004-'Tech Parameters'!$I14&lt;1,-AC$7+2004+1,-'Tech Parameters'!$I14+1)):AC455)</f>
        <v>14779.499820444347</v>
      </c>
      <c r="AD478" s="76">
        <f t="array" aca="1" ref="AD478" ca="1">SUM(OFFSET(AD129,0,IF(AD$7-2004-'Tech Parameters'!$I14&lt;1,-AD$7+2004+1,-'Tech Parameters'!$I14+1)):AD129*OFFSET(AD455,0,IF(AD$7-2004-'Tech Parameters'!$I14&lt;1,-AD$7+2004+1,-'Tech Parameters'!$I14+1)):AD455)</f>
        <v>14687.333694789393</v>
      </c>
      <c r="AE478" s="76">
        <f t="array" aca="1" ref="AE478" ca="1">SUM(OFFSET(AE129,0,IF(AE$7-2004-'Tech Parameters'!$I14&lt;1,-AE$7+2004+1,-'Tech Parameters'!$I14+1)):AE129*OFFSET(AE455,0,IF(AE$7-2004-'Tech Parameters'!$I14&lt;1,-AE$7+2004+1,-'Tech Parameters'!$I14+1)):AE455)</f>
        <v>14603.158628687042</v>
      </c>
      <c r="AF478" s="76">
        <f t="array" aca="1" ref="AF478" ca="1">SUM(OFFSET(AF129,0,IF(AF$7-2004-'Tech Parameters'!$I14&lt;1,-AF$7+2004+1,-'Tech Parameters'!$I14+1)):AF129*OFFSET(AF455,0,IF(AF$7-2004-'Tech Parameters'!$I14&lt;1,-AF$7+2004+1,-'Tech Parameters'!$I14+1)):AF455)</f>
        <v>14448.861504363533</v>
      </c>
      <c r="AG478" s="76">
        <f t="array" aca="1" ref="AG478" ca="1">SUM(OFFSET(AG129,0,IF(AG$7-2004-'Tech Parameters'!$I14&lt;1,-AG$7+2004+1,-'Tech Parameters'!$I14+1)):AG129*OFFSET(AG455,0,IF(AG$7-2004-'Tech Parameters'!$I14&lt;1,-AG$7+2004+1,-'Tech Parameters'!$I14+1)):AG455)</f>
        <v>14308.617387921226</v>
      </c>
      <c r="AH478" s="76">
        <f t="array" aca="1" ref="AH478" ca="1">SUM(OFFSET(AH129,0,IF(AH$7-2004-'Tech Parameters'!$I14&lt;1,-AH$7+2004+1,-'Tech Parameters'!$I14+1)):AH129*OFFSET(AH455,0,IF(AH$7-2004-'Tech Parameters'!$I14&lt;1,-AH$7+2004+1,-'Tech Parameters'!$I14+1)):AH455)</f>
        <v>14056.235170799007</v>
      </c>
      <c r="AI478" s="76">
        <f t="array" aca="1" ref="AI478" ca="1">SUM(OFFSET(AI129,0,IF(AI$7-2004-'Tech Parameters'!$I14&lt;1,-AI$7+2004+1,-'Tech Parameters'!$I14+1)):AI129*OFFSET(AI455,0,IF(AI$7-2004-'Tech Parameters'!$I14&lt;1,-AI$7+2004+1,-'Tech Parameters'!$I14+1)):AI455)</f>
        <v>13831.958969439183</v>
      </c>
      <c r="AJ478" s="76">
        <f t="array" aca="1" ref="AJ478" ca="1">SUM(OFFSET(AJ129,0,IF(AJ$7-2004-'Tech Parameters'!$I14&lt;1,-AJ$7+2004+1,-'Tech Parameters'!$I14+1)):AJ129*OFFSET(AJ455,0,IF(AJ$7-2004-'Tech Parameters'!$I14&lt;1,-AJ$7+2004+1,-'Tech Parameters'!$I14+1)):AJ455)</f>
        <v>13574.59283673119</v>
      </c>
      <c r="AK478" s="76">
        <f t="array" aca="1" ref="AK478" ca="1">SUM(OFFSET(AK129,0,IF(AK$7-2004-'Tech Parameters'!$I14&lt;1,-AK$7+2004+1,-'Tech Parameters'!$I14+1)):AK129*OFFSET(AK455,0,IF(AK$7-2004-'Tech Parameters'!$I14&lt;1,-AK$7+2004+1,-'Tech Parameters'!$I14+1)):AK455)</f>
        <v>13340.205823014981</v>
      </c>
      <c r="AL478" s="76">
        <f t="array" aca="1" ref="AL478" ca="1">SUM(OFFSET(AL129,0,IF(AL$7-2004-'Tech Parameters'!$I14&lt;1,-AL$7+2004+1,-'Tech Parameters'!$I14+1)):AL129*OFFSET(AL455,0,IF(AL$7-2004-'Tech Parameters'!$I14&lt;1,-AL$7+2004+1,-'Tech Parameters'!$I14+1)):AL455)</f>
        <v>13035.502705183913</v>
      </c>
      <c r="AM478" s="76">
        <f t="array" aca="1" ref="AM478" ca="1">SUM(OFFSET(AM129,0,IF(AM$7-2004-'Tech Parameters'!$I14&lt;1,-AM$7+2004+1,-'Tech Parameters'!$I14+1)):AM129*OFFSET(AM455,0,IF(AM$7-2004-'Tech Parameters'!$I14&lt;1,-AM$7+2004+1,-'Tech Parameters'!$I14+1)):AM455)</f>
        <v>12777.676990096083</v>
      </c>
      <c r="AN478" s="76">
        <f t="array" aca="1" ref="AN478" ca="1">SUM(OFFSET(AN129,0,IF(AN$7-2004-'Tech Parameters'!$I14&lt;1,-AN$7+2004+1,-'Tech Parameters'!$I14+1)):AN129*OFFSET(AN455,0,IF(AN$7-2004-'Tech Parameters'!$I14&lt;1,-AN$7+2004+1,-'Tech Parameters'!$I14+1)):AN455)</f>
        <v>12496.412573636633</v>
      </c>
      <c r="AO478" s="76">
        <f t="array" aca="1" ref="AO478" ca="1">SUM(OFFSET(AO129,0,IF(AO$7-2004-'Tech Parameters'!$I14&lt;1,-AO$7+2004+1,-'Tech Parameters'!$I14+1)):AO129*OFFSET(AO455,0,IF(AO$7-2004-'Tech Parameters'!$I14&lt;1,-AO$7+2004+1,-'Tech Parameters'!$I14+1)):AO455)</f>
        <v>12496.412573636633</v>
      </c>
      <c r="AP478" s="76">
        <f t="array" aca="1" ref="AP478" ca="1">SUM(OFFSET(AP129,0,IF(AP$7-2004-'Tech Parameters'!$I14&lt;1,-AP$7+2004+1,-'Tech Parameters'!$I14+1)):AP129*OFFSET(AP455,0,IF(AP$7-2004-'Tech Parameters'!$I14&lt;1,-AP$7+2004+1,-'Tech Parameters'!$I14+1)):AP455)</f>
        <v>12496.412573636633</v>
      </c>
      <c r="AQ478" s="76">
        <f t="array" aca="1" ref="AQ478" ca="1">SUM(OFFSET(AQ129,0,IF(AQ$7-2004-'Tech Parameters'!$I14&lt;1,-AQ$7+2004+1,-'Tech Parameters'!$I14+1)):AQ129*OFFSET(AQ455,0,IF(AQ$7-2004-'Tech Parameters'!$I14&lt;1,-AQ$7+2004+1,-'Tech Parameters'!$I14+1)):AQ455)</f>
        <v>12496.412573636633</v>
      </c>
      <c r="AR478" s="76">
        <f t="array" aca="1" ref="AR478" ca="1">SUM(OFFSET(AR129,0,IF(AR$7-2004-'Tech Parameters'!$I14&lt;1,-AR$7+2004+1,-'Tech Parameters'!$I14+1)):AR129*OFFSET(AR455,0,IF(AR$7-2004-'Tech Parameters'!$I14&lt;1,-AR$7+2004+1,-'Tech Parameters'!$I14+1)):AR455)</f>
        <v>12496.412573636633</v>
      </c>
      <c r="AS478" s="76">
        <f t="array" aca="1" ref="AS478" ca="1">SUM(OFFSET(AS129,0,IF(AS$7-2004-'Tech Parameters'!$I14&lt;1,-AS$7+2004+1,-'Tech Parameters'!$I14+1)):AS129*OFFSET(AS455,0,IF(AS$7-2004-'Tech Parameters'!$I14&lt;1,-AS$7+2004+1,-'Tech Parameters'!$I14+1)):AS455)</f>
        <v>12496.412573636633</v>
      </c>
      <c r="AT478" s="76">
        <f t="array" aca="1" ref="AT478" ca="1">SUM(OFFSET(AT129,0,IF(AT$7-2004-'Tech Parameters'!$I14&lt;1,-AT$7+2004+1,-'Tech Parameters'!$I14+1)):AT129*OFFSET(AT455,0,IF(AT$7-2004-'Tech Parameters'!$I14&lt;1,-AT$7+2004+1,-'Tech Parameters'!$I14+1)):AT455)</f>
        <v>12496.412573636633</v>
      </c>
      <c r="AU478" s="76">
        <f t="array" aca="1" ref="AU478" ca="1">SUM(OFFSET(AU129,0,IF(AU$7-2004-'Tech Parameters'!$I14&lt;1,-AU$7+2004+1,-'Tech Parameters'!$I14+1)):AU129*OFFSET(AU455,0,IF(AU$7-2004-'Tech Parameters'!$I14&lt;1,-AU$7+2004+1,-'Tech Parameters'!$I14+1)):AU455)</f>
        <v>12496.412573636633</v>
      </c>
      <c r="AV478" s="76">
        <f t="array" aca="1" ref="AV478" ca="1">SUM(OFFSET(AV129,0,IF(AV$7-2004-'Tech Parameters'!$I14&lt;1,-AV$7+2004+1,-'Tech Parameters'!$I14+1)):AV129*OFFSET(AV455,0,IF(AV$7-2004-'Tech Parameters'!$I14&lt;1,-AV$7+2004+1,-'Tech Parameters'!$I14+1)):AV455)</f>
        <v>12496.412573636633</v>
      </c>
      <c r="AW478" s="76">
        <f t="array" aca="1" ref="AW478" ca="1">SUM(OFFSET(AW129,0,IF(AW$7-2004-'Tech Parameters'!$I14&lt;1,-AW$7+2004+1,-'Tech Parameters'!$I14+1)):AW129*OFFSET(AW455,0,IF(AW$7-2004-'Tech Parameters'!$I14&lt;1,-AW$7+2004+1,-'Tech Parameters'!$I14+1)):AW455)</f>
        <v>12496.412573636633</v>
      </c>
    </row>
    <row r="479" spans="3:49">
      <c r="C479" t="str">
        <f t="shared" si="113"/>
        <v>Wind 25%</v>
      </c>
      <c r="D479">
        <f t="array" aca="1" ref="D479" ca="1">SUM(OFFSET(D130,0,IF(D$7-2004-'Tech Parameters'!$I15&lt;1,-D$7+2004+1,-'Tech Parameters'!$I15+1)):D130*OFFSET(D456,0,IF(D$7-2004-'Tech Parameters'!$I15&lt;1,-D$7+2004+1,-'Tech Parameters'!$I15+1)):D456)</f>
        <v>0</v>
      </c>
      <c r="E479">
        <f t="array" aca="1" ref="E479" ca="1">SUM(OFFSET(E130,0,IF(E$7-2004-'Tech Parameters'!$I15&lt;1,-E$7+2004+1,-'Tech Parameters'!$I15+1)):E130*OFFSET(E456,0,IF(E$7-2004-'Tech Parameters'!$I15&lt;1,-E$7+2004+1,-'Tech Parameters'!$I15+1)):E456)</f>
        <v>0</v>
      </c>
      <c r="F479">
        <f t="array" aca="1" ref="F479" ca="1">SUM(OFFSET(F130,0,IF(F$7-2004-'Tech Parameters'!$I15&lt;1,-F$7+2004+1,-'Tech Parameters'!$I15+1)):F130*OFFSET(F456,0,IF(F$7-2004-'Tech Parameters'!$I15&lt;1,-F$7+2004+1,-'Tech Parameters'!$I15+1)):F456)</f>
        <v>0</v>
      </c>
      <c r="G479">
        <f t="array" aca="1" ref="G479" ca="1">SUM(OFFSET(G130,0,IF(G$7-2004-'Tech Parameters'!$I15&lt;1,-G$7+2004+1,-'Tech Parameters'!$I15+1)):G130*OFFSET(G456,0,IF(G$7-2004-'Tech Parameters'!$I15&lt;1,-G$7+2004+1,-'Tech Parameters'!$I15+1)):G456)</f>
        <v>0</v>
      </c>
      <c r="H479">
        <f t="array" aca="1" ref="H479" ca="1">SUM(OFFSET(H130,0,IF(H$7-2004-'Tech Parameters'!$I15&lt;1,-H$7+2004+1,-'Tech Parameters'!$I15+1)):H130*OFFSET(H456,0,IF(H$7-2004-'Tech Parameters'!$I15&lt;1,-H$7+2004+1,-'Tech Parameters'!$I15+1)):H456)</f>
        <v>0</v>
      </c>
      <c r="I479">
        <f t="array" aca="1" ref="I479" ca="1">SUM(OFFSET(I130,0,IF(I$7-2004-'Tech Parameters'!$I15&lt;1,-I$7+2004+1,-'Tech Parameters'!$I15+1)):I130*OFFSET(I456,0,IF(I$7-2004-'Tech Parameters'!$I15&lt;1,-I$7+2004+1,-'Tech Parameters'!$I15+1)):I456)</f>
        <v>0</v>
      </c>
      <c r="J479">
        <f t="array" aca="1" ref="J479" ca="1">SUM(OFFSET(J130,0,IF(J$7-2004-'Tech Parameters'!$I15&lt;1,-J$7+2004+1,-'Tech Parameters'!$I15+1)):J130*OFFSET(J456,0,IF(J$7-2004-'Tech Parameters'!$I15&lt;1,-J$7+2004+1,-'Tech Parameters'!$I15+1)):J456)</f>
        <v>0</v>
      </c>
      <c r="K479">
        <f t="array" aca="1" ref="K479" ca="1">SUM(OFFSET(K130,0,IF(K$7-2004-'Tech Parameters'!$I15&lt;1,-K$7+2004+1,-'Tech Parameters'!$I15+1)):K130*OFFSET(K456,0,IF(K$7-2004-'Tech Parameters'!$I15&lt;1,-K$7+2004+1,-'Tech Parameters'!$I15+1)):K456)</f>
        <v>0</v>
      </c>
      <c r="L479">
        <f t="array" aca="1" ref="L479" ca="1">SUM(OFFSET(L130,0,IF(L$7-2004-'Tech Parameters'!$I15&lt;1,-L$7+2004+1,-'Tech Parameters'!$I15+1)):L130*OFFSET(L456,0,IF(L$7-2004-'Tech Parameters'!$I15&lt;1,-L$7+2004+1,-'Tech Parameters'!$I15+1)):L456)</f>
        <v>0</v>
      </c>
      <c r="M479">
        <f t="array" aca="1" ref="M479" ca="1">SUM(OFFSET(M130,0,IF(M$7-2004-'Tech Parameters'!$I15&lt;1,-M$7+2004+1,-'Tech Parameters'!$I15+1)):M130*OFFSET(M456,0,IF(M$7-2004-'Tech Parameters'!$I15&lt;1,-M$7+2004+1,-'Tech Parameters'!$I15+1)):M456)</f>
        <v>0</v>
      </c>
      <c r="N479">
        <f t="array" aca="1" ref="N479" ca="1">SUM(OFFSET(N130,0,IF(N$7-2004-'Tech Parameters'!$I15&lt;1,-N$7+2004+1,-'Tech Parameters'!$I15+1)):N130*OFFSET(N456,0,IF(N$7-2004-'Tech Parameters'!$I15&lt;1,-N$7+2004+1,-'Tech Parameters'!$I15+1)):N456)</f>
        <v>0</v>
      </c>
      <c r="O479">
        <f t="array" aca="1" ref="O479" ca="1">SUM(OFFSET(O130,0,IF(O$7-2004-'Tech Parameters'!$I15&lt;1,-O$7+2004+1,-'Tech Parameters'!$I15+1)):O130*OFFSET(O456,0,IF(O$7-2004-'Tech Parameters'!$I15&lt;1,-O$7+2004+1,-'Tech Parameters'!$I15+1)):O456)</f>
        <v>0</v>
      </c>
      <c r="P479">
        <f t="array" aca="1" ref="P479" ca="1">SUM(OFFSET(P130,0,IF(P$7-2004-'Tech Parameters'!$I15&lt;1,-P$7+2004+1,-'Tech Parameters'!$I15+1)):P130*OFFSET(P456,0,IF(P$7-2004-'Tech Parameters'!$I15&lt;1,-P$7+2004+1,-'Tech Parameters'!$I15+1)):P456)</f>
        <v>0</v>
      </c>
      <c r="Q479">
        <f t="array" aca="1" ref="Q479" ca="1">SUM(OFFSET(Q130,0,IF(Q$7-2004-'Tech Parameters'!$I15&lt;1,-Q$7+2004+1,-'Tech Parameters'!$I15+1)):Q130*OFFSET(Q456,0,IF(Q$7-2004-'Tech Parameters'!$I15&lt;1,-Q$7+2004+1,-'Tech Parameters'!$I15+1)):Q456)</f>
        <v>0</v>
      </c>
      <c r="R479">
        <f t="array" aca="1" ref="R479" ca="1">SUM(OFFSET(R130,0,IF(R$7-2004-'Tech Parameters'!$I15&lt;1,-R$7+2004+1,-'Tech Parameters'!$I15+1)):R130*OFFSET(R456,0,IF(R$7-2004-'Tech Parameters'!$I15&lt;1,-R$7+2004+1,-'Tech Parameters'!$I15+1)):R456)</f>
        <v>0</v>
      </c>
      <c r="S479">
        <f t="array" aca="1" ref="S479" ca="1">SUM(OFFSET(S130,0,IF(S$7-2004-'Tech Parameters'!$I15&lt;1,-S$7+2004+1,-'Tech Parameters'!$I15+1)):S130*OFFSET(S456,0,IF(S$7-2004-'Tech Parameters'!$I15&lt;1,-S$7+2004+1,-'Tech Parameters'!$I15+1)):S456)</f>
        <v>0</v>
      </c>
      <c r="T479">
        <f t="array" aca="1" ref="T479" ca="1">SUM(OFFSET(T130,0,IF(T$7-2004-'Tech Parameters'!$I15&lt;1,-T$7+2004+1,-'Tech Parameters'!$I15+1)):T130*OFFSET(T456,0,IF(T$7-2004-'Tech Parameters'!$I15&lt;1,-T$7+2004+1,-'Tech Parameters'!$I15+1)):T456)</f>
        <v>0</v>
      </c>
      <c r="U479">
        <f t="array" aca="1" ref="U479" ca="1">SUM(OFFSET(U130,0,IF(U$7-2004-'Tech Parameters'!$I15&lt;1,-U$7+2004+1,-'Tech Parameters'!$I15+1)):U130*OFFSET(U456,0,IF(U$7-2004-'Tech Parameters'!$I15&lt;1,-U$7+2004+1,-'Tech Parameters'!$I15+1)):U456)</f>
        <v>1398.0495994602084</v>
      </c>
      <c r="V479">
        <f t="array" aca="1" ref="V479" ca="1">SUM(OFFSET(V130,0,IF(V$7-2004-'Tech Parameters'!$I15&lt;1,-V$7+2004+1,-'Tech Parameters'!$I15+1)):V130*OFFSET(V456,0,IF(V$7-2004-'Tech Parameters'!$I15&lt;1,-V$7+2004+1,-'Tech Parameters'!$I15+1)):V456)</f>
        <v>2787.8267160833739</v>
      </c>
      <c r="W479">
        <f t="array" aca="1" ref="W479" ca="1">SUM(OFFSET(W130,0,IF(W$7-2004-'Tech Parameters'!$I15&lt;1,-W$7+2004+1,-'Tech Parameters'!$I15+1)):W130*OFFSET(W456,0,IF(W$7-2004-'Tech Parameters'!$I15&lt;1,-W$7+2004+1,-'Tech Parameters'!$I15+1)):W456)</f>
        <v>4169.331349869497</v>
      </c>
      <c r="X479">
        <f t="array" aca="1" ref="X479" ca="1">SUM(OFFSET(X130,0,IF(X$7-2004-'Tech Parameters'!$I15&lt;1,-X$7+2004+1,-'Tech Parameters'!$I15+1)):X130*OFFSET(X456,0,IF(X$7-2004-'Tech Parameters'!$I15&lt;1,-X$7+2004+1,-'Tech Parameters'!$I15+1)):X456)</f>
        <v>5542.5635008185782</v>
      </c>
      <c r="Y479">
        <f t="array" aca="1" ref="Y479" ca="1">SUM(OFFSET(Y130,0,IF(Y$7-2004-'Tech Parameters'!$I15&lt;1,-Y$7+2004+1,-'Tech Parameters'!$I15+1)):Y130*OFFSET(Y456,0,IF(Y$7-2004-'Tech Parameters'!$I15&lt;1,-Y$7+2004+1,-'Tech Parameters'!$I15+1)):Y456)</f>
        <v>6907.5231689306156</v>
      </c>
      <c r="Z479">
        <f t="array" aca="1" ref="Z479" ca="1">SUM(OFFSET(Z130,0,IF(Z$7-2004-'Tech Parameters'!$I15&lt;1,-Z$7+2004+1,-'Tech Parameters'!$I15+1)):Z130*OFFSET(Z456,0,IF(Z$7-2004-'Tech Parameters'!$I15&lt;1,-Z$7+2004+1,-'Tech Parameters'!$I15+1)):Z456)</f>
        <v>8264.2103542056102</v>
      </c>
      <c r="AA479">
        <f t="array" aca="1" ref="AA479" ca="1">SUM(OFFSET(AA130,0,IF(AA$7-2004-'Tech Parameters'!$I15&lt;1,-AA$7+2004+1,-'Tech Parameters'!$I15+1)):AA130*OFFSET(AA456,0,IF(AA$7-2004-'Tech Parameters'!$I15&lt;1,-AA$7+2004+1,-'Tech Parameters'!$I15+1)):AA456)</f>
        <v>9612.6250566435629</v>
      </c>
      <c r="AB479">
        <f t="array" aca="1" ref="AB479" ca="1">SUM(OFFSET(AB130,0,IF(AB$7-2004-'Tech Parameters'!$I15&lt;1,-AB$7+2004+1,-'Tech Parameters'!$I15+1)):AB130*OFFSET(AB456,0,IF(AB$7-2004-'Tech Parameters'!$I15&lt;1,-AB$7+2004+1,-'Tech Parameters'!$I15+1)):AB456)</f>
        <v>10952.767276244473</v>
      </c>
      <c r="AC479">
        <f t="array" aca="1" ref="AC479" ca="1">SUM(OFFSET(AC130,0,IF(AC$7-2004-'Tech Parameters'!$I15&lt;1,-AC$7+2004+1,-'Tech Parameters'!$I15+1)):AC130*OFFSET(AC456,0,IF(AC$7-2004-'Tech Parameters'!$I15&lt;1,-AC$7+2004+1,-'Tech Parameters'!$I15+1)):AC456)</f>
        <v>12284.63701300834</v>
      </c>
      <c r="AD479" s="76">
        <f t="array" aca="1" ref="AD479" ca="1">SUM(OFFSET(AD130,0,IF(AD$7-2004-'Tech Parameters'!$I15&lt;1,-AD$7+2004+1,-'Tech Parameters'!$I15+1)):AD130*OFFSET(AD456,0,IF(AD$7-2004-'Tech Parameters'!$I15&lt;1,-AD$7+2004+1,-'Tech Parameters'!$I15+1)):AD456)</f>
        <v>12284.63701300834</v>
      </c>
      <c r="AE479" s="76">
        <f t="array" aca="1" ref="AE479" ca="1">SUM(OFFSET(AE130,0,IF(AE$7-2004-'Tech Parameters'!$I15&lt;1,-AE$7+2004+1,-'Tech Parameters'!$I15+1)):AE130*OFFSET(AE456,0,IF(AE$7-2004-'Tech Parameters'!$I15&lt;1,-AE$7+2004+1,-'Tech Parameters'!$I15+1)):AE456)</f>
        <v>12284.63701300834</v>
      </c>
      <c r="AF479" s="76">
        <f t="array" aca="1" ref="AF479" ca="1">SUM(OFFSET(AF130,0,IF(AF$7-2004-'Tech Parameters'!$I15&lt;1,-AF$7+2004+1,-'Tech Parameters'!$I15+1)):AF130*OFFSET(AF456,0,IF(AF$7-2004-'Tech Parameters'!$I15&lt;1,-AF$7+2004+1,-'Tech Parameters'!$I15+1)):AF456)</f>
        <v>12284.63701300834</v>
      </c>
      <c r="AG479" s="76">
        <f t="array" aca="1" ref="AG479" ca="1">SUM(OFFSET(AG130,0,IF(AG$7-2004-'Tech Parameters'!$I15&lt;1,-AG$7+2004+1,-'Tech Parameters'!$I15+1)):AG130*OFFSET(AG456,0,IF(AG$7-2004-'Tech Parameters'!$I15&lt;1,-AG$7+2004+1,-'Tech Parameters'!$I15+1)):AG456)</f>
        <v>12284.63701300834</v>
      </c>
      <c r="AH479" s="76">
        <f t="array" aca="1" ref="AH479" ca="1">SUM(OFFSET(AH130,0,IF(AH$7-2004-'Tech Parameters'!$I15&lt;1,-AH$7+2004+1,-'Tech Parameters'!$I15+1)):AH130*OFFSET(AH456,0,IF(AH$7-2004-'Tech Parameters'!$I15&lt;1,-AH$7+2004+1,-'Tech Parameters'!$I15+1)):AH456)</f>
        <v>12284.63701300834</v>
      </c>
      <c r="AI479" s="76">
        <f t="array" aca="1" ref="AI479" ca="1">SUM(OFFSET(AI130,0,IF(AI$7-2004-'Tech Parameters'!$I15&lt;1,-AI$7+2004+1,-'Tech Parameters'!$I15+1)):AI130*OFFSET(AI456,0,IF(AI$7-2004-'Tech Parameters'!$I15&lt;1,-AI$7+2004+1,-'Tech Parameters'!$I15+1)):AI456)</f>
        <v>12284.63701300834</v>
      </c>
      <c r="AJ479" s="76">
        <f t="array" aca="1" ref="AJ479" ca="1">SUM(OFFSET(AJ130,0,IF(AJ$7-2004-'Tech Parameters'!$I15&lt;1,-AJ$7+2004+1,-'Tech Parameters'!$I15+1)):AJ130*OFFSET(AJ456,0,IF(AJ$7-2004-'Tech Parameters'!$I15&lt;1,-AJ$7+2004+1,-'Tech Parameters'!$I15+1)):AJ456)</f>
        <v>12284.63701300834</v>
      </c>
      <c r="AK479" s="76">
        <f t="array" aca="1" ref="AK479" ca="1">SUM(OFFSET(AK130,0,IF(AK$7-2004-'Tech Parameters'!$I15&lt;1,-AK$7+2004+1,-'Tech Parameters'!$I15+1)):AK130*OFFSET(AK456,0,IF(AK$7-2004-'Tech Parameters'!$I15&lt;1,-AK$7+2004+1,-'Tech Parameters'!$I15+1)):AK456)</f>
        <v>12284.63701300834</v>
      </c>
      <c r="AL479" s="76">
        <f t="array" aca="1" ref="AL479" ca="1">SUM(OFFSET(AL130,0,IF(AL$7-2004-'Tech Parameters'!$I15&lt;1,-AL$7+2004+1,-'Tech Parameters'!$I15+1)):AL130*OFFSET(AL456,0,IF(AL$7-2004-'Tech Parameters'!$I15&lt;1,-AL$7+2004+1,-'Tech Parameters'!$I15+1)):AL456)</f>
        <v>12284.63701300834</v>
      </c>
      <c r="AM479" s="76">
        <f t="array" aca="1" ref="AM479" ca="1">SUM(OFFSET(AM130,0,IF(AM$7-2004-'Tech Parameters'!$I15&lt;1,-AM$7+2004+1,-'Tech Parameters'!$I15+1)):AM130*OFFSET(AM456,0,IF(AM$7-2004-'Tech Parameters'!$I15&lt;1,-AM$7+2004+1,-'Tech Parameters'!$I15+1)):AM456)</f>
        <v>12284.63701300834</v>
      </c>
      <c r="AN479" s="76">
        <f t="array" aca="1" ref="AN479" ca="1">SUM(OFFSET(AN130,0,IF(AN$7-2004-'Tech Parameters'!$I15&lt;1,-AN$7+2004+1,-'Tech Parameters'!$I15+1)):AN130*OFFSET(AN456,0,IF(AN$7-2004-'Tech Parameters'!$I15&lt;1,-AN$7+2004+1,-'Tech Parameters'!$I15+1)):AN456)</f>
        <v>12284.63701300834</v>
      </c>
      <c r="AO479" s="76">
        <f t="array" aca="1" ref="AO479" ca="1">SUM(OFFSET(AO130,0,IF(AO$7-2004-'Tech Parameters'!$I15&lt;1,-AO$7+2004+1,-'Tech Parameters'!$I15+1)):AO130*OFFSET(AO456,0,IF(AO$7-2004-'Tech Parameters'!$I15&lt;1,-AO$7+2004+1,-'Tech Parameters'!$I15+1)):AO456)</f>
        <v>12152.277287615658</v>
      </c>
      <c r="AP479" s="76">
        <f t="array" aca="1" ref="AP479" ca="1">SUM(OFFSET(AP130,0,IF(AP$7-2004-'Tech Parameters'!$I15&lt;1,-AP$7+2004+1,-'Tech Parameters'!$I15+1)):AP130*OFFSET(AP456,0,IF(AP$7-2004-'Tech Parameters'!$I15&lt;1,-AP$7+2004+1,-'Tech Parameters'!$I15+1)):AP456)</f>
        <v>12028.190045060019</v>
      </c>
      <c r="AQ479" s="76">
        <f t="array" aca="1" ref="AQ479" ca="1">SUM(OFFSET(AQ130,0,IF(AQ$7-2004-'Tech Parameters'!$I15&lt;1,-AQ$7+2004+1,-'Tech Parameters'!$I15+1)):AQ130*OFFSET(AQ456,0,IF(AQ$7-2004-'Tech Parameters'!$I15&lt;1,-AQ$7+2004+1,-'Tech Parameters'!$I15+1)):AQ456)</f>
        <v>11912.375285341421</v>
      </c>
      <c r="AR479" s="76">
        <f t="array" aca="1" ref="AR479" ca="1">SUM(OFFSET(AR130,0,IF(AR$7-2004-'Tech Parameters'!$I15&lt;1,-AR$7+2004+1,-'Tech Parameters'!$I15+1)):AR130*OFFSET(AR456,0,IF(AR$7-2004-'Tech Parameters'!$I15&lt;1,-AR$7+2004+1,-'Tech Parameters'!$I15+1)):AR456)</f>
        <v>11804.833008459867</v>
      </c>
      <c r="AS479" s="76">
        <f t="array" aca="1" ref="AS479" ca="1">SUM(OFFSET(AS130,0,IF(AS$7-2004-'Tech Parameters'!$I15&lt;1,-AS$7+2004+1,-'Tech Parameters'!$I15+1)):AS130*OFFSET(AS456,0,IF(AS$7-2004-'Tech Parameters'!$I15&lt;1,-AS$7+2004+1,-'Tech Parameters'!$I15+1)):AS456)</f>
        <v>11705.563214415355</v>
      </c>
      <c r="AT479" s="76">
        <f t="array" aca="1" ref="AT479" ca="1">SUM(OFFSET(AT130,0,IF(AT$7-2004-'Tech Parameters'!$I15&lt;1,-AT$7+2004+1,-'Tech Parameters'!$I15+1)):AT130*OFFSET(AT456,0,IF(AT$7-2004-'Tech Parameters'!$I15&lt;1,-AT$7+2004+1,-'Tech Parameters'!$I15+1)):AT456)</f>
        <v>11614.565903207886</v>
      </c>
      <c r="AU479" s="76">
        <f t="array" aca="1" ref="AU479" ca="1">SUM(OFFSET(AU130,0,IF(AU$7-2004-'Tech Parameters'!$I15&lt;1,-AU$7+2004+1,-'Tech Parameters'!$I15+1)):AU130*OFFSET(AU456,0,IF(AU$7-2004-'Tech Parameters'!$I15&lt;1,-AU$7+2004+1,-'Tech Parameters'!$I15+1)):AU456)</f>
        <v>11531.841074837459</v>
      </c>
      <c r="AV479" s="76">
        <f t="array" aca="1" ref="AV479" ca="1">SUM(OFFSET(AV130,0,IF(AV$7-2004-'Tech Parameters'!$I15&lt;1,-AV$7+2004+1,-'Tech Parameters'!$I15+1)):AV130*OFFSET(AV456,0,IF(AV$7-2004-'Tech Parameters'!$I15&lt;1,-AV$7+2004+1,-'Tech Parameters'!$I15+1)):AV456)</f>
        <v>11457.388729304075</v>
      </c>
      <c r="AW479" s="76">
        <f t="array" aca="1" ref="AW479" ca="1">SUM(OFFSET(AW130,0,IF(AW$7-2004-'Tech Parameters'!$I15&lt;1,-AW$7+2004+1,-'Tech Parameters'!$I15+1)):AW130*OFFSET(AW456,0,IF(AW$7-2004-'Tech Parameters'!$I15&lt;1,-AW$7+2004+1,-'Tech Parameters'!$I15+1)):AW456)</f>
        <v>11391.208866607734</v>
      </c>
    </row>
    <row r="480" spans="3:49">
      <c r="C480" t="str">
        <f t="shared" si="113"/>
        <v>solar thermal central reciever</v>
      </c>
      <c r="D480">
        <f t="array" aca="1" ref="D480" ca="1">SUM(OFFSET(D131,0,IF(D$7-2004-'Tech Parameters'!$I16&lt;1,-D$7+2004+1,-'Tech Parameters'!$I16+1)):D131*OFFSET(D457,0,IF(D$7-2004-'Tech Parameters'!$I16&lt;1,-D$7+2004+1,-'Tech Parameters'!$I16+1)):D457)</f>
        <v>0</v>
      </c>
      <c r="E480">
        <f t="array" aca="1" ref="E480" ca="1">SUM(OFFSET(E131,0,IF(E$7-2004-'Tech Parameters'!$I16&lt;1,-E$7+2004+1,-'Tech Parameters'!$I16+1)):E131*OFFSET(E457,0,IF(E$7-2004-'Tech Parameters'!$I16&lt;1,-E$7+2004+1,-'Tech Parameters'!$I16+1)):E457)</f>
        <v>0</v>
      </c>
      <c r="F480">
        <f t="array" aca="1" ref="F480" ca="1">SUM(OFFSET(F131,0,IF(F$7-2004-'Tech Parameters'!$I16&lt;1,-F$7+2004+1,-'Tech Parameters'!$I16+1)):F131*OFFSET(F457,0,IF(F$7-2004-'Tech Parameters'!$I16&lt;1,-F$7+2004+1,-'Tech Parameters'!$I16+1)):F457)</f>
        <v>0</v>
      </c>
      <c r="G480">
        <f t="array" aca="1" ref="G480" ca="1">SUM(OFFSET(G131,0,IF(G$7-2004-'Tech Parameters'!$I16&lt;1,-G$7+2004+1,-'Tech Parameters'!$I16+1)):G131*OFFSET(G457,0,IF(G$7-2004-'Tech Parameters'!$I16&lt;1,-G$7+2004+1,-'Tech Parameters'!$I16+1)):G457)</f>
        <v>0</v>
      </c>
      <c r="H480">
        <f t="array" aca="1" ref="H480" ca="1">SUM(OFFSET(H131,0,IF(H$7-2004-'Tech Parameters'!$I16&lt;1,-H$7+2004+1,-'Tech Parameters'!$I16+1)):H131*OFFSET(H457,0,IF(H$7-2004-'Tech Parameters'!$I16&lt;1,-H$7+2004+1,-'Tech Parameters'!$I16+1)):H457)</f>
        <v>0</v>
      </c>
      <c r="I480">
        <f t="array" aca="1" ref="I480" ca="1">SUM(OFFSET(I131,0,IF(I$7-2004-'Tech Parameters'!$I16&lt;1,-I$7+2004+1,-'Tech Parameters'!$I16+1)):I131*OFFSET(I457,0,IF(I$7-2004-'Tech Parameters'!$I16&lt;1,-I$7+2004+1,-'Tech Parameters'!$I16+1)):I457)</f>
        <v>0</v>
      </c>
      <c r="J480">
        <f t="array" aca="1" ref="J480" ca="1">SUM(OFFSET(J131,0,IF(J$7-2004-'Tech Parameters'!$I16&lt;1,-J$7+2004+1,-'Tech Parameters'!$I16+1)):J131*OFFSET(J457,0,IF(J$7-2004-'Tech Parameters'!$I16&lt;1,-J$7+2004+1,-'Tech Parameters'!$I16+1)):J457)</f>
        <v>0</v>
      </c>
      <c r="K480">
        <f t="array" aca="1" ref="K480" ca="1">SUM(OFFSET(K131,0,IF(K$7-2004-'Tech Parameters'!$I16&lt;1,-K$7+2004+1,-'Tech Parameters'!$I16+1)):K131*OFFSET(K457,0,IF(K$7-2004-'Tech Parameters'!$I16&lt;1,-K$7+2004+1,-'Tech Parameters'!$I16+1)):K457)</f>
        <v>0</v>
      </c>
      <c r="L480">
        <f t="array" aca="1" ref="L480" ca="1">SUM(OFFSET(L131,0,IF(L$7-2004-'Tech Parameters'!$I16&lt;1,-L$7+2004+1,-'Tech Parameters'!$I16+1)):L131*OFFSET(L457,0,IF(L$7-2004-'Tech Parameters'!$I16&lt;1,-L$7+2004+1,-'Tech Parameters'!$I16+1)):L457)</f>
        <v>0</v>
      </c>
      <c r="M480">
        <f t="array" aca="1" ref="M480" ca="1">SUM(OFFSET(M131,0,IF(M$7-2004-'Tech Parameters'!$I16&lt;1,-M$7+2004+1,-'Tech Parameters'!$I16+1)):M131*OFFSET(M457,0,IF(M$7-2004-'Tech Parameters'!$I16&lt;1,-M$7+2004+1,-'Tech Parameters'!$I16+1)):M457)</f>
        <v>0</v>
      </c>
      <c r="N480">
        <f t="array" aca="1" ref="N480" ca="1">SUM(OFFSET(N131,0,IF(N$7-2004-'Tech Parameters'!$I16&lt;1,-N$7+2004+1,-'Tech Parameters'!$I16+1)):N131*OFFSET(N457,0,IF(N$7-2004-'Tech Parameters'!$I16&lt;1,-N$7+2004+1,-'Tech Parameters'!$I16+1)):N457)</f>
        <v>590.38388443284248</v>
      </c>
      <c r="O480">
        <f t="array" aca="1" ref="O480" ca="1">SUM(OFFSET(O131,0,IF(O$7-2004-'Tech Parameters'!$I16&lt;1,-O$7+2004+1,-'Tech Parameters'!$I16+1)):O131*OFFSET(O457,0,IF(O$7-2004-'Tech Parameters'!$I16&lt;1,-O$7+2004+1,-'Tech Parameters'!$I16+1)):O457)</f>
        <v>1735.370811817749</v>
      </c>
      <c r="P480">
        <f t="array" aca="1" ref="P480" ca="1">SUM(OFFSET(P131,0,IF(P$7-2004-'Tech Parameters'!$I16&lt;1,-P$7+2004+1,-'Tech Parameters'!$I16+1)):P131*OFFSET(P457,0,IF(P$7-2004-'Tech Parameters'!$I16&lt;1,-P$7+2004+1,-'Tech Parameters'!$I16+1)):P457)</f>
        <v>3968.0953202183173</v>
      </c>
      <c r="Q480">
        <f t="array" aca="1" ref="Q480" ca="1">SUM(OFFSET(Q131,0,IF(Q$7-2004-'Tech Parameters'!$I16&lt;1,-Q$7+2004+1,-'Tech Parameters'!$I16+1)):Q131*OFFSET(Q457,0,IF(Q$7-2004-'Tech Parameters'!$I16&lt;1,-Q$7+2004+1,-'Tech Parameters'!$I16+1)):Q457)</f>
        <v>8319.0456442809627</v>
      </c>
      <c r="R480">
        <f t="array" aca="1" ref="R480" ca="1">SUM(OFFSET(R131,0,IF(R$7-2004-'Tech Parameters'!$I16&lt;1,-R$7+2004+1,-'Tech Parameters'!$I16+1)):R131*OFFSET(R457,0,IF(R$7-2004-'Tech Parameters'!$I16&lt;1,-R$7+2004+1,-'Tech Parameters'!$I16+1)):R457)</f>
        <v>14673.723091267197</v>
      </c>
      <c r="S480">
        <f t="array" aca="1" ref="S480" ca="1">SUM(OFFSET(S131,0,IF(S$7-2004-'Tech Parameters'!$I16&lt;1,-S$7+2004+1,-'Tech Parameters'!$I16+1)):S131*OFFSET(S457,0,IF(S$7-2004-'Tech Parameters'!$I16&lt;1,-S$7+2004+1,-'Tech Parameters'!$I16+1)):S457)</f>
        <v>22917.628968438526</v>
      </c>
      <c r="T480">
        <f t="array" aca="1" ref="T480" ca="1">SUM(OFFSET(T131,0,IF(T$7-2004-'Tech Parameters'!$I16&lt;1,-T$7+2004+1,-'Tech Parameters'!$I16+1)):T131*OFFSET(T457,0,IF(T$7-2004-'Tech Parameters'!$I16&lt;1,-T$7+2004+1,-'Tech Parameters'!$I16+1)):T457)</f>
        <v>32936.264583056458</v>
      </c>
      <c r="U480">
        <f t="array" aca="1" ref="U480" ca="1">SUM(OFFSET(U131,0,IF(U$7-2004-'Tech Parameters'!$I16&lt;1,-U$7+2004+1,-'Tech Parameters'!$I16+1)):U131*OFFSET(U457,0,IF(U$7-2004-'Tech Parameters'!$I16&lt;1,-U$7+2004+1,-'Tech Parameters'!$I16+1)):U457)</f>
        <v>42668.65346582816</v>
      </c>
      <c r="V480">
        <f t="array" aca="1" ref="V480" ca="1">SUM(OFFSET(V131,0,IF(V$7-2004-'Tech Parameters'!$I16&lt;1,-V$7+2004+1,-'Tech Parameters'!$I16+1)):V131*OFFSET(V457,0,IF(V$7-2004-'Tech Parameters'!$I16&lt;1,-V$7+2004+1,-'Tech Parameters'!$I16+1)):V457)</f>
        <v>56837.866692216376</v>
      </c>
      <c r="W480">
        <f t="array" aca="1" ref="W480" ca="1">SUM(OFFSET(W131,0,IF(W$7-2004-'Tech Parameters'!$I16&lt;1,-W$7+2004+1,-'Tech Parameters'!$I16+1)):W131*OFFSET(W457,0,IF(W$7-2004-'Tech Parameters'!$I16&lt;1,-W$7+2004+1,-'Tech Parameters'!$I16+1)):W457)</f>
        <v>70577.709820835255</v>
      </c>
      <c r="X480">
        <f t="array" aca="1" ref="X480" ca="1">SUM(OFFSET(X131,0,IF(X$7-2004-'Tech Parameters'!$I16&lt;1,-X$7+2004+1,-'Tech Parameters'!$I16+1)):X131*OFFSET(X457,0,IF(X$7-2004-'Tech Parameters'!$I16&lt;1,-X$7+2004+1,-'Tech Parameters'!$I16+1)):X457)</f>
        <v>83924.986002922175</v>
      </c>
      <c r="Y480">
        <f t="array" aca="1" ref="Y480" ca="1">SUM(OFFSET(Y131,0,IF(Y$7-2004-'Tech Parameters'!$I16&lt;1,-Y$7+2004+1,-'Tech Parameters'!$I16+1)):Y131*OFFSET(Y457,0,IF(Y$7-2004-'Tech Parameters'!$I16&lt;1,-Y$7+2004+1,-'Tech Parameters'!$I16+1)):Y457)</f>
        <v>96879.695238477114</v>
      </c>
      <c r="Z480">
        <f t="array" aca="1" ref="Z480" ca="1">SUM(OFFSET(Z131,0,IF(Z$7-2004-'Tech Parameters'!$I16&lt;1,-Z$7+2004+1,-'Tech Parameters'!$I16+1)):Z131*OFFSET(Z457,0,IF(Z$7-2004-'Tech Parameters'!$I16&lt;1,-Z$7+2004+1,-'Tech Parameters'!$I16+1)):Z457)</f>
        <v>109441.83752750009</v>
      </c>
      <c r="AA480">
        <f t="array" aca="1" ref="AA480" ca="1">SUM(OFFSET(AA131,0,IF(AA$7-2004-'Tech Parameters'!$I16&lt;1,-AA$7+2004+1,-'Tech Parameters'!$I16+1)):AA131*OFFSET(AA457,0,IF(AA$7-2004-'Tech Parameters'!$I16&lt;1,-AA$7+2004+1,-'Tech Parameters'!$I16+1)):AA457)</f>
        <v>121611.41286999109</v>
      </c>
      <c r="AB480">
        <f t="array" aca="1" ref="AB480" ca="1">SUM(OFFSET(AB131,0,IF(AB$7-2004-'Tech Parameters'!$I16&lt;1,-AB$7+2004+1,-'Tech Parameters'!$I16+1)):AB131*OFFSET(AB457,0,IF(AB$7-2004-'Tech Parameters'!$I16&lt;1,-AB$7+2004+1,-'Tech Parameters'!$I16+1)):AB457)</f>
        <v>133388.42126595014</v>
      </c>
      <c r="AC480">
        <f t="array" aca="1" ref="AC480" ca="1">SUM(OFFSET(AC131,0,IF(AC$7-2004-'Tech Parameters'!$I16&lt;1,-AC$7+2004+1,-'Tech Parameters'!$I16+1)):AC131*OFFSET(AC457,0,IF(AC$7-2004-'Tech Parameters'!$I16&lt;1,-AC$7+2004+1,-'Tech Parameters'!$I16+1)):AC457)</f>
        <v>144772.86271537721</v>
      </c>
      <c r="AD480" s="76">
        <f t="array" aca="1" ref="AD480" ca="1">SUM(OFFSET(AD131,0,IF(AD$7-2004-'Tech Parameters'!$I16&lt;1,-AD$7+2004+1,-'Tech Parameters'!$I16+1)):AD131*OFFSET(AD457,0,IF(AD$7-2004-'Tech Parameters'!$I16&lt;1,-AD$7+2004+1,-'Tech Parameters'!$I16+1)):AD457)</f>
        <v>144772.86271537721</v>
      </c>
      <c r="AE480" s="76">
        <f t="array" aca="1" ref="AE480" ca="1">SUM(OFFSET(AE131,0,IF(AE$7-2004-'Tech Parameters'!$I16&lt;1,-AE$7+2004+1,-'Tech Parameters'!$I16+1)):AE131*OFFSET(AE457,0,IF(AE$7-2004-'Tech Parameters'!$I16&lt;1,-AE$7+2004+1,-'Tech Parameters'!$I16+1)):AE457)</f>
        <v>144772.86271537721</v>
      </c>
      <c r="AF480" s="76">
        <f t="array" aca="1" ref="AF480" ca="1">SUM(OFFSET(AF131,0,IF(AF$7-2004-'Tech Parameters'!$I16&lt;1,-AF$7+2004+1,-'Tech Parameters'!$I16+1)):AF131*OFFSET(AF457,0,IF(AF$7-2004-'Tech Parameters'!$I16&lt;1,-AF$7+2004+1,-'Tech Parameters'!$I16+1)):AF457)</f>
        <v>144772.86271537721</v>
      </c>
      <c r="AG480" s="76">
        <f t="array" aca="1" ref="AG480" ca="1">SUM(OFFSET(AG131,0,IF(AG$7-2004-'Tech Parameters'!$I16&lt;1,-AG$7+2004+1,-'Tech Parameters'!$I16+1)):AG131*OFFSET(AG457,0,IF(AG$7-2004-'Tech Parameters'!$I16&lt;1,-AG$7+2004+1,-'Tech Parameters'!$I16+1)):AG457)</f>
        <v>144772.86271537721</v>
      </c>
      <c r="AH480" s="76">
        <f t="array" aca="1" ref="AH480" ca="1">SUM(OFFSET(AH131,0,IF(AH$7-2004-'Tech Parameters'!$I16&lt;1,-AH$7+2004+1,-'Tech Parameters'!$I16+1)):AH131*OFFSET(AH457,0,IF(AH$7-2004-'Tech Parameters'!$I16&lt;1,-AH$7+2004+1,-'Tech Parameters'!$I16+1)):AH457)</f>
        <v>144772.86271537721</v>
      </c>
      <c r="AI480" s="76">
        <f t="array" aca="1" ref="AI480" ca="1">SUM(OFFSET(AI131,0,IF(AI$7-2004-'Tech Parameters'!$I16&lt;1,-AI$7+2004+1,-'Tech Parameters'!$I16+1)):AI131*OFFSET(AI457,0,IF(AI$7-2004-'Tech Parameters'!$I16&lt;1,-AI$7+2004+1,-'Tech Parameters'!$I16+1)):AI457)</f>
        <v>144772.86271537721</v>
      </c>
      <c r="AJ480" s="76">
        <f t="array" aca="1" ref="AJ480" ca="1">SUM(OFFSET(AJ131,0,IF(AJ$7-2004-'Tech Parameters'!$I16&lt;1,-AJ$7+2004+1,-'Tech Parameters'!$I16+1)):AJ131*OFFSET(AJ457,0,IF(AJ$7-2004-'Tech Parameters'!$I16&lt;1,-AJ$7+2004+1,-'Tech Parameters'!$I16+1)):AJ457)</f>
        <v>144772.86271537721</v>
      </c>
      <c r="AK480" s="76">
        <f t="array" aca="1" ref="AK480" ca="1">SUM(OFFSET(AK131,0,IF(AK$7-2004-'Tech Parameters'!$I16&lt;1,-AK$7+2004+1,-'Tech Parameters'!$I16+1)):AK131*OFFSET(AK457,0,IF(AK$7-2004-'Tech Parameters'!$I16&lt;1,-AK$7+2004+1,-'Tech Parameters'!$I16+1)):AK457)</f>
        <v>144772.86271537721</v>
      </c>
      <c r="AL480" s="76">
        <f t="array" aca="1" ref="AL480" ca="1">SUM(OFFSET(AL131,0,IF(AL$7-2004-'Tech Parameters'!$I16&lt;1,-AL$7+2004+1,-'Tech Parameters'!$I16+1)):AL131*OFFSET(AL457,0,IF(AL$7-2004-'Tech Parameters'!$I16&lt;1,-AL$7+2004+1,-'Tech Parameters'!$I16+1)):AL457)</f>
        <v>144772.86271537721</v>
      </c>
      <c r="AM480" s="76">
        <f t="array" aca="1" ref="AM480" ca="1">SUM(OFFSET(AM131,0,IF(AM$7-2004-'Tech Parameters'!$I16&lt;1,-AM$7+2004+1,-'Tech Parameters'!$I16+1)):AM131*OFFSET(AM457,0,IF(AM$7-2004-'Tech Parameters'!$I16&lt;1,-AM$7+2004+1,-'Tech Parameters'!$I16+1)):AM457)</f>
        <v>144772.86271537721</v>
      </c>
      <c r="AN480" s="76">
        <f t="array" aca="1" ref="AN480" ca="1">SUM(OFFSET(AN131,0,IF(AN$7-2004-'Tech Parameters'!$I16&lt;1,-AN$7+2004+1,-'Tech Parameters'!$I16+1)):AN131*OFFSET(AN457,0,IF(AN$7-2004-'Tech Parameters'!$I16&lt;1,-AN$7+2004+1,-'Tech Parameters'!$I16+1)):AN457)</f>
        <v>144772.86271537721</v>
      </c>
      <c r="AO480" s="76">
        <f t="array" aca="1" ref="AO480" ca="1">SUM(OFFSET(AO131,0,IF(AO$7-2004-'Tech Parameters'!$I16&lt;1,-AO$7+2004+1,-'Tech Parameters'!$I16+1)):AO131*OFFSET(AO457,0,IF(AO$7-2004-'Tech Parameters'!$I16&lt;1,-AO$7+2004+1,-'Tech Parameters'!$I16+1)):AO457)</f>
        <v>144772.86271537721</v>
      </c>
      <c r="AP480" s="76">
        <f t="array" aca="1" ref="AP480" ca="1">SUM(OFFSET(AP131,0,IF(AP$7-2004-'Tech Parameters'!$I16&lt;1,-AP$7+2004+1,-'Tech Parameters'!$I16+1)):AP131*OFFSET(AP457,0,IF(AP$7-2004-'Tech Parameters'!$I16&lt;1,-AP$7+2004+1,-'Tech Parameters'!$I16+1)):AP457)</f>
        <v>144772.86271537721</v>
      </c>
      <c r="AQ480" s="76">
        <f t="array" aca="1" ref="AQ480" ca="1">SUM(OFFSET(AQ131,0,IF(AQ$7-2004-'Tech Parameters'!$I16&lt;1,-AQ$7+2004+1,-'Tech Parameters'!$I16+1)):AQ131*OFFSET(AQ457,0,IF(AQ$7-2004-'Tech Parameters'!$I16&lt;1,-AQ$7+2004+1,-'Tech Parameters'!$I16+1)):AQ457)</f>
        <v>144772.86271537721</v>
      </c>
      <c r="AR480" s="76">
        <f t="array" aca="1" ref="AR480" ca="1">SUM(OFFSET(AR131,0,IF(AR$7-2004-'Tech Parameters'!$I16&lt;1,-AR$7+2004+1,-'Tech Parameters'!$I16+1)):AR131*OFFSET(AR457,0,IF(AR$7-2004-'Tech Parameters'!$I16&lt;1,-AR$7+2004+1,-'Tech Parameters'!$I16+1)):AR457)</f>
        <v>144416.9721536728</v>
      </c>
      <c r="AS480" s="76">
        <f t="array" aca="1" ref="AS480" ca="1">SUM(OFFSET(AS131,0,IF(AS$7-2004-'Tech Parameters'!$I16&lt;1,-AS$7+2004+1,-'Tech Parameters'!$I16+1)):AS131*OFFSET(AS457,0,IF(AS$7-2004-'Tech Parameters'!$I16&lt;1,-AS$7+2004+1,-'Tech Parameters'!$I16+1)):AS457)</f>
        <v>143727.57225330311</v>
      </c>
      <c r="AT480" s="76">
        <f t="array" aca="1" ref="AT480" ca="1">SUM(OFFSET(AT131,0,IF(AT$7-2004-'Tech Parameters'!$I16&lt;1,-AT$7+2004+1,-'Tech Parameters'!$I16+1)):AT131*OFFSET(AT457,0,IF(AT$7-2004-'Tech Parameters'!$I16&lt;1,-AT$7+2004+1,-'Tech Parameters'!$I16+1)):AT457)</f>
        <v>142379.22256204975</v>
      </c>
      <c r="AU480" s="76">
        <f t="array" aca="1" ref="AU480" ca="1">SUM(OFFSET(AU131,0,IF(AU$7-2004-'Tech Parameters'!$I16&lt;1,-AU$7+2004+1,-'Tech Parameters'!$I16+1)):AU131*OFFSET(AU457,0,IF(AU$7-2004-'Tech Parameters'!$I16&lt;1,-AU$7+2004+1,-'Tech Parameters'!$I16+1)):AU457)</f>
        <v>139743.42339851503</v>
      </c>
      <c r="AV480" s="76">
        <f t="array" aca="1" ref="AV480" ca="1">SUM(OFFSET(AV131,0,IF(AV$7-2004-'Tech Parameters'!$I16&lt;1,-AV$7+2004+1,-'Tech Parameters'!$I16+1)):AV131*OFFSET(AV457,0,IF(AV$7-2004-'Tech Parameters'!$I16&lt;1,-AV$7+2004+1,-'Tech Parameters'!$I16+1)):AV457)</f>
        <v>135881.074981671</v>
      </c>
      <c r="AW480" s="76">
        <f t="array" aca="1" ref="AW480" ca="1">SUM(OFFSET(AW131,0,IF(AW$7-2004-'Tech Parameters'!$I16&lt;1,-AW$7+2004+1,-'Tech Parameters'!$I16+1)):AW131*OFFSET(AW457,0,IF(AW$7-2004-'Tech Parameters'!$I16&lt;1,-AW$7+2004+1,-'Tech Parameters'!$I16+1)):AW457)</f>
        <v>130853.07753048957</v>
      </c>
    </row>
    <row r="481" spans="3:49">
      <c r="C481" t="str">
        <f t="shared" si="113"/>
        <v>solar thermal trough</v>
      </c>
      <c r="D481">
        <f t="array" aca="1" ref="D481" ca="1">SUM(OFFSET(D132,0,IF(D$7-2004-'Tech Parameters'!$I17&lt;1,-D$7+2004+1,-'Tech Parameters'!$I17+1)):D132*OFFSET(D458,0,IF(D$7-2004-'Tech Parameters'!$I17&lt;1,-D$7+2004+1,-'Tech Parameters'!$I17+1)):D458)</f>
        <v>0</v>
      </c>
      <c r="E481">
        <f t="array" aca="1" ref="E481" ca="1">SUM(OFFSET(E132,0,IF(E$7-2004-'Tech Parameters'!$I17&lt;1,-E$7+2004+1,-'Tech Parameters'!$I17+1)):E132*OFFSET(E458,0,IF(E$7-2004-'Tech Parameters'!$I17&lt;1,-E$7+2004+1,-'Tech Parameters'!$I17+1)):E458)</f>
        <v>0</v>
      </c>
      <c r="F481">
        <f t="array" aca="1" ref="F481" ca="1">SUM(OFFSET(F132,0,IF(F$7-2004-'Tech Parameters'!$I17&lt;1,-F$7+2004+1,-'Tech Parameters'!$I17+1)):F132*OFFSET(F458,0,IF(F$7-2004-'Tech Parameters'!$I17&lt;1,-F$7+2004+1,-'Tech Parameters'!$I17+1)):F458)</f>
        <v>0</v>
      </c>
      <c r="G481">
        <f t="array" aca="1" ref="G481" ca="1">SUM(OFFSET(G132,0,IF(G$7-2004-'Tech Parameters'!$I17&lt;1,-G$7+2004+1,-'Tech Parameters'!$I17+1)):G132*OFFSET(G458,0,IF(G$7-2004-'Tech Parameters'!$I17&lt;1,-G$7+2004+1,-'Tech Parameters'!$I17+1)):G458)</f>
        <v>0</v>
      </c>
      <c r="H481">
        <f t="array" aca="1" ref="H481" ca="1">SUM(OFFSET(H132,0,IF(H$7-2004-'Tech Parameters'!$I17&lt;1,-H$7+2004+1,-'Tech Parameters'!$I17+1)):H132*OFFSET(H458,0,IF(H$7-2004-'Tech Parameters'!$I17&lt;1,-H$7+2004+1,-'Tech Parameters'!$I17+1)):H458)</f>
        <v>0</v>
      </c>
      <c r="I481">
        <f t="array" aca="1" ref="I481" ca="1">SUM(OFFSET(I132,0,IF(I$7-2004-'Tech Parameters'!$I17&lt;1,-I$7+2004+1,-'Tech Parameters'!$I17+1)):I132*OFFSET(I458,0,IF(I$7-2004-'Tech Parameters'!$I17&lt;1,-I$7+2004+1,-'Tech Parameters'!$I17+1)):I458)</f>
        <v>0</v>
      </c>
      <c r="J481">
        <f t="array" aca="1" ref="J481" ca="1">SUM(OFFSET(J132,0,IF(J$7-2004-'Tech Parameters'!$I17&lt;1,-J$7+2004+1,-'Tech Parameters'!$I17+1)):J132*OFFSET(J458,0,IF(J$7-2004-'Tech Parameters'!$I17&lt;1,-J$7+2004+1,-'Tech Parameters'!$I17+1)):J458)</f>
        <v>0</v>
      </c>
      <c r="K481">
        <f t="array" aca="1" ref="K481" ca="1">SUM(OFFSET(K132,0,IF(K$7-2004-'Tech Parameters'!$I17&lt;1,-K$7+2004+1,-'Tech Parameters'!$I17+1)):K132*OFFSET(K458,0,IF(K$7-2004-'Tech Parameters'!$I17&lt;1,-K$7+2004+1,-'Tech Parameters'!$I17+1)):K458)</f>
        <v>0</v>
      </c>
      <c r="L481">
        <f t="array" aca="1" ref="L481" ca="1">SUM(OFFSET(L132,0,IF(L$7-2004-'Tech Parameters'!$I17&lt;1,-L$7+2004+1,-'Tech Parameters'!$I17+1)):L132*OFFSET(L458,0,IF(L$7-2004-'Tech Parameters'!$I17&lt;1,-L$7+2004+1,-'Tech Parameters'!$I17+1)):L458)</f>
        <v>0</v>
      </c>
      <c r="M481">
        <f t="array" aca="1" ref="M481" ca="1">SUM(OFFSET(M132,0,IF(M$7-2004-'Tech Parameters'!$I17&lt;1,-M$7+2004+1,-'Tech Parameters'!$I17+1)):M132*OFFSET(M458,0,IF(M$7-2004-'Tech Parameters'!$I17&lt;1,-M$7+2004+1,-'Tech Parameters'!$I17+1)):M458)</f>
        <v>0</v>
      </c>
      <c r="N481">
        <f t="array" aca="1" ref="N481" ca="1">SUM(OFFSET(N132,0,IF(N$7-2004-'Tech Parameters'!$I17&lt;1,-N$7+2004+1,-'Tech Parameters'!$I17+1)):N132*OFFSET(N458,0,IF(N$7-2004-'Tech Parameters'!$I17&lt;1,-N$7+2004+1,-'Tech Parameters'!$I17+1)):N458)</f>
        <v>0</v>
      </c>
      <c r="O481">
        <f t="array" aca="1" ref="O481" ca="1">SUM(OFFSET(O132,0,IF(O$7-2004-'Tech Parameters'!$I17&lt;1,-O$7+2004+1,-'Tech Parameters'!$I17+1)):O132*OFFSET(O458,0,IF(O$7-2004-'Tech Parameters'!$I17&lt;1,-O$7+2004+1,-'Tech Parameters'!$I17+1)):O458)</f>
        <v>0</v>
      </c>
      <c r="P481">
        <f t="array" aca="1" ref="P481" ca="1">SUM(OFFSET(P132,0,IF(P$7-2004-'Tech Parameters'!$I17&lt;1,-P$7+2004+1,-'Tech Parameters'!$I17+1)):P132*OFFSET(P458,0,IF(P$7-2004-'Tech Parameters'!$I17&lt;1,-P$7+2004+1,-'Tech Parameters'!$I17+1)):P458)</f>
        <v>0</v>
      </c>
      <c r="Q481">
        <f t="array" aca="1" ref="Q481" ca="1">SUM(OFFSET(Q132,0,IF(Q$7-2004-'Tech Parameters'!$I17&lt;1,-Q$7+2004+1,-'Tech Parameters'!$I17+1)):Q132*OFFSET(Q458,0,IF(Q$7-2004-'Tech Parameters'!$I17&lt;1,-Q$7+2004+1,-'Tech Parameters'!$I17+1)):Q458)</f>
        <v>0</v>
      </c>
      <c r="R481">
        <f t="array" aca="1" ref="R481" ca="1">SUM(OFFSET(R132,0,IF(R$7-2004-'Tech Parameters'!$I17&lt;1,-R$7+2004+1,-'Tech Parameters'!$I17+1)):R132*OFFSET(R458,0,IF(R$7-2004-'Tech Parameters'!$I17&lt;1,-R$7+2004+1,-'Tech Parameters'!$I17+1)):R458)</f>
        <v>0</v>
      </c>
      <c r="S481">
        <f t="array" aca="1" ref="S481" ca="1">SUM(OFFSET(S132,0,IF(S$7-2004-'Tech Parameters'!$I17&lt;1,-S$7+2004+1,-'Tech Parameters'!$I17+1)):S132*OFFSET(S458,0,IF(S$7-2004-'Tech Parameters'!$I17&lt;1,-S$7+2004+1,-'Tech Parameters'!$I17+1)):S458)</f>
        <v>0</v>
      </c>
      <c r="T481">
        <f t="array" aca="1" ref="T481" ca="1">SUM(OFFSET(T132,0,IF(T$7-2004-'Tech Parameters'!$I17&lt;1,-T$7+2004+1,-'Tech Parameters'!$I17+1)):T132*OFFSET(T458,0,IF(T$7-2004-'Tech Parameters'!$I17&lt;1,-T$7+2004+1,-'Tech Parameters'!$I17+1)):T458)</f>
        <v>0</v>
      </c>
      <c r="U481">
        <f t="array" aca="1" ref="U481" ca="1">SUM(OFFSET(U132,0,IF(U$7-2004-'Tech Parameters'!$I17&lt;1,-U$7+2004+1,-'Tech Parameters'!$I17+1)):U132*OFFSET(U458,0,IF(U$7-2004-'Tech Parameters'!$I17&lt;1,-U$7+2004+1,-'Tech Parameters'!$I17+1)):U458)</f>
        <v>0</v>
      </c>
      <c r="V481">
        <f t="array" aca="1" ref="V481" ca="1">SUM(OFFSET(V132,0,IF(V$7-2004-'Tech Parameters'!$I17&lt;1,-V$7+2004+1,-'Tech Parameters'!$I17+1)):V132*OFFSET(V458,0,IF(V$7-2004-'Tech Parameters'!$I17&lt;1,-V$7+2004+1,-'Tech Parameters'!$I17+1)):V458)</f>
        <v>0</v>
      </c>
      <c r="W481">
        <f t="array" aca="1" ref="W481" ca="1">SUM(OFFSET(W132,0,IF(W$7-2004-'Tech Parameters'!$I17&lt;1,-W$7+2004+1,-'Tech Parameters'!$I17+1)):W132*OFFSET(W458,0,IF(W$7-2004-'Tech Parameters'!$I17&lt;1,-W$7+2004+1,-'Tech Parameters'!$I17+1)):W458)</f>
        <v>0</v>
      </c>
      <c r="X481">
        <f t="array" aca="1" ref="X481" ca="1">SUM(OFFSET(X132,0,IF(X$7-2004-'Tech Parameters'!$I17&lt;1,-X$7+2004+1,-'Tech Parameters'!$I17+1)):X132*OFFSET(X458,0,IF(X$7-2004-'Tech Parameters'!$I17&lt;1,-X$7+2004+1,-'Tech Parameters'!$I17+1)):X458)</f>
        <v>0</v>
      </c>
      <c r="Y481">
        <f t="array" aca="1" ref="Y481" ca="1">SUM(OFFSET(Y132,0,IF(Y$7-2004-'Tech Parameters'!$I17&lt;1,-Y$7+2004+1,-'Tech Parameters'!$I17+1)):Y132*OFFSET(Y458,0,IF(Y$7-2004-'Tech Parameters'!$I17&lt;1,-Y$7+2004+1,-'Tech Parameters'!$I17+1)):Y458)</f>
        <v>0</v>
      </c>
      <c r="Z481">
        <f t="array" aca="1" ref="Z481" ca="1">SUM(OFFSET(Z132,0,IF(Z$7-2004-'Tech Parameters'!$I17&lt;1,-Z$7+2004+1,-'Tech Parameters'!$I17+1)):Z132*OFFSET(Z458,0,IF(Z$7-2004-'Tech Parameters'!$I17&lt;1,-Z$7+2004+1,-'Tech Parameters'!$I17+1)):Z458)</f>
        <v>0</v>
      </c>
      <c r="AA481">
        <f t="array" aca="1" ref="AA481" ca="1">SUM(OFFSET(AA132,0,IF(AA$7-2004-'Tech Parameters'!$I17&lt;1,-AA$7+2004+1,-'Tech Parameters'!$I17+1)):AA132*OFFSET(AA458,0,IF(AA$7-2004-'Tech Parameters'!$I17&lt;1,-AA$7+2004+1,-'Tech Parameters'!$I17+1)):AA458)</f>
        <v>0</v>
      </c>
      <c r="AB481">
        <f t="array" aca="1" ref="AB481" ca="1">SUM(OFFSET(AB132,0,IF(AB$7-2004-'Tech Parameters'!$I17&lt;1,-AB$7+2004+1,-'Tech Parameters'!$I17+1)):AB132*OFFSET(AB458,0,IF(AB$7-2004-'Tech Parameters'!$I17&lt;1,-AB$7+2004+1,-'Tech Parameters'!$I17+1)):AB458)</f>
        <v>0</v>
      </c>
      <c r="AC481">
        <f t="array" aca="1" ref="AC481" ca="1">SUM(OFFSET(AC132,0,IF(AC$7-2004-'Tech Parameters'!$I17&lt;1,-AC$7+2004+1,-'Tech Parameters'!$I17+1)):AC132*OFFSET(AC458,0,IF(AC$7-2004-'Tech Parameters'!$I17&lt;1,-AC$7+2004+1,-'Tech Parameters'!$I17+1)):AC458)</f>
        <v>0</v>
      </c>
      <c r="AD481" s="76">
        <f t="array" aca="1" ref="AD481" ca="1">SUM(OFFSET(AD132,0,IF(AD$7-2004-'Tech Parameters'!$I17&lt;1,-AD$7+2004+1,-'Tech Parameters'!$I17+1)):AD132*OFFSET(AD458,0,IF(AD$7-2004-'Tech Parameters'!$I17&lt;1,-AD$7+2004+1,-'Tech Parameters'!$I17+1)):AD458)</f>
        <v>0</v>
      </c>
      <c r="AE481" s="76">
        <f t="array" aca="1" ref="AE481" ca="1">SUM(OFFSET(AE132,0,IF(AE$7-2004-'Tech Parameters'!$I17&lt;1,-AE$7+2004+1,-'Tech Parameters'!$I17+1)):AE132*OFFSET(AE458,0,IF(AE$7-2004-'Tech Parameters'!$I17&lt;1,-AE$7+2004+1,-'Tech Parameters'!$I17+1)):AE458)</f>
        <v>0</v>
      </c>
      <c r="AF481" s="76">
        <f t="array" aca="1" ref="AF481" ca="1">SUM(OFFSET(AF132,0,IF(AF$7-2004-'Tech Parameters'!$I17&lt;1,-AF$7+2004+1,-'Tech Parameters'!$I17+1)):AF132*OFFSET(AF458,0,IF(AF$7-2004-'Tech Parameters'!$I17&lt;1,-AF$7+2004+1,-'Tech Parameters'!$I17+1)):AF458)</f>
        <v>0</v>
      </c>
      <c r="AG481" s="76">
        <f t="array" aca="1" ref="AG481" ca="1">SUM(OFFSET(AG132,0,IF(AG$7-2004-'Tech Parameters'!$I17&lt;1,-AG$7+2004+1,-'Tech Parameters'!$I17+1)):AG132*OFFSET(AG458,0,IF(AG$7-2004-'Tech Parameters'!$I17&lt;1,-AG$7+2004+1,-'Tech Parameters'!$I17+1)):AG458)</f>
        <v>0</v>
      </c>
      <c r="AH481" s="76">
        <f t="array" aca="1" ref="AH481" ca="1">SUM(OFFSET(AH132,0,IF(AH$7-2004-'Tech Parameters'!$I17&lt;1,-AH$7+2004+1,-'Tech Parameters'!$I17+1)):AH132*OFFSET(AH458,0,IF(AH$7-2004-'Tech Parameters'!$I17&lt;1,-AH$7+2004+1,-'Tech Parameters'!$I17+1)):AH458)</f>
        <v>0</v>
      </c>
      <c r="AI481" s="76">
        <f t="array" aca="1" ref="AI481" ca="1">SUM(OFFSET(AI132,0,IF(AI$7-2004-'Tech Parameters'!$I17&lt;1,-AI$7+2004+1,-'Tech Parameters'!$I17+1)):AI132*OFFSET(AI458,0,IF(AI$7-2004-'Tech Parameters'!$I17&lt;1,-AI$7+2004+1,-'Tech Parameters'!$I17+1)):AI458)</f>
        <v>0</v>
      </c>
      <c r="AJ481" s="76">
        <f t="array" aca="1" ref="AJ481" ca="1">SUM(OFFSET(AJ132,0,IF(AJ$7-2004-'Tech Parameters'!$I17&lt;1,-AJ$7+2004+1,-'Tech Parameters'!$I17+1)):AJ132*OFFSET(AJ458,0,IF(AJ$7-2004-'Tech Parameters'!$I17&lt;1,-AJ$7+2004+1,-'Tech Parameters'!$I17+1)):AJ458)</f>
        <v>0</v>
      </c>
      <c r="AK481" s="76">
        <f t="array" aca="1" ref="AK481" ca="1">SUM(OFFSET(AK132,0,IF(AK$7-2004-'Tech Parameters'!$I17&lt;1,-AK$7+2004+1,-'Tech Parameters'!$I17+1)):AK132*OFFSET(AK458,0,IF(AK$7-2004-'Tech Parameters'!$I17&lt;1,-AK$7+2004+1,-'Tech Parameters'!$I17+1)):AK458)</f>
        <v>0</v>
      </c>
      <c r="AL481" s="76">
        <f t="array" aca="1" ref="AL481" ca="1">SUM(OFFSET(AL132,0,IF(AL$7-2004-'Tech Parameters'!$I17&lt;1,-AL$7+2004+1,-'Tech Parameters'!$I17+1)):AL132*OFFSET(AL458,0,IF(AL$7-2004-'Tech Parameters'!$I17&lt;1,-AL$7+2004+1,-'Tech Parameters'!$I17+1)):AL458)</f>
        <v>0</v>
      </c>
      <c r="AM481" s="76">
        <f t="array" aca="1" ref="AM481" ca="1">SUM(OFFSET(AM132,0,IF(AM$7-2004-'Tech Parameters'!$I17&lt;1,-AM$7+2004+1,-'Tech Parameters'!$I17+1)):AM132*OFFSET(AM458,0,IF(AM$7-2004-'Tech Parameters'!$I17&lt;1,-AM$7+2004+1,-'Tech Parameters'!$I17+1)):AM458)</f>
        <v>0</v>
      </c>
      <c r="AN481" s="76">
        <f t="array" aca="1" ref="AN481" ca="1">SUM(OFFSET(AN132,0,IF(AN$7-2004-'Tech Parameters'!$I17&lt;1,-AN$7+2004+1,-'Tech Parameters'!$I17+1)):AN132*OFFSET(AN458,0,IF(AN$7-2004-'Tech Parameters'!$I17&lt;1,-AN$7+2004+1,-'Tech Parameters'!$I17+1)):AN458)</f>
        <v>0</v>
      </c>
      <c r="AO481" s="76">
        <f t="array" aca="1" ref="AO481" ca="1">SUM(OFFSET(AO132,0,IF(AO$7-2004-'Tech Parameters'!$I17&lt;1,-AO$7+2004+1,-'Tech Parameters'!$I17+1)):AO132*OFFSET(AO458,0,IF(AO$7-2004-'Tech Parameters'!$I17&lt;1,-AO$7+2004+1,-'Tech Parameters'!$I17+1)):AO458)</f>
        <v>0</v>
      </c>
      <c r="AP481" s="76">
        <f t="array" aca="1" ref="AP481" ca="1">SUM(OFFSET(AP132,0,IF(AP$7-2004-'Tech Parameters'!$I17&lt;1,-AP$7+2004+1,-'Tech Parameters'!$I17+1)):AP132*OFFSET(AP458,0,IF(AP$7-2004-'Tech Parameters'!$I17&lt;1,-AP$7+2004+1,-'Tech Parameters'!$I17+1)):AP458)</f>
        <v>0</v>
      </c>
      <c r="AQ481" s="76">
        <f t="array" aca="1" ref="AQ481" ca="1">SUM(OFFSET(AQ132,0,IF(AQ$7-2004-'Tech Parameters'!$I17&lt;1,-AQ$7+2004+1,-'Tech Parameters'!$I17+1)):AQ132*OFFSET(AQ458,0,IF(AQ$7-2004-'Tech Parameters'!$I17&lt;1,-AQ$7+2004+1,-'Tech Parameters'!$I17+1)):AQ458)</f>
        <v>0</v>
      </c>
      <c r="AR481" s="76">
        <f t="array" aca="1" ref="AR481" ca="1">SUM(OFFSET(AR132,0,IF(AR$7-2004-'Tech Parameters'!$I17&lt;1,-AR$7+2004+1,-'Tech Parameters'!$I17+1)):AR132*OFFSET(AR458,0,IF(AR$7-2004-'Tech Parameters'!$I17&lt;1,-AR$7+2004+1,-'Tech Parameters'!$I17+1)):AR458)</f>
        <v>0</v>
      </c>
      <c r="AS481" s="76">
        <f t="array" aca="1" ref="AS481" ca="1">SUM(OFFSET(AS132,0,IF(AS$7-2004-'Tech Parameters'!$I17&lt;1,-AS$7+2004+1,-'Tech Parameters'!$I17+1)):AS132*OFFSET(AS458,0,IF(AS$7-2004-'Tech Parameters'!$I17&lt;1,-AS$7+2004+1,-'Tech Parameters'!$I17+1)):AS458)</f>
        <v>0</v>
      </c>
      <c r="AT481" s="76">
        <f t="array" aca="1" ref="AT481" ca="1">SUM(OFFSET(AT132,0,IF(AT$7-2004-'Tech Parameters'!$I17&lt;1,-AT$7+2004+1,-'Tech Parameters'!$I17+1)):AT132*OFFSET(AT458,0,IF(AT$7-2004-'Tech Parameters'!$I17&lt;1,-AT$7+2004+1,-'Tech Parameters'!$I17+1)):AT458)</f>
        <v>0</v>
      </c>
      <c r="AU481" s="76">
        <f t="array" aca="1" ref="AU481" ca="1">SUM(OFFSET(AU132,0,IF(AU$7-2004-'Tech Parameters'!$I17&lt;1,-AU$7+2004+1,-'Tech Parameters'!$I17+1)):AU132*OFFSET(AU458,0,IF(AU$7-2004-'Tech Parameters'!$I17&lt;1,-AU$7+2004+1,-'Tech Parameters'!$I17+1)):AU458)</f>
        <v>0</v>
      </c>
      <c r="AV481" s="76">
        <f t="array" aca="1" ref="AV481" ca="1">SUM(OFFSET(AV132,0,IF(AV$7-2004-'Tech Parameters'!$I17&lt;1,-AV$7+2004+1,-'Tech Parameters'!$I17+1)):AV132*OFFSET(AV458,0,IF(AV$7-2004-'Tech Parameters'!$I17&lt;1,-AV$7+2004+1,-'Tech Parameters'!$I17+1)):AV458)</f>
        <v>0</v>
      </c>
      <c r="AW481" s="76">
        <f t="array" aca="1" ref="AW481" ca="1">SUM(OFFSET(AW132,0,IF(AW$7-2004-'Tech Parameters'!$I17&lt;1,-AW$7+2004+1,-'Tech Parameters'!$I17+1)):AW132*OFFSET(AW458,0,IF(AW$7-2004-'Tech Parameters'!$I17&lt;1,-AW$7+2004+1,-'Tech Parameters'!$I17+1)):AW458)</f>
        <v>0</v>
      </c>
    </row>
    <row r="482" spans="3:49">
      <c r="C482" t="str">
        <f t="shared" si="113"/>
        <v>solar PV</v>
      </c>
      <c r="D482">
        <f t="array" aca="1" ref="D482" ca="1">SUM(OFFSET(D133,0,IF(D$7-2004-'Tech Parameters'!$I18&lt;1,-D$7+2004+1,-'Tech Parameters'!$I18+1)):D133*OFFSET(D459,0,IF(D$7-2004-'Tech Parameters'!$I18&lt;1,-D$7+2004+1,-'Tech Parameters'!$I18+1)):D459)</f>
        <v>0</v>
      </c>
      <c r="E482">
        <f t="array" aca="1" ref="E482" ca="1">SUM(OFFSET(E133,0,IF(E$7-2004-'Tech Parameters'!$I18&lt;1,-E$7+2004+1,-'Tech Parameters'!$I18+1)):E133*OFFSET(E459,0,IF(E$7-2004-'Tech Parameters'!$I18&lt;1,-E$7+2004+1,-'Tech Parameters'!$I18+1)):E459)</f>
        <v>0</v>
      </c>
      <c r="F482">
        <f t="array" aca="1" ref="F482" ca="1">SUM(OFFSET(F133,0,IF(F$7-2004-'Tech Parameters'!$I18&lt;1,-F$7+2004+1,-'Tech Parameters'!$I18+1)):F133*OFFSET(F459,0,IF(F$7-2004-'Tech Parameters'!$I18&lt;1,-F$7+2004+1,-'Tech Parameters'!$I18+1)):F459)</f>
        <v>0</v>
      </c>
      <c r="G482">
        <f t="array" aca="1" ref="G482" ca="1">SUM(OFFSET(G133,0,IF(G$7-2004-'Tech Parameters'!$I18&lt;1,-G$7+2004+1,-'Tech Parameters'!$I18+1)):G133*OFFSET(G459,0,IF(G$7-2004-'Tech Parameters'!$I18&lt;1,-G$7+2004+1,-'Tech Parameters'!$I18+1)):G459)</f>
        <v>0</v>
      </c>
      <c r="H482">
        <f t="array" aca="1" ref="H482" ca="1">SUM(OFFSET(H133,0,IF(H$7-2004-'Tech Parameters'!$I18&lt;1,-H$7+2004+1,-'Tech Parameters'!$I18+1)):H133*OFFSET(H459,0,IF(H$7-2004-'Tech Parameters'!$I18&lt;1,-H$7+2004+1,-'Tech Parameters'!$I18+1)):H459)</f>
        <v>0</v>
      </c>
      <c r="I482">
        <f t="array" aca="1" ref="I482" ca="1">SUM(OFFSET(I133,0,IF(I$7-2004-'Tech Parameters'!$I18&lt;1,-I$7+2004+1,-'Tech Parameters'!$I18+1)):I133*OFFSET(I459,0,IF(I$7-2004-'Tech Parameters'!$I18&lt;1,-I$7+2004+1,-'Tech Parameters'!$I18+1)):I459)</f>
        <v>0</v>
      </c>
      <c r="J482">
        <f t="array" aca="1" ref="J482" ca="1">SUM(OFFSET(J133,0,IF(J$7-2004-'Tech Parameters'!$I18&lt;1,-J$7+2004+1,-'Tech Parameters'!$I18+1)):J133*OFFSET(J459,0,IF(J$7-2004-'Tech Parameters'!$I18&lt;1,-J$7+2004+1,-'Tech Parameters'!$I18+1)):J459)</f>
        <v>0</v>
      </c>
      <c r="K482">
        <f t="array" aca="1" ref="K482" ca="1">SUM(OFFSET(K133,0,IF(K$7-2004-'Tech Parameters'!$I18&lt;1,-K$7+2004+1,-'Tech Parameters'!$I18+1)):K133*OFFSET(K459,0,IF(K$7-2004-'Tech Parameters'!$I18&lt;1,-K$7+2004+1,-'Tech Parameters'!$I18+1)):K459)</f>
        <v>0</v>
      </c>
      <c r="L482">
        <f t="array" aca="1" ref="L482" ca="1">SUM(OFFSET(L133,0,IF(L$7-2004-'Tech Parameters'!$I18&lt;1,-L$7+2004+1,-'Tech Parameters'!$I18+1)):L133*OFFSET(L459,0,IF(L$7-2004-'Tech Parameters'!$I18&lt;1,-L$7+2004+1,-'Tech Parameters'!$I18+1)):L459)</f>
        <v>0</v>
      </c>
      <c r="M482">
        <f t="array" aca="1" ref="M482" ca="1">SUM(OFFSET(M133,0,IF(M$7-2004-'Tech Parameters'!$I18&lt;1,-M$7+2004+1,-'Tech Parameters'!$I18+1)):M133*OFFSET(M459,0,IF(M$7-2004-'Tech Parameters'!$I18&lt;1,-M$7+2004+1,-'Tech Parameters'!$I18+1)):M459)</f>
        <v>0</v>
      </c>
      <c r="N482">
        <f t="array" aca="1" ref="N482" ca="1">SUM(OFFSET(N133,0,IF(N$7-2004-'Tech Parameters'!$I18&lt;1,-N$7+2004+1,-'Tech Parameters'!$I18+1)):N133*OFFSET(N459,0,IF(N$7-2004-'Tech Parameters'!$I18&lt;1,-N$7+2004+1,-'Tech Parameters'!$I18+1)):N459)</f>
        <v>0</v>
      </c>
      <c r="O482">
        <f t="array" aca="1" ref="O482" ca="1">SUM(OFFSET(O133,0,IF(O$7-2004-'Tech Parameters'!$I18&lt;1,-O$7+2004+1,-'Tech Parameters'!$I18+1)):O133*OFFSET(O459,0,IF(O$7-2004-'Tech Parameters'!$I18&lt;1,-O$7+2004+1,-'Tech Parameters'!$I18+1)):O459)</f>
        <v>0</v>
      </c>
      <c r="P482">
        <f t="array" aca="1" ref="P482" ca="1">SUM(OFFSET(P133,0,IF(P$7-2004-'Tech Parameters'!$I18&lt;1,-P$7+2004+1,-'Tech Parameters'!$I18+1)):P133*OFFSET(P459,0,IF(P$7-2004-'Tech Parameters'!$I18&lt;1,-P$7+2004+1,-'Tech Parameters'!$I18+1)):P459)</f>
        <v>0</v>
      </c>
      <c r="Q482">
        <f t="array" aca="1" ref="Q482" ca="1">SUM(OFFSET(Q133,0,IF(Q$7-2004-'Tech Parameters'!$I18&lt;1,-Q$7+2004+1,-'Tech Parameters'!$I18+1)):Q133*OFFSET(Q459,0,IF(Q$7-2004-'Tech Parameters'!$I18&lt;1,-Q$7+2004+1,-'Tech Parameters'!$I18+1)):Q459)</f>
        <v>0</v>
      </c>
      <c r="R482">
        <f t="array" aca="1" ref="R482" ca="1">SUM(OFFSET(R133,0,IF(R$7-2004-'Tech Parameters'!$I18&lt;1,-R$7+2004+1,-'Tech Parameters'!$I18+1)):R133*OFFSET(R459,0,IF(R$7-2004-'Tech Parameters'!$I18&lt;1,-R$7+2004+1,-'Tech Parameters'!$I18+1)):R459)</f>
        <v>0</v>
      </c>
      <c r="S482">
        <f t="array" aca="1" ref="S482" ca="1">SUM(OFFSET(S133,0,IF(S$7-2004-'Tech Parameters'!$I18&lt;1,-S$7+2004+1,-'Tech Parameters'!$I18+1)):S133*OFFSET(S459,0,IF(S$7-2004-'Tech Parameters'!$I18&lt;1,-S$7+2004+1,-'Tech Parameters'!$I18+1)):S459)</f>
        <v>0</v>
      </c>
      <c r="T482">
        <f t="array" aca="1" ref="T482" ca="1">SUM(OFFSET(T133,0,IF(T$7-2004-'Tech Parameters'!$I18&lt;1,-T$7+2004+1,-'Tech Parameters'!$I18+1)):T133*OFFSET(T459,0,IF(T$7-2004-'Tech Parameters'!$I18&lt;1,-T$7+2004+1,-'Tech Parameters'!$I18+1)):T459)</f>
        <v>0</v>
      </c>
      <c r="U482">
        <f t="array" aca="1" ref="U482" ca="1">SUM(OFFSET(U133,0,IF(U$7-2004-'Tech Parameters'!$I18&lt;1,-U$7+2004+1,-'Tech Parameters'!$I18+1)):U133*OFFSET(U459,0,IF(U$7-2004-'Tech Parameters'!$I18&lt;1,-U$7+2004+1,-'Tech Parameters'!$I18+1)):U459)</f>
        <v>0</v>
      </c>
      <c r="V482">
        <f t="array" aca="1" ref="V482" ca="1">SUM(OFFSET(V133,0,IF(V$7-2004-'Tech Parameters'!$I18&lt;1,-V$7+2004+1,-'Tech Parameters'!$I18+1)):V133*OFFSET(V459,0,IF(V$7-2004-'Tech Parameters'!$I18&lt;1,-V$7+2004+1,-'Tech Parameters'!$I18+1)):V459)</f>
        <v>0</v>
      </c>
      <c r="W482">
        <f t="array" aca="1" ref="W482" ca="1">SUM(OFFSET(W133,0,IF(W$7-2004-'Tech Parameters'!$I18&lt;1,-W$7+2004+1,-'Tech Parameters'!$I18+1)):W133*OFFSET(W459,0,IF(W$7-2004-'Tech Parameters'!$I18&lt;1,-W$7+2004+1,-'Tech Parameters'!$I18+1)):W459)</f>
        <v>0</v>
      </c>
      <c r="X482">
        <f t="array" aca="1" ref="X482" ca="1">SUM(OFFSET(X133,0,IF(X$7-2004-'Tech Parameters'!$I18&lt;1,-X$7+2004+1,-'Tech Parameters'!$I18+1)):X133*OFFSET(X459,0,IF(X$7-2004-'Tech Parameters'!$I18&lt;1,-X$7+2004+1,-'Tech Parameters'!$I18+1)):X459)</f>
        <v>0</v>
      </c>
      <c r="Y482">
        <f t="array" aca="1" ref="Y482" ca="1">SUM(OFFSET(Y133,0,IF(Y$7-2004-'Tech Parameters'!$I18&lt;1,-Y$7+2004+1,-'Tech Parameters'!$I18+1)):Y133*OFFSET(Y459,0,IF(Y$7-2004-'Tech Parameters'!$I18&lt;1,-Y$7+2004+1,-'Tech Parameters'!$I18+1)):Y459)</f>
        <v>0</v>
      </c>
      <c r="Z482">
        <f t="array" aca="1" ref="Z482" ca="1">SUM(OFFSET(Z133,0,IF(Z$7-2004-'Tech Parameters'!$I18&lt;1,-Z$7+2004+1,-'Tech Parameters'!$I18+1)):Z133*OFFSET(Z459,0,IF(Z$7-2004-'Tech Parameters'!$I18&lt;1,-Z$7+2004+1,-'Tech Parameters'!$I18+1)):Z459)</f>
        <v>0</v>
      </c>
      <c r="AA482">
        <f t="array" aca="1" ref="AA482" ca="1">SUM(OFFSET(AA133,0,IF(AA$7-2004-'Tech Parameters'!$I18&lt;1,-AA$7+2004+1,-'Tech Parameters'!$I18+1)):AA133*OFFSET(AA459,0,IF(AA$7-2004-'Tech Parameters'!$I18&lt;1,-AA$7+2004+1,-'Tech Parameters'!$I18+1)):AA459)</f>
        <v>0</v>
      </c>
      <c r="AB482">
        <f t="array" aca="1" ref="AB482" ca="1">SUM(OFFSET(AB133,0,IF(AB$7-2004-'Tech Parameters'!$I18&lt;1,-AB$7+2004+1,-'Tech Parameters'!$I18+1)):AB133*OFFSET(AB459,0,IF(AB$7-2004-'Tech Parameters'!$I18&lt;1,-AB$7+2004+1,-'Tech Parameters'!$I18+1)):AB459)</f>
        <v>0</v>
      </c>
      <c r="AC482">
        <f t="array" aca="1" ref="AC482" ca="1">SUM(OFFSET(AC133,0,IF(AC$7-2004-'Tech Parameters'!$I18&lt;1,-AC$7+2004+1,-'Tech Parameters'!$I18+1)):AC133*OFFSET(AC459,0,IF(AC$7-2004-'Tech Parameters'!$I18&lt;1,-AC$7+2004+1,-'Tech Parameters'!$I18+1)):AC459)</f>
        <v>0</v>
      </c>
      <c r="AD482" s="76">
        <f t="array" aca="1" ref="AD482" ca="1">SUM(OFFSET(AD133,0,IF(AD$7-2004-'Tech Parameters'!$I18&lt;1,-AD$7+2004+1,-'Tech Parameters'!$I18+1)):AD133*OFFSET(AD459,0,IF(AD$7-2004-'Tech Parameters'!$I18&lt;1,-AD$7+2004+1,-'Tech Parameters'!$I18+1)):AD459)</f>
        <v>0</v>
      </c>
      <c r="AE482" s="76">
        <f t="array" aca="1" ref="AE482" ca="1">SUM(OFFSET(AE133,0,IF(AE$7-2004-'Tech Parameters'!$I18&lt;1,-AE$7+2004+1,-'Tech Parameters'!$I18+1)):AE133*OFFSET(AE459,0,IF(AE$7-2004-'Tech Parameters'!$I18&lt;1,-AE$7+2004+1,-'Tech Parameters'!$I18+1)):AE459)</f>
        <v>0</v>
      </c>
      <c r="AF482" s="76">
        <f t="array" aca="1" ref="AF482" ca="1">SUM(OFFSET(AF133,0,IF(AF$7-2004-'Tech Parameters'!$I18&lt;1,-AF$7+2004+1,-'Tech Parameters'!$I18+1)):AF133*OFFSET(AF459,0,IF(AF$7-2004-'Tech Parameters'!$I18&lt;1,-AF$7+2004+1,-'Tech Parameters'!$I18+1)):AF459)</f>
        <v>0</v>
      </c>
      <c r="AG482" s="76">
        <f t="array" aca="1" ref="AG482" ca="1">SUM(OFFSET(AG133,0,IF(AG$7-2004-'Tech Parameters'!$I18&lt;1,-AG$7+2004+1,-'Tech Parameters'!$I18+1)):AG133*OFFSET(AG459,0,IF(AG$7-2004-'Tech Parameters'!$I18&lt;1,-AG$7+2004+1,-'Tech Parameters'!$I18+1)):AG459)</f>
        <v>0</v>
      </c>
      <c r="AH482" s="76">
        <f t="array" aca="1" ref="AH482" ca="1">SUM(OFFSET(AH133,0,IF(AH$7-2004-'Tech Parameters'!$I18&lt;1,-AH$7+2004+1,-'Tech Parameters'!$I18+1)):AH133*OFFSET(AH459,0,IF(AH$7-2004-'Tech Parameters'!$I18&lt;1,-AH$7+2004+1,-'Tech Parameters'!$I18+1)):AH459)</f>
        <v>0</v>
      </c>
      <c r="AI482" s="76">
        <f t="array" aca="1" ref="AI482" ca="1">SUM(OFFSET(AI133,0,IF(AI$7-2004-'Tech Parameters'!$I18&lt;1,-AI$7+2004+1,-'Tech Parameters'!$I18+1)):AI133*OFFSET(AI459,0,IF(AI$7-2004-'Tech Parameters'!$I18&lt;1,-AI$7+2004+1,-'Tech Parameters'!$I18+1)):AI459)</f>
        <v>0</v>
      </c>
      <c r="AJ482" s="76">
        <f t="array" aca="1" ref="AJ482" ca="1">SUM(OFFSET(AJ133,0,IF(AJ$7-2004-'Tech Parameters'!$I18&lt;1,-AJ$7+2004+1,-'Tech Parameters'!$I18+1)):AJ133*OFFSET(AJ459,0,IF(AJ$7-2004-'Tech Parameters'!$I18&lt;1,-AJ$7+2004+1,-'Tech Parameters'!$I18+1)):AJ459)</f>
        <v>0</v>
      </c>
      <c r="AK482" s="76">
        <f t="array" aca="1" ref="AK482" ca="1">SUM(OFFSET(AK133,0,IF(AK$7-2004-'Tech Parameters'!$I18&lt;1,-AK$7+2004+1,-'Tech Parameters'!$I18+1)):AK133*OFFSET(AK459,0,IF(AK$7-2004-'Tech Parameters'!$I18&lt;1,-AK$7+2004+1,-'Tech Parameters'!$I18+1)):AK459)</f>
        <v>0</v>
      </c>
      <c r="AL482" s="76">
        <f t="array" aca="1" ref="AL482" ca="1">SUM(OFFSET(AL133,0,IF(AL$7-2004-'Tech Parameters'!$I18&lt;1,-AL$7+2004+1,-'Tech Parameters'!$I18+1)):AL133*OFFSET(AL459,0,IF(AL$7-2004-'Tech Parameters'!$I18&lt;1,-AL$7+2004+1,-'Tech Parameters'!$I18+1)):AL459)</f>
        <v>0</v>
      </c>
      <c r="AM482" s="76">
        <f t="array" aca="1" ref="AM482" ca="1">SUM(OFFSET(AM133,0,IF(AM$7-2004-'Tech Parameters'!$I18&lt;1,-AM$7+2004+1,-'Tech Parameters'!$I18+1)):AM133*OFFSET(AM459,0,IF(AM$7-2004-'Tech Parameters'!$I18&lt;1,-AM$7+2004+1,-'Tech Parameters'!$I18+1)):AM459)</f>
        <v>0</v>
      </c>
      <c r="AN482" s="76">
        <f t="array" aca="1" ref="AN482" ca="1">SUM(OFFSET(AN133,0,IF(AN$7-2004-'Tech Parameters'!$I18&lt;1,-AN$7+2004+1,-'Tech Parameters'!$I18+1)):AN133*OFFSET(AN459,0,IF(AN$7-2004-'Tech Parameters'!$I18&lt;1,-AN$7+2004+1,-'Tech Parameters'!$I18+1)):AN459)</f>
        <v>0</v>
      </c>
      <c r="AO482" s="76">
        <f t="array" aca="1" ref="AO482" ca="1">SUM(OFFSET(AO133,0,IF(AO$7-2004-'Tech Parameters'!$I18&lt;1,-AO$7+2004+1,-'Tech Parameters'!$I18+1)):AO133*OFFSET(AO459,0,IF(AO$7-2004-'Tech Parameters'!$I18&lt;1,-AO$7+2004+1,-'Tech Parameters'!$I18+1)):AO459)</f>
        <v>0</v>
      </c>
      <c r="AP482" s="76">
        <f t="array" aca="1" ref="AP482" ca="1">SUM(OFFSET(AP133,0,IF(AP$7-2004-'Tech Parameters'!$I18&lt;1,-AP$7+2004+1,-'Tech Parameters'!$I18+1)):AP133*OFFSET(AP459,0,IF(AP$7-2004-'Tech Parameters'!$I18&lt;1,-AP$7+2004+1,-'Tech Parameters'!$I18+1)):AP459)</f>
        <v>0</v>
      </c>
      <c r="AQ482" s="76">
        <f t="array" aca="1" ref="AQ482" ca="1">SUM(OFFSET(AQ133,0,IF(AQ$7-2004-'Tech Parameters'!$I18&lt;1,-AQ$7+2004+1,-'Tech Parameters'!$I18+1)):AQ133*OFFSET(AQ459,0,IF(AQ$7-2004-'Tech Parameters'!$I18&lt;1,-AQ$7+2004+1,-'Tech Parameters'!$I18+1)):AQ459)</f>
        <v>0</v>
      </c>
      <c r="AR482" s="76">
        <f t="array" aca="1" ref="AR482" ca="1">SUM(OFFSET(AR133,0,IF(AR$7-2004-'Tech Parameters'!$I18&lt;1,-AR$7+2004+1,-'Tech Parameters'!$I18+1)):AR133*OFFSET(AR459,0,IF(AR$7-2004-'Tech Parameters'!$I18&lt;1,-AR$7+2004+1,-'Tech Parameters'!$I18+1)):AR459)</f>
        <v>0</v>
      </c>
      <c r="AS482" s="76">
        <f t="array" aca="1" ref="AS482" ca="1">SUM(OFFSET(AS133,0,IF(AS$7-2004-'Tech Parameters'!$I18&lt;1,-AS$7+2004+1,-'Tech Parameters'!$I18+1)):AS133*OFFSET(AS459,0,IF(AS$7-2004-'Tech Parameters'!$I18&lt;1,-AS$7+2004+1,-'Tech Parameters'!$I18+1)):AS459)</f>
        <v>0</v>
      </c>
      <c r="AT482" s="76">
        <f t="array" aca="1" ref="AT482" ca="1">SUM(OFFSET(AT133,0,IF(AT$7-2004-'Tech Parameters'!$I18&lt;1,-AT$7+2004+1,-'Tech Parameters'!$I18+1)):AT133*OFFSET(AT459,0,IF(AT$7-2004-'Tech Parameters'!$I18&lt;1,-AT$7+2004+1,-'Tech Parameters'!$I18+1)):AT459)</f>
        <v>0</v>
      </c>
      <c r="AU482" s="76">
        <f t="array" aca="1" ref="AU482" ca="1">SUM(OFFSET(AU133,0,IF(AU$7-2004-'Tech Parameters'!$I18&lt;1,-AU$7+2004+1,-'Tech Parameters'!$I18+1)):AU133*OFFSET(AU459,0,IF(AU$7-2004-'Tech Parameters'!$I18&lt;1,-AU$7+2004+1,-'Tech Parameters'!$I18+1)):AU459)</f>
        <v>0</v>
      </c>
      <c r="AV482" s="76">
        <f t="array" aca="1" ref="AV482" ca="1">SUM(OFFSET(AV133,0,IF(AV$7-2004-'Tech Parameters'!$I18&lt;1,-AV$7+2004+1,-'Tech Parameters'!$I18+1)):AV133*OFFSET(AV459,0,IF(AV$7-2004-'Tech Parameters'!$I18&lt;1,-AV$7+2004+1,-'Tech Parameters'!$I18+1)):AV459)</f>
        <v>0</v>
      </c>
      <c r="AW482" s="76">
        <f t="array" aca="1" ref="AW482" ca="1">SUM(OFFSET(AW133,0,IF(AW$7-2004-'Tech Parameters'!$I18&lt;1,-AW$7+2004+1,-'Tech Parameters'!$I18+1)):AW133*OFFSET(AW459,0,IF(AW$7-2004-'Tech Parameters'!$I18&lt;1,-AW$7+2004+1,-'Tech Parameters'!$I18+1)):AW459)</f>
        <v>0</v>
      </c>
    </row>
    <row r="483" spans="3:49">
      <c r="C483" t="str">
        <f t="shared" si="113"/>
        <v>combined cycle gas</v>
      </c>
      <c r="D483">
        <f t="array" aca="1" ref="D483" ca="1">SUM(OFFSET(D134,0,IF(D$7-2004-'Tech Parameters'!$I19&lt;1,-D$7+2004+1,-'Tech Parameters'!$I19+1)):D134*OFFSET(D460,0,IF(D$7-2004-'Tech Parameters'!$I19&lt;1,-D$7+2004+1,-'Tech Parameters'!$I19+1)):D460)</f>
        <v>0</v>
      </c>
      <c r="E483">
        <f t="array" aca="1" ref="E483" ca="1">SUM(OFFSET(E134,0,IF(E$7-2004-'Tech Parameters'!$I19&lt;1,-E$7+2004+1,-'Tech Parameters'!$I19+1)):E134*OFFSET(E460,0,IF(E$7-2004-'Tech Parameters'!$I19&lt;1,-E$7+2004+1,-'Tech Parameters'!$I19+1)):E460)</f>
        <v>0</v>
      </c>
      <c r="F483">
        <f t="array" aca="1" ref="F483" ca="1">SUM(OFFSET(F134,0,IF(F$7-2004-'Tech Parameters'!$I19&lt;1,-F$7+2004+1,-'Tech Parameters'!$I19+1)):F134*OFFSET(F460,0,IF(F$7-2004-'Tech Parameters'!$I19&lt;1,-F$7+2004+1,-'Tech Parameters'!$I19+1)):F460)</f>
        <v>0</v>
      </c>
      <c r="G483">
        <f t="array" aca="1" ref="G483" ca="1">SUM(OFFSET(G134,0,IF(G$7-2004-'Tech Parameters'!$I19&lt;1,-G$7+2004+1,-'Tech Parameters'!$I19+1)):G134*OFFSET(G460,0,IF(G$7-2004-'Tech Parameters'!$I19&lt;1,-G$7+2004+1,-'Tech Parameters'!$I19+1)):G460)</f>
        <v>0</v>
      </c>
      <c r="H483">
        <f t="array" aca="1" ref="H483" ca="1">SUM(OFFSET(H134,0,IF(H$7-2004-'Tech Parameters'!$I19&lt;1,-H$7+2004+1,-'Tech Parameters'!$I19+1)):H134*OFFSET(H460,0,IF(H$7-2004-'Tech Parameters'!$I19&lt;1,-H$7+2004+1,-'Tech Parameters'!$I19+1)):H460)</f>
        <v>0</v>
      </c>
      <c r="I483">
        <f t="array" aca="1" ref="I483" ca="1">SUM(OFFSET(I134,0,IF(I$7-2004-'Tech Parameters'!$I19&lt;1,-I$7+2004+1,-'Tech Parameters'!$I19+1)):I134*OFFSET(I460,0,IF(I$7-2004-'Tech Parameters'!$I19&lt;1,-I$7+2004+1,-'Tech Parameters'!$I19+1)):I460)</f>
        <v>0</v>
      </c>
      <c r="J483">
        <f t="array" aca="1" ref="J483" ca="1">SUM(OFFSET(J134,0,IF(J$7-2004-'Tech Parameters'!$I19&lt;1,-J$7+2004+1,-'Tech Parameters'!$I19+1)):J134*OFFSET(J460,0,IF(J$7-2004-'Tech Parameters'!$I19&lt;1,-J$7+2004+1,-'Tech Parameters'!$I19+1)):J460)</f>
        <v>0</v>
      </c>
      <c r="K483">
        <f t="array" aca="1" ref="K483" ca="1">SUM(OFFSET(K134,0,IF(K$7-2004-'Tech Parameters'!$I19&lt;1,-K$7+2004+1,-'Tech Parameters'!$I19+1)):K134*OFFSET(K460,0,IF(K$7-2004-'Tech Parameters'!$I19&lt;1,-K$7+2004+1,-'Tech Parameters'!$I19+1)):K460)</f>
        <v>0</v>
      </c>
      <c r="L483">
        <f t="array" aca="1" ref="L483" ca="1">SUM(OFFSET(L134,0,IF(L$7-2004-'Tech Parameters'!$I19&lt;1,-L$7+2004+1,-'Tech Parameters'!$I19+1)):L134*OFFSET(L460,0,IF(L$7-2004-'Tech Parameters'!$I19&lt;1,-L$7+2004+1,-'Tech Parameters'!$I19+1)):L460)</f>
        <v>0</v>
      </c>
      <c r="M483">
        <f t="array" aca="1" ref="M483" ca="1">SUM(OFFSET(M134,0,IF(M$7-2004-'Tech Parameters'!$I19&lt;1,-M$7+2004+1,-'Tech Parameters'!$I19+1)):M134*OFFSET(M460,0,IF(M$7-2004-'Tech Parameters'!$I19&lt;1,-M$7+2004+1,-'Tech Parameters'!$I19+1)):M460)</f>
        <v>0</v>
      </c>
      <c r="N483">
        <f t="array" aca="1" ref="N483" ca="1">SUM(OFFSET(N134,0,IF(N$7-2004-'Tech Parameters'!$I19&lt;1,-N$7+2004+1,-'Tech Parameters'!$I19+1)):N134*OFFSET(N460,0,IF(N$7-2004-'Tech Parameters'!$I19&lt;1,-N$7+2004+1,-'Tech Parameters'!$I19+1)):N460)</f>
        <v>0</v>
      </c>
      <c r="O483">
        <f t="array" aca="1" ref="O483" ca="1">SUM(OFFSET(O134,0,IF(O$7-2004-'Tech Parameters'!$I19&lt;1,-O$7+2004+1,-'Tech Parameters'!$I19+1)):O134*OFFSET(O460,0,IF(O$7-2004-'Tech Parameters'!$I19&lt;1,-O$7+2004+1,-'Tech Parameters'!$I19+1)):O460)</f>
        <v>0</v>
      </c>
      <c r="P483">
        <f t="array" aca="1" ref="P483" ca="1">SUM(OFFSET(P134,0,IF(P$7-2004-'Tech Parameters'!$I19&lt;1,-P$7+2004+1,-'Tech Parameters'!$I19+1)):P134*OFFSET(P460,0,IF(P$7-2004-'Tech Parameters'!$I19&lt;1,-P$7+2004+1,-'Tech Parameters'!$I19+1)):P460)</f>
        <v>0</v>
      </c>
      <c r="Q483">
        <f t="array" aca="1" ref="Q483" ca="1">SUM(OFFSET(Q134,0,IF(Q$7-2004-'Tech Parameters'!$I19&lt;1,-Q$7+2004+1,-'Tech Parameters'!$I19+1)):Q134*OFFSET(Q460,0,IF(Q$7-2004-'Tech Parameters'!$I19&lt;1,-Q$7+2004+1,-'Tech Parameters'!$I19+1)):Q460)</f>
        <v>0</v>
      </c>
      <c r="R483">
        <f t="array" aca="1" ref="R483" ca="1">SUM(OFFSET(R134,0,IF(R$7-2004-'Tech Parameters'!$I19&lt;1,-R$7+2004+1,-'Tech Parameters'!$I19+1)):R134*OFFSET(R460,0,IF(R$7-2004-'Tech Parameters'!$I19&lt;1,-R$7+2004+1,-'Tech Parameters'!$I19+1)):R460)</f>
        <v>0</v>
      </c>
      <c r="S483">
        <f t="array" aca="1" ref="S483" ca="1">SUM(OFFSET(S134,0,IF(S$7-2004-'Tech Parameters'!$I19&lt;1,-S$7+2004+1,-'Tech Parameters'!$I19+1)):S134*OFFSET(S460,0,IF(S$7-2004-'Tech Parameters'!$I19&lt;1,-S$7+2004+1,-'Tech Parameters'!$I19+1)):S460)</f>
        <v>0</v>
      </c>
      <c r="T483">
        <f t="array" aca="1" ref="T483" ca="1">SUM(OFFSET(T134,0,IF(T$7-2004-'Tech Parameters'!$I19&lt;1,-T$7+2004+1,-'Tech Parameters'!$I19+1)):T134*OFFSET(T460,0,IF(T$7-2004-'Tech Parameters'!$I19&lt;1,-T$7+2004+1,-'Tech Parameters'!$I19+1)):T460)</f>
        <v>0</v>
      </c>
      <c r="U483">
        <f t="array" aca="1" ref="U483" ca="1">SUM(OFFSET(U134,0,IF(U$7-2004-'Tech Parameters'!$I19&lt;1,-U$7+2004+1,-'Tech Parameters'!$I19+1)):U134*OFFSET(U460,0,IF(U$7-2004-'Tech Parameters'!$I19&lt;1,-U$7+2004+1,-'Tech Parameters'!$I19+1)):U460)</f>
        <v>0</v>
      </c>
      <c r="V483">
        <f t="array" aca="1" ref="V483" ca="1">SUM(OFFSET(V134,0,IF(V$7-2004-'Tech Parameters'!$I19&lt;1,-V$7+2004+1,-'Tech Parameters'!$I19+1)):V134*OFFSET(V460,0,IF(V$7-2004-'Tech Parameters'!$I19&lt;1,-V$7+2004+1,-'Tech Parameters'!$I19+1)):V460)</f>
        <v>0</v>
      </c>
      <c r="W483">
        <f t="array" aca="1" ref="W483" ca="1">SUM(OFFSET(W134,0,IF(W$7-2004-'Tech Parameters'!$I19&lt;1,-W$7+2004+1,-'Tech Parameters'!$I19+1)):W134*OFFSET(W460,0,IF(W$7-2004-'Tech Parameters'!$I19&lt;1,-W$7+2004+1,-'Tech Parameters'!$I19+1)):W460)</f>
        <v>0</v>
      </c>
      <c r="X483">
        <f t="array" aca="1" ref="X483" ca="1">SUM(OFFSET(X134,0,IF(X$7-2004-'Tech Parameters'!$I19&lt;1,-X$7+2004+1,-'Tech Parameters'!$I19+1)):X134*OFFSET(X460,0,IF(X$7-2004-'Tech Parameters'!$I19&lt;1,-X$7+2004+1,-'Tech Parameters'!$I19+1)):X460)</f>
        <v>0</v>
      </c>
      <c r="Y483">
        <f t="array" aca="1" ref="Y483" ca="1">SUM(OFFSET(Y134,0,IF(Y$7-2004-'Tech Parameters'!$I19&lt;1,-Y$7+2004+1,-'Tech Parameters'!$I19+1)):Y134*OFFSET(Y460,0,IF(Y$7-2004-'Tech Parameters'!$I19&lt;1,-Y$7+2004+1,-'Tech Parameters'!$I19+1)):Y460)</f>
        <v>0</v>
      </c>
      <c r="Z483">
        <f t="array" aca="1" ref="Z483" ca="1">SUM(OFFSET(Z134,0,IF(Z$7-2004-'Tech Parameters'!$I19&lt;1,-Z$7+2004+1,-'Tech Parameters'!$I19+1)):Z134*OFFSET(Z460,0,IF(Z$7-2004-'Tech Parameters'!$I19&lt;1,-Z$7+2004+1,-'Tech Parameters'!$I19+1)):Z460)</f>
        <v>701.83057880399929</v>
      </c>
      <c r="AA483">
        <f t="array" aca="1" ref="AA483" ca="1">SUM(OFFSET(AA134,0,IF(AA$7-2004-'Tech Parameters'!$I19&lt;1,-AA$7+2004+1,-'Tech Parameters'!$I19+1)):AA134*OFFSET(AA460,0,IF(AA$7-2004-'Tech Parameters'!$I19&lt;1,-AA$7+2004+1,-'Tech Parameters'!$I19+1)):AA460)</f>
        <v>1751.9834768912642</v>
      </c>
      <c r="AB483">
        <f t="array" aca="1" ref="AB483" ca="1">SUM(OFFSET(AB134,0,IF(AB$7-2004-'Tech Parameters'!$I19&lt;1,-AB$7+2004+1,-'Tech Parameters'!$I19+1)):AB134*OFFSET(AB460,0,IF(AB$7-2004-'Tech Parameters'!$I19&lt;1,-AB$7+2004+1,-'Tech Parameters'!$I19+1)):AB460)</f>
        <v>2799.5434048597954</v>
      </c>
      <c r="AC483">
        <f t="array" aca="1" ref="AC483" ca="1">SUM(OFFSET(AC134,0,IF(AC$7-2004-'Tech Parameters'!$I19&lt;1,-AC$7+2004+1,-'Tech Parameters'!$I19+1)):AC134*OFFSET(AC460,0,IF(AC$7-2004-'Tech Parameters'!$I19&lt;1,-AC$7+2004+1,-'Tech Parameters'!$I19+1)):AC460)</f>
        <v>2799.5434048597954</v>
      </c>
      <c r="AD483" s="76">
        <f t="array" aca="1" ref="AD483" ca="1">SUM(OFFSET(AD134,0,IF(AD$7-2004-'Tech Parameters'!$I19&lt;1,-AD$7+2004+1,-'Tech Parameters'!$I19+1)):AD134*OFFSET(AD460,0,IF(AD$7-2004-'Tech Parameters'!$I19&lt;1,-AD$7+2004+1,-'Tech Parameters'!$I19+1)):AD460)</f>
        <v>2799.5434048597954</v>
      </c>
      <c r="AE483" s="76">
        <f t="array" aca="1" ref="AE483" ca="1">SUM(OFFSET(AE134,0,IF(AE$7-2004-'Tech Parameters'!$I19&lt;1,-AE$7+2004+1,-'Tech Parameters'!$I19+1)):AE134*OFFSET(AE460,0,IF(AE$7-2004-'Tech Parameters'!$I19&lt;1,-AE$7+2004+1,-'Tech Parameters'!$I19+1)):AE460)</f>
        <v>2799.5434048597954</v>
      </c>
      <c r="AF483" s="76">
        <f t="array" aca="1" ref="AF483" ca="1">SUM(OFFSET(AF134,0,IF(AF$7-2004-'Tech Parameters'!$I19&lt;1,-AF$7+2004+1,-'Tech Parameters'!$I19+1)):AF134*OFFSET(AF460,0,IF(AF$7-2004-'Tech Parameters'!$I19&lt;1,-AF$7+2004+1,-'Tech Parameters'!$I19+1)):AF460)</f>
        <v>2799.5434048597954</v>
      </c>
      <c r="AG483" s="76">
        <f t="array" aca="1" ref="AG483" ca="1">SUM(OFFSET(AG134,0,IF(AG$7-2004-'Tech Parameters'!$I19&lt;1,-AG$7+2004+1,-'Tech Parameters'!$I19+1)):AG134*OFFSET(AG460,0,IF(AG$7-2004-'Tech Parameters'!$I19&lt;1,-AG$7+2004+1,-'Tech Parameters'!$I19+1)):AG460)</f>
        <v>2799.5434048597954</v>
      </c>
      <c r="AH483" s="76">
        <f t="array" aca="1" ref="AH483" ca="1">SUM(OFFSET(AH134,0,IF(AH$7-2004-'Tech Parameters'!$I19&lt;1,-AH$7+2004+1,-'Tech Parameters'!$I19+1)):AH134*OFFSET(AH460,0,IF(AH$7-2004-'Tech Parameters'!$I19&lt;1,-AH$7+2004+1,-'Tech Parameters'!$I19+1)):AH460)</f>
        <v>2799.5434048597954</v>
      </c>
      <c r="AI483" s="76">
        <f t="array" aca="1" ref="AI483" ca="1">SUM(OFFSET(AI134,0,IF(AI$7-2004-'Tech Parameters'!$I19&lt;1,-AI$7+2004+1,-'Tech Parameters'!$I19+1)):AI134*OFFSET(AI460,0,IF(AI$7-2004-'Tech Parameters'!$I19&lt;1,-AI$7+2004+1,-'Tech Parameters'!$I19+1)):AI460)</f>
        <v>2799.5434048597954</v>
      </c>
      <c r="AJ483" s="76">
        <f t="array" aca="1" ref="AJ483" ca="1">SUM(OFFSET(AJ134,0,IF(AJ$7-2004-'Tech Parameters'!$I19&lt;1,-AJ$7+2004+1,-'Tech Parameters'!$I19+1)):AJ134*OFFSET(AJ460,0,IF(AJ$7-2004-'Tech Parameters'!$I19&lt;1,-AJ$7+2004+1,-'Tech Parameters'!$I19+1)):AJ460)</f>
        <v>2799.5434048597954</v>
      </c>
      <c r="AK483" s="76">
        <f t="array" aca="1" ref="AK483" ca="1">SUM(OFFSET(AK134,0,IF(AK$7-2004-'Tech Parameters'!$I19&lt;1,-AK$7+2004+1,-'Tech Parameters'!$I19+1)):AK134*OFFSET(AK460,0,IF(AK$7-2004-'Tech Parameters'!$I19&lt;1,-AK$7+2004+1,-'Tech Parameters'!$I19+1)):AK460)</f>
        <v>2799.5434048597954</v>
      </c>
      <c r="AL483" s="76">
        <f t="array" aca="1" ref="AL483" ca="1">SUM(OFFSET(AL134,0,IF(AL$7-2004-'Tech Parameters'!$I19&lt;1,-AL$7+2004+1,-'Tech Parameters'!$I19+1)):AL134*OFFSET(AL460,0,IF(AL$7-2004-'Tech Parameters'!$I19&lt;1,-AL$7+2004+1,-'Tech Parameters'!$I19+1)):AL460)</f>
        <v>2799.5434048597954</v>
      </c>
      <c r="AM483" s="76">
        <f t="array" aca="1" ref="AM483" ca="1">SUM(OFFSET(AM134,0,IF(AM$7-2004-'Tech Parameters'!$I19&lt;1,-AM$7+2004+1,-'Tech Parameters'!$I19+1)):AM134*OFFSET(AM460,0,IF(AM$7-2004-'Tech Parameters'!$I19&lt;1,-AM$7+2004+1,-'Tech Parameters'!$I19+1)):AM460)</f>
        <v>2799.5434048597954</v>
      </c>
      <c r="AN483" s="76">
        <f t="array" aca="1" ref="AN483" ca="1">SUM(OFFSET(AN134,0,IF(AN$7-2004-'Tech Parameters'!$I19&lt;1,-AN$7+2004+1,-'Tech Parameters'!$I19+1)):AN134*OFFSET(AN460,0,IF(AN$7-2004-'Tech Parameters'!$I19&lt;1,-AN$7+2004+1,-'Tech Parameters'!$I19+1)):AN460)</f>
        <v>2799.5434048597954</v>
      </c>
      <c r="AO483" s="76">
        <f t="array" aca="1" ref="AO483" ca="1">SUM(OFFSET(AO134,0,IF(AO$7-2004-'Tech Parameters'!$I19&lt;1,-AO$7+2004+1,-'Tech Parameters'!$I19+1)):AO134*OFFSET(AO460,0,IF(AO$7-2004-'Tech Parameters'!$I19&lt;1,-AO$7+2004+1,-'Tech Parameters'!$I19+1)):AO460)</f>
        <v>2799.5434048597954</v>
      </c>
      <c r="AP483" s="76">
        <f t="array" aca="1" ref="AP483" ca="1">SUM(OFFSET(AP134,0,IF(AP$7-2004-'Tech Parameters'!$I19&lt;1,-AP$7+2004+1,-'Tech Parameters'!$I19+1)):AP134*OFFSET(AP460,0,IF(AP$7-2004-'Tech Parameters'!$I19&lt;1,-AP$7+2004+1,-'Tech Parameters'!$I19+1)):AP460)</f>
        <v>2799.5434048597954</v>
      </c>
      <c r="AQ483" s="76">
        <f t="array" aca="1" ref="AQ483" ca="1">SUM(OFFSET(AQ134,0,IF(AQ$7-2004-'Tech Parameters'!$I19&lt;1,-AQ$7+2004+1,-'Tech Parameters'!$I19+1)):AQ134*OFFSET(AQ460,0,IF(AQ$7-2004-'Tech Parameters'!$I19&lt;1,-AQ$7+2004+1,-'Tech Parameters'!$I19+1)):AQ460)</f>
        <v>2799.5434048597954</v>
      </c>
      <c r="AR483" s="76">
        <f t="array" aca="1" ref="AR483" ca="1">SUM(OFFSET(AR134,0,IF(AR$7-2004-'Tech Parameters'!$I19&lt;1,-AR$7+2004+1,-'Tech Parameters'!$I19+1)):AR134*OFFSET(AR460,0,IF(AR$7-2004-'Tech Parameters'!$I19&lt;1,-AR$7+2004+1,-'Tech Parameters'!$I19+1)):AR460)</f>
        <v>2799.5434048597954</v>
      </c>
      <c r="AS483" s="76">
        <f t="array" aca="1" ref="AS483" ca="1">SUM(OFFSET(AS134,0,IF(AS$7-2004-'Tech Parameters'!$I19&lt;1,-AS$7+2004+1,-'Tech Parameters'!$I19+1)):AS134*OFFSET(AS460,0,IF(AS$7-2004-'Tech Parameters'!$I19&lt;1,-AS$7+2004+1,-'Tech Parameters'!$I19+1)):AS460)</f>
        <v>2799.5434048597954</v>
      </c>
      <c r="AT483" s="76">
        <f t="array" aca="1" ref="AT483" ca="1">SUM(OFFSET(AT134,0,IF(AT$7-2004-'Tech Parameters'!$I19&lt;1,-AT$7+2004+1,-'Tech Parameters'!$I19+1)):AT134*OFFSET(AT460,0,IF(AT$7-2004-'Tech Parameters'!$I19&lt;1,-AT$7+2004+1,-'Tech Parameters'!$I19+1)):AT460)</f>
        <v>2799.5434048597954</v>
      </c>
      <c r="AU483" s="76">
        <f t="array" aca="1" ref="AU483" ca="1">SUM(OFFSET(AU134,0,IF(AU$7-2004-'Tech Parameters'!$I19&lt;1,-AU$7+2004+1,-'Tech Parameters'!$I19+1)):AU134*OFFSET(AU460,0,IF(AU$7-2004-'Tech Parameters'!$I19&lt;1,-AU$7+2004+1,-'Tech Parameters'!$I19+1)):AU460)</f>
        <v>2799.5434048597954</v>
      </c>
      <c r="AV483" s="76">
        <f t="array" aca="1" ref="AV483" ca="1">SUM(OFFSET(AV134,0,IF(AV$7-2004-'Tech Parameters'!$I19&lt;1,-AV$7+2004+1,-'Tech Parameters'!$I19+1)):AV134*OFFSET(AV460,0,IF(AV$7-2004-'Tech Parameters'!$I19&lt;1,-AV$7+2004+1,-'Tech Parameters'!$I19+1)):AV460)</f>
        <v>2799.5434048597954</v>
      </c>
      <c r="AW483" s="76">
        <f t="array" aca="1" ref="AW483" ca="1">SUM(OFFSET(AW134,0,IF(AW$7-2004-'Tech Parameters'!$I19&lt;1,-AW$7+2004+1,-'Tech Parameters'!$I19+1)):AW134*OFFSET(AW460,0,IF(AW$7-2004-'Tech Parameters'!$I19&lt;1,-AW$7+2004+1,-'Tech Parameters'!$I19+1)):AW460)</f>
        <v>2799.5434048597954</v>
      </c>
    </row>
    <row r="484" spans="3:49">
      <c r="C484" t="str">
        <f t="shared" si="113"/>
        <v>PBMR</v>
      </c>
      <c r="D484">
        <f t="array" aca="1" ref="D484" ca="1">SUM(OFFSET(D135,0,IF(D$7-2004-'Tech Parameters'!$I20&lt;1,-D$7+2004+1,-'Tech Parameters'!$I20+1)):D135*OFFSET(D461,0,IF(D$7-2004-'Tech Parameters'!$I20&lt;1,-D$7+2004+1,-'Tech Parameters'!$I20+1)):D461)</f>
        <v>0</v>
      </c>
      <c r="E484">
        <f t="array" aca="1" ref="E484" ca="1">SUM(OFFSET(E135,0,IF(E$7-2004-'Tech Parameters'!$I20&lt;1,-E$7+2004+1,-'Tech Parameters'!$I20+1)):E135*OFFSET(E461,0,IF(E$7-2004-'Tech Parameters'!$I20&lt;1,-E$7+2004+1,-'Tech Parameters'!$I20+1)):E461)</f>
        <v>0</v>
      </c>
      <c r="F484">
        <f t="array" aca="1" ref="F484" ca="1">SUM(OFFSET(F135,0,IF(F$7-2004-'Tech Parameters'!$I20&lt;1,-F$7+2004+1,-'Tech Parameters'!$I20+1)):F135*OFFSET(F461,0,IF(F$7-2004-'Tech Parameters'!$I20&lt;1,-F$7+2004+1,-'Tech Parameters'!$I20+1)):F461)</f>
        <v>0</v>
      </c>
      <c r="G484">
        <f t="array" aca="1" ref="G484" ca="1">SUM(OFFSET(G135,0,IF(G$7-2004-'Tech Parameters'!$I20&lt;1,-G$7+2004+1,-'Tech Parameters'!$I20+1)):G135*OFFSET(G461,0,IF(G$7-2004-'Tech Parameters'!$I20&lt;1,-G$7+2004+1,-'Tech Parameters'!$I20+1)):G461)</f>
        <v>0</v>
      </c>
      <c r="H484">
        <f t="array" aca="1" ref="H484" ca="1">SUM(OFFSET(H135,0,IF(H$7-2004-'Tech Parameters'!$I20&lt;1,-H$7+2004+1,-'Tech Parameters'!$I20+1)):H135*OFFSET(H461,0,IF(H$7-2004-'Tech Parameters'!$I20&lt;1,-H$7+2004+1,-'Tech Parameters'!$I20+1)):H461)</f>
        <v>0</v>
      </c>
      <c r="I484">
        <f t="array" aca="1" ref="I484" ca="1">SUM(OFFSET(I135,0,IF(I$7-2004-'Tech Parameters'!$I20&lt;1,-I$7+2004+1,-'Tech Parameters'!$I20+1)):I135*OFFSET(I461,0,IF(I$7-2004-'Tech Parameters'!$I20&lt;1,-I$7+2004+1,-'Tech Parameters'!$I20+1)):I461)</f>
        <v>0</v>
      </c>
      <c r="J484">
        <f t="array" aca="1" ref="J484" ca="1">SUM(OFFSET(J135,0,IF(J$7-2004-'Tech Parameters'!$I20&lt;1,-J$7+2004+1,-'Tech Parameters'!$I20+1)):J135*OFFSET(J461,0,IF(J$7-2004-'Tech Parameters'!$I20&lt;1,-J$7+2004+1,-'Tech Parameters'!$I20+1)):J461)</f>
        <v>0</v>
      </c>
      <c r="K484">
        <f t="array" aca="1" ref="K484" ca="1">SUM(OFFSET(K135,0,IF(K$7-2004-'Tech Parameters'!$I20&lt;1,-K$7+2004+1,-'Tech Parameters'!$I20+1)):K135*OFFSET(K461,0,IF(K$7-2004-'Tech Parameters'!$I20&lt;1,-K$7+2004+1,-'Tech Parameters'!$I20+1)):K461)</f>
        <v>0</v>
      </c>
      <c r="L484">
        <f t="array" aca="1" ref="L484" ca="1">SUM(OFFSET(L135,0,IF(L$7-2004-'Tech Parameters'!$I20&lt;1,-L$7+2004+1,-'Tech Parameters'!$I20+1)):L135*OFFSET(L461,0,IF(L$7-2004-'Tech Parameters'!$I20&lt;1,-L$7+2004+1,-'Tech Parameters'!$I20+1)):L461)</f>
        <v>0</v>
      </c>
      <c r="M484">
        <f t="array" aca="1" ref="M484" ca="1">SUM(OFFSET(M135,0,IF(M$7-2004-'Tech Parameters'!$I20&lt;1,-M$7+2004+1,-'Tech Parameters'!$I20+1)):M135*OFFSET(M461,0,IF(M$7-2004-'Tech Parameters'!$I20&lt;1,-M$7+2004+1,-'Tech Parameters'!$I20+1)):M461)</f>
        <v>0</v>
      </c>
      <c r="N484">
        <f t="array" aca="1" ref="N484" ca="1">SUM(OFFSET(N135,0,IF(N$7-2004-'Tech Parameters'!$I20&lt;1,-N$7+2004+1,-'Tech Parameters'!$I20+1)):N135*OFFSET(N461,0,IF(N$7-2004-'Tech Parameters'!$I20&lt;1,-N$7+2004+1,-'Tech Parameters'!$I20+1)):N461)</f>
        <v>0</v>
      </c>
      <c r="O484">
        <f t="array" aca="1" ref="O484" ca="1">SUM(OFFSET(O135,0,IF(O$7-2004-'Tech Parameters'!$I20&lt;1,-O$7+2004+1,-'Tech Parameters'!$I20+1)):O135*OFFSET(O461,0,IF(O$7-2004-'Tech Parameters'!$I20&lt;1,-O$7+2004+1,-'Tech Parameters'!$I20+1)):O461)</f>
        <v>0</v>
      </c>
      <c r="P484">
        <f t="array" aca="1" ref="P484" ca="1">SUM(OFFSET(P135,0,IF(P$7-2004-'Tech Parameters'!$I20&lt;1,-P$7+2004+1,-'Tech Parameters'!$I20+1)):P135*OFFSET(P461,0,IF(P$7-2004-'Tech Parameters'!$I20&lt;1,-P$7+2004+1,-'Tech Parameters'!$I20+1)):P461)</f>
        <v>0</v>
      </c>
      <c r="Q484">
        <f t="array" aca="1" ref="Q484" ca="1">SUM(OFFSET(Q135,0,IF(Q$7-2004-'Tech Parameters'!$I20&lt;1,-Q$7+2004+1,-'Tech Parameters'!$I20+1)):Q135*OFFSET(Q461,0,IF(Q$7-2004-'Tech Parameters'!$I20&lt;1,-Q$7+2004+1,-'Tech Parameters'!$I20+1)):Q461)</f>
        <v>0</v>
      </c>
      <c r="R484">
        <f t="array" aca="1" ref="R484" ca="1">SUM(OFFSET(R135,0,IF(R$7-2004-'Tech Parameters'!$I20&lt;1,-R$7+2004+1,-'Tech Parameters'!$I20+1)):R135*OFFSET(R461,0,IF(R$7-2004-'Tech Parameters'!$I20&lt;1,-R$7+2004+1,-'Tech Parameters'!$I20+1)):R461)</f>
        <v>0</v>
      </c>
      <c r="S484">
        <f t="array" aca="1" ref="S484" ca="1">SUM(OFFSET(S135,0,IF(S$7-2004-'Tech Parameters'!$I20&lt;1,-S$7+2004+1,-'Tech Parameters'!$I20+1)):S135*OFFSET(S461,0,IF(S$7-2004-'Tech Parameters'!$I20&lt;1,-S$7+2004+1,-'Tech Parameters'!$I20+1)):S461)</f>
        <v>0</v>
      </c>
      <c r="T484">
        <f t="array" aca="1" ref="T484" ca="1">SUM(OFFSET(T135,0,IF(T$7-2004-'Tech Parameters'!$I20&lt;1,-T$7+2004+1,-'Tech Parameters'!$I20+1)):T135*OFFSET(T461,0,IF(T$7-2004-'Tech Parameters'!$I20&lt;1,-T$7+2004+1,-'Tech Parameters'!$I20+1)):T461)</f>
        <v>0</v>
      </c>
      <c r="U484">
        <f t="array" aca="1" ref="U484" ca="1">SUM(OFFSET(U135,0,IF(U$7-2004-'Tech Parameters'!$I20&lt;1,-U$7+2004+1,-'Tech Parameters'!$I20+1)):U135*OFFSET(U461,0,IF(U$7-2004-'Tech Parameters'!$I20&lt;1,-U$7+2004+1,-'Tech Parameters'!$I20+1)):U461)</f>
        <v>0</v>
      </c>
      <c r="V484">
        <f t="array" aca="1" ref="V484" ca="1">SUM(OFFSET(V135,0,IF(V$7-2004-'Tech Parameters'!$I20&lt;1,-V$7+2004+1,-'Tech Parameters'!$I20+1)):V135*OFFSET(V461,0,IF(V$7-2004-'Tech Parameters'!$I20&lt;1,-V$7+2004+1,-'Tech Parameters'!$I20+1)):V461)</f>
        <v>0</v>
      </c>
      <c r="W484">
        <f t="array" aca="1" ref="W484" ca="1">SUM(OFFSET(W135,0,IF(W$7-2004-'Tech Parameters'!$I20&lt;1,-W$7+2004+1,-'Tech Parameters'!$I20+1)):W135*OFFSET(W461,0,IF(W$7-2004-'Tech Parameters'!$I20&lt;1,-W$7+2004+1,-'Tech Parameters'!$I20+1)):W461)</f>
        <v>0</v>
      </c>
      <c r="X484">
        <f t="array" aca="1" ref="X484" ca="1">SUM(OFFSET(X135,0,IF(X$7-2004-'Tech Parameters'!$I20&lt;1,-X$7+2004+1,-'Tech Parameters'!$I20+1)):X135*OFFSET(X461,0,IF(X$7-2004-'Tech Parameters'!$I20&lt;1,-X$7+2004+1,-'Tech Parameters'!$I20+1)):X461)</f>
        <v>0</v>
      </c>
      <c r="Y484">
        <f t="array" aca="1" ref="Y484" ca="1">SUM(OFFSET(Y135,0,IF(Y$7-2004-'Tech Parameters'!$I20&lt;1,-Y$7+2004+1,-'Tech Parameters'!$I20+1)):Y135*OFFSET(Y461,0,IF(Y$7-2004-'Tech Parameters'!$I20&lt;1,-Y$7+2004+1,-'Tech Parameters'!$I20+1)):Y461)</f>
        <v>0</v>
      </c>
      <c r="Z484">
        <f t="array" aca="1" ref="Z484" ca="1">SUM(OFFSET(Z135,0,IF(Z$7-2004-'Tech Parameters'!$I20&lt;1,-Z$7+2004+1,-'Tech Parameters'!$I20+1)):Z135*OFFSET(Z461,0,IF(Z$7-2004-'Tech Parameters'!$I20&lt;1,-Z$7+2004+1,-'Tech Parameters'!$I20+1)):Z461)</f>
        <v>0</v>
      </c>
      <c r="AA484">
        <f t="array" aca="1" ref="AA484" ca="1">SUM(OFFSET(AA135,0,IF(AA$7-2004-'Tech Parameters'!$I20&lt;1,-AA$7+2004+1,-'Tech Parameters'!$I20+1)):AA135*OFFSET(AA461,0,IF(AA$7-2004-'Tech Parameters'!$I20&lt;1,-AA$7+2004+1,-'Tech Parameters'!$I20+1)):AA461)</f>
        <v>0</v>
      </c>
      <c r="AB484">
        <f t="array" aca="1" ref="AB484" ca="1">SUM(OFFSET(AB135,0,IF(AB$7-2004-'Tech Parameters'!$I20&lt;1,-AB$7+2004+1,-'Tech Parameters'!$I20+1)):AB135*OFFSET(AB461,0,IF(AB$7-2004-'Tech Parameters'!$I20&lt;1,-AB$7+2004+1,-'Tech Parameters'!$I20+1)):AB461)</f>
        <v>0</v>
      </c>
      <c r="AC484">
        <f t="array" aca="1" ref="AC484" ca="1">SUM(OFFSET(AC135,0,IF(AC$7-2004-'Tech Parameters'!$I20&lt;1,-AC$7+2004+1,-'Tech Parameters'!$I20+1)):AC135*OFFSET(AC461,0,IF(AC$7-2004-'Tech Parameters'!$I20&lt;1,-AC$7+2004+1,-'Tech Parameters'!$I20+1)):AC461)</f>
        <v>0</v>
      </c>
      <c r="AD484" s="76">
        <f t="array" aca="1" ref="AD484" ca="1">SUM(OFFSET(AD135,0,IF(AD$7-2004-'Tech Parameters'!$I20&lt;1,-AD$7+2004+1,-'Tech Parameters'!$I20+1)):AD135*OFFSET(AD461,0,IF(AD$7-2004-'Tech Parameters'!$I20&lt;1,-AD$7+2004+1,-'Tech Parameters'!$I20+1)):AD461)</f>
        <v>0</v>
      </c>
      <c r="AE484" s="76">
        <f t="array" aca="1" ref="AE484" ca="1">SUM(OFFSET(AE135,0,IF(AE$7-2004-'Tech Parameters'!$I20&lt;1,-AE$7+2004+1,-'Tech Parameters'!$I20+1)):AE135*OFFSET(AE461,0,IF(AE$7-2004-'Tech Parameters'!$I20&lt;1,-AE$7+2004+1,-'Tech Parameters'!$I20+1)):AE461)</f>
        <v>0</v>
      </c>
      <c r="AF484" s="76">
        <f t="array" aca="1" ref="AF484" ca="1">SUM(OFFSET(AF135,0,IF(AF$7-2004-'Tech Parameters'!$I20&lt;1,-AF$7+2004+1,-'Tech Parameters'!$I20+1)):AF135*OFFSET(AF461,0,IF(AF$7-2004-'Tech Parameters'!$I20&lt;1,-AF$7+2004+1,-'Tech Parameters'!$I20+1)):AF461)</f>
        <v>0</v>
      </c>
      <c r="AG484" s="76">
        <f t="array" aca="1" ref="AG484" ca="1">SUM(OFFSET(AG135,0,IF(AG$7-2004-'Tech Parameters'!$I20&lt;1,-AG$7+2004+1,-'Tech Parameters'!$I20+1)):AG135*OFFSET(AG461,0,IF(AG$7-2004-'Tech Parameters'!$I20&lt;1,-AG$7+2004+1,-'Tech Parameters'!$I20+1)):AG461)</f>
        <v>0</v>
      </c>
      <c r="AH484" s="76">
        <f t="array" aca="1" ref="AH484" ca="1">SUM(OFFSET(AH135,0,IF(AH$7-2004-'Tech Parameters'!$I20&lt;1,-AH$7+2004+1,-'Tech Parameters'!$I20+1)):AH135*OFFSET(AH461,0,IF(AH$7-2004-'Tech Parameters'!$I20&lt;1,-AH$7+2004+1,-'Tech Parameters'!$I20+1)):AH461)</f>
        <v>0</v>
      </c>
      <c r="AI484" s="76">
        <f t="array" aca="1" ref="AI484" ca="1">SUM(OFFSET(AI135,0,IF(AI$7-2004-'Tech Parameters'!$I20&lt;1,-AI$7+2004+1,-'Tech Parameters'!$I20+1)):AI135*OFFSET(AI461,0,IF(AI$7-2004-'Tech Parameters'!$I20&lt;1,-AI$7+2004+1,-'Tech Parameters'!$I20+1)):AI461)</f>
        <v>0</v>
      </c>
      <c r="AJ484" s="76">
        <f t="array" aca="1" ref="AJ484" ca="1">SUM(OFFSET(AJ135,0,IF(AJ$7-2004-'Tech Parameters'!$I20&lt;1,-AJ$7+2004+1,-'Tech Parameters'!$I20+1)):AJ135*OFFSET(AJ461,0,IF(AJ$7-2004-'Tech Parameters'!$I20&lt;1,-AJ$7+2004+1,-'Tech Parameters'!$I20+1)):AJ461)</f>
        <v>0</v>
      </c>
      <c r="AK484" s="76">
        <f t="array" aca="1" ref="AK484" ca="1">SUM(OFFSET(AK135,0,IF(AK$7-2004-'Tech Parameters'!$I20&lt;1,-AK$7+2004+1,-'Tech Parameters'!$I20+1)):AK135*OFFSET(AK461,0,IF(AK$7-2004-'Tech Parameters'!$I20&lt;1,-AK$7+2004+1,-'Tech Parameters'!$I20+1)):AK461)</f>
        <v>0</v>
      </c>
      <c r="AL484" s="76">
        <f t="array" aca="1" ref="AL484" ca="1">SUM(OFFSET(AL135,0,IF(AL$7-2004-'Tech Parameters'!$I20&lt;1,-AL$7+2004+1,-'Tech Parameters'!$I20+1)):AL135*OFFSET(AL461,0,IF(AL$7-2004-'Tech Parameters'!$I20&lt;1,-AL$7+2004+1,-'Tech Parameters'!$I20+1)):AL461)</f>
        <v>0</v>
      </c>
      <c r="AM484" s="76">
        <f t="array" aca="1" ref="AM484" ca="1">SUM(OFFSET(AM135,0,IF(AM$7-2004-'Tech Parameters'!$I20&lt;1,-AM$7+2004+1,-'Tech Parameters'!$I20+1)):AM135*OFFSET(AM461,0,IF(AM$7-2004-'Tech Parameters'!$I20&lt;1,-AM$7+2004+1,-'Tech Parameters'!$I20+1)):AM461)</f>
        <v>0</v>
      </c>
      <c r="AN484" s="76">
        <f t="array" aca="1" ref="AN484" ca="1">SUM(OFFSET(AN135,0,IF(AN$7-2004-'Tech Parameters'!$I20&lt;1,-AN$7+2004+1,-'Tech Parameters'!$I20+1)):AN135*OFFSET(AN461,0,IF(AN$7-2004-'Tech Parameters'!$I20&lt;1,-AN$7+2004+1,-'Tech Parameters'!$I20+1)):AN461)</f>
        <v>0</v>
      </c>
      <c r="AO484" s="76">
        <f t="array" aca="1" ref="AO484" ca="1">SUM(OFFSET(AO135,0,IF(AO$7-2004-'Tech Parameters'!$I20&lt;1,-AO$7+2004+1,-'Tech Parameters'!$I20+1)):AO135*OFFSET(AO461,0,IF(AO$7-2004-'Tech Parameters'!$I20&lt;1,-AO$7+2004+1,-'Tech Parameters'!$I20+1)):AO461)</f>
        <v>0</v>
      </c>
      <c r="AP484" s="76">
        <f t="array" aca="1" ref="AP484" ca="1">SUM(OFFSET(AP135,0,IF(AP$7-2004-'Tech Parameters'!$I20&lt;1,-AP$7+2004+1,-'Tech Parameters'!$I20+1)):AP135*OFFSET(AP461,0,IF(AP$7-2004-'Tech Parameters'!$I20&lt;1,-AP$7+2004+1,-'Tech Parameters'!$I20+1)):AP461)</f>
        <v>0</v>
      </c>
      <c r="AQ484" s="76">
        <f t="array" aca="1" ref="AQ484" ca="1">SUM(OFFSET(AQ135,0,IF(AQ$7-2004-'Tech Parameters'!$I20&lt;1,-AQ$7+2004+1,-'Tech Parameters'!$I20+1)):AQ135*OFFSET(AQ461,0,IF(AQ$7-2004-'Tech Parameters'!$I20&lt;1,-AQ$7+2004+1,-'Tech Parameters'!$I20+1)):AQ461)</f>
        <v>0</v>
      </c>
      <c r="AR484" s="76">
        <f t="array" aca="1" ref="AR484" ca="1">SUM(OFFSET(AR135,0,IF(AR$7-2004-'Tech Parameters'!$I20&lt;1,-AR$7+2004+1,-'Tech Parameters'!$I20+1)):AR135*OFFSET(AR461,0,IF(AR$7-2004-'Tech Parameters'!$I20&lt;1,-AR$7+2004+1,-'Tech Parameters'!$I20+1)):AR461)</f>
        <v>0</v>
      </c>
      <c r="AS484" s="76">
        <f t="array" aca="1" ref="AS484" ca="1">SUM(OFFSET(AS135,0,IF(AS$7-2004-'Tech Parameters'!$I20&lt;1,-AS$7+2004+1,-'Tech Parameters'!$I20+1)):AS135*OFFSET(AS461,0,IF(AS$7-2004-'Tech Parameters'!$I20&lt;1,-AS$7+2004+1,-'Tech Parameters'!$I20+1)):AS461)</f>
        <v>0</v>
      </c>
      <c r="AT484" s="76">
        <f t="array" aca="1" ref="AT484" ca="1">SUM(OFFSET(AT135,0,IF(AT$7-2004-'Tech Parameters'!$I20&lt;1,-AT$7+2004+1,-'Tech Parameters'!$I20+1)):AT135*OFFSET(AT461,0,IF(AT$7-2004-'Tech Parameters'!$I20&lt;1,-AT$7+2004+1,-'Tech Parameters'!$I20+1)):AT461)</f>
        <v>0</v>
      </c>
      <c r="AU484" s="76">
        <f t="array" aca="1" ref="AU484" ca="1">SUM(OFFSET(AU135,0,IF(AU$7-2004-'Tech Parameters'!$I20&lt;1,-AU$7+2004+1,-'Tech Parameters'!$I20+1)):AU135*OFFSET(AU461,0,IF(AU$7-2004-'Tech Parameters'!$I20&lt;1,-AU$7+2004+1,-'Tech Parameters'!$I20+1)):AU461)</f>
        <v>0</v>
      </c>
      <c r="AV484" s="76">
        <f t="array" aca="1" ref="AV484" ca="1">SUM(OFFSET(AV135,0,IF(AV$7-2004-'Tech Parameters'!$I20&lt;1,-AV$7+2004+1,-'Tech Parameters'!$I20+1)):AV135*OFFSET(AV461,0,IF(AV$7-2004-'Tech Parameters'!$I20&lt;1,-AV$7+2004+1,-'Tech Parameters'!$I20+1)):AV461)</f>
        <v>0</v>
      </c>
      <c r="AW484" s="76">
        <f t="array" aca="1" ref="AW484" ca="1">SUM(OFFSET(AW135,0,IF(AW$7-2004-'Tech Parameters'!$I20&lt;1,-AW$7+2004+1,-'Tech Parameters'!$I20+1)):AW135*OFFSET(AW461,0,IF(AW$7-2004-'Tech Parameters'!$I20&lt;1,-AW$7+2004+1,-'Tech Parameters'!$I20+1)):AW461)</f>
        <v>0</v>
      </c>
    </row>
    <row r="485" spans="3:49">
      <c r="C485" t="str">
        <f t="shared" si="113"/>
        <v>IGCC</v>
      </c>
      <c r="D485">
        <f t="array" aca="1" ref="D485" ca="1">SUM(OFFSET(D136,0,IF(D$7-2004-'Tech Parameters'!$I21&lt;1,-D$7+2004+1,-'Tech Parameters'!$I21+1)):D136*OFFSET(D462,0,IF(D$7-2004-'Tech Parameters'!$I21&lt;1,-D$7+2004+1,-'Tech Parameters'!$I21+1)):D462)</f>
        <v>0</v>
      </c>
      <c r="E485">
        <f t="array" aca="1" ref="E485" ca="1">SUM(OFFSET(E136,0,IF(E$7-2004-'Tech Parameters'!$I21&lt;1,-E$7+2004+1,-'Tech Parameters'!$I21+1)):E136*OFFSET(E462,0,IF(E$7-2004-'Tech Parameters'!$I21&lt;1,-E$7+2004+1,-'Tech Parameters'!$I21+1)):E462)</f>
        <v>0</v>
      </c>
      <c r="F485">
        <f t="array" aca="1" ref="F485" ca="1">SUM(OFFSET(F136,0,IF(F$7-2004-'Tech Parameters'!$I21&lt;1,-F$7+2004+1,-'Tech Parameters'!$I21+1)):F136*OFFSET(F462,0,IF(F$7-2004-'Tech Parameters'!$I21&lt;1,-F$7+2004+1,-'Tech Parameters'!$I21+1)):F462)</f>
        <v>0</v>
      </c>
      <c r="G485">
        <f t="array" aca="1" ref="G485" ca="1">SUM(OFFSET(G136,0,IF(G$7-2004-'Tech Parameters'!$I21&lt;1,-G$7+2004+1,-'Tech Parameters'!$I21+1)):G136*OFFSET(G462,0,IF(G$7-2004-'Tech Parameters'!$I21&lt;1,-G$7+2004+1,-'Tech Parameters'!$I21+1)):G462)</f>
        <v>0</v>
      </c>
      <c r="H485">
        <f t="array" aca="1" ref="H485" ca="1">SUM(OFFSET(H136,0,IF(H$7-2004-'Tech Parameters'!$I21&lt;1,-H$7+2004+1,-'Tech Parameters'!$I21+1)):H136*OFFSET(H462,0,IF(H$7-2004-'Tech Parameters'!$I21&lt;1,-H$7+2004+1,-'Tech Parameters'!$I21+1)):H462)</f>
        <v>0</v>
      </c>
      <c r="I485">
        <f t="array" aca="1" ref="I485" ca="1">SUM(OFFSET(I136,0,IF(I$7-2004-'Tech Parameters'!$I21&lt;1,-I$7+2004+1,-'Tech Parameters'!$I21+1)):I136*OFFSET(I462,0,IF(I$7-2004-'Tech Parameters'!$I21&lt;1,-I$7+2004+1,-'Tech Parameters'!$I21+1)):I462)</f>
        <v>0</v>
      </c>
      <c r="J485">
        <f t="array" aca="1" ref="J485" ca="1">SUM(OFFSET(J136,0,IF(J$7-2004-'Tech Parameters'!$I21&lt;1,-J$7+2004+1,-'Tech Parameters'!$I21+1)):J136*OFFSET(J462,0,IF(J$7-2004-'Tech Parameters'!$I21&lt;1,-J$7+2004+1,-'Tech Parameters'!$I21+1)):J462)</f>
        <v>0</v>
      </c>
      <c r="K485">
        <f t="array" aca="1" ref="K485" ca="1">SUM(OFFSET(K136,0,IF(K$7-2004-'Tech Parameters'!$I21&lt;1,-K$7+2004+1,-'Tech Parameters'!$I21+1)):K136*OFFSET(K462,0,IF(K$7-2004-'Tech Parameters'!$I21&lt;1,-K$7+2004+1,-'Tech Parameters'!$I21+1)):K462)</f>
        <v>0</v>
      </c>
      <c r="L485">
        <f t="array" aca="1" ref="L485" ca="1">SUM(OFFSET(L136,0,IF(L$7-2004-'Tech Parameters'!$I21&lt;1,-L$7+2004+1,-'Tech Parameters'!$I21+1)):L136*OFFSET(L462,0,IF(L$7-2004-'Tech Parameters'!$I21&lt;1,-L$7+2004+1,-'Tech Parameters'!$I21+1)):L462)</f>
        <v>0</v>
      </c>
      <c r="M485">
        <f t="array" aca="1" ref="M485" ca="1">SUM(OFFSET(M136,0,IF(M$7-2004-'Tech Parameters'!$I21&lt;1,-M$7+2004+1,-'Tech Parameters'!$I21+1)):M136*OFFSET(M462,0,IF(M$7-2004-'Tech Parameters'!$I21&lt;1,-M$7+2004+1,-'Tech Parameters'!$I21+1)):M462)</f>
        <v>0</v>
      </c>
      <c r="N485">
        <f t="array" aca="1" ref="N485" ca="1">SUM(OFFSET(N136,0,IF(N$7-2004-'Tech Parameters'!$I21&lt;1,-N$7+2004+1,-'Tech Parameters'!$I21+1)):N136*OFFSET(N462,0,IF(N$7-2004-'Tech Parameters'!$I21&lt;1,-N$7+2004+1,-'Tech Parameters'!$I21+1)):N462)</f>
        <v>0</v>
      </c>
      <c r="O485">
        <f t="array" aca="1" ref="O485" ca="1">SUM(OFFSET(O136,0,IF(O$7-2004-'Tech Parameters'!$I21&lt;1,-O$7+2004+1,-'Tech Parameters'!$I21+1)):O136*OFFSET(O462,0,IF(O$7-2004-'Tech Parameters'!$I21&lt;1,-O$7+2004+1,-'Tech Parameters'!$I21+1)):O462)</f>
        <v>0</v>
      </c>
      <c r="P485">
        <f t="array" aca="1" ref="P485" ca="1">SUM(OFFSET(P136,0,IF(P$7-2004-'Tech Parameters'!$I21&lt;1,-P$7+2004+1,-'Tech Parameters'!$I21+1)):P136*OFFSET(P462,0,IF(P$7-2004-'Tech Parameters'!$I21&lt;1,-P$7+2004+1,-'Tech Parameters'!$I21+1)):P462)</f>
        <v>0</v>
      </c>
      <c r="Q485">
        <f t="array" aca="1" ref="Q485" ca="1">SUM(OFFSET(Q136,0,IF(Q$7-2004-'Tech Parameters'!$I21&lt;1,-Q$7+2004+1,-'Tech Parameters'!$I21+1)):Q136*OFFSET(Q462,0,IF(Q$7-2004-'Tech Parameters'!$I21&lt;1,-Q$7+2004+1,-'Tech Parameters'!$I21+1)):Q462)</f>
        <v>0</v>
      </c>
      <c r="R485">
        <f t="array" aca="1" ref="R485" ca="1">SUM(OFFSET(R136,0,IF(R$7-2004-'Tech Parameters'!$I21&lt;1,-R$7+2004+1,-'Tech Parameters'!$I21+1)):R136*OFFSET(R462,0,IF(R$7-2004-'Tech Parameters'!$I21&lt;1,-R$7+2004+1,-'Tech Parameters'!$I21+1)):R462)</f>
        <v>0</v>
      </c>
      <c r="S485">
        <f t="array" aca="1" ref="S485" ca="1">SUM(OFFSET(S136,0,IF(S$7-2004-'Tech Parameters'!$I21&lt;1,-S$7+2004+1,-'Tech Parameters'!$I21+1)):S136*OFFSET(S462,0,IF(S$7-2004-'Tech Parameters'!$I21&lt;1,-S$7+2004+1,-'Tech Parameters'!$I21+1)):S462)</f>
        <v>0</v>
      </c>
      <c r="T485">
        <f t="array" aca="1" ref="T485" ca="1">SUM(OFFSET(T136,0,IF(T$7-2004-'Tech Parameters'!$I21&lt;1,-T$7+2004+1,-'Tech Parameters'!$I21+1)):T136*OFFSET(T462,0,IF(T$7-2004-'Tech Parameters'!$I21&lt;1,-T$7+2004+1,-'Tech Parameters'!$I21+1)):T462)</f>
        <v>0</v>
      </c>
      <c r="U485">
        <f t="array" aca="1" ref="U485" ca="1">SUM(OFFSET(U136,0,IF(U$7-2004-'Tech Parameters'!$I21&lt;1,-U$7+2004+1,-'Tech Parameters'!$I21+1)):U136*OFFSET(U462,0,IF(U$7-2004-'Tech Parameters'!$I21&lt;1,-U$7+2004+1,-'Tech Parameters'!$I21+1)):U462)</f>
        <v>0</v>
      </c>
      <c r="V485">
        <f t="array" aca="1" ref="V485" ca="1">SUM(OFFSET(V136,0,IF(V$7-2004-'Tech Parameters'!$I21&lt;1,-V$7+2004+1,-'Tech Parameters'!$I21+1)):V136*OFFSET(V462,0,IF(V$7-2004-'Tech Parameters'!$I21&lt;1,-V$7+2004+1,-'Tech Parameters'!$I21+1)):V462)</f>
        <v>0</v>
      </c>
      <c r="W485">
        <f t="array" aca="1" ref="W485" ca="1">SUM(OFFSET(W136,0,IF(W$7-2004-'Tech Parameters'!$I21&lt;1,-W$7+2004+1,-'Tech Parameters'!$I21+1)):W136*OFFSET(W462,0,IF(W$7-2004-'Tech Parameters'!$I21&lt;1,-W$7+2004+1,-'Tech Parameters'!$I21+1)):W462)</f>
        <v>0</v>
      </c>
      <c r="X485">
        <f t="array" aca="1" ref="X485" ca="1">SUM(OFFSET(X136,0,IF(X$7-2004-'Tech Parameters'!$I21&lt;1,-X$7+2004+1,-'Tech Parameters'!$I21+1)):X136*OFFSET(X462,0,IF(X$7-2004-'Tech Parameters'!$I21&lt;1,-X$7+2004+1,-'Tech Parameters'!$I21+1)):X462)</f>
        <v>0</v>
      </c>
      <c r="Y485">
        <f t="array" aca="1" ref="Y485" ca="1">SUM(OFFSET(Y136,0,IF(Y$7-2004-'Tech Parameters'!$I21&lt;1,-Y$7+2004+1,-'Tech Parameters'!$I21+1)):Y136*OFFSET(Y462,0,IF(Y$7-2004-'Tech Parameters'!$I21&lt;1,-Y$7+2004+1,-'Tech Parameters'!$I21+1)):Y462)</f>
        <v>0</v>
      </c>
      <c r="Z485">
        <f t="array" aca="1" ref="Z485" ca="1">SUM(OFFSET(Z136,0,IF(Z$7-2004-'Tech Parameters'!$I21&lt;1,-Z$7+2004+1,-'Tech Parameters'!$I21+1)):Z136*OFFSET(Z462,0,IF(Z$7-2004-'Tech Parameters'!$I21&lt;1,-Z$7+2004+1,-'Tech Parameters'!$I21+1)):Z462)</f>
        <v>0</v>
      </c>
      <c r="AA485">
        <f t="array" aca="1" ref="AA485" ca="1">SUM(OFFSET(AA136,0,IF(AA$7-2004-'Tech Parameters'!$I21&lt;1,-AA$7+2004+1,-'Tech Parameters'!$I21+1)):AA136*OFFSET(AA462,0,IF(AA$7-2004-'Tech Parameters'!$I21&lt;1,-AA$7+2004+1,-'Tech Parameters'!$I21+1)):AA462)</f>
        <v>0</v>
      </c>
      <c r="AB485">
        <f t="array" aca="1" ref="AB485" ca="1">SUM(OFFSET(AB136,0,IF(AB$7-2004-'Tech Parameters'!$I21&lt;1,-AB$7+2004+1,-'Tech Parameters'!$I21+1)):AB136*OFFSET(AB462,0,IF(AB$7-2004-'Tech Parameters'!$I21&lt;1,-AB$7+2004+1,-'Tech Parameters'!$I21+1)):AB462)</f>
        <v>1365.6321920502771</v>
      </c>
      <c r="AC485">
        <f t="array" aca="1" ref="AC485" ca="1">SUM(OFFSET(AC136,0,IF(AC$7-2004-'Tech Parameters'!$I21&lt;1,-AC$7+2004+1,-'Tech Parameters'!$I21+1)):AC136*OFFSET(AC462,0,IF(AC$7-2004-'Tech Parameters'!$I21&lt;1,-AC$7+2004+1,-'Tech Parameters'!$I21+1)):AC462)</f>
        <v>2731.2643841005543</v>
      </c>
      <c r="AD485" s="76">
        <f t="array" aca="1" ref="AD485" ca="1">SUM(OFFSET(AD136,0,IF(AD$7-2004-'Tech Parameters'!$I21&lt;1,-AD$7+2004+1,-'Tech Parameters'!$I21+1)):AD136*OFFSET(AD462,0,IF(AD$7-2004-'Tech Parameters'!$I21&lt;1,-AD$7+2004+1,-'Tech Parameters'!$I21+1)):AD462)</f>
        <v>2731.2643841005543</v>
      </c>
      <c r="AE485" s="76">
        <f t="array" aca="1" ref="AE485" ca="1">SUM(OFFSET(AE136,0,IF(AE$7-2004-'Tech Parameters'!$I21&lt;1,-AE$7+2004+1,-'Tech Parameters'!$I21+1)):AE136*OFFSET(AE462,0,IF(AE$7-2004-'Tech Parameters'!$I21&lt;1,-AE$7+2004+1,-'Tech Parameters'!$I21+1)):AE462)</f>
        <v>2731.2643841005543</v>
      </c>
      <c r="AF485" s="76">
        <f t="array" aca="1" ref="AF485" ca="1">SUM(OFFSET(AF136,0,IF(AF$7-2004-'Tech Parameters'!$I21&lt;1,-AF$7+2004+1,-'Tech Parameters'!$I21+1)):AF136*OFFSET(AF462,0,IF(AF$7-2004-'Tech Parameters'!$I21&lt;1,-AF$7+2004+1,-'Tech Parameters'!$I21+1)):AF462)</f>
        <v>2731.2643841005543</v>
      </c>
      <c r="AG485" s="76">
        <f t="array" aca="1" ref="AG485" ca="1">SUM(OFFSET(AG136,0,IF(AG$7-2004-'Tech Parameters'!$I21&lt;1,-AG$7+2004+1,-'Tech Parameters'!$I21+1)):AG136*OFFSET(AG462,0,IF(AG$7-2004-'Tech Parameters'!$I21&lt;1,-AG$7+2004+1,-'Tech Parameters'!$I21+1)):AG462)</f>
        <v>2731.2643841005543</v>
      </c>
      <c r="AH485" s="76">
        <f t="array" aca="1" ref="AH485" ca="1">SUM(OFFSET(AH136,0,IF(AH$7-2004-'Tech Parameters'!$I21&lt;1,-AH$7+2004+1,-'Tech Parameters'!$I21+1)):AH136*OFFSET(AH462,0,IF(AH$7-2004-'Tech Parameters'!$I21&lt;1,-AH$7+2004+1,-'Tech Parameters'!$I21+1)):AH462)</f>
        <v>2731.2643841005543</v>
      </c>
      <c r="AI485" s="76">
        <f t="array" aca="1" ref="AI485" ca="1">SUM(OFFSET(AI136,0,IF(AI$7-2004-'Tech Parameters'!$I21&lt;1,-AI$7+2004+1,-'Tech Parameters'!$I21+1)):AI136*OFFSET(AI462,0,IF(AI$7-2004-'Tech Parameters'!$I21&lt;1,-AI$7+2004+1,-'Tech Parameters'!$I21+1)):AI462)</f>
        <v>2731.2643841005543</v>
      </c>
      <c r="AJ485" s="76">
        <f t="array" aca="1" ref="AJ485" ca="1">SUM(OFFSET(AJ136,0,IF(AJ$7-2004-'Tech Parameters'!$I21&lt;1,-AJ$7+2004+1,-'Tech Parameters'!$I21+1)):AJ136*OFFSET(AJ462,0,IF(AJ$7-2004-'Tech Parameters'!$I21&lt;1,-AJ$7+2004+1,-'Tech Parameters'!$I21+1)):AJ462)</f>
        <v>2731.2643841005543</v>
      </c>
      <c r="AK485" s="76">
        <f t="array" aca="1" ref="AK485" ca="1">SUM(OFFSET(AK136,0,IF(AK$7-2004-'Tech Parameters'!$I21&lt;1,-AK$7+2004+1,-'Tech Parameters'!$I21+1)):AK136*OFFSET(AK462,0,IF(AK$7-2004-'Tech Parameters'!$I21&lt;1,-AK$7+2004+1,-'Tech Parameters'!$I21+1)):AK462)</f>
        <v>2731.2643841005543</v>
      </c>
      <c r="AL485" s="76">
        <f t="array" aca="1" ref="AL485" ca="1">SUM(OFFSET(AL136,0,IF(AL$7-2004-'Tech Parameters'!$I21&lt;1,-AL$7+2004+1,-'Tech Parameters'!$I21+1)):AL136*OFFSET(AL462,0,IF(AL$7-2004-'Tech Parameters'!$I21&lt;1,-AL$7+2004+1,-'Tech Parameters'!$I21+1)):AL462)</f>
        <v>2731.2643841005543</v>
      </c>
      <c r="AM485" s="76">
        <f t="array" aca="1" ref="AM485" ca="1">SUM(OFFSET(AM136,0,IF(AM$7-2004-'Tech Parameters'!$I21&lt;1,-AM$7+2004+1,-'Tech Parameters'!$I21+1)):AM136*OFFSET(AM462,0,IF(AM$7-2004-'Tech Parameters'!$I21&lt;1,-AM$7+2004+1,-'Tech Parameters'!$I21+1)):AM462)</f>
        <v>2731.2643841005543</v>
      </c>
      <c r="AN485" s="76">
        <f t="array" aca="1" ref="AN485" ca="1">SUM(OFFSET(AN136,0,IF(AN$7-2004-'Tech Parameters'!$I21&lt;1,-AN$7+2004+1,-'Tech Parameters'!$I21+1)):AN136*OFFSET(AN462,0,IF(AN$7-2004-'Tech Parameters'!$I21&lt;1,-AN$7+2004+1,-'Tech Parameters'!$I21+1)):AN462)</f>
        <v>2731.2643841005543</v>
      </c>
      <c r="AO485" s="76">
        <f t="array" aca="1" ref="AO485" ca="1">SUM(OFFSET(AO136,0,IF(AO$7-2004-'Tech Parameters'!$I21&lt;1,-AO$7+2004+1,-'Tech Parameters'!$I21+1)):AO136*OFFSET(AO462,0,IF(AO$7-2004-'Tech Parameters'!$I21&lt;1,-AO$7+2004+1,-'Tech Parameters'!$I21+1)):AO462)</f>
        <v>2731.2643841005543</v>
      </c>
      <c r="AP485" s="76">
        <f t="array" aca="1" ref="AP485" ca="1">SUM(OFFSET(AP136,0,IF(AP$7-2004-'Tech Parameters'!$I21&lt;1,-AP$7+2004+1,-'Tech Parameters'!$I21+1)):AP136*OFFSET(AP462,0,IF(AP$7-2004-'Tech Parameters'!$I21&lt;1,-AP$7+2004+1,-'Tech Parameters'!$I21+1)):AP462)</f>
        <v>2731.2643841005543</v>
      </c>
      <c r="AQ485" s="76">
        <f t="array" aca="1" ref="AQ485" ca="1">SUM(OFFSET(AQ136,0,IF(AQ$7-2004-'Tech Parameters'!$I21&lt;1,-AQ$7+2004+1,-'Tech Parameters'!$I21+1)):AQ136*OFFSET(AQ462,0,IF(AQ$7-2004-'Tech Parameters'!$I21&lt;1,-AQ$7+2004+1,-'Tech Parameters'!$I21+1)):AQ462)</f>
        <v>2731.2643841005543</v>
      </c>
      <c r="AR485" s="76">
        <f t="array" aca="1" ref="AR485" ca="1">SUM(OFFSET(AR136,0,IF(AR$7-2004-'Tech Parameters'!$I21&lt;1,-AR$7+2004+1,-'Tech Parameters'!$I21+1)):AR136*OFFSET(AR462,0,IF(AR$7-2004-'Tech Parameters'!$I21&lt;1,-AR$7+2004+1,-'Tech Parameters'!$I21+1)):AR462)</f>
        <v>2731.2643841005543</v>
      </c>
      <c r="AS485" s="76">
        <f t="array" aca="1" ref="AS485" ca="1">SUM(OFFSET(AS136,0,IF(AS$7-2004-'Tech Parameters'!$I21&lt;1,-AS$7+2004+1,-'Tech Parameters'!$I21+1)):AS136*OFFSET(AS462,0,IF(AS$7-2004-'Tech Parameters'!$I21&lt;1,-AS$7+2004+1,-'Tech Parameters'!$I21+1)):AS462)</f>
        <v>2731.2643841005543</v>
      </c>
      <c r="AT485" s="76">
        <f t="array" aca="1" ref="AT485" ca="1">SUM(OFFSET(AT136,0,IF(AT$7-2004-'Tech Parameters'!$I21&lt;1,-AT$7+2004+1,-'Tech Parameters'!$I21+1)):AT136*OFFSET(AT462,0,IF(AT$7-2004-'Tech Parameters'!$I21&lt;1,-AT$7+2004+1,-'Tech Parameters'!$I21+1)):AT462)</f>
        <v>2731.2643841005543</v>
      </c>
      <c r="AU485" s="76">
        <f t="array" aca="1" ref="AU485" ca="1">SUM(OFFSET(AU136,0,IF(AU$7-2004-'Tech Parameters'!$I21&lt;1,-AU$7+2004+1,-'Tech Parameters'!$I21+1)):AU136*OFFSET(AU462,0,IF(AU$7-2004-'Tech Parameters'!$I21&lt;1,-AU$7+2004+1,-'Tech Parameters'!$I21+1)):AU462)</f>
        <v>2731.2643841005543</v>
      </c>
      <c r="AV485" s="76">
        <f t="array" aca="1" ref="AV485" ca="1">SUM(OFFSET(AV136,0,IF(AV$7-2004-'Tech Parameters'!$I21&lt;1,-AV$7+2004+1,-'Tech Parameters'!$I21+1)):AV136*OFFSET(AV462,0,IF(AV$7-2004-'Tech Parameters'!$I21&lt;1,-AV$7+2004+1,-'Tech Parameters'!$I21+1)):AV462)</f>
        <v>2731.2643841005543</v>
      </c>
      <c r="AW485" s="76">
        <f t="array" aca="1" ref="AW485" ca="1">SUM(OFFSET(AW136,0,IF(AW$7-2004-'Tech Parameters'!$I21&lt;1,-AW$7+2004+1,-'Tech Parameters'!$I21+1)):AW136*OFFSET(AW462,0,IF(AW$7-2004-'Tech Parameters'!$I21&lt;1,-AW$7+2004+1,-'Tech Parameters'!$I21+1)):AW462)</f>
        <v>2731.2643841005543</v>
      </c>
    </row>
    <row r="486" spans="3:49">
      <c r="C486" t="str">
        <f t="shared" si="113"/>
        <v>-</v>
      </c>
      <c r="D486">
        <f t="array" aca="1" ref="D486" ca="1">SUM(OFFSET(D137,0,IF(D$7-2004-'Tech Parameters'!$I22&lt;1,-D$7+2004+1,-'Tech Parameters'!$I22+1)):D137*OFFSET(D463,0,IF(D$7-2004-'Tech Parameters'!$I22&lt;1,-D$7+2004+1,-'Tech Parameters'!$I22+1)):D463)</f>
        <v>0</v>
      </c>
      <c r="E486">
        <f t="array" aca="1" ref="E486" ca="1">SUM(OFFSET(E137,0,IF(E$7-2004-'Tech Parameters'!$I22&lt;1,-E$7+2004+1,-'Tech Parameters'!$I22+1)):E137*OFFSET(E463,0,IF(E$7-2004-'Tech Parameters'!$I22&lt;1,-E$7+2004+1,-'Tech Parameters'!$I22+1)):E463)</f>
        <v>0</v>
      </c>
      <c r="F486">
        <f t="array" aca="1" ref="F486" ca="1">SUM(OFFSET(F137,0,IF(F$7-2004-'Tech Parameters'!$I22&lt;1,-F$7+2004+1,-'Tech Parameters'!$I22+1)):F137*OFFSET(F463,0,IF(F$7-2004-'Tech Parameters'!$I22&lt;1,-F$7+2004+1,-'Tech Parameters'!$I22+1)):F463)</f>
        <v>0</v>
      </c>
      <c r="G486">
        <f t="array" aca="1" ref="G486" ca="1">SUM(OFFSET(G137,0,IF(G$7-2004-'Tech Parameters'!$I22&lt;1,-G$7+2004+1,-'Tech Parameters'!$I22+1)):G137*OFFSET(G463,0,IF(G$7-2004-'Tech Parameters'!$I22&lt;1,-G$7+2004+1,-'Tech Parameters'!$I22+1)):G463)</f>
        <v>0</v>
      </c>
      <c r="H486">
        <f t="array" aca="1" ref="H486" ca="1">SUM(OFFSET(H137,0,IF(H$7-2004-'Tech Parameters'!$I22&lt;1,-H$7+2004+1,-'Tech Parameters'!$I22+1)):H137*OFFSET(H463,0,IF(H$7-2004-'Tech Parameters'!$I22&lt;1,-H$7+2004+1,-'Tech Parameters'!$I22+1)):H463)</f>
        <v>0</v>
      </c>
      <c r="I486">
        <f t="array" aca="1" ref="I486" ca="1">SUM(OFFSET(I137,0,IF(I$7-2004-'Tech Parameters'!$I22&lt;1,-I$7+2004+1,-'Tech Parameters'!$I22+1)):I137*OFFSET(I463,0,IF(I$7-2004-'Tech Parameters'!$I22&lt;1,-I$7+2004+1,-'Tech Parameters'!$I22+1)):I463)</f>
        <v>0</v>
      </c>
      <c r="J486">
        <f t="array" aca="1" ref="J486" ca="1">SUM(OFFSET(J137,0,IF(J$7-2004-'Tech Parameters'!$I22&lt;1,-J$7+2004+1,-'Tech Parameters'!$I22+1)):J137*OFFSET(J463,0,IF(J$7-2004-'Tech Parameters'!$I22&lt;1,-J$7+2004+1,-'Tech Parameters'!$I22+1)):J463)</f>
        <v>0</v>
      </c>
      <c r="K486">
        <f t="array" aca="1" ref="K486" ca="1">SUM(OFFSET(K137,0,IF(K$7-2004-'Tech Parameters'!$I22&lt;1,-K$7+2004+1,-'Tech Parameters'!$I22+1)):K137*OFFSET(K463,0,IF(K$7-2004-'Tech Parameters'!$I22&lt;1,-K$7+2004+1,-'Tech Parameters'!$I22+1)):K463)</f>
        <v>0</v>
      </c>
      <c r="L486">
        <f t="array" aca="1" ref="L486" ca="1">SUM(OFFSET(L137,0,IF(L$7-2004-'Tech Parameters'!$I22&lt;1,-L$7+2004+1,-'Tech Parameters'!$I22+1)):L137*OFFSET(L463,0,IF(L$7-2004-'Tech Parameters'!$I22&lt;1,-L$7+2004+1,-'Tech Parameters'!$I22+1)):L463)</f>
        <v>0</v>
      </c>
      <c r="M486">
        <f t="array" aca="1" ref="M486" ca="1">SUM(OFFSET(M137,0,IF(M$7-2004-'Tech Parameters'!$I22&lt;1,-M$7+2004+1,-'Tech Parameters'!$I22+1)):M137*OFFSET(M463,0,IF(M$7-2004-'Tech Parameters'!$I22&lt;1,-M$7+2004+1,-'Tech Parameters'!$I22+1)):M463)</f>
        <v>0</v>
      </c>
      <c r="N486">
        <f t="array" aca="1" ref="N486" ca="1">SUM(OFFSET(N137,0,IF(N$7-2004-'Tech Parameters'!$I22&lt;1,-N$7+2004+1,-'Tech Parameters'!$I22+1)):N137*OFFSET(N463,0,IF(N$7-2004-'Tech Parameters'!$I22&lt;1,-N$7+2004+1,-'Tech Parameters'!$I22+1)):N463)</f>
        <v>0</v>
      </c>
      <c r="O486">
        <f t="array" aca="1" ref="O486" ca="1">SUM(OFFSET(O137,0,IF(O$7-2004-'Tech Parameters'!$I22&lt;1,-O$7+2004+1,-'Tech Parameters'!$I22+1)):O137*OFFSET(O463,0,IF(O$7-2004-'Tech Parameters'!$I22&lt;1,-O$7+2004+1,-'Tech Parameters'!$I22+1)):O463)</f>
        <v>0</v>
      </c>
      <c r="P486">
        <f t="array" aca="1" ref="P486" ca="1">SUM(OFFSET(P137,0,IF(P$7-2004-'Tech Parameters'!$I22&lt;1,-P$7+2004+1,-'Tech Parameters'!$I22+1)):P137*OFFSET(P463,0,IF(P$7-2004-'Tech Parameters'!$I22&lt;1,-P$7+2004+1,-'Tech Parameters'!$I22+1)):P463)</f>
        <v>0</v>
      </c>
      <c r="Q486">
        <f t="array" aca="1" ref="Q486" ca="1">SUM(OFFSET(Q137,0,IF(Q$7-2004-'Tech Parameters'!$I22&lt;1,-Q$7+2004+1,-'Tech Parameters'!$I22+1)):Q137*OFFSET(Q463,0,IF(Q$7-2004-'Tech Parameters'!$I22&lt;1,-Q$7+2004+1,-'Tech Parameters'!$I22+1)):Q463)</f>
        <v>0</v>
      </c>
      <c r="R486">
        <f t="array" aca="1" ref="R486" ca="1">SUM(OFFSET(R137,0,IF(R$7-2004-'Tech Parameters'!$I22&lt;1,-R$7+2004+1,-'Tech Parameters'!$I22+1)):R137*OFFSET(R463,0,IF(R$7-2004-'Tech Parameters'!$I22&lt;1,-R$7+2004+1,-'Tech Parameters'!$I22+1)):R463)</f>
        <v>0</v>
      </c>
      <c r="S486">
        <f t="array" aca="1" ref="S486" ca="1">SUM(OFFSET(S137,0,IF(S$7-2004-'Tech Parameters'!$I22&lt;1,-S$7+2004+1,-'Tech Parameters'!$I22+1)):S137*OFFSET(S463,0,IF(S$7-2004-'Tech Parameters'!$I22&lt;1,-S$7+2004+1,-'Tech Parameters'!$I22+1)):S463)</f>
        <v>0</v>
      </c>
      <c r="T486">
        <f t="array" aca="1" ref="T486" ca="1">SUM(OFFSET(T137,0,IF(T$7-2004-'Tech Parameters'!$I22&lt;1,-T$7+2004+1,-'Tech Parameters'!$I22+1)):T137*OFFSET(T463,0,IF(T$7-2004-'Tech Parameters'!$I22&lt;1,-T$7+2004+1,-'Tech Parameters'!$I22+1)):T463)</f>
        <v>0</v>
      </c>
      <c r="U486">
        <f t="array" aca="1" ref="U486" ca="1">SUM(OFFSET(U137,0,IF(U$7-2004-'Tech Parameters'!$I22&lt;1,-U$7+2004+1,-'Tech Parameters'!$I22+1)):U137*OFFSET(U463,0,IF(U$7-2004-'Tech Parameters'!$I22&lt;1,-U$7+2004+1,-'Tech Parameters'!$I22+1)):U463)</f>
        <v>0</v>
      </c>
      <c r="V486">
        <f t="array" aca="1" ref="V486" ca="1">SUM(OFFSET(V137,0,IF(V$7-2004-'Tech Parameters'!$I22&lt;1,-V$7+2004+1,-'Tech Parameters'!$I22+1)):V137*OFFSET(V463,0,IF(V$7-2004-'Tech Parameters'!$I22&lt;1,-V$7+2004+1,-'Tech Parameters'!$I22+1)):V463)</f>
        <v>0</v>
      </c>
      <c r="W486">
        <f t="array" aca="1" ref="W486" ca="1">SUM(OFFSET(W137,0,IF(W$7-2004-'Tech Parameters'!$I22&lt;1,-W$7+2004+1,-'Tech Parameters'!$I22+1)):W137*OFFSET(W463,0,IF(W$7-2004-'Tech Parameters'!$I22&lt;1,-W$7+2004+1,-'Tech Parameters'!$I22+1)):W463)</f>
        <v>0</v>
      </c>
      <c r="X486">
        <f t="array" aca="1" ref="X486" ca="1">SUM(OFFSET(X137,0,IF(X$7-2004-'Tech Parameters'!$I22&lt;1,-X$7+2004+1,-'Tech Parameters'!$I22+1)):X137*OFFSET(X463,0,IF(X$7-2004-'Tech Parameters'!$I22&lt;1,-X$7+2004+1,-'Tech Parameters'!$I22+1)):X463)</f>
        <v>0</v>
      </c>
      <c r="Y486">
        <f t="array" aca="1" ref="Y486" ca="1">SUM(OFFSET(Y137,0,IF(Y$7-2004-'Tech Parameters'!$I22&lt;1,-Y$7+2004+1,-'Tech Parameters'!$I22+1)):Y137*OFFSET(Y463,0,IF(Y$7-2004-'Tech Parameters'!$I22&lt;1,-Y$7+2004+1,-'Tech Parameters'!$I22+1)):Y463)</f>
        <v>0</v>
      </c>
      <c r="Z486">
        <f t="array" aca="1" ref="Z486" ca="1">SUM(OFFSET(Z137,0,IF(Z$7-2004-'Tech Parameters'!$I22&lt;1,-Z$7+2004+1,-'Tech Parameters'!$I22+1)):Z137*OFFSET(Z463,0,IF(Z$7-2004-'Tech Parameters'!$I22&lt;1,-Z$7+2004+1,-'Tech Parameters'!$I22+1)):Z463)</f>
        <v>0</v>
      </c>
      <c r="AA486">
        <f t="array" aca="1" ref="AA486" ca="1">SUM(OFFSET(AA137,0,IF(AA$7-2004-'Tech Parameters'!$I22&lt;1,-AA$7+2004+1,-'Tech Parameters'!$I22+1)):AA137*OFFSET(AA463,0,IF(AA$7-2004-'Tech Parameters'!$I22&lt;1,-AA$7+2004+1,-'Tech Parameters'!$I22+1)):AA463)</f>
        <v>0</v>
      </c>
      <c r="AB486">
        <f t="array" aca="1" ref="AB486" ca="1">SUM(OFFSET(AB137,0,IF(AB$7-2004-'Tech Parameters'!$I22&lt;1,-AB$7+2004+1,-'Tech Parameters'!$I22+1)):AB137*OFFSET(AB463,0,IF(AB$7-2004-'Tech Parameters'!$I22&lt;1,-AB$7+2004+1,-'Tech Parameters'!$I22+1)):AB463)</f>
        <v>0</v>
      </c>
      <c r="AC486">
        <f t="array" aca="1" ref="AC486" ca="1">SUM(OFFSET(AC137,0,IF(AC$7-2004-'Tech Parameters'!$I22&lt;1,-AC$7+2004+1,-'Tech Parameters'!$I22+1)):AC137*OFFSET(AC463,0,IF(AC$7-2004-'Tech Parameters'!$I22&lt;1,-AC$7+2004+1,-'Tech Parameters'!$I22+1)):AC463)</f>
        <v>0</v>
      </c>
      <c r="AD486" s="76">
        <f t="array" aca="1" ref="AD486" ca="1">SUM(OFFSET(AD137,0,IF(AD$7-2004-'Tech Parameters'!$I22&lt;1,-AD$7+2004+1,-'Tech Parameters'!$I22+1)):AD137*OFFSET(AD463,0,IF(AD$7-2004-'Tech Parameters'!$I22&lt;1,-AD$7+2004+1,-'Tech Parameters'!$I22+1)):AD463)</f>
        <v>0</v>
      </c>
      <c r="AE486" s="76">
        <f t="array" aca="1" ref="AE486" ca="1">SUM(OFFSET(AE137,0,IF(AE$7-2004-'Tech Parameters'!$I22&lt;1,-AE$7+2004+1,-'Tech Parameters'!$I22+1)):AE137*OFFSET(AE463,0,IF(AE$7-2004-'Tech Parameters'!$I22&lt;1,-AE$7+2004+1,-'Tech Parameters'!$I22+1)):AE463)</f>
        <v>0</v>
      </c>
      <c r="AF486" s="76">
        <f t="array" aca="1" ref="AF486" ca="1">SUM(OFFSET(AF137,0,IF(AF$7-2004-'Tech Parameters'!$I22&lt;1,-AF$7+2004+1,-'Tech Parameters'!$I22+1)):AF137*OFFSET(AF463,0,IF(AF$7-2004-'Tech Parameters'!$I22&lt;1,-AF$7+2004+1,-'Tech Parameters'!$I22+1)):AF463)</f>
        <v>0</v>
      </c>
      <c r="AG486" s="76">
        <f t="array" aca="1" ref="AG486" ca="1">SUM(OFFSET(AG137,0,IF(AG$7-2004-'Tech Parameters'!$I22&lt;1,-AG$7+2004+1,-'Tech Parameters'!$I22+1)):AG137*OFFSET(AG463,0,IF(AG$7-2004-'Tech Parameters'!$I22&lt;1,-AG$7+2004+1,-'Tech Parameters'!$I22+1)):AG463)</f>
        <v>0</v>
      </c>
      <c r="AH486" s="76">
        <f t="array" aca="1" ref="AH486" ca="1">SUM(OFFSET(AH137,0,IF(AH$7-2004-'Tech Parameters'!$I22&lt;1,-AH$7+2004+1,-'Tech Parameters'!$I22+1)):AH137*OFFSET(AH463,0,IF(AH$7-2004-'Tech Parameters'!$I22&lt;1,-AH$7+2004+1,-'Tech Parameters'!$I22+1)):AH463)</f>
        <v>0</v>
      </c>
      <c r="AI486" s="76">
        <f t="array" aca="1" ref="AI486" ca="1">SUM(OFFSET(AI137,0,IF(AI$7-2004-'Tech Parameters'!$I22&lt;1,-AI$7+2004+1,-'Tech Parameters'!$I22+1)):AI137*OFFSET(AI463,0,IF(AI$7-2004-'Tech Parameters'!$I22&lt;1,-AI$7+2004+1,-'Tech Parameters'!$I22+1)):AI463)</f>
        <v>0</v>
      </c>
      <c r="AJ486" s="76">
        <f t="array" aca="1" ref="AJ486" ca="1">SUM(OFFSET(AJ137,0,IF(AJ$7-2004-'Tech Parameters'!$I22&lt;1,-AJ$7+2004+1,-'Tech Parameters'!$I22+1)):AJ137*OFFSET(AJ463,0,IF(AJ$7-2004-'Tech Parameters'!$I22&lt;1,-AJ$7+2004+1,-'Tech Parameters'!$I22+1)):AJ463)</f>
        <v>0</v>
      </c>
      <c r="AK486" s="76">
        <f t="array" aca="1" ref="AK486" ca="1">SUM(OFFSET(AK137,0,IF(AK$7-2004-'Tech Parameters'!$I22&lt;1,-AK$7+2004+1,-'Tech Parameters'!$I22+1)):AK137*OFFSET(AK463,0,IF(AK$7-2004-'Tech Parameters'!$I22&lt;1,-AK$7+2004+1,-'Tech Parameters'!$I22+1)):AK463)</f>
        <v>0</v>
      </c>
      <c r="AL486" s="76">
        <f t="array" aca="1" ref="AL486" ca="1">SUM(OFFSET(AL137,0,IF(AL$7-2004-'Tech Parameters'!$I22&lt;1,-AL$7+2004+1,-'Tech Parameters'!$I22+1)):AL137*OFFSET(AL463,0,IF(AL$7-2004-'Tech Parameters'!$I22&lt;1,-AL$7+2004+1,-'Tech Parameters'!$I22+1)):AL463)</f>
        <v>0</v>
      </c>
      <c r="AM486" s="76">
        <f t="array" aca="1" ref="AM486" ca="1">SUM(OFFSET(AM137,0,IF(AM$7-2004-'Tech Parameters'!$I22&lt;1,-AM$7+2004+1,-'Tech Parameters'!$I22+1)):AM137*OFFSET(AM463,0,IF(AM$7-2004-'Tech Parameters'!$I22&lt;1,-AM$7+2004+1,-'Tech Parameters'!$I22+1)):AM463)</f>
        <v>0</v>
      </c>
      <c r="AN486" s="76">
        <f t="array" aca="1" ref="AN486" ca="1">SUM(OFFSET(AN137,0,IF(AN$7-2004-'Tech Parameters'!$I22&lt;1,-AN$7+2004+1,-'Tech Parameters'!$I22+1)):AN137*OFFSET(AN463,0,IF(AN$7-2004-'Tech Parameters'!$I22&lt;1,-AN$7+2004+1,-'Tech Parameters'!$I22+1)):AN463)</f>
        <v>0</v>
      </c>
      <c r="AO486" s="76">
        <f t="array" aca="1" ref="AO486" ca="1">SUM(OFFSET(AO137,0,IF(AO$7-2004-'Tech Parameters'!$I22&lt;1,-AO$7+2004+1,-'Tech Parameters'!$I22+1)):AO137*OFFSET(AO463,0,IF(AO$7-2004-'Tech Parameters'!$I22&lt;1,-AO$7+2004+1,-'Tech Parameters'!$I22+1)):AO463)</f>
        <v>0</v>
      </c>
      <c r="AP486" s="76">
        <f t="array" aca="1" ref="AP486" ca="1">SUM(OFFSET(AP137,0,IF(AP$7-2004-'Tech Parameters'!$I22&lt;1,-AP$7+2004+1,-'Tech Parameters'!$I22+1)):AP137*OFFSET(AP463,0,IF(AP$7-2004-'Tech Parameters'!$I22&lt;1,-AP$7+2004+1,-'Tech Parameters'!$I22+1)):AP463)</f>
        <v>0</v>
      </c>
      <c r="AQ486" s="76">
        <f t="array" aca="1" ref="AQ486" ca="1">SUM(OFFSET(AQ137,0,IF(AQ$7-2004-'Tech Parameters'!$I22&lt;1,-AQ$7+2004+1,-'Tech Parameters'!$I22+1)):AQ137*OFFSET(AQ463,0,IF(AQ$7-2004-'Tech Parameters'!$I22&lt;1,-AQ$7+2004+1,-'Tech Parameters'!$I22+1)):AQ463)</f>
        <v>0</v>
      </c>
      <c r="AR486" s="76">
        <f t="array" aca="1" ref="AR486" ca="1">SUM(OFFSET(AR137,0,IF(AR$7-2004-'Tech Parameters'!$I22&lt;1,-AR$7+2004+1,-'Tech Parameters'!$I22+1)):AR137*OFFSET(AR463,0,IF(AR$7-2004-'Tech Parameters'!$I22&lt;1,-AR$7+2004+1,-'Tech Parameters'!$I22+1)):AR463)</f>
        <v>0</v>
      </c>
      <c r="AS486" s="76">
        <f t="array" aca="1" ref="AS486" ca="1">SUM(OFFSET(AS137,0,IF(AS$7-2004-'Tech Parameters'!$I22&lt;1,-AS$7+2004+1,-'Tech Parameters'!$I22+1)):AS137*OFFSET(AS463,0,IF(AS$7-2004-'Tech Parameters'!$I22&lt;1,-AS$7+2004+1,-'Tech Parameters'!$I22+1)):AS463)</f>
        <v>0</v>
      </c>
      <c r="AT486" s="76">
        <f t="array" aca="1" ref="AT486" ca="1">SUM(OFFSET(AT137,0,IF(AT$7-2004-'Tech Parameters'!$I22&lt;1,-AT$7+2004+1,-'Tech Parameters'!$I22+1)):AT137*OFFSET(AT463,0,IF(AT$7-2004-'Tech Parameters'!$I22&lt;1,-AT$7+2004+1,-'Tech Parameters'!$I22+1)):AT463)</f>
        <v>0</v>
      </c>
      <c r="AU486" s="76">
        <f t="array" aca="1" ref="AU486" ca="1">SUM(OFFSET(AU137,0,IF(AU$7-2004-'Tech Parameters'!$I22&lt;1,-AU$7+2004+1,-'Tech Parameters'!$I22+1)):AU137*OFFSET(AU463,0,IF(AU$7-2004-'Tech Parameters'!$I22&lt;1,-AU$7+2004+1,-'Tech Parameters'!$I22+1)):AU463)</f>
        <v>0</v>
      </c>
      <c r="AV486" s="76">
        <f t="array" aca="1" ref="AV486" ca="1">SUM(OFFSET(AV137,0,IF(AV$7-2004-'Tech Parameters'!$I22&lt;1,-AV$7+2004+1,-'Tech Parameters'!$I22+1)):AV137*OFFSET(AV463,0,IF(AV$7-2004-'Tech Parameters'!$I22&lt;1,-AV$7+2004+1,-'Tech Parameters'!$I22+1)):AV463)</f>
        <v>0</v>
      </c>
      <c r="AW486" s="76">
        <f t="array" aca="1" ref="AW486" ca="1">SUM(OFFSET(AW137,0,IF(AW$7-2004-'Tech Parameters'!$I22&lt;1,-AW$7+2004+1,-'Tech Parameters'!$I22+1)):AW137*OFFSET(AW463,0,IF(AW$7-2004-'Tech Parameters'!$I22&lt;1,-AW$7+2004+1,-'Tech Parameters'!$I22+1)):AW463)</f>
        <v>0</v>
      </c>
    </row>
    <row r="487" spans="3:49">
      <c r="C487" t="str">
        <f t="shared" si="113"/>
        <v>-</v>
      </c>
      <c r="D487">
        <f t="array" aca="1" ref="D487" ca="1">SUM(OFFSET(D138,0,IF(D$7-2004-'Tech Parameters'!$I23&lt;1,-D$7+2004+1,-'Tech Parameters'!$I23+1)):D138*OFFSET(D464,0,IF(D$7-2004-'Tech Parameters'!$I23&lt;1,-D$7+2004+1,-'Tech Parameters'!$I23+1)):D464)</f>
        <v>0</v>
      </c>
      <c r="E487">
        <f t="array" aca="1" ref="E487" ca="1">SUM(OFFSET(E138,0,IF(E$7-2004-'Tech Parameters'!$I23&lt;1,-E$7+2004+1,-'Tech Parameters'!$I23+1)):E138*OFFSET(E464,0,IF(E$7-2004-'Tech Parameters'!$I23&lt;1,-E$7+2004+1,-'Tech Parameters'!$I23+1)):E464)</f>
        <v>0</v>
      </c>
      <c r="F487">
        <f t="array" aca="1" ref="F487" ca="1">SUM(OFFSET(F138,0,IF(F$7-2004-'Tech Parameters'!$I23&lt;1,-F$7+2004+1,-'Tech Parameters'!$I23+1)):F138*OFFSET(F464,0,IF(F$7-2004-'Tech Parameters'!$I23&lt;1,-F$7+2004+1,-'Tech Parameters'!$I23+1)):F464)</f>
        <v>0</v>
      </c>
      <c r="G487">
        <f t="array" aca="1" ref="G487" ca="1">SUM(OFFSET(G138,0,IF(G$7-2004-'Tech Parameters'!$I23&lt;1,-G$7+2004+1,-'Tech Parameters'!$I23+1)):G138*OFFSET(G464,0,IF(G$7-2004-'Tech Parameters'!$I23&lt;1,-G$7+2004+1,-'Tech Parameters'!$I23+1)):G464)</f>
        <v>0</v>
      </c>
      <c r="H487">
        <f t="array" aca="1" ref="H487" ca="1">SUM(OFFSET(H138,0,IF(H$7-2004-'Tech Parameters'!$I23&lt;1,-H$7+2004+1,-'Tech Parameters'!$I23+1)):H138*OFFSET(H464,0,IF(H$7-2004-'Tech Parameters'!$I23&lt;1,-H$7+2004+1,-'Tech Parameters'!$I23+1)):H464)</f>
        <v>0</v>
      </c>
      <c r="I487">
        <f t="array" aca="1" ref="I487" ca="1">SUM(OFFSET(I138,0,IF(I$7-2004-'Tech Parameters'!$I23&lt;1,-I$7+2004+1,-'Tech Parameters'!$I23+1)):I138*OFFSET(I464,0,IF(I$7-2004-'Tech Parameters'!$I23&lt;1,-I$7+2004+1,-'Tech Parameters'!$I23+1)):I464)</f>
        <v>0</v>
      </c>
      <c r="J487">
        <f t="array" aca="1" ref="J487" ca="1">SUM(OFFSET(J138,0,IF(J$7-2004-'Tech Parameters'!$I23&lt;1,-J$7+2004+1,-'Tech Parameters'!$I23+1)):J138*OFFSET(J464,0,IF(J$7-2004-'Tech Parameters'!$I23&lt;1,-J$7+2004+1,-'Tech Parameters'!$I23+1)):J464)</f>
        <v>0</v>
      </c>
      <c r="K487">
        <f t="array" aca="1" ref="K487" ca="1">SUM(OFFSET(K138,0,IF(K$7-2004-'Tech Parameters'!$I23&lt;1,-K$7+2004+1,-'Tech Parameters'!$I23+1)):K138*OFFSET(K464,0,IF(K$7-2004-'Tech Parameters'!$I23&lt;1,-K$7+2004+1,-'Tech Parameters'!$I23+1)):K464)</f>
        <v>0</v>
      </c>
      <c r="L487">
        <f t="array" aca="1" ref="L487" ca="1">SUM(OFFSET(L138,0,IF(L$7-2004-'Tech Parameters'!$I23&lt;1,-L$7+2004+1,-'Tech Parameters'!$I23+1)):L138*OFFSET(L464,0,IF(L$7-2004-'Tech Parameters'!$I23&lt;1,-L$7+2004+1,-'Tech Parameters'!$I23+1)):L464)</f>
        <v>0</v>
      </c>
      <c r="M487">
        <f t="array" aca="1" ref="M487" ca="1">SUM(OFFSET(M138,0,IF(M$7-2004-'Tech Parameters'!$I23&lt;1,-M$7+2004+1,-'Tech Parameters'!$I23+1)):M138*OFFSET(M464,0,IF(M$7-2004-'Tech Parameters'!$I23&lt;1,-M$7+2004+1,-'Tech Parameters'!$I23+1)):M464)</f>
        <v>0</v>
      </c>
      <c r="N487">
        <f t="array" aca="1" ref="N487" ca="1">SUM(OFFSET(N138,0,IF(N$7-2004-'Tech Parameters'!$I23&lt;1,-N$7+2004+1,-'Tech Parameters'!$I23+1)):N138*OFFSET(N464,0,IF(N$7-2004-'Tech Parameters'!$I23&lt;1,-N$7+2004+1,-'Tech Parameters'!$I23+1)):N464)</f>
        <v>0</v>
      </c>
      <c r="O487">
        <f t="array" aca="1" ref="O487" ca="1">SUM(OFFSET(O138,0,IF(O$7-2004-'Tech Parameters'!$I23&lt;1,-O$7+2004+1,-'Tech Parameters'!$I23+1)):O138*OFFSET(O464,0,IF(O$7-2004-'Tech Parameters'!$I23&lt;1,-O$7+2004+1,-'Tech Parameters'!$I23+1)):O464)</f>
        <v>0</v>
      </c>
      <c r="P487">
        <f t="array" aca="1" ref="P487" ca="1">SUM(OFFSET(P138,0,IF(P$7-2004-'Tech Parameters'!$I23&lt;1,-P$7+2004+1,-'Tech Parameters'!$I23+1)):P138*OFFSET(P464,0,IF(P$7-2004-'Tech Parameters'!$I23&lt;1,-P$7+2004+1,-'Tech Parameters'!$I23+1)):P464)</f>
        <v>0</v>
      </c>
      <c r="Q487">
        <f t="array" aca="1" ref="Q487" ca="1">SUM(OFFSET(Q138,0,IF(Q$7-2004-'Tech Parameters'!$I23&lt;1,-Q$7+2004+1,-'Tech Parameters'!$I23+1)):Q138*OFFSET(Q464,0,IF(Q$7-2004-'Tech Parameters'!$I23&lt;1,-Q$7+2004+1,-'Tech Parameters'!$I23+1)):Q464)</f>
        <v>0</v>
      </c>
      <c r="R487">
        <f t="array" aca="1" ref="R487" ca="1">SUM(OFFSET(R138,0,IF(R$7-2004-'Tech Parameters'!$I23&lt;1,-R$7+2004+1,-'Tech Parameters'!$I23+1)):R138*OFFSET(R464,0,IF(R$7-2004-'Tech Parameters'!$I23&lt;1,-R$7+2004+1,-'Tech Parameters'!$I23+1)):R464)</f>
        <v>0</v>
      </c>
      <c r="S487">
        <f t="array" aca="1" ref="S487" ca="1">SUM(OFFSET(S138,0,IF(S$7-2004-'Tech Parameters'!$I23&lt;1,-S$7+2004+1,-'Tech Parameters'!$I23+1)):S138*OFFSET(S464,0,IF(S$7-2004-'Tech Parameters'!$I23&lt;1,-S$7+2004+1,-'Tech Parameters'!$I23+1)):S464)</f>
        <v>0</v>
      </c>
      <c r="T487">
        <f t="array" aca="1" ref="T487" ca="1">SUM(OFFSET(T138,0,IF(T$7-2004-'Tech Parameters'!$I23&lt;1,-T$7+2004+1,-'Tech Parameters'!$I23+1)):T138*OFFSET(T464,0,IF(T$7-2004-'Tech Parameters'!$I23&lt;1,-T$7+2004+1,-'Tech Parameters'!$I23+1)):T464)</f>
        <v>0</v>
      </c>
      <c r="U487">
        <f t="array" aca="1" ref="U487" ca="1">SUM(OFFSET(U138,0,IF(U$7-2004-'Tech Parameters'!$I23&lt;1,-U$7+2004+1,-'Tech Parameters'!$I23+1)):U138*OFFSET(U464,0,IF(U$7-2004-'Tech Parameters'!$I23&lt;1,-U$7+2004+1,-'Tech Parameters'!$I23+1)):U464)</f>
        <v>0</v>
      </c>
      <c r="V487">
        <f t="array" aca="1" ref="V487" ca="1">SUM(OFFSET(V138,0,IF(V$7-2004-'Tech Parameters'!$I23&lt;1,-V$7+2004+1,-'Tech Parameters'!$I23+1)):V138*OFFSET(V464,0,IF(V$7-2004-'Tech Parameters'!$I23&lt;1,-V$7+2004+1,-'Tech Parameters'!$I23+1)):V464)</f>
        <v>0</v>
      </c>
      <c r="W487">
        <f t="array" aca="1" ref="W487" ca="1">SUM(OFFSET(W138,0,IF(W$7-2004-'Tech Parameters'!$I23&lt;1,-W$7+2004+1,-'Tech Parameters'!$I23+1)):W138*OFFSET(W464,0,IF(W$7-2004-'Tech Parameters'!$I23&lt;1,-W$7+2004+1,-'Tech Parameters'!$I23+1)):W464)</f>
        <v>0</v>
      </c>
      <c r="X487">
        <f t="array" aca="1" ref="X487" ca="1">SUM(OFFSET(X138,0,IF(X$7-2004-'Tech Parameters'!$I23&lt;1,-X$7+2004+1,-'Tech Parameters'!$I23+1)):X138*OFFSET(X464,0,IF(X$7-2004-'Tech Parameters'!$I23&lt;1,-X$7+2004+1,-'Tech Parameters'!$I23+1)):X464)</f>
        <v>0</v>
      </c>
      <c r="Y487">
        <f t="array" aca="1" ref="Y487" ca="1">SUM(OFFSET(Y138,0,IF(Y$7-2004-'Tech Parameters'!$I23&lt;1,-Y$7+2004+1,-'Tech Parameters'!$I23+1)):Y138*OFFSET(Y464,0,IF(Y$7-2004-'Tech Parameters'!$I23&lt;1,-Y$7+2004+1,-'Tech Parameters'!$I23+1)):Y464)</f>
        <v>0</v>
      </c>
      <c r="Z487">
        <f t="array" aca="1" ref="Z487" ca="1">SUM(OFFSET(Z138,0,IF(Z$7-2004-'Tech Parameters'!$I23&lt;1,-Z$7+2004+1,-'Tech Parameters'!$I23+1)):Z138*OFFSET(Z464,0,IF(Z$7-2004-'Tech Parameters'!$I23&lt;1,-Z$7+2004+1,-'Tech Parameters'!$I23+1)):Z464)</f>
        <v>0</v>
      </c>
      <c r="AA487">
        <f t="array" aca="1" ref="AA487" ca="1">SUM(OFFSET(AA138,0,IF(AA$7-2004-'Tech Parameters'!$I23&lt;1,-AA$7+2004+1,-'Tech Parameters'!$I23+1)):AA138*OFFSET(AA464,0,IF(AA$7-2004-'Tech Parameters'!$I23&lt;1,-AA$7+2004+1,-'Tech Parameters'!$I23+1)):AA464)</f>
        <v>0</v>
      </c>
      <c r="AB487">
        <f t="array" aca="1" ref="AB487" ca="1">SUM(OFFSET(AB138,0,IF(AB$7-2004-'Tech Parameters'!$I23&lt;1,-AB$7+2004+1,-'Tech Parameters'!$I23+1)):AB138*OFFSET(AB464,0,IF(AB$7-2004-'Tech Parameters'!$I23&lt;1,-AB$7+2004+1,-'Tech Parameters'!$I23+1)):AB464)</f>
        <v>0</v>
      </c>
      <c r="AC487">
        <f t="array" aca="1" ref="AC487" ca="1">SUM(OFFSET(AC138,0,IF(AC$7-2004-'Tech Parameters'!$I23&lt;1,-AC$7+2004+1,-'Tech Parameters'!$I23+1)):AC138*OFFSET(AC464,0,IF(AC$7-2004-'Tech Parameters'!$I23&lt;1,-AC$7+2004+1,-'Tech Parameters'!$I23+1)):AC464)</f>
        <v>0</v>
      </c>
      <c r="AD487" s="76">
        <f t="array" aca="1" ref="AD487" ca="1">SUM(OFFSET(AD138,0,IF(AD$7-2004-'Tech Parameters'!$I23&lt;1,-AD$7+2004+1,-'Tech Parameters'!$I23+1)):AD138*OFFSET(AD464,0,IF(AD$7-2004-'Tech Parameters'!$I23&lt;1,-AD$7+2004+1,-'Tech Parameters'!$I23+1)):AD464)</f>
        <v>0</v>
      </c>
      <c r="AE487" s="76">
        <f t="array" aca="1" ref="AE487" ca="1">SUM(OFFSET(AE138,0,IF(AE$7-2004-'Tech Parameters'!$I23&lt;1,-AE$7+2004+1,-'Tech Parameters'!$I23+1)):AE138*OFFSET(AE464,0,IF(AE$7-2004-'Tech Parameters'!$I23&lt;1,-AE$7+2004+1,-'Tech Parameters'!$I23+1)):AE464)</f>
        <v>0</v>
      </c>
      <c r="AF487" s="76">
        <f t="array" aca="1" ref="AF487" ca="1">SUM(OFFSET(AF138,0,IF(AF$7-2004-'Tech Parameters'!$I23&lt;1,-AF$7+2004+1,-'Tech Parameters'!$I23+1)):AF138*OFFSET(AF464,0,IF(AF$7-2004-'Tech Parameters'!$I23&lt;1,-AF$7+2004+1,-'Tech Parameters'!$I23+1)):AF464)</f>
        <v>0</v>
      </c>
      <c r="AG487" s="76">
        <f t="array" aca="1" ref="AG487" ca="1">SUM(OFFSET(AG138,0,IF(AG$7-2004-'Tech Parameters'!$I23&lt;1,-AG$7+2004+1,-'Tech Parameters'!$I23+1)):AG138*OFFSET(AG464,0,IF(AG$7-2004-'Tech Parameters'!$I23&lt;1,-AG$7+2004+1,-'Tech Parameters'!$I23+1)):AG464)</f>
        <v>0</v>
      </c>
      <c r="AH487" s="76">
        <f t="array" aca="1" ref="AH487" ca="1">SUM(OFFSET(AH138,0,IF(AH$7-2004-'Tech Parameters'!$I23&lt;1,-AH$7+2004+1,-'Tech Parameters'!$I23+1)):AH138*OFFSET(AH464,0,IF(AH$7-2004-'Tech Parameters'!$I23&lt;1,-AH$7+2004+1,-'Tech Parameters'!$I23+1)):AH464)</f>
        <v>0</v>
      </c>
      <c r="AI487" s="76">
        <f t="array" aca="1" ref="AI487" ca="1">SUM(OFFSET(AI138,0,IF(AI$7-2004-'Tech Parameters'!$I23&lt;1,-AI$7+2004+1,-'Tech Parameters'!$I23+1)):AI138*OFFSET(AI464,0,IF(AI$7-2004-'Tech Parameters'!$I23&lt;1,-AI$7+2004+1,-'Tech Parameters'!$I23+1)):AI464)</f>
        <v>0</v>
      </c>
      <c r="AJ487" s="76">
        <f t="array" aca="1" ref="AJ487" ca="1">SUM(OFFSET(AJ138,0,IF(AJ$7-2004-'Tech Parameters'!$I23&lt;1,-AJ$7+2004+1,-'Tech Parameters'!$I23+1)):AJ138*OFFSET(AJ464,0,IF(AJ$7-2004-'Tech Parameters'!$I23&lt;1,-AJ$7+2004+1,-'Tech Parameters'!$I23+1)):AJ464)</f>
        <v>0</v>
      </c>
      <c r="AK487" s="76">
        <f t="array" aca="1" ref="AK487" ca="1">SUM(OFFSET(AK138,0,IF(AK$7-2004-'Tech Parameters'!$I23&lt;1,-AK$7+2004+1,-'Tech Parameters'!$I23+1)):AK138*OFFSET(AK464,0,IF(AK$7-2004-'Tech Parameters'!$I23&lt;1,-AK$7+2004+1,-'Tech Parameters'!$I23+1)):AK464)</f>
        <v>0</v>
      </c>
      <c r="AL487" s="76">
        <f t="array" aca="1" ref="AL487" ca="1">SUM(OFFSET(AL138,0,IF(AL$7-2004-'Tech Parameters'!$I23&lt;1,-AL$7+2004+1,-'Tech Parameters'!$I23+1)):AL138*OFFSET(AL464,0,IF(AL$7-2004-'Tech Parameters'!$I23&lt;1,-AL$7+2004+1,-'Tech Parameters'!$I23+1)):AL464)</f>
        <v>0</v>
      </c>
      <c r="AM487" s="76">
        <f t="array" aca="1" ref="AM487" ca="1">SUM(OFFSET(AM138,0,IF(AM$7-2004-'Tech Parameters'!$I23&lt;1,-AM$7+2004+1,-'Tech Parameters'!$I23+1)):AM138*OFFSET(AM464,0,IF(AM$7-2004-'Tech Parameters'!$I23&lt;1,-AM$7+2004+1,-'Tech Parameters'!$I23+1)):AM464)</f>
        <v>0</v>
      </c>
      <c r="AN487" s="76">
        <f t="array" aca="1" ref="AN487" ca="1">SUM(OFFSET(AN138,0,IF(AN$7-2004-'Tech Parameters'!$I23&lt;1,-AN$7+2004+1,-'Tech Parameters'!$I23+1)):AN138*OFFSET(AN464,0,IF(AN$7-2004-'Tech Parameters'!$I23&lt;1,-AN$7+2004+1,-'Tech Parameters'!$I23+1)):AN464)</f>
        <v>0</v>
      </c>
      <c r="AO487" s="76">
        <f t="array" aca="1" ref="AO487" ca="1">SUM(OFFSET(AO138,0,IF(AO$7-2004-'Tech Parameters'!$I23&lt;1,-AO$7+2004+1,-'Tech Parameters'!$I23+1)):AO138*OFFSET(AO464,0,IF(AO$7-2004-'Tech Parameters'!$I23&lt;1,-AO$7+2004+1,-'Tech Parameters'!$I23+1)):AO464)</f>
        <v>0</v>
      </c>
      <c r="AP487" s="76">
        <f t="array" aca="1" ref="AP487" ca="1">SUM(OFFSET(AP138,0,IF(AP$7-2004-'Tech Parameters'!$I23&lt;1,-AP$7+2004+1,-'Tech Parameters'!$I23+1)):AP138*OFFSET(AP464,0,IF(AP$7-2004-'Tech Parameters'!$I23&lt;1,-AP$7+2004+1,-'Tech Parameters'!$I23+1)):AP464)</f>
        <v>0</v>
      </c>
      <c r="AQ487" s="76">
        <f t="array" aca="1" ref="AQ487" ca="1">SUM(OFFSET(AQ138,0,IF(AQ$7-2004-'Tech Parameters'!$I23&lt;1,-AQ$7+2004+1,-'Tech Parameters'!$I23+1)):AQ138*OFFSET(AQ464,0,IF(AQ$7-2004-'Tech Parameters'!$I23&lt;1,-AQ$7+2004+1,-'Tech Parameters'!$I23+1)):AQ464)</f>
        <v>0</v>
      </c>
      <c r="AR487" s="76">
        <f t="array" aca="1" ref="AR487" ca="1">SUM(OFFSET(AR138,0,IF(AR$7-2004-'Tech Parameters'!$I23&lt;1,-AR$7+2004+1,-'Tech Parameters'!$I23+1)):AR138*OFFSET(AR464,0,IF(AR$7-2004-'Tech Parameters'!$I23&lt;1,-AR$7+2004+1,-'Tech Parameters'!$I23+1)):AR464)</f>
        <v>0</v>
      </c>
      <c r="AS487" s="76">
        <f t="array" aca="1" ref="AS487" ca="1">SUM(OFFSET(AS138,0,IF(AS$7-2004-'Tech Parameters'!$I23&lt;1,-AS$7+2004+1,-'Tech Parameters'!$I23+1)):AS138*OFFSET(AS464,0,IF(AS$7-2004-'Tech Parameters'!$I23&lt;1,-AS$7+2004+1,-'Tech Parameters'!$I23+1)):AS464)</f>
        <v>0</v>
      </c>
      <c r="AT487" s="76">
        <f t="array" aca="1" ref="AT487" ca="1">SUM(OFFSET(AT138,0,IF(AT$7-2004-'Tech Parameters'!$I23&lt;1,-AT$7+2004+1,-'Tech Parameters'!$I23+1)):AT138*OFFSET(AT464,0,IF(AT$7-2004-'Tech Parameters'!$I23&lt;1,-AT$7+2004+1,-'Tech Parameters'!$I23+1)):AT464)</f>
        <v>0</v>
      </c>
      <c r="AU487" s="76">
        <f t="array" aca="1" ref="AU487" ca="1">SUM(OFFSET(AU138,0,IF(AU$7-2004-'Tech Parameters'!$I23&lt;1,-AU$7+2004+1,-'Tech Parameters'!$I23+1)):AU138*OFFSET(AU464,0,IF(AU$7-2004-'Tech Parameters'!$I23&lt;1,-AU$7+2004+1,-'Tech Parameters'!$I23+1)):AU464)</f>
        <v>0</v>
      </c>
      <c r="AV487" s="76">
        <f t="array" aca="1" ref="AV487" ca="1">SUM(OFFSET(AV138,0,IF(AV$7-2004-'Tech Parameters'!$I23&lt;1,-AV$7+2004+1,-'Tech Parameters'!$I23+1)):AV138*OFFSET(AV464,0,IF(AV$7-2004-'Tech Parameters'!$I23&lt;1,-AV$7+2004+1,-'Tech Parameters'!$I23+1)):AV464)</f>
        <v>0</v>
      </c>
      <c r="AW487" s="76">
        <f t="array" aca="1" ref="AW487" ca="1">SUM(OFFSET(AW138,0,IF(AW$7-2004-'Tech Parameters'!$I23&lt;1,-AW$7+2004+1,-'Tech Parameters'!$I23+1)):AW138*OFFSET(AW464,0,IF(AW$7-2004-'Tech Parameters'!$I23&lt;1,-AW$7+2004+1,-'Tech Parameters'!$I23+1)):AW464)</f>
        <v>0</v>
      </c>
    </row>
    <row r="488" spans="3:49">
      <c r="C488" t="str">
        <f t="shared" si="113"/>
        <v>-</v>
      </c>
      <c r="D488">
        <f t="array" aca="1" ref="D488" ca="1">SUM(OFFSET(D139,0,IF(D$7-2004-'Tech Parameters'!$I24&lt;1,-D$7+2004+1,-'Tech Parameters'!$I24+1)):D139*OFFSET(D465,0,IF(D$7-2004-'Tech Parameters'!$I24&lt;1,-D$7+2004+1,-'Tech Parameters'!$I24+1)):D465)</f>
        <v>0</v>
      </c>
      <c r="E488">
        <f t="array" aca="1" ref="E488" ca="1">SUM(OFFSET(E139,0,IF(E$7-2004-'Tech Parameters'!$I24&lt;1,-E$7+2004+1,-'Tech Parameters'!$I24+1)):E139*OFFSET(E465,0,IF(E$7-2004-'Tech Parameters'!$I24&lt;1,-E$7+2004+1,-'Tech Parameters'!$I24+1)):E465)</f>
        <v>0</v>
      </c>
      <c r="F488">
        <f t="array" aca="1" ref="F488" ca="1">SUM(OFFSET(F139,0,IF(F$7-2004-'Tech Parameters'!$I24&lt;1,-F$7+2004+1,-'Tech Parameters'!$I24+1)):F139*OFFSET(F465,0,IF(F$7-2004-'Tech Parameters'!$I24&lt;1,-F$7+2004+1,-'Tech Parameters'!$I24+1)):F465)</f>
        <v>0</v>
      </c>
      <c r="G488">
        <f t="array" aca="1" ref="G488" ca="1">SUM(OFFSET(G139,0,IF(G$7-2004-'Tech Parameters'!$I24&lt;1,-G$7+2004+1,-'Tech Parameters'!$I24+1)):G139*OFFSET(G465,0,IF(G$7-2004-'Tech Parameters'!$I24&lt;1,-G$7+2004+1,-'Tech Parameters'!$I24+1)):G465)</f>
        <v>0</v>
      </c>
      <c r="H488">
        <f t="array" aca="1" ref="H488" ca="1">SUM(OFFSET(H139,0,IF(H$7-2004-'Tech Parameters'!$I24&lt;1,-H$7+2004+1,-'Tech Parameters'!$I24+1)):H139*OFFSET(H465,0,IF(H$7-2004-'Tech Parameters'!$I24&lt;1,-H$7+2004+1,-'Tech Parameters'!$I24+1)):H465)</f>
        <v>0</v>
      </c>
      <c r="I488">
        <f t="array" aca="1" ref="I488" ca="1">SUM(OFFSET(I139,0,IF(I$7-2004-'Tech Parameters'!$I24&lt;1,-I$7+2004+1,-'Tech Parameters'!$I24+1)):I139*OFFSET(I465,0,IF(I$7-2004-'Tech Parameters'!$I24&lt;1,-I$7+2004+1,-'Tech Parameters'!$I24+1)):I465)</f>
        <v>0</v>
      </c>
      <c r="J488">
        <f t="array" aca="1" ref="J488" ca="1">SUM(OFFSET(J139,0,IF(J$7-2004-'Tech Parameters'!$I24&lt;1,-J$7+2004+1,-'Tech Parameters'!$I24+1)):J139*OFFSET(J465,0,IF(J$7-2004-'Tech Parameters'!$I24&lt;1,-J$7+2004+1,-'Tech Parameters'!$I24+1)):J465)</f>
        <v>0</v>
      </c>
      <c r="K488">
        <f t="array" aca="1" ref="K488" ca="1">SUM(OFFSET(K139,0,IF(K$7-2004-'Tech Parameters'!$I24&lt;1,-K$7+2004+1,-'Tech Parameters'!$I24+1)):K139*OFFSET(K465,0,IF(K$7-2004-'Tech Parameters'!$I24&lt;1,-K$7+2004+1,-'Tech Parameters'!$I24+1)):K465)</f>
        <v>0</v>
      </c>
      <c r="L488">
        <f t="array" aca="1" ref="L488" ca="1">SUM(OFFSET(L139,0,IF(L$7-2004-'Tech Parameters'!$I24&lt;1,-L$7+2004+1,-'Tech Parameters'!$I24+1)):L139*OFFSET(L465,0,IF(L$7-2004-'Tech Parameters'!$I24&lt;1,-L$7+2004+1,-'Tech Parameters'!$I24+1)):L465)</f>
        <v>0</v>
      </c>
      <c r="M488">
        <f t="array" aca="1" ref="M488" ca="1">SUM(OFFSET(M139,0,IF(M$7-2004-'Tech Parameters'!$I24&lt;1,-M$7+2004+1,-'Tech Parameters'!$I24+1)):M139*OFFSET(M465,0,IF(M$7-2004-'Tech Parameters'!$I24&lt;1,-M$7+2004+1,-'Tech Parameters'!$I24+1)):M465)</f>
        <v>0</v>
      </c>
      <c r="N488">
        <f t="array" aca="1" ref="N488" ca="1">SUM(OFFSET(N139,0,IF(N$7-2004-'Tech Parameters'!$I24&lt;1,-N$7+2004+1,-'Tech Parameters'!$I24+1)):N139*OFFSET(N465,0,IF(N$7-2004-'Tech Parameters'!$I24&lt;1,-N$7+2004+1,-'Tech Parameters'!$I24+1)):N465)</f>
        <v>0</v>
      </c>
      <c r="O488">
        <f t="array" aca="1" ref="O488" ca="1">SUM(OFFSET(O139,0,IF(O$7-2004-'Tech Parameters'!$I24&lt;1,-O$7+2004+1,-'Tech Parameters'!$I24+1)):O139*OFFSET(O465,0,IF(O$7-2004-'Tech Parameters'!$I24&lt;1,-O$7+2004+1,-'Tech Parameters'!$I24+1)):O465)</f>
        <v>0</v>
      </c>
      <c r="P488">
        <f t="array" aca="1" ref="P488" ca="1">SUM(OFFSET(P139,0,IF(P$7-2004-'Tech Parameters'!$I24&lt;1,-P$7+2004+1,-'Tech Parameters'!$I24+1)):P139*OFFSET(P465,0,IF(P$7-2004-'Tech Parameters'!$I24&lt;1,-P$7+2004+1,-'Tech Parameters'!$I24+1)):P465)</f>
        <v>0</v>
      </c>
      <c r="Q488">
        <f t="array" aca="1" ref="Q488" ca="1">SUM(OFFSET(Q139,0,IF(Q$7-2004-'Tech Parameters'!$I24&lt;1,-Q$7+2004+1,-'Tech Parameters'!$I24+1)):Q139*OFFSET(Q465,0,IF(Q$7-2004-'Tech Parameters'!$I24&lt;1,-Q$7+2004+1,-'Tech Parameters'!$I24+1)):Q465)</f>
        <v>0</v>
      </c>
      <c r="R488">
        <f t="array" aca="1" ref="R488" ca="1">SUM(OFFSET(R139,0,IF(R$7-2004-'Tech Parameters'!$I24&lt;1,-R$7+2004+1,-'Tech Parameters'!$I24+1)):R139*OFFSET(R465,0,IF(R$7-2004-'Tech Parameters'!$I24&lt;1,-R$7+2004+1,-'Tech Parameters'!$I24+1)):R465)</f>
        <v>0</v>
      </c>
      <c r="S488">
        <f t="array" aca="1" ref="S488" ca="1">SUM(OFFSET(S139,0,IF(S$7-2004-'Tech Parameters'!$I24&lt;1,-S$7+2004+1,-'Tech Parameters'!$I24+1)):S139*OFFSET(S465,0,IF(S$7-2004-'Tech Parameters'!$I24&lt;1,-S$7+2004+1,-'Tech Parameters'!$I24+1)):S465)</f>
        <v>0</v>
      </c>
      <c r="T488">
        <f t="array" aca="1" ref="T488" ca="1">SUM(OFFSET(T139,0,IF(T$7-2004-'Tech Parameters'!$I24&lt;1,-T$7+2004+1,-'Tech Parameters'!$I24+1)):T139*OFFSET(T465,0,IF(T$7-2004-'Tech Parameters'!$I24&lt;1,-T$7+2004+1,-'Tech Parameters'!$I24+1)):T465)</f>
        <v>0</v>
      </c>
      <c r="U488">
        <f t="array" aca="1" ref="U488" ca="1">SUM(OFFSET(U139,0,IF(U$7-2004-'Tech Parameters'!$I24&lt;1,-U$7+2004+1,-'Tech Parameters'!$I24+1)):U139*OFFSET(U465,0,IF(U$7-2004-'Tech Parameters'!$I24&lt;1,-U$7+2004+1,-'Tech Parameters'!$I24+1)):U465)</f>
        <v>0</v>
      </c>
      <c r="V488">
        <f t="array" aca="1" ref="V488" ca="1">SUM(OFFSET(V139,0,IF(V$7-2004-'Tech Parameters'!$I24&lt;1,-V$7+2004+1,-'Tech Parameters'!$I24+1)):V139*OFFSET(V465,0,IF(V$7-2004-'Tech Parameters'!$I24&lt;1,-V$7+2004+1,-'Tech Parameters'!$I24+1)):V465)</f>
        <v>0</v>
      </c>
      <c r="W488">
        <f t="array" aca="1" ref="W488" ca="1">SUM(OFFSET(W139,0,IF(W$7-2004-'Tech Parameters'!$I24&lt;1,-W$7+2004+1,-'Tech Parameters'!$I24+1)):W139*OFFSET(W465,0,IF(W$7-2004-'Tech Parameters'!$I24&lt;1,-W$7+2004+1,-'Tech Parameters'!$I24+1)):W465)</f>
        <v>0</v>
      </c>
      <c r="X488">
        <f t="array" aca="1" ref="X488" ca="1">SUM(OFFSET(X139,0,IF(X$7-2004-'Tech Parameters'!$I24&lt;1,-X$7+2004+1,-'Tech Parameters'!$I24+1)):X139*OFFSET(X465,0,IF(X$7-2004-'Tech Parameters'!$I24&lt;1,-X$7+2004+1,-'Tech Parameters'!$I24+1)):X465)</f>
        <v>0</v>
      </c>
      <c r="Y488">
        <f t="array" aca="1" ref="Y488" ca="1">SUM(OFFSET(Y139,0,IF(Y$7-2004-'Tech Parameters'!$I24&lt;1,-Y$7+2004+1,-'Tech Parameters'!$I24+1)):Y139*OFFSET(Y465,0,IF(Y$7-2004-'Tech Parameters'!$I24&lt;1,-Y$7+2004+1,-'Tech Parameters'!$I24+1)):Y465)</f>
        <v>0</v>
      </c>
      <c r="Z488">
        <f t="array" aca="1" ref="Z488" ca="1">SUM(OFFSET(Z139,0,IF(Z$7-2004-'Tech Parameters'!$I24&lt;1,-Z$7+2004+1,-'Tech Parameters'!$I24+1)):Z139*OFFSET(Z465,0,IF(Z$7-2004-'Tech Parameters'!$I24&lt;1,-Z$7+2004+1,-'Tech Parameters'!$I24+1)):Z465)</f>
        <v>0</v>
      </c>
      <c r="AA488">
        <f t="array" aca="1" ref="AA488" ca="1">SUM(OFFSET(AA139,0,IF(AA$7-2004-'Tech Parameters'!$I24&lt;1,-AA$7+2004+1,-'Tech Parameters'!$I24+1)):AA139*OFFSET(AA465,0,IF(AA$7-2004-'Tech Parameters'!$I24&lt;1,-AA$7+2004+1,-'Tech Parameters'!$I24+1)):AA465)</f>
        <v>0</v>
      </c>
      <c r="AB488">
        <f t="array" aca="1" ref="AB488" ca="1">SUM(OFFSET(AB139,0,IF(AB$7-2004-'Tech Parameters'!$I24&lt;1,-AB$7+2004+1,-'Tech Parameters'!$I24+1)):AB139*OFFSET(AB465,0,IF(AB$7-2004-'Tech Parameters'!$I24&lt;1,-AB$7+2004+1,-'Tech Parameters'!$I24+1)):AB465)</f>
        <v>0</v>
      </c>
      <c r="AC488">
        <f t="array" aca="1" ref="AC488" ca="1">SUM(OFFSET(AC139,0,IF(AC$7-2004-'Tech Parameters'!$I24&lt;1,-AC$7+2004+1,-'Tech Parameters'!$I24+1)):AC139*OFFSET(AC465,0,IF(AC$7-2004-'Tech Parameters'!$I24&lt;1,-AC$7+2004+1,-'Tech Parameters'!$I24+1)):AC465)</f>
        <v>0</v>
      </c>
      <c r="AD488" s="76">
        <f t="array" aca="1" ref="AD488" ca="1">SUM(OFFSET(AD139,0,IF(AD$7-2004-'Tech Parameters'!$I24&lt;1,-AD$7+2004+1,-'Tech Parameters'!$I24+1)):AD139*OFFSET(AD465,0,IF(AD$7-2004-'Tech Parameters'!$I24&lt;1,-AD$7+2004+1,-'Tech Parameters'!$I24+1)):AD465)</f>
        <v>0</v>
      </c>
      <c r="AE488" s="76">
        <f t="array" aca="1" ref="AE488" ca="1">SUM(OFFSET(AE139,0,IF(AE$7-2004-'Tech Parameters'!$I24&lt;1,-AE$7+2004+1,-'Tech Parameters'!$I24+1)):AE139*OFFSET(AE465,0,IF(AE$7-2004-'Tech Parameters'!$I24&lt;1,-AE$7+2004+1,-'Tech Parameters'!$I24+1)):AE465)</f>
        <v>0</v>
      </c>
      <c r="AF488" s="76">
        <f t="array" aca="1" ref="AF488" ca="1">SUM(OFFSET(AF139,0,IF(AF$7-2004-'Tech Parameters'!$I24&lt;1,-AF$7+2004+1,-'Tech Parameters'!$I24+1)):AF139*OFFSET(AF465,0,IF(AF$7-2004-'Tech Parameters'!$I24&lt;1,-AF$7+2004+1,-'Tech Parameters'!$I24+1)):AF465)</f>
        <v>0</v>
      </c>
      <c r="AG488" s="76">
        <f t="array" aca="1" ref="AG488" ca="1">SUM(OFFSET(AG139,0,IF(AG$7-2004-'Tech Parameters'!$I24&lt;1,-AG$7+2004+1,-'Tech Parameters'!$I24+1)):AG139*OFFSET(AG465,0,IF(AG$7-2004-'Tech Parameters'!$I24&lt;1,-AG$7+2004+1,-'Tech Parameters'!$I24+1)):AG465)</f>
        <v>0</v>
      </c>
      <c r="AH488" s="76">
        <f t="array" aca="1" ref="AH488" ca="1">SUM(OFFSET(AH139,0,IF(AH$7-2004-'Tech Parameters'!$I24&lt;1,-AH$7+2004+1,-'Tech Parameters'!$I24+1)):AH139*OFFSET(AH465,0,IF(AH$7-2004-'Tech Parameters'!$I24&lt;1,-AH$7+2004+1,-'Tech Parameters'!$I24+1)):AH465)</f>
        <v>0</v>
      </c>
      <c r="AI488" s="76">
        <f t="array" aca="1" ref="AI488" ca="1">SUM(OFFSET(AI139,0,IF(AI$7-2004-'Tech Parameters'!$I24&lt;1,-AI$7+2004+1,-'Tech Parameters'!$I24+1)):AI139*OFFSET(AI465,0,IF(AI$7-2004-'Tech Parameters'!$I24&lt;1,-AI$7+2004+1,-'Tech Parameters'!$I24+1)):AI465)</f>
        <v>0</v>
      </c>
      <c r="AJ488" s="76">
        <f t="array" aca="1" ref="AJ488" ca="1">SUM(OFFSET(AJ139,0,IF(AJ$7-2004-'Tech Parameters'!$I24&lt;1,-AJ$7+2004+1,-'Tech Parameters'!$I24+1)):AJ139*OFFSET(AJ465,0,IF(AJ$7-2004-'Tech Parameters'!$I24&lt;1,-AJ$7+2004+1,-'Tech Parameters'!$I24+1)):AJ465)</f>
        <v>0</v>
      </c>
      <c r="AK488" s="76">
        <f t="array" aca="1" ref="AK488" ca="1">SUM(OFFSET(AK139,0,IF(AK$7-2004-'Tech Parameters'!$I24&lt;1,-AK$7+2004+1,-'Tech Parameters'!$I24+1)):AK139*OFFSET(AK465,0,IF(AK$7-2004-'Tech Parameters'!$I24&lt;1,-AK$7+2004+1,-'Tech Parameters'!$I24+1)):AK465)</f>
        <v>0</v>
      </c>
      <c r="AL488" s="76">
        <f t="array" aca="1" ref="AL488" ca="1">SUM(OFFSET(AL139,0,IF(AL$7-2004-'Tech Parameters'!$I24&lt;1,-AL$7+2004+1,-'Tech Parameters'!$I24+1)):AL139*OFFSET(AL465,0,IF(AL$7-2004-'Tech Parameters'!$I24&lt;1,-AL$7+2004+1,-'Tech Parameters'!$I24+1)):AL465)</f>
        <v>0</v>
      </c>
      <c r="AM488" s="76">
        <f t="array" aca="1" ref="AM488" ca="1">SUM(OFFSET(AM139,0,IF(AM$7-2004-'Tech Parameters'!$I24&lt;1,-AM$7+2004+1,-'Tech Parameters'!$I24+1)):AM139*OFFSET(AM465,0,IF(AM$7-2004-'Tech Parameters'!$I24&lt;1,-AM$7+2004+1,-'Tech Parameters'!$I24+1)):AM465)</f>
        <v>0</v>
      </c>
      <c r="AN488" s="76">
        <f t="array" aca="1" ref="AN488" ca="1">SUM(OFFSET(AN139,0,IF(AN$7-2004-'Tech Parameters'!$I24&lt;1,-AN$7+2004+1,-'Tech Parameters'!$I24+1)):AN139*OFFSET(AN465,0,IF(AN$7-2004-'Tech Parameters'!$I24&lt;1,-AN$7+2004+1,-'Tech Parameters'!$I24+1)):AN465)</f>
        <v>0</v>
      </c>
      <c r="AO488" s="76">
        <f t="array" aca="1" ref="AO488" ca="1">SUM(OFFSET(AO139,0,IF(AO$7-2004-'Tech Parameters'!$I24&lt;1,-AO$7+2004+1,-'Tech Parameters'!$I24+1)):AO139*OFFSET(AO465,0,IF(AO$7-2004-'Tech Parameters'!$I24&lt;1,-AO$7+2004+1,-'Tech Parameters'!$I24+1)):AO465)</f>
        <v>0</v>
      </c>
      <c r="AP488" s="76">
        <f t="array" aca="1" ref="AP488" ca="1">SUM(OFFSET(AP139,0,IF(AP$7-2004-'Tech Parameters'!$I24&lt;1,-AP$7+2004+1,-'Tech Parameters'!$I24+1)):AP139*OFFSET(AP465,0,IF(AP$7-2004-'Tech Parameters'!$I24&lt;1,-AP$7+2004+1,-'Tech Parameters'!$I24+1)):AP465)</f>
        <v>0</v>
      </c>
      <c r="AQ488" s="76">
        <f t="array" aca="1" ref="AQ488" ca="1">SUM(OFFSET(AQ139,0,IF(AQ$7-2004-'Tech Parameters'!$I24&lt;1,-AQ$7+2004+1,-'Tech Parameters'!$I24+1)):AQ139*OFFSET(AQ465,0,IF(AQ$7-2004-'Tech Parameters'!$I24&lt;1,-AQ$7+2004+1,-'Tech Parameters'!$I24+1)):AQ465)</f>
        <v>0</v>
      </c>
      <c r="AR488" s="76">
        <f t="array" aca="1" ref="AR488" ca="1">SUM(OFFSET(AR139,0,IF(AR$7-2004-'Tech Parameters'!$I24&lt;1,-AR$7+2004+1,-'Tech Parameters'!$I24+1)):AR139*OFFSET(AR465,0,IF(AR$7-2004-'Tech Parameters'!$I24&lt;1,-AR$7+2004+1,-'Tech Parameters'!$I24+1)):AR465)</f>
        <v>0</v>
      </c>
      <c r="AS488" s="76">
        <f t="array" aca="1" ref="AS488" ca="1">SUM(OFFSET(AS139,0,IF(AS$7-2004-'Tech Parameters'!$I24&lt;1,-AS$7+2004+1,-'Tech Parameters'!$I24+1)):AS139*OFFSET(AS465,0,IF(AS$7-2004-'Tech Parameters'!$I24&lt;1,-AS$7+2004+1,-'Tech Parameters'!$I24+1)):AS465)</f>
        <v>0</v>
      </c>
      <c r="AT488" s="76">
        <f t="array" aca="1" ref="AT488" ca="1">SUM(OFFSET(AT139,0,IF(AT$7-2004-'Tech Parameters'!$I24&lt;1,-AT$7+2004+1,-'Tech Parameters'!$I24+1)):AT139*OFFSET(AT465,0,IF(AT$7-2004-'Tech Parameters'!$I24&lt;1,-AT$7+2004+1,-'Tech Parameters'!$I24+1)):AT465)</f>
        <v>0</v>
      </c>
      <c r="AU488" s="76">
        <f t="array" aca="1" ref="AU488" ca="1">SUM(OFFSET(AU139,0,IF(AU$7-2004-'Tech Parameters'!$I24&lt;1,-AU$7+2004+1,-'Tech Parameters'!$I24+1)):AU139*OFFSET(AU465,0,IF(AU$7-2004-'Tech Parameters'!$I24&lt;1,-AU$7+2004+1,-'Tech Parameters'!$I24+1)):AU465)</f>
        <v>0</v>
      </c>
      <c r="AV488" s="76">
        <f t="array" aca="1" ref="AV488" ca="1">SUM(OFFSET(AV139,0,IF(AV$7-2004-'Tech Parameters'!$I24&lt;1,-AV$7+2004+1,-'Tech Parameters'!$I24+1)):AV139*OFFSET(AV465,0,IF(AV$7-2004-'Tech Parameters'!$I24&lt;1,-AV$7+2004+1,-'Tech Parameters'!$I24+1)):AV465)</f>
        <v>0</v>
      </c>
      <c r="AW488" s="76">
        <f t="array" aca="1" ref="AW488" ca="1">SUM(OFFSET(AW139,0,IF(AW$7-2004-'Tech Parameters'!$I24&lt;1,-AW$7+2004+1,-'Tech Parameters'!$I24+1)):AW139*OFFSET(AW465,0,IF(AW$7-2004-'Tech Parameters'!$I24&lt;1,-AW$7+2004+1,-'Tech Parameters'!$I24+1)):AW465)</f>
        <v>0</v>
      </c>
    </row>
    <row r="489" spans="3:49">
      <c r="C489" t="str">
        <f>C27</f>
        <v>Pumped storage</v>
      </c>
      <c r="D489">
        <f t="array" aca="1" ref="D489" ca="1">SUM(OFFSET(D140,0,IF(D$7-2004-'Tech Parameters'!$I25&lt;1,-D$7+2004+1,-'Tech Parameters'!$I25+1)):D140*OFFSET(D466,0,IF(D$7-2004-'Tech Parameters'!$I25&lt;1,-D$7+2004+1,-'Tech Parameters'!$I25+1)):D466)</f>
        <v>0</v>
      </c>
      <c r="E489">
        <f t="array" aca="1" ref="E489" ca="1">SUM(OFFSET(E140,0,IF(E$7-2004-'Tech Parameters'!$I25&lt;1,-E$7+2004+1,-'Tech Parameters'!$I25+1)):E140*OFFSET(E466,0,IF(E$7-2004-'Tech Parameters'!$I25&lt;1,-E$7+2004+1,-'Tech Parameters'!$I25+1)):E466)</f>
        <v>0</v>
      </c>
      <c r="F489">
        <f t="array" aca="1" ref="F489" ca="1">SUM(OFFSET(F140,0,IF(F$7-2004-'Tech Parameters'!$I25&lt;1,-F$7+2004+1,-'Tech Parameters'!$I25+1)):F140*OFFSET(F466,0,IF(F$7-2004-'Tech Parameters'!$I25&lt;1,-F$7+2004+1,-'Tech Parameters'!$I25+1)):F466)</f>
        <v>0</v>
      </c>
      <c r="G489">
        <f t="array" aca="1" ref="G489" ca="1">SUM(OFFSET(G140,0,IF(G$7-2004-'Tech Parameters'!$I25&lt;1,-G$7+2004+1,-'Tech Parameters'!$I25+1)):G140*OFFSET(G466,0,IF(G$7-2004-'Tech Parameters'!$I25&lt;1,-G$7+2004+1,-'Tech Parameters'!$I25+1)):G466)</f>
        <v>0</v>
      </c>
      <c r="H489">
        <f t="array" aca="1" ref="H489" ca="1">SUM(OFFSET(H140,0,IF(H$7-2004-'Tech Parameters'!$I25&lt;1,-H$7+2004+1,-'Tech Parameters'!$I25+1)):H140*OFFSET(H466,0,IF(H$7-2004-'Tech Parameters'!$I25&lt;1,-H$7+2004+1,-'Tech Parameters'!$I25+1)):H466)</f>
        <v>0</v>
      </c>
      <c r="I489">
        <f t="array" aca="1" ref="I489" ca="1">SUM(OFFSET(I140,0,IF(I$7-2004-'Tech Parameters'!$I25&lt;1,-I$7+2004+1,-'Tech Parameters'!$I25+1)):I140*OFFSET(I466,0,IF(I$7-2004-'Tech Parameters'!$I25&lt;1,-I$7+2004+1,-'Tech Parameters'!$I25+1)):I466)</f>
        <v>0</v>
      </c>
      <c r="J489">
        <f t="array" aca="1" ref="J489" ca="1">SUM(OFFSET(J140,0,IF(J$7-2004-'Tech Parameters'!$I25&lt;1,-J$7+2004+1,-'Tech Parameters'!$I25+1)):J140*OFFSET(J466,0,IF(J$7-2004-'Tech Parameters'!$I25&lt;1,-J$7+2004+1,-'Tech Parameters'!$I25+1)):J466)</f>
        <v>0</v>
      </c>
      <c r="K489">
        <f t="array" aca="1" ref="K489" ca="1">SUM(OFFSET(K140,0,IF(K$7-2004-'Tech Parameters'!$I25&lt;1,-K$7+2004+1,-'Tech Parameters'!$I25+1)):K140*OFFSET(K466,0,IF(K$7-2004-'Tech Parameters'!$I25&lt;1,-K$7+2004+1,-'Tech Parameters'!$I25+1)):K466)</f>
        <v>0</v>
      </c>
      <c r="L489">
        <f t="array" aca="1" ref="L489" ca="1">SUM(OFFSET(L140,0,IF(L$7-2004-'Tech Parameters'!$I25&lt;1,-L$7+2004+1,-'Tech Parameters'!$I25+1)):L140*OFFSET(L466,0,IF(L$7-2004-'Tech Parameters'!$I25&lt;1,-L$7+2004+1,-'Tech Parameters'!$I25+1)):L466)</f>
        <v>873.88277549131692</v>
      </c>
      <c r="M489">
        <f t="array" aca="1" ref="M489" ca="1">SUM(OFFSET(M140,0,IF(M$7-2004-'Tech Parameters'!$I25&lt;1,-M$7+2004+1,-'Tech Parameters'!$I25+1)):M140*OFFSET(M466,0,IF(M$7-2004-'Tech Parameters'!$I25&lt;1,-M$7+2004+1,-'Tech Parameters'!$I25+1)):M466)</f>
        <v>1747.7655509826338</v>
      </c>
      <c r="N489">
        <f t="array" aca="1" ref="N489" ca="1">SUM(OFFSET(N140,0,IF(N$7-2004-'Tech Parameters'!$I25&lt;1,-N$7+2004+1,-'Tech Parameters'!$I25+1)):N140*OFFSET(N466,0,IF(N$7-2004-'Tech Parameters'!$I25&lt;1,-N$7+2004+1,-'Tech Parameters'!$I25+1)):N466)</f>
        <v>2621.6483264739509</v>
      </c>
      <c r="O489">
        <f t="array" aca="1" ref="O489" ca="1">SUM(OFFSET(O140,0,IF(O$7-2004-'Tech Parameters'!$I25&lt;1,-O$7+2004+1,-'Tech Parameters'!$I25+1)):O140*OFFSET(O466,0,IF(O$7-2004-'Tech Parameters'!$I25&lt;1,-O$7+2004+1,-'Tech Parameters'!$I25+1)):O466)</f>
        <v>3495.5311019652677</v>
      </c>
      <c r="P489">
        <f t="array" aca="1" ref="P489" ca="1">SUM(OFFSET(P140,0,IF(P$7-2004-'Tech Parameters'!$I25&lt;1,-P$7+2004+1,-'Tech Parameters'!$I25+1)):P140*OFFSET(P466,0,IF(P$7-2004-'Tech Parameters'!$I25&lt;1,-P$7+2004+1,-'Tech Parameters'!$I25+1)):P466)</f>
        <v>3495.5311019652677</v>
      </c>
      <c r="Q489">
        <f t="array" aca="1" ref="Q489" ca="1">SUM(OFFSET(Q140,0,IF(Q$7-2004-'Tech Parameters'!$I25&lt;1,-Q$7+2004+1,-'Tech Parameters'!$I25+1)):Q140*OFFSET(Q466,0,IF(Q$7-2004-'Tech Parameters'!$I25&lt;1,-Q$7+2004+1,-'Tech Parameters'!$I25+1)):Q466)</f>
        <v>3495.5311019652677</v>
      </c>
      <c r="R489">
        <f t="array" aca="1" ref="R489" ca="1">SUM(OFFSET(R140,0,IF(R$7-2004-'Tech Parameters'!$I25&lt;1,-R$7+2004+1,-'Tech Parameters'!$I25+1)):R140*OFFSET(R466,0,IF(R$7-2004-'Tech Parameters'!$I25&lt;1,-R$7+2004+1,-'Tech Parameters'!$I25+1)):R466)</f>
        <v>3495.5311019652677</v>
      </c>
      <c r="S489">
        <f t="array" aca="1" ref="S489" ca="1">SUM(OFFSET(S140,0,IF(S$7-2004-'Tech Parameters'!$I25&lt;1,-S$7+2004+1,-'Tech Parameters'!$I25+1)):S140*OFFSET(S466,0,IF(S$7-2004-'Tech Parameters'!$I25&lt;1,-S$7+2004+1,-'Tech Parameters'!$I25+1)):S466)</f>
        <v>3495.5311019652677</v>
      </c>
      <c r="T489">
        <f t="array" aca="1" ref="T489" ca="1">SUM(OFFSET(T140,0,IF(T$7-2004-'Tech Parameters'!$I25&lt;1,-T$7+2004+1,-'Tech Parameters'!$I25+1)):T140*OFFSET(T466,0,IF(T$7-2004-'Tech Parameters'!$I25&lt;1,-T$7+2004+1,-'Tech Parameters'!$I25+1)):T466)</f>
        <v>3495.5311019652677</v>
      </c>
      <c r="U489">
        <f t="array" aca="1" ref="U489" ca="1">SUM(OFFSET(U140,0,IF(U$7-2004-'Tech Parameters'!$I25&lt;1,-U$7+2004+1,-'Tech Parameters'!$I25+1)):U140*OFFSET(U466,0,IF(U$7-2004-'Tech Parameters'!$I25&lt;1,-U$7+2004+1,-'Tech Parameters'!$I25+1)):U466)</f>
        <v>3495.5311019652677</v>
      </c>
      <c r="V489">
        <f t="array" aca="1" ref="V489" ca="1">SUM(OFFSET(V140,0,IF(V$7-2004-'Tech Parameters'!$I25&lt;1,-V$7+2004+1,-'Tech Parameters'!$I25+1)):V140*OFFSET(V466,0,IF(V$7-2004-'Tech Parameters'!$I25&lt;1,-V$7+2004+1,-'Tech Parameters'!$I25+1)):V466)</f>
        <v>3495.5311019652677</v>
      </c>
      <c r="W489">
        <f t="array" aca="1" ref="W489" ca="1">SUM(OFFSET(W140,0,IF(W$7-2004-'Tech Parameters'!$I25&lt;1,-W$7+2004+1,-'Tech Parameters'!$I25+1)):W140*OFFSET(W466,0,IF(W$7-2004-'Tech Parameters'!$I25&lt;1,-W$7+2004+1,-'Tech Parameters'!$I25+1)):W466)</f>
        <v>3495.5311019652677</v>
      </c>
      <c r="X489">
        <f t="array" aca="1" ref="X489" ca="1">SUM(OFFSET(X140,0,IF(X$7-2004-'Tech Parameters'!$I25&lt;1,-X$7+2004+1,-'Tech Parameters'!$I25+1)):X140*OFFSET(X466,0,IF(X$7-2004-'Tech Parameters'!$I25&lt;1,-X$7+2004+1,-'Tech Parameters'!$I25+1)):X466)</f>
        <v>3495.5311019652677</v>
      </c>
      <c r="Y489">
        <f t="array" aca="1" ref="Y489" ca="1">SUM(OFFSET(Y140,0,IF(Y$7-2004-'Tech Parameters'!$I25&lt;1,-Y$7+2004+1,-'Tech Parameters'!$I25+1)):Y140*OFFSET(Y466,0,IF(Y$7-2004-'Tech Parameters'!$I25&lt;1,-Y$7+2004+1,-'Tech Parameters'!$I25+1)):Y466)</f>
        <v>3495.5311019652677</v>
      </c>
      <c r="Z489">
        <f t="array" aca="1" ref="Z489" ca="1">SUM(OFFSET(Z140,0,IF(Z$7-2004-'Tech Parameters'!$I25&lt;1,-Z$7+2004+1,-'Tech Parameters'!$I25+1)):Z140*OFFSET(Z466,0,IF(Z$7-2004-'Tech Parameters'!$I25&lt;1,-Z$7+2004+1,-'Tech Parameters'!$I25+1)):Z466)</f>
        <v>3495.5311019652677</v>
      </c>
      <c r="AA489">
        <f t="array" aca="1" ref="AA489" ca="1">SUM(OFFSET(AA140,0,IF(AA$7-2004-'Tech Parameters'!$I25&lt;1,-AA$7+2004+1,-'Tech Parameters'!$I25+1)):AA140*OFFSET(AA466,0,IF(AA$7-2004-'Tech Parameters'!$I25&lt;1,-AA$7+2004+1,-'Tech Parameters'!$I25+1)):AA466)</f>
        <v>3495.5311019652677</v>
      </c>
      <c r="AB489">
        <f t="array" aca="1" ref="AB489" ca="1">SUM(OFFSET(AB140,0,IF(AB$7-2004-'Tech Parameters'!$I25&lt;1,-AB$7+2004+1,-'Tech Parameters'!$I25+1)):AB140*OFFSET(AB466,0,IF(AB$7-2004-'Tech Parameters'!$I25&lt;1,-AB$7+2004+1,-'Tech Parameters'!$I25+1)):AB466)</f>
        <v>3495.5311019652677</v>
      </c>
      <c r="AC489">
        <f t="array" aca="1" ref="AC489" ca="1">SUM(OFFSET(AC140,0,IF(AC$7-2004-'Tech Parameters'!$I25&lt;1,-AC$7+2004+1,-'Tech Parameters'!$I25+1)):AC140*OFFSET(AC466,0,IF(AC$7-2004-'Tech Parameters'!$I25&lt;1,-AC$7+2004+1,-'Tech Parameters'!$I25+1)):AC466)</f>
        <v>3495.5311019652677</v>
      </c>
      <c r="AD489" s="76">
        <f t="array" aca="1" ref="AD489" ca="1">SUM(OFFSET(AD140,0,IF(AD$7-2004-'Tech Parameters'!$I25&lt;1,-AD$7+2004+1,-'Tech Parameters'!$I25+1)):AD140*OFFSET(AD466,0,IF(AD$7-2004-'Tech Parameters'!$I25&lt;1,-AD$7+2004+1,-'Tech Parameters'!$I25+1)):AD466)</f>
        <v>3495.5311019652677</v>
      </c>
      <c r="AE489" s="76">
        <f t="array" aca="1" ref="AE489" ca="1">SUM(OFFSET(AE140,0,IF(AE$7-2004-'Tech Parameters'!$I25&lt;1,-AE$7+2004+1,-'Tech Parameters'!$I25+1)):AE140*OFFSET(AE466,0,IF(AE$7-2004-'Tech Parameters'!$I25&lt;1,-AE$7+2004+1,-'Tech Parameters'!$I25+1)):AE466)</f>
        <v>3495.5311019652677</v>
      </c>
      <c r="AF489" s="76">
        <f t="array" aca="1" ref="AF489" ca="1">SUM(OFFSET(AF140,0,IF(AF$7-2004-'Tech Parameters'!$I25&lt;1,-AF$7+2004+1,-'Tech Parameters'!$I25+1)):AF140*OFFSET(AF466,0,IF(AF$7-2004-'Tech Parameters'!$I25&lt;1,-AF$7+2004+1,-'Tech Parameters'!$I25+1)):AF466)</f>
        <v>3495.5311019652677</v>
      </c>
      <c r="AG489" s="76">
        <f t="array" aca="1" ref="AG489" ca="1">SUM(OFFSET(AG140,0,IF(AG$7-2004-'Tech Parameters'!$I25&lt;1,-AG$7+2004+1,-'Tech Parameters'!$I25+1)):AG140*OFFSET(AG466,0,IF(AG$7-2004-'Tech Parameters'!$I25&lt;1,-AG$7+2004+1,-'Tech Parameters'!$I25+1)):AG466)</f>
        <v>3495.5311019652677</v>
      </c>
      <c r="AH489" s="76">
        <f t="array" aca="1" ref="AH489" ca="1">SUM(OFFSET(AH140,0,IF(AH$7-2004-'Tech Parameters'!$I25&lt;1,-AH$7+2004+1,-'Tech Parameters'!$I25+1)):AH140*OFFSET(AH466,0,IF(AH$7-2004-'Tech Parameters'!$I25&lt;1,-AH$7+2004+1,-'Tech Parameters'!$I25+1)):AH466)</f>
        <v>3495.5311019652677</v>
      </c>
      <c r="AI489" s="76">
        <f t="array" aca="1" ref="AI489" ca="1">SUM(OFFSET(AI140,0,IF(AI$7-2004-'Tech Parameters'!$I25&lt;1,-AI$7+2004+1,-'Tech Parameters'!$I25+1)):AI140*OFFSET(AI466,0,IF(AI$7-2004-'Tech Parameters'!$I25&lt;1,-AI$7+2004+1,-'Tech Parameters'!$I25+1)):AI466)</f>
        <v>3495.5311019652677</v>
      </c>
      <c r="AJ489" s="76">
        <f t="array" aca="1" ref="AJ489" ca="1">SUM(OFFSET(AJ140,0,IF(AJ$7-2004-'Tech Parameters'!$I25&lt;1,-AJ$7+2004+1,-'Tech Parameters'!$I25+1)):AJ140*OFFSET(AJ466,0,IF(AJ$7-2004-'Tech Parameters'!$I25&lt;1,-AJ$7+2004+1,-'Tech Parameters'!$I25+1)):AJ466)</f>
        <v>3495.5311019652677</v>
      </c>
      <c r="AK489" s="76">
        <f t="array" aca="1" ref="AK489" ca="1">SUM(OFFSET(AK140,0,IF(AK$7-2004-'Tech Parameters'!$I25&lt;1,-AK$7+2004+1,-'Tech Parameters'!$I25+1)):AK140*OFFSET(AK466,0,IF(AK$7-2004-'Tech Parameters'!$I25&lt;1,-AK$7+2004+1,-'Tech Parameters'!$I25+1)):AK466)</f>
        <v>3495.5311019652677</v>
      </c>
      <c r="AL489" s="76">
        <f t="array" aca="1" ref="AL489" ca="1">SUM(OFFSET(AL140,0,IF(AL$7-2004-'Tech Parameters'!$I25&lt;1,-AL$7+2004+1,-'Tech Parameters'!$I25+1)):AL140*OFFSET(AL466,0,IF(AL$7-2004-'Tech Parameters'!$I25&lt;1,-AL$7+2004+1,-'Tech Parameters'!$I25+1)):AL466)</f>
        <v>3495.5311019652677</v>
      </c>
      <c r="AM489" s="76">
        <f t="array" aca="1" ref="AM489" ca="1">SUM(OFFSET(AM140,0,IF(AM$7-2004-'Tech Parameters'!$I25&lt;1,-AM$7+2004+1,-'Tech Parameters'!$I25+1)):AM140*OFFSET(AM466,0,IF(AM$7-2004-'Tech Parameters'!$I25&lt;1,-AM$7+2004+1,-'Tech Parameters'!$I25+1)):AM466)</f>
        <v>3495.5311019652677</v>
      </c>
      <c r="AN489" s="76">
        <f t="array" aca="1" ref="AN489" ca="1">SUM(OFFSET(AN140,0,IF(AN$7-2004-'Tech Parameters'!$I25&lt;1,-AN$7+2004+1,-'Tech Parameters'!$I25+1)):AN140*OFFSET(AN466,0,IF(AN$7-2004-'Tech Parameters'!$I25&lt;1,-AN$7+2004+1,-'Tech Parameters'!$I25+1)):AN466)</f>
        <v>3495.5311019652677</v>
      </c>
      <c r="AO489" s="76">
        <f t="array" aca="1" ref="AO489" ca="1">SUM(OFFSET(AO140,0,IF(AO$7-2004-'Tech Parameters'!$I25&lt;1,-AO$7+2004+1,-'Tech Parameters'!$I25+1)):AO140*OFFSET(AO466,0,IF(AO$7-2004-'Tech Parameters'!$I25&lt;1,-AO$7+2004+1,-'Tech Parameters'!$I25+1)):AO466)</f>
        <v>3495.5311019652677</v>
      </c>
      <c r="AP489" s="76">
        <f t="array" aca="1" ref="AP489" ca="1">SUM(OFFSET(AP140,0,IF(AP$7-2004-'Tech Parameters'!$I25&lt;1,-AP$7+2004+1,-'Tech Parameters'!$I25+1)):AP140*OFFSET(AP466,0,IF(AP$7-2004-'Tech Parameters'!$I25&lt;1,-AP$7+2004+1,-'Tech Parameters'!$I25+1)):AP466)</f>
        <v>3495.5311019652677</v>
      </c>
      <c r="AQ489" s="76">
        <f t="array" aca="1" ref="AQ489" ca="1">SUM(OFFSET(AQ140,0,IF(AQ$7-2004-'Tech Parameters'!$I25&lt;1,-AQ$7+2004+1,-'Tech Parameters'!$I25+1)):AQ140*OFFSET(AQ466,0,IF(AQ$7-2004-'Tech Parameters'!$I25&lt;1,-AQ$7+2004+1,-'Tech Parameters'!$I25+1)):AQ466)</f>
        <v>3495.5311019652677</v>
      </c>
      <c r="AR489" s="76">
        <f t="array" aca="1" ref="AR489" ca="1">SUM(OFFSET(AR140,0,IF(AR$7-2004-'Tech Parameters'!$I25&lt;1,-AR$7+2004+1,-'Tech Parameters'!$I25+1)):AR140*OFFSET(AR466,0,IF(AR$7-2004-'Tech Parameters'!$I25&lt;1,-AR$7+2004+1,-'Tech Parameters'!$I25+1)):AR466)</f>
        <v>3495.5311019652677</v>
      </c>
      <c r="AS489" s="76">
        <f t="array" aca="1" ref="AS489" ca="1">SUM(OFFSET(AS140,0,IF(AS$7-2004-'Tech Parameters'!$I25&lt;1,-AS$7+2004+1,-'Tech Parameters'!$I25+1)):AS140*OFFSET(AS466,0,IF(AS$7-2004-'Tech Parameters'!$I25&lt;1,-AS$7+2004+1,-'Tech Parameters'!$I25+1)):AS466)</f>
        <v>3495.5311019652677</v>
      </c>
      <c r="AT489" s="76">
        <f t="array" aca="1" ref="AT489" ca="1">SUM(OFFSET(AT140,0,IF(AT$7-2004-'Tech Parameters'!$I25&lt;1,-AT$7+2004+1,-'Tech Parameters'!$I25+1)):AT140*OFFSET(AT466,0,IF(AT$7-2004-'Tech Parameters'!$I25&lt;1,-AT$7+2004+1,-'Tech Parameters'!$I25+1)):AT466)</f>
        <v>3495.5311019652677</v>
      </c>
      <c r="AU489" s="76">
        <f t="array" aca="1" ref="AU489" ca="1">SUM(OFFSET(AU140,0,IF(AU$7-2004-'Tech Parameters'!$I25&lt;1,-AU$7+2004+1,-'Tech Parameters'!$I25+1)):AU140*OFFSET(AU466,0,IF(AU$7-2004-'Tech Parameters'!$I25&lt;1,-AU$7+2004+1,-'Tech Parameters'!$I25+1)):AU466)</f>
        <v>3495.5311019652677</v>
      </c>
      <c r="AV489" s="76">
        <f t="array" aca="1" ref="AV489" ca="1">SUM(OFFSET(AV140,0,IF(AV$7-2004-'Tech Parameters'!$I25&lt;1,-AV$7+2004+1,-'Tech Parameters'!$I25+1)):AV140*OFFSET(AV466,0,IF(AV$7-2004-'Tech Parameters'!$I25&lt;1,-AV$7+2004+1,-'Tech Parameters'!$I25+1)):AV466)</f>
        <v>3495.5311019652677</v>
      </c>
      <c r="AW489" s="76">
        <f t="array" aca="1" ref="AW489" ca="1">SUM(OFFSET(AW140,0,IF(AW$7-2004-'Tech Parameters'!$I25&lt;1,-AW$7+2004+1,-'Tech Parameters'!$I25+1)):AW140*OFFSET(AW466,0,IF(AW$7-2004-'Tech Parameters'!$I25&lt;1,-AW$7+2004+1,-'Tech Parameters'!$I25+1)):AW466)</f>
        <v>3495.5311019652677</v>
      </c>
    </row>
    <row r="492" spans="3:49">
      <c r="C492" s="4" t="s">
        <v>131</v>
      </c>
    </row>
    <row r="493" spans="3:49">
      <c r="C493" t="str">
        <f>C8</f>
        <v>Existing coal Large</v>
      </c>
      <c r="D493">
        <f>D8*'Tech Parameters'!$E6</f>
        <v>6048.8582920974877</v>
      </c>
      <c r="E493">
        <f>E8*'Tech Parameters'!$E6</f>
        <v>6048.8582920974877</v>
      </c>
      <c r="F493">
        <f>F8*'Tech Parameters'!$E6</f>
        <v>6048.8582920974877</v>
      </c>
      <c r="G493">
        <f>G8*'Tech Parameters'!$E6</f>
        <v>6048.8582920974877</v>
      </c>
      <c r="H493">
        <f>H8*'Tech Parameters'!$E6</f>
        <v>6048.8582920974877</v>
      </c>
      <c r="I493">
        <f ca="1">I8*'Tech Parameters'!$E6</f>
        <v>6048.8582920974877</v>
      </c>
      <c r="J493">
        <f ca="1">J8*'Tech Parameters'!$E6</f>
        <v>6048.8582920974877</v>
      </c>
      <c r="K493">
        <f ca="1">K8*'Tech Parameters'!$E6</f>
        <v>6048.8582920974877</v>
      </c>
      <c r="L493">
        <f ca="1">L8*'Tech Parameters'!$E6</f>
        <v>6048.8582920974877</v>
      </c>
      <c r="M493">
        <f ca="1">M8*'Tech Parameters'!$E6</f>
        <v>6048.8582920974877</v>
      </c>
      <c r="N493">
        <f ca="1">N8*'Tech Parameters'!$E6</f>
        <v>6048.8582920974877</v>
      </c>
      <c r="O493">
        <f ca="1">O8*'Tech Parameters'!$E6</f>
        <v>6048.8582920974877</v>
      </c>
      <c r="P493">
        <f ca="1">P8*'Tech Parameters'!$E6</f>
        <v>6048.8582920974877</v>
      </c>
      <c r="Q493">
        <f ca="1">Q8*'Tech Parameters'!$E6</f>
        <v>6048.8582920974877</v>
      </c>
      <c r="R493">
        <f ca="1">R8*'Tech Parameters'!$E6</f>
        <v>6048.8582920974877</v>
      </c>
      <c r="S493">
        <f ca="1">S8*'Tech Parameters'!$E6</f>
        <v>6048.8582920974877</v>
      </c>
      <c r="T493">
        <f ca="1">T8*'Tech Parameters'!$E6</f>
        <v>6048.8582920974877</v>
      </c>
      <c r="U493">
        <f ca="1">U8*'Tech Parameters'!$E6</f>
        <v>6048.8582920974877</v>
      </c>
      <c r="V493">
        <f ca="1">V8*'Tech Parameters'!$E6</f>
        <v>6048.8582920974877</v>
      </c>
      <c r="W493">
        <f ca="1">W8*'Tech Parameters'!$E6</f>
        <v>5822.5546442686946</v>
      </c>
      <c r="X493">
        <f ca="1">X8*'Tech Parameters'!$E6</f>
        <v>5596.2509964399023</v>
      </c>
      <c r="Y493">
        <f ca="1">Y8*'Tech Parameters'!$E6</f>
        <v>5313.3714366539116</v>
      </c>
      <c r="Z493">
        <f ca="1">Z8*'Tech Parameters'!$E6</f>
        <v>5030.4918768679208</v>
      </c>
      <c r="AA493">
        <f ca="1">AA8*'Tech Parameters'!$E6</f>
        <v>4688.0587255480368</v>
      </c>
      <c r="AB493">
        <f ca="1">AB8*'Tech Parameters'!$E6</f>
        <v>4003.1924229082706</v>
      </c>
      <c r="AC493">
        <f ca="1">AC8*'Tech Parameters'!$E6</f>
        <v>3660.759271588387</v>
      </c>
      <c r="AD493" s="76">
        <f ca="1">AD8*'Tech Parameters'!$E6</f>
        <v>3660.759271588387</v>
      </c>
      <c r="AE493" s="76">
        <f ca="1">AE8*'Tech Parameters'!$E6</f>
        <v>3660.759271588387</v>
      </c>
      <c r="AF493" s="76">
        <f ca="1">AF8*'Tech Parameters'!$E6</f>
        <v>3660.759271588387</v>
      </c>
      <c r="AG493" s="76">
        <f ca="1">AG8*'Tech Parameters'!$E6</f>
        <v>2959.2179633191304</v>
      </c>
      <c r="AH493" s="76">
        <f ca="1">AH8*'Tech Parameters'!$E6</f>
        <v>2257.6766550498737</v>
      </c>
      <c r="AI493" s="76">
        <f ca="1">AI8*'Tech Parameters'!$E6</f>
        <v>1891.4220671164333</v>
      </c>
      <c r="AJ493" s="76">
        <f ca="1">AJ8*'Tech Parameters'!$E6</f>
        <v>1144.0244933660792</v>
      </c>
      <c r="AK493" s="76">
        <f ca="1">AK8*'Tech Parameters'!$E6</f>
        <v>762.88150754916546</v>
      </c>
      <c r="AL493" s="76">
        <f ca="1">AL8*'Tech Parameters'!$E6</f>
        <v>762.88150754916546</v>
      </c>
      <c r="AM493" s="76">
        <f ca="1">AM8*'Tech Parameters'!$E6</f>
        <v>762.88150754916546</v>
      </c>
      <c r="AN493" s="76">
        <f ca="1">AN8*'Tech Parameters'!$E6</f>
        <v>762.88150754916546</v>
      </c>
      <c r="AO493" s="76">
        <f ca="1">AO8*'Tech Parameters'!$E6</f>
        <v>762.88150754916546</v>
      </c>
      <c r="AP493" s="76">
        <f ca="1">AP8*'Tech Parameters'!$E6</f>
        <v>762.88150754916546</v>
      </c>
      <c r="AQ493" s="76">
        <f ca="1">AQ8*'Tech Parameters'!$E6</f>
        <v>762.88150754916546</v>
      </c>
      <c r="AR493" s="76">
        <f ca="1">AR8*'Tech Parameters'!$E6</f>
        <v>381.44075377458239</v>
      </c>
      <c r="AS493" s="76">
        <f ca="1">AS8*'Tech Parameters'!$E6</f>
        <v>-7.0525619754719501E-13</v>
      </c>
      <c r="AT493" s="76">
        <f ca="1">AT8*'Tech Parameters'!$E6</f>
        <v>-7.0525619754719501E-13</v>
      </c>
      <c r="AU493" s="76">
        <f ca="1">AU8*'Tech Parameters'!$E6</f>
        <v>-7.0525619754719501E-13</v>
      </c>
      <c r="AV493" s="76">
        <f ca="1">AV8*'Tech Parameters'!$E6</f>
        <v>-7.0525619754719501E-13</v>
      </c>
      <c r="AW493" s="76">
        <f ca="1">AW8*'Tech Parameters'!$E6</f>
        <v>-7.0525619754719501E-13</v>
      </c>
    </row>
    <row r="494" spans="3:49">
      <c r="C494" t="str">
        <f t="shared" ref="C494:C512" si="114">C9</f>
        <v>Existing coal Small</v>
      </c>
      <c r="D494">
        <f>D9*'Tech Parameters'!$E7</f>
        <v>1493.6648015951273</v>
      </c>
      <c r="E494">
        <f>E9*'Tech Parameters'!$E7</f>
        <v>1493.6648015951273</v>
      </c>
      <c r="F494">
        <f>F9*'Tech Parameters'!$E7</f>
        <v>1493.6648015951273</v>
      </c>
      <c r="G494">
        <f>G9*'Tech Parameters'!$E7</f>
        <v>1493.6648015951273</v>
      </c>
      <c r="H494">
        <f>H9*'Tech Parameters'!$E7</f>
        <v>1493.6648015951273</v>
      </c>
      <c r="I494">
        <f ca="1">I9*'Tech Parameters'!$E7</f>
        <v>1681.3883251159868</v>
      </c>
      <c r="J494">
        <f ca="1">J9*'Tech Parameters'!$E7</f>
        <v>1792.4283009614148</v>
      </c>
      <c r="K494">
        <f ca="1">K9*'Tech Parameters'!$E7</f>
        <v>1792.4283009614148</v>
      </c>
      <c r="L494">
        <f ca="1">L9*'Tech Parameters'!$E7</f>
        <v>1792.4283009614148</v>
      </c>
      <c r="M494">
        <f ca="1">M9*'Tech Parameters'!$E7</f>
        <v>1792.4283009614148</v>
      </c>
      <c r="N494">
        <f ca="1">N9*'Tech Parameters'!$E7</f>
        <v>1792.4283009614148</v>
      </c>
      <c r="O494">
        <f ca="1">O9*'Tech Parameters'!$E7</f>
        <v>1782.121372510416</v>
      </c>
      <c r="P494">
        <f ca="1">P9*'Tech Parameters'!$E7</f>
        <v>1771.8144440594174</v>
      </c>
      <c r="Q494">
        <f ca="1">Q9*'Tech Parameters'!$E7</f>
        <v>1758.0718727914189</v>
      </c>
      <c r="R494">
        <f ca="1">R9*'Tech Parameters'!$E7</f>
        <v>1744.3293015234203</v>
      </c>
      <c r="S494">
        <f ca="1">S9*'Tech Parameters'!$E7</f>
        <v>1483.2204474314485</v>
      </c>
      <c r="T494">
        <f ca="1">T9*'Tech Parameters'!$E7</f>
        <v>1222.1115933394767</v>
      </c>
      <c r="U494">
        <f ca="1">U9*'Tech Parameters'!$E7</f>
        <v>1222.1115933394767</v>
      </c>
      <c r="V494">
        <f ca="1">V9*'Tech Parameters'!$E7</f>
        <v>1222.1115933394767</v>
      </c>
      <c r="W494">
        <f ca="1">W9*'Tech Parameters'!$E7</f>
        <v>1222.1115933394767</v>
      </c>
      <c r="X494">
        <f ca="1">X9*'Tech Parameters'!$E7</f>
        <v>1101.8030166499655</v>
      </c>
      <c r="Y494">
        <f ca="1">Y9*'Tech Parameters'!$E7</f>
        <v>981.49443996045386</v>
      </c>
      <c r="Z494">
        <f ca="1">Z9*'Tech Parameters'!$E7</f>
        <v>981.49443996045386</v>
      </c>
      <c r="AA494">
        <f ca="1">AA9*'Tech Parameters'!$E7</f>
        <v>981.49443996045386</v>
      </c>
      <c r="AB494">
        <f ca="1">AB9*'Tech Parameters'!$E7</f>
        <v>981.49443996045386</v>
      </c>
      <c r="AC494">
        <f ca="1">AC9*'Tech Parameters'!$E7</f>
        <v>981.49443996045386</v>
      </c>
      <c r="AD494" s="76">
        <f ca="1">AD9*'Tech Parameters'!$E7</f>
        <v>981.49443996045386</v>
      </c>
      <c r="AE494" s="76">
        <f ca="1">AE9*'Tech Parameters'!$E7</f>
        <v>953.45959457373704</v>
      </c>
      <c r="AF494" s="76">
        <f ca="1">AF9*'Tech Parameters'!$E7</f>
        <v>925.4247491870201</v>
      </c>
      <c r="AG494" s="76">
        <f ca="1">AG9*'Tech Parameters'!$E7</f>
        <v>925.4247491870201</v>
      </c>
      <c r="AH494" s="76">
        <f ca="1">AH9*'Tech Parameters'!$E7</f>
        <v>925.4247491870201</v>
      </c>
      <c r="AI494" s="76">
        <f ca="1">AI9*'Tech Parameters'!$E7</f>
        <v>925.4247491870201</v>
      </c>
      <c r="AJ494" s="76">
        <f ca="1">AJ9*'Tech Parameters'!$E7</f>
        <v>925.4247491870201</v>
      </c>
      <c r="AK494" s="76">
        <f ca="1">AK9*'Tech Parameters'!$E7</f>
        <v>820.98120755023137</v>
      </c>
      <c r="AL494" s="76">
        <f ca="1">AL9*'Tech Parameters'!$E7</f>
        <v>716.53766591344265</v>
      </c>
      <c r="AM494" s="76">
        <f ca="1">AM9*'Tech Parameters'!$E7</f>
        <v>716.53766591344265</v>
      </c>
      <c r="AN494" s="76">
        <f ca="1">AN9*'Tech Parameters'!$E7</f>
        <v>716.53766591344265</v>
      </c>
      <c r="AO494" s="76">
        <f ca="1">AO9*'Tech Parameters'!$E7</f>
        <v>716.53766591344265</v>
      </c>
      <c r="AP494" s="76">
        <f ca="1">AP9*'Tech Parameters'!$E7</f>
        <v>716.53766591344265</v>
      </c>
      <c r="AQ494" s="76">
        <f ca="1">AQ9*'Tech Parameters'!$E7</f>
        <v>716.53766591344265</v>
      </c>
      <c r="AR494" s="76">
        <f ca="1">AR9*'Tech Parameters'!$E7</f>
        <v>716.53766591344265</v>
      </c>
      <c r="AS494" s="76">
        <f ca="1">AS9*'Tech Parameters'!$E7</f>
        <v>716.53766591344265</v>
      </c>
      <c r="AT494" s="76">
        <f ca="1">AT9*'Tech Parameters'!$E7</f>
        <v>716.53766591344265</v>
      </c>
      <c r="AU494" s="76">
        <f ca="1">AU9*'Tech Parameters'!$E7</f>
        <v>716.53766591344265</v>
      </c>
      <c r="AV494" s="76">
        <f ca="1">AV9*'Tech Parameters'!$E7</f>
        <v>716.53766591344265</v>
      </c>
      <c r="AW494" s="76">
        <f ca="1">AW9*'Tech Parameters'!$E7</f>
        <v>716.53766591344265</v>
      </c>
    </row>
    <row r="495" spans="3:49">
      <c r="C495" t="str">
        <f t="shared" si="114"/>
        <v>OCGT liquid fuels</v>
      </c>
      <c r="D495">
        <f>D10*'Tech Parameters'!$E8</f>
        <v>242.44125277260486</v>
      </c>
      <c r="E495">
        <f>E10*'Tech Parameters'!$E8</f>
        <v>242.44125277260486</v>
      </c>
      <c r="F495">
        <f>F10*'Tech Parameters'!$E8</f>
        <v>242.44125277260486</v>
      </c>
      <c r="G495">
        <f>G10*'Tech Parameters'!$E8</f>
        <v>242.44125277260486</v>
      </c>
      <c r="H495">
        <f>H10*'Tech Parameters'!$E8</f>
        <v>242.44125277260486</v>
      </c>
      <c r="I495">
        <f ca="1">I10*'Tech Parameters'!$E8</f>
        <v>242.44125277260486</v>
      </c>
      <c r="J495">
        <f ca="1">J10*'Tech Parameters'!$E8</f>
        <v>351.53981652027704</v>
      </c>
      <c r="K495">
        <f ca="1">K10*'Tech Parameters'!$E8</f>
        <v>351.53981652027704</v>
      </c>
      <c r="L495">
        <f ca="1">L10*'Tech Parameters'!$E8</f>
        <v>351.53981652027704</v>
      </c>
      <c r="M495">
        <f ca="1">M10*'Tech Parameters'!$E8</f>
        <v>351.53981652027704</v>
      </c>
      <c r="N495">
        <f ca="1">N10*'Tech Parameters'!$E8</f>
        <v>351.53981652027704</v>
      </c>
      <c r="O495">
        <f ca="1">O10*'Tech Parameters'!$E8</f>
        <v>351.53981652027704</v>
      </c>
      <c r="P495">
        <f ca="1">P10*'Tech Parameters'!$E8</f>
        <v>351.53981652027704</v>
      </c>
      <c r="Q495">
        <f ca="1">Q10*'Tech Parameters'!$E8</f>
        <v>351.53981652027704</v>
      </c>
      <c r="R495">
        <f ca="1">R10*'Tech Parameters'!$E8</f>
        <v>351.53981652027704</v>
      </c>
      <c r="S495">
        <f ca="1">S10*'Tech Parameters'!$E8</f>
        <v>351.53981652027704</v>
      </c>
      <c r="T495">
        <f ca="1">T10*'Tech Parameters'!$E8</f>
        <v>351.53981652027704</v>
      </c>
      <c r="U495">
        <f ca="1">U10*'Tech Parameters'!$E8</f>
        <v>351.53981652027704</v>
      </c>
      <c r="V495">
        <f ca="1">V10*'Tech Parameters'!$E8</f>
        <v>351.53981652027704</v>
      </c>
      <c r="W495">
        <f ca="1">W10*'Tech Parameters'!$E8</f>
        <v>351.53981652027704</v>
      </c>
      <c r="X495">
        <f ca="1">X10*'Tech Parameters'!$E8</f>
        <v>351.53981652027704</v>
      </c>
      <c r="Y495">
        <f ca="1">Y10*'Tech Parameters'!$E8</f>
        <v>424.27219235205854</v>
      </c>
      <c r="Z495">
        <f ca="1">Z10*'Tech Parameters'!$E8</f>
        <v>424.27219235205854</v>
      </c>
      <c r="AA495">
        <f ca="1">AA10*'Tech Parameters'!$E8</f>
        <v>424.27219235205854</v>
      </c>
      <c r="AB495">
        <f ca="1">AB10*'Tech Parameters'!$E8</f>
        <v>521.24869346110052</v>
      </c>
      <c r="AC495">
        <f ca="1">AC10*'Tech Parameters'!$E8</f>
        <v>600.95125531009433</v>
      </c>
      <c r="AD495" s="76">
        <f ca="1">AD10*'Tech Parameters'!$E8</f>
        <v>479.73062892379187</v>
      </c>
      <c r="AE495" s="76">
        <f ca="1">AE10*'Tech Parameters'!$E8</f>
        <v>375.78394179753752</v>
      </c>
      <c r="AF495" s="76">
        <f ca="1">AF10*'Tech Parameters'!$E8</f>
        <v>375.78394179753752</v>
      </c>
      <c r="AG495" s="76">
        <f ca="1">AG10*'Tech Parameters'!$E8</f>
        <v>375.78394179753752</v>
      </c>
      <c r="AH495" s="76">
        <f ca="1">AH10*'Tech Parameters'!$E8</f>
        <v>375.78394179753752</v>
      </c>
      <c r="AI495" s="76">
        <f ca="1">AI10*'Tech Parameters'!$E8</f>
        <v>375.78394179753752</v>
      </c>
      <c r="AJ495" s="76">
        <f ca="1">AJ10*'Tech Parameters'!$E8</f>
        <v>375.78394179753752</v>
      </c>
      <c r="AK495" s="76">
        <f ca="1">AK10*'Tech Parameters'!$E8</f>
        <v>375.78394179753752</v>
      </c>
      <c r="AL495" s="76">
        <f ca="1">AL10*'Tech Parameters'!$E8</f>
        <v>375.78394179753752</v>
      </c>
      <c r="AM495" s="76">
        <f ca="1">AM10*'Tech Parameters'!$E8</f>
        <v>375.78394179753752</v>
      </c>
      <c r="AN495" s="76">
        <f ca="1">AN10*'Tech Parameters'!$E8</f>
        <v>375.78394179753752</v>
      </c>
      <c r="AO495" s="76">
        <f ca="1">AO10*'Tech Parameters'!$E8</f>
        <v>375.78394179753752</v>
      </c>
      <c r="AP495" s="76">
        <f ca="1">AP10*'Tech Parameters'!$E8</f>
        <v>375.78394179753752</v>
      </c>
      <c r="AQ495" s="76">
        <f ca="1">AQ10*'Tech Parameters'!$E8</f>
        <v>375.78394179753752</v>
      </c>
      <c r="AR495" s="76">
        <f ca="1">AR10*'Tech Parameters'!$E8</f>
        <v>375.78394179753752</v>
      </c>
      <c r="AS495" s="76">
        <f ca="1">AS10*'Tech Parameters'!$E8</f>
        <v>375.78394179753752</v>
      </c>
      <c r="AT495" s="76">
        <f ca="1">AT10*'Tech Parameters'!$E8</f>
        <v>375.78394179753752</v>
      </c>
      <c r="AU495" s="76">
        <f ca="1">AU10*'Tech Parameters'!$E8</f>
        <v>375.78394179753752</v>
      </c>
      <c r="AV495" s="76">
        <f ca="1">AV10*'Tech Parameters'!$E8</f>
        <v>375.78394179753752</v>
      </c>
      <c r="AW495" s="76">
        <f ca="1">AW10*'Tech Parameters'!$E8</f>
        <v>375.78394179753752</v>
      </c>
    </row>
    <row r="496" spans="3:49">
      <c r="C496" t="str">
        <f t="shared" si="114"/>
        <v>PWR nuclear</v>
      </c>
      <c r="D496">
        <f>D11*'Tech Parameters'!$E9</f>
        <v>1351.6450190703897</v>
      </c>
      <c r="E496">
        <f>E11*'Tech Parameters'!$E9</f>
        <v>1351.6450190703897</v>
      </c>
      <c r="F496">
        <f>F11*'Tech Parameters'!$E9</f>
        <v>1351.6450190703897</v>
      </c>
      <c r="G496">
        <f>G11*'Tech Parameters'!$E9</f>
        <v>1351.6450190703897</v>
      </c>
      <c r="H496">
        <f>H11*'Tech Parameters'!$E9</f>
        <v>1351.6450190703897</v>
      </c>
      <c r="I496">
        <f ca="1">I11*'Tech Parameters'!$E9</f>
        <v>1351.6450190703897</v>
      </c>
      <c r="J496">
        <f ca="1">J11*'Tech Parameters'!$E9</f>
        <v>1351.6450190703897</v>
      </c>
      <c r="K496">
        <f ca="1">K11*'Tech Parameters'!$E9</f>
        <v>1351.6450190703897</v>
      </c>
      <c r="L496">
        <f ca="1">L11*'Tech Parameters'!$E9</f>
        <v>1351.6450190703897</v>
      </c>
      <c r="M496">
        <f ca="1">M11*'Tech Parameters'!$E9</f>
        <v>1351.6450190703897</v>
      </c>
      <c r="N496">
        <f ca="1">N11*'Tech Parameters'!$E9</f>
        <v>1351.6450190703897</v>
      </c>
      <c r="O496">
        <f ca="1">O11*'Tech Parameters'!$E9</f>
        <v>1351.6450190703897</v>
      </c>
      <c r="P496">
        <f ca="1">P11*'Tech Parameters'!$E9</f>
        <v>1351.6450190703897</v>
      </c>
      <c r="Q496">
        <f ca="1">Q11*'Tech Parameters'!$E9</f>
        <v>1351.6450190703897</v>
      </c>
      <c r="R496">
        <f ca="1">R11*'Tech Parameters'!$E9</f>
        <v>1351.6450190703897</v>
      </c>
      <c r="S496">
        <f ca="1">S11*'Tech Parameters'!$E9</f>
        <v>1351.6450190703897</v>
      </c>
      <c r="T496">
        <f ca="1">T11*'Tech Parameters'!$E9</f>
        <v>1351.6450190703897</v>
      </c>
      <c r="U496">
        <f ca="1">U11*'Tech Parameters'!$E9</f>
        <v>1351.6450190703897</v>
      </c>
      <c r="V496">
        <f ca="1">V11*'Tech Parameters'!$E9</f>
        <v>1351.6450190703897</v>
      </c>
      <c r="W496">
        <f ca="1">W11*'Tech Parameters'!$E9</f>
        <v>1351.6450190703897</v>
      </c>
      <c r="X496">
        <f ca="1">X11*'Tech Parameters'!$E9</f>
        <v>1351.6450190703897</v>
      </c>
      <c r="Y496">
        <f ca="1">Y11*'Tech Parameters'!$E9</f>
        <v>1351.6450190703897</v>
      </c>
      <c r="Z496">
        <f ca="1">Z11*'Tech Parameters'!$E9</f>
        <v>1351.6450190703897</v>
      </c>
      <c r="AA496">
        <f ca="1">AA11*'Tech Parameters'!$E9</f>
        <v>1351.6450190703897</v>
      </c>
      <c r="AB496">
        <f ca="1">AB11*'Tech Parameters'!$E9</f>
        <v>1351.6450190703897</v>
      </c>
      <c r="AC496">
        <f ca="1">AC11*'Tech Parameters'!$E9</f>
        <v>1351.6450190703897</v>
      </c>
      <c r="AD496" s="76">
        <f ca="1">AD11*'Tech Parameters'!$E9</f>
        <v>854.91547456202147</v>
      </c>
      <c r="AE496" s="76">
        <f ca="1">AE11*'Tech Parameters'!$E9</f>
        <v>358.18593005365335</v>
      </c>
      <c r="AF496" s="76">
        <f ca="1">AF11*'Tech Parameters'!$E9</f>
        <v>358.18593005365335</v>
      </c>
      <c r="AG496" s="76">
        <f ca="1">AG11*'Tech Parameters'!$E9</f>
        <v>358.18593005365335</v>
      </c>
      <c r="AH496" s="76">
        <f ca="1">AH11*'Tech Parameters'!$E9</f>
        <v>358.18593005365335</v>
      </c>
      <c r="AI496" s="76">
        <f ca="1">AI11*'Tech Parameters'!$E9</f>
        <v>358.18593005365335</v>
      </c>
      <c r="AJ496" s="76">
        <f ca="1">AJ11*'Tech Parameters'!$E9</f>
        <v>358.18593005365335</v>
      </c>
      <c r="AK496" s="76">
        <f ca="1">AK11*'Tech Parameters'!$E9</f>
        <v>358.18593005365335</v>
      </c>
      <c r="AL496" s="76">
        <f ca="1">AL11*'Tech Parameters'!$E9</f>
        <v>358.18593005365335</v>
      </c>
      <c r="AM496" s="76">
        <f ca="1">AM11*'Tech Parameters'!$E9</f>
        <v>358.18593005365335</v>
      </c>
      <c r="AN496" s="76">
        <f ca="1">AN11*'Tech Parameters'!$E9</f>
        <v>358.18593005365335</v>
      </c>
      <c r="AO496" s="76">
        <f ca="1">AO11*'Tech Parameters'!$E9</f>
        <v>358.18593005365335</v>
      </c>
      <c r="AP496" s="76">
        <f ca="1">AP11*'Tech Parameters'!$E9</f>
        <v>358.18593005365335</v>
      </c>
      <c r="AQ496" s="76">
        <f ca="1">AQ11*'Tech Parameters'!$E9</f>
        <v>358.18593005365335</v>
      </c>
      <c r="AR496" s="76">
        <f ca="1">AR11*'Tech Parameters'!$E9</f>
        <v>358.18593005365335</v>
      </c>
      <c r="AS496" s="76">
        <f ca="1">AS11*'Tech Parameters'!$E9</f>
        <v>358.18593005365335</v>
      </c>
      <c r="AT496" s="76">
        <f ca="1">AT11*'Tech Parameters'!$E9</f>
        <v>358.18593005365335</v>
      </c>
      <c r="AU496" s="76">
        <f ca="1">AU11*'Tech Parameters'!$E9</f>
        <v>358.18593005365335</v>
      </c>
      <c r="AV496" s="76">
        <f ca="1">AV11*'Tech Parameters'!$E9</f>
        <v>358.18593005365335</v>
      </c>
      <c r="AW496" s="76">
        <f ca="1">AW11*'Tech Parameters'!$E9</f>
        <v>358.18593005365335</v>
      </c>
    </row>
    <row r="497" spans="3:49">
      <c r="C497" t="str">
        <f t="shared" si="114"/>
        <v>Hydro</v>
      </c>
      <c r="D497">
        <f>D12*'Tech Parameters'!$E10</f>
        <v>86.627408640520088</v>
      </c>
      <c r="E497">
        <f>E12*'Tech Parameters'!$E10</f>
        <v>86.627408640520088</v>
      </c>
      <c r="F497">
        <f>F12*'Tech Parameters'!$E10</f>
        <v>86.627408640520088</v>
      </c>
      <c r="G497">
        <f>G12*'Tech Parameters'!$E10</f>
        <v>86.627408640520088</v>
      </c>
      <c r="H497">
        <f>H12*'Tech Parameters'!$E10</f>
        <v>86.627408640520088</v>
      </c>
      <c r="I497">
        <f ca="1">I12*'Tech Parameters'!$E10</f>
        <v>86.627408640520088</v>
      </c>
      <c r="J497">
        <f ca="1">J12*'Tech Parameters'!$E10</f>
        <v>86.627408640520088</v>
      </c>
      <c r="K497">
        <f ca="1">K12*'Tech Parameters'!$E10</f>
        <v>86.627408640520088</v>
      </c>
      <c r="L497">
        <f ca="1">L12*'Tech Parameters'!$E10</f>
        <v>86.627408640520088</v>
      </c>
      <c r="M497">
        <f ca="1">M12*'Tech Parameters'!$E10</f>
        <v>86.627408640520088</v>
      </c>
      <c r="N497">
        <f ca="1">N12*'Tech Parameters'!$E10</f>
        <v>86.627408640520088</v>
      </c>
      <c r="O497">
        <f ca="1">O12*'Tech Parameters'!$E10</f>
        <v>86.627408640520088</v>
      </c>
      <c r="P497">
        <f ca="1">P12*'Tech Parameters'!$E10</f>
        <v>86.627408640520088</v>
      </c>
      <c r="Q497">
        <f ca="1">Q12*'Tech Parameters'!$E10</f>
        <v>86.627408640520088</v>
      </c>
      <c r="R497">
        <f ca="1">R12*'Tech Parameters'!$E10</f>
        <v>86.627408640520088</v>
      </c>
      <c r="S497">
        <f ca="1">S12*'Tech Parameters'!$E10</f>
        <v>86.627408640520088</v>
      </c>
      <c r="T497">
        <f ca="1">T12*'Tech Parameters'!$E10</f>
        <v>86.627408640520088</v>
      </c>
      <c r="U497">
        <f ca="1">U12*'Tech Parameters'!$E10</f>
        <v>86.627408640520088</v>
      </c>
      <c r="V497">
        <f ca="1">V12*'Tech Parameters'!$E10</f>
        <v>86.627408640520088</v>
      </c>
      <c r="W497">
        <f ca="1">W12*'Tech Parameters'!$E10</f>
        <v>86.627408640520088</v>
      </c>
      <c r="X497">
        <f ca="1">X12*'Tech Parameters'!$E10</f>
        <v>86.627408640520088</v>
      </c>
      <c r="Y497">
        <f ca="1">Y12*'Tech Parameters'!$E10</f>
        <v>86.627408640520088</v>
      </c>
      <c r="Z497">
        <f ca="1">Z12*'Tech Parameters'!$E10</f>
        <v>86.627408640520088</v>
      </c>
      <c r="AA497">
        <f ca="1">AA12*'Tech Parameters'!$E10</f>
        <v>86.627408640520088</v>
      </c>
      <c r="AB497">
        <f ca="1">AB12*'Tech Parameters'!$E10</f>
        <v>86.627408640520088</v>
      </c>
      <c r="AC497">
        <f ca="1">AC12*'Tech Parameters'!$E10</f>
        <v>86.627408640520088</v>
      </c>
      <c r="AD497" s="76">
        <f ca="1">AD12*'Tech Parameters'!$E10</f>
        <v>86.627408640520088</v>
      </c>
      <c r="AE497" s="76">
        <f ca="1">AE12*'Tech Parameters'!$E10</f>
        <v>86.627408640520088</v>
      </c>
      <c r="AF497" s="76">
        <f ca="1">AF12*'Tech Parameters'!$E10</f>
        <v>86.627408640520088</v>
      </c>
      <c r="AG497" s="76">
        <f ca="1">AG12*'Tech Parameters'!$E10</f>
        <v>86.627408640520088</v>
      </c>
      <c r="AH497" s="76">
        <f ca="1">AH12*'Tech Parameters'!$E10</f>
        <v>86.627408640520088</v>
      </c>
      <c r="AI497" s="76">
        <f ca="1">AI12*'Tech Parameters'!$E10</f>
        <v>86.627408640520088</v>
      </c>
      <c r="AJ497" s="76">
        <f ca="1">AJ12*'Tech Parameters'!$E10</f>
        <v>86.627408640520088</v>
      </c>
      <c r="AK497" s="76">
        <f ca="1">AK12*'Tech Parameters'!$E10</f>
        <v>86.627408640520088</v>
      </c>
      <c r="AL497" s="76">
        <f ca="1">AL12*'Tech Parameters'!$E10</f>
        <v>86.627408640520088</v>
      </c>
      <c r="AM497" s="76">
        <f ca="1">AM12*'Tech Parameters'!$E10</f>
        <v>86.627408640520088</v>
      </c>
      <c r="AN497" s="76">
        <f ca="1">AN12*'Tech Parameters'!$E10</f>
        <v>86.627408640520088</v>
      </c>
      <c r="AO497" s="76">
        <f ca="1">AO12*'Tech Parameters'!$E10</f>
        <v>86.627408640520088</v>
      </c>
      <c r="AP497" s="76">
        <f ca="1">AP12*'Tech Parameters'!$E10</f>
        <v>86.627408640520088</v>
      </c>
      <c r="AQ497" s="76">
        <f ca="1">AQ12*'Tech Parameters'!$E10</f>
        <v>86.627408640520088</v>
      </c>
      <c r="AR497" s="76">
        <f ca="1">AR12*'Tech Parameters'!$E10</f>
        <v>86.627408640520088</v>
      </c>
      <c r="AS497" s="76">
        <f ca="1">AS12*'Tech Parameters'!$E10</f>
        <v>86.627408640520088</v>
      </c>
      <c r="AT497" s="76">
        <f ca="1">AT12*'Tech Parameters'!$E10</f>
        <v>86.627408640520088</v>
      </c>
      <c r="AU497" s="76">
        <f ca="1">AU12*'Tech Parameters'!$E10</f>
        <v>86.627408640520088</v>
      </c>
      <c r="AV497" s="76">
        <f ca="1">AV12*'Tech Parameters'!$E10</f>
        <v>86.627408640520088</v>
      </c>
      <c r="AW497" s="76">
        <f ca="1">AW12*'Tech Parameters'!$E10</f>
        <v>86.627408640520088</v>
      </c>
    </row>
    <row r="498" spans="3:49">
      <c r="C498" t="str">
        <f t="shared" si="114"/>
        <v>Landfill gas</v>
      </c>
      <c r="D498">
        <f>D13*'Tech Parameters'!$E11</f>
        <v>66.712218519436689</v>
      </c>
      <c r="E498">
        <f>E13*'Tech Parameters'!$E11</f>
        <v>66.712218519436689</v>
      </c>
      <c r="F498">
        <f>F13*'Tech Parameters'!$E11</f>
        <v>66.712218519436689</v>
      </c>
      <c r="G498">
        <f>G13*'Tech Parameters'!$E11</f>
        <v>66.712218519436689</v>
      </c>
      <c r="H498">
        <f>H13*'Tech Parameters'!$E11</f>
        <v>66.712218519436689</v>
      </c>
      <c r="I498">
        <f ca="1">I13*'Tech Parameters'!$E11</f>
        <v>66.712218519436689</v>
      </c>
      <c r="J498">
        <f ca="1">J13*'Tech Parameters'!$E11</f>
        <v>66.712218519436689</v>
      </c>
      <c r="K498">
        <f ca="1">K13*'Tech Parameters'!$E11</f>
        <v>66.712218519436689</v>
      </c>
      <c r="L498">
        <f ca="1">L13*'Tech Parameters'!$E11</f>
        <v>66.712218519436689</v>
      </c>
      <c r="M498">
        <f ca="1">M13*'Tech Parameters'!$E11</f>
        <v>66.712218519436689</v>
      </c>
      <c r="N498">
        <f ca="1">N13*'Tech Parameters'!$E11</f>
        <v>66.712218519436689</v>
      </c>
      <c r="O498">
        <f ca="1">O13*'Tech Parameters'!$E11</f>
        <v>66.712218519436689</v>
      </c>
      <c r="P498">
        <f ca="1">P13*'Tech Parameters'!$E11</f>
        <v>66.712218519436689</v>
      </c>
      <c r="Q498">
        <f ca="1">Q13*'Tech Parameters'!$E11</f>
        <v>66.712218519436689</v>
      </c>
      <c r="R498">
        <f ca="1">R13*'Tech Parameters'!$E11</f>
        <v>66.712218519436689</v>
      </c>
      <c r="S498">
        <f ca="1">S13*'Tech Parameters'!$E11</f>
        <v>66.712218519436689</v>
      </c>
      <c r="T498">
        <f ca="1">T13*'Tech Parameters'!$E11</f>
        <v>66.712218519436689</v>
      </c>
      <c r="U498">
        <f ca="1">U13*'Tech Parameters'!$E11</f>
        <v>66.712218519436689</v>
      </c>
      <c r="V498">
        <f ca="1">V13*'Tech Parameters'!$E11</f>
        <v>66.712218519436689</v>
      </c>
      <c r="W498">
        <f ca="1">W13*'Tech Parameters'!$E11</f>
        <v>66.712218519436689</v>
      </c>
      <c r="X498">
        <f ca="1">X13*'Tech Parameters'!$E11</f>
        <v>66.712218519436689</v>
      </c>
      <c r="Y498">
        <f ca="1">Y13*'Tech Parameters'!$E11</f>
        <v>66.712218519436689</v>
      </c>
      <c r="Z498">
        <f ca="1">Z13*'Tech Parameters'!$E11</f>
        <v>66.712218519436689</v>
      </c>
      <c r="AA498">
        <f ca="1">AA13*'Tech Parameters'!$E11</f>
        <v>66.712218519436689</v>
      </c>
      <c r="AB498">
        <f ca="1">AB13*'Tech Parameters'!$E11</f>
        <v>66.712218519436689</v>
      </c>
      <c r="AC498">
        <f ca="1">AC13*'Tech Parameters'!$E11</f>
        <v>66.712218519436689</v>
      </c>
      <c r="AD498" s="76">
        <f ca="1">AD13*'Tech Parameters'!$E11</f>
        <v>66.712218519436689</v>
      </c>
      <c r="AE498" s="76">
        <f ca="1">AE13*'Tech Parameters'!$E11</f>
        <v>66.712218519436689</v>
      </c>
      <c r="AF498" s="76">
        <f ca="1">AF13*'Tech Parameters'!$E11</f>
        <v>66.712218519436689</v>
      </c>
      <c r="AG498" s="76">
        <f ca="1">AG13*'Tech Parameters'!$E11</f>
        <v>66.712218519436689</v>
      </c>
      <c r="AH498" s="76">
        <f ca="1">AH13*'Tech Parameters'!$E11</f>
        <v>66.712218519436689</v>
      </c>
      <c r="AI498" s="76">
        <f ca="1">AI13*'Tech Parameters'!$E11</f>
        <v>66.712218519436689</v>
      </c>
      <c r="AJ498" s="76">
        <f ca="1">AJ13*'Tech Parameters'!$E11</f>
        <v>66.712218519436689</v>
      </c>
      <c r="AK498" s="76">
        <f ca="1">AK13*'Tech Parameters'!$E11</f>
        <v>66.712218519436689</v>
      </c>
      <c r="AL498" s="76">
        <f ca="1">AL13*'Tech Parameters'!$E11</f>
        <v>66.712218519436689</v>
      </c>
      <c r="AM498" s="76">
        <f ca="1">AM13*'Tech Parameters'!$E11</f>
        <v>66.712218519436689</v>
      </c>
      <c r="AN498" s="76">
        <f ca="1">AN13*'Tech Parameters'!$E11</f>
        <v>66.712218519436689</v>
      </c>
      <c r="AO498" s="76">
        <f ca="1">AO13*'Tech Parameters'!$E11</f>
        <v>66.712218519436689</v>
      </c>
      <c r="AP498" s="76">
        <f ca="1">AP13*'Tech Parameters'!$E11</f>
        <v>66.712218519436689</v>
      </c>
      <c r="AQ498" s="76">
        <f ca="1">AQ13*'Tech Parameters'!$E11</f>
        <v>66.712218519436689</v>
      </c>
      <c r="AR498" s="76">
        <f ca="1">AR13*'Tech Parameters'!$E11</f>
        <v>66.712218519436689</v>
      </c>
      <c r="AS498" s="76">
        <f ca="1">AS13*'Tech Parameters'!$E11</f>
        <v>66.712218519436689</v>
      </c>
      <c r="AT498" s="76">
        <f ca="1">AT13*'Tech Parameters'!$E11</f>
        <v>66.712218519436689</v>
      </c>
      <c r="AU498" s="76">
        <f ca="1">AU13*'Tech Parameters'!$E11</f>
        <v>66.712218519436689</v>
      </c>
      <c r="AV498" s="76">
        <f ca="1">AV13*'Tech Parameters'!$E11</f>
        <v>66.712218519436689</v>
      </c>
      <c r="AW498" s="76">
        <f ca="1">AW13*'Tech Parameters'!$E11</f>
        <v>66.712218519436689</v>
      </c>
    </row>
    <row r="499" spans="3:49">
      <c r="C499" t="str">
        <f t="shared" si="114"/>
        <v>Biomass</v>
      </c>
      <c r="D499">
        <f>D14*'Tech Parameters'!$E12</f>
        <v>102.14748007249291</v>
      </c>
      <c r="E499">
        <f>E14*'Tech Parameters'!$E12</f>
        <v>102.14748007249291</v>
      </c>
      <c r="F499">
        <f>F14*'Tech Parameters'!$E12</f>
        <v>102.14748007249291</v>
      </c>
      <c r="G499">
        <f>G14*'Tech Parameters'!$E12</f>
        <v>102.14748007249291</v>
      </c>
      <c r="H499">
        <f>H14*'Tech Parameters'!$E12</f>
        <v>102.14748007249291</v>
      </c>
      <c r="I499">
        <f ca="1">I14*'Tech Parameters'!$E12</f>
        <v>102.14748007249291</v>
      </c>
      <c r="J499">
        <f ca="1">J14*'Tech Parameters'!$E12</f>
        <v>102.14748007249291</v>
      </c>
      <c r="K499">
        <f ca="1">K14*'Tech Parameters'!$E12</f>
        <v>102.14748007249291</v>
      </c>
      <c r="L499">
        <f ca="1">L14*'Tech Parameters'!$E12</f>
        <v>102.14748007249291</v>
      </c>
      <c r="M499">
        <f ca="1">M14*'Tech Parameters'!$E12</f>
        <v>102.14748007249291</v>
      </c>
      <c r="N499">
        <f ca="1">N14*'Tech Parameters'!$E12</f>
        <v>102.14748007249291</v>
      </c>
      <c r="O499">
        <f ca="1">O14*'Tech Parameters'!$E12</f>
        <v>102.14748007249291</v>
      </c>
      <c r="P499">
        <f ca="1">P14*'Tech Parameters'!$E12</f>
        <v>102.14748007249291</v>
      </c>
      <c r="Q499">
        <f ca="1">Q14*'Tech Parameters'!$E12</f>
        <v>102.14748007249291</v>
      </c>
      <c r="R499">
        <f ca="1">R14*'Tech Parameters'!$E12</f>
        <v>102.14748007249291</v>
      </c>
      <c r="S499">
        <f ca="1">S14*'Tech Parameters'!$E12</f>
        <v>102.14748007249291</v>
      </c>
      <c r="T499">
        <f ca="1">T14*'Tech Parameters'!$E12</f>
        <v>102.14748007249291</v>
      </c>
      <c r="U499">
        <f ca="1">U14*'Tech Parameters'!$E12</f>
        <v>102.14748007249291</v>
      </c>
      <c r="V499">
        <f ca="1">V14*'Tech Parameters'!$E12</f>
        <v>102.14748007249291</v>
      </c>
      <c r="W499">
        <f ca="1">W14*'Tech Parameters'!$E12</f>
        <v>102.14748007249291</v>
      </c>
      <c r="X499">
        <f ca="1">X14*'Tech Parameters'!$E12</f>
        <v>102.14748007249291</v>
      </c>
      <c r="Y499">
        <f ca="1">Y14*'Tech Parameters'!$E12</f>
        <v>102.14748007249291</v>
      </c>
      <c r="Z499">
        <f ca="1">Z14*'Tech Parameters'!$E12</f>
        <v>102.14748007249291</v>
      </c>
      <c r="AA499">
        <f ca="1">AA14*'Tech Parameters'!$E12</f>
        <v>102.14748007249291</v>
      </c>
      <c r="AB499">
        <f ca="1">AB14*'Tech Parameters'!$E12</f>
        <v>102.14748007249291</v>
      </c>
      <c r="AC499">
        <f ca="1">AC14*'Tech Parameters'!$E12</f>
        <v>102.14748007249291</v>
      </c>
      <c r="AD499" s="76">
        <f ca="1">AD14*'Tech Parameters'!$E12</f>
        <v>102.14748007249291</v>
      </c>
      <c r="AE499" s="76">
        <f ca="1">AE14*'Tech Parameters'!$E12</f>
        <v>102.14748007249291</v>
      </c>
      <c r="AF499" s="76">
        <f ca="1">AF14*'Tech Parameters'!$E12</f>
        <v>102.14748007249291</v>
      </c>
      <c r="AG499" s="76">
        <f ca="1">AG14*'Tech Parameters'!$E12</f>
        <v>102.14748007249291</v>
      </c>
      <c r="AH499" s="76">
        <f ca="1">AH14*'Tech Parameters'!$E12</f>
        <v>102.14748007249291</v>
      </c>
      <c r="AI499" s="76">
        <f ca="1">AI14*'Tech Parameters'!$E12</f>
        <v>102.14748007249291</v>
      </c>
      <c r="AJ499" s="76">
        <f ca="1">AJ14*'Tech Parameters'!$E12</f>
        <v>102.14748007249291</v>
      </c>
      <c r="AK499" s="76">
        <f ca="1">AK14*'Tech Parameters'!$E12</f>
        <v>102.14748007249291</v>
      </c>
      <c r="AL499" s="76">
        <f ca="1">AL14*'Tech Parameters'!$E12</f>
        <v>102.14748007249291</v>
      </c>
      <c r="AM499" s="76">
        <f ca="1">AM14*'Tech Parameters'!$E12</f>
        <v>102.14748007249291</v>
      </c>
      <c r="AN499" s="76">
        <f ca="1">AN14*'Tech Parameters'!$E12</f>
        <v>102.14748007249291</v>
      </c>
      <c r="AO499" s="76">
        <f ca="1">AO14*'Tech Parameters'!$E12</f>
        <v>102.14748007249291</v>
      </c>
      <c r="AP499" s="76">
        <f ca="1">AP14*'Tech Parameters'!$E12</f>
        <v>102.14748007249291</v>
      </c>
      <c r="AQ499" s="76">
        <f ca="1">AQ14*'Tech Parameters'!$E12</f>
        <v>102.14748007249291</v>
      </c>
      <c r="AR499" s="76">
        <f ca="1">AR14*'Tech Parameters'!$E12</f>
        <v>102.14748007249291</v>
      </c>
      <c r="AS499" s="76">
        <f ca="1">AS14*'Tech Parameters'!$E12</f>
        <v>102.14748007249291</v>
      </c>
      <c r="AT499" s="76">
        <f ca="1">AT14*'Tech Parameters'!$E12</f>
        <v>102.14748007249291</v>
      </c>
      <c r="AU499" s="76">
        <f ca="1">AU14*'Tech Parameters'!$E12</f>
        <v>102.14748007249291</v>
      </c>
      <c r="AV499" s="76">
        <f ca="1">AV14*'Tech Parameters'!$E12</f>
        <v>102.14748007249291</v>
      </c>
      <c r="AW499" s="76">
        <f ca="1">AW14*'Tech Parameters'!$E12</f>
        <v>102.14748007249291</v>
      </c>
    </row>
    <row r="500" spans="3:49">
      <c r="C500" t="str">
        <f t="shared" si="114"/>
        <v>Supercritical coal</v>
      </c>
      <c r="D500">
        <f>D15*'Tech Parameters'!$E13</f>
        <v>0</v>
      </c>
      <c r="E500">
        <f>E15*'Tech Parameters'!$E13</f>
        <v>0</v>
      </c>
      <c r="F500">
        <f>F15*'Tech Parameters'!$E13</f>
        <v>0</v>
      </c>
      <c r="G500">
        <f>G15*'Tech Parameters'!$E13</f>
        <v>0</v>
      </c>
      <c r="H500">
        <f>H15*'Tech Parameters'!$E13</f>
        <v>0</v>
      </c>
      <c r="I500">
        <f ca="1">I15*'Tech Parameters'!$E13</f>
        <v>0</v>
      </c>
      <c r="J500">
        <f ca="1">J15*'Tech Parameters'!$E13</f>
        <v>0</v>
      </c>
      <c r="K500">
        <f ca="1">K15*'Tech Parameters'!$E13</f>
        <v>182.33827776393036</v>
      </c>
      <c r="L500">
        <f ca="1">L15*'Tech Parameters'!$E13</f>
        <v>547.01483329179109</v>
      </c>
      <c r="M500">
        <f ca="1">M15*'Tech Parameters'!$E13</f>
        <v>1094.0296665835822</v>
      </c>
      <c r="N500">
        <f ca="1">N15*'Tech Parameters'!$E13</f>
        <v>1641.0444998753735</v>
      </c>
      <c r="O500">
        <f ca="1">O15*'Tech Parameters'!$E13</f>
        <v>2005.7210554032342</v>
      </c>
      <c r="P500">
        <f ca="1">P15*'Tech Parameters'!$E13</f>
        <v>2188.0593331671648</v>
      </c>
      <c r="Q500">
        <f ca="1">Q15*'Tech Parameters'!$E13</f>
        <v>2188.0593331671648</v>
      </c>
      <c r="R500">
        <f ca="1">R15*'Tech Parameters'!$E13</f>
        <v>2188.0593331671648</v>
      </c>
      <c r="S500">
        <f ca="1">S15*'Tech Parameters'!$E13</f>
        <v>2188.0593331671648</v>
      </c>
      <c r="T500">
        <f ca="1">T15*'Tech Parameters'!$E13</f>
        <v>2188.0593331671648</v>
      </c>
      <c r="U500">
        <f ca="1">U15*'Tech Parameters'!$E13</f>
        <v>2188.0593331671648</v>
      </c>
      <c r="V500">
        <f ca="1">V15*'Tech Parameters'!$E13</f>
        <v>2188.0593331671648</v>
      </c>
      <c r="W500">
        <f ca="1">W15*'Tech Parameters'!$E13</f>
        <v>2188.0593331671648</v>
      </c>
      <c r="X500">
        <f ca="1">X15*'Tech Parameters'!$E13</f>
        <v>2188.0593331671648</v>
      </c>
      <c r="Y500">
        <f ca="1">Y15*'Tech Parameters'!$E13</f>
        <v>2188.0593331671648</v>
      </c>
      <c r="Z500">
        <f ca="1">Z15*'Tech Parameters'!$E13</f>
        <v>2188.0593331671648</v>
      </c>
      <c r="AA500">
        <f ca="1">AA15*'Tech Parameters'!$E13</f>
        <v>2188.0593331671648</v>
      </c>
      <c r="AB500">
        <f ca="1">AB15*'Tech Parameters'!$E13</f>
        <v>2188.0593331671648</v>
      </c>
      <c r="AC500">
        <f ca="1">AC15*'Tech Parameters'!$E13</f>
        <v>2188.0593331671648</v>
      </c>
      <c r="AD500" s="76">
        <f ca="1">AD15*'Tech Parameters'!$E13</f>
        <v>2188.0593331671648</v>
      </c>
      <c r="AE500" s="76">
        <f ca="1">AE15*'Tech Parameters'!$E13</f>
        <v>2188.0593331671648</v>
      </c>
      <c r="AF500" s="76">
        <f ca="1">AF15*'Tech Parameters'!$E13</f>
        <v>2188.0593331671648</v>
      </c>
      <c r="AG500" s="76">
        <f ca="1">AG15*'Tech Parameters'!$E13</f>
        <v>2188.0593331671648</v>
      </c>
      <c r="AH500" s="76">
        <f ca="1">AH15*'Tech Parameters'!$E13</f>
        <v>2188.0593331671648</v>
      </c>
      <c r="AI500" s="76">
        <f ca="1">AI15*'Tech Parameters'!$E13</f>
        <v>2188.0593331671648</v>
      </c>
      <c r="AJ500" s="76">
        <f ca="1">AJ15*'Tech Parameters'!$E13</f>
        <v>2188.0593331671648</v>
      </c>
      <c r="AK500" s="76">
        <f ca="1">AK15*'Tech Parameters'!$E13</f>
        <v>2188.0593331671648</v>
      </c>
      <c r="AL500" s="76">
        <f ca="1">AL15*'Tech Parameters'!$E13</f>
        <v>2188.0593331671648</v>
      </c>
      <c r="AM500" s="76">
        <f ca="1">AM15*'Tech Parameters'!$E13</f>
        <v>2188.0593331671648</v>
      </c>
      <c r="AN500" s="76">
        <f ca="1">AN15*'Tech Parameters'!$E13</f>
        <v>2188.0593331671648</v>
      </c>
      <c r="AO500" s="76">
        <f ca="1">AO15*'Tech Parameters'!$E13</f>
        <v>2188.0593331671648</v>
      </c>
      <c r="AP500" s="76">
        <f ca="1">AP15*'Tech Parameters'!$E13</f>
        <v>2188.0593331671648</v>
      </c>
      <c r="AQ500" s="76">
        <f ca="1">AQ15*'Tech Parameters'!$E13</f>
        <v>2188.0593331671648</v>
      </c>
      <c r="AR500" s="76">
        <f ca="1">AR15*'Tech Parameters'!$E13</f>
        <v>2188.0593331671648</v>
      </c>
      <c r="AS500" s="76">
        <f ca="1">AS15*'Tech Parameters'!$E13</f>
        <v>2188.0593331671648</v>
      </c>
      <c r="AT500" s="76">
        <f ca="1">AT15*'Tech Parameters'!$E13</f>
        <v>2188.0593331671648</v>
      </c>
      <c r="AU500" s="76">
        <f ca="1">AU15*'Tech Parameters'!$E13</f>
        <v>2188.0593331671648</v>
      </c>
      <c r="AV500" s="76">
        <f ca="1">AV15*'Tech Parameters'!$E13</f>
        <v>2188.0593331671648</v>
      </c>
      <c r="AW500" s="76">
        <f ca="1">AW15*'Tech Parameters'!$E13</f>
        <v>2188.0593331671648</v>
      </c>
    </row>
    <row r="501" spans="3:49">
      <c r="C501" t="str">
        <f t="shared" si="114"/>
        <v xml:space="preserve">Wind 30% </v>
      </c>
      <c r="D501">
        <f>D16*'Tech Parameters'!$E14</f>
        <v>0</v>
      </c>
      <c r="E501">
        <f>E16*'Tech Parameters'!$E14</f>
        <v>0</v>
      </c>
      <c r="F501">
        <f>F16*'Tech Parameters'!$E14</f>
        <v>0</v>
      </c>
      <c r="G501">
        <f>G16*'Tech Parameters'!$E14</f>
        <v>0</v>
      </c>
      <c r="H501">
        <f>H16*'Tech Parameters'!$E14</f>
        <v>0</v>
      </c>
      <c r="I501">
        <f ca="1">I16*'Tech Parameters'!$E14</f>
        <v>25.275151249001961</v>
      </c>
      <c r="J501">
        <f ca="1">J16*'Tech Parameters'!$E14</f>
        <v>75.825453747005895</v>
      </c>
      <c r="K501">
        <f ca="1">K16*'Tech Parameters'!$E14</f>
        <v>126.3757562450098</v>
      </c>
      <c r="L501">
        <f ca="1">L16*'Tech Parameters'!$E14</f>
        <v>227.47636124101763</v>
      </c>
      <c r="M501">
        <f ca="1">M16*'Tech Parameters'!$E14</f>
        <v>328.57696623702549</v>
      </c>
      <c r="N501">
        <f ca="1">N16*'Tech Parameters'!$E14</f>
        <v>530.77817622904115</v>
      </c>
      <c r="O501">
        <f ca="1">O16*'Tech Parameters'!$E14</f>
        <v>732.97938622105687</v>
      </c>
      <c r="P501">
        <f ca="1">P16*'Tech Parameters'!$E14</f>
        <v>985.73089871107652</v>
      </c>
      <c r="Q501">
        <f ca="1">Q16*'Tech Parameters'!$E14</f>
        <v>1238.4824112010961</v>
      </c>
      <c r="R501">
        <f ca="1">R16*'Tech Parameters'!$E14</f>
        <v>1617.6096799361255</v>
      </c>
      <c r="S501">
        <f ca="1">S16*'Tech Parameters'!$E14</f>
        <v>1996.7369486711548</v>
      </c>
      <c r="T501">
        <f ca="1">T16*'Tech Parameters'!$E14</f>
        <v>2502.2399736511938</v>
      </c>
      <c r="U501">
        <f ca="1">U16*'Tech Parameters'!$E14</f>
        <v>2502.2399736511938</v>
      </c>
      <c r="V501">
        <f ca="1">V16*'Tech Parameters'!$E14</f>
        <v>2502.2399736511938</v>
      </c>
      <c r="W501">
        <f ca="1">W16*'Tech Parameters'!$E14</f>
        <v>2502.2399736511938</v>
      </c>
      <c r="X501">
        <f ca="1">X16*'Tech Parameters'!$E14</f>
        <v>2502.2399736511938</v>
      </c>
      <c r="Y501">
        <f ca="1">Y16*'Tech Parameters'!$E14</f>
        <v>2502.2399736511938</v>
      </c>
      <c r="Z501">
        <f ca="1">Z16*'Tech Parameters'!$E14</f>
        <v>2502.2399736511938</v>
      </c>
      <c r="AA501">
        <f ca="1">AA16*'Tech Parameters'!$E14</f>
        <v>2502.2399736511938</v>
      </c>
      <c r="AB501">
        <f ca="1">AB16*'Tech Parameters'!$E14</f>
        <v>2502.2399736511938</v>
      </c>
      <c r="AC501">
        <f ca="1">AC16*'Tech Parameters'!$E14</f>
        <v>2476.9648224021921</v>
      </c>
      <c r="AD501" s="76">
        <f ca="1">AD16*'Tech Parameters'!$E14</f>
        <v>2476.9648224021921</v>
      </c>
      <c r="AE501" s="76">
        <f ca="1">AE16*'Tech Parameters'!$E14</f>
        <v>2476.9648224021921</v>
      </c>
      <c r="AF501" s="76">
        <f ca="1">AF16*'Tech Parameters'!$E14</f>
        <v>2476.9648224021921</v>
      </c>
      <c r="AG501" s="76">
        <f ca="1">AG16*'Tech Parameters'!$E14</f>
        <v>2476.9648224021921</v>
      </c>
      <c r="AH501" s="76">
        <f ca="1">AH16*'Tech Parameters'!$E14</f>
        <v>2476.9648224021921</v>
      </c>
      <c r="AI501" s="76">
        <f ca="1">AI16*'Tech Parameters'!$E14</f>
        <v>2476.9648224021921</v>
      </c>
      <c r="AJ501" s="76">
        <f ca="1">AJ16*'Tech Parameters'!$E14</f>
        <v>2476.9648224021921</v>
      </c>
      <c r="AK501" s="76">
        <f ca="1">AK16*'Tech Parameters'!$E14</f>
        <v>2476.9648224021921</v>
      </c>
      <c r="AL501" s="76">
        <f ca="1">AL16*'Tech Parameters'!$E14</f>
        <v>2476.9648224021921</v>
      </c>
      <c r="AM501" s="76">
        <f ca="1">AM16*'Tech Parameters'!$E14</f>
        <v>2476.9648224021921</v>
      </c>
      <c r="AN501" s="76">
        <f ca="1">AN16*'Tech Parameters'!$E14</f>
        <v>2476.9648224021921</v>
      </c>
      <c r="AO501" s="76">
        <f ca="1">AO16*'Tech Parameters'!$E14</f>
        <v>2476.9648224021921</v>
      </c>
      <c r="AP501" s="76">
        <f ca="1">AP16*'Tech Parameters'!$E14</f>
        <v>2476.9648224021921</v>
      </c>
      <c r="AQ501" s="76">
        <f ca="1">AQ16*'Tech Parameters'!$E14</f>
        <v>2476.9648224021921</v>
      </c>
      <c r="AR501" s="76">
        <f ca="1">AR16*'Tech Parameters'!$E14</f>
        <v>2476.9648224021921</v>
      </c>
      <c r="AS501" s="76">
        <f ca="1">AS16*'Tech Parameters'!$E14</f>
        <v>2476.9648224021921</v>
      </c>
      <c r="AT501" s="76">
        <f ca="1">AT16*'Tech Parameters'!$E14</f>
        <v>2476.9648224021921</v>
      </c>
      <c r="AU501" s="76">
        <f ca="1">AU16*'Tech Parameters'!$E14</f>
        <v>2476.9648224021921</v>
      </c>
      <c r="AV501" s="76">
        <f ca="1">AV16*'Tech Parameters'!$E14</f>
        <v>2476.9648224021921</v>
      </c>
      <c r="AW501" s="76">
        <f ca="1">AW16*'Tech Parameters'!$E14</f>
        <v>2476.9648224021921</v>
      </c>
    </row>
    <row r="502" spans="3:49">
      <c r="C502" t="str">
        <f t="shared" si="114"/>
        <v>Wind 25%</v>
      </c>
      <c r="D502">
        <f>D17*'Tech Parameters'!$E15</f>
        <v>0</v>
      </c>
      <c r="E502">
        <f>E17*'Tech Parameters'!$E15</f>
        <v>0</v>
      </c>
      <c r="F502">
        <f>F17*'Tech Parameters'!$E15</f>
        <v>0</v>
      </c>
      <c r="G502">
        <f>G17*'Tech Parameters'!$E15</f>
        <v>0</v>
      </c>
      <c r="H502">
        <f>H17*'Tech Parameters'!$E15</f>
        <v>0</v>
      </c>
      <c r="I502">
        <f ca="1">I17*'Tech Parameters'!$E15</f>
        <v>0</v>
      </c>
      <c r="J502">
        <f ca="1">J17*'Tech Parameters'!$E15</f>
        <v>0</v>
      </c>
      <c r="K502">
        <f ca="1">K17*'Tech Parameters'!$E15</f>
        <v>0</v>
      </c>
      <c r="L502">
        <f ca="1">L17*'Tech Parameters'!$E15</f>
        <v>0</v>
      </c>
      <c r="M502">
        <f ca="1">M17*'Tech Parameters'!$E15</f>
        <v>0</v>
      </c>
      <c r="N502">
        <f ca="1">N17*'Tech Parameters'!$E15</f>
        <v>0</v>
      </c>
      <c r="O502">
        <f ca="1">O17*'Tech Parameters'!$E15</f>
        <v>0</v>
      </c>
      <c r="P502">
        <f ca="1">P17*'Tech Parameters'!$E15</f>
        <v>0</v>
      </c>
      <c r="Q502">
        <f ca="1">Q17*'Tech Parameters'!$E15</f>
        <v>0</v>
      </c>
      <c r="R502">
        <f ca="1">R17*'Tech Parameters'!$E15</f>
        <v>0</v>
      </c>
      <c r="S502">
        <f ca="1">S17*'Tech Parameters'!$E15</f>
        <v>0</v>
      </c>
      <c r="T502">
        <f ca="1">T17*'Tech Parameters'!$E15</f>
        <v>0</v>
      </c>
      <c r="U502">
        <f ca="1">U17*'Tech Parameters'!$E15</f>
        <v>252.75151249001959</v>
      </c>
      <c r="V502">
        <f ca="1">V17*'Tech Parameters'!$E15</f>
        <v>505.50302498003919</v>
      </c>
      <c r="W502">
        <f ca="1">W17*'Tech Parameters'!$E15</f>
        <v>758.25453747005872</v>
      </c>
      <c r="X502">
        <f ca="1">X17*'Tech Parameters'!$E15</f>
        <v>1011.0060499600784</v>
      </c>
      <c r="Y502">
        <f ca="1">Y17*'Tech Parameters'!$E15</f>
        <v>1263.757562450098</v>
      </c>
      <c r="Z502">
        <f ca="1">Z17*'Tech Parameters'!$E15</f>
        <v>1516.5090749401174</v>
      </c>
      <c r="AA502">
        <f ca="1">AA17*'Tech Parameters'!$E15</f>
        <v>1769.2605874301371</v>
      </c>
      <c r="AB502">
        <f ca="1">AB17*'Tech Parameters'!$E15</f>
        <v>2022.0120999201567</v>
      </c>
      <c r="AC502">
        <f ca="1">AC17*'Tech Parameters'!$E15</f>
        <v>2274.7636124101764</v>
      </c>
      <c r="AD502" s="76">
        <f ca="1">AD17*'Tech Parameters'!$E15</f>
        <v>2274.7636124101764</v>
      </c>
      <c r="AE502" s="76">
        <f ca="1">AE17*'Tech Parameters'!$E15</f>
        <v>2274.7636124101764</v>
      </c>
      <c r="AF502" s="76">
        <f ca="1">AF17*'Tech Parameters'!$E15</f>
        <v>2274.7636124101764</v>
      </c>
      <c r="AG502" s="76">
        <f ca="1">AG17*'Tech Parameters'!$E15</f>
        <v>2274.7636124101764</v>
      </c>
      <c r="AH502" s="76">
        <f ca="1">AH17*'Tech Parameters'!$E15</f>
        <v>2274.7636124101764</v>
      </c>
      <c r="AI502" s="76">
        <f ca="1">AI17*'Tech Parameters'!$E15</f>
        <v>2274.7636124101764</v>
      </c>
      <c r="AJ502" s="76">
        <f ca="1">AJ17*'Tech Parameters'!$E15</f>
        <v>2274.7636124101764</v>
      </c>
      <c r="AK502" s="76">
        <f ca="1">AK17*'Tech Parameters'!$E15</f>
        <v>2274.7636124101764</v>
      </c>
      <c r="AL502" s="76">
        <f ca="1">AL17*'Tech Parameters'!$E15</f>
        <v>2274.7636124101764</v>
      </c>
      <c r="AM502" s="76">
        <f ca="1">AM17*'Tech Parameters'!$E15</f>
        <v>2274.7636124101764</v>
      </c>
      <c r="AN502" s="76">
        <f ca="1">AN17*'Tech Parameters'!$E15</f>
        <v>2274.7636124101764</v>
      </c>
      <c r="AO502" s="76">
        <f ca="1">AO17*'Tech Parameters'!$E15</f>
        <v>2274.7636124101764</v>
      </c>
      <c r="AP502" s="76">
        <f ca="1">AP17*'Tech Parameters'!$E15</f>
        <v>2274.7636124101764</v>
      </c>
      <c r="AQ502" s="76">
        <f ca="1">AQ17*'Tech Parameters'!$E15</f>
        <v>2274.7636124101764</v>
      </c>
      <c r="AR502" s="76">
        <f ca="1">AR17*'Tech Parameters'!$E15</f>
        <v>2274.7636124101764</v>
      </c>
      <c r="AS502" s="76">
        <f ca="1">AS17*'Tech Parameters'!$E15</f>
        <v>2274.7636124101764</v>
      </c>
      <c r="AT502" s="76">
        <f ca="1">AT17*'Tech Parameters'!$E15</f>
        <v>2274.7636124101764</v>
      </c>
      <c r="AU502" s="76">
        <f ca="1">AU17*'Tech Parameters'!$E15</f>
        <v>2274.7636124101764</v>
      </c>
      <c r="AV502" s="76">
        <f ca="1">AV17*'Tech Parameters'!$E15</f>
        <v>2274.7636124101764</v>
      </c>
      <c r="AW502" s="76">
        <f ca="1">AW17*'Tech Parameters'!$E15</f>
        <v>2274.7636124101764</v>
      </c>
    </row>
    <row r="503" spans="3:49">
      <c r="C503" t="str">
        <f t="shared" si="114"/>
        <v>solar thermal central reciever</v>
      </c>
      <c r="D503">
        <f>D18*'Tech Parameters'!$E16</f>
        <v>0</v>
      </c>
      <c r="E503">
        <f>E18*'Tech Parameters'!$E16</f>
        <v>0</v>
      </c>
      <c r="F503">
        <f>F18*'Tech Parameters'!$E16</f>
        <v>0</v>
      </c>
      <c r="G503">
        <f>G18*'Tech Parameters'!$E16</f>
        <v>0</v>
      </c>
      <c r="H503">
        <f>H18*'Tech Parameters'!$E16</f>
        <v>0</v>
      </c>
      <c r="I503">
        <f ca="1">I18*'Tech Parameters'!$E16</f>
        <v>0</v>
      </c>
      <c r="J503">
        <f ca="1">J18*'Tech Parameters'!$E16</f>
        <v>0</v>
      </c>
      <c r="K503">
        <f ca="1">K18*'Tech Parameters'!$E16</f>
        <v>0</v>
      </c>
      <c r="L503">
        <f ca="1">L18*'Tech Parameters'!$E16</f>
        <v>0</v>
      </c>
      <c r="M503">
        <f ca="1">M18*'Tech Parameters'!$E16</f>
        <v>0</v>
      </c>
      <c r="N503">
        <f ca="1">N18*'Tech Parameters'!$E16</f>
        <v>47.363798281133043</v>
      </c>
      <c r="O503">
        <f ca="1">O18*'Tech Parameters'!$E16</f>
        <v>142.09139484339914</v>
      </c>
      <c r="P503">
        <f ca="1">P18*'Tech Parameters'!$E16</f>
        <v>331.54658796793132</v>
      </c>
      <c r="Q503">
        <f ca="1">Q18*'Tech Parameters'!$E16</f>
        <v>710.4569742169956</v>
      </c>
      <c r="R503">
        <f ca="1">R18*'Tech Parameters'!$E16</f>
        <v>1278.8225535905922</v>
      </c>
      <c r="S503">
        <f ca="1">S18*'Tech Parameters'!$E16</f>
        <v>2036.6433260887211</v>
      </c>
      <c r="T503">
        <f ca="1">T18*'Tech Parameters'!$E16</f>
        <v>2983.9192917113819</v>
      </c>
      <c r="U503">
        <f ca="1">U18*'Tech Parameters'!$E16</f>
        <v>3931.1952573340427</v>
      </c>
      <c r="V503">
        <f ca="1">V18*'Tech Parameters'!$E16</f>
        <v>5352.1092057680335</v>
      </c>
      <c r="W503">
        <f ca="1">W18*'Tech Parameters'!$E16</f>
        <v>6773.0231542020247</v>
      </c>
      <c r="X503">
        <f ca="1">X18*'Tech Parameters'!$E16</f>
        <v>8193.9371026360168</v>
      </c>
      <c r="Y503">
        <f ca="1">Y18*'Tech Parameters'!$E16</f>
        <v>9614.8510510700071</v>
      </c>
      <c r="Z503">
        <f ca="1">Z18*'Tech Parameters'!$E16</f>
        <v>11035.764999503999</v>
      </c>
      <c r="AA503">
        <f ca="1">AA18*'Tech Parameters'!$E16</f>
        <v>12456.67894793799</v>
      </c>
      <c r="AB503">
        <f ca="1">AB18*'Tech Parameters'!$E16</f>
        <v>13877.592896371982</v>
      </c>
      <c r="AC503">
        <f ca="1">AC18*'Tech Parameters'!$E16</f>
        <v>15298.50684480597</v>
      </c>
      <c r="AD503" s="76">
        <f ca="1">AD18*'Tech Parameters'!$E16</f>
        <v>15298.50684480597</v>
      </c>
      <c r="AE503" s="76">
        <f ca="1">AE18*'Tech Parameters'!$E16</f>
        <v>15298.50684480597</v>
      </c>
      <c r="AF503" s="76">
        <f ca="1">AF18*'Tech Parameters'!$E16</f>
        <v>15298.50684480597</v>
      </c>
      <c r="AG503" s="76">
        <f ca="1">AG18*'Tech Parameters'!$E16</f>
        <v>15298.50684480597</v>
      </c>
      <c r="AH503" s="76">
        <f ca="1">AH18*'Tech Parameters'!$E16</f>
        <v>15298.50684480597</v>
      </c>
      <c r="AI503" s="76">
        <f ca="1">AI18*'Tech Parameters'!$E16</f>
        <v>15298.50684480597</v>
      </c>
      <c r="AJ503" s="76">
        <f ca="1">AJ18*'Tech Parameters'!$E16</f>
        <v>15298.50684480597</v>
      </c>
      <c r="AK503" s="76">
        <f ca="1">AK18*'Tech Parameters'!$E16</f>
        <v>15298.50684480597</v>
      </c>
      <c r="AL503" s="76">
        <f ca="1">AL18*'Tech Parameters'!$E16</f>
        <v>15298.50684480597</v>
      </c>
      <c r="AM503" s="76">
        <f ca="1">AM18*'Tech Parameters'!$E16</f>
        <v>15298.50684480597</v>
      </c>
      <c r="AN503" s="76">
        <f ca="1">AN18*'Tech Parameters'!$E16</f>
        <v>15298.50684480597</v>
      </c>
      <c r="AO503" s="76">
        <f ca="1">AO18*'Tech Parameters'!$E16</f>
        <v>15298.50684480597</v>
      </c>
      <c r="AP503" s="76">
        <f ca="1">AP18*'Tech Parameters'!$E16</f>
        <v>15298.50684480597</v>
      </c>
      <c r="AQ503" s="76">
        <f ca="1">AQ18*'Tech Parameters'!$E16</f>
        <v>15298.50684480597</v>
      </c>
      <c r="AR503" s="76">
        <f ca="1">AR18*'Tech Parameters'!$E16</f>
        <v>15298.50684480597</v>
      </c>
      <c r="AS503" s="76">
        <f ca="1">AS18*'Tech Parameters'!$E16</f>
        <v>15298.50684480597</v>
      </c>
      <c r="AT503" s="76">
        <f ca="1">AT18*'Tech Parameters'!$E16</f>
        <v>15298.50684480597</v>
      </c>
      <c r="AU503" s="76">
        <f ca="1">AU18*'Tech Parameters'!$E16</f>
        <v>15298.50684480597</v>
      </c>
      <c r="AV503" s="76">
        <f ca="1">AV18*'Tech Parameters'!$E16</f>
        <v>15298.50684480597</v>
      </c>
      <c r="AW503" s="76">
        <f ca="1">AW18*'Tech Parameters'!$E16</f>
        <v>15298.50684480597</v>
      </c>
    </row>
    <row r="504" spans="3:49">
      <c r="C504" t="str">
        <f t="shared" si="114"/>
        <v>solar thermal trough</v>
      </c>
      <c r="D504">
        <f>D19*'Tech Parameters'!$E17</f>
        <v>0</v>
      </c>
      <c r="E504">
        <f>E19*'Tech Parameters'!$E17</f>
        <v>0</v>
      </c>
      <c r="F504">
        <f>F19*'Tech Parameters'!$E17</f>
        <v>0</v>
      </c>
      <c r="G504">
        <f>G19*'Tech Parameters'!$E17</f>
        <v>0</v>
      </c>
      <c r="H504">
        <f>H19*'Tech Parameters'!$E17</f>
        <v>0</v>
      </c>
      <c r="I504">
        <f ca="1">I19*'Tech Parameters'!$E17</f>
        <v>0</v>
      </c>
      <c r="J504">
        <f ca="1">J19*'Tech Parameters'!$E17</f>
        <v>0</v>
      </c>
      <c r="K504">
        <f ca="1">K19*'Tech Parameters'!$E17</f>
        <v>0</v>
      </c>
      <c r="L504">
        <f ca="1">L19*'Tech Parameters'!$E17</f>
        <v>0</v>
      </c>
      <c r="M504">
        <f ca="1">M19*'Tech Parameters'!$E17</f>
        <v>0</v>
      </c>
      <c r="N504">
        <f ca="1">N19*'Tech Parameters'!$E17</f>
        <v>0</v>
      </c>
      <c r="O504">
        <f ca="1">O19*'Tech Parameters'!$E17</f>
        <v>0</v>
      </c>
      <c r="P504">
        <f ca="1">P19*'Tech Parameters'!$E17</f>
        <v>0</v>
      </c>
      <c r="Q504">
        <f ca="1">Q19*'Tech Parameters'!$E17</f>
        <v>0</v>
      </c>
      <c r="R504">
        <f ca="1">R19*'Tech Parameters'!$E17</f>
        <v>0</v>
      </c>
      <c r="S504">
        <f ca="1">S19*'Tech Parameters'!$E17</f>
        <v>0</v>
      </c>
      <c r="T504">
        <f ca="1">T19*'Tech Parameters'!$E17</f>
        <v>0</v>
      </c>
      <c r="U504">
        <f ca="1">U19*'Tech Parameters'!$E17</f>
        <v>0</v>
      </c>
      <c r="V504">
        <f ca="1">V19*'Tech Parameters'!$E17</f>
        <v>0</v>
      </c>
      <c r="W504">
        <f ca="1">W19*'Tech Parameters'!$E17</f>
        <v>0</v>
      </c>
      <c r="X504">
        <f ca="1">X19*'Tech Parameters'!$E17</f>
        <v>0</v>
      </c>
      <c r="Y504">
        <f ca="1">Y19*'Tech Parameters'!$E17</f>
        <v>0</v>
      </c>
      <c r="Z504">
        <f ca="1">Z19*'Tech Parameters'!$E17</f>
        <v>0</v>
      </c>
      <c r="AA504">
        <f ca="1">AA19*'Tech Parameters'!$E17</f>
        <v>0</v>
      </c>
      <c r="AB504">
        <f ca="1">AB19*'Tech Parameters'!$E17</f>
        <v>0</v>
      </c>
      <c r="AC504">
        <f ca="1">AC19*'Tech Parameters'!$E17</f>
        <v>0</v>
      </c>
      <c r="AD504" s="76">
        <f ca="1">AD19*'Tech Parameters'!$E17</f>
        <v>0</v>
      </c>
      <c r="AE504" s="76">
        <f ca="1">AE19*'Tech Parameters'!$E17</f>
        <v>0</v>
      </c>
      <c r="AF504" s="76">
        <f ca="1">AF19*'Tech Parameters'!$E17</f>
        <v>0</v>
      </c>
      <c r="AG504" s="76">
        <f ca="1">AG19*'Tech Parameters'!$E17</f>
        <v>0</v>
      </c>
      <c r="AH504" s="76">
        <f ca="1">AH19*'Tech Parameters'!$E17</f>
        <v>0</v>
      </c>
      <c r="AI504" s="76">
        <f ca="1">AI19*'Tech Parameters'!$E17</f>
        <v>0</v>
      </c>
      <c r="AJ504" s="76">
        <f ca="1">AJ19*'Tech Parameters'!$E17</f>
        <v>0</v>
      </c>
      <c r="AK504" s="76">
        <f ca="1">AK19*'Tech Parameters'!$E17</f>
        <v>0</v>
      </c>
      <c r="AL504" s="76">
        <f ca="1">AL19*'Tech Parameters'!$E17</f>
        <v>0</v>
      </c>
      <c r="AM504" s="76">
        <f ca="1">AM19*'Tech Parameters'!$E17</f>
        <v>0</v>
      </c>
      <c r="AN504" s="76">
        <f ca="1">AN19*'Tech Parameters'!$E17</f>
        <v>0</v>
      </c>
      <c r="AO504" s="76">
        <f ca="1">AO19*'Tech Parameters'!$E17</f>
        <v>0</v>
      </c>
      <c r="AP504" s="76">
        <f ca="1">AP19*'Tech Parameters'!$E17</f>
        <v>0</v>
      </c>
      <c r="AQ504" s="76">
        <f ca="1">AQ19*'Tech Parameters'!$E17</f>
        <v>0</v>
      </c>
      <c r="AR504" s="76">
        <f ca="1">AR19*'Tech Parameters'!$E17</f>
        <v>0</v>
      </c>
      <c r="AS504" s="76">
        <f ca="1">AS19*'Tech Parameters'!$E17</f>
        <v>0</v>
      </c>
      <c r="AT504" s="76">
        <f ca="1">AT19*'Tech Parameters'!$E17</f>
        <v>0</v>
      </c>
      <c r="AU504" s="76">
        <f ca="1">AU19*'Tech Parameters'!$E17</f>
        <v>0</v>
      </c>
      <c r="AV504" s="76">
        <f ca="1">AV19*'Tech Parameters'!$E17</f>
        <v>0</v>
      </c>
      <c r="AW504" s="76">
        <f ca="1">AW19*'Tech Parameters'!$E17</f>
        <v>0</v>
      </c>
    </row>
    <row r="505" spans="3:49">
      <c r="C505" t="str">
        <f t="shared" si="114"/>
        <v>solar PV</v>
      </c>
      <c r="D505">
        <f>D20*'Tech Parameters'!$E18</f>
        <v>0</v>
      </c>
      <c r="E505">
        <f>E20*'Tech Parameters'!$E18</f>
        <v>0</v>
      </c>
      <c r="F505">
        <f>F20*'Tech Parameters'!$E18</f>
        <v>0</v>
      </c>
      <c r="G505">
        <f>G20*'Tech Parameters'!$E18</f>
        <v>0</v>
      </c>
      <c r="H505">
        <f>H20*'Tech Parameters'!$E18</f>
        <v>0</v>
      </c>
      <c r="I505">
        <f ca="1">I20*'Tech Parameters'!$E18</f>
        <v>0</v>
      </c>
      <c r="J505">
        <f ca="1">J20*'Tech Parameters'!$E18</f>
        <v>0</v>
      </c>
      <c r="K505">
        <f ca="1">K20*'Tech Parameters'!$E18</f>
        <v>0</v>
      </c>
      <c r="L505">
        <f ca="1">L20*'Tech Parameters'!$E18</f>
        <v>0</v>
      </c>
      <c r="M505">
        <f ca="1">M20*'Tech Parameters'!$E18</f>
        <v>0</v>
      </c>
      <c r="N505">
        <f ca="1">N20*'Tech Parameters'!$E18</f>
        <v>0</v>
      </c>
      <c r="O505">
        <f ca="1">O20*'Tech Parameters'!$E18</f>
        <v>0</v>
      </c>
      <c r="P505">
        <f ca="1">P20*'Tech Parameters'!$E18</f>
        <v>0</v>
      </c>
      <c r="Q505">
        <f ca="1">Q20*'Tech Parameters'!$E18</f>
        <v>0</v>
      </c>
      <c r="R505">
        <f ca="1">R20*'Tech Parameters'!$E18</f>
        <v>0</v>
      </c>
      <c r="S505">
        <f ca="1">S20*'Tech Parameters'!$E18</f>
        <v>0</v>
      </c>
      <c r="T505">
        <f ca="1">T20*'Tech Parameters'!$E18</f>
        <v>0</v>
      </c>
      <c r="U505">
        <f ca="1">U20*'Tech Parameters'!$E18</f>
        <v>0</v>
      </c>
      <c r="V505">
        <f ca="1">V20*'Tech Parameters'!$E18</f>
        <v>0</v>
      </c>
      <c r="W505">
        <f ca="1">W20*'Tech Parameters'!$E18</f>
        <v>0</v>
      </c>
      <c r="X505">
        <f ca="1">X20*'Tech Parameters'!$E18</f>
        <v>0</v>
      </c>
      <c r="Y505">
        <f ca="1">Y20*'Tech Parameters'!$E18</f>
        <v>0</v>
      </c>
      <c r="Z505">
        <f ca="1">Z20*'Tech Parameters'!$E18</f>
        <v>0</v>
      </c>
      <c r="AA505">
        <f ca="1">AA20*'Tech Parameters'!$E18</f>
        <v>0</v>
      </c>
      <c r="AB505">
        <f ca="1">AB20*'Tech Parameters'!$E18</f>
        <v>0</v>
      </c>
      <c r="AC505">
        <f ca="1">AC20*'Tech Parameters'!$E18</f>
        <v>0</v>
      </c>
      <c r="AD505" s="76">
        <f ca="1">AD20*'Tech Parameters'!$E18</f>
        <v>0</v>
      </c>
      <c r="AE505" s="76">
        <f ca="1">AE20*'Tech Parameters'!$E18</f>
        <v>0</v>
      </c>
      <c r="AF505" s="76">
        <f ca="1">AF20*'Tech Parameters'!$E18</f>
        <v>0</v>
      </c>
      <c r="AG505" s="76">
        <f ca="1">AG20*'Tech Parameters'!$E18</f>
        <v>0</v>
      </c>
      <c r="AH505" s="76">
        <f ca="1">AH20*'Tech Parameters'!$E18</f>
        <v>0</v>
      </c>
      <c r="AI505" s="76">
        <f ca="1">AI20*'Tech Parameters'!$E18</f>
        <v>0</v>
      </c>
      <c r="AJ505" s="76">
        <f ca="1">AJ20*'Tech Parameters'!$E18</f>
        <v>0</v>
      </c>
      <c r="AK505" s="76">
        <f ca="1">AK20*'Tech Parameters'!$E18</f>
        <v>0</v>
      </c>
      <c r="AL505" s="76">
        <f ca="1">AL20*'Tech Parameters'!$E18</f>
        <v>0</v>
      </c>
      <c r="AM505" s="76">
        <f ca="1">AM20*'Tech Parameters'!$E18</f>
        <v>0</v>
      </c>
      <c r="AN505" s="76">
        <f ca="1">AN20*'Tech Parameters'!$E18</f>
        <v>0</v>
      </c>
      <c r="AO505" s="76">
        <f ca="1">AO20*'Tech Parameters'!$E18</f>
        <v>0</v>
      </c>
      <c r="AP505" s="76">
        <f ca="1">AP20*'Tech Parameters'!$E18</f>
        <v>0</v>
      </c>
      <c r="AQ505" s="76">
        <f ca="1">AQ20*'Tech Parameters'!$E18</f>
        <v>0</v>
      </c>
      <c r="AR505" s="76">
        <f ca="1">AR20*'Tech Parameters'!$E18</f>
        <v>0</v>
      </c>
      <c r="AS505" s="76">
        <f ca="1">AS20*'Tech Parameters'!$E18</f>
        <v>0</v>
      </c>
      <c r="AT505" s="76">
        <f ca="1">AT20*'Tech Parameters'!$E18</f>
        <v>0</v>
      </c>
      <c r="AU505" s="76">
        <f ca="1">AU20*'Tech Parameters'!$E18</f>
        <v>0</v>
      </c>
      <c r="AV505" s="76">
        <f ca="1">AV20*'Tech Parameters'!$E18</f>
        <v>0</v>
      </c>
      <c r="AW505" s="76">
        <f ca="1">AW20*'Tech Parameters'!$E18</f>
        <v>0</v>
      </c>
    </row>
    <row r="506" spans="3:49">
      <c r="C506" t="str">
        <f t="shared" si="114"/>
        <v>combined cycle gas</v>
      </c>
      <c r="D506">
        <f>D21*'Tech Parameters'!$E19</f>
        <v>0</v>
      </c>
      <c r="E506">
        <f>E21*'Tech Parameters'!$E19</f>
        <v>0</v>
      </c>
      <c r="F506">
        <f>F21*'Tech Parameters'!$E19</f>
        <v>0</v>
      </c>
      <c r="G506">
        <f>G21*'Tech Parameters'!$E19</f>
        <v>0</v>
      </c>
      <c r="H506">
        <f>H21*'Tech Parameters'!$E19</f>
        <v>0</v>
      </c>
      <c r="I506">
        <f ca="1">I21*'Tech Parameters'!$E19</f>
        <v>0</v>
      </c>
      <c r="J506">
        <f ca="1">J21*'Tech Parameters'!$E19</f>
        <v>0</v>
      </c>
      <c r="K506">
        <f ca="1">K21*'Tech Parameters'!$E19</f>
        <v>0</v>
      </c>
      <c r="L506">
        <f ca="1">L21*'Tech Parameters'!$E19</f>
        <v>0</v>
      </c>
      <c r="M506">
        <f ca="1">M21*'Tech Parameters'!$E19</f>
        <v>0</v>
      </c>
      <c r="N506">
        <f ca="1">N21*'Tech Parameters'!$E19</f>
        <v>0</v>
      </c>
      <c r="O506">
        <f ca="1">O21*'Tech Parameters'!$E19</f>
        <v>0</v>
      </c>
      <c r="P506">
        <f ca="1">P21*'Tech Parameters'!$E19</f>
        <v>0</v>
      </c>
      <c r="Q506">
        <f ca="1">Q21*'Tech Parameters'!$E19</f>
        <v>0</v>
      </c>
      <c r="R506">
        <f ca="1">R21*'Tech Parameters'!$E19</f>
        <v>0</v>
      </c>
      <c r="S506">
        <f ca="1">S21*'Tech Parameters'!$E19</f>
        <v>0</v>
      </c>
      <c r="T506">
        <f ca="1">T21*'Tech Parameters'!$E19</f>
        <v>0</v>
      </c>
      <c r="U506">
        <f ca="1">U21*'Tech Parameters'!$E19</f>
        <v>0</v>
      </c>
      <c r="V506">
        <f ca="1">V21*'Tech Parameters'!$E19</f>
        <v>0</v>
      </c>
      <c r="W506">
        <f ca="1">W21*'Tech Parameters'!$E19</f>
        <v>0</v>
      </c>
      <c r="X506">
        <f ca="1">X21*'Tech Parameters'!$E19</f>
        <v>0</v>
      </c>
      <c r="Y506">
        <f ca="1">Y21*'Tech Parameters'!$E19</f>
        <v>0</v>
      </c>
      <c r="Z506">
        <f ca="1">Z21*'Tech Parameters'!$E19</f>
        <v>80.576181185729169</v>
      </c>
      <c r="AA506">
        <f ca="1">AA21*'Tech Parameters'!$E19</f>
        <v>201.4404529643229</v>
      </c>
      <c r="AB506">
        <f ca="1">AB21*'Tech Parameters'!$E19</f>
        <v>322.30472474291668</v>
      </c>
      <c r="AC506">
        <f ca="1">AC21*'Tech Parameters'!$E19</f>
        <v>322.30472474291668</v>
      </c>
      <c r="AD506" s="76">
        <f ca="1">AD21*'Tech Parameters'!$E19</f>
        <v>322.30472474291668</v>
      </c>
      <c r="AE506" s="76">
        <f ca="1">AE21*'Tech Parameters'!$E19</f>
        <v>322.30472474291668</v>
      </c>
      <c r="AF506" s="76">
        <f ca="1">AF21*'Tech Parameters'!$E19</f>
        <v>322.30472474291668</v>
      </c>
      <c r="AG506" s="76">
        <f ca="1">AG21*'Tech Parameters'!$E19</f>
        <v>322.30472474291668</v>
      </c>
      <c r="AH506" s="76">
        <f ca="1">AH21*'Tech Parameters'!$E19</f>
        <v>322.30472474291668</v>
      </c>
      <c r="AI506" s="76">
        <f ca="1">AI21*'Tech Parameters'!$E19</f>
        <v>322.30472474291668</v>
      </c>
      <c r="AJ506" s="76">
        <f ca="1">AJ21*'Tech Parameters'!$E19</f>
        <v>322.30472474291668</v>
      </c>
      <c r="AK506" s="76">
        <f ca="1">AK21*'Tech Parameters'!$E19</f>
        <v>322.30472474291668</v>
      </c>
      <c r="AL506" s="76">
        <f ca="1">AL21*'Tech Parameters'!$E19</f>
        <v>322.30472474291668</v>
      </c>
      <c r="AM506" s="76">
        <f ca="1">AM21*'Tech Parameters'!$E19</f>
        <v>322.30472474291668</v>
      </c>
      <c r="AN506" s="76">
        <f ca="1">AN21*'Tech Parameters'!$E19</f>
        <v>322.30472474291668</v>
      </c>
      <c r="AO506" s="76">
        <f ca="1">AO21*'Tech Parameters'!$E19</f>
        <v>322.30472474291668</v>
      </c>
      <c r="AP506" s="76">
        <f ca="1">AP21*'Tech Parameters'!$E19</f>
        <v>322.30472474291668</v>
      </c>
      <c r="AQ506" s="76">
        <f ca="1">AQ21*'Tech Parameters'!$E19</f>
        <v>322.30472474291668</v>
      </c>
      <c r="AR506" s="76">
        <f ca="1">AR21*'Tech Parameters'!$E19</f>
        <v>322.30472474291668</v>
      </c>
      <c r="AS506" s="76">
        <f ca="1">AS21*'Tech Parameters'!$E19</f>
        <v>322.30472474291668</v>
      </c>
      <c r="AT506" s="76">
        <f ca="1">AT21*'Tech Parameters'!$E19</f>
        <v>322.30472474291668</v>
      </c>
      <c r="AU506" s="76">
        <f ca="1">AU21*'Tech Parameters'!$E19</f>
        <v>322.30472474291668</v>
      </c>
      <c r="AV506" s="76">
        <f ca="1">AV21*'Tech Parameters'!$E19</f>
        <v>322.30472474291668</v>
      </c>
      <c r="AW506" s="76">
        <f ca="1">AW21*'Tech Parameters'!$E19</f>
        <v>322.30472474291668</v>
      </c>
    </row>
    <row r="507" spans="3:49">
      <c r="C507" t="str">
        <f t="shared" si="114"/>
        <v>PBMR</v>
      </c>
      <c r="D507">
        <f>D22*'Tech Parameters'!$E20</f>
        <v>0</v>
      </c>
      <c r="E507">
        <f>E22*'Tech Parameters'!$E20</f>
        <v>0</v>
      </c>
      <c r="F507">
        <f>F22*'Tech Parameters'!$E20</f>
        <v>0</v>
      </c>
      <c r="G507">
        <f>G22*'Tech Parameters'!$E20</f>
        <v>0</v>
      </c>
      <c r="H507">
        <f>H22*'Tech Parameters'!$E20</f>
        <v>0</v>
      </c>
      <c r="I507">
        <f ca="1">I22*'Tech Parameters'!$E20</f>
        <v>0</v>
      </c>
      <c r="J507">
        <f ca="1">J22*'Tech Parameters'!$E20</f>
        <v>0</v>
      </c>
      <c r="K507">
        <f ca="1">K22*'Tech Parameters'!$E20</f>
        <v>0</v>
      </c>
      <c r="L507">
        <f ca="1">L22*'Tech Parameters'!$E20</f>
        <v>0</v>
      </c>
      <c r="M507">
        <f ca="1">M22*'Tech Parameters'!$E20</f>
        <v>0</v>
      </c>
      <c r="N507">
        <f ca="1">N22*'Tech Parameters'!$E20</f>
        <v>0</v>
      </c>
      <c r="O507">
        <f ca="1">O22*'Tech Parameters'!$E20</f>
        <v>0</v>
      </c>
      <c r="P507">
        <f ca="1">P22*'Tech Parameters'!$E20</f>
        <v>0</v>
      </c>
      <c r="Q507">
        <f ca="1">Q22*'Tech Parameters'!$E20</f>
        <v>0</v>
      </c>
      <c r="R507">
        <f ca="1">R22*'Tech Parameters'!$E20</f>
        <v>0</v>
      </c>
      <c r="S507">
        <f ca="1">S22*'Tech Parameters'!$E20</f>
        <v>0</v>
      </c>
      <c r="T507">
        <f ca="1">T22*'Tech Parameters'!$E20</f>
        <v>0</v>
      </c>
      <c r="U507">
        <f ca="1">U22*'Tech Parameters'!$E20</f>
        <v>0</v>
      </c>
      <c r="V507">
        <f ca="1">V22*'Tech Parameters'!$E20</f>
        <v>0</v>
      </c>
      <c r="W507">
        <f ca="1">W22*'Tech Parameters'!$E20</f>
        <v>0</v>
      </c>
      <c r="X507">
        <f ca="1">X22*'Tech Parameters'!$E20</f>
        <v>0</v>
      </c>
      <c r="Y507">
        <f ca="1">Y22*'Tech Parameters'!$E20</f>
        <v>0</v>
      </c>
      <c r="Z507">
        <f ca="1">Z22*'Tech Parameters'!$E20</f>
        <v>0</v>
      </c>
      <c r="AA507">
        <f ca="1">AA22*'Tech Parameters'!$E20</f>
        <v>0</v>
      </c>
      <c r="AB507">
        <f ca="1">AB22*'Tech Parameters'!$E20</f>
        <v>0</v>
      </c>
      <c r="AC507">
        <f ca="1">AC22*'Tech Parameters'!$E20</f>
        <v>0</v>
      </c>
      <c r="AD507" s="76">
        <f ca="1">AD22*'Tech Parameters'!$E20</f>
        <v>0</v>
      </c>
      <c r="AE507" s="76">
        <f ca="1">AE22*'Tech Parameters'!$E20</f>
        <v>0</v>
      </c>
      <c r="AF507" s="76">
        <f ca="1">AF22*'Tech Parameters'!$E20</f>
        <v>0</v>
      </c>
      <c r="AG507" s="76">
        <f ca="1">AG22*'Tech Parameters'!$E20</f>
        <v>0</v>
      </c>
      <c r="AH507" s="76">
        <f ca="1">AH22*'Tech Parameters'!$E20</f>
        <v>0</v>
      </c>
      <c r="AI507" s="76">
        <f ca="1">AI22*'Tech Parameters'!$E20</f>
        <v>0</v>
      </c>
      <c r="AJ507" s="76">
        <f ca="1">AJ22*'Tech Parameters'!$E20</f>
        <v>0</v>
      </c>
      <c r="AK507" s="76">
        <f ca="1">AK22*'Tech Parameters'!$E20</f>
        <v>0</v>
      </c>
      <c r="AL507" s="76">
        <f ca="1">AL22*'Tech Parameters'!$E20</f>
        <v>0</v>
      </c>
      <c r="AM507" s="76">
        <f ca="1">AM22*'Tech Parameters'!$E20</f>
        <v>0</v>
      </c>
      <c r="AN507" s="76">
        <f ca="1">AN22*'Tech Parameters'!$E20</f>
        <v>0</v>
      </c>
      <c r="AO507" s="76">
        <f ca="1">AO22*'Tech Parameters'!$E20</f>
        <v>0</v>
      </c>
      <c r="AP507" s="76">
        <f ca="1">AP22*'Tech Parameters'!$E20</f>
        <v>0</v>
      </c>
      <c r="AQ507" s="76">
        <f ca="1">AQ22*'Tech Parameters'!$E20</f>
        <v>0</v>
      </c>
      <c r="AR507" s="76">
        <f ca="1">AR22*'Tech Parameters'!$E20</f>
        <v>0</v>
      </c>
      <c r="AS507" s="76">
        <f ca="1">AS22*'Tech Parameters'!$E20</f>
        <v>0</v>
      </c>
      <c r="AT507" s="76">
        <f ca="1">AT22*'Tech Parameters'!$E20</f>
        <v>0</v>
      </c>
      <c r="AU507" s="76">
        <f ca="1">AU22*'Tech Parameters'!$E20</f>
        <v>0</v>
      </c>
      <c r="AV507" s="76">
        <f ca="1">AV22*'Tech Parameters'!$E20</f>
        <v>0</v>
      </c>
      <c r="AW507" s="76">
        <f ca="1">AW22*'Tech Parameters'!$E20</f>
        <v>0</v>
      </c>
    </row>
    <row r="508" spans="3:49">
      <c r="C508" t="str">
        <f t="shared" si="114"/>
        <v>IGCC</v>
      </c>
      <c r="D508">
        <f>D23*'Tech Parameters'!$E21</f>
        <v>0</v>
      </c>
      <c r="E508">
        <f>E23*'Tech Parameters'!$E21</f>
        <v>0</v>
      </c>
      <c r="F508">
        <f>F23*'Tech Parameters'!$E21</f>
        <v>0</v>
      </c>
      <c r="G508">
        <f>G23*'Tech Parameters'!$E21</f>
        <v>0</v>
      </c>
      <c r="H508">
        <f>H23*'Tech Parameters'!$E21</f>
        <v>0</v>
      </c>
      <c r="I508">
        <f ca="1">I23*'Tech Parameters'!$E21</f>
        <v>0</v>
      </c>
      <c r="J508">
        <f ca="1">J23*'Tech Parameters'!$E21</f>
        <v>0</v>
      </c>
      <c r="K508">
        <f ca="1">K23*'Tech Parameters'!$E21</f>
        <v>0</v>
      </c>
      <c r="L508">
        <f ca="1">L23*'Tech Parameters'!$E21</f>
        <v>0</v>
      </c>
      <c r="M508">
        <f ca="1">M23*'Tech Parameters'!$E21</f>
        <v>0</v>
      </c>
      <c r="N508">
        <f ca="1">N23*'Tech Parameters'!$E21</f>
        <v>0</v>
      </c>
      <c r="O508">
        <f ca="1">O23*'Tech Parameters'!$E21</f>
        <v>0</v>
      </c>
      <c r="P508">
        <f ca="1">P23*'Tech Parameters'!$E21</f>
        <v>0</v>
      </c>
      <c r="Q508">
        <f ca="1">Q23*'Tech Parameters'!$E21</f>
        <v>0</v>
      </c>
      <c r="R508">
        <f ca="1">R23*'Tech Parameters'!$E21</f>
        <v>0</v>
      </c>
      <c r="S508">
        <f ca="1">S23*'Tech Parameters'!$E21</f>
        <v>0</v>
      </c>
      <c r="T508">
        <f ca="1">T23*'Tech Parameters'!$E21</f>
        <v>0</v>
      </c>
      <c r="U508">
        <f ca="1">U23*'Tech Parameters'!$E21</f>
        <v>0</v>
      </c>
      <c r="V508">
        <f ca="1">V23*'Tech Parameters'!$E21</f>
        <v>0</v>
      </c>
      <c r="W508">
        <f ca="1">W23*'Tech Parameters'!$E21</f>
        <v>0</v>
      </c>
      <c r="X508">
        <f ca="1">X23*'Tech Parameters'!$E21</f>
        <v>0</v>
      </c>
      <c r="Y508">
        <f ca="1">Y23*'Tech Parameters'!$E21</f>
        <v>0</v>
      </c>
      <c r="Z508">
        <f ca="1">Z23*'Tech Parameters'!$E21</f>
        <v>0</v>
      </c>
      <c r="AA508">
        <f ca="1">AA23*'Tech Parameters'!$E21</f>
        <v>0</v>
      </c>
      <c r="AB508">
        <f ca="1">AB23*'Tech Parameters'!$E21</f>
        <v>177.41404433643504</v>
      </c>
      <c r="AC508">
        <f ca="1">AC23*'Tech Parameters'!$E21</f>
        <v>354.82808867287008</v>
      </c>
      <c r="AD508" s="76">
        <f ca="1">AD23*'Tech Parameters'!$E21</f>
        <v>354.82808867287008</v>
      </c>
      <c r="AE508" s="76">
        <f ca="1">AE23*'Tech Parameters'!$E21</f>
        <v>354.82808867287008</v>
      </c>
      <c r="AF508" s="76">
        <f ca="1">AF23*'Tech Parameters'!$E21</f>
        <v>354.82808867287008</v>
      </c>
      <c r="AG508" s="76">
        <f ca="1">AG23*'Tech Parameters'!$E21</f>
        <v>354.82808867287008</v>
      </c>
      <c r="AH508" s="76">
        <f ca="1">AH23*'Tech Parameters'!$E21</f>
        <v>354.82808867287008</v>
      </c>
      <c r="AI508" s="76">
        <f ca="1">AI23*'Tech Parameters'!$E21</f>
        <v>354.82808867287008</v>
      </c>
      <c r="AJ508" s="76">
        <f ca="1">AJ23*'Tech Parameters'!$E21</f>
        <v>354.82808867287008</v>
      </c>
      <c r="AK508" s="76">
        <f ca="1">AK23*'Tech Parameters'!$E21</f>
        <v>354.82808867287008</v>
      </c>
      <c r="AL508" s="76">
        <f ca="1">AL23*'Tech Parameters'!$E21</f>
        <v>354.82808867287008</v>
      </c>
      <c r="AM508" s="76">
        <f ca="1">AM23*'Tech Parameters'!$E21</f>
        <v>354.82808867287008</v>
      </c>
      <c r="AN508" s="76">
        <f ca="1">AN23*'Tech Parameters'!$E21</f>
        <v>354.82808867287008</v>
      </c>
      <c r="AO508" s="76">
        <f ca="1">AO23*'Tech Parameters'!$E21</f>
        <v>354.82808867287008</v>
      </c>
      <c r="AP508" s="76">
        <f ca="1">AP23*'Tech Parameters'!$E21</f>
        <v>354.82808867287008</v>
      </c>
      <c r="AQ508" s="76">
        <f ca="1">AQ23*'Tech Parameters'!$E21</f>
        <v>354.82808867287008</v>
      </c>
      <c r="AR508" s="76">
        <f ca="1">AR23*'Tech Parameters'!$E21</f>
        <v>354.82808867287008</v>
      </c>
      <c r="AS508" s="76">
        <f ca="1">AS23*'Tech Parameters'!$E21</f>
        <v>354.82808867287008</v>
      </c>
      <c r="AT508" s="76">
        <f ca="1">AT23*'Tech Parameters'!$E21</f>
        <v>354.82808867287008</v>
      </c>
      <c r="AU508" s="76">
        <f ca="1">AU23*'Tech Parameters'!$E21</f>
        <v>354.82808867287008</v>
      </c>
      <c r="AV508" s="76">
        <f ca="1">AV23*'Tech Parameters'!$E21</f>
        <v>354.82808867287008</v>
      </c>
      <c r="AW508" s="76">
        <f ca="1">AW23*'Tech Parameters'!$E21</f>
        <v>354.82808867287008</v>
      </c>
    </row>
    <row r="509" spans="3:49">
      <c r="C509" t="str">
        <f t="shared" si="114"/>
        <v>-</v>
      </c>
      <c r="D509">
        <f>D24*'Tech Parameters'!$E22</f>
        <v>0</v>
      </c>
      <c r="E509">
        <f>E24*'Tech Parameters'!$E22</f>
        <v>0</v>
      </c>
      <c r="F509">
        <f>F24*'Tech Parameters'!$E22</f>
        <v>0</v>
      </c>
      <c r="G509">
        <f>G24*'Tech Parameters'!$E22</f>
        <v>0</v>
      </c>
      <c r="H509">
        <f>H24*'Tech Parameters'!$E22</f>
        <v>0</v>
      </c>
      <c r="I509">
        <f ca="1">I24*'Tech Parameters'!$E22</f>
        <v>0</v>
      </c>
      <c r="J509">
        <f ca="1">J24*'Tech Parameters'!$E22</f>
        <v>0</v>
      </c>
      <c r="K509">
        <f ca="1">K24*'Tech Parameters'!$E22</f>
        <v>0</v>
      </c>
      <c r="L509">
        <f ca="1">L24*'Tech Parameters'!$E22</f>
        <v>0</v>
      </c>
      <c r="M509">
        <f ca="1">M24*'Tech Parameters'!$E22</f>
        <v>0</v>
      </c>
      <c r="N509">
        <f ca="1">N24*'Tech Parameters'!$E22</f>
        <v>0</v>
      </c>
      <c r="O509">
        <f ca="1">O24*'Tech Parameters'!$E22</f>
        <v>0</v>
      </c>
      <c r="P509">
        <f ca="1">P24*'Tech Parameters'!$E22</f>
        <v>0</v>
      </c>
      <c r="Q509">
        <f ca="1">Q24*'Tech Parameters'!$E22</f>
        <v>0</v>
      </c>
      <c r="R509">
        <f ca="1">R24*'Tech Parameters'!$E22</f>
        <v>0</v>
      </c>
      <c r="S509">
        <f ca="1">S24*'Tech Parameters'!$E22</f>
        <v>0</v>
      </c>
      <c r="T509">
        <f ca="1">T24*'Tech Parameters'!$E22</f>
        <v>0</v>
      </c>
      <c r="U509">
        <f ca="1">U24*'Tech Parameters'!$E22</f>
        <v>0</v>
      </c>
      <c r="V509">
        <f ca="1">V24*'Tech Parameters'!$E22</f>
        <v>0</v>
      </c>
      <c r="W509">
        <f ca="1">W24*'Tech Parameters'!$E22</f>
        <v>0</v>
      </c>
      <c r="X509">
        <f ca="1">X24*'Tech Parameters'!$E22</f>
        <v>0</v>
      </c>
      <c r="Y509">
        <f ca="1">Y24*'Tech Parameters'!$E22</f>
        <v>0</v>
      </c>
      <c r="Z509">
        <f ca="1">Z24*'Tech Parameters'!$E22</f>
        <v>0</v>
      </c>
      <c r="AA509">
        <f ca="1">AA24*'Tech Parameters'!$E22</f>
        <v>0</v>
      </c>
      <c r="AB509">
        <f ca="1">AB24*'Tech Parameters'!$E22</f>
        <v>0</v>
      </c>
      <c r="AC509">
        <f ca="1">AC24*'Tech Parameters'!$E22</f>
        <v>0</v>
      </c>
      <c r="AD509" s="76">
        <f ca="1">AD24*'Tech Parameters'!$E22</f>
        <v>0</v>
      </c>
      <c r="AE509" s="76">
        <f ca="1">AE24*'Tech Parameters'!$E22</f>
        <v>0</v>
      </c>
      <c r="AF509" s="76">
        <f ca="1">AF24*'Tech Parameters'!$E22</f>
        <v>0</v>
      </c>
      <c r="AG509" s="76">
        <f ca="1">AG24*'Tech Parameters'!$E22</f>
        <v>0</v>
      </c>
      <c r="AH509" s="76">
        <f ca="1">AH24*'Tech Parameters'!$E22</f>
        <v>0</v>
      </c>
      <c r="AI509" s="76">
        <f ca="1">AI24*'Tech Parameters'!$E22</f>
        <v>0</v>
      </c>
      <c r="AJ509" s="76">
        <f ca="1">AJ24*'Tech Parameters'!$E22</f>
        <v>0</v>
      </c>
      <c r="AK509" s="76">
        <f ca="1">AK24*'Tech Parameters'!$E22</f>
        <v>0</v>
      </c>
      <c r="AL509" s="76">
        <f ca="1">AL24*'Tech Parameters'!$E22</f>
        <v>0</v>
      </c>
      <c r="AM509" s="76">
        <f ca="1">AM24*'Tech Parameters'!$E22</f>
        <v>0</v>
      </c>
      <c r="AN509" s="76">
        <f ca="1">AN24*'Tech Parameters'!$E22</f>
        <v>0</v>
      </c>
      <c r="AO509" s="76">
        <f ca="1">AO24*'Tech Parameters'!$E22</f>
        <v>0</v>
      </c>
      <c r="AP509" s="76">
        <f ca="1">AP24*'Tech Parameters'!$E22</f>
        <v>0</v>
      </c>
      <c r="AQ509" s="76">
        <f ca="1">AQ24*'Tech Parameters'!$E22</f>
        <v>0</v>
      </c>
      <c r="AR509" s="76">
        <f ca="1">AR24*'Tech Parameters'!$E22</f>
        <v>0</v>
      </c>
      <c r="AS509" s="76">
        <f ca="1">AS24*'Tech Parameters'!$E22</f>
        <v>0</v>
      </c>
      <c r="AT509" s="76">
        <f ca="1">AT24*'Tech Parameters'!$E22</f>
        <v>0</v>
      </c>
      <c r="AU509" s="76">
        <f ca="1">AU24*'Tech Parameters'!$E22</f>
        <v>0</v>
      </c>
      <c r="AV509" s="76">
        <f ca="1">AV24*'Tech Parameters'!$E22</f>
        <v>0</v>
      </c>
      <c r="AW509" s="76">
        <f ca="1">AW24*'Tech Parameters'!$E22</f>
        <v>0</v>
      </c>
    </row>
    <row r="510" spans="3:49">
      <c r="C510" t="str">
        <f t="shared" si="114"/>
        <v>-</v>
      </c>
      <c r="AD510" s="76">
        <f ca="1">AD25*'Tech Parameters'!$E23</f>
        <v>0</v>
      </c>
      <c r="AE510" s="76">
        <f ca="1">AE25*'Tech Parameters'!$E23</f>
        <v>0</v>
      </c>
      <c r="AF510" s="76">
        <f ca="1">AF25*'Tech Parameters'!$E23</f>
        <v>0</v>
      </c>
      <c r="AG510" s="76">
        <f ca="1">AG25*'Tech Parameters'!$E23</f>
        <v>0</v>
      </c>
      <c r="AH510" s="76">
        <f ca="1">AH25*'Tech Parameters'!$E23</f>
        <v>0</v>
      </c>
      <c r="AI510" s="76">
        <f ca="1">AI25*'Tech Parameters'!$E23</f>
        <v>0</v>
      </c>
      <c r="AJ510" s="76">
        <f ca="1">AJ25*'Tech Parameters'!$E23</f>
        <v>0</v>
      </c>
      <c r="AK510" s="76">
        <f ca="1">AK25*'Tech Parameters'!$E23</f>
        <v>0</v>
      </c>
      <c r="AL510" s="76">
        <f ca="1">AL25*'Tech Parameters'!$E23</f>
        <v>0</v>
      </c>
      <c r="AM510" s="76">
        <f ca="1">AM25*'Tech Parameters'!$E23</f>
        <v>0</v>
      </c>
      <c r="AN510" s="76">
        <f ca="1">AN25*'Tech Parameters'!$E23</f>
        <v>0</v>
      </c>
      <c r="AO510" s="76">
        <f ca="1">AO25*'Tech Parameters'!$E23</f>
        <v>0</v>
      </c>
      <c r="AP510" s="76">
        <f ca="1">AP25*'Tech Parameters'!$E23</f>
        <v>0</v>
      </c>
      <c r="AQ510" s="76">
        <f ca="1">AQ25*'Tech Parameters'!$E23</f>
        <v>0</v>
      </c>
      <c r="AR510" s="76">
        <f ca="1">AR25*'Tech Parameters'!$E23</f>
        <v>0</v>
      </c>
      <c r="AS510" s="76">
        <f ca="1">AS25*'Tech Parameters'!$E23</f>
        <v>0</v>
      </c>
      <c r="AT510" s="76">
        <f ca="1">AT25*'Tech Parameters'!$E23</f>
        <v>0</v>
      </c>
      <c r="AU510" s="76">
        <f ca="1">AU25*'Tech Parameters'!$E23</f>
        <v>0</v>
      </c>
      <c r="AV510" s="76">
        <f ca="1">AV25*'Tech Parameters'!$E23</f>
        <v>0</v>
      </c>
      <c r="AW510" s="76">
        <f ca="1">AW25*'Tech Parameters'!$E23</f>
        <v>0</v>
      </c>
    </row>
    <row r="511" spans="3:49">
      <c r="C511" t="str">
        <f t="shared" si="114"/>
        <v>-</v>
      </c>
      <c r="AD511" s="76">
        <f ca="1">AD26*'Tech Parameters'!$E24</f>
        <v>0</v>
      </c>
      <c r="AE511" s="76">
        <f ca="1">AE26*'Tech Parameters'!$E24</f>
        <v>0</v>
      </c>
      <c r="AF511" s="76">
        <f ca="1">AF26*'Tech Parameters'!$E24</f>
        <v>0</v>
      </c>
      <c r="AG511" s="76">
        <f ca="1">AG26*'Tech Parameters'!$E24</f>
        <v>0</v>
      </c>
      <c r="AH511" s="76">
        <f ca="1">AH26*'Tech Parameters'!$E24</f>
        <v>0</v>
      </c>
      <c r="AI511" s="76">
        <f ca="1">AI26*'Tech Parameters'!$E24</f>
        <v>0</v>
      </c>
      <c r="AJ511" s="76">
        <f ca="1">AJ26*'Tech Parameters'!$E24</f>
        <v>0</v>
      </c>
      <c r="AK511" s="76">
        <f ca="1">AK26*'Tech Parameters'!$E24</f>
        <v>0</v>
      </c>
      <c r="AL511" s="76">
        <f ca="1">AL26*'Tech Parameters'!$E24</f>
        <v>0</v>
      </c>
      <c r="AM511" s="76">
        <f ca="1">AM26*'Tech Parameters'!$E24</f>
        <v>0</v>
      </c>
      <c r="AN511" s="76">
        <f ca="1">AN26*'Tech Parameters'!$E24</f>
        <v>0</v>
      </c>
      <c r="AO511" s="76">
        <f ca="1">AO26*'Tech Parameters'!$E24</f>
        <v>0</v>
      </c>
      <c r="AP511" s="76">
        <f ca="1">AP26*'Tech Parameters'!$E24</f>
        <v>0</v>
      </c>
      <c r="AQ511" s="76">
        <f ca="1">AQ26*'Tech Parameters'!$E24</f>
        <v>0</v>
      </c>
      <c r="AR511" s="76">
        <f ca="1">AR26*'Tech Parameters'!$E24</f>
        <v>0</v>
      </c>
      <c r="AS511" s="76">
        <f ca="1">AS26*'Tech Parameters'!$E24</f>
        <v>0</v>
      </c>
      <c r="AT511" s="76">
        <f ca="1">AT26*'Tech Parameters'!$E24</f>
        <v>0</v>
      </c>
      <c r="AU511" s="76">
        <f ca="1">AU26*'Tech Parameters'!$E24</f>
        <v>0</v>
      </c>
      <c r="AV511" s="76">
        <f ca="1">AV26*'Tech Parameters'!$E24</f>
        <v>0</v>
      </c>
      <c r="AW511" s="76">
        <f ca="1">AW26*'Tech Parameters'!$E24</f>
        <v>0</v>
      </c>
    </row>
    <row r="512" spans="3:49">
      <c r="C512" t="str">
        <f t="shared" si="114"/>
        <v>Pumped storage</v>
      </c>
      <c r="D512">
        <f>D27*'Tech Parameters'!$E25</f>
        <v>91.355013587921817</v>
      </c>
      <c r="E512">
        <f>E27*'Tech Parameters'!$E25</f>
        <v>91.355013587921817</v>
      </c>
      <c r="F512">
        <f>F27*'Tech Parameters'!$E25</f>
        <v>91.355013587921817</v>
      </c>
      <c r="G512">
        <f>G27*'Tech Parameters'!$E25</f>
        <v>91.355013587921817</v>
      </c>
      <c r="H512">
        <f>H27*'Tech Parameters'!$E25</f>
        <v>91.355013587921817</v>
      </c>
      <c r="I512">
        <f ca="1">I27*'Tech Parameters'!$E25</f>
        <v>91.355013587921817</v>
      </c>
      <c r="J512">
        <f ca="1">J27*'Tech Parameters'!$E25</f>
        <v>91.355013587921817</v>
      </c>
      <c r="K512">
        <f ca="1">K27*'Tech Parameters'!$E25</f>
        <v>91.355013587921817</v>
      </c>
      <c r="L512">
        <f ca="1">L27*'Tech Parameters'!$E25</f>
        <v>129.86288640409649</v>
      </c>
      <c r="M512">
        <f ca="1">M27*'Tech Parameters'!$E25</f>
        <v>168.37075922027111</v>
      </c>
      <c r="N512">
        <f ca="1">N27*'Tech Parameters'!$E25</f>
        <v>206.87863203644577</v>
      </c>
      <c r="O512">
        <f ca="1">O27*'Tech Parameters'!$E25</f>
        <v>245.38650485262039</v>
      </c>
      <c r="P512">
        <f ca="1">P27*'Tech Parameters'!$E25</f>
        <v>245.38650485262039</v>
      </c>
      <c r="Q512">
        <f ca="1">Q27*'Tech Parameters'!$E25</f>
        <v>245.38650485262039</v>
      </c>
      <c r="R512">
        <f ca="1">R27*'Tech Parameters'!$E25</f>
        <v>245.38650485262039</v>
      </c>
      <c r="S512">
        <f ca="1">S27*'Tech Parameters'!$E25</f>
        <v>245.38650485262039</v>
      </c>
      <c r="T512">
        <f ca="1">T27*'Tech Parameters'!$E25</f>
        <v>245.38650485262039</v>
      </c>
      <c r="U512">
        <f ca="1">U27*'Tech Parameters'!$E25</f>
        <v>245.38650485262039</v>
      </c>
      <c r="V512">
        <f ca="1">V27*'Tech Parameters'!$E25</f>
        <v>245.38650485262039</v>
      </c>
      <c r="W512">
        <f ca="1">W27*'Tech Parameters'!$E25</f>
        <v>245.38650485262039</v>
      </c>
      <c r="X512">
        <f ca="1">X27*'Tech Parameters'!$E25</f>
        <v>245.38650485262039</v>
      </c>
      <c r="Y512">
        <f ca="1">Y27*'Tech Parameters'!$E25</f>
        <v>245.38650485262039</v>
      </c>
      <c r="Z512">
        <f ca="1">Z27*'Tech Parameters'!$E25</f>
        <v>245.38650485262039</v>
      </c>
      <c r="AA512">
        <f ca="1">AA27*'Tech Parameters'!$E25</f>
        <v>245.38650485262039</v>
      </c>
      <c r="AB512">
        <f ca="1">AB27*'Tech Parameters'!$E25</f>
        <v>245.38650485262039</v>
      </c>
      <c r="AC512">
        <f ca="1">AC27*'Tech Parameters'!$E25</f>
        <v>245.38650485262039</v>
      </c>
      <c r="AD512" s="76">
        <f ca="1">AD27*'Tech Parameters'!$E25</f>
        <v>245.38650485262039</v>
      </c>
      <c r="AE512" s="76">
        <f ca="1">AE27*'Tech Parameters'!$E25</f>
        <v>245.38650485262039</v>
      </c>
      <c r="AF512" s="76">
        <f ca="1">AF27*'Tech Parameters'!$E25</f>
        <v>245.38650485262039</v>
      </c>
      <c r="AG512" s="76">
        <f ca="1">AG27*'Tech Parameters'!$E25</f>
        <v>245.38650485262039</v>
      </c>
      <c r="AH512" s="76">
        <f ca="1">AH27*'Tech Parameters'!$E25</f>
        <v>245.38650485262039</v>
      </c>
      <c r="AI512" s="76">
        <f ca="1">AI27*'Tech Parameters'!$E25</f>
        <v>245.38650485262039</v>
      </c>
      <c r="AJ512" s="76">
        <f ca="1">AJ27*'Tech Parameters'!$E25</f>
        <v>245.38650485262039</v>
      </c>
      <c r="AK512" s="76">
        <f ca="1">AK27*'Tech Parameters'!$E25</f>
        <v>245.38650485262039</v>
      </c>
      <c r="AL512" s="76">
        <f ca="1">AL27*'Tech Parameters'!$E25</f>
        <v>245.38650485262039</v>
      </c>
      <c r="AM512" s="76">
        <f ca="1">AM27*'Tech Parameters'!$E25</f>
        <v>245.38650485262039</v>
      </c>
      <c r="AN512" s="76">
        <f ca="1">AN27*'Tech Parameters'!$E25</f>
        <v>245.38650485262039</v>
      </c>
      <c r="AO512" s="76">
        <f ca="1">AO27*'Tech Parameters'!$E25</f>
        <v>245.38650485262039</v>
      </c>
      <c r="AP512" s="76">
        <f ca="1">AP27*'Tech Parameters'!$E25</f>
        <v>245.38650485262039</v>
      </c>
      <c r="AQ512" s="76">
        <f ca="1">AQ27*'Tech Parameters'!$E25</f>
        <v>245.38650485262039</v>
      </c>
      <c r="AR512" s="76">
        <f ca="1">AR27*'Tech Parameters'!$E25</f>
        <v>245.38650485262039</v>
      </c>
      <c r="AS512" s="76">
        <f ca="1">AS27*'Tech Parameters'!$E25</f>
        <v>245.38650485262039</v>
      </c>
      <c r="AT512" s="76">
        <f ca="1">AT27*'Tech Parameters'!$E25</f>
        <v>245.38650485262039</v>
      </c>
      <c r="AU512" s="76">
        <f ca="1">AU27*'Tech Parameters'!$E25</f>
        <v>245.38650485262039</v>
      </c>
      <c r="AV512" s="76">
        <f ca="1">AV27*'Tech Parameters'!$E25</f>
        <v>245.38650485262039</v>
      </c>
      <c r="AW512" s="76">
        <f ca="1">AW27*'Tech Parameters'!$E25</f>
        <v>245.38650485262039</v>
      </c>
    </row>
    <row r="513" spans="3:49">
      <c r="AD513" s="76"/>
      <c r="AE513" s="76"/>
      <c r="AF513" s="76"/>
      <c r="AG513" s="76"/>
      <c r="AH513" s="76"/>
      <c r="AI513" s="76"/>
      <c r="AJ513" s="76"/>
      <c r="AK513" s="76"/>
      <c r="AL513" s="76"/>
      <c r="AM513" s="76"/>
      <c r="AN513" s="76"/>
      <c r="AO513" s="76"/>
      <c r="AP513" s="76"/>
      <c r="AQ513" s="76"/>
      <c r="AR513" s="76"/>
      <c r="AS513" s="76"/>
      <c r="AT513" s="76"/>
      <c r="AU513" s="76"/>
      <c r="AV513" s="76"/>
      <c r="AW513" s="76"/>
    </row>
    <row r="514" spans="3:49">
      <c r="AD514" s="76"/>
      <c r="AE514" s="76"/>
      <c r="AF514" s="76"/>
      <c r="AG514" s="76"/>
      <c r="AH514" s="76"/>
      <c r="AI514" s="76"/>
      <c r="AJ514" s="76"/>
      <c r="AK514" s="76"/>
      <c r="AL514" s="76"/>
      <c r="AM514" s="76"/>
      <c r="AN514" s="76"/>
      <c r="AO514" s="76"/>
      <c r="AP514" s="76"/>
      <c r="AQ514" s="76"/>
      <c r="AR514" s="76"/>
      <c r="AS514" s="76"/>
      <c r="AT514" s="76"/>
      <c r="AU514" s="76"/>
      <c r="AV514" s="76"/>
      <c r="AW514" s="76"/>
    </row>
    <row r="515" spans="3:49">
      <c r="C515" s="4" t="s">
        <v>132</v>
      </c>
      <c r="AD515" s="76"/>
      <c r="AE515" s="76"/>
      <c r="AF515" s="76"/>
      <c r="AG515" s="76"/>
      <c r="AH515" s="76"/>
      <c r="AI515" s="76"/>
      <c r="AJ515" s="76"/>
      <c r="AK515" s="76"/>
      <c r="AL515" s="76"/>
      <c r="AM515" s="76"/>
      <c r="AN515" s="76"/>
      <c r="AO515" s="76"/>
      <c r="AP515" s="76"/>
      <c r="AQ515" s="76"/>
      <c r="AR515" s="76"/>
      <c r="AS515" s="76"/>
      <c r="AT515" s="76"/>
      <c r="AU515" s="76"/>
      <c r="AV515" s="76"/>
      <c r="AW515" s="76"/>
    </row>
    <row r="516" spans="3:49">
      <c r="C516" t="str">
        <f>C8</f>
        <v>Existing coal Large</v>
      </c>
      <c r="D516" s="24">
        <f>D367*'Tech Parameters'!$F6/1000</f>
        <v>1683.8151698604067</v>
      </c>
      <c r="E516" s="24">
        <f>E367*'Tech Parameters'!$F6/1000</f>
        <v>1683.8151698604067</v>
      </c>
      <c r="F516" s="24">
        <f>F367*'Tech Parameters'!$F6/1000</f>
        <v>1739.2841301648871</v>
      </c>
      <c r="G516" s="24">
        <f>G367*'Tech Parameters'!$F6/1000</f>
        <v>1758.6063755933469</v>
      </c>
      <c r="H516" s="24">
        <f>H367*'Tech Parameters'!$F6/1000</f>
        <v>1758.6063755933469</v>
      </c>
      <c r="I516" s="24">
        <f ca="1">I367*'Tech Parameters'!$F6/1000</f>
        <v>1800.1237409377582</v>
      </c>
      <c r="J516" s="24">
        <f ca="1">J367*'Tech Parameters'!$F6/1000</f>
        <v>1827.2975999015682</v>
      </c>
      <c r="K516" s="24">
        <f ca="1">K367*'Tech Parameters'!$F6/1000</f>
        <v>1857.9832761077053</v>
      </c>
      <c r="L516" s="24">
        <f ca="1">L367*'Tech Parameters'!$F6/1000</f>
        <v>1881.8811253902302</v>
      </c>
      <c r="M516" s="24">
        <f ca="1">M367*'Tech Parameters'!$F6/1000</f>
        <v>1900.7113850665073</v>
      </c>
      <c r="N516" s="24">
        <f ca="1">N367*'Tech Parameters'!$F6/1000</f>
        <v>1900.7113850665073</v>
      </c>
      <c r="O516" s="24">
        <f ca="1">O367*'Tech Parameters'!$F6/1000</f>
        <v>1900.7113850665073</v>
      </c>
      <c r="P516" s="24">
        <f ca="1">P367*'Tech Parameters'!$F6/1000</f>
        <v>1900.7113850665073</v>
      </c>
      <c r="Q516" s="24">
        <f ca="1">Q367*'Tech Parameters'!$F6/1000</f>
        <v>1900.7113850665073</v>
      </c>
      <c r="R516" s="24">
        <f ca="1">R367*'Tech Parameters'!$F6/1000</f>
        <v>1900.7113850665073</v>
      </c>
      <c r="S516" s="24">
        <f ca="1">S367*'Tech Parameters'!$F6/1000</f>
        <v>1900.7113850665073</v>
      </c>
      <c r="T516" s="24">
        <f ca="1">T367*'Tech Parameters'!$F6/1000</f>
        <v>1900.7113850665073</v>
      </c>
      <c r="U516" s="24">
        <f ca="1">U367*'Tech Parameters'!$F6/1000</f>
        <v>1900.7113850665073</v>
      </c>
      <c r="V516" s="24">
        <f ca="1">V367*'Tech Parameters'!$F6/1000</f>
        <v>1856.2780733494371</v>
      </c>
      <c r="W516" s="24">
        <f ca="1">W367*'Tech Parameters'!$F6/1000</f>
        <v>1802.0819189832125</v>
      </c>
      <c r="X516" s="24">
        <f ca="1">X367*'Tech Parameters'!$F6/1000</f>
        <v>1758.4901925243644</v>
      </c>
      <c r="Y516" s="24">
        <f ca="1">Y367*'Tech Parameters'!$F6/1000</f>
        <v>1669.6019471855252</v>
      </c>
      <c r="Z516" s="24">
        <f ca="1">Z367*'Tech Parameters'!$F6/1000</f>
        <v>1580.7137018466856</v>
      </c>
      <c r="AA516" s="24">
        <f ca="1">AA367*'Tech Parameters'!$F6/1000</f>
        <v>1473.1121416996696</v>
      </c>
      <c r="AB516" s="24">
        <f ca="1">AB367*'Tech Parameters'!$F6/1000</f>
        <v>1257.9090214056378</v>
      </c>
      <c r="AC516" s="24">
        <f ca="1">AC367*'Tech Parameters'!$F6/1000</f>
        <v>1150.3074612586215</v>
      </c>
      <c r="AD516" s="77">
        <f ca="1">AD367*'Tech Parameters'!$F6/1000</f>
        <v>1150.3074612586215</v>
      </c>
      <c r="AE516" s="77">
        <f ca="1">AE367*'Tech Parameters'!$F6/1000</f>
        <v>1150.3074612586215</v>
      </c>
      <c r="AF516" s="77">
        <f ca="1">AF367*'Tech Parameters'!$F6/1000</f>
        <v>1150.3074612586215</v>
      </c>
      <c r="AG516" s="77">
        <f ca="1">AG367*'Tech Parameters'!$F6/1000</f>
        <v>929.86461281829986</v>
      </c>
      <c r="AH516" s="77">
        <f ca="1">AH367*'Tech Parameters'!$F6/1000</f>
        <v>709.42176437797843</v>
      </c>
      <c r="AI516" s="77">
        <f ca="1">AI367*'Tech Parameters'!$F6/1000</f>
        <v>594.33487830769172</v>
      </c>
      <c r="AJ516" s="77">
        <f ca="1">AJ367*'Tech Parameters'!$F6/1000</f>
        <v>359.48277746507415</v>
      </c>
      <c r="AK516" s="77">
        <f ca="1">AK367*'Tech Parameters'!$F6/1000</f>
        <v>239.71756269274329</v>
      </c>
      <c r="AL516" s="77">
        <f ca="1">AL367*'Tech Parameters'!$F6/1000</f>
        <v>239.71756269274329</v>
      </c>
      <c r="AM516" s="77">
        <f ca="1">AM367*'Tech Parameters'!$F6/1000</f>
        <v>239.71756269274329</v>
      </c>
      <c r="AN516" s="77">
        <f ca="1">AN367*'Tech Parameters'!$F6/1000</f>
        <v>239.71756269274329</v>
      </c>
      <c r="AO516" s="77">
        <f ca="1">AO367*'Tech Parameters'!$F6/1000</f>
        <v>239.71756269274329</v>
      </c>
      <c r="AP516" s="77">
        <f ca="1">AP367*'Tech Parameters'!$F6/1000</f>
        <v>239.71756269274329</v>
      </c>
      <c r="AQ516" s="77">
        <f ca="1">AQ367*'Tech Parameters'!$F6/1000</f>
        <v>239.71756269274329</v>
      </c>
      <c r="AR516" s="77">
        <f ca="1">AR367*'Tech Parameters'!$F6/1000</f>
        <v>119.85878134637153</v>
      </c>
      <c r="AS516" s="77">
        <f ca="1">AS367*'Tech Parameters'!$F6/1000</f>
        <v>-2.2161016498236444E-13</v>
      </c>
      <c r="AT516" s="77">
        <f ca="1">AT367*'Tech Parameters'!$F6/1000</f>
        <v>-2.2161016498236444E-13</v>
      </c>
      <c r="AU516" s="77">
        <f ca="1">AU367*'Tech Parameters'!$F6/1000</f>
        <v>-2.2161016498236444E-13</v>
      </c>
      <c r="AV516" s="77">
        <f ca="1">AV367*'Tech Parameters'!$F6/1000</f>
        <v>-2.2161016498236444E-13</v>
      </c>
      <c r="AW516" s="77">
        <f ca="1">AW367*'Tech Parameters'!$F6/1000</f>
        <v>-2.2161016498236444E-13</v>
      </c>
    </row>
    <row r="517" spans="3:49">
      <c r="C517" t="str">
        <f t="shared" ref="C517:C532" si="115">C9</f>
        <v>Existing coal Small</v>
      </c>
      <c r="D517" s="24">
        <f>D368*'Tech Parameters'!$F7/1000</f>
        <v>111.0511073795959</v>
      </c>
      <c r="E517" s="24">
        <f>E368*'Tech Parameters'!$F7/1000</f>
        <v>111.0511073795959</v>
      </c>
      <c r="F517" s="24">
        <f>F368*'Tech Parameters'!$F7/1000</f>
        <v>111.0511073795959</v>
      </c>
      <c r="G517" s="24">
        <f>G368*'Tech Parameters'!$F7/1000</f>
        <v>111.0511073795959</v>
      </c>
      <c r="H517" s="24">
        <f>H368*'Tech Parameters'!$F7/1000</f>
        <v>111.0511073795959</v>
      </c>
      <c r="I517" s="24">
        <f ca="1">I368*'Tech Parameters'!$F7/1000</f>
        <v>125.00799057449215</v>
      </c>
      <c r="J517" s="24">
        <f ca="1">J368*'Tech Parameters'!$F7/1000</f>
        <v>133.26359937498717</v>
      </c>
      <c r="K517" s="24">
        <f ca="1">K368*'Tech Parameters'!$F7/1000</f>
        <v>133.26359937498717</v>
      </c>
      <c r="L517" s="24">
        <f ca="1">L368*'Tech Parameters'!$F7/1000</f>
        <v>133.26359937498717</v>
      </c>
      <c r="M517" s="24">
        <f ca="1">M368*'Tech Parameters'!$F7/1000</f>
        <v>133.26359937498717</v>
      </c>
      <c r="N517" s="24">
        <f ca="1">N368*'Tech Parameters'!$F7/1000</f>
        <v>133.26359937498717</v>
      </c>
      <c r="O517" s="24">
        <f ca="1">O368*'Tech Parameters'!$F7/1000</f>
        <v>132.49729905315905</v>
      </c>
      <c r="P517" s="24">
        <f ca="1">P368*'Tech Parameters'!$F7/1000</f>
        <v>131.73099873133091</v>
      </c>
      <c r="Q517" s="24">
        <f ca="1">Q368*'Tech Parameters'!$F7/1000</f>
        <v>130.70926496889342</v>
      </c>
      <c r="R517" s="24">
        <f ca="1">R368*'Tech Parameters'!$F7/1000</f>
        <v>129.68753120645593</v>
      </c>
      <c r="S517" s="24">
        <f ca="1">S368*'Tech Parameters'!$F7/1000</f>
        <v>110.27458972014341</v>
      </c>
      <c r="T517" s="24">
        <f ca="1">T368*'Tech Parameters'!$F7/1000</f>
        <v>90.861648233830905</v>
      </c>
      <c r="U517" s="24">
        <f ca="1">U368*'Tech Parameters'!$F7/1000</f>
        <v>90.861648233830905</v>
      </c>
      <c r="V517" s="24">
        <f ca="1">V368*'Tech Parameters'!$F7/1000</f>
        <v>90.861648233830905</v>
      </c>
      <c r="W517" s="24">
        <f ca="1">W368*'Tech Parameters'!$F7/1000</f>
        <v>90.861648233830905</v>
      </c>
      <c r="X517" s="24">
        <f ca="1">X368*'Tech Parameters'!$F7/1000</f>
        <v>81.916936773558604</v>
      </c>
      <c r="Y517" s="24">
        <f ca="1">Y368*'Tech Parameters'!$F7/1000</f>
        <v>72.972225313286316</v>
      </c>
      <c r="Z517" s="24">
        <f ca="1">Z368*'Tech Parameters'!$F7/1000</f>
        <v>72.972225313286316</v>
      </c>
      <c r="AA517" s="24">
        <f ca="1">AA368*'Tech Parameters'!$F7/1000</f>
        <v>72.972225313286316</v>
      </c>
      <c r="AB517" s="24">
        <f ca="1">AB368*'Tech Parameters'!$F7/1000</f>
        <v>72.972225313286316</v>
      </c>
      <c r="AC517" s="24">
        <f ca="1">AC368*'Tech Parameters'!$F7/1000</f>
        <v>72.972225313286316</v>
      </c>
      <c r="AD517" s="77">
        <f ca="1">AD368*'Tech Parameters'!$F7/1000</f>
        <v>72.972225313286316</v>
      </c>
      <c r="AE517" s="77">
        <f ca="1">AE368*'Tech Parameters'!$F7/1000</f>
        <v>70.887888437913816</v>
      </c>
      <c r="AF517" s="77">
        <f ca="1">AF368*'Tech Parameters'!$F7/1000</f>
        <v>68.803551562541315</v>
      </c>
      <c r="AG517" s="77">
        <f ca="1">AG368*'Tech Parameters'!$F7/1000</f>
        <v>68.803551562541315</v>
      </c>
      <c r="AH517" s="77">
        <f ca="1">AH368*'Tech Parameters'!$F7/1000</f>
        <v>68.803551562541315</v>
      </c>
      <c r="AI517" s="77">
        <f ca="1">AI368*'Tech Parameters'!$F7/1000</f>
        <v>68.803551562541315</v>
      </c>
      <c r="AJ517" s="77">
        <f ca="1">AJ368*'Tech Parameters'!$F7/1000</f>
        <v>68.803551562541315</v>
      </c>
      <c r="AK517" s="77">
        <f ca="1">AK368*'Tech Parameters'!$F7/1000</f>
        <v>61.038374968016306</v>
      </c>
      <c r="AL517" s="77">
        <f ca="1">AL368*'Tech Parameters'!$F7/1000</f>
        <v>53.273198373491297</v>
      </c>
      <c r="AM517" s="77">
        <f ca="1">AM368*'Tech Parameters'!$F7/1000</f>
        <v>53.273198373491297</v>
      </c>
      <c r="AN517" s="77">
        <f ca="1">AN368*'Tech Parameters'!$F7/1000</f>
        <v>53.273198373491297</v>
      </c>
      <c r="AO517" s="77">
        <f ca="1">AO368*'Tech Parameters'!$F7/1000</f>
        <v>53.273198373491297</v>
      </c>
      <c r="AP517" s="77">
        <f ca="1">AP368*'Tech Parameters'!$F7/1000</f>
        <v>53.273198373491297</v>
      </c>
      <c r="AQ517" s="77">
        <f ca="1">AQ368*'Tech Parameters'!$F7/1000</f>
        <v>53.273198373491297</v>
      </c>
      <c r="AR517" s="77">
        <f ca="1">AR368*'Tech Parameters'!$F7/1000</f>
        <v>53.273198373491297</v>
      </c>
      <c r="AS517" s="77">
        <f ca="1">AS368*'Tech Parameters'!$F7/1000</f>
        <v>53.273198373491297</v>
      </c>
      <c r="AT517" s="77">
        <f ca="1">AT368*'Tech Parameters'!$F7/1000</f>
        <v>53.273198373491297</v>
      </c>
      <c r="AU517" s="77">
        <f ca="1">AU368*'Tech Parameters'!$F7/1000</f>
        <v>53.273198373491297</v>
      </c>
      <c r="AV517" s="77">
        <f ca="1">AV368*'Tech Parameters'!$F7/1000</f>
        <v>53.273198373491297</v>
      </c>
      <c r="AW517" s="77">
        <f ca="1">AW368*'Tech Parameters'!$F7/1000</f>
        <v>53.273198373491297</v>
      </c>
    </row>
    <row r="518" spans="3:49">
      <c r="C518" t="str">
        <f t="shared" si="115"/>
        <v>OCGT liquid fuels</v>
      </c>
      <c r="D518" s="24">
        <f>D369*'Tech Parameters'!$F8/1000</f>
        <v>19.409494770933893</v>
      </c>
      <c r="E518" s="24">
        <f>E369*'Tech Parameters'!$F8/1000</f>
        <v>19.409494770933893</v>
      </c>
      <c r="F518" s="24">
        <f>F369*'Tech Parameters'!$F8/1000</f>
        <v>19.409494770933893</v>
      </c>
      <c r="G518" s="24">
        <f>G369*'Tech Parameters'!$F8/1000</f>
        <v>19.409494770933893</v>
      </c>
      <c r="H518" s="24">
        <f>H369*'Tech Parameters'!$F8/1000</f>
        <v>19.409494770933893</v>
      </c>
      <c r="I518" s="24">
        <f ca="1">I369*'Tech Parameters'!$F8/1000</f>
        <v>19.409494770933893</v>
      </c>
      <c r="J518" s="24">
        <f ca="1">J369*'Tech Parameters'!$F8/1000</f>
        <v>28.143767417854146</v>
      </c>
      <c r="K518" s="24">
        <f ca="1">K369*'Tech Parameters'!$F8/1000</f>
        <v>28.143767417854146</v>
      </c>
      <c r="L518" s="24">
        <f ca="1">L369*'Tech Parameters'!$F8/1000</f>
        <v>28.143767417854146</v>
      </c>
      <c r="M518" s="24">
        <f ca="1">M369*'Tech Parameters'!$F8/1000</f>
        <v>28.143767417854146</v>
      </c>
      <c r="N518" s="24">
        <f ca="1">N369*'Tech Parameters'!$F8/1000</f>
        <v>28.143767417854146</v>
      </c>
      <c r="O518" s="24">
        <f ca="1">O369*'Tech Parameters'!$F8/1000</f>
        <v>28.143767417854146</v>
      </c>
      <c r="P518" s="24">
        <f ca="1">P369*'Tech Parameters'!$F8/1000</f>
        <v>28.143767417854146</v>
      </c>
      <c r="Q518" s="24">
        <f ca="1">Q369*'Tech Parameters'!$F8/1000</f>
        <v>28.143767417854146</v>
      </c>
      <c r="R518" s="24">
        <f ca="1">R369*'Tech Parameters'!$F8/1000</f>
        <v>28.143767417854146</v>
      </c>
      <c r="S518" s="24">
        <f ca="1">S369*'Tech Parameters'!$F8/1000</f>
        <v>28.143767417854146</v>
      </c>
      <c r="T518" s="24">
        <f ca="1">T369*'Tech Parameters'!$F8/1000</f>
        <v>28.143767417854146</v>
      </c>
      <c r="U518" s="24">
        <f ca="1">U369*'Tech Parameters'!$F8/1000</f>
        <v>28.143767417854146</v>
      </c>
      <c r="V518" s="24">
        <f ca="1">V369*'Tech Parameters'!$F8/1000</f>
        <v>28.143767417854146</v>
      </c>
      <c r="W518" s="24">
        <f ca="1">W369*'Tech Parameters'!$F8/1000</f>
        <v>28.143767417854146</v>
      </c>
      <c r="X518" s="24">
        <f ca="1">X369*'Tech Parameters'!$F8/1000</f>
        <v>28.143767417854146</v>
      </c>
      <c r="Y518" s="24">
        <f ca="1">Y369*'Tech Parameters'!$F8/1000</f>
        <v>33.966615849134321</v>
      </c>
      <c r="Z518" s="24">
        <f ca="1">Z369*'Tech Parameters'!$F8/1000</f>
        <v>33.966615849134321</v>
      </c>
      <c r="AA518" s="24">
        <f ca="1">AA369*'Tech Parameters'!$F8/1000</f>
        <v>33.966615849134321</v>
      </c>
      <c r="AB518" s="24">
        <f ca="1">AB369*'Tech Parameters'!$F8/1000</f>
        <v>41.730413757507876</v>
      </c>
      <c r="AC518" s="24">
        <f ca="1">AC369*'Tech Parameters'!$F8/1000</f>
        <v>48.111285163452393</v>
      </c>
      <c r="AD518" s="77">
        <f ca="1">AD369*'Tech Parameters'!$F8/1000</f>
        <v>48.111285163452393</v>
      </c>
      <c r="AE518" s="77">
        <f ca="1">AE369*'Tech Parameters'!$F8/1000</f>
        <v>48.111285163452393</v>
      </c>
      <c r="AF518" s="77">
        <f ca="1">AF369*'Tech Parameters'!$F8/1000</f>
        <v>48.111285163452393</v>
      </c>
      <c r="AG518" s="77">
        <f ca="1">AG369*'Tech Parameters'!$F8/1000</f>
        <v>48.111285163452393</v>
      </c>
      <c r="AH518" s="77">
        <f ca="1">AH369*'Tech Parameters'!$F8/1000</f>
        <v>48.111285163452393</v>
      </c>
      <c r="AI518" s="77">
        <f ca="1">AI369*'Tech Parameters'!$F8/1000</f>
        <v>48.111285163452393</v>
      </c>
      <c r="AJ518" s="77">
        <f ca="1">AJ369*'Tech Parameters'!$F8/1000</f>
        <v>48.111285163452393</v>
      </c>
      <c r="AK518" s="77">
        <f ca="1">AK369*'Tech Parameters'!$F8/1000</f>
        <v>48.111285163452393</v>
      </c>
      <c r="AL518" s="77">
        <f ca="1">AL369*'Tech Parameters'!$F8/1000</f>
        <v>48.111285163452393</v>
      </c>
      <c r="AM518" s="77">
        <f ca="1">AM369*'Tech Parameters'!$F8/1000</f>
        <v>48.111285163452393</v>
      </c>
      <c r="AN518" s="77">
        <f ca="1">AN369*'Tech Parameters'!$F8/1000</f>
        <v>48.111285163452393</v>
      </c>
      <c r="AO518" s="77">
        <f ca="1">AO369*'Tech Parameters'!$F8/1000</f>
        <v>48.111285163452393</v>
      </c>
      <c r="AP518" s="77">
        <f ca="1">AP369*'Tech Parameters'!$F8/1000</f>
        <v>48.111285163452393</v>
      </c>
      <c r="AQ518" s="77">
        <f ca="1">AQ369*'Tech Parameters'!$F8/1000</f>
        <v>48.111285163452393</v>
      </c>
      <c r="AR518" s="77">
        <f ca="1">AR369*'Tech Parameters'!$F8/1000</f>
        <v>48.111285163452393</v>
      </c>
      <c r="AS518" s="77">
        <f ca="1">AS369*'Tech Parameters'!$F8/1000</f>
        <v>48.111285163452393</v>
      </c>
      <c r="AT518" s="77">
        <f ca="1">AT369*'Tech Parameters'!$F8/1000</f>
        <v>48.111285163452393</v>
      </c>
      <c r="AU518" s="77">
        <f ca="1">AU369*'Tech Parameters'!$F8/1000</f>
        <v>48.111285163452393</v>
      </c>
      <c r="AV518" s="77">
        <f ca="1">AV369*'Tech Parameters'!$F8/1000</f>
        <v>48.111285163452393</v>
      </c>
      <c r="AW518" s="77">
        <f ca="1">AW369*'Tech Parameters'!$F8/1000</f>
        <v>48.111285163452393</v>
      </c>
    </row>
    <row r="519" spans="3:49">
      <c r="C519" t="str">
        <f t="shared" si="115"/>
        <v>PWR nuclear</v>
      </c>
      <c r="D519" s="24">
        <f>D370*'Tech Parameters'!$F9/1000</f>
        <v>53.944762317717498</v>
      </c>
      <c r="E519" s="24">
        <f>E370*'Tech Parameters'!$F9/1000</f>
        <v>53.944762317717498</v>
      </c>
      <c r="F519" s="24">
        <f>F370*'Tech Parameters'!$F9/1000</f>
        <v>53.944762317717498</v>
      </c>
      <c r="G519" s="24">
        <f>G370*'Tech Parameters'!$F9/1000</f>
        <v>53.944762317717498</v>
      </c>
      <c r="H519" s="24">
        <f>H370*'Tech Parameters'!$F9/1000</f>
        <v>53.944762317717498</v>
      </c>
      <c r="I519" s="24">
        <f ca="1">I370*'Tech Parameters'!$F9/1000</f>
        <v>53.944762317717498</v>
      </c>
      <c r="J519" s="24">
        <f ca="1">J370*'Tech Parameters'!$F9/1000</f>
        <v>53.944762317717498</v>
      </c>
      <c r="K519" s="24">
        <f ca="1">K370*'Tech Parameters'!$F9/1000</f>
        <v>53.944762317717498</v>
      </c>
      <c r="L519" s="24">
        <f ca="1">L370*'Tech Parameters'!$F9/1000</f>
        <v>53.944762317717498</v>
      </c>
      <c r="M519" s="24">
        <f ca="1">M370*'Tech Parameters'!$F9/1000</f>
        <v>53.944762317717498</v>
      </c>
      <c r="N519" s="24">
        <f ca="1">N370*'Tech Parameters'!$F9/1000</f>
        <v>53.944762317717498</v>
      </c>
      <c r="O519" s="24">
        <f ca="1">O370*'Tech Parameters'!$F9/1000</f>
        <v>53.944762317717498</v>
      </c>
      <c r="P519" s="24">
        <f ca="1">P370*'Tech Parameters'!$F9/1000</f>
        <v>53.944762317717498</v>
      </c>
      <c r="Q519" s="24">
        <f ca="1">Q370*'Tech Parameters'!$F9/1000</f>
        <v>53.944762317717498</v>
      </c>
      <c r="R519" s="24">
        <f ca="1">R370*'Tech Parameters'!$F9/1000</f>
        <v>53.944762317717498</v>
      </c>
      <c r="S519" s="24">
        <f ca="1">S370*'Tech Parameters'!$F9/1000</f>
        <v>53.944762317717498</v>
      </c>
      <c r="T519" s="24">
        <f ca="1">T370*'Tech Parameters'!$F9/1000</f>
        <v>53.944762317717498</v>
      </c>
      <c r="U519" s="24">
        <f ca="1">U370*'Tech Parameters'!$F9/1000</f>
        <v>53.944762317717498</v>
      </c>
      <c r="V519" s="24">
        <f ca="1">V370*'Tech Parameters'!$F9/1000</f>
        <v>53.944762317717498</v>
      </c>
      <c r="W519" s="24">
        <f ca="1">W370*'Tech Parameters'!$F9/1000</f>
        <v>53.944762317717498</v>
      </c>
      <c r="X519" s="24">
        <f ca="1">X370*'Tech Parameters'!$F9/1000</f>
        <v>53.944762317717498</v>
      </c>
      <c r="Y519" s="24">
        <f ca="1">Y370*'Tech Parameters'!$F9/1000</f>
        <v>53.944762317717498</v>
      </c>
      <c r="Z519" s="24">
        <f ca="1">Z370*'Tech Parameters'!$F9/1000</f>
        <v>53.944762317717498</v>
      </c>
      <c r="AA519" s="24">
        <f ca="1">AA370*'Tech Parameters'!$F9/1000</f>
        <v>53.944762317717498</v>
      </c>
      <c r="AB519" s="24">
        <f ca="1">AB370*'Tech Parameters'!$F9/1000</f>
        <v>53.944762317717498</v>
      </c>
      <c r="AC519" s="24">
        <f ca="1">AC370*'Tech Parameters'!$F9/1000</f>
        <v>53.944762317717498</v>
      </c>
      <c r="AD519" s="77">
        <f ca="1">AD370*'Tech Parameters'!$F9/1000</f>
        <v>53.944762317717498</v>
      </c>
      <c r="AE519" s="77">
        <f ca="1">AE370*'Tech Parameters'!$F9/1000</f>
        <v>53.944762317717498</v>
      </c>
      <c r="AF519" s="77">
        <f ca="1">AF370*'Tech Parameters'!$F9/1000</f>
        <v>53.944762317717498</v>
      </c>
      <c r="AG519" s="77">
        <f ca="1">AG370*'Tech Parameters'!$F9/1000</f>
        <v>53.944762317717498</v>
      </c>
      <c r="AH519" s="77">
        <f ca="1">AH370*'Tech Parameters'!$F9/1000</f>
        <v>53.944762317717498</v>
      </c>
      <c r="AI519" s="77">
        <f ca="1">AI370*'Tech Parameters'!$F9/1000</f>
        <v>53.944762317717498</v>
      </c>
      <c r="AJ519" s="77">
        <f ca="1">AJ370*'Tech Parameters'!$F9/1000</f>
        <v>53.944762317717498</v>
      </c>
      <c r="AK519" s="77">
        <f ca="1">AK370*'Tech Parameters'!$F9/1000</f>
        <v>53.944762317717498</v>
      </c>
      <c r="AL519" s="77">
        <f ca="1">AL370*'Tech Parameters'!$F9/1000</f>
        <v>53.944762317717498</v>
      </c>
      <c r="AM519" s="77">
        <f ca="1">AM370*'Tech Parameters'!$F9/1000</f>
        <v>53.944762317717498</v>
      </c>
      <c r="AN519" s="77">
        <f ca="1">AN370*'Tech Parameters'!$F9/1000</f>
        <v>53.944762317717498</v>
      </c>
      <c r="AO519" s="77">
        <f ca="1">AO370*'Tech Parameters'!$F9/1000</f>
        <v>53.944762317717498</v>
      </c>
      <c r="AP519" s="77">
        <f ca="1">AP370*'Tech Parameters'!$F9/1000</f>
        <v>53.944762317717498</v>
      </c>
      <c r="AQ519" s="77">
        <f ca="1">AQ370*'Tech Parameters'!$F9/1000</f>
        <v>53.944762317717498</v>
      </c>
      <c r="AR519" s="77">
        <f ca="1">AR370*'Tech Parameters'!$F9/1000</f>
        <v>53.944762317717498</v>
      </c>
      <c r="AS519" s="77">
        <f ca="1">AS370*'Tech Parameters'!$F9/1000</f>
        <v>53.944762317717498</v>
      </c>
      <c r="AT519" s="77">
        <f ca="1">AT370*'Tech Parameters'!$F9/1000</f>
        <v>53.944762317717498</v>
      </c>
      <c r="AU519" s="77">
        <f ca="1">AU370*'Tech Parameters'!$F9/1000</f>
        <v>53.944762317717498</v>
      </c>
      <c r="AV519" s="77">
        <f ca="1">AV370*'Tech Parameters'!$F9/1000</f>
        <v>53.944762317717498</v>
      </c>
      <c r="AW519" s="77">
        <f ca="1">AW370*'Tech Parameters'!$F9/1000</f>
        <v>53.944762317717498</v>
      </c>
    </row>
    <row r="520" spans="3:49">
      <c r="C520" t="str">
        <f t="shared" si="115"/>
        <v>Hydro</v>
      </c>
      <c r="D520" s="24">
        <f>D371*'Tech Parameters'!$F10/1000</f>
        <v>0</v>
      </c>
      <c r="E520" s="24">
        <f>E371*'Tech Parameters'!$F10/1000</f>
        <v>0</v>
      </c>
      <c r="F520" s="24">
        <f>F371*'Tech Parameters'!$F10/1000</f>
        <v>0</v>
      </c>
      <c r="G520" s="24">
        <f>G371*'Tech Parameters'!$F10/1000</f>
        <v>0</v>
      </c>
      <c r="H520" s="24">
        <f>H371*'Tech Parameters'!$F10/1000</f>
        <v>0</v>
      </c>
      <c r="I520" s="24">
        <f ca="1">I371*'Tech Parameters'!$F10/1000</f>
        <v>0</v>
      </c>
      <c r="J520" s="24">
        <f ca="1">J371*'Tech Parameters'!$F10/1000</f>
        <v>0</v>
      </c>
      <c r="K520" s="24">
        <f ca="1">K371*'Tech Parameters'!$F10/1000</f>
        <v>0</v>
      </c>
      <c r="L520" s="24">
        <f ca="1">L371*'Tech Parameters'!$F10/1000</f>
        <v>0</v>
      </c>
      <c r="M520" s="24">
        <f ca="1">M371*'Tech Parameters'!$F10/1000</f>
        <v>0</v>
      </c>
      <c r="N520" s="24">
        <f ca="1">N371*'Tech Parameters'!$F10/1000</f>
        <v>0</v>
      </c>
      <c r="O520" s="24">
        <f ca="1">O371*'Tech Parameters'!$F10/1000</f>
        <v>0</v>
      </c>
      <c r="P520" s="24">
        <f ca="1">P371*'Tech Parameters'!$F10/1000</f>
        <v>0</v>
      </c>
      <c r="Q520" s="24">
        <f ca="1">Q371*'Tech Parameters'!$F10/1000</f>
        <v>0</v>
      </c>
      <c r="R520" s="24">
        <f ca="1">R371*'Tech Parameters'!$F10/1000</f>
        <v>0</v>
      </c>
      <c r="S520" s="24">
        <f ca="1">S371*'Tech Parameters'!$F10/1000</f>
        <v>0</v>
      </c>
      <c r="T520" s="24">
        <f ca="1">T371*'Tech Parameters'!$F10/1000</f>
        <v>0</v>
      </c>
      <c r="U520" s="24">
        <f ca="1">U371*'Tech Parameters'!$F10/1000</f>
        <v>0</v>
      </c>
      <c r="V520" s="24">
        <f ca="1">V371*'Tech Parameters'!$F10/1000</f>
        <v>0</v>
      </c>
      <c r="W520" s="24">
        <f ca="1">W371*'Tech Parameters'!$F10/1000</f>
        <v>0</v>
      </c>
      <c r="X520" s="24">
        <f ca="1">X371*'Tech Parameters'!$F10/1000</f>
        <v>0</v>
      </c>
      <c r="Y520" s="24">
        <f ca="1">Y371*'Tech Parameters'!$F10/1000</f>
        <v>0</v>
      </c>
      <c r="Z520" s="24">
        <f ca="1">Z371*'Tech Parameters'!$F10/1000</f>
        <v>0</v>
      </c>
      <c r="AA520" s="24">
        <f ca="1">AA371*'Tech Parameters'!$F10/1000</f>
        <v>0</v>
      </c>
      <c r="AB520" s="24">
        <f ca="1">AB371*'Tech Parameters'!$F10/1000</f>
        <v>0</v>
      </c>
      <c r="AC520" s="24">
        <f ca="1">AC371*'Tech Parameters'!$F10/1000</f>
        <v>0</v>
      </c>
      <c r="AD520" s="77">
        <f ca="1">AD371*'Tech Parameters'!$F10/1000</f>
        <v>0</v>
      </c>
      <c r="AE520" s="77">
        <f ca="1">AE371*'Tech Parameters'!$F10/1000</f>
        <v>0</v>
      </c>
      <c r="AF520" s="77">
        <f ca="1">AF371*'Tech Parameters'!$F10/1000</f>
        <v>0</v>
      </c>
      <c r="AG520" s="77">
        <f ca="1">AG371*'Tech Parameters'!$F10/1000</f>
        <v>0</v>
      </c>
      <c r="AH520" s="77">
        <f ca="1">AH371*'Tech Parameters'!$F10/1000</f>
        <v>0</v>
      </c>
      <c r="AI520" s="77">
        <f ca="1">AI371*'Tech Parameters'!$F10/1000</f>
        <v>0</v>
      </c>
      <c r="AJ520" s="77">
        <f ca="1">AJ371*'Tech Parameters'!$F10/1000</f>
        <v>0</v>
      </c>
      <c r="AK520" s="77">
        <f ca="1">AK371*'Tech Parameters'!$F10/1000</f>
        <v>0</v>
      </c>
      <c r="AL520" s="77">
        <f ca="1">AL371*'Tech Parameters'!$F10/1000</f>
        <v>0</v>
      </c>
      <c r="AM520" s="77">
        <f ca="1">AM371*'Tech Parameters'!$F10/1000</f>
        <v>0</v>
      </c>
      <c r="AN520" s="77">
        <f ca="1">AN371*'Tech Parameters'!$F10/1000</f>
        <v>0</v>
      </c>
      <c r="AO520" s="77">
        <f ca="1">AO371*'Tech Parameters'!$F10/1000</f>
        <v>0</v>
      </c>
      <c r="AP520" s="77">
        <f ca="1">AP371*'Tech Parameters'!$F10/1000</f>
        <v>0</v>
      </c>
      <c r="AQ520" s="77">
        <f ca="1">AQ371*'Tech Parameters'!$F10/1000</f>
        <v>0</v>
      </c>
      <c r="AR520" s="77">
        <f ca="1">AR371*'Tech Parameters'!$F10/1000</f>
        <v>0</v>
      </c>
      <c r="AS520" s="77">
        <f ca="1">AS371*'Tech Parameters'!$F10/1000</f>
        <v>0</v>
      </c>
      <c r="AT520" s="77">
        <f ca="1">AT371*'Tech Parameters'!$F10/1000</f>
        <v>0</v>
      </c>
      <c r="AU520" s="77">
        <f ca="1">AU371*'Tech Parameters'!$F10/1000</f>
        <v>0</v>
      </c>
      <c r="AV520" s="77">
        <f ca="1">AV371*'Tech Parameters'!$F10/1000</f>
        <v>0</v>
      </c>
      <c r="AW520" s="77">
        <f ca="1">AW371*'Tech Parameters'!$F10/1000</f>
        <v>0</v>
      </c>
    </row>
    <row r="521" spans="3:49">
      <c r="C521" t="str">
        <f t="shared" si="115"/>
        <v>Landfill gas</v>
      </c>
      <c r="D521" s="24">
        <f>D372*'Tech Parameters'!$F11/1000</f>
        <v>4.37659889420806E-2</v>
      </c>
      <c r="E521" s="24">
        <f>E372*'Tech Parameters'!$F11/1000</f>
        <v>4.37659889420806E-2</v>
      </c>
      <c r="F521" s="24">
        <f>F372*'Tech Parameters'!$F11/1000</f>
        <v>4.37659889420806E-2</v>
      </c>
      <c r="G521" s="24">
        <f>G372*'Tech Parameters'!$F11/1000</f>
        <v>4.37659889420806E-2</v>
      </c>
      <c r="H521" s="24">
        <f>H372*'Tech Parameters'!$F11/1000</f>
        <v>4.37659889420806E-2</v>
      </c>
      <c r="I521" s="24">
        <f ca="1">I372*'Tech Parameters'!$F11/1000</f>
        <v>4.37659889420806E-2</v>
      </c>
      <c r="J521" s="24">
        <f ca="1">J372*'Tech Parameters'!$F11/1000</f>
        <v>4.37659889420806E-2</v>
      </c>
      <c r="K521" s="24">
        <f ca="1">K372*'Tech Parameters'!$F11/1000</f>
        <v>4.37659889420806E-2</v>
      </c>
      <c r="L521" s="24">
        <f ca="1">L372*'Tech Parameters'!$F11/1000</f>
        <v>4.37659889420806E-2</v>
      </c>
      <c r="M521" s="24">
        <f ca="1">M372*'Tech Parameters'!$F11/1000</f>
        <v>4.37659889420806E-2</v>
      </c>
      <c r="N521" s="24">
        <f ca="1">N372*'Tech Parameters'!$F11/1000</f>
        <v>4.37659889420806E-2</v>
      </c>
      <c r="O521" s="24">
        <f ca="1">O372*'Tech Parameters'!$F11/1000</f>
        <v>4.37659889420806E-2</v>
      </c>
      <c r="P521" s="24">
        <f ca="1">P372*'Tech Parameters'!$F11/1000</f>
        <v>4.37659889420806E-2</v>
      </c>
      <c r="Q521" s="24">
        <f ca="1">Q372*'Tech Parameters'!$F11/1000</f>
        <v>4.37659889420806E-2</v>
      </c>
      <c r="R521" s="24">
        <f ca="1">R372*'Tech Parameters'!$F11/1000</f>
        <v>4.37659889420806E-2</v>
      </c>
      <c r="S521" s="24">
        <f ca="1">S372*'Tech Parameters'!$F11/1000</f>
        <v>4.37659889420806E-2</v>
      </c>
      <c r="T521" s="24">
        <f ca="1">T372*'Tech Parameters'!$F11/1000</f>
        <v>4.37659889420806E-2</v>
      </c>
      <c r="U521" s="24">
        <f ca="1">U372*'Tech Parameters'!$F11/1000</f>
        <v>4.37659889420806E-2</v>
      </c>
      <c r="V521" s="24">
        <f ca="1">V372*'Tech Parameters'!$F11/1000</f>
        <v>4.37659889420806E-2</v>
      </c>
      <c r="W521" s="24">
        <f ca="1">W372*'Tech Parameters'!$F11/1000</f>
        <v>4.37659889420806E-2</v>
      </c>
      <c r="X521" s="24">
        <f ca="1">X372*'Tech Parameters'!$F11/1000</f>
        <v>4.37659889420806E-2</v>
      </c>
      <c r="Y521" s="24">
        <f ca="1">Y372*'Tech Parameters'!$F11/1000</f>
        <v>4.37659889420806E-2</v>
      </c>
      <c r="Z521" s="24">
        <f ca="1">Z372*'Tech Parameters'!$F11/1000</f>
        <v>4.37659889420806E-2</v>
      </c>
      <c r="AA521" s="24">
        <f ca="1">AA372*'Tech Parameters'!$F11/1000</f>
        <v>4.37659889420806E-2</v>
      </c>
      <c r="AB521" s="24">
        <f ca="1">AB372*'Tech Parameters'!$F11/1000</f>
        <v>4.37659889420806E-2</v>
      </c>
      <c r="AC521" s="24">
        <f ca="1">AC372*'Tech Parameters'!$F11/1000</f>
        <v>4.37659889420806E-2</v>
      </c>
      <c r="AD521" s="77">
        <f ca="1">AD372*'Tech Parameters'!$F11/1000</f>
        <v>4.37659889420806E-2</v>
      </c>
      <c r="AE521" s="77">
        <f ca="1">AE372*'Tech Parameters'!$F11/1000</f>
        <v>4.37659889420806E-2</v>
      </c>
      <c r="AF521" s="77">
        <f ca="1">AF372*'Tech Parameters'!$F11/1000</f>
        <v>4.37659889420806E-2</v>
      </c>
      <c r="AG521" s="77">
        <f ca="1">AG372*'Tech Parameters'!$F11/1000</f>
        <v>4.37659889420806E-2</v>
      </c>
      <c r="AH521" s="77">
        <f ca="1">AH372*'Tech Parameters'!$F11/1000</f>
        <v>4.37659889420806E-2</v>
      </c>
      <c r="AI521" s="77">
        <f ca="1">AI372*'Tech Parameters'!$F11/1000</f>
        <v>4.37659889420806E-2</v>
      </c>
      <c r="AJ521" s="77">
        <f ca="1">AJ372*'Tech Parameters'!$F11/1000</f>
        <v>4.37659889420806E-2</v>
      </c>
      <c r="AK521" s="77">
        <f ca="1">AK372*'Tech Parameters'!$F11/1000</f>
        <v>4.37659889420806E-2</v>
      </c>
      <c r="AL521" s="77">
        <f ca="1">AL372*'Tech Parameters'!$F11/1000</f>
        <v>4.37659889420806E-2</v>
      </c>
      <c r="AM521" s="77">
        <f ca="1">AM372*'Tech Parameters'!$F11/1000</f>
        <v>4.37659889420806E-2</v>
      </c>
      <c r="AN521" s="77">
        <f ca="1">AN372*'Tech Parameters'!$F11/1000</f>
        <v>4.37659889420806E-2</v>
      </c>
      <c r="AO521" s="77">
        <f ca="1">AO372*'Tech Parameters'!$F11/1000</f>
        <v>4.37659889420806E-2</v>
      </c>
      <c r="AP521" s="77">
        <f ca="1">AP372*'Tech Parameters'!$F11/1000</f>
        <v>4.37659889420806E-2</v>
      </c>
      <c r="AQ521" s="77">
        <f ca="1">AQ372*'Tech Parameters'!$F11/1000</f>
        <v>4.37659889420806E-2</v>
      </c>
      <c r="AR521" s="77">
        <f ca="1">AR372*'Tech Parameters'!$F11/1000</f>
        <v>4.37659889420806E-2</v>
      </c>
      <c r="AS521" s="77">
        <f ca="1">AS372*'Tech Parameters'!$F11/1000</f>
        <v>4.37659889420806E-2</v>
      </c>
      <c r="AT521" s="77">
        <f ca="1">AT372*'Tech Parameters'!$F11/1000</f>
        <v>4.37659889420806E-2</v>
      </c>
      <c r="AU521" s="77">
        <f ca="1">AU372*'Tech Parameters'!$F11/1000</f>
        <v>4.37659889420806E-2</v>
      </c>
      <c r="AV521" s="77">
        <f ca="1">AV372*'Tech Parameters'!$F11/1000</f>
        <v>4.37659889420806E-2</v>
      </c>
      <c r="AW521" s="77">
        <f ca="1">AW372*'Tech Parameters'!$F11/1000</f>
        <v>4.37659889420806E-2</v>
      </c>
    </row>
    <row r="522" spans="3:49">
      <c r="C522" t="str">
        <f t="shared" si="115"/>
        <v>Biomass</v>
      </c>
      <c r="D522" s="24">
        <f>D373*'Tech Parameters'!$F12/1000</f>
        <v>84.077264356112806</v>
      </c>
      <c r="E522" s="24">
        <f>E373*'Tech Parameters'!$F12/1000</f>
        <v>84.077264356111172</v>
      </c>
      <c r="F522" s="24">
        <f>F373*'Tech Parameters'!$F12/1000</f>
        <v>84.077264356111172</v>
      </c>
      <c r="G522" s="24">
        <f>G373*'Tech Parameters'!$F12/1000</f>
        <v>84.077264356111172</v>
      </c>
      <c r="H522" s="24">
        <f>H373*'Tech Parameters'!$F12/1000</f>
        <v>84.077264356111172</v>
      </c>
      <c r="I522" s="24">
        <f ca="1">I373*'Tech Parameters'!$F12/1000</f>
        <v>84.077264356111172</v>
      </c>
      <c r="J522" s="24">
        <f ca="1">J373*'Tech Parameters'!$F12/1000</f>
        <v>84.077264356111172</v>
      </c>
      <c r="K522" s="24">
        <f ca="1">K373*'Tech Parameters'!$F12/1000</f>
        <v>84.077264356111172</v>
      </c>
      <c r="L522" s="24">
        <f ca="1">L373*'Tech Parameters'!$F12/1000</f>
        <v>84.077264356111172</v>
      </c>
      <c r="M522" s="24">
        <f ca="1">M373*'Tech Parameters'!$F12/1000</f>
        <v>84.077264356111172</v>
      </c>
      <c r="N522" s="24">
        <f ca="1">N373*'Tech Parameters'!$F12/1000</f>
        <v>84.077264356111172</v>
      </c>
      <c r="O522" s="24">
        <f ca="1">O373*'Tech Parameters'!$F12/1000</f>
        <v>84.077264356111172</v>
      </c>
      <c r="P522" s="24">
        <f ca="1">P373*'Tech Parameters'!$F12/1000</f>
        <v>84.077264356111172</v>
      </c>
      <c r="Q522" s="24">
        <f ca="1">Q373*'Tech Parameters'!$F12/1000</f>
        <v>84.077264356111172</v>
      </c>
      <c r="R522" s="24">
        <f ca="1">R373*'Tech Parameters'!$F12/1000</f>
        <v>84.077264356111172</v>
      </c>
      <c r="S522" s="24">
        <f ca="1">S373*'Tech Parameters'!$F12/1000</f>
        <v>84.077264356111172</v>
      </c>
      <c r="T522" s="24">
        <f ca="1">T373*'Tech Parameters'!$F12/1000</f>
        <v>84.077264356111172</v>
      </c>
      <c r="U522" s="24">
        <f ca="1">U373*'Tech Parameters'!$F12/1000</f>
        <v>84.077264356111172</v>
      </c>
      <c r="V522" s="24">
        <f ca="1">V373*'Tech Parameters'!$F12/1000</f>
        <v>84.077264356111172</v>
      </c>
      <c r="W522" s="24">
        <f ca="1">W373*'Tech Parameters'!$F12/1000</f>
        <v>84.077264356111172</v>
      </c>
      <c r="X522" s="24">
        <f ca="1">X373*'Tech Parameters'!$F12/1000</f>
        <v>84.077264356111172</v>
      </c>
      <c r="Y522" s="24">
        <f ca="1">Y373*'Tech Parameters'!$F12/1000</f>
        <v>84.077264356111172</v>
      </c>
      <c r="Z522" s="24">
        <f ca="1">Z373*'Tech Parameters'!$F12/1000</f>
        <v>84.077264356111172</v>
      </c>
      <c r="AA522" s="24">
        <f ca="1">AA373*'Tech Parameters'!$F12/1000</f>
        <v>84.077264356111172</v>
      </c>
      <c r="AB522" s="24">
        <f ca="1">AB373*'Tech Parameters'!$F12/1000</f>
        <v>84.077264356111172</v>
      </c>
      <c r="AC522" s="24">
        <f ca="1">AC373*'Tech Parameters'!$F12/1000</f>
        <v>84.077264356111172</v>
      </c>
      <c r="AD522" s="77">
        <f ca="1">AD373*'Tech Parameters'!$F12/1000</f>
        <v>84.077264356111172</v>
      </c>
      <c r="AE522" s="77">
        <f ca="1">AE373*'Tech Parameters'!$F12/1000</f>
        <v>84.077264356111172</v>
      </c>
      <c r="AF522" s="77">
        <f ca="1">AF373*'Tech Parameters'!$F12/1000</f>
        <v>84.077264356111172</v>
      </c>
      <c r="AG522" s="77">
        <f ca="1">AG373*'Tech Parameters'!$F12/1000</f>
        <v>84.077264356111172</v>
      </c>
      <c r="AH522" s="77">
        <f ca="1">AH373*'Tech Parameters'!$F12/1000</f>
        <v>84.077264356111172</v>
      </c>
      <c r="AI522" s="77">
        <f ca="1">AI373*'Tech Parameters'!$F12/1000</f>
        <v>84.077264356111172</v>
      </c>
      <c r="AJ522" s="77">
        <f ca="1">AJ373*'Tech Parameters'!$F12/1000</f>
        <v>84.077264356111172</v>
      </c>
      <c r="AK522" s="77">
        <f ca="1">AK373*'Tech Parameters'!$F12/1000</f>
        <v>84.077264356111172</v>
      </c>
      <c r="AL522" s="77">
        <f ca="1">AL373*'Tech Parameters'!$F12/1000</f>
        <v>84.077264356111172</v>
      </c>
      <c r="AM522" s="77">
        <f ca="1">AM373*'Tech Parameters'!$F12/1000</f>
        <v>84.077264356111172</v>
      </c>
      <c r="AN522" s="77">
        <f ca="1">AN373*'Tech Parameters'!$F12/1000</f>
        <v>84.077264356111172</v>
      </c>
      <c r="AO522" s="77">
        <f ca="1">AO373*'Tech Parameters'!$F12/1000</f>
        <v>84.077264356111172</v>
      </c>
      <c r="AP522" s="77">
        <f ca="1">AP373*'Tech Parameters'!$F12/1000</f>
        <v>84.077264356111172</v>
      </c>
      <c r="AQ522" s="77">
        <f ca="1">AQ373*'Tech Parameters'!$F12/1000</f>
        <v>84.077264356111172</v>
      </c>
      <c r="AR522" s="77">
        <f ca="1">AR373*'Tech Parameters'!$F12/1000</f>
        <v>84.077264356111172</v>
      </c>
      <c r="AS522" s="77">
        <f ca="1">AS373*'Tech Parameters'!$F12/1000</f>
        <v>84.077264356111172</v>
      </c>
      <c r="AT522" s="77">
        <f ca="1">AT373*'Tech Parameters'!$F12/1000</f>
        <v>84.077264356111172</v>
      </c>
      <c r="AU522" s="77">
        <f ca="1">AU373*'Tech Parameters'!$F12/1000</f>
        <v>84.077264356111172</v>
      </c>
      <c r="AV522" s="77">
        <f ca="1">AV373*'Tech Parameters'!$F12/1000</f>
        <v>84.077264356111172</v>
      </c>
      <c r="AW522" s="77">
        <f ca="1">AW373*'Tech Parameters'!$F12/1000</f>
        <v>84.077264356111172</v>
      </c>
    </row>
    <row r="523" spans="3:49">
      <c r="C523" t="str">
        <f t="shared" si="115"/>
        <v>Supercritical coal</v>
      </c>
      <c r="D523" s="24">
        <f>D374*'Tech Parameters'!$F13/1000</f>
        <v>0</v>
      </c>
      <c r="E523" s="24">
        <f>E374*'Tech Parameters'!$F13/1000</f>
        <v>0</v>
      </c>
      <c r="F523" s="24">
        <f>F374*'Tech Parameters'!$F13/1000</f>
        <v>0</v>
      </c>
      <c r="G523" s="24">
        <f>G374*'Tech Parameters'!$F13/1000</f>
        <v>0</v>
      </c>
      <c r="H523" s="24">
        <f>H374*'Tech Parameters'!$F13/1000</f>
        <v>0</v>
      </c>
      <c r="I523" s="24">
        <f ca="1">I374*'Tech Parameters'!$F13/1000</f>
        <v>0</v>
      </c>
      <c r="J523" s="24">
        <f ca="1">J374*'Tech Parameters'!$F13/1000</f>
        <v>0</v>
      </c>
      <c r="K523" s="24">
        <f ca="1">K374*'Tech Parameters'!$F13/1000</f>
        <v>48.637467264562815</v>
      </c>
      <c r="L523" s="24">
        <f ca="1">L374*'Tech Parameters'!$F13/1000</f>
        <v>145.91240179368845</v>
      </c>
      <c r="M523" s="24">
        <f ca="1">M374*'Tech Parameters'!$F13/1000</f>
        <v>305.37357928554468</v>
      </c>
      <c r="N523" s="24">
        <f ca="1">N374*'Tech Parameters'!$F13/1000</f>
        <v>482.74579308419266</v>
      </c>
      <c r="O523" s="24">
        <f ca="1">O374*'Tech Parameters'!$F13/1000</f>
        <v>660.5876208207153</v>
      </c>
      <c r="P523" s="24">
        <f ca="1">P374*'Tech Parameters'!$F13/1000</f>
        <v>775.140243212016</v>
      </c>
      <c r="Q523" s="24">
        <f ca="1">Q374*'Tech Parameters'!$F13/1000</f>
        <v>843.67352430066035</v>
      </c>
      <c r="R523" s="24">
        <f ca="1">R374*'Tech Parameters'!$F13/1000</f>
        <v>826.39046745460473</v>
      </c>
      <c r="S523" s="24">
        <f ca="1">S374*'Tech Parameters'!$F13/1000</f>
        <v>804.7443833891698</v>
      </c>
      <c r="T523" s="24">
        <f ca="1">T374*'Tech Parameters'!$F13/1000</f>
        <v>699.43258219317272</v>
      </c>
      <c r="U523" s="24">
        <f ca="1">U374*'Tech Parameters'!$F13/1000</f>
        <v>628.83169826556866</v>
      </c>
      <c r="V523" s="24">
        <f ca="1">V374*'Tech Parameters'!$F13/1000</f>
        <v>583.6496071747539</v>
      </c>
      <c r="W523" s="24">
        <f ca="1">W374*'Tech Parameters'!$F13/1000</f>
        <v>583.6496071747539</v>
      </c>
      <c r="X523" s="24">
        <f ca="1">X374*'Tech Parameters'!$F13/1000</f>
        <v>587.33804278719106</v>
      </c>
      <c r="Y523" s="24">
        <f ca="1">Y374*'Tech Parameters'!$F13/1000</f>
        <v>771.62852155669987</v>
      </c>
      <c r="Z523" s="24">
        <f ca="1">Z374*'Tech Parameters'!$F13/1000</f>
        <v>847.20672890802393</v>
      </c>
      <c r="AA523" s="24">
        <f ca="1">AA374*'Tech Parameters'!$F13/1000</f>
        <v>948.78374338885544</v>
      </c>
      <c r="AB523" s="24">
        <f ca="1">AB374*'Tech Parameters'!$F13/1000</f>
        <v>1310.4215599880474</v>
      </c>
      <c r="AC523" s="24">
        <f ca="1">AC374*'Tech Parameters'!$F13/1000</f>
        <v>1348.6897688176236</v>
      </c>
      <c r="AD523" s="77">
        <f ca="1">AD374*'Tech Parameters'!$F13/1000</f>
        <v>1348.6897688176236</v>
      </c>
      <c r="AE523" s="77">
        <f ca="1">AE374*'Tech Parameters'!$F13/1000</f>
        <v>1354.8778201281561</v>
      </c>
      <c r="AF523" s="77">
        <f ca="1">AF374*'Tech Parameters'!$F13/1000</f>
        <v>1361.0658714386886</v>
      </c>
      <c r="AG523" s="77">
        <f ca="1">AG374*'Tech Parameters'!$F13/1000</f>
        <v>2134.9962472424741</v>
      </c>
      <c r="AH523" s="77">
        <f ca="1">AH374*'Tech Parameters'!$F13/1000</f>
        <v>2908.926623046259</v>
      </c>
      <c r="AI523" s="77">
        <f ca="1">AI374*'Tech Parameters'!$F13/1000</f>
        <v>3312.9734661017155</v>
      </c>
      <c r="AJ523" s="77">
        <f ca="1">AJ374*'Tech Parameters'!$F13/1000</f>
        <v>4137.4918206295188</v>
      </c>
      <c r="AK523" s="77">
        <f ca="1">AK374*'Tech Parameters'!$F13/1000</f>
        <v>4581.0168565920812</v>
      </c>
      <c r="AL523" s="77">
        <f ca="1">AL374*'Tech Parameters'!$F13/1000</f>
        <v>4604.0703810823006</v>
      </c>
      <c r="AM523" s="77">
        <f ca="1">AM374*'Tech Parameters'!$F13/1000</f>
        <v>4604.0703810823006</v>
      </c>
      <c r="AN523" s="77">
        <f ca="1">AN374*'Tech Parameters'!$F13/1000</f>
        <v>4604.0703810823006</v>
      </c>
      <c r="AO523" s="77">
        <f ca="1">AO374*'Tech Parameters'!$F13/1000</f>
        <v>4604.0703810823006</v>
      </c>
      <c r="AP523" s="77">
        <f ca="1">AP374*'Tech Parameters'!$F13/1000</f>
        <v>4604.0703810823006</v>
      </c>
      <c r="AQ523" s="77">
        <f ca="1">AQ374*'Tech Parameters'!$F13/1000</f>
        <v>4604.0703810823006</v>
      </c>
      <c r="AR523" s="77">
        <f ca="1">AR374*'Tech Parameters'!$F13/1000</f>
        <v>5024.8703859229845</v>
      </c>
      <c r="AS523" s="77">
        <f ca="1">AS374*'Tech Parameters'!$F13/1000</f>
        <v>5445.6703907636675</v>
      </c>
      <c r="AT523" s="77">
        <f ca="1">AT374*'Tech Parameters'!$F13/1000</f>
        <v>5445.6703907636675</v>
      </c>
      <c r="AU523" s="77">
        <f ca="1">AU374*'Tech Parameters'!$F13/1000</f>
        <v>5445.6703907636675</v>
      </c>
      <c r="AV523" s="77">
        <f ca="1">AV374*'Tech Parameters'!$F13/1000</f>
        <v>5445.6703907636675</v>
      </c>
      <c r="AW523" s="77">
        <f ca="1">AW374*'Tech Parameters'!$F13/1000</f>
        <v>5445.6703907636675</v>
      </c>
    </row>
    <row r="524" spans="3:49">
      <c r="C524" t="str">
        <f t="shared" si="115"/>
        <v xml:space="preserve">Wind 30% </v>
      </c>
      <c r="D524" s="24">
        <f>D375*'Tech Parameters'!$F14/1000</f>
        <v>0</v>
      </c>
      <c r="E524" s="24">
        <f>E375*'Tech Parameters'!$F14/1000</f>
        <v>0</v>
      </c>
      <c r="F524" s="24">
        <f>F375*'Tech Parameters'!$F14/1000</f>
        <v>0</v>
      </c>
      <c r="G524" s="24">
        <f>G375*'Tech Parameters'!$F14/1000</f>
        <v>0</v>
      </c>
      <c r="H524" s="24">
        <f>H375*'Tech Parameters'!$F14/1000</f>
        <v>0</v>
      </c>
      <c r="I524" s="24">
        <f ca="1">I375*'Tech Parameters'!$F14/1000</f>
        <v>0</v>
      </c>
      <c r="J524" s="24">
        <f ca="1">J375*'Tech Parameters'!$F14/1000</f>
        <v>0</v>
      </c>
      <c r="K524" s="24">
        <f ca="1">K375*'Tech Parameters'!$F14/1000</f>
        <v>0</v>
      </c>
      <c r="L524" s="24">
        <f ca="1">L375*'Tech Parameters'!$F14/1000</f>
        <v>0</v>
      </c>
      <c r="M524" s="24">
        <f ca="1">M375*'Tech Parameters'!$F14/1000</f>
        <v>0</v>
      </c>
      <c r="N524" s="24">
        <f ca="1">N375*'Tech Parameters'!$F14/1000</f>
        <v>0</v>
      </c>
      <c r="O524" s="24">
        <f ca="1">O375*'Tech Parameters'!$F14/1000</f>
        <v>0</v>
      </c>
      <c r="P524" s="24">
        <f ca="1">P375*'Tech Parameters'!$F14/1000</f>
        <v>0</v>
      </c>
      <c r="Q524" s="24">
        <f ca="1">Q375*'Tech Parameters'!$F14/1000</f>
        <v>0</v>
      </c>
      <c r="R524" s="24">
        <f ca="1">R375*'Tech Parameters'!$F14/1000</f>
        <v>0</v>
      </c>
      <c r="S524" s="24">
        <f ca="1">S375*'Tech Parameters'!$F14/1000</f>
        <v>0</v>
      </c>
      <c r="T524" s="24">
        <f ca="1">T375*'Tech Parameters'!$F14/1000</f>
        <v>0</v>
      </c>
      <c r="U524" s="24">
        <f ca="1">U375*'Tech Parameters'!$F14/1000</f>
        <v>0</v>
      </c>
      <c r="V524" s="24">
        <f ca="1">V375*'Tech Parameters'!$F14/1000</f>
        <v>0</v>
      </c>
      <c r="W524" s="24">
        <f ca="1">W375*'Tech Parameters'!$F14/1000</f>
        <v>0</v>
      </c>
      <c r="X524" s="24">
        <f ca="1">X375*'Tech Parameters'!$F14/1000</f>
        <v>0</v>
      </c>
      <c r="Y524" s="24">
        <f ca="1">Y375*'Tech Parameters'!$F14/1000</f>
        <v>0</v>
      </c>
      <c r="Z524" s="24">
        <f ca="1">Z375*'Tech Parameters'!$F14/1000</f>
        <v>0</v>
      </c>
      <c r="AA524" s="24">
        <f ca="1">AA375*'Tech Parameters'!$F14/1000</f>
        <v>0</v>
      </c>
      <c r="AB524" s="24">
        <f ca="1">AB375*'Tech Parameters'!$F14/1000</f>
        <v>0</v>
      </c>
      <c r="AC524" s="24">
        <f ca="1">AC375*'Tech Parameters'!$F14/1000</f>
        <v>0</v>
      </c>
      <c r="AD524" s="77">
        <f ca="1">AD375*'Tech Parameters'!$F14/1000</f>
        <v>0</v>
      </c>
      <c r="AE524" s="77">
        <f ca="1">AE375*'Tech Parameters'!$F14/1000</f>
        <v>0</v>
      </c>
      <c r="AF524" s="77">
        <f ca="1">AF375*'Tech Parameters'!$F14/1000</f>
        <v>0</v>
      </c>
      <c r="AG524" s="77">
        <f ca="1">AG375*'Tech Parameters'!$F14/1000</f>
        <v>0</v>
      </c>
      <c r="AH524" s="77">
        <f ca="1">AH375*'Tech Parameters'!$F14/1000</f>
        <v>0</v>
      </c>
      <c r="AI524" s="77">
        <f ca="1">AI375*'Tech Parameters'!$F14/1000</f>
        <v>0</v>
      </c>
      <c r="AJ524" s="77">
        <f ca="1">AJ375*'Tech Parameters'!$F14/1000</f>
        <v>0</v>
      </c>
      <c r="AK524" s="77">
        <f ca="1">AK375*'Tech Parameters'!$F14/1000</f>
        <v>0</v>
      </c>
      <c r="AL524" s="77">
        <f ca="1">AL375*'Tech Parameters'!$F14/1000</f>
        <v>0</v>
      </c>
      <c r="AM524" s="77">
        <f ca="1">AM375*'Tech Parameters'!$F14/1000</f>
        <v>0</v>
      </c>
      <c r="AN524" s="77">
        <f ca="1">AN375*'Tech Parameters'!$F14/1000</f>
        <v>0</v>
      </c>
      <c r="AO524" s="77">
        <f ca="1">AO375*'Tech Parameters'!$F14/1000</f>
        <v>0</v>
      </c>
      <c r="AP524" s="77">
        <f ca="1">AP375*'Tech Parameters'!$F14/1000</f>
        <v>0</v>
      </c>
      <c r="AQ524" s="77">
        <f ca="1">AQ375*'Tech Parameters'!$F14/1000</f>
        <v>0</v>
      </c>
      <c r="AR524" s="77">
        <f ca="1">AR375*'Tech Parameters'!$F14/1000</f>
        <v>0</v>
      </c>
      <c r="AS524" s="77">
        <f ca="1">AS375*'Tech Parameters'!$F14/1000</f>
        <v>0</v>
      </c>
      <c r="AT524" s="77">
        <f ca="1">AT375*'Tech Parameters'!$F14/1000</f>
        <v>0</v>
      </c>
      <c r="AU524" s="77">
        <f ca="1">AU375*'Tech Parameters'!$F14/1000</f>
        <v>0</v>
      </c>
      <c r="AV524" s="77">
        <f ca="1">AV375*'Tech Parameters'!$F14/1000</f>
        <v>0</v>
      </c>
      <c r="AW524" s="77">
        <f ca="1">AW375*'Tech Parameters'!$F14/1000</f>
        <v>0</v>
      </c>
    </row>
    <row r="525" spans="3:49">
      <c r="C525" t="str">
        <f t="shared" si="115"/>
        <v>Wind 25%</v>
      </c>
      <c r="D525" s="24">
        <f>D376*'Tech Parameters'!$F15/1000</f>
        <v>0</v>
      </c>
      <c r="E525" s="24">
        <f>E376*'Tech Parameters'!$F15/1000</f>
        <v>0</v>
      </c>
      <c r="F525" s="24">
        <f>F376*'Tech Parameters'!$F15/1000</f>
        <v>0</v>
      </c>
      <c r="G525" s="24">
        <f>G376*'Tech Parameters'!$F15/1000</f>
        <v>0</v>
      </c>
      <c r="H525" s="24">
        <f>H376*'Tech Parameters'!$F15/1000</f>
        <v>0</v>
      </c>
      <c r="I525" s="24">
        <f ca="1">I376*'Tech Parameters'!$F15/1000</f>
        <v>0</v>
      </c>
      <c r="J525" s="24">
        <f ca="1">J376*'Tech Parameters'!$F15/1000</f>
        <v>0</v>
      </c>
      <c r="K525" s="24">
        <f ca="1">K376*'Tech Parameters'!$F15/1000</f>
        <v>0</v>
      </c>
      <c r="L525" s="24">
        <f ca="1">L376*'Tech Parameters'!$F15/1000</f>
        <v>0</v>
      </c>
      <c r="M525" s="24">
        <f ca="1">M376*'Tech Parameters'!$F15/1000</f>
        <v>0</v>
      </c>
      <c r="N525" s="24">
        <f ca="1">N376*'Tech Parameters'!$F15/1000</f>
        <v>0</v>
      </c>
      <c r="O525" s="24">
        <f ca="1">O376*'Tech Parameters'!$F15/1000</f>
        <v>0</v>
      </c>
      <c r="P525" s="24">
        <f ca="1">P376*'Tech Parameters'!$F15/1000</f>
        <v>0</v>
      </c>
      <c r="Q525" s="24">
        <f ca="1">Q376*'Tech Parameters'!$F15/1000</f>
        <v>0</v>
      </c>
      <c r="R525" s="24">
        <f ca="1">R376*'Tech Parameters'!$F15/1000</f>
        <v>0</v>
      </c>
      <c r="S525" s="24">
        <f ca="1">S376*'Tech Parameters'!$F15/1000</f>
        <v>0</v>
      </c>
      <c r="T525" s="24">
        <f ca="1">T376*'Tech Parameters'!$F15/1000</f>
        <v>0</v>
      </c>
      <c r="U525" s="24">
        <f ca="1">U376*'Tech Parameters'!$F15/1000</f>
        <v>0</v>
      </c>
      <c r="V525" s="24">
        <f ca="1">V376*'Tech Parameters'!$F15/1000</f>
        <v>0</v>
      </c>
      <c r="W525" s="24">
        <f ca="1">W376*'Tech Parameters'!$F15/1000</f>
        <v>0</v>
      </c>
      <c r="X525" s="24">
        <f ca="1">X376*'Tech Parameters'!$F15/1000</f>
        <v>0</v>
      </c>
      <c r="Y525" s="24">
        <f ca="1">Y376*'Tech Parameters'!$F15/1000</f>
        <v>0</v>
      </c>
      <c r="Z525" s="24">
        <f ca="1">Z376*'Tech Parameters'!$F15/1000</f>
        <v>0</v>
      </c>
      <c r="AA525" s="24">
        <f ca="1">AA376*'Tech Parameters'!$F15/1000</f>
        <v>0</v>
      </c>
      <c r="AB525" s="24">
        <f ca="1">AB376*'Tech Parameters'!$F15/1000</f>
        <v>0</v>
      </c>
      <c r="AC525" s="24">
        <f ca="1">AC376*'Tech Parameters'!$F15/1000</f>
        <v>0</v>
      </c>
      <c r="AD525" s="77">
        <f ca="1">AD376*'Tech Parameters'!$F15/1000</f>
        <v>0</v>
      </c>
      <c r="AE525" s="77">
        <f ca="1">AE376*'Tech Parameters'!$F15/1000</f>
        <v>0</v>
      </c>
      <c r="AF525" s="77">
        <f ca="1">AF376*'Tech Parameters'!$F15/1000</f>
        <v>0</v>
      </c>
      <c r="AG525" s="77">
        <f ca="1">AG376*'Tech Parameters'!$F15/1000</f>
        <v>0</v>
      </c>
      <c r="AH525" s="77">
        <f ca="1">AH376*'Tech Parameters'!$F15/1000</f>
        <v>0</v>
      </c>
      <c r="AI525" s="77">
        <f ca="1">AI376*'Tech Parameters'!$F15/1000</f>
        <v>0</v>
      </c>
      <c r="AJ525" s="77">
        <f ca="1">AJ376*'Tech Parameters'!$F15/1000</f>
        <v>0</v>
      </c>
      <c r="AK525" s="77">
        <f ca="1">AK376*'Tech Parameters'!$F15/1000</f>
        <v>0</v>
      </c>
      <c r="AL525" s="77">
        <f ca="1">AL376*'Tech Parameters'!$F15/1000</f>
        <v>0</v>
      </c>
      <c r="AM525" s="77">
        <f ca="1">AM376*'Tech Parameters'!$F15/1000</f>
        <v>0</v>
      </c>
      <c r="AN525" s="77">
        <f ca="1">AN376*'Tech Parameters'!$F15/1000</f>
        <v>0</v>
      </c>
      <c r="AO525" s="77">
        <f ca="1">AO376*'Tech Parameters'!$F15/1000</f>
        <v>0</v>
      </c>
      <c r="AP525" s="77">
        <f ca="1">AP376*'Tech Parameters'!$F15/1000</f>
        <v>0</v>
      </c>
      <c r="AQ525" s="77">
        <f ca="1">AQ376*'Tech Parameters'!$F15/1000</f>
        <v>0</v>
      </c>
      <c r="AR525" s="77">
        <f ca="1">AR376*'Tech Parameters'!$F15/1000</f>
        <v>0</v>
      </c>
      <c r="AS525" s="77">
        <f ca="1">AS376*'Tech Parameters'!$F15/1000</f>
        <v>0</v>
      </c>
      <c r="AT525" s="77">
        <f ca="1">AT376*'Tech Parameters'!$F15/1000</f>
        <v>0</v>
      </c>
      <c r="AU525" s="77">
        <f ca="1">AU376*'Tech Parameters'!$F15/1000</f>
        <v>0</v>
      </c>
      <c r="AV525" s="77">
        <f ca="1">AV376*'Tech Parameters'!$F15/1000</f>
        <v>0</v>
      </c>
      <c r="AW525" s="77">
        <f ca="1">AW376*'Tech Parameters'!$F15/1000</f>
        <v>0</v>
      </c>
    </row>
    <row r="526" spans="3:49">
      <c r="C526" t="str">
        <f t="shared" si="115"/>
        <v>solar thermal central reciever</v>
      </c>
      <c r="D526" s="24">
        <f>D377*'Tech Parameters'!$F16/1000</f>
        <v>0</v>
      </c>
      <c r="E526" s="24">
        <f>E377*'Tech Parameters'!$F16/1000</f>
        <v>0</v>
      </c>
      <c r="F526" s="24">
        <f>F377*'Tech Parameters'!$F16/1000</f>
        <v>0</v>
      </c>
      <c r="G526" s="24">
        <f>G377*'Tech Parameters'!$F16/1000</f>
        <v>0</v>
      </c>
      <c r="H526" s="24">
        <f>H377*'Tech Parameters'!$F16/1000</f>
        <v>0</v>
      </c>
      <c r="I526" s="24">
        <f ca="1">I377*'Tech Parameters'!$F16/1000</f>
        <v>0</v>
      </c>
      <c r="J526" s="24">
        <f ca="1">J377*'Tech Parameters'!$F16/1000</f>
        <v>0</v>
      </c>
      <c r="K526" s="24">
        <f ca="1">K377*'Tech Parameters'!$F16/1000</f>
        <v>0</v>
      </c>
      <c r="L526" s="24">
        <f ca="1">L377*'Tech Parameters'!$F16/1000</f>
        <v>0</v>
      </c>
      <c r="M526" s="24">
        <f ca="1">M377*'Tech Parameters'!$F16/1000</f>
        <v>0</v>
      </c>
      <c r="N526" s="24">
        <f ca="1">N377*'Tech Parameters'!$F16/1000</f>
        <v>0</v>
      </c>
      <c r="O526" s="24">
        <f ca="1">O377*'Tech Parameters'!$F16/1000</f>
        <v>0</v>
      </c>
      <c r="P526" s="24">
        <f ca="1">P377*'Tech Parameters'!$F16/1000</f>
        <v>0</v>
      </c>
      <c r="Q526" s="24">
        <f ca="1">Q377*'Tech Parameters'!$F16/1000</f>
        <v>0</v>
      </c>
      <c r="R526" s="24">
        <f ca="1">R377*'Tech Parameters'!$F16/1000</f>
        <v>0</v>
      </c>
      <c r="S526" s="24">
        <f ca="1">S377*'Tech Parameters'!$F16/1000</f>
        <v>0</v>
      </c>
      <c r="T526" s="24">
        <f ca="1">T377*'Tech Parameters'!$F16/1000</f>
        <v>0</v>
      </c>
      <c r="U526" s="24">
        <f ca="1">U377*'Tech Parameters'!$F16/1000</f>
        <v>0</v>
      </c>
      <c r="V526" s="24">
        <f ca="1">V377*'Tech Parameters'!$F16/1000</f>
        <v>0</v>
      </c>
      <c r="W526" s="24">
        <f ca="1">W377*'Tech Parameters'!$F16/1000</f>
        <v>0</v>
      </c>
      <c r="X526" s="24">
        <f ca="1">X377*'Tech Parameters'!$F16/1000</f>
        <v>0</v>
      </c>
      <c r="Y526" s="24">
        <f ca="1">Y377*'Tech Parameters'!$F16/1000</f>
        <v>0</v>
      </c>
      <c r="Z526" s="24">
        <f ca="1">Z377*'Tech Parameters'!$F16/1000</f>
        <v>0</v>
      </c>
      <c r="AA526" s="24">
        <f ca="1">AA377*'Tech Parameters'!$F16/1000</f>
        <v>0</v>
      </c>
      <c r="AB526" s="24">
        <f ca="1">AB377*'Tech Parameters'!$F16/1000</f>
        <v>0</v>
      </c>
      <c r="AC526" s="24">
        <f ca="1">AC377*'Tech Parameters'!$F16/1000</f>
        <v>0</v>
      </c>
      <c r="AD526" s="77">
        <f ca="1">AD377*'Tech Parameters'!$F16/1000</f>
        <v>0</v>
      </c>
      <c r="AE526" s="77">
        <f ca="1">AE377*'Tech Parameters'!$F16/1000</f>
        <v>0</v>
      </c>
      <c r="AF526" s="77">
        <f ca="1">AF377*'Tech Parameters'!$F16/1000</f>
        <v>0</v>
      </c>
      <c r="AG526" s="77">
        <f ca="1">AG377*'Tech Parameters'!$F16/1000</f>
        <v>0</v>
      </c>
      <c r="AH526" s="77">
        <f ca="1">AH377*'Tech Parameters'!$F16/1000</f>
        <v>0</v>
      </c>
      <c r="AI526" s="77">
        <f ca="1">AI377*'Tech Parameters'!$F16/1000</f>
        <v>0</v>
      </c>
      <c r="AJ526" s="77">
        <f ca="1">AJ377*'Tech Parameters'!$F16/1000</f>
        <v>0</v>
      </c>
      <c r="AK526" s="77">
        <f ca="1">AK377*'Tech Parameters'!$F16/1000</f>
        <v>0</v>
      </c>
      <c r="AL526" s="77">
        <f ca="1">AL377*'Tech Parameters'!$F16/1000</f>
        <v>0</v>
      </c>
      <c r="AM526" s="77">
        <f ca="1">AM377*'Tech Parameters'!$F16/1000</f>
        <v>0</v>
      </c>
      <c r="AN526" s="77">
        <f ca="1">AN377*'Tech Parameters'!$F16/1000</f>
        <v>0</v>
      </c>
      <c r="AO526" s="77">
        <f ca="1">AO377*'Tech Parameters'!$F16/1000</f>
        <v>0</v>
      </c>
      <c r="AP526" s="77">
        <f ca="1">AP377*'Tech Parameters'!$F16/1000</f>
        <v>0</v>
      </c>
      <c r="AQ526" s="77">
        <f ca="1">AQ377*'Tech Parameters'!$F16/1000</f>
        <v>0</v>
      </c>
      <c r="AR526" s="77">
        <f ca="1">AR377*'Tech Parameters'!$F16/1000</f>
        <v>0</v>
      </c>
      <c r="AS526" s="77">
        <f ca="1">AS377*'Tech Parameters'!$F16/1000</f>
        <v>0</v>
      </c>
      <c r="AT526" s="77">
        <f ca="1">AT377*'Tech Parameters'!$F16/1000</f>
        <v>0</v>
      </c>
      <c r="AU526" s="77">
        <f ca="1">AU377*'Tech Parameters'!$F16/1000</f>
        <v>0</v>
      </c>
      <c r="AV526" s="77">
        <f ca="1">AV377*'Tech Parameters'!$F16/1000</f>
        <v>0</v>
      </c>
      <c r="AW526" s="77">
        <f ca="1">AW377*'Tech Parameters'!$F16/1000</f>
        <v>0</v>
      </c>
    </row>
    <row r="527" spans="3:49">
      <c r="C527" t="str">
        <f t="shared" si="115"/>
        <v>solar thermal trough</v>
      </c>
      <c r="D527" s="24">
        <f>D378*'Tech Parameters'!$F17/1000</f>
        <v>0</v>
      </c>
      <c r="E527" s="24">
        <f>E378*'Tech Parameters'!$F17/1000</f>
        <v>0</v>
      </c>
      <c r="F527" s="24">
        <f>F378*'Tech Parameters'!$F17/1000</f>
        <v>0</v>
      </c>
      <c r="G527" s="24">
        <f>G378*'Tech Parameters'!$F17/1000</f>
        <v>0</v>
      </c>
      <c r="H527" s="24">
        <f>H378*'Tech Parameters'!$F17/1000</f>
        <v>0</v>
      </c>
      <c r="I527" s="24">
        <f ca="1">I378*'Tech Parameters'!$F17/1000</f>
        <v>0</v>
      </c>
      <c r="J527" s="24">
        <f ca="1">J378*'Tech Parameters'!$F17/1000</f>
        <v>0</v>
      </c>
      <c r="K527" s="24">
        <f ca="1">K378*'Tech Parameters'!$F17/1000</f>
        <v>0</v>
      </c>
      <c r="L527" s="24">
        <f ca="1">L378*'Tech Parameters'!$F17/1000</f>
        <v>0</v>
      </c>
      <c r="M527" s="24">
        <f ca="1">M378*'Tech Parameters'!$F17/1000</f>
        <v>0</v>
      </c>
      <c r="N527" s="24">
        <f ca="1">N378*'Tech Parameters'!$F17/1000</f>
        <v>0</v>
      </c>
      <c r="O527" s="24">
        <f ca="1">O378*'Tech Parameters'!$F17/1000</f>
        <v>0</v>
      </c>
      <c r="P527" s="24">
        <f ca="1">P378*'Tech Parameters'!$F17/1000</f>
        <v>0</v>
      </c>
      <c r="Q527" s="24">
        <f ca="1">Q378*'Tech Parameters'!$F17/1000</f>
        <v>0</v>
      </c>
      <c r="R527" s="24">
        <f ca="1">R378*'Tech Parameters'!$F17/1000</f>
        <v>0</v>
      </c>
      <c r="S527" s="24">
        <f ca="1">S378*'Tech Parameters'!$F17/1000</f>
        <v>0</v>
      </c>
      <c r="T527" s="24">
        <f ca="1">T378*'Tech Parameters'!$F17/1000</f>
        <v>0</v>
      </c>
      <c r="U527" s="24">
        <f ca="1">U378*'Tech Parameters'!$F17/1000</f>
        <v>0</v>
      </c>
      <c r="V527" s="24">
        <f ca="1">V378*'Tech Parameters'!$F17/1000</f>
        <v>0</v>
      </c>
      <c r="W527" s="24">
        <f ca="1">W378*'Tech Parameters'!$F17/1000</f>
        <v>0</v>
      </c>
      <c r="X527" s="24">
        <f ca="1">X378*'Tech Parameters'!$F17/1000</f>
        <v>0</v>
      </c>
      <c r="Y527" s="24">
        <f ca="1">Y378*'Tech Parameters'!$F17/1000</f>
        <v>0</v>
      </c>
      <c r="Z527" s="24">
        <f ca="1">Z378*'Tech Parameters'!$F17/1000</f>
        <v>0</v>
      </c>
      <c r="AA527" s="24">
        <f ca="1">AA378*'Tech Parameters'!$F17/1000</f>
        <v>0</v>
      </c>
      <c r="AB527" s="24">
        <f ca="1">AB378*'Tech Parameters'!$F17/1000</f>
        <v>0</v>
      </c>
      <c r="AC527" s="24">
        <f ca="1">AC378*'Tech Parameters'!$F17/1000</f>
        <v>0</v>
      </c>
      <c r="AD527" s="77">
        <f ca="1">AD378*'Tech Parameters'!$F17/1000</f>
        <v>0</v>
      </c>
      <c r="AE527" s="77">
        <f ca="1">AE378*'Tech Parameters'!$F17/1000</f>
        <v>0</v>
      </c>
      <c r="AF527" s="77">
        <f ca="1">AF378*'Tech Parameters'!$F17/1000</f>
        <v>0</v>
      </c>
      <c r="AG527" s="77">
        <f ca="1">AG378*'Tech Parameters'!$F17/1000</f>
        <v>0</v>
      </c>
      <c r="AH527" s="77">
        <f ca="1">AH378*'Tech Parameters'!$F17/1000</f>
        <v>0</v>
      </c>
      <c r="AI527" s="77">
        <f ca="1">AI378*'Tech Parameters'!$F17/1000</f>
        <v>0</v>
      </c>
      <c r="AJ527" s="77">
        <f ca="1">AJ378*'Tech Parameters'!$F17/1000</f>
        <v>0</v>
      </c>
      <c r="AK527" s="77">
        <f ca="1">AK378*'Tech Parameters'!$F17/1000</f>
        <v>0</v>
      </c>
      <c r="AL527" s="77">
        <f ca="1">AL378*'Tech Parameters'!$F17/1000</f>
        <v>0</v>
      </c>
      <c r="AM527" s="77">
        <f ca="1">AM378*'Tech Parameters'!$F17/1000</f>
        <v>0</v>
      </c>
      <c r="AN527" s="77">
        <f ca="1">AN378*'Tech Parameters'!$F17/1000</f>
        <v>0</v>
      </c>
      <c r="AO527" s="77">
        <f ca="1">AO378*'Tech Parameters'!$F17/1000</f>
        <v>0</v>
      </c>
      <c r="AP527" s="77">
        <f ca="1">AP378*'Tech Parameters'!$F17/1000</f>
        <v>0</v>
      </c>
      <c r="AQ527" s="77">
        <f ca="1">AQ378*'Tech Parameters'!$F17/1000</f>
        <v>0</v>
      </c>
      <c r="AR527" s="77">
        <f ca="1">AR378*'Tech Parameters'!$F17/1000</f>
        <v>0</v>
      </c>
      <c r="AS527" s="77">
        <f ca="1">AS378*'Tech Parameters'!$F17/1000</f>
        <v>0</v>
      </c>
      <c r="AT527" s="77">
        <f ca="1">AT378*'Tech Parameters'!$F17/1000</f>
        <v>0</v>
      </c>
      <c r="AU527" s="77">
        <f ca="1">AU378*'Tech Parameters'!$F17/1000</f>
        <v>0</v>
      </c>
      <c r="AV527" s="77">
        <f ca="1">AV378*'Tech Parameters'!$F17/1000</f>
        <v>0</v>
      </c>
      <c r="AW527" s="77">
        <f ca="1">AW378*'Tech Parameters'!$F17/1000</f>
        <v>0</v>
      </c>
    </row>
    <row r="528" spans="3:49">
      <c r="C528" t="str">
        <f t="shared" si="115"/>
        <v>solar PV</v>
      </c>
      <c r="D528" s="24">
        <f>D379*'Tech Parameters'!$F18/1000</f>
        <v>0</v>
      </c>
      <c r="E528" s="24">
        <f>E379*'Tech Parameters'!$F18/1000</f>
        <v>0</v>
      </c>
      <c r="F528" s="24">
        <f>F379*'Tech Parameters'!$F18/1000</f>
        <v>0</v>
      </c>
      <c r="G528" s="24">
        <f>G379*'Tech Parameters'!$F18/1000</f>
        <v>0</v>
      </c>
      <c r="H528" s="24">
        <f>H379*'Tech Parameters'!$F18/1000</f>
        <v>0</v>
      </c>
      <c r="I528" s="24">
        <f ca="1">I379*'Tech Parameters'!$F18/1000</f>
        <v>0</v>
      </c>
      <c r="J528" s="24">
        <f ca="1">J379*'Tech Parameters'!$F18/1000</f>
        <v>0</v>
      </c>
      <c r="K528" s="24">
        <f ca="1">K379*'Tech Parameters'!$F18/1000</f>
        <v>0</v>
      </c>
      <c r="L528" s="24">
        <f ca="1">L379*'Tech Parameters'!$F18/1000</f>
        <v>0</v>
      </c>
      <c r="M528" s="24">
        <f ca="1">M379*'Tech Parameters'!$F18/1000</f>
        <v>0</v>
      </c>
      <c r="N528" s="24">
        <f ca="1">N379*'Tech Parameters'!$F18/1000</f>
        <v>0</v>
      </c>
      <c r="O528" s="24">
        <f ca="1">O379*'Tech Parameters'!$F18/1000</f>
        <v>0</v>
      </c>
      <c r="P528" s="24">
        <f ca="1">P379*'Tech Parameters'!$F18/1000</f>
        <v>0</v>
      </c>
      <c r="Q528" s="24">
        <f ca="1">Q379*'Tech Parameters'!$F18/1000</f>
        <v>0</v>
      </c>
      <c r="R528" s="24">
        <f ca="1">R379*'Tech Parameters'!$F18/1000</f>
        <v>0</v>
      </c>
      <c r="S528" s="24">
        <f ca="1">S379*'Tech Parameters'!$F18/1000</f>
        <v>0</v>
      </c>
      <c r="T528" s="24">
        <f ca="1">T379*'Tech Parameters'!$F18/1000</f>
        <v>0</v>
      </c>
      <c r="U528" s="24">
        <f ca="1">U379*'Tech Parameters'!$F18/1000</f>
        <v>0</v>
      </c>
      <c r="V528" s="24">
        <f ca="1">V379*'Tech Parameters'!$F18/1000</f>
        <v>0</v>
      </c>
      <c r="W528" s="24">
        <f ca="1">W379*'Tech Parameters'!$F18/1000</f>
        <v>0</v>
      </c>
      <c r="X528" s="24">
        <f ca="1">X379*'Tech Parameters'!$F18/1000</f>
        <v>0</v>
      </c>
      <c r="Y528" s="24">
        <f ca="1">Y379*'Tech Parameters'!$F18/1000</f>
        <v>0</v>
      </c>
      <c r="Z528" s="24">
        <f ca="1">Z379*'Tech Parameters'!$F18/1000</f>
        <v>0</v>
      </c>
      <c r="AA528" s="24">
        <f ca="1">AA379*'Tech Parameters'!$F18/1000</f>
        <v>0</v>
      </c>
      <c r="AB528" s="24">
        <f ca="1">AB379*'Tech Parameters'!$F18/1000</f>
        <v>0</v>
      </c>
      <c r="AC528" s="24">
        <f ca="1">AC379*'Tech Parameters'!$F18/1000</f>
        <v>0</v>
      </c>
      <c r="AD528" s="77">
        <f ca="1">AD379*'Tech Parameters'!$F18/1000</f>
        <v>0</v>
      </c>
      <c r="AE528" s="77">
        <f ca="1">AE379*'Tech Parameters'!$F18/1000</f>
        <v>0</v>
      </c>
      <c r="AF528" s="77">
        <f ca="1">AF379*'Tech Parameters'!$F18/1000</f>
        <v>0</v>
      </c>
      <c r="AG528" s="77">
        <f ca="1">AG379*'Tech Parameters'!$F18/1000</f>
        <v>0</v>
      </c>
      <c r="AH528" s="77">
        <f ca="1">AH379*'Tech Parameters'!$F18/1000</f>
        <v>0</v>
      </c>
      <c r="AI528" s="77">
        <f ca="1">AI379*'Tech Parameters'!$F18/1000</f>
        <v>0</v>
      </c>
      <c r="AJ528" s="77">
        <f ca="1">AJ379*'Tech Parameters'!$F18/1000</f>
        <v>0</v>
      </c>
      <c r="AK528" s="77">
        <f ca="1">AK379*'Tech Parameters'!$F18/1000</f>
        <v>0</v>
      </c>
      <c r="AL528" s="77">
        <f ca="1">AL379*'Tech Parameters'!$F18/1000</f>
        <v>0</v>
      </c>
      <c r="AM528" s="77">
        <f ca="1">AM379*'Tech Parameters'!$F18/1000</f>
        <v>0</v>
      </c>
      <c r="AN528" s="77">
        <f ca="1">AN379*'Tech Parameters'!$F18/1000</f>
        <v>0</v>
      </c>
      <c r="AO528" s="77">
        <f ca="1">AO379*'Tech Parameters'!$F18/1000</f>
        <v>0</v>
      </c>
      <c r="AP528" s="77">
        <f ca="1">AP379*'Tech Parameters'!$F18/1000</f>
        <v>0</v>
      </c>
      <c r="AQ528" s="77">
        <f ca="1">AQ379*'Tech Parameters'!$F18/1000</f>
        <v>0</v>
      </c>
      <c r="AR528" s="77">
        <f ca="1">AR379*'Tech Parameters'!$F18/1000</f>
        <v>0</v>
      </c>
      <c r="AS528" s="77">
        <f ca="1">AS379*'Tech Parameters'!$F18/1000</f>
        <v>0</v>
      </c>
      <c r="AT528" s="77">
        <f ca="1">AT379*'Tech Parameters'!$F18/1000</f>
        <v>0</v>
      </c>
      <c r="AU528" s="77">
        <f ca="1">AU379*'Tech Parameters'!$F18/1000</f>
        <v>0</v>
      </c>
      <c r="AV528" s="77">
        <f ca="1">AV379*'Tech Parameters'!$F18/1000</f>
        <v>0</v>
      </c>
      <c r="AW528" s="77">
        <f ca="1">AW379*'Tech Parameters'!$F18/1000</f>
        <v>0</v>
      </c>
    </row>
    <row r="529" spans="3:49">
      <c r="C529" t="str">
        <f t="shared" si="115"/>
        <v>combined cycle gas</v>
      </c>
      <c r="D529" s="24">
        <f>D380*'Tech Parameters'!$F19/1000</f>
        <v>0</v>
      </c>
      <c r="E529" s="24">
        <f>E380*'Tech Parameters'!$F19/1000</f>
        <v>0</v>
      </c>
      <c r="F529" s="24">
        <f>F380*'Tech Parameters'!$F19/1000</f>
        <v>0</v>
      </c>
      <c r="G529" s="24">
        <f>G380*'Tech Parameters'!$F19/1000</f>
        <v>0</v>
      </c>
      <c r="H529" s="24">
        <f>H380*'Tech Parameters'!$F19/1000</f>
        <v>0</v>
      </c>
      <c r="I529" s="24">
        <f ca="1">I380*'Tech Parameters'!$F19/1000</f>
        <v>0</v>
      </c>
      <c r="J529" s="24">
        <f ca="1">J380*'Tech Parameters'!$F19/1000</f>
        <v>0</v>
      </c>
      <c r="K529" s="24">
        <f ca="1">K380*'Tech Parameters'!$F19/1000</f>
        <v>0</v>
      </c>
      <c r="L529" s="24">
        <f ca="1">L380*'Tech Parameters'!$F19/1000</f>
        <v>0</v>
      </c>
      <c r="M529" s="24">
        <f ca="1">M380*'Tech Parameters'!$F19/1000</f>
        <v>0</v>
      </c>
      <c r="N529" s="24">
        <f ca="1">N380*'Tech Parameters'!$F19/1000</f>
        <v>0</v>
      </c>
      <c r="O529" s="24">
        <f ca="1">O380*'Tech Parameters'!$F19/1000</f>
        <v>0</v>
      </c>
      <c r="P529" s="24">
        <f ca="1">P380*'Tech Parameters'!$F19/1000</f>
        <v>0</v>
      </c>
      <c r="Q529" s="24">
        <f ca="1">Q380*'Tech Parameters'!$F19/1000</f>
        <v>0</v>
      </c>
      <c r="R529" s="24">
        <f ca="1">R380*'Tech Parameters'!$F19/1000</f>
        <v>0</v>
      </c>
      <c r="S529" s="24">
        <f ca="1">S380*'Tech Parameters'!$F19/1000</f>
        <v>0</v>
      </c>
      <c r="T529" s="24">
        <f ca="1">T380*'Tech Parameters'!$F19/1000</f>
        <v>0</v>
      </c>
      <c r="U529" s="24">
        <f ca="1">U380*'Tech Parameters'!$F19/1000</f>
        <v>0</v>
      </c>
      <c r="V529" s="24">
        <f ca="1">V380*'Tech Parameters'!$F19/1000</f>
        <v>0</v>
      </c>
      <c r="W529" s="24">
        <f ca="1">W380*'Tech Parameters'!$F19/1000</f>
        <v>0</v>
      </c>
      <c r="X529" s="24">
        <f ca="1">X380*'Tech Parameters'!$F19/1000</f>
        <v>0</v>
      </c>
      <c r="Y529" s="24">
        <f ca="1">Y380*'Tech Parameters'!$F19/1000</f>
        <v>0</v>
      </c>
      <c r="Z529" s="24">
        <f ca="1">Z380*'Tech Parameters'!$F19/1000</f>
        <v>62.153392148899435</v>
      </c>
      <c r="AA529" s="24">
        <f ca="1">AA380*'Tech Parameters'!$F19/1000</f>
        <v>155.38348037224861</v>
      </c>
      <c r="AB529" s="24">
        <f ca="1">AB380*'Tech Parameters'!$F19/1000</f>
        <v>248.61356859559774</v>
      </c>
      <c r="AC529" s="24">
        <f ca="1">AC380*'Tech Parameters'!$F19/1000</f>
        <v>248.61356859559774</v>
      </c>
      <c r="AD529" s="77">
        <f ca="1">AD380*'Tech Parameters'!$F19/1000</f>
        <v>248.61356859559774</v>
      </c>
      <c r="AE529" s="77">
        <f ca="1">AE380*'Tech Parameters'!$F19/1000</f>
        <v>248.61356859559774</v>
      </c>
      <c r="AF529" s="77">
        <f ca="1">AF380*'Tech Parameters'!$F19/1000</f>
        <v>248.61356859559774</v>
      </c>
      <c r="AG529" s="77">
        <f ca="1">AG380*'Tech Parameters'!$F19/1000</f>
        <v>248.61356859559774</v>
      </c>
      <c r="AH529" s="77">
        <f ca="1">AH380*'Tech Parameters'!$F19/1000</f>
        <v>248.61356859559774</v>
      </c>
      <c r="AI529" s="77">
        <f ca="1">AI380*'Tech Parameters'!$F19/1000</f>
        <v>248.61356859559774</v>
      </c>
      <c r="AJ529" s="77">
        <f ca="1">AJ380*'Tech Parameters'!$F19/1000</f>
        <v>248.61356859559774</v>
      </c>
      <c r="AK529" s="77">
        <f ca="1">AK380*'Tech Parameters'!$F19/1000</f>
        <v>248.61356859559774</v>
      </c>
      <c r="AL529" s="77">
        <f ca="1">AL380*'Tech Parameters'!$F19/1000</f>
        <v>248.61356859559774</v>
      </c>
      <c r="AM529" s="77">
        <f ca="1">AM380*'Tech Parameters'!$F19/1000</f>
        <v>248.61356859559774</v>
      </c>
      <c r="AN529" s="77">
        <f ca="1">AN380*'Tech Parameters'!$F19/1000</f>
        <v>248.61356859559774</v>
      </c>
      <c r="AO529" s="77">
        <f ca="1">AO380*'Tech Parameters'!$F19/1000</f>
        <v>248.61356859559774</v>
      </c>
      <c r="AP529" s="77">
        <f ca="1">AP380*'Tech Parameters'!$F19/1000</f>
        <v>248.61356859559774</v>
      </c>
      <c r="AQ529" s="77">
        <f ca="1">AQ380*'Tech Parameters'!$F19/1000</f>
        <v>248.61356859559774</v>
      </c>
      <c r="AR529" s="77">
        <f ca="1">AR380*'Tech Parameters'!$F19/1000</f>
        <v>248.61356859559774</v>
      </c>
      <c r="AS529" s="77">
        <f ca="1">AS380*'Tech Parameters'!$F19/1000</f>
        <v>248.61356859559774</v>
      </c>
      <c r="AT529" s="77">
        <f ca="1">AT380*'Tech Parameters'!$F19/1000</f>
        <v>248.61356859559774</v>
      </c>
      <c r="AU529" s="77">
        <f ca="1">AU380*'Tech Parameters'!$F19/1000</f>
        <v>248.61356859559774</v>
      </c>
      <c r="AV529" s="77">
        <f ca="1">AV380*'Tech Parameters'!$F19/1000</f>
        <v>248.61356859559774</v>
      </c>
      <c r="AW529" s="77">
        <f ca="1">AW380*'Tech Parameters'!$F19/1000</f>
        <v>248.61356859559774</v>
      </c>
    </row>
    <row r="530" spans="3:49">
      <c r="C530" t="str">
        <f t="shared" si="115"/>
        <v>PBMR</v>
      </c>
      <c r="D530" s="24">
        <f>D381*'Tech Parameters'!$F20/1000</f>
        <v>0</v>
      </c>
      <c r="E530" s="24">
        <f>E381*'Tech Parameters'!$F20/1000</f>
        <v>0</v>
      </c>
      <c r="F530" s="24">
        <f>F381*'Tech Parameters'!$F20/1000</f>
        <v>0</v>
      </c>
      <c r="G530" s="24">
        <f>G381*'Tech Parameters'!$F20/1000</f>
        <v>0</v>
      </c>
      <c r="H530" s="24">
        <f>H381*'Tech Parameters'!$F20/1000</f>
        <v>0</v>
      </c>
      <c r="I530" s="24">
        <f ca="1">I381*'Tech Parameters'!$F20/1000</f>
        <v>0</v>
      </c>
      <c r="J530" s="24">
        <f ca="1">J381*'Tech Parameters'!$F20/1000</f>
        <v>0</v>
      </c>
      <c r="K530" s="24">
        <f ca="1">K381*'Tech Parameters'!$F20/1000</f>
        <v>0</v>
      </c>
      <c r="L530" s="24">
        <f ca="1">L381*'Tech Parameters'!$F20/1000</f>
        <v>0</v>
      </c>
      <c r="M530" s="24">
        <f ca="1">M381*'Tech Parameters'!$F20/1000</f>
        <v>0</v>
      </c>
      <c r="N530" s="24">
        <f ca="1">N381*'Tech Parameters'!$F20/1000</f>
        <v>0</v>
      </c>
      <c r="O530" s="24">
        <f ca="1">O381*'Tech Parameters'!$F20/1000</f>
        <v>0</v>
      </c>
      <c r="P530" s="24">
        <f ca="1">P381*'Tech Parameters'!$F20/1000</f>
        <v>0</v>
      </c>
      <c r="Q530" s="24">
        <f ca="1">Q381*'Tech Parameters'!$F20/1000</f>
        <v>0</v>
      </c>
      <c r="R530" s="24">
        <f ca="1">R381*'Tech Parameters'!$F20/1000</f>
        <v>0</v>
      </c>
      <c r="S530" s="24">
        <f ca="1">S381*'Tech Parameters'!$F20/1000</f>
        <v>0</v>
      </c>
      <c r="T530" s="24">
        <f ca="1">T381*'Tech Parameters'!$F20/1000</f>
        <v>0</v>
      </c>
      <c r="U530" s="24">
        <f ca="1">U381*'Tech Parameters'!$F20/1000</f>
        <v>0</v>
      </c>
      <c r="V530" s="24">
        <f ca="1">V381*'Tech Parameters'!$F20/1000</f>
        <v>0</v>
      </c>
      <c r="W530" s="24">
        <f ca="1">W381*'Tech Parameters'!$F20/1000</f>
        <v>0</v>
      </c>
      <c r="X530" s="24">
        <f ca="1">X381*'Tech Parameters'!$F20/1000</f>
        <v>0</v>
      </c>
      <c r="Y530" s="24">
        <f ca="1">Y381*'Tech Parameters'!$F20/1000</f>
        <v>0</v>
      </c>
      <c r="Z530" s="24">
        <f ca="1">Z381*'Tech Parameters'!$F20/1000</f>
        <v>0</v>
      </c>
      <c r="AA530" s="24">
        <f ca="1">AA381*'Tech Parameters'!$F20/1000</f>
        <v>0</v>
      </c>
      <c r="AB530" s="24">
        <f ca="1">AB381*'Tech Parameters'!$F20/1000</f>
        <v>0</v>
      </c>
      <c r="AC530" s="24">
        <f ca="1">AC381*'Tech Parameters'!$F20/1000</f>
        <v>0</v>
      </c>
      <c r="AD530" s="77">
        <f ca="1">AD381*'Tech Parameters'!$F20/1000</f>
        <v>0</v>
      </c>
      <c r="AE530" s="77">
        <f ca="1">AE381*'Tech Parameters'!$F20/1000</f>
        <v>0</v>
      </c>
      <c r="AF530" s="77">
        <f ca="1">AF381*'Tech Parameters'!$F20/1000</f>
        <v>0</v>
      </c>
      <c r="AG530" s="77">
        <f ca="1">AG381*'Tech Parameters'!$F20/1000</f>
        <v>0</v>
      </c>
      <c r="AH530" s="77">
        <f ca="1">AH381*'Tech Parameters'!$F20/1000</f>
        <v>0</v>
      </c>
      <c r="AI530" s="77">
        <f ca="1">AI381*'Tech Parameters'!$F20/1000</f>
        <v>0</v>
      </c>
      <c r="AJ530" s="77">
        <f ca="1">AJ381*'Tech Parameters'!$F20/1000</f>
        <v>0</v>
      </c>
      <c r="AK530" s="77">
        <f ca="1">AK381*'Tech Parameters'!$F20/1000</f>
        <v>0</v>
      </c>
      <c r="AL530" s="77">
        <f ca="1">AL381*'Tech Parameters'!$F20/1000</f>
        <v>0</v>
      </c>
      <c r="AM530" s="77">
        <f ca="1">AM381*'Tech Parameters'!$F20/1000</f>
        <v>0</v>
      </c>
      <c r="AN530" s="77">
        <f ca="1">AN381*'Tech Parameters'!$F20/1000</f>
        <v>0</v>
      </c>
      <c r="AO530" s="77">
        <f ca="1">AO381*'Tech Parameters'!$F20/1000</f>
        <v>0</v>
      </c>
      <c r="AP530" s="77">
        <f ca="1">AP381*'Tech Parameters'!$F20/1000</f>
        <v>0</v>
      </c>
      <c r="AQ530" s="77">
        <f ca="1">AQ381*'Tech Parameters'!$F20/1000</f>
        <v>0</v>
      </c>
      <c r="AR530" s="77">
        <f ca="1">AR381*'Tech Parameters'!$F20/1000</f>
        <v>0</v>
      </c>
      <c r="AS530" s="77">
        <f ca="1">AS381*'Tech Parameters'!$F20/1000</f>
        <v>0</v>
      </c>
      <c r="AT530" s="77">
        <f ca="1">AT381*'Tech Parameters'!$F20/1000</f>
        <v>0</v>
      </c>
      <c r="AU530" s="77">
        <f ca="1">AU381*'Tech Parameters'!$F20/1000</f>
        <v>0</v>
      </c>
      <c r="AV530" s="77">
        <f ca="1">AV381*'Tech Parameters'!$F20/1000</f>
        <v>0</v>
      </c>
      <c r="AW530" s="77">
        <f ca="1">AW381*'Tech Parameters'!$F20/1000</f>
        <v>0</v>
      </c>
    </row>
    <row r="531" spans="3:49">
      <c r="C531" t="str">
        <f t="shared" si="115"/>
        <v>IGCC</v>
      </c>
      <c r="D531" s="24">
        <f>D382*'Tech Parameters'!$F21/1000</f>
        <v>0</v>
      </c>
      <c r="E531" s="24">
        <f>E382*'Tech Parameters'!$F21/1000</f>
        <v>7.0889863129380246E-13</v>
      </c>
      <c r="F531" s="24">
        <f>F382*'Tech Parameters'!$F21/1000</f>
        <v>0</v>
      </c>
      <c r="G531" s="24">
        <f>G382*'Tech Parameters'!$F21/1000</f>
        <v>7.0889863129380246E-13</v>
      </c>
      <c r="H531" s="24">
        <f>H382*'Tech Parameters'!$F21/1000</f>
        <v>7.0889863129380246E-13</v>
      </c>
      <c r="I531" s="24">
        <f ca="1">I382*'Tech Parameters'!$F21/1000</f>
        <v>0</v>
      </c>
      <c r="J531" s="24">
        <f ca="1">J382*'Tech Parameters'!$F21/1000</f>
        <v>0</v>
      </c>
      <c r="K531" s="24">
        <f ca="1">K382*'Tech Parameters'!$F21/1000</f>
        <v>0</v>
      </c>
      <c r="L531" s="24">
        <f ca="1">L382*'Tech Parameters'!$F21/1000</f>
        <v>0</v>
      </c>
      <c r="M531" s="24">
        <f ca="1">M382*'Tech Parameters'!$F21/1000</f>
        <v>0</v>
      </c>
      <c r="N531" s="24">
        <f ca="1">N382*'Tech Parameters'!$F21/1000</f>
        <v>0</v>
      </c>
      <c r="O531" s="24">
        <f ca="1">O382*'Tech Parameters'!$F21/1000</f>
        <v>0</v>
      </c>
      <c r="P531" s="24">
        <f ca="1">P382*'Tech Parameters'!$F21/1000</f>
        <v>0</v>
      </c>
      <c r="Q531" s="24">
        <f ca="1">Q382*'Tech Parameters'!$F21/1000</f>
        <v>0</v>
      </c>
      <c r="R531" s="24">
        <f ca="1">R382*'Tech Parameters'!$F21/1000</f>
        <v>0</v>
      </c>
      <c r="S531" s="24">
        <f ca="1">S382*'Tech Parameters'!$F21/1000</f>
        <v>0</v>
      </c>
      <c r="T531" s="24">
        <f ca="1">T382*'Tech Parameters'!$F21/1000</f>
        <v>0</v>
      </c>
      <c r="U531" s="24">
        <f ca="1">U382*'Tech Parameters'!$F21/1000</f>
        <v>0</v>
      </c>
      <c r="V531" s="24">
        <f ca="1">V382*'Tech Parameters'!$F21/1000</f>
        <v>0</v>
      </c>
      <c r="W531" s="24">
        <f ca="1">W382*'Tech Parameters'!$F21/1000</f>
        <v>0</v>
      </c>
      <c r="X531" s="24">
        <f ca="1">X382*'Tech Parameters'!$F21/1000</f>
        <v>0</v>
      </c>
      <c r="Y531" s="24">
        <f ca="1">Y382*'Tech Parameters'!$F21/1000</f>
        <v>0</v>
      </c>
      <c r="Z531" s="24">
        <f ca="1">Z382*'Tech Parameters'!$F21/1000</f>
        <v>0</v>
      </c>
      <c r="AA531" s="24">
        <f ca="1">AA382*'Tech Parameters'!$F21/1000</f>
        <v>0</v>
      </c>
      <c r="AB531" s="24">
        <f ca="1">AB382*'Tech Parameters'!$F21/1000</f>
        <v>100.59229220703763</v>
      </c>
      <c r="AC531" s="24">
        <f ca="1">AC382*'Tech Parameters'!$F21/1000</f>
        <v>201.18458441407526</v>
      </c>
      <c r="AD531" s="77">
        <f ca="1">AD382*'Tech Parameters'!$F21/1000</f>
        <v>201.18458441407526</v>
      </c>
      <c r="AE531" s="77">
        <f ca="1">AE382*'Tech Parameters'!$F21/1000</f>
        <v>201.18458441407526</v>
      </c>
      <c r="AF531" s="77">
        <f ca="1">AF382*'Tech Parameters'!$F21/1000</f>
        <v>201.18458441407526</v>
      </c>
      <c r="AG531" s="77">
        <f ca="1">AG382*'Tech Parameters'!$F21/1000</f>
        <v>201.18458441407526</v>
      </c>
      <c r="AH531" s="77">
        <f ca="1">AH382*'Tech Parameters'!$F21/1000</f>
        <v>201.18458441407526</v>
      </c>
      <c r="AI531" s="77">
        <f ca="1">AI382*'Tech Parameters'!$F21/1000</f>
        <v>201.18458441407526</v>
      </c>
      <c r="AJ531" s="77">
        <f ca="1">AJ382*'Tech Parameters'!$F21/1000</f>
        <v>201.18458441407526</v>
      </c>
      <c r="AK531" s="77">
        <f ca="1">AK382*'Tech Parameters'!$F21/1000</f>
        <v>201.18458441407526</v>
      </c>
      <c r="AL531" s="77">
        <f ca="1">AL382*'Tech Parameters'!$F21/1000</f>
        <v>201.18458441407526</v>
      </c>
      <c r="AM531" s="77">
        <f ca="1">AM382*'Tech Parameters'!$F21/1000</f>
        <v>201.18458441407526</v>
      </c>
      <c r="AN531" s="77">
        <f ca="1">AN382*'Tech Parameters'!$F21/1000</f>
        <v>201.18458441407526</v>
      </c>
      <c r="AO531" s="77">
        <f ca="1">AO382*'Tech Parameters'!$F21/1000</f>
        <v>201.18458441407526</v>
      </c>
      <c r="AP531" s="77">
        <f ca="1">AP382*'Tech Parameters'!$F21/1000</f>
        <v>201.18458441407526</v>
      </c>
      <c r="AQ531" s="77">
        <f ca="1">AQ382*'Tech Parameters'!$F21/1000</f>
        <v>201.18458441407526</v>
      </c>
      <c r="AR531" s="77">
        <f ca="1">AR382*'Tech Parameters'!$F21/1000</f>
        <v>201.18458441407526</v>
      </c>
      <c r="AS531" s="77">
        <f ca="1">AS382*'Tech Parameters'!$F21/1000</f>
        <v>201.18458441407526</v>
      </c>
      <c r="AT531" s="77">
        <f ca="1">AT382*'Tech Parameters'!$F21/1000</f>
        <v>201.18458441407526</v>
      </c>
      <c r="AU531" s="77">
        <f ca="1">AU382*'Tech Parameters'!$F21/1000</f>
        <v>201.18458441407526</v>
      </c>
      <c r="AV531" s="77">
        <f ca="1">AV382*'Tech Parameters'!$F21/1000</f>
        <v>201.18458441407526</v>
      </c>
      <c r="AW531" s="77">
        <f ca="1">AW382*'Tech Parameters'!$F21/1000</f>
        <v>201.18458441407526</v>
      </c>
    </row>
    <row r="532" spans="3:49">
      <c r="C532" t="str">
        <f t="shared" si="115"/>
        <v>-</v>
      </c>
      <c r="D532" s="24">
        <f>D383*'Tech Parameters'!$F22/1000</f>
        <v>0</v>
      </c>
      <c r="E532" s="24">
        <f>E383*'Tech Parameters'!$F22/1000</f>
        <v>0</v>
      </c>
      <c r="F532" s="24">
        <f>F383*'Tech Parameters'!$F22/1000</f>
        <v>0</v>
      </c>
      <c r="G532" s="24">
        <f>G383*'Tech Parameters'!$F22/1000</f>
        <v>0</v>
      </c>
      <c r="H532" s="24">
        <f>H383*'Tech Parameters'!$F22/1000</f>
        <v>0</v>
      </c>
      <c r="I532" s="24">
        <f ca="1">I383*'Tech Parameters'!$F22/1000</f>
        <v>0</v>
      </c>
      <c r="J532" s="24">
        <f ca="1">J383*'Tech Parameters'!$F22/1000</f>
        <v>0</v>
      </c>
      <c r="K532" s="24">
        <f ca="1">K383*'Tech Parameters'!$F22/1000</f>
        <v>0</v>
      </c>
      <c r="L532" s="24">
        <f ca="1">L383*'Tech Parameters'!$F22/1000</f>
        <v>0</v>
      </c>
      <c r="M532" s="24">
        <f ca="1">M383*'Tech Parameters'!$F22/1000</f>
        <v>0</v>
      </c>
      <c r="N532" s="24">
        <f ca="1">N383*'Tech Parameters'!$F22/1000</f>
        <v>0</v>
      </c>
      <c r="O532" s="24">
        <f ca="1">O383*'Tech Parameters'!$F22/1000</f>
        <v>0</v>
      </c>
      <c r="P532" s="24">
        <f ca="1">P383*'Tech Parameters'!$F22/1000</f>
        <v>0</v>
      </c>
      <c r="Q532" s="24">
        <f ca="1">Q383*'Tech Parameters'!$F22/1000</f>
        <v>0</v>
      </c>
      <c r="R532" s="24">
        <f ca="1">R383*'Tech Parameters'!$F22/1000</f>
        <v>0</v>
      </c>
      <c r="S532" s="24">
        <f ca="1">S383*'Tech Parameters'!$F22/1000</f>
        <v>0</v>
      </c>
      <c r="T532" s="24">
        <f ca="1">T383*'Tech Parameters'!$F22/1000</f>
        <v>0</v>
      </c>
      <c r="U532" s="24">
        <f ca="1">U383*'Tech Parameters'!$F22/1000</f>
        <v>0</v>
      </c>
      <c r="V532" s="24">
        <f ca="1">V383*'Tech Parameters'!$F22/1000</f>
        <v>0</v>
      </c>
      <c r="W532" s="24">
        <f ca="1">W383*'Tech Parameters'!$F22/1000</f>
        <v>0</v>
      </c>
      <c r="X532" s="24">
        <f ca="1">X383*'Tech Parameters'!$F22/1000</f>
        <v>0</v>
      </c>
      <c r="Y532" s="24">
        <f ca="1">Y383*'Tech Parameters'!$F22/1000</f>
        <v>0</v>
      </c>
      <c r="Z532" s="24">
        <f ca="1">Z383*'Tech Parameters'!$F22/1000</f>
        <v>0</v>
      </c>
      <c r="AA532" s="24">
        <f ca="1">AA383*'Tech Parameters'!$F22/1000</f>
        <v>0</v>
      </c>
      <c r="AB532" s="24">
        <f ca="1">AB383*'Tech Parameters'!$F22/1000</f>
        <v>0</v>
      </c>
      <c r="AC532" s="24">
        <f ca="1">AC383*'Tech Parameters'!$F22/1000</f>
        <v>0</v>
      </c>
      <c r="AD532" s="77">
        <f ca="1">AD383*'Tech Parameters'!$F22/1000</f>
        <v>0</v>
      </c>
      <c r="AE532" s="77">
        <f ca="1">AE383*'Tech Parameters'!$F22/1000</f>
        <v>0</v>
      </c>
      <c r="AF532" s="77">
        <f ca="1">AF383*'Tech Parameters'!$F22/1000</f>
        <v>0</v>
      </c>
      <c r="AG532" s="77">
        <f ca="1">AG383*'Tech Parameters'!$F22/1000</f>
        <v>0</v>
      </c>
      <c r="AH532" s="77">
        <f ca="1">AH383*'Tech Parameters'!$F22/1000</f>
        <v>0</v>
      </c>
      <c r="AI532" s="77">
        <f ca="1">AI383*'Tech Parameters'!$F22/1000</f>
        <v>0</v>
      </c>
      <c r="AJ532" s="77">
        <f ca="1">AJ383*'Tech Parameters'!$F22/1000</f>
        <v>0</v>
      </c>
      <c r="AK532" s="77">
        <f ca="1">AK383*'Tech Parameters'!$F22/1000</f>
        <v>0</v>
      </c>
      <c r="AL532" s="77">
        <f ca="1">AL383*'Tech Parameters'!$F22/1000</f>
        <v>0</v>
      </c>
      <c r="AM532" s="77">
        <f ca="1">AM383*'Tech Parameters'!$F22/1000</f>
        <v>0</v>
      </c>
      <c r="AN532" s="77">
        <f ca="1">AN383*'Tech Parameters'!$F22/1000</f>
        <v>0</v>
      </c>
      <c r="AO532" s="77">
        <f ca="1">AO383*'Tech Parameters'!$F22/1000</f>
        <v>0</v>
      </c>
      <c r="AP532" s="77">
        <f ca="1">AP383*'Tech Parameters'!$F22/1000</f>
        <v>0</v>
      </c>
      <c r="AQ532" s="77">
        <f ca="1">AQ383*'Tech Parameters'!$F22/1000</f>
        <v>0</v>
      </c>
      <c r="AR532" s="77">
        <f ca="1">AR383*'Tech Parameters'!$F22/1000</f>
        <v>0</v>
      </c>
      <c r="AS532" s="77">
        <f ca="1">AS383*'Tech Parameters'!$F22/1000</f>
        <v>0</v>
      </c>
      <c r="AT532" s="77">
        <f ca="1">AT383*'Tech Parameters'!$F22/1000</f>
        <v>0</v>
      </c>
      <c r="AU532" s="77">
        <f ca="1">AU383*'Tech Parameters'!$F22/1000</f>
        <v>0</v>
      </c>
      <c r="AV532" s="77">
        <f ca="1">AV383*'Tech Parameters'!$F22/1000</f>
        <v>0</v>
      </c>
      <c r="AW532" s="77">
        <f ca="1">AW383*'Tech Parameters'!$F22/1000</f>
        <v>0</v>
      </c>
    </row>
    <row r="533" spans="3:49">
      <c r="C533" t="str">
        <f>C25</f>
        <v>-</v>
      </c>
      <c r="D533" s="24">
        <f>D384*'Tech Parameters'!$F23/1000</f>
        <v>0</v>
      </c>
      <c r="E533" s="24">
        <f>E384*'Tech Parameters'!$F23/1000</f>
        <v>0</v>
      </c>
      <c r="F533" s="24">
        <f>F384*'Tech Parameters'!$F23/1000</f>
        <v>0</v>
      </c>
      <c r="G533" s="24">
        <f>G384*'Tech Parameters'!$F23/1000</f>
        <v>0</v>
      </c>
      <c r="H533" s="24">
        <f>H384*'Tech Parameters'!$F23/1000</f>
        <v>0</v>
      </c>
      <c r="I533" s="24">
        <f ca="1">I384*'Tech Parameters'!$F23/1000</f>
        <v>0</v>
      </c>
      <c r="J533" s="24">
        <f ca="1">J384*'Tech Parameters'!$F23/1000</f>
        <v>0</v>
      </c>
      <c r="K533" s="24">
        <f ca="1">K384*'Tech Parameters'!$F23/1000</f>
        <v>0</v>
      </c>
      <c r="L533" s="24">
        <f ca="1">L384*'Tech Parameters'!$F23/1000</f>
        <v>0</v>
      </c>
      <c r="M533" s="24">
        <f ca="1">M384*'Tech Parameters'!$F23/1000</f>
        <v>0</v>
      </c>
      <c r="N533" s="24">
        <f ca="1">N384*'Tech Parameters'!$F23/1000</f>
        <v>0</v>
      </c>
      <c r="O533" s="24">
        <f ca="1">O384*'Tech Parameters'!$F23/1000</f>
        <v>0</v>
      </c>
      <c r="P533" s="24">
        <f ca="1">P384*'Tech Parameters'!$F23/1000</f>
        <v>0</v>
      </c>
      <c r="Q533" s="24">
        <f ca="1">Q384*'Tech Parameters'!$F23/1000</f>
        <v>0</v>
      </c>
      <c r="R533" s="24">
        <f ca="1">R384*'Tech Parameters'!$F23/1000</f>
        <v>0</v>
      </c>
      <c r="S533" s="24">
        <f ca="1">S384*'Tech Parameters'!$F23/1000</f>
        <v>0</v>
      </c>
      <c r="T533" s="24">
        <f ca="1">T384*'Tech Parameters'!$F23/1000</f>
        <v>0</v>
      </c>
      <c r="U533" s="24">
        <f ca="1">U384*'Tech Parameters'!$F23/1000</f>
        <v>0</v>
      </c>
      <c r="V533" s="24">
        <f ca="1">V384*'Tech Parameters'!$F23/1000</f>
        <v>0</v>
      </c>
      <c r="W533" s="24">
        <f ca="1">W384*'Tech Parameters'!$F23/1000</f>
        <v>0</v>
      </c>
      <c r="X533" s="24">
        <f ca="1">X384*'Tech Parameters'!$F23/1000</f>
        <v>0</v>
      </c>
      <c r="Y533" s="24">
        <f ca="1">Y384*'Tech Parameters'!$F23/1000</f>
        <v>0</v>
      </c>
      <c r="Z533" s="24">
        <f ca="1">Z384*'Tech Parameters'!$F23/1000</f>
        <v>0</v>
      </c>
      <c r="AA533" s="24">
        <f ca="1">AA384*'Tech Parameters'!$F23/1000</f>
        <v>0</v>
      </c>
      <c r="AB533" s="24">
        <f ca="1">AB384*'Tech Parameters'!$F23/1000</f>
        <v>0</v>
      </c>
      <c r="AC533" s="24">
        <f ca="1">AC384*'Tech Parameters'!$F23/1000</f>
        <v>0</v>
      </c>
      <c r="AD533" s="77">
        <f ca="1">AD384*'Tech Parameters'!$F23/1000</f>
        <v>0</v>
      </c>
      <c r="AE533" s="77">
        <f ca="1">AE384*'Tech Parameters'!$F23/1000</f>
        <v>0</v>
      </c>
      <c r="AF533" s="77">
        <f ca="1">AF384*'Tech Parameters'!$F23/1000</f>
        <v>0</v>
      </c>
      <c r="AG533" s="77">
        <f ca="1">AG384*'Tech Parameters'!$F23/1000</f>
        <v>0</v>
      </c>
      <c r="AH533" s="77">
        <f ca="1">AH384*'Tech Parameters'!$F23/1000</f>
        <v>0</v>
      </c>
      <c r="AI533" s="77">
        <f ca="1">AI384*'Tech Parameters'!$F23/1000</f>
        <v>0</v>
      </c>
      <c r="AJ533" s="77">
        <f ca="1">AJ384*'Tech Parameters'!$F23/1000</f>
        <v>0</v>
      </c>
      <c r="AK533" s="77">
        <f ca="1">AK384*'Tech Parameters'!$F23/1000</f>
        <v>0</v>
      </c>
      <c r="AL533" s="77">
        <f ca="1">AL384*'Tech Parameters'!$F23/1000</f>
        <v>0</v>
      </c>
      <c r="AM533" s="77">
        <f ca="1">AM384*'Tech Parameters'!$F23/1000</f>
        <v>0</v>
      </c>
      <c r="AN533" s="77">
        <f ca="1">AN384*'Tech Parameters'!$F23/1000</f>
        <v>0</v>
      </c>
      <c r="AO533" s="77">
        <f ca="1">AO384*'Tech Parameters'!$F23/1000</f>
        <v>0</v>
      </c>
      <c r="AP533" s="77">
        <f ca="1">AP384*'Tech Parameters'!$F23/1000</f>
        <v>0</v>
      </c>
      <c r="AQ533" s="77">
        <f ca="1">AQ384*'Tech Parameters'!$F23/1000</f>
        <v>0</v>
      </c>
      <c r="AR533" s="77">
        <f ca="1">AR384*'Tech Parameters'!$F23/1000</f>
        <v>0</v>
      </c>
      <c r="AS533" s="77">
        <f ca="1">AS384*'Tech Parameters'!$F23/1000</f>
        <v>0</v>
      </c>
      <c r="AT533" s="77">
        <f ca="1">AT384*'Tech Parameters'!$F23/1000</f>
        <v>0</v>
      </c>
      <c r="AU533" s="77">
        <f ca="1">AU384*'Tech Parameters'!$F23/1000</f>
        <v>0</v>
      </c>
      <c r="AV533" s="77">
        <f ca="1">AV384*'Tech Parameters'!$F23/1000</f>
        <v>0</v>
      </c>
      <c r="AW533" s="77">
        <f ca="1">AW384*'Tech Parameters'!$F23/1000</f>
        <v>0</v>
      </c>
    </row>
    <row r="534" spans="3:49">
      <c r="C534" t="str">
        <f>C26</f>
        <v>-</v>
      </c>
      <c r="D534" s="24">
        <f>D385*'Tech Parameters'!$F24/1000</f>
        <v>0</v>
      </c>
      <c r="E534" s="24">
        <f>E385*'Tech Parameters'!$F24/1000</f>
        <v>0</v>
      </c>
      <c r="F534" s="24">
        <f>F385*'Tech Parameters'!$F24/1000</f>
        <v>0</v>
      </c>
      <c r="G534" s="24">
        <f>G385*'Tech Parameters'!$F24/1000</f>
        <v>0</v>
      </c>
      <c r="H534" s="24">
        <f>H385*'Tech Parameters'!$F24/1000</f>
        <v>0</v>
      </c>
      <c r="I534" s="24">
        <f ca="1">I385*'Tech Parameters'!$F24/1000</f>
        <v>0</v>
      </c>
      <c r="J534" s="24">
        <f ca="1">J385*'Tech Parameters'!$F24/1000</f>
        <v>0</v>
      </c>
      <c r="K534" s="24">
        <f ca="1">K385*'Tech Parameters'!$F24/1000</f>
        <v>0</v>
      </c>
      <c r="L534" s="24">
        <f ca="1">L385*'Tech Parameters'!$F24/1000</f>
        <v>0</v>
      </c>
      <c r="M534" s="24">
        <f ca="1">M385*'Tech Parameters'!$F24/1000</f>
        <v>0</v>
      </c>
      <c r="N534" s="24">
        <f ca="1">N385*'Tech Parameters'!$F24/1000</f>
        <v>0</v>
      </c>
      <c r="O534" s="24">
        <f ca="1">O385*'Tech Parameters'!$F24/1000</f>
        <v>0</v>
      </c>
      <c r="P534" s="24">
        <f ca="1">P385*'Tech Parameters'!$F24/1000</f>
        <v>0</v>
      </c>
      <c r="Q534" s="24">
        <f ca="1">Q385*'Tech Parameters'!$F24/1000</f>
        <v>0</v>
      </c>
      <c r="R534" s="24">
        <f ca="1">R385*'Tech Parameters'!$F24/1000</f>
        <v>0</v>
      </c>
      <c r="S534" s="24">
        <f ca="1">S385*'Tech Parameters'!$F24/1000</f>
        <v>0</v>
      </c>
      <c r="T534" s="24">
        <f ca="1">T385*'Tech Parameters'!$F24/1000</f>
        <v>0</v>
      </c>
      <c r="U534" s="24">
        <f ca="1">U385*'Tech Parameters'!$F24/1000</f>
        <v>0</v>
      </c>
      <c r="V534" s="24">
        <f ca="1">V385*'Tech Parameters'!$F24/1000</f>
        <v>0</v>
      </c>
      <c r="W534" s="24">
        <f ca="1">W385*'Tech Parameters'!$F24/1000</f>
        <v>0</v>
      </c>
      <c r="X534" s="24">
        <f ca="1">X385*'Tech Parameters'!$F24/1000</f>
        <v>0</v>
      </c>
      <c r="Y534" s="24">
        <f ca="1">Y385*'Tech Parameters'!$F24/1000</f>
        <v>0</v>
      </c>
      <c r="Z534" s="24">
        <f ca="1">Z385*'Tech Parameters'!$F24/1000</f>
        <v>0</v>
      </c>
      <c r="AA534" s="24">
        <f ca="1">AA385*'Tech Parameters'!$F24/1000</f>
        <v>0</v>
      </c>
      <c r="AB534" s="24">
        <f ca="1">AB385*'Tech Parameters'!$F24/1000</f>
        <v>0</v>
      </c>
      <c r="AC534" s="24">
        <f ca="1">AC385*'Tech Parameters'!$F24/1000</f>
        <v>0</v>
      </c>
      <c r="AD534" s="77">
        <f ca="1">AD385*'Tech Parameters'!$F24/1000</f>
        <v>0</v>
      </c>
      <c r="AE534" s="77">
        <f ca="1">AE385*'Tech Parameters'!$F24/1000</f>
        <v>0</v>
      </c>
      <c r="AF534" s="77">
        <f ca="1">AF385*'Tech Parameters'!$F24/1000</f>
        <v>0</v>
      </c>
      <c r="AG534" s="77">
        <f ca="1">AG385*'Tech Parameters'!$F24/1000</f>
        <v>0</v>
      </c>
      <c r="AH534" s="77">
        <f ca="1">AH385*'Tech Parameters'!$F24/1000</f>
        <v>0</v>
      </c>
      <c r="AI534" s="77">
        <f ca="1">AI385*'Tech Parameters'!$F24/1000</f>
        <v>0</v>
      </c>
      <c r="AJ534" s="77">
        <f ca="1">AJ385*'Tech Parameters'!$F24/1000</f>
        <v>0</v>
      </c>
      <c r="AK534" s="77">
        <f ca="1">AK385*'Tech Parameters'!$F24/1000</f>
        <v>0</v>
      </c>
      <c r="AL534" s="77">
        <f ca="1">AL385*'Tech Parameters'!$F24/1000</f>
        <v>0</v>
      </c>
      <c r="AM534" s="77">
        <f ca="1">AM385*'Tech Parameters'!$F24/1000</f>
        <v>0</v>
      </c>
      <c r="AN534" s="77">
        <f ca="1">AN385*'Tech Parameters'!$F24/1000</f>
        <v>0</v>
      </c>
      <c r="AO534" s="77">
        <f ca="1">AO385*'Tech Parameters'!$F24/1000</f>
        <v>0</v>
      </c>
      <c r="AP534" s="77">
        <f ca="1">AP385*'Tech Parameters'!$F24/1000</f>
        <v>0</v>
      </c>
      <c r="AQ534" s="77">
        <f ca="1">AQ385*'Tech Parameters'!$F24/1000</f>
        <v>0</v>
      </c>
      <c r="AR534" s="77">
        <f ca="1">AR385*'Tech Parameters'!$F24/1000</f>
        <v>0</v>
      </c>
      <c r="AS534" s="77">
        <f ca="1">AS385*'Tech Parameters'!$F24/1000</f>
        <v>0</v>
      </c>
      <c r="AT534" s="77">
        <f ca="1">AT385*'Tech Parameters'!$F24/1000</f>
        <v>0</v>
      </c>
      <c r="AU534" s="77">
        <f ca="1">AU385*'Tech Parameters'!$F24/1000</f>
        <v>0</v>
      </c>
      <c r="AV534" s="77">
        <f ca="1">AV385*'Tech Parameters'!$F24/1000</f>
        <v>0</v>
      </c>
      <c r="AW534" s="77">
        <f ca="1">AW385*'Tech Parameters'!$F24/1000</f>
        <v>0</v>
      </c>
    </row>
    <row r="535" spans="3:49">
      <c r="C535" t="str">
        <f>C27</f>
        <v>Pumped storage</v>
      </c>
      <c r="D535" s="24">
        <f>D386*'Tech Parameters'!$F25/1000</f>
        <v>0</v>
      </c>
      <c r="E535" s="24">
        <f>E386*'Tech Parameters'!$F25/1000</f>
        <v>0</v>
      </c>
      <c r="F535" s="24">
        <f>F386*'Tech Parameters'!$F25/1000</f>
        <v>0</v>
      </c>
      <c r="G535" s="24">
        <f>G386*'Tech Parameters'!$F25/1000</f>
        <v>0</v>
      </c>
      <c r="H535" s="24">
        <f>H386*'Tech Parameters'!$F25/1000</f>
        <v>0</v>
      </c>
      <c r="I535" s="24">
        <f ca="1">I386*'Tech Parameters'!$F25/1000</f>
        <v>0</v>
      </c>
      <c r="J535" s="24">
        <f ca="1">J386*'Tech Parameters'!$F25/1000</f>
        <v>0</v>
      </c>
      <c r="K535" s="24">
        <f ca="1">K386*'Tech Parameters'!$F25/1000</f>
        <v>0</v>
      </c>
      <c r="L535" s="24">
        <f ca="1">L386*'Tech Parameters'!$F25/1000</f>
        <v>0</v>
      </c>
      <c r="M535" s="24">
        <f ca="1">M386*'Tech Parameters'!$F25/1000</f>
        <v>0</v>
      </c>
      <c r="N535" s="24">
        <f ca="1">N386*'Tech Parameters'!$F25/1000</f>
        <v>0</v>
      </c>
      <c r="O535" s="24">
        <f ca="1">O386*'Tech Parameters'!$F25/1000</f>
        <v>0</v>
      </c>
      <c r="P535" s="24">
        <f ca="1">P386*'Tech Parameters'!$F25/1000</f>
        <v>0</v>
      </c>
      <c r="Q535" s="24">
        <f ca="1">Q386*'Tech Parameters'!$F25/1000</f>
        <v>0</v>
      </c>
      <c r="R535" s="24">
        <f ca="1">R386*'Tech Parameters'!$F25/1000</f>
        <v>0</v>
      </c>
      <c r="S535" s="24">
        <f ca="1">S386*'Tech Parameters'!$F25/1000</f>
        <v>0</v>
      </c>
      <c r="T535" s="24">
        <f ca="1">T386*'Tech Parameters'!$F25/1000</f>
        <v>0</v>
      </c>
      <c r="U535" s="24">
        <f ca="1">U386*'Tech Parameters'!$F25/1000</f>
        <v>0</v>
      </c>
      <c r="V535" s="24">
        <f ca="1">V386*'Tech Parameters'!$F25/1000</f>
        <v>0</v>
      </c>
      <c r="W535" s="24">
        <f ca="1">W386*'Tech Parameters'!$F25/1000</f>
        <v>0</v>
      </c>
      <c r="X535" s="24">
        <f ca="1">X386*'Tech Parameters'!$F25/1000</f>
        <v>0</v>
      </c>
      <c r="Y535" s="24">
        <f ca="1">Y386*'Tech Parameters'!$F25/1000</f>
        <v>0</v>
      </c>
      <c r="Z535" s="24">
        <f ca="1">Z386*'Tech Parameters'!$F25/1000</f>
        <v>0</v>
      </c>
      <c r="AA535" s="24">
        <f ca="1">AA386*'Tech Parameters'!$F25/1000</f>
        <v>0</v>
      </c>
      <c r="AB535" s="24">
        <f ca="1">AB386*'Tech Parameters'!$F25/1000</f>
        <v>0</v>
      </c>
      <c r="AC535" s="24">
        <f ca="1">AC386*'Tech Parameters'!$F25/1000</f>
        <v>0</v>
      </c>
      <c r="AD535" s="77">
        <f ca="1">AD386*'Tech Parameters'!$F25/1000</f>
        <v>0</v>
      </c>
      <c r="AE535" s="77">
        <f ca="1">AE386*'Tech Parameters'!$F25/1000</f>
        <v>0</v>
      </c>
      <c r="AF535" s="77">
        <f ca="1">AF386*'Tech Parameters'!$F25/1000</f>
        <v>0</v>
      </c>
      <c r="AG535" s="77">
        <f ca="1">AG386*'Tech Parameters'!$F25/1000</f>
        <v>0</v>
      </c>
      <c r="AH535" s="77">
        <f ca="1">AH386*'Tech Parameters'!$F25/1000</f>
        <v>0</v>
      </c>
      <c r="AI535" s="77">
        <f ca="1">AI386*'Tech Parameters'!$F25/1000</f>
        <v>0</v>
      </c>
      <c r="AJ535" s="77">
        <f ca="1">AJ386*'Tech Parameters'!$F25/1000</f>
        <v>0</v>
      </c>
      <c r="AK535" s="77">
        <f ca="1">AK386*'Tech Parameters'!$F25/1000</f>
        <v>0</v>
      </c>
      <c r="AL535" s="77">
        <f ca="1">AL386*'Tech Parameters'!$F25/1000</f>
        <v>0</v>
      </c>
      <c r="AM535" s="77">
        <f ca="1">AM386*'Tech Parameters'!$F25/1000</f>
        <v>0</v>
      </c>
      <c r="AN535" s="77">
        <f ca="1">AN386*'Tech Parameters'!$F25/1000</f>
        <v>0</v>
      </c>
      <c r="AO535" s="77">
        <f ca="1">AO386*'Tech Parameters'!$F25/1000</f>
        <v>0</v>
      </c>
      <c r="AP535" s="77">
        <f ca="1">AP386*'Tech Parameters'!$F25/1000</f>
        <v>0</v>
      </c>
      <c r="AQ535" s="77">
        <f ca="1">AQ386*'Tech Parameters'!$F25/1000</f>
        <v>0</v>
      </c>
      <c r="AR535" s="77">
        <f ca="1">AR386*'Tech Parameters'!$F25/1000</f>
        <v>0</v>
      </c>
      <c r="AS535" s="77">
        <f ca="1">AS386*'Tech Parameters'!$F25/1000</f>
        <v>0</v>
      </c>
      <c r="AT535" s="77">
        <f ca="1">AT386*'Tech Parameters'!$F25/1000</f>
        <v>0</v>
      </c>
      <c r="AU535" s="77">
        <f ca="1">AU386*'Tech Parameters'!$F25/1000</f>
        <v>0</v>
      </c>
      <c r="AV535" s="77">
        <f ca="1">AV386*'Tech Parameters'!$F25/1000</f>
        <v>0</v>
      </c>
      <c r="AW535" s="77">
        <f ca="1">AW386*'Tech Parameters'!$F25/1000</f>
        <v>0</v>
      </c>
    </row>
    <row r="536" spans="3:49">
      <c r="AD536" s="76"/>
      <c r="AE536" s="76"/>
      <c r="AF536" s="76"/>
      <c r="AG536" s="76"/>
      <c r="AH536" s="76"/>
      <c r="AI536" s="76"/>
      <c r="AJ536" s="76"/>
      <c r="AK536" s="76"/>
      <c r="AL536" s="76"/>
      <c r="AM536" s="76"/>
      <c r="AN536" s="76"/>
      <c r="AO536" s="76"/>
      <c r="AP536" s="76"/>
      <c r="AQ536" s="76"/>
      <c r="AR536" s="76"/>
      <c r="AS536" s="76"/>
      <c r="AT536" s="76"/>
      <c r="AU536" s="76"/>
      <c r="AV536" s="76"/>
      <c r="AW536" s="76"/>
    </row>
    <row r="537" spans="3:49">
      <c r="AD537" s="76"/>
      <c r="AE537" s="76"/>
      <c r="AF537" s="76"/>
      <c r="AG537" s="76"/>
      <c r="AH537" s="76"/>
      <c r="AI537" s="76"/>
      <c r="AJ537" s="76"/>
      <c r="AK537" s="76"/>
      <c r="AL537" s="76"/>
      <c r="AM537" s="76"/>
      <c r="AN537" s="76"/>
      <c r="AO537" s="76"/>
      <c r="AP537" s="76"/>
      <c r="AQ537" s="76"/>
      <c r="AR537" s="76"/>
      <c r="AS537" s="76"/>
      <c r="AT537" s="76"/>
      <c r="AU537" s="76"/>
      <c r="AV537" s="76"/>
      <c r="AW537" s="76"/>
    </row>
    <row r="538" spans="3:49">
      <c r="C538" s="4" t="s">
        <v>133</v>
      </c>
      <c r="AD538" s="76"/>
      <c r="AE538" s="76"/>
      <c r="AF538" s="76"/>
      <c r="AG538" s="76"/>
      <c r="AH538" s="76"/>
      <c r="AI538" s="76"/>
      <c r="AJ538" s="76"/>
      <c r="AK538" s="76"/>
      <c r="AL538" s="76"/>
      <c r="AM538" s="76"/>
      <c r="AN538" s="76"/>
      <c r="AO538" s="76"/>
      <c r="AP538" s="76"/>
      <c r="AQ538" s="76"/>
      <c r="AR538" s="76"/>
      <c r="AS538" s="76"/>
      <c r="AT538" s="76"/>
      <c r="AU538" s="76"/>
      <c r="AV538" s="76"/>
      <c r="AW538" s="76"/>
    </row>
    <row r="539" spans="3:49">
      <c r="C539" t="str">
        <f>C8</f>
        <v>Existing coal Large</v>
      </c>
      <c r="D539">
        <f>D367*'Fuel Costs'!F102/1000</f>
        <v>8523.1750722774159</v>
      </c>
      <c r="E539">
        <f>E367*'Fuel Costs'!G102/1000</f>
        <v>10115.401768211486</v>
      </c>
      <c r="F539">
        <f>F367*'Fuel Costs'!H102/1000</f>
        <v>12093.306174004372</v>
      </c>
      <c r="G539">
        <f>G367*'Fuel Costs'!I102/1000</f>
        <v>12971.008064332525</v>
      </c>
      <c r="H539">
        <f>H367*'Fuel Costs'!J102/1000</f>
        <v>12971.008064332525</v>
      </c>
      <c r="I539">
        <f ca="1">I367*'Fuel Costs'!K102/1000</f>
        <v>13353.098874788571</v>
      </c>
      <c r="J539">
        <f ca="1">J367*'Fuel Costs'!L102/1000</f>
        <v>13631.686431701064</v>
      </c>
      <c r="K539">
        <f ca="1">K367*'Fuel Costs'!M102/1000</f>
        <v>13938.910842200781</v>
      </c>
      <c r="L539">
        <f ca="1">L367*'Fuel Costs'!N102/1000</f>
        <v>14197.512338749553</v>
      </c>
      <c r="M539">
        <f ca="1">M367*'Fuel Costs'!O102/1000</f>
        <v>14419.683183713039</v>
      </c>
      <c r="N539">
        <f ca="1">N367*'Fuel Costs'!P102/1000</f>
        <v>14499.792534733666</v>
      </c>
      <c r="O539">
        <f ca="1">O367*'Fuel Costs'!Q102/1000</f>
        <v>14579.901885754294</v>
      </c>
      <c r="P539">
        <f ca="1">P367*'Fuel Costs'!R102/1000</f>
        <v>14660.011236774921</v>
      </c>
      <c r="Q539">
        <f ca="1">Q367*'Fuel Costs'!S102/1000</f>
        <v>14740.120587795551</v>
      </c>
      <c r="R539">
        <f ca="1">R367*'Fuel Costs'!T102/1000</f>
        <v>14820.229938816179</v>
      </c>
      <c r="S539">
        <f ca="1">S367*'Fuel Costs'!U102/1000</f>
        <v>14900.339289836807</v>
      </c>
      <c r="T539">
        <f ca="1">T367*'Fuel Costs'!V102/1000</f>
        <v>14980.448640857434</v>
      </c>
      <c r="U539">
        <f ca="1">U367*'Fuel Costs'!W102/1000</f>
        <v>15060.557991878062</v>
      </c>
      <c r="V539">
        <f ca="1">V367*'Fuel Costs'!X102/1000</f>
        <v>14786.720922133742</v>
      </c>
      <c r="W539">
        <f ca="1">W367*'Fuel Costs'!Y102/1000</f>
        <v>14430.958160453863</v>
      </c>
      <c r="X539">
        <f ca="1">X367*'Fuel Costs'!Z102/1000</f>
        <v>14155.993518194417</v>
      </c>
      <c r="Y539">
        <f ca="1">Y367*'Fuel Costs'!AA102/1000</f>
        <v>13510.804462219186</v>
      </c>
      <c r="Z539">
        <f ca="1">Z367*'Fuel Costs'!AB102/1000</f>
        <v>12858.122654105562</v>
      </c>
      <c r="AA539">
        <f ca="1">AA367*'Fuel Costs'!AC102/1000</f>
        <v>12044.938208080182</v>
      </c>
      <c r="AB539">
        <f ca="1">AB367*'Fuel Costs'!AD102/1000</f>
        <v>10338.341658396081</v>
      </c>
      <c r="AC539">
        <f ca="1">AC367*'Fuel Costs'!AE102/1000</f>
        <v>9502.4817782676801</v>
      </c>
      <c r="AD539" s="76">
        <f ca="1">AD367*'Fuel Costs'!AF102/1000</f>
        <v>9502.4817782676801</v>
      </c>
      <c r="AE539" s="76">
        <f ca="1">AE367*'Fuel Costs'!AG102/1000</f>
        <v>9502.4817782676801</v>
      </c>
      <c r="AF539" s="76">
        <f ca="1">AF367*'Fuel Costs'!AH102/1000</f>
        <v>9502.4817782676801</v>
      </c>
      <c r="AG539" s="76">
        <f ca="1">AG367*'Fuel Costs'!AI102/1000</f>
        <v>7681.443298554108</v>
      </c>
      <c r="AH539" s="76">
        <f ca="1">AH367*'Fuel Costs'!AJ102/1000</f>
        <v>5860.4048188405359</v>
      </c>
      <c r="AI539" s="76">
        <f ca="1">AI367*'Fuel Costs'!AK102/1000</f>
        <v>4909.6928790919392</v>
      </c>
      <c r="AJ539" s="76">
        <f ca="1">AJ367*'Fuel Costs'!AL102/1000</f>
        <v>2969.6221727756965</v>
      </c>
      <c r="AK539" s="76">
        <f ca="1">AK367*'Fuel Costs'!AM102/1000</f>
        <v>1980.263406208051</v>
      </c>
      <c r="AL539" s="76">
        <f ca="1">AL367*'Fuel Costs'!AN102/1000</f>
        <v>1980.263406208051</v>
      </c>
      <c r="AM539" s="76">
        <f ca="1">AM367*'Fuel Costs'!AO102/1000</f>
        <v>1980.263406208051</v>
      </c>
      <c r="AN539" s="76">
        <f ca="1">AN367*'Fuel Costs'!AP102/1000</f>
        <v>1980.263406208051</v>
      </c>
      <c r="AO539" s="76">
        <f ca="1">AO367*'Fuel Costs'!AQ102/1000</f>
        <v>1980.263406208051</v>
      </c>
      <c r="AP539" s="76">
        <f ca="1">AP367*'Fuel Costs'!AR102/1000</f>
        <v>1980.263406208051</v>
      </c>
      <c r="AQ539" s="76">
        <f ca="1">AQ367*'Fuel Costs'!AS102/1000</f>
        <v>1980.263406208051</v>
      </c>
      <c r="AR539" s="76">
        <f ca="1">AR367*'Fuel Costs'!AT102/1000</f>
        <v>990.13170310402461</v>
      </c>
      <c r="AS539" s="76">
        <f ca="1">AS367*'Fuel Costs'!AU102/1000</f>
        <v>-1.8306814704302428E-12</v>
      </c>
      <c r="AT539" s="76">
        <f ca="1">AT367*'Fuel Costs'!AV102/1000</f>
        <v>-1.8306814704302428E-12</v>
      </c>
      <c r="AU539" s="76">
        <f ca="1">AU367*'Fuel Costs'!AW102/1000</f>
        <v>-1.8306814704302428E-12</v>
      </c>
      <c r="AV539" s="76">
        <f ca="1">AV367*'Fuel Costs'!AX102/1000</f>
        <v>-1.8306814704302428E-12</v>
      </c>
      <c r="AW539" s="76">
        <f ca="1">AW367*'Fuel Costs'!AY102/1000</f>
        <v>-1.8306814704302428E-12</v>
      </c>
    </row>
    <row r="540" spans="3:49">
      <c r="C540" t="str">
        <f t="shared" ref="C540:C558" si="116">C9</f>
        <v>Existing coal Small</v>
      </c>
      <c r="D540">
        <f>D368*'Fuel Costs'!F103/1000</f>
        <v>741.9842757023797</v>
      </c>
      <c r="E540">
        <f>E368*'Fuel Costs'!G103/1000</f>
        <v>851.8270806323203</v>
      </c>
      <c r="F540">
        <f>F368*'Fuel Costs'!H103/1000</f>
        <v>961.6698855622609</v>
      </c>
      <c r="G540">
        <f>G368*'Fuel Costs'!I103/1000</f>
        <v>1076.250263923074</v>
      </c>
      <c r="H540">
        <f>H368*'Fuel Costs'!J103/1000</f>
        <v>1076.250263923074</v>
      </c>
      <c r="I540">
        <f ca="1">I368*'Fuel Costs'!K103/1000</f>
        <v>1218.4361360426481</v>
      </c>
      <c r="J540">
        <f ca="1">J368*'Fuel Costs'!L103/1000</f>
        <v>1306.2825765174923</v>
      </c>
      <c r="K540">
        <f ca="1">K368*'Fuel Costs'!M103/1000</f>
        <v>1313.6627040684386</v>
      </c>
      <c r="L540">
        <f ca="1">L368*'Fuel Costs'!N103/1000</f>
        <v>1321.0428316193847</v>
      </c>
      <c r="M540">
        <f ca="1">M368*'Fuel Costs'!O103/1000</f>
        <v>1328.4229591703313</v>
      </c>
      <c r="N540">
        <f ca="1">N368*'Fuel Costs'!P103/1000</f>
        <v>1335.8030867212774</v>
      </c>
      <c r="O540">
        <f ca="1">O368*'Fuel Costs'!Q103/1000</f>
        <v>1335.4595617954913</v>
      </c>
      <c r="P540">
        <f ca="1">P368*'Fuel Costs'!R103/1000</f>
        <v>1335.0311615677624</v>
      </c>
      <c r="Q540">
        <f ca="1">Q368*'Fuel Costs'!S103/1000</f>
        <v>1331.9150434452004</v>
      </c>
      <c r="R540">
        <f ca="1">R368*'Fuel Costs'!T103/1000</f>
        <v>1328.6857582533819</v>
      </c>
      <c r="S540">
        <f ca="1">S368*'Fuel Costs'!U103/1000</f>
        <v>1135.9016320574995</v>
      </c>
      <c r="T540">
        <f ca="1">T368*'Fuel Costs'!V103/1000</f>
        <v>940.96733154574986</v>
      </c>
      <c r="U540">
        <f ca="1">U368*'Fuel Costs'!W103/1000</f>
        <v>945.99924240963105</v>
      </c>
      <c r="V540">
        <f ca="1">V368*'Fuel Costs'!X103/1000</f>
        <v>951.0311532735119</v>
      </c>
      <c r="W540">
        <f ca="1">W368*'Fuel Costs'!Y103/1000</f>
        <v>956.06306413739298</v>
      </c>
      <c r="X540">
        <f ca="1">X368*'Fuel Costs'!Z103/1000</f>
        <v>866.48170962025745</v>
      </c>
      <c r="Y540">
        <f ca="1">Y368*'Fuel Costs'!AA103/1000</f>
        <v>775.9096402823784</v>
      </c>
      <c r="Z540">
        <f ca="1">Z368*'Fuel Costs'!AB103/1000</f>
        <v>779.95083632551564</v>
      </c>
      <c r="AA540">
        <f ca="1">AA368*'Fuel Costs'!AC103/1000</f>
        <v>783.99203236865299</v>
      </c>
      <c r="AB540">
        <f ca="1">AB368*'Fuel Costs'!AD103/1000</f>
        <v>788.03322841179056</v>
      </c>
      <c r="AC540">
        <f ca="1">AC368*'Fuel Costs'!AE103/1000</f>
        <v>792.07442445492791</v>
      </c>
      <c r="AD540" s="76">
        <f ca="1">AD368*'Fuel Costs'!AF103/1000</f>
        <v>792.07442445492791</v>
      </c>
      <c r="AE540" s="76">
        <f ca="1">AE368*'Fuel Costs'!AG103/1000</f>
        <v>769.45006396923702</v>
      </c>
      <c r="AF540" s="76">
        <f ca="1">AF368*'Fuel Costs'!AH103/1000</f>
        <v>746.82570348354591</v>
      </c>
      <c r="AG540" s="76">
        <f ca="1">AG368*'Fuel Costs'!AI103/1000</f>
        <v>746.82570348354591</v>
      </c>
      <c r="AH540" s="76">
        <f ca="1">AH368*'Fuel Costs'!AJ103/1000</f>
        <v>746.82570348354591</v>
      </c>
      <c r="AI540" s="76">
        <f ca="1">AI368*'Fuel Costs'!AK103/1000</f>
        <v>746.82570348354591</v>
      </c>
      <c r="AJ540" s="76">
        <f ca="1">AJ368*'Fuel Costs'!AL103/1000</f>
        <v>746.82570348354591</v>
      </c>
      <c r="AK540" s="76">
        <f ca="1">AK368*'Fuel Costs'!AM103/1000</f>
        <v>662.53887030155977</v>
      </c>
      <c r="AL540" s="76">
        <f ca="1">AL368*'Fuel Costs'!AN103/1000</f>
        <v>578.25203711957352</v>
      </c>
      <c r="AM540" s="76">
        <f ca="1">AM368*'Fuel Costs'!AO103/1000</f>
        <v>578.25203711957352</v>
      </c>
      <c r="AN540" s="76">
        <f ca="1">AN368*'Fuel Costs'!AP103/1000</f>
        <v>578.25203711957352</v>
      </c>
      <c r="AO540" s="76">
        <f ca="1">AO368*'Fuel Costs'!AQ103/1000</f>
        <v>578.25203711957352</v>
      </c>
      <c r="AP540" s="76">
        <f ca="1">AP368*'Fuel Costs'!AR103/1000</f>
        <v>578.25203711957352</v>
      </c>
      <c r="AQ540" s="76">
        <f ca="1">AQ368*'Fuel Costs'!AS103/1000</f>
        <v>578.25203711957352</v>
      </c>
      <c r="AR540" s="76">
        <f ca="1">AR368*'Fuel Costs'!AT103/1000</f>
        <v>578.25203711957352</v>
      </c>
      <c r="AS540" s="76">
        <f ca="1">AS368*'Fuel Costs'!AU103/1000</f>
        <v>578.25203711957352</v>
      </c>
      <c r="AT540" s="76">
        <f ca="1">AT368*'Fuel Costs'!AV103/1000</f>
        <v>578.25203711957352</v>
      </c>
      <c r="AU540" s="76">
        <f ca="1">AU368*'Fuel Costs'!AW103/1000</f>
        <v>578.25203711957352</v>
      </c>
      <c r="AV540" s="76">
        <f ca="1">AV368*'Fuel Costs'!AX103/1000</f>
        <v>578.25203711957352</v>
      </c>
      <c r="AW540" s="76">
        <f ca="1">AW368*'Fuel Costs'!AY103/1000</f>
        <v>578.25203711957352</v>
      </c>
    </row>
    <row r="541" spans="3:49">
      <c r="C541" t="str">
        <f t="shared" si="116"/>
        <v>OCGT liquid fuels</v>
      </c>
      <c r="D541">
        <f>D369*'Fuel Costs'!F104/1000</f>
        <v>941.57897531544415</v>
      </c>
      <c r="E541">
        <f>E369*'Fuel Costs'!G104/1000</f>
        <v>1071.5791999469895</v>
      </c>
      <c r="F541">
        <f>F369*'Fuel Costs'!H104/1000</f>
        <v>1071.2710763732807</v>
      </c>
      <c r="G541">
        <f>G369*'Fuel Costs'!I104/1000</f>
        <v>1509.2687650843718</v>
      </c>
      <c r="H541">
        <f>H369*'Fuel Costs'!J104/1000</f>
        <v>1029.7186585286734</v>
      </c>
      <c r="I541">
        <f ca="1">I369*'Fuel Costs'!K104/1000</f>
        <v>1082.6136785408951</v>
      </c>
      <c r="J541">
        <f ca="1">J369*'Fuel Costs'!L104/1000</f>
        <v>1646.487612902019</v>
      </c>
      <c r="K541">
        <f ca="1">K369*'Fuel Costs'!M104/1000</f>
        <v>1723.1853919197401</v>
      </c>
      <c r="L541">
        <f ca="1">L369*'Fuel Costs'!N104/1000</f>
        <v>1799.8831709374622</v>
      </c>
      <c r="M541">
        <f ca="1">M369*'Fuel Costs'!O104/1000</f>
        <v>1876.5809499551833</v>
      </c>
      <c r="N541">
        <f ca="1">N369*'Fuel Costs'!P104/1000</f>
        <v>1953.2787289729049</v>
      </c>
      <c r="O541">
        <f ca="1">O369*'Fuel Costs'!Q104/1000</f>
        <v>2029.9765079906256</v>
      </c>
      <c r="P541">
        <f ca="1">P369*'Fuel Costs'!R104/1000</f>
        <v>2106.6742870083472</v>
      </c>
      <c r="Q541">
        <f ca="1">Q369*'Fuel Costs'!S104/1000</f>
        <v>2183.3720660260683</v>
      </c>
      <c r="R541">
        <f ca="1">R369*'Fuel Costs'!T104/1000</f>
        <v>2260.0698450437899</v>
      </c>
      <c r="S541">
        <f ca="1">S369*'Fuel Costs'!U104/1000</f>
        <v>2336.7676240615115</v>
      </c>
      <c r="T541">
        <f ca="1">T369*'Fuel Costs'!V104/1000</f>
        <v>2413.4654030792321</v>
      </c>
      <c r="U541">
        <f ca="1">U369*'Fuel Costs'!W104/1000</f>
        <v>2490.1631820969533</v>
      </c>
      <c r="V541">
        <f ca="1">V369*'Fuel Costs'!X104/1000</f>
        <v>2566.8609611146749</v>
      </c>
      <c r="W541">
        <f ca="1">W369*'Fuel Costs'!Y104/1000</f>
        <v>2643.5587401323965</v>
      </c>
      <c r="X541">
        <f ca="1">X369*'Fuel Costs'!Z104/1000</f>
        <v>2720.256519150118</v>
      </c>
      <c r="Y541">
        <f ca="1">Y369*'Fuel Costs'!AA104/1000</f>
        <v>3375.6344977887725</v>
      </c>
      <c r="Z541">
        <f ca="1">Z369*'Fuel Costs'!AB104/1000</f>
        <v>3468.20078281016</v>
      </c>
      <c r="AA541">
        <f ca="1">AA369*'Fuel Costs'!AC104/1000</f>
        <v>3560.7670678315476</v>
      </c>
      <c r="AB541">
        <f ca="1">AB369*'Fuel Costs'!AD104/1000</f>
        <v>4488.3809763621784</v>
      </c>
      <c r="AC541">
        <f ca="1">AC369*'Fuel Costs'!AE104/1000</f>
        <v>5305.7992727891296</v>
      </c>
      <c r="AD541" s="76">
        <f ca="1">AD369*'Fuel Costs'!AF104/1000</f>
        <v>5305.7992727891296</v>
      </c>
      <c r="AE541" s="76">
        <f ca="1">AE369*'Fuel Costs'!AG104/1000</f>
        <v>5305.7992727891296</v>
      </c>
      <c r="AF541" s="76">
        <f ca="1">AF369*'Fuel Costs'!AH104/1000</f>
        <v>5305.7992727891296</v>
      </c>
      <c r="AG541" s="76">
        <f ca="1">AG369*'Fuel Costs'!AI104/1000</f>
        <v>5305.7992727891296</v>
      </c>
      <c r="AH541" s="76">
        <f ca="1">AH369*'Fuel Costs'!AJ104/1000</f>
        <v>5305.7992727891296</v>
      </c>
      <c r="AI541" s="76">
        <f ca="1">AI369*'Fuel Costs'!AK104/1000</f>
        <v>5305.7992727891296</v>
      </c>
      <c r="AJ541" s="76">
        <f ca="1">AJ369*'Fuel Costs'!AL104/1000</f>
        <v>5305.7992727891296</v>
      </c>
      <c r="AK541" s="76">
        <f ca="1">AK369*'Fuel Costs'!AM104/1000</f>
        <v>5305.7992727891296</v>
      </c>
      <c r="AL541" s="76">
        <f ca="1">AL369*'Fuel Costs'!AN104/1000</f>
        <v>5305.7992727891296</v>
      </c>
      <c r="AM541" s="76">
        <f ca="1">AM369*'Fuel Costs'!AO104/1000</f>
        <v>5305.7992727891296</v>
      </c>
      <c r="AN541" s="76">
        <f ca="1">AN369*'Fuel Costs'!AP104/1000</f>
        <v>5305.7992727891296</v>
      </c>
      <c r="AO541" s="76">
        <f ca="1">AO369*'Fuel Costs'!AQ104/1000</f>
        <v>5305.7992727891296</v>
      </c>
      <c r="AP541" s="76">
        <f ca="1">AP369*'Fuel Costs'!AR104/1000</f>
        <v>5305.7992727891296</v>
      </c>
      <c r="AQ541" s="76">
        <f ca="1">AQ369*'Fuel Costs'!AS104/1000</f>
        <v>5305.7992727891296</v>
      </c>
      <c r="AR541" s="76">
        <f ca="1">AR369*'Fuel Costs'!AT104/1000</f>
        <v>5305.7992727891296</v>
      </c>
      <c r="AS541" s="76">
        <f ca="1">AS369*'Fuel Costs'!AU104/1000</f>
        <v>5305.7992727891296</v>
      </c>
      <c r="AT541" s="76">
        <f ca="1">AT369*'Fuel Costs'!AV104/1000</f>
        <v>5305.7992727891296</v>
      </c>
      <c r="AU541" s="76">
        <f ca="1">AU369*'Fuel Costs'!AW104/1000</f>
        <v>5305.7992727891296</v>
      </c>
      <c r="AV541" s="76">
        <f ca="1">AV369*'Fuel Costs'!AX104/1000</f>
        <v>5305.7992727891296</v>
      </c>
      <c r="AW541" s="76">
        <f ca="1">AW369*'Fuel Costs'!AY104/1000</f>
        <v>5305.7992727891296</v>
      </c>
    </row>
    <row r="542" spans="3:49">
      <c r="C542" t="str">
        <f t="shared" si="116"/>
        <v>PWR nuclear</v>
      </c>
      <c r="D542">
        <f>D370*'Fuel Costs'!F105/1000</f>
        <v>435.80466406263491</v>
      </c>
      <c r="E542">
        <f>E370*'Fuel Costs'!G105/1000</f>
        <v>508.43877473974067</v>
      </c>
      <c r="F542">
        <f>F370*'Fuel Costs'!H105/1000</f>
        <v>581.07288541684647</v>
      </c>
      <c r="G542">
        <f>G370*'Fuel Costs'!I105/1000</f>
        <v>653.70699609395228</v>
      </c>
      <c r="H542">
        <f>H370*'Fuel Costs'!J105/1000</f>
        <v>763.28704004687131</v>
      </c>
      <c r="I542">
        <f ca="1">I370*'Fuel Costs'!K105/1000</f>
        <v>767.10347524710562</v>
      </c>
      <c r="J542">
        <f ca="1">J370*'Fuel Costs'!L105/1000</f>
        <v>770.93899262334105</v>
      </c>
      <c r="K542">
        <f ca="1">K370*'Fuel Costs'!M105/1000</f>
        <v>774.79368758645774</v>
      </c>
      <c r="L542">
        <f ca="1">L370*'Fuel Costs'!N105/1000</f>
        <v>778.66765602438988</v>
      </c>
      <c r="M542">
        <f ca="1">M370*'Fuel Costs'!O105/1000</f>
        <v>782.56099430451184</v>
      </c>
      <c r="N542">
        <f ca="1">N370*'Fuel Costs'!P105/1000</f>
        <v>786.47379927603413</v>
      </c>
      <c r="O542">
        <f ca="1">O370*'Fuel Costs'!Q105/1000</f>
        <v>790.40616827241433</v>
      </c>
      <c r="P542">
        <f ca="1">P370*'Fuel Costs'!R105/1000</f>
        <v>794.35819911377632</v>
      </c>
      <c r="Q542">
        <f ca="1">Q370*'Fuel Costs'!S105/1000</f>
        <v>798.32999010934509</v>
      </c>
      <c r="R542">
        <f ca="1">R370*'Fuel Costs'!T105/1000</f>
        <v>802.32164005989171</v>
      </c>
      <c r="S542">
        <f ca="1">S370*'Fuel Costs'!U105/1000</f>
        <v>806.33324826019111</v>
      </c>
      <c r="T542">
        <f ca="1">T370*'Fuel Costs'!V105/1000</f>
        <v>810.36491450149208</v>
      </c>
      <c r="U542">
        <f ca="1">U370*'Fuel Costs'!W105/1000</f>
        <v>814.41673907399934</v>
      </c>
      <c r="V542">
        <f ca="1">V370*'Fuel Costs'!X105/1000</f>
        <v>818.48882276936911</v>
      </c>
      <c r="W542">
        <f ca="1">W370*'Fuel Costs'!Y105/1000</f>
        <v>822.58126688321602</v>
      </c>
      <c r="X542">
        <f ca="1">X370*'Fuel Costs'!Z105/1000</f>
        <v>826.69417321763194</v>
      </c>
      <c r="Y542">
        <f ca="1">Y370*'Fuel Costs'!AA105/1000</f>
        <v>830.82764408371997</v>
      </c>
      <c r="Z542">
        <f ca="1">Z370*'Fuel Costs'!AB105/1000</f>
        <v>834.98178230413839</v>
      </c>
      <c r="AA542">
        <f ca="1">AA370*'Fuel Costs'!AC105/1000</f>
        <v>839.15669121565907</v>
      </c>
      <c r="AB542">
        <f ca="1">AB370*'Fuel Costs'!AD105/1000</f>
        <v>843.35247467173724</v>
      </c>
      <c r="AC542">
        <f ca="1">AC370*'Fuel Costs'!AE105/1000</f>
        <v>847.56923704509597</v>
      </c>
      <c r="AD542" s="76">
        <f ca="1">AD370*'Fuel Costs'!AF105/1000</f>
        <v>847.56923704509597</v>
      </c>
      <c r="AE542" s="76">
        <f ca="1">AE370*'Fuel Costs'!AG105/1000</f>
        <v>847.56923704509597</v>
      </c>
      <c r="AF542" s="76">
        <f ca="1">AF370*'Fuel Costs'!AH105/1000</f>
        <v>847.56923704509597</v>
      </c>
      <c r="AG542" s="76">
        <f ca="1">AG370*'Fuel Costs'!AI105/1000</f>
        <v>847.56923704509597</v>
      </c>
      <c r="AH542" s="76">
        <f ca="1">AH370*'Fuel Costs'!AJ105/1000</f>
        <v>847.56923704509597</v>
      </c>
      <c r="AI542" s="76">
        <f ca="1">AI370*'Fuel Costs'!AK105/1000</f>
        <v>847.56923704509597</v>
      </c>
      <c r="AJ542" s="76">
        <f ca="1">AJ370*'Fuel Costs'!AL105/1000</f>
        <v>847.56923704509597</v>
      </c>
      <c r="AK542" s="76">
        <f ca="1">AK370*'Fuel Costs'!AM105/1000</f>
        <v>847.56923704509597</v>
      </c>
      <c r="AL542" s="76">
        <f ca="1">AL370*'Fuel Costs'!AN105/1000</f>
        <v>847.56923704509597</v>
      </c>
      <c r="AM542" s="76">
        <f ca="1">AM370*'Fuel Costs'!AO105/1000</f>
        <v>847.56923704509597</v>
      </c>
      <c r="AN542" s="76">
        <f ca="1">AN370*'Fuel Costs'!AP105/1000</f>
        <v>847.56923704509597</v>
      </c>
      <c r="AO542" s="76">
        <f ca="1">AO370*'Fuel Costs'!AQ105/1000</f>
        <v>847.56923704509597</v>
      </c>
      <c r="AP542" s="76">
        <f ca="1">AP370*'Fuel Costs'!AR105/1000</f>
        <v>847.56923704509597</v>
      </c>
      <c r="AQ542" s="76">
        <f ca="1">AQ370*'Fuel Costs'!AS105/1000</f>
        <v>847.56923704509597</v>
      </c>
      <c r="AR542" s="76">
        <f ca="1">AR370*'Fuel Costs'!AT105/1000</f>
        <v>847.56923704509597</v>
      </c>
      <c r="AS542" s="76">
        <f ca="1">AS370*'Fuel Costs'!AU105/1000</f>
        <v>847.56923704509597</v>
      </c>
      <c r="AT542" s="76">
        <f ca="1">AT370*'Fuel Costs'!AV105/1000</f>
        <v>847.56923704509597</v>
      </c>
      <c r="AU542" s="76">
        <f ca="1">AU370*'Fuel Costs'!AW105/1000</f>
        <v>847.56923704509597</v>
      </c>
      <c r="AV542" s="76">
        <f ca="1">AV370*'Fuel Costs'!AX105/1000</f>
        <v>847.56923704509597</v>
      </c>
      <c r="AW542" s="76">
        <f ca="1">AW370*'Fuel Costs'!AY105/1000</f>
        <v>847.56923704509597</v>
      </c>
    </row>
    <row r="543" spans="3:49">
      <c r="C543" t="str">
        <f t="shared" si="116"/>
        <v>Hydro</v>
      </c>
      <c r="D543">
        <f>D371*'Fuel Costs'!F106/1000</f>
        <v>0</v>
      </c>
      <c r="E543">
        <f>E371*'Fuel Costs'!G106/1000</f>
        <v>0</v>
      </c>
      <c r="F543">
        <f>F371*'Fuel Costs'!H106/1000</f>
        <v>0</v>
      </c>
      <c r="G543">
        <f>G371*'Fuel Costs'!I106/1000</f>
        <v>0</v>
      </c>
      <c r="H543">
        <f>H371*'Fuel Costs'!J106/1000</f>
        <v>0</v>
      </c>
      <c r="I543">
        <f ca="1">I371*'Fuel Costs'!K106/1000</f>
        <v>0</v>
      </c>
      <c r="J543">
        <f ca="1">J371*'Fuel Costs'!L106/1000</f>
        <v>0</v>
      </c>
      <c r="K543">
        <f ca="1">K371*'Fuel Costs'!M106/1000</f>
        <v>0</v>
      </c>
      <c r="L543">
        <f ca="1">L371*'Fuel Costs'!N106/1000</f>
        <v>0</v>
      </c>
      <c r="M543">
        <f ca="1">M371*'Fuel Costs'!O106/1000</f>
        <v>0</v>
      </c>
      <c r="N543">
        <f ca="1">N371*'Fuel Costs'!P106/1000</f>
        <v>0</v>
      </c>
      <c r="O543">
        <f ca="1">O371*'Fuel Costs'!Q106/1000</f>
        <v>0</v>
      </c>
      <c r="P543">
        <f ca="1">P371*'Fuel Costs'!R106/1000</f>
        <v>0</v>
      </c>
      <c r="Q543">
        <f ca="1">Q371*'Fuel Costs'!S106/1000</f>
        <v>0</v>
      </c>
      <c r="R543">
        <f ca="1">R371*'Fuel Costs'!T106/1000</f>
        <v>0</v>
      </c>
      <c r="S543">
        <f ca="1">S371*'Fuel Costs'!U106/1000</f>
        <v>0</v>
      </c>
      <c r="T543">
        <f ca="1">T371*'Fuel Costs'!V106/1000</f>
        <v>0</v>
      </c>
      <c r="U543">
        <f ca="1">U371*'Fuel Costs'!W106/1000</f>
        <v>0</v>
      </c>
      <c r="V543">
        <f ca="1">V371*'Fuel Costs'!X106/1000</f>
        <v>0</v>
      </c>
      <c r="W543">
        <f ca="1">W371*'Fuel Costs'!Y106/1000</f>
        <v>0</v>
      </c>
      <c r="X543">
        <f ca="1">X371*'Fuel Costs'!Z106/1000</f>
        <v>0</v>
      </c>
      <c r="Y543">
        <f ca="1">Y371*'Fuel Costs'!AA106/1000</f>
        <v>0</v>
      </c>
      <c r="Z543">
        <f ca="1">Z371*'Fuel Costs'!AB106/1000</f>
        <v>0</v>
      </c>
      <c r="AA543">
        <f ca="1">AA371*'Fuel Costs'!AC106/1000</f>
        <v>0</v>
      </c>
      <c r="AB543">
        <f ca="1">AB371*'Fuel Costs'!AD106/1000</f>
        <v>0</v>
      </c>
      <c r="AC543">
        <f ca="1">AC371*'Fuel Costs'!AE106/1000</f>
        <v>0</v>
      </c>
      <c r="AD543" s="76">
        <f ca="1">AD371*'Fuel Costs'!AF106/1000</f>
        <v>0</v>
      </c>
      <c r="AE543" s="76">
        <f ca="1">AE371*'Fuel Costs'!AG106/1000</f>
        <v>0</v>
      </c>
      <c r="AF543" s="76">
        <f ca="1">AF371*'Fuel Costs'!AH106/1000</f>
        <v>0</v>
      </c>
      <c r="AG543" s="76">
        <f ca="1">AG371*'Fuel Costs'!AI106/1000</f>
        <v>0</v>
      </c>
      <c r="AH543" s="76">
        <f ca="1">AH371*'Fuel Costs'!AJ106/1000</f>
        <v>0</v>
      </c>
      <c r="AI543" s="76">
        <f ca="1">AI371*'Fuel Costs'!AK106/1000</f>
        <v>0</v>
      </c>
      <c r="AJ543" s="76">
        <f ca="1">AJ371*'Fuel Costs'!AL106/1000</f>
        <v>0</v>
      </c>
      <c r="AK543" s="76">
        <f ca="1">AK371*'Fuel Costs'!AM106/1000</f>
        <v>0</v>
      </c>
      <c r="AL543" s="76">
        <f ca="1">AL371*'Fuel Costs'!AN106/1000</f>
        <v>0</v>
      </c>
      <c r="AM543" s="76">
        <f ca="1">AM371*'Fuel Costs'!AO106/1000</f>
        <v>0</v>
      </c>
      <c r="AN543" s="76">
        <f ca="1">AN371*'Fuel Costs'!AP106/1000</f>
        <v>0</v>
      </c>
      <c r="AO543" s="76">
        <f ca="1">AO371*'Fuel Costs'!AQ106/1000</f>
        <v>0</v>
      </c>
      <c r="AP543" s="76">
        <f ca="1">AP371*'Fuel Costs'!AR106/1000</f>
        <v>0</v>
      </c>
      <c r="AQ543" s="76">
        <f ca="1">AQ371*'Fuel Costs'!AS106/1000</f>
        <v>0</v>
      </c>
      <c r="AR543" s="76">
        <f ca="1">AR371*'Fuel Costs'!AT106/1000</f>
        <v>0</v>
      </c>
      <c r="AS543" s="76">
        <f ca="1">AS371*'Fuel Costs'!AU106/1000</f>
        <v>0</v>
      </c>
      <c r="AT543" s="76">
        <f ca="1">AT371*'Fuel Costs'!AV106/1000</f>
        <v>0</v>
      </c>
      <c r="AU543" s="76">
        <f ca="1">AU371*'Fuel Costs'!AW106/1000</f>
        <v>0</v>
      </c>
      <c r="AV543" s="76">
        <f ca="1">AV371*'Fuel Costs'!AX106/1000</f>
        <v>0</v>
      </c>
      <c r="AW543" s="76">
        <f ca="1">AW371*'Fuel Costs'!AY106/1000</f>
        <v>0</v>
      </c>
    </row>
    <row r="544" spans="3:49">
      <c r="C544" t="str">
        <f t="shared" si="116"/>
        <v>Landfill gas</v>
      </c>
      <c r="D544">
        <f>D372*'Fuel Costs'!F107/1000</f>
        <v>0</v>
      </c>
      <c r="E544">
        <f>E372*'Fuel Costs'!G107/1000</f>
        <v>0</v>
      </c>
      <c r="F544">
        <f>F372*'Fuel Costs'!H107/1000</f>
        <v>0</v>
      </c>
      <c r="G544">
        <f>G372*'Fuel Costs'!I107/1000</f>
        <v>0</v>
      </c>
      <c r="H544">
        <f>H372*'Fuel Costs'!J107/1000</f>
        <v>0</v>
      </c>
      <c r="I544">
        <f ca="1">I372*'Fuel Costs'!K107/1000</f>
        <v>0</v>
      </c>
      <c r="J544">
        <f ca="1">J372*'Fuel Costs'!L107/1000</f>
        <v>0</v>
      </c>
      <c r="K544">
        <f ca="1">K372*'Fuel Costs'!M107/1000</f>
        <v>0</v>
      </c>
      <c r="L544">
        <f ca="1">L372*'Fuel Costs'!N107/1000</f>
        <v>0</v>
      </c>
      <c r="M544">
        <f ca="1">M372*'Fuel Costs'!O107/1000</f>
        <v>0</v>
      </c>
      <c r="N544">
        <f ca="1">N372*'Fuel Costs'!P107/1000</f>
        <v>0</v>
      </c>
      <c r="O544">
        <f ca="1">O372*'Fuel Costs'!Q107/1000</f>
        <v>0</v>
      </c>
      <c r="P544">
        <f ca="1">P372*'Fuel Costs'!R107/1000</f>
        <v>0</v>
      </c>
      <c r="Q544">
        <f ca="1">Q372*'Fuel Costs'!S107/1000</f>
        <v>0</v>
      </c>
      <c r="R544">
        <f ca="1">R372*'Fuel Costs'!T107/1000</f>
        <v>0</v>
      </c>
      <c r="S544">
        <f ca="1">S372*'Fuel Costs'!U107/1000</f>
        <v>0</v>
      </c>
      <c r="T544">
        <f ca="1">T372*'Fuel Costs'!V107/1000</f>
        <v>0</v>
      </c>
      <c r="U544">
        <f ca="1">U372*'Fuel Costs'!W107/1000</f>
        <v>0</v>
      </c>
      <c r="V544">
        <f ca="1">V372*'Fuel Costs'!X107/1000</f>
        <v>0</v>
      </c>
      <c r="W544">
        <f ca="1">W372*'Fuel Costs'!Y107/1000</f>
        <v>0</v>
      </c>
      <c r="X544">
        <f ca="1">X372*'Fuel Costs'!Z107/1000</f>
        <v>0</v>
      </c>
      <c r="Y544">
        <f ca="1">Y372*'Fuel Costs'!AA107/1000</f>
        <v>0</v>
      </c>
      <c r="Z544">
        <f ca="1">Z372*'Fuel Costs'!AB107/1000</f>
        <v>0</v>
      </c>
      <c r="AA544">
        <f ca="1">AA372*'Fuel Costs'!AC107/1000</f>
        <v>0</v>
      </c>
      <c r="AB544">
        <f ca="1">AB372*'Fuel Costs'!AD107/1000</f>
        <v>0</v>
      </c>
      <c r="AC544">
        <f ca="1">AC372*'Fuel Costs'!AE107/1000</f>
        <v>0</v>
      </c>
      <c r="AD544" s="76">
        <f ca="1">AD372*'Fuel Costs'!AF107/1000</f>
        <v>0</v>
      </c>
      <c r="AE544" s="76">
        <f ca="1">AE372*'Fuel Costs'!AG107/1000</f>
        <v>0</v>
      </c>
      <c r="AF544" s="76">
        <f ca="1">AF372*'Fuel Costs'!AH107/1000</f>
        <v>0</v>
      </c>
      <c r="AG544" s="76">
        <f ca="1">AG372*'Fuel Costs'!AI107/1000</f>
        <v>0</v>
      </c>
      <c r="AH544" s="76">
        <f ca="1">AH372*'Fuel Costs'!AJ107/1000</f>
        <v>0</v>
      </c>
      <c r="AI544" s="76">
        <f ca="1">AI372*'Fuel Costs'!AK107/1000</f>
        <v>0</v>
      </c>
      <c r="AJ544" s="76">
        <f ca="1">AJ372*'Fuel Costs'!AL107/1000</f>
        <v>0</v>
      </c>
      <c r="AK544" s="76">
        <f ca="1">AK372*'Fuel Costs'!AM107/1000</f>
        <v>0</v>
      </c>
      <c r="AL544" s="76">
        <f ca="1">AL372*'Fuel Costs'!AN107/1000</f>
        <v>0</v>
      </c>
      <c r="AM544" s="76">
        <f ca="1">AM372*'Fuel Costs'!AO107/1000</f>
        <v>0</v>
      </c>
      <c r="AN544" s="76">
        <f ca="1">AN372*'Fuel Costs'!AP107/1000</f>
        <v>0</v>
      </c>
      <c r="AO544" s="76">
        <f ca="1">AO372*'Fuel Costs'!AQ107/1000</f>
        <v>0</v>
      </c>
      <c r="AP544" s="76">
        <f ca="1">AP372*'Fuel Costs'!AR107/1000</f>
        <v>0</v>
      </c>
      <c r="AQ544" s="76">
        <f ca="1">AQ372*'Fuel Costs'!AS107/1000</f>
        <v>0</v>
      </c>
      <c r="AR544" s="76">
        <f ca="1">AR372*'Fuel Costs'!AT107/1000</f>
        <v>0</v>
      </c>
      <c r="AS544" s="76">
        <f ca="1">AS372*'Fuel Costs'!AU107/1000</f>
        <v>0</v>
      </c>
      <c r="AT544" s="76">
        <f ca="1">AT372*'Fuel Costs'!AV107/1000</f>
        <v>0</v>
      </c>
      <c r="AU544" s="76">
        <f ca="1">AU372*'Fuel Costs'!AW107/1000</f>
        <v>0</v>
      </c>
      <c r="AV544" s="76">
        <f ca="1">AV372*'Fuel Costs'!AX107/1000</f>
        <v>0</v>
      </c>
      <c r="AW544" s="76">
        <f ca="1">AW372*'Fuel Costs'!AY107/1000</f>
        <v>0</v>
      </c>
    </row>
    <row r="545" spans="3:57">
      <c r="C545" t="str">
        <f t="shared" si="116"/>
        <v>Biomass</v>
      </c>
      <c r="D545">
        <f>D373*'Fuel Costs'!F108/1000</f>
        <v>0</v>
      </c>
      <c r="E545">
        <f>E373*'Fuel Costs'!G108/1000</f>
        <v>0</v>
      </c>
      <c r="F545">
        <f>F373*'Fuel Costs'!H108/1000</f>
        <v>0</v>
      </c>
      <c r="G545">
        <f>G373*'Fuel Costs'!I108/1000</f>
        <v>0</v>
      </c>
      <c r="H545">
        <f>H373*'Fuel Costs'!J108/1000</f>
        <v>0</v>
      </c>
      <c r="I545">
        <f ca="1">I373*'Fuel Costs'!K108/1000</f>
        <v>0</v>
      </c>
      <c r="J545">
        <f ca="1">J373*'Fuel Costs'!L108/1000</f>
        <v>0</v>
      </c>
      <c r="K545">
        <f ca="1">K373*'Fuel Costs'!M108/1000</f>
        <v>0</v>
      </c>
      <c r="L545">
        <f ca="1">L373*'Fuel Costs'!N108/1000</f>
        <v>0</v>
      </c>
      <c r="M545">
        <f ca="1">M373*'Fuel Costs'!O108/1000</f>
        <v>0</v>
      </c>
      <c r="N545">
        <f ca="1">N373*'Fuel Costs'!P108/1000</f>
        <v>0</v>
      </c>
      <c r="O545">
        <f ca="1">O373*'Fuel Costs'!Q108/1000</f>
        <v>0</v>
      </c>
      <c r="P545">
        <f ca="1">P373*'Fuel Costs'!R108/1000</f>
        <v>0</v>
      </c>
      <c r="Q545">
        <f ca="1">Q373*'Fuel Costs'!S108/1000</f>
        <v>0</v>
      </c>
      <c r="R545">
        <f ca="1">R373*'Fuel Costs'!T108/1000</f>
        <v>0</v>
      </c>
      <c r="S545">
        <f ca="1">S373*'Fuel Costs'!U108/1000</f>
        <v>0</v>
      </c>
      <c r="T545">
        <f ca="1">T373*'Fuel Costs'!V108/1000</f>
        <v>0</v>
      </c>
      <c r="U545">
        <f ca="1">U373*'Fuel Costs'!W108/1000</f>
        <v>0</v>
      </c>
      <c r="V545">
        <f ca="1">V373*'Fuel Costs'!X108/1000</f>
        <v>0</v>
      </c>
      <c r="W545">
        <f ca="1">W373*'Fuel Costs'!Y108/1000</f>
        <v>0</v>
      </c>
      <c r="X545">
        <f ca="1">X373*'Fuel Costs'!Z108/1000</f>
        <v>0</v>
      </c>
      <c r="Y545">
        <f ca="1">Y373*'Fuel Costs'!AA108/1000</f>
        <v>0</v>
      </c>
      <c r="Z545">
        <f ca="1">Z373*'Fuel Costs'!AB108/1000</f>
        <v>0</v>
      </c>
      <c r="AA545">
        <f ca="1">AA373*'Fuel Costs'!AC108/1000</f>
        <v>0</v>
      </c>
      <c r="AB545">
        <f ca="1">AB373*'Fuel Costs'!AD108/1000</f>
        <v>0</v>
      </c>
      <c r="AC545">
        <f ca="1">AC373*'Fuel Costs'!AE108/1000</f>
        <v>0</v>
      </c>
      <c r="AD545" s="76">
        <f ca="1">AD373*'Fuel Costs'!AF108/1000</f>
        <v>0</v>
      </c>
      <c r="AE545" s="76">
        <f ca="1">AE373*'Fuel Costs'!AG108/1000</f>
        <v>0</v>
      </c>
      <c r="AF545" s="76">
        <f ca="1">AF373*'Fuel Costs'!AH108/1000</f>
        <v>0</v>
      </c>
      <c r="AG545" s="76">
        <f ca="1">AG373*'Fuel Costs'!AI108/1000</f>
        <v>0</v>
      </c>
      <c r="AH545" s="76">
        <f ca="1">AH373*'Fuel Costs'!AJ108/1000</f>
        <v>0</v>
      </c>
      <c r="AI545" s="76">
        <f ca="1">AI373*'Fuel Costs'!AK108/1000</f>
        <v>0</v>
      </c>
      <c r="AJ545" s="76">
        <f ca="1">AJ373*'Fuel Costs'!AL108/1000</f>
        <v>0</v>
      </c>
      <c r="AK545" s="76">
        <f ca="1">AK373*'Fuel Costs'!AM108/1000</f>
        <v>0</v>
      </c>
      <c r="AL545" s="76">
        <f ca="1">AL373*'Fuel Costs'!AN108/1000</f>
        <v>0</v>
      </c>
      <c r="AM545" s="76">
        <f ca="1">AM373*'Fuel Costs'!AO108/1000</f>
        <v>0</v>
      </c>
      <c r="AN545" s="76">
        <f ca="1">AN373*'Fuel Costs'!AP108/1000</f>
        <v>0</v>
      </c>
      <c r="AO545" s="76">
        <f ca="1">AO373*'Fuel Costs'!AQ108/1000</f>
        <v>0</v>
      </c>
      <c r="AP545" s="76">
        <f ca="1">AP373*'Fuel Costs'!AR108/1000</f>
        <v>0</v>
      </c>
      <c r="AQ545" s="76">
        <f ca="1">AQ373*'Fuel Costs'!AS108/1000</f>
        <v>0</v>
      </c>
      <c r="AR545" s="76">
        <f ca="1">AR373*'Fuel Costs'!AT108/1000</f>
        <v>0</v>
      </c>
      <c r="AS545" s="76">
        <f ca="1">AS373*'Fuel Costs'!AU108/1000</f>
        <v>0</v>
      </c>
      <c r="AT545" s="76">
        <f ca="1">AT373*'Fuel Costs'!AV108/1000</f>
        <v>0</v>
      </c>
      <c r="AU545" s="76">
        <f ca="1">AU373*'Fuel Costs'!AW108/1000</f>
        <v>0</v>
      </c>
      <c r="AV545" s="76">
        <f ca="1">AV373*'Fuel Costs'!AX108/1000</f>
        <v>0</v>
      </c>
      <c r="AW545" s="76">
        <f ca="1">AW373*'Fuel Costs'!AY108/1000</f>
        <v>0</v>
      </c>
    </row>
    <row r="546" spans="3:57">
      <c r="C546" t="str">
        <f t="shared" si="116"/>
        <v>Supercritical coal</v>
      </c>
      <c r="D546">
        <f>D374*'Fuel Costs'!F109/1000</f>
        <v>0</v>
      </c>
      <c r="E546">
        <f>E374*'Fuel Costs'!G109/1000</f>
        <v>0</v>
      </c>
      <c r="F546">
        <f>F374*'Fuel Costs'!H109/1000</f>
        <v>0</v>
      </c>
      <c r="G546">
        <f>G374*'Fuel Costs'!I109/1000</f>
        <v>0</v>
      </c>
      <c r="H546">
        <f>H374*'Fuel Costs'!J109/1000</f>
        <v>0</v>
      </c>
      <c r="I546">
        <f ca="1">I374*'Fuel Costs'!K109/1000</f>
        <v>0</v>
      </c>
      <c r="J546">
        <f ca="1">J374*'Fuel Costs'!L109/1000</f>
        <v>0</v>
      </c>
      <c r="K546">
        <f ca="1">K374*'Fuel Costs'!M109/1000</f>
        <v>122.86729193627549</v>
      </c>
      <c r="L546">
        <f ca="1">L374*'Fuel Costs'!N109/1000</f>
        <v>370.67267286393223</v>
      </c>
      <c r="M546">
        <f ca="1">M374*'Fuel Costs'!O109/1000</f>
        <v>780.09823815684751</v>
      </c>
      <c r="N546">
        <f ca="1">N374*'Fuel Costs'!P109/1000</f>
        <v>1240.0591611502759</v>
      </c>
      <c r="O546">
        <f ca="1">O374*'Fuel Costs'!Q109/1000</f>
        <v>1706.2676284498943</v>
      </c>
      <c r="P546">
        <f ca="1">P374*'Fuel Costs'!R109/1000</f>
        <v>2013.1526499226757</v>
      </c>
      <c r="Q546">
        <f ca="1">Q374*'Fuel Costs'!S109/1000</f>
        <v>2203.1170728006414</v>
      </c>
      <c r="R546">
        <f ca="1">R374*'Fuel Costs'!T109/1000</f>
        <v>2169.7133429860501</v>
      </c>
      <c r="S546">
        <f ca="1">S374*'Fuel Costs'!U109/1000</f>
        <v>2124.3018677467521</v>
      </c>
      <c r="T546">
        <f ca="1">T374*'Fuel Costs'!V109/1000</f>
        <v>1856.2343217695302</v>
      </c>
      <c r="U546">
        <f ca="1">U374*'Fuel Costs'!W109/1000</f>
        <v>1677.7900221541213</v>
      </c>
      <c r="V546">
        <f ca="1">V374*'Fuel Costs'!X109/1000</f>
        <v>1565.52257365996</v>
      </c>
      <c r="W546">
        <f ca="1">W374*'Fuel Costs'!Y109/1000</f>
        <v>1573.805761880383</v>
      </c>
      <c r="X546">
        <f ca="1">X374*'Fuel Costs'!Z109/1000</f>
        <v>1592.0871290661662</v>
      </c>
      <c r="Y546">
        <f ca="1">Y374*'Fuel Costs'!AA109/1000</f>
        <v>2102.5911552619987</v>
      </c>
      <c r="Z546">
        <f ca="1">Z374*'Fuel Costs'!AB109/1000</f>
        <v>2320.5559177995224</v>
      </c>
      <c r="AA546">
        <f ca="1">AA374*'Fuel Costs'!AC109/1000</f>
        <v>2612.2473495903319</v>
      </c>
      <c r="AB546">
        <f ca="1">AB374*'Fuel Costs'!AD109/1000</f>
        <v>3626.5274879472781</v>
      </c>
      <c r="AC546">
        <f ca="1">AC374*'Fuel Costs'!AE109/1000</f>
        <v>3751.5735631004154</v>
      </c>
      <c r="AD546" s="76">
        <f ca="1">AD374*'Fuel Costs'!AF109/1000</f>
        <v>3751.5735631004154</v>
      </c>
      <c r="AE546" s="76">
        <f ca="1">AE374*'Fuel Costs'!AG109/1000</f>
        <v>3768.786513209805</v>
      </c>
      <c r="AF546" s="76">
        <f ca="1">AF374*'Fuel Costs'!AH109/1000</f>
        <v>3785.999463319195</v>
      </c>
      <c r="AG546" s="76">
        <f ca="1">AG374*'Fuel Costs'!AI109/1000</f>
        <v>5938.7975379210866</v>
      </c>
      <c r="AH546" s="76">
        <f ca="1">AH374*'Fuel Costs'!AJ109/1000</f>
        <v>8091.5956125229768</v>
      </c>
      <c r="AI546" s="76">
        <f ca="1">AI374*'Fuel Costs'!AK109/1000</f>
        <v>9215.5097176844047</v>
      </c>
      <c r="AJ546" s="76">
        <f ca="1">AJ374*'Fuel Costs'!AL109/1000</f>
        <v>11509.025493257732</v>
      </c>
      <c r="AK546" s="76">
        <f ca="1">AK374*'Fuel Costs'!AM109/1000</f>
        <v>12742.753840547743</v>
      </c>
      <c r="AL546" s="76">
        <f ca="1">AL374*'Fuel Costs'!AN109/1000</f>
        <v>12806.880517425863</v>
      </c>
      <c r="AM546" s="76">
        <f ca="1">AM374*'Fuel Costs'!AO109/1000</f>
        <v>12806.880517425863</v>
      </c>
      <c r="AN546" s="76">
        <f ca="1">AN374*'Fuel Costs'!AP109/1000</f>
        <v>12806.880517425863</v>
      </c>
      <c r="AO546" s="76">
        <f ca="1">AO374*'Fuel Costs'!AQ109/1000</f>
        <v>12806.880517425863</v>
      </c>
      <c r="AP546" s="76">
        <f ca="1">AP374*'Fuel Costs'!AR109/1000</f>
        <v>12806.880517425863</v>
      </c>
      <c r="AQ546" s="76">
        <f ca="1">AQ374*'Fuel Costs'!AS109/1000</f>
        <v>12806.880517425863</v>
      </c>
      <c r="AR546" s="76">
        <f ca="1">AR374*'Fuel Costs'!AT109/1000</f>
        <v>13977.395939142767</v>
      </c>
      <c r="AS546" s="76">
        <f ca="1">AS374*'Fuel Costs'!AU109/1000</f>
        <v>15147.911360859667</v>
      </c>
      <c r="AT546" s="76">
        <f ca="1">AT374*'Fuel Costs'!AV109/1000</f>
        <v>15147.911360859667</v>
      </c>
      <c r="AU546" s="76">
        <f ca="1">AU374*'Fuel Costs'!AW109/1000</f>
        <v>15147.911360859667</v>
      </c>
      <c r="AV546" s="76">
        <f ca="1">AV374*'Fuel Costs'!AX109/1000</f>
        <v>15147.911360859667</v>
      </c>
      <c r="AW546" s="76">
        <f ca="1">AW374*'Fuel Costs'!AY109/1000</f>
        <v>15147.911360859667</v>
      </c>
    </row>
    <row r="547" spans="3:57">
      <c r="C547" t="str">
        <f t="shared" si="116"/>
        <v xml:space="preserve">Wind 30% </v>
      </c>
      <c r="D547">
        <f>D375*'Fuel Costs'!F110/1000</f>
        <v>0</v>
      </c>
      <c r="E547">
        <f>E375*'Fuel Costs'!G110/1000</f>
        <v>0</v>
      </c>
      <c r="F547">
        <f>F375*'Fuel Costs'!H110/1000</f>
        <v>0</v>
      </c>
      <c r="G547">
        <f>G375*'Fuel Costs'!I110/1000</f>
        <v>0</v>
      </c>
      <c r="H547">
        <f>H375*'Fuel Costs'!J110/1000</f>
        <v>0</v>
      </c>
      <c r="I547">
        <f ca="1">I375*'Fuel Costs'!K110/1000</f>
        <v>0</v>
      </c>
      <c r="J547">
        <f ca="1">J375*'Fuel Costs'!L110/1000</f>
        <v>0</v>
      </c>
      <c r="K547">
        <f ca="1">K375*'Fuel Costs'!M110/1000</f>
        <v>0</v>
      </c>
      <c r="L547">
        <f ca="1">L375*'Fuel Costs'!N110/1000</f>
        <v>0</v>
      </c>
      <c r="M547">
        <f ca="1">M375*'Fuel Costs'!O110/1000</f>
        <v>0</v>
      </c>
      <c r="N547">
        <f ca="1">N375*'Fuel Costs'!P110/1000</f>
        <v>0</v>
      </c>
      <c r="O547">
        <f ca="1">O375*'Fuel Costs'!Q110/1000</f>
        <v>0</v>
      </c>
      <c r="P547">
        <f ca="1">P375*'Fuel Costs'!R110/1000</f>
        <v>0</v>
      </c>
      <c r="Q547">
        <f ca="1">Q375*'Fuel Costs'!S110/1000</f>
        <v>0</v>
      </c>
      <c r="R547">
        <f ca="1">R375*'Fuel Costs'!T110/1000</f>
        <v>0</v>
      </c>
      <c r="S547">
        <f ca="1">S375*'Fuel Costs'!U110/1000</f>
        <v>0</v>
      </c>
      <c r="T547">
        <f ca="1">T375*'Fuel Costs'!V110/1000</f>
        <v>0</v>
      </c>
      <c r="U547">
        <f ca="1">U375*'Fuel Costs'!W110/1000</f>
        <v>0</v>
      </c>
      <c r="V547">
        <f ca="1">V375*'Fuel Costs'!X110/1000</f>
        <v>0</v>
      </c>
      <c r="W547">
        <f ca="1">W375*'Fuel Costs'!Y110/1000</f>
        <v>0</v>
      </c>
      <c r="X547">
        <f ca="1">X375*'Fuel Costs'!Z110/1000</f>
        <v>0</v>
      </c>
      <c r="Y547">
        <f ca="1">Y375*'Fuel Costs'!AA110/1000</f>
        <v>0</v>
      </c>
      <c r="Z547">
        <f ca="1">Z375*'Fuel Costs'!AB110/1000</f>
        <v>0</v>
      </c>
      <c r="AA547">
        <f ca="1">AA375*'Fuel Costs'!AC110/1000</f>
        <v>0</v>
      </c>
      <c r="AB547">
        <f ca="1">AB375*'Fuel Costs'!AD110/1000</f>
        <v>0</v>
      </c>
      <c r="AC547">
        <f ca="1">AC375*'Fuel Costs'!AE110/1000</f>
        <v>0</v>
      </c>
      <c r="AD547" s="76">
        <f ca="1">AD375*'Fuel Costs'!AF110/1000</f>
        <v>0</v>
      </c>
      <c r="AE547" s="76">
        <f ca="1">AE375*'Fuel Costs'!AG110/1000</f>
        <v>0</v>
      </c>
      <c r="AF547" s="76">
        <f ca="1">AF375*'Fuel Costs'!AH110/1000</f>
        <v>0</v>
      </c>
      <c r="AG547" s="76">
        <f ca="1">AG375*'Fuel Costs'!AI110/1000</f>
        <v>0</v>
      </c>
      <c r="AH547" s="76">
        <f ca="1">AH375*'Fuel Costs'!AJ110/1000</f>
        <v>0</v>
      </c>
      <c r="AI547" s="76">
        <f ca="1">AI375*'Fuel Costs'!AK110/1000</f>
        <v>0</v>
      </c>
      <c r="AJ547" s="76">
        <f ca="1">AJ375*'Fuel Costs'!AL110/1000</f>
        <v>0</v>
      </c>
      <c r="AK547" s="76">
        <f ca="1">AK375*'Fuel Costs'!AM110/1000</f>
        <v>0</v>
      </c>
      <c r="AL547" s="76">
        <f ca="1">AL375*'Fuel Costs'!AN110/1000</f>
        <v>0</v>
      </c>
      <c r="AM547" s="76">
        <f ca="1">AM375*'Fuel Costs'!AO110/1000</f>
        <v>0</v>
      </c>
      <c r="AN547" s="76">
        <f ca="1">AN375*'Fuel Costs'!AP110/1000</f>
        <v>0</v>
      </c>
      <c r="AO547" s="76">
        <f ca="1">AO375*'Fuel Costs'!AQ110/1000</f>
        <v>0</v>
      </c>
      <c r="AP547" s="76">
        <f ca="1">AP375*'Fuel Costs'!AR110/1000</f>
        <v>0</v>
      </c>
      <c r="AQ547" s="76">
        <f ca="1">AQ375*'Fuel Costs'!AS110/1000</f>
        <v>0</v>
      </c>
      <c r="AR547" s="76">
        <f ca="1">AR375*'Fuel Costs'!AT110/1000</f>
        <v>0</v>
      </c>
      <c r="AS547" s="76">
        <f ca="1">AS375*'Fuel Costs'!AU110/1000</f>
        <v>0</v>
      </c>
      <c r="AT547" s="76">
        <f ca="1">AT375*'Fuel Costs'!AV110/1000</f>
        <v>0</v>
      </c>
      <c r="AU547" s="76">
        <f ca="1">AU375*'Fuel Costs'!AW110/1000</f>
        <v>0</v>
      </c>
      <c r="AV547" s="76">
        <f ca="1">AV375*'Fuel Costs'!AX110/1000</f>
        <v>0</v>
      </c>
      <c r="AW547" s="76">
        <f ca="1">AW375*'Fuel Costs'!AY110/1000</f>
        <v>0</v>
      </c>
    </row>
    <row r="548" spans="3:57">
      <c r="C548" t="str">
        <f t="shared" si="116"/>
        <v>Wind 25%</v>
      </c>
      <c r="D548">
        <f>D376*'Fuel Costs'!F111/1000</f>
        <v>0</v>
      </c>
      <c r="E548">
        <f>E376*'Fuel Costs'!G111/1000</f>
        <v>0</v>
      </c>
      <c r="F548">
        <f>F376*'Fuel Costs'!H111/1000</f>
        <v>0</v>
      </c>
      <c r="G548">
        <f>G376*'Fuel Costs'!I111/1000</f>
        <v>0</v>
      </c>
      <c r="H548">
        <f>H376*'Fuel Costs'!J111/1000</f>
        <v>0</v>
      </c>
      <c r="I548">
        <f ca="1">I376*'Fuel Costs'!K111/1000</f>
        <v>0</v>
      </c>
      <c r="J548">
        <f ca="1">J376*'Fuel Costs'!L111/1000</f>
        <v>0</v>
      </c>
      <c r="K548">
        <f ca="1">K376*'Fuel Costs'!M111/1000</f>
        <v>0</v>
      </c>
      <c r="L548">
        <f ca="1">L376*'Fuel Costs'!N111/1000</f>
        <v>0</v>
      </c>
      <c r="M548">
        <f ca="1">M376*'Fuel Costs'!O111/1000</f>
        <v>0</v>
      </c>
      <c r="N548">
        <f ca="1">N376*'Fuel Costs'!P111/1000</f>
        <v>0</v>
      </c>
      <c r="O548">
        <f ca="1">O376*'Fuel Costs'!Q111/1000</f>
        <v>0</v>
      </c>
      <c r="P548">
        <f ca="1">P376*'Fuel Costs'!R111/1000</f>
        <v>0</v>
      </c>
      <c r="Q548">
        <f ca="1">Q376*'Fuel Costs'!S111/1000</f>
        <v>0</v>
      </c>
      <c r="R548">
        <f ca="1">R376*'Fuel Costs'!T111/1000</f>
        <v>0</v>
      </c>
      <c r="S548">
        <f ca="1">S376*'Fuel Costs'!U111/1000</f>
        <v>0</v>
      </c>
      <c r="T548">
        <f ca="1">T376*'Fuel Costs'!V111/1000</f>
        <v>0</v>
      </c>
      <c r="U548">
        <f ca="1">U376*'Fuel Costs'!W111/1000</f>
        <v>0</v>
      </c>
      <c r="V548">
        <f ca="1">V376*'Fuel Costs'!X111/1000</f>
        <v>0</v>
      </c>
      <c r="W548">
        <f ca="1">W376*'Fuel Costs'!Y111/1000</f>
        <v>0</v>
      </c>
      <c r="X548">
        <f ca="1">X376*'Fuel Costs'!Z111/1000</f>
        <v>0</v>
      </c>
      <c r="Y548">
        <f ca="1">Y376*'Fuel Costs'!AA111/1000</f>
        <v>0</v>
      </c>
      <c r="Z548">
        <f ca="1">Z376*'Fuel Costs'!AB111/1000</f>
        <v>0</v>
      </c>
      <c r="AA548">
        <f ca="1">AA376*'Fuel Costs'!AC111/1000</f>
        <v>0</v>
      </c>
      <c r="AB548">
        <f ca="1">AB376*'Fuel Costs'!AD111/1000</f>
        <v>0</v>
      </c>
      <c r="AC548">
        <f ca="1">AC376*'Fuel Costs'!AE111/1000</f>
        <v>0</v>
      </c>
      <c r="AD548" s="76">
        <f ca="1">AD376*'Fuel Costs'!AF111/1000</f>
        <v>0</v>
      </c>
      <c r="AE548" s="76">
        <f ca="1">AE376*'Fuel Costs'!AG111/1000</f>
        <v>0</v>
      </c>
      <c r="AF548" s="76">
        <f ca="1">AF376*'Fuel Costs'!AH111/1000</f>
        <v>0</v>
      </c>
      <c r="AG548" s="76">
        <f ca="1">AG376*'Fuel Costs'!AI111/1000</f>
        <v>0</v>
      </c>
      <c r="AH548" s="76">
        <f ca="1">AH376*'Fuel Costs'!AJ111/1000</f>
        <v>0</v>
      </c>
      <c r="AI548" s="76">
        <f ca="1">AI376*'Fuel Costs'!AK111/1000</f>
        <v>0</v>
      </c>
      <c r="AJ548" s="76">
        <f ca="1">AJ376*'Fuel Costs'!AL111/1000</f>
        <v>0</v>
      </c>
      <c r="AK548" s="76">
        <f ca="1">AK376*'Fuel Costs'!AM111/1000</f>
        <v>0</v>
      </c>
      <c r="AL548" s="76">
        <f ca="1">AL376*'Fuel Costs'!AN111/1000</f>
        <v>0</v>
      </c>
      <c r="AM548" s="76">
        <f ca="1">AM376*'Fuel Costs'!AO111/1000</f>
        <v>0</v>
      </c>
      <c r="AN548" s="76">
        <f ca="1">AN376*'Fuel Costs'!AP111/1000</f>
        <v>0</v>
      </c>
      <c r="AO548" s="76">
        <f ca="1">AO376*'Fuel Costs'!AQ111/1000</f>
        <v>0</v>
      </c>
      <c r="AP548" s="76">
        <f ca="1">AP376*'Fuel Costs'!AR111/1000</f>
        <v>0</v>
      </c>
      <c r="AQ548" s="76">
        <f ca="1">AQ376*'Fuel Costs'!AS111/1000</f>
        <v>0</v>
      </c>
      <c r="AR548" s="76">
        <f ca="1">AR376*'Fuel Costs'!AT111/1000</f>
        <v>0</v>
      </c>
      <c r="AS548" s="76">
        <f ca="1">AS376*'Fuel Costs'!AU111/1000</f>
        <v>0</v>
      </c>
      <c r="AT548" s="76">
        <f ca="1">AT376*'Fuel Costs'!AV111/1000</f>
        <v>0</v>
      </c>
      <c r="AU548" s="76">
        <f ca="1">AU376*'Fuel Costs'!AW111/1000</f>
        <v>0</v>
      </c>
      <c r="AV548" s="76">
        <f ca="1">AV376*'Fuel Costs'!AX111/1000</f>
        <v>0</v>
      </c>
      <c r="AW548" s="76">
        <f ca="1">AW376*'Fuel Costs'!AY111/1000</f>
        <v>0</v>
      </c>
    </row>
    <row r="549" spans="3:57">
      <c r="C549" t="str">
        <f t="shared" si="116"/>
        <v>solar thermal central reciever</v>
      </c>
      <c r="D549">
        <f>D377*'Fuel Costs'!F112/1000</f>
        <v>0</v>
      </c>
      <c r="E549">
        <f>E377*'Fuel Costs'!G112/1000</f>
        <v>0</v>
      </c>
      <c r="F549">
        <f>F377*'Fuel Costs'!H112/1000</f>
        <v>0</v>
      </c>
      <c r="G549">
        <f>G377*'Fuel Costs'!I112/1000</f>
        <v>0</v>
      </c>
      <c r="H549">
        <f>H377*'Fuel Costs'!J112/1000</f>
        <v>0</v>
      </c>
      <c r="I549">
        <f ca="1">I377*'Fuel Costs'!K112/1000</f>
        <v>0</v>
      </c>
      <c r="J549">
        <f ca="1">J377*'Fuel Costs'!L112/1000</f>
        <v>0</v>
      </c>
      <c r="K549">
        <f ca="1">K377*'Fuel Costs'!M112/1000</f>
        <v>0</v>
      </c>
      <c r="L549">
        <f ca="1">L377*'Fuel Costs'!N112/1000</f>
        <v>0</v>
      </c>
      <c r="M549">
        <f ca="1">M377*'Fuel Costs'!O112/1000</f>
        <v>0</v>
      </c>
      <c r="N549">
        <f ca="1">N377*'Fuel Costs'!P112/1000</f>
        <v>0</v>
      </c>
      <c r="O549">
        <f ca="1">O377*'Fuel Costs'!Q112/1000</f>
        <v>0</v>
      </c>
      <c r="P549">
        <f ca="1">P377*'Fuel Costs'!R112/1000</f>
        <v>0</v>
      </c>
      <c r="Q549">
        <f ca="1">Q377*'Fuel Costs'!S112/1000</f>
        <v>0</v>
      </c>
      <c r="R549">
        <f ca="1">R377*'Fuel Costs'!T112/1000</f>
        <v>0</v>
      </c>
      <c r="S549">
        <f ca="1">S377*'Fuel Costs'!U112/1000</f>
        <v>0</v>
      </c>
      <c r="T549">
        <f ca="1">T377*'Fuel Costs'!V112/1000</f>
        <v>0</v>
      </c>
      <c r="U549">
        <f ca="1">U377*'Fuel Costs'!W112/1000</f>
        <v>0</v>
      </c>
      <c r="V549">
        <f ca="1">V377*'Fuel Costs'!X112/1000</f>
        <v>0</v>
      </c>
      <c r="W549">
        <f ca="1">W377*'Fuel Costs'!Y112/1000</f>
        <v>0</v>
      </c>
      <c r="X549">
        <f ca="1">X377*'Fuel Costs'!Z112/1000</f>
        <v>0</v>
      </c>
      <c r="Y549">
        <f ca="1">Y377*'Fuel Costs'!AA112/1000</f>
        <v>0</v>
      </c>
      <c r="Z549">
        <f ca="1">Z377*'Fuel Costs'!AB112/1000</f>
        <v>0</v>
      </c>
      <c r="AA549">
        <f ca="1">AA377*'Fuel Costs'!AC112/1000</f>
        <v>0</v>
      </c>
      <c r="AB549">
        <f ca="1">AB377*'Fuel Costs'!AD112/1000</f>
        <v>0</v>
      </c>
      <c r="AC549">
        <f ca="1">AC377*'Fuel Costs'!AE112/1000</f>
        <v>0</v>
      </c>
      <c r="AD549" s="76">
        <f ca="1">AD377*'Fuel Costs'!AF112/1000</f>
        <v>0</v>
      </c>
      <c r="AE549" s="76">
        <f ca="1">AE377*'Fuel Costs'!AG112/1000</f>
        <v>0</v>
      </c>
      <c r="AF549" s="76">
        <f ca="1">AF377*'Fuel Costs'!AH112/1000</f>
        <v>0</v>
      </c>
      <c r="AG549" s="76">
        <f ca="1">AG377*'Fuel Costs'!AI112/1000</f>
        <v>0</v>
      </c>
      <c r="AH549" s="76">
        <f ca="1">AH377*'Fuel Costs'!AJ112/1000</f>
        <v>0</v>
      </c>
      <c r="AI549" s="76">
        <f ca="1">AI377*'Fuel Costs'!AK112/1000</f>
        <v>0</v>
      </c>
      <c r="AJ549" s="76">
        <f ca="1">AJ377*'Fuel Costs'!AL112/1000</f>
        <v>0</v>
      </c>
      <c r="AK549" s="76">
        <f ca="1">AK377*'Fuel Costs'!AM112/1000</f>
        <v>0</v>
      </c>
      <c r="AL549" s="76">
        <f ca="1">AL377*'Fuel Costs'!AN112/1000</f>
        <v>0</v>
      </c>
      <c r="AM549" s="76">
        <f ca="1">AM377*'Fuel Costs'!AO112/1000</f>
        <v>0</v>
      </c>
      <c r="AN549" s="76">
        <f ca="1">AN377*'Fuel Costs'!AP112/1000</f>
        <v>0</v>
      </c>
      <c r="AO549" s="76">
        <f ca="1">AO377*'Fuel Costs'!AQ112/1000</f>
        <v>0</v>
      </c>
      <c r="AP549" s="76">
        <f ca="1">AP377*'Fuel Costs'!AR112/1000</f>
        <v>0</v>
      </c>
      <c r="AQ549" s="76">
        <f ca="1">AQ377*'Fuel Costs'!AS112/1000</f>
        <v>0</v>
      </c>
      <c r="AR549" s="76">
        <f ca="1">AR377*'Fuel Costs'!AT112/1000</f>
        <v>0</v>
      </c>
      <c r="AS549" s="76">
        <f ca="1">AS377*'Fuel Costs'!AU112/1000</f>
        <v>0</v>
      </c>
      <c r="AT549" s="76">
        <f ca="1">AT377*'Fuel Costs'!AV112/1000</f>
        <v>0</v>
      </c>
      <c r="AU549" s="76">
        <f ca="1">AU377*'Fuel Costs'!AW112/1000</f>
        <v>0</v>
      </c>
      <c r="AV549" s="76">
        <f ca="1">AV377*'Fuel Costs'!AX112/1000</f>
        <v>0</v>
      </c>
      <c r="AW549" s="76">
        <f ca="1">AW377*'Fuel Costs'!AY112/1000</f>
        <v>0</v>
      </c>
    </row>
    <row r="550" spans="3:57">
      <c r="C550" t="str">
        <f t="shared" si="116"/>
        <v>solar thermal trough</v>
      </c>
      <c r="D550">
        <f>D378*'Fuel Costs'!F113/1000</f>
        <v>0</v>
      </c>
      <c r="E550">
        <f>E378*'Fuel Costs'!G113/1000</f>
        <v>0</v>
      </c>
      <c r="F550">
        <f>F378*'Fuel Costs'!H113/1000</f>
        <v>0</v>
      </c>
      <c r="G550">
        <f>G378*'Fuel Costs'!I113/1000</f>
        <v>0</v>
      </c>
      <c r="H550">
        <f>H378*'Fuel Costs'!J113/1000</f>
        <v>0</v>
      </c>
      <c r="I550">
        <f ca="1">I378*'Fuel Costs'!K113/1000</f>
        <v>0</v>
      </c>
      <c r="J550">
        <f ca="1">J378*'Fuel Costs'!L113/1000</f>
        <v>0</v>
      </c>
      <c r="K550">
        <f ca="1">K378*'Fuel Costs'!M113/1000</f>
        <v>0</v>
      </c>
      <c r="L550">
        <f ca="1">L378*'Fuel Costs'!N113/1000</f>
        <v>0</v>
      </c>
      <c r="M550">
        <f ca="1">M378*'Fuel Costs'!O113/1000</f>
        <v>0</v>
      </c>
      <c r="N550">
        <f ca="1">N378*'Fuel Costs'!P113/1000</f>
        <v>0</v>
      </c>
      <c r="O550">
        <f ca="1">O378*'Fuel Costs'!Q113/1000</f>
        <v>0</v>
      </c>
      <c r="P550">
        <f ca="1">P378*'Fuel Costs'!R113/1000</f>
        <v>0</v>
      </c>
      <c r="Q550">
        <f ca="1">Q378*'Fuel Costs'!S113/1000</f>
        <v>0</v>
      </c>
      <c r="R550">
        <f ca="1">R378*'Fuel Costs'!T113/1000</f>
        <v>0</v>
      </c>
      <c r="S550">
        <f ca="1">S378*'Fuel Costs'!U113/1000</f>
        <v>0</v>
      </c>
      <c r="T550">
        <f ca="1">T378*'Fuel Costs'!V113/1000</f>
        <v>0</v>
      </c>
      <c r="U550">
        <f ca="1">U378*'Fuel Costs'!W113/1000</f>
        <v>0</v>
      </c>
      <c r="V550">
        <f ca="1">V378*'Fuel Costs'!X113/1000</f>
        <v>0</v>
      </c>
      <c r="W550">
        <f ca="1">W378*'Fuel Costs'!Y113/1000</f>
        <v>0</v>
      </c>
      <c r="X550">
        <f ca="1">X378*'Fuel Costs'!Z113/1000</f>
        <v>0</v>
      </c>
      <c r="Y550">
        <f ca="1">Y378*'Fuel Costs'!AA113/1000</f>
        <v>0</v>
      </c>
      <c r="Z550">
        <f ca="1">Z378*'Fuel Costs'!AB113/1000</f>
        <v>0</v>
      </c>
      <c r="AA550">
        <f ca="1">AA378*'Fuel Costs'!AC113/1000</f>
        <v>0</v>
      </c>
      <c r="AB550">
        <f ca="1">AB378*'Fuel Costs'!AD113/1000</f>
        <v>0</v>
      </c>
      <c r="AC550">
        <f ca="1">AC378*'Fuel Costs'!AE113/1000</f>
        <v>0</v>
      </c>
      <c r="AD550" s="76">
        <f ca="1">AD378*'Fuel Costs'!AF113/1000</f>
        <v>0</v>
      </c>
      <c r="AE550" s="76">
        <f ca="1">AE378*'Fuel Costs'!AG113/1000</f>
        <v>0</v>
      </c>
      <c r="AF550" s="76">
        <f ca="1">AF378*'Fuel Costs'!AH113/1000</f>
        <v>0</v>
      </c>
      <c r="AG550" s="76">
        <f ca="1">AG378*'Fuel Costs'!AI113/1000</f>
        <v>0</v>
      </c>
      <c r="AH550" s="76">
        <f ca="1">AH378*'Fuel Costs'!AJ113/1000</f>
        <v>0</v>
      </c>
      <c r="AI550" s="76">
        <f ca="1">AI378*'Fuel Costs'!AK113/1000</f>
        <v>0</v>
      </c>
      <c r="AJ550" s="76">
        <f ca="1">AJ378*'Fuel Costs'!AL113/1000</f>
        <v>0</v>
      </c>
      <c r="AK550" s="76">
        <f ca="1">AK378*'Fuel Costs'!AM113/1000</f>
        <v>0</v>
      </c>
      <c r="AL550" s="76">
        <f ca="1">AL378*'Fuel Costs'!AN113/1000</f>
        <v>0</v>
      </c>
      <c r="AM550" s="76">
        <f ca="1">AM378*'Fuel Costs'!AO113/1000</f>
        <v>0</v>
      </c>
      <c r="AN550" s="76">
        <f ca="1">AN378*'Fuel Costs'!AP113/1000</f>
        <v>0</v>
      </c>
      <c r="AO550" s="76">
        <f ca="1">AO378*'Fuel Costs'!AQ113/1000</f>
        <v>0</v>
      </c>
      <c r="AP550" s="76">
        <f ca="1">AP378*'Fuel Costs'!AR113/1000</f>
        <v>0</v>
      </c>
      <c r="AQ550" s="76">
        <f ca="1">AQ378*'Fuel Costs'!AS113/1000</f>
        <v>0</v>
      </c>
      <c r="AR550" s="76">
        <f ca="1">AR378*'Fuel Costs'!AT113/1000</f>
        <v>0</v>
      </c>
      <c r="AS550" s="76">
        <f ca="1">AS378*'Fuel Costs'!AU113/1000</f>
        <v>0</v>
      </c>
      <c r="AT550" s="76">
        <f ca="1">AT378*'Fuel Costs'!AV113/1000</f>
        <v>0</v>
      </c>
      <c r="AU550" s="76">
        <f ca="1">AU378*'Fuel Costs'!AW113/1000</f>
        <v>0</v>
      </c>
      <c r="AV550" s="76">
        <f ca="1">AV378*'Fuel Costs'!AX113/1000</f>
        <v>0</v>
      </c>
      <c r="AW550" s="76">
        <f ca="1">AW378*'Fuel Costs'!AY113/1000</f>
        <v>0</v>
      </c>
    </row>
    <row r="551" spans="3:57">
      <c r="C551" t="str">
        <f t="shared" si="116"/>
        <v>solar PV</v>
      </c>
      <c r="D551">
        <f>D379*'Fuel Costs'!F114/1000</f>
        <v>0</v>
      </c>
      <c r="E551">
        <f>E379*'Fuel Costs'!G114/1000</f>
        <v>0</v>
      </c>
      <c r="F551">
        <f>F379*'Fuel Costs'!H114/1000</f>
        <v>0</v>
      </c>
      <c r="G551">
        <f>G379*'Fuel Costs'!I114/1000</f>
        <v>0</v>
      </c>
      <c r="H551">
        <f>H379*'Fuel Costs'!J114/1000</f>
        <v>0</v>
      </c>
      <c r="I551">
        <f ca="1">I379*'Fuel Costs'!K114/1000</f>
        <v>0</v>
      </c>
      <c r="J551">
        <f ca="1">J379*'Fuel Costs'!L114/1000</f>
        <v>0</v>
      </c>
      <c r="K551">
        <f ca="1">K379*'Fuel Costs'!M114/1000</f>
        <v>0</v>
      </c>
      <c r="L551">
        <f ca="1">L379*'Fuel Costs'!N114/1000</f>
        <v>0</v>
      </c>
      <c r="M551">
        <f ca="1">M379*'Fuel Costs'!O114/1000</f>
        <v>0</v>
      </c>
      <c r="N551">
        <f ca="1">N379*'Fuel Costs'!P114/1000</f>
        <v>0</v>
      </c>
      <c r="O551">
        <f ca="1">O379*'Fuel Costs'!Q114/1000</f>
        <v>0</v>
      </c>
      <c r="P551">
        <f ca="1">P379*'Fuel Costs'!R114/1000</f>
        <v>0</v>
      </c>
      <c r="Q551">
        <f ca="1">Q379*'Fuel Costs'!S114/1000</f>
        <v>0</v>
      </c>
      <c r="R551">
        <f ca="1">R379*'Fuel Costs'!T114/1000</f>
        <v>0</v>
      </c>
      <c r="S551">
        <f ca="1">S379*'Fuel Costs'!U114/1000</f>
        <v>0</v>
      </c>
      <c r="T551">
        <f ca="1">T379*'Fuel Costs'!V114/1000</f>
        <v>0</v>
      </c>
      <c r="U551">
        <f ca="1">U379*'Fuel Costs'!W114/1000</f>
        <v>0</v>
      </c>
      <c r="V551">
        <f ca="1">V379*'Fuel Costs'!X114/1000</f>
        <v>0</v>
      </c>
      <c r="W551">
        <f ca="1">W379*'Fuel Costs'!Y114/1000</f>
        <v>0</v>
      </c>
      <c r="X551">
        <f ca="1">X379*'Fuel Costs'!Z114/1000</f>
        <v>0</v>
      </c>
      <c r="Y551">
        <f ca="1">Y379*'Fuel Costs'!AA114/1000</f>
        <v>0</v>
      </c>
      <c r="Z551">
        <f ca="1">Z379*'Fuel Costs'!AB114/1000</f>
        <v>0</v>
      </c>
      <c r="AA551">
        <f ca="1">AA379*'Fuel Costs'!AC114/1000</f>
        <v>0</v>
      </c>
      <c r="AB551">
        <f ca="1">AB379*'Fuel Costs'!AD114/1000</f>
        <v>0</v>
      </c>
      <c r="AC551">
        <f ca="1">AC379*'Fuel Costs'!AE114/1000</f>
        <v>0</v>
      </c>
      <c r="AD551" s="76">
        <f ca="1">AD379*'Fuel Costs'!AF114/1000</f>
        <v>0</v>
      </c>
      <c r="AE551" s="76">
        <f ca="1">AE379*'Fuel Costs'!AG114/1000</f>
        <v>0</v>
      </c>
      <c r="AF551" s="76">
        <f ca="1">AF379*'Fuel Costs'!AH114/1000</f>
        <v>0</v>
      </c>
      <c r="AG551" s="76">
        <f ca="1">AG379*'Fuel Costs'!AI114/1000</f>
        <v>0</v>
      </c>
      <c r="AH551" s="76">
        <f ca="1">AH379*'Fuel Costs'!AJ114/1000</f>
        <v>0</v>
      </c>
      <c r="AI551" s="76">
        <f ca="1">AI379*'Fuel Costs'!AK114/1000</f>
        <v>0</v>
      </c>
      <c r="AJ551" s="76">
        <f ca="1">AJ379*'Fuel Costs'!AL114/1000</f>
        <v>0</v>
      </c>
      <c r="AK551" s="76">
        <f ca="1">AK379*'Fuel Costs'!AM114/1000</f>
        <v>0</v>
      </c>
      <c r="AL551" s="76">
        <f ca="1">AL379*'Fuel Costs'!AN114/1000</f>
        <v>0</v>
      </c>
      <c r="AM551" s="76">
        <f ca="1">AM379*'Fuel Costs'!AO114/1000</f>
        <v>0</v>
      </c>
      <c r="AN551" s="76">
        <f ca="1">AN379*'Fuel Costs'!AP114/1000</f>
        <v>0</v>
      </c>
      <c r="AO551" s="76">
        <f ca="1">AO379*'Fuel Costs'!AQ114/1000</f>
        <v>0</v>
      </c>
      <c r="AP551" s="76">
        <f ca="1">AP379*'Fuel Costs'!AR114/1000</f>
        <v>0</v>
      </c>
      <c r="AQ551" s="76">
        <f ca="1">AQ379*'Fuel Costs'!AS114/1000</f>
        <v>0</v>
      </c>
      <c r="AR551" s="76">
        <f ca="1">AR379*'Fuel Costs'!AT114/1000</f>
        <v>0</v>
      </c>
      <c r="AS551" s="76">
        <f ca="1">AS379*'Fuel Costs'!AU114/1000</f>
        <v>0</v>
      </c>
      <c r="AT551" s="76">
        <f ca="1">AT379*'Fuel Costs'!AV114/1000</f>
        <v>0</v>
      </c>
      <c r="AU551" s="76">
        <f ca="1">AU379*'Fuel Costs'!AW114/1000</f>
        <v>0</v>
      </c>
      <c r="AV551" s="76">
        <f ca="1">AV379*'Fuel Costs'!AX114/1000</f>
        <v>0</v>
      </c>
      <c r="AW551" s="76">
        <f ca="1">AW379*'Fuel Costs'!AY114/1000</f>
        <v>0</v>
      </c>
    </row>
    <row r="552" spans="3:57">
      <c r="C552" t="str">
        <f t="shared" si="116"/>
        <v>combined cycle gas</v>
      </c>
      <c r="D552">
        <f>D380*'Fuel Costs'!F115/1000</f>
        <v>0</v>
      </c>
      <c r="E552">
        <f>E380*'Fuel Costs'!G115/1000</f>
        <v>0</v>
      </c>
      <c r="F552">
        <f>F380*'Fuel Costs'!H115/1000</f>
        <v>0</v>
      </c>
      <c r="G552">
        <f>G380*'Fuel Costs'!I115/1000</f>
        <v>0</v>
      </c>
      <c r="H552">
        <f>H380*'Fuel Costs'!J115/1000</f>
        <v>0</v>
      </c>
      <c r="I552">
        <f ca="1">I380*'Fuel Costs'!K115/1000</f>
        <v>0</v>
      </c>
      <c r="J552">
        <f ca="1">J380*'Fuel Costs'!L115/1000</f>
        <v>0</v>
      </c>
      <c r="K552">
        <f ca="1">K380*'Fuel Costs'!M115/1000</f>
        <v>0</v>
      </c>
      <c r="L552">
        <f ca="1">L380*'Fuel Costs'!N115/1000</f>
        <v>0</v>
      </c>
      <c r="M552">
        <f ca="1">M380*'Fuel Costs'!O115/1000</f>
        <v>0</v>
      </c>
      <c r="N552">
        <f ca="1">N380*'Fuel Costs'!P115/1000</f>
        <v>0</v>
      </c>
      <c r="O552">
        <f ca="1">O380*'Fuel Costs'!Q115/1000</f>
        <v>0</v>
      </c>
      <c r="P552">
        <f ca="1">P380*'Fuel Costs'!R115/1000</f>
        <v>0</v>
      </c>
      <c r="Q552">
        <f ca="1">Q380*'Fuel Costs'!S115/1000</f>
        <v>0</v>
      </c>
      <c r="R552">
        <f ca="1">R380*'Fuel Costs'!T115/1000</f>
        <v>0</v>
      </c>
      <c r="S552">
        <f ca="1">S380*'Fuel Costs'!U115/1000</f>
        <v>0</v>
      </c>
      <c r="T552">
        <f ca="1">T380*'Fuel Costs'!V115/1000</f>
        <v>0</v>
      </c>
      <c r="U552">
        <f ca="1">U380*'Fuel Costs'!W115/1000</f>
        <v>0</v>
      </c>
      <c r="V552">
        <f ca="1">V380*'Fuel Costs'!X115/1000</f>
        <v>0</v>
      </c>
      <c r="W552">
        <f ca="1">W380*'Fuel Costs'!Y115/1000</f>
        <v>0</v>
      </c>
      <c r="X552">
        <f ca="1">X380*'Fuel Costs'!Z115/1000</f>
        <v>0</v>
      </c>
      <c r="Y552">
        <f ca="1">Y380*'Fuel Costs'!AA115/1000</f>
        <v>0</v>
      </c>
      <c r="Z552">
        <f ca="1">Z380*'Fuel Costs'!AB115/1000</f>
        <v>2239.1403795015717</v>
      </c>
      <c r="AA552">
        <f ca="1">AA380*'Fuel Costs'!AC115/1000</f>
        <v>5755.5368909723511</v>
      </c>
      <c r="AB552">
        <f ca="1">AB380*'Fuel Costs'!AD115/1000</f>
        <v>9461.1565331052334</v>
      </c>
      <c r="AC552">
        <f ca="1">AC380*'Fuel Costs'!AE115/1000</f>
        <v>9713.4540406547076</v>
      </c>
      <c r="AD552" s="76">
        <f ca="1">AD380*'Fuel Costs'!AF115/1000</f>
        <v>9713.4540406547076</v>
      </c>
      <c r="AE552" s="76">
        <f ca="1">AE380*'Fuel Costs'!AG115/1000</f>
        <v>9713.4540406547076</v>
      </c>
      <c r="AF552" s="76">
        <f ca="1">AF380*'Fuel Costs'!AH115/1000</f>
        <v>9713.4540406547076</v>
      </c>
      <c r="AG552" s="76">
        <f ca="1">AG380*'Fuel Costs'!AI115/1000</f>
        <v>9713.4540406547076</v>
      </c>
      <c r="AH552" s="76">
        <f ca="1">AH380*'Fuel Costs'!AJ115/1000</f>
        <v>9713.4540406547076</v>
      </c>
      <c r="AI552" s="76">
        <f ca="1">AI380*'Fuel Costs'!AK115/1000</f>
        <v>9713.4540406547076</v>
      </c>
      <c r="AJ552" s="76">
        <f ca="1">AJ380*'Fuel Costs'!AL115/1000</f>
        <v>9713.4540406547076</v>
      </c>
      <c r="AK552" s="76">
        <f ca="1">AK380*'Fuel Costs'!AM115/1000</f>
        <v>9713.4540406547076</v>
      </c>
      <c r="AL552" s="76">
        <f ca="1">AL380*'Fuel Costs'!AN115/1000</f>
        <v>9713.4540406547076</v>
      </c>
      <c r="AM552" s="76">
        <f ca="1">AM380*'Fuel Costs'!AO115/1000</f>
        <v>9713.4540406547076</v>
      </c>
      <c r="AN552" s="76">
        <f ca="1">AN380*'Fuel Costs'!AP115/1000</f>
        <v>9713.4540406547076</v>
      </c>
      <c r="AO552" s="76">
        <f ca="1">AO380*'Fuel Costs'!AQ115/1000</f>
        <v>9713.4540406547076</v>
      </c>
      <c r="AP552" s="76">
        <f ca="1">AP380*'Fuel Costs'!AR115/1000</f>
        <v>9713.4540406547076</v>
      </c>
      <c r="AQ552" s="76">
        <f ca="1">AQ380*'Fuel Costs'!AS115/1000</f>
        <v>9713.4540406547076</v>
      </c>
      <c r="AR552" s="76">
        <f ca="1">AR380*'Fuel Costs'!AT115/1000</f>
        <v>9713.4540406547076</v>
      </c>
      <c r="AS552" s="76">
        <f ca="1">AS380*'Fuel Costs'!AU115/1000</f>
        <v>9713.4540406547076</v>
      </c>
      <c r="AT552" s="76">
        <f ca="1">AT380*'Fuel Costs'!AV115/1000</f>
        <v>9713.4540406547076</v>
      </c>
      <c r="AU552" s="76">
        <f ca="1">AU380*'Fuel Costs'!AW115/1000</f>
        <v>9713.4540406547076</v>
      </c>
      <c r="AV552" s="76">
        <f ca="1">AV380*'Fuel Costs'!AX115/1000</f>
        <v>9713.4540406547076</v>
      </c>
      <c r="AW552" s="76">
        <f ca="1">AW380*'Fuel Costs'!AY115/1000</f>
        <v>9713.4540406547076</v>
      </c>
    </row>
    <row r="553" spans="3:57">
      <c r="C553" t="str">
        <f t="shared" si="116"/>
        <v>PBMR</v>
      </c>
      <c r="D553">
        <f>D381*'Fuel Costs'!F116/1000</f>
        <v>0</v>
      </c>
      <c r="E553">
        <f>E381*'Fuel Costs'!G116/1000</f>
        <v>0</v>
      </c>
      <c r="F553">
        <f>F381*'Fuel Costs'!H116/1000</f>
        <v>0</v>
      </c>
      <c r="G553">
        <f>G381*'Fuel Costs'!I116/1000</f>
        <v>0</v>
      </c>
      <c r="H553">
        <f>H381*'Fuel Costs'!J116/1000</f>
        <v>0</v>
      </c>
      <c r="I553">
        <f ca="1">I381*'Fuel Costs'!K116/1000</f>
        <v>0</v>
      </c>
      <c r="J553">
        <f ca="1">J381*'Fuel Costs'!L116/1000</f>
        <v>0</v>
      </c>
      <c r="K553">
        <f ca="1">K381*'Fuel Costs'!M116/1000</f>
        <v>0</v>
      </c>
      <c r="L553">
        <f ca="1">L381*'Fuel Costs'!N116/1000</f>
        <v>0</v>
      </c>
      <c r="M553">
        <f ca="1">M381*'Fuel Costs'!O116/1000</f>
        <v>0</v>
      </c>
      <c r="N553">
        <f ca="1">N381*'Fuel Costs'!P116/1000</f>
        <v>0</v>
      </c>
      <c r="O553">
        <f ca="1">O381*'Fuel Costs'!Q116/1000</f>
        <v>0</v>
      </c>
      <c r="P553">
        <f ca="1">P381*'Fuel Costs'!R116/1000</f>
        <v>0</v>
      </c>
      <c r="Q553">
        <f ca="1">Q381*'Fuel Costs'!S116/1000</f>
        <v>0</v>
      </c>
      <c r="R553">
        <f ca="1">R381*'Fuel Costs'!T116/1000</f>
        <v>0</v>
      </c>
      <c r="S553">
        <f ca="1">S381*'Fuel Costs'!U116/1000</f>
        <v>0</v>
      </c>
      <c r="T553">
        <f ca="1">T381*'Fuel Costs'!V116/1000</f>
        <v>0</v>
      </c>
      <c r="U553">
        <f ca="1">U381*'Fuel Costs'!W116/1000</f>
        <v>0</v>
      </c>
      <c r="V553">
        <f ca="1">V381*'Fuel Costs'!X116/1000</f>
        <v>0</v>
      </c>
      <c r="W553">
        <f ca="1">W381*'Fuel Costs'!Y116/1000</f>
        <v>0</v>
      </c>
      <c r="X553">
        <f ca="1">X381*'Fuel Costs'!Z116/1000</f>
        <v>0</v>
      </c>
      <c r="Y553">
        <f ca="1">Y381*'Fuel Costs'!AA116/1000</f>
        <v>0</v>
      </c>
      <c r="Z553">
        <f ca="1">Z381*'Fuel Costs'!AB116/1000</f>
        <v>0</v>
      </c>
      <c r="AA553">
        <f ca="1">AA381*'Fuel Costs'!AC116/1000</f>
        <v>0</v>
      </c>
      <c r="AB553">
        <f ca="1">AB381*'Fuel Costs'!AD116/1000</f>
        <v>0</v>
      </c>
      <c r="AC553">
        <f ca="1">AC381*'Fuel Costs'!AE116/1000</f>
        <v>0</v>
      </c>
      <c r="AD553" s="76">
        <f ca="1">AD381*'Fuel Costs'!AF116/1000</f>
        <v>0</v>
      </c>
      <c r="AE553" s="76">
        <f ca="1">AE381*'Fuel Costs'!AG116/1000</f>
        <v>0</v>
      </c>
      <c r="AF553" s="76">
        <f ca="1">AF381*'Fuel Costs'!AH116/1000</f>
        <v>0</v>
      </c>
      <c r="AG553" s="76">
        <f ca="1">AG381*'Fuel Costs'!AI116/1000</f>
        <v>0</v>
      </c>
      <c r="AH553" s="76">
        <f ca="1">AH381*'Fuel Costs'!AJ116/1000</f>
        <v>0</v>
      </c>
      <c r="AI553" s="76">
        <f ca="1">AI381*'Fuel Costs'!AK116/1000</f>
        <v>0</v>
      </c>
      <c r="AJ553" s="76">
        <f ca="1">AJ381*'Fuel Costs'!AL116/1000</f>
        <v>0</v>
      </c>
      <c r="AK553" s="76">
        <f ca="1">AK381*'Fuel Costs'!AM116/1000</f>
        <v>0</v>
      </c>
      <c r="AL553" s="76">
        <f ca="1">AL381*'Fuel Costs'!AN116/1000</f>
        <v>0</v>
      </c>
      <c r="AM553" s="76">
        <f ca="1">AM381*'Fuel Costs'!AO116/1000</f>
        <v>0</v>
      </c>
      <c r="AN553" s="76">
        <f ca="1">AN381*'Fuel Costs'!AP116/1000</f>
        <v>0</v>
      </c>
      <c r="AO553" s="76">
        <f ca="1">AO381*'Fuel Costs'!AQ116/1000</f>
        <v>0</v>
      </c>
      <c r="AP553" s="76">
        <f ca="1">AP381*'Fuel Costs'!AR116/1000</f>
        <v>0</v>
      </c>
      <c r="AQ553" s="76">
        <f ca="1">AQ381*'Fuel Costs'!AS116/1000</f>
        <v>0</v>
      </c>
      <c r="AR553" s="76">
        <f ca="1">AR381*'Fuel Costs'!AT116/1000</f>
        <v>0</v>
      </c>
      <c r="AS553" s="76">
        <f ca="1">AS381*'Fuel Costs'!AU116/1000</f>
        <v>0</v>
      </c>
      <c r="AT553" s="76">
        <f ca="1">AT381*'Fuel Costs'!AV116/1000</f>
        <v>0</v>
      </c>
      <c r="AU553" s="76">
        <f ca="1">AU381*'Fuel Costs'!AW116/1000</f>
        <v>0</v>
      </c>
      <c r="AV553" s="76">
        <f ca="1">AV381*'Fuel Costs'!AX116/1000</f>
        <v>0</v>
      </c>
      <c r="AW553" s="76">
        <f ca="1">AW381*'Fuel Costs'!AY116/1000</f>
        <v>0</v>
      </c>
    </row>
    <row r="554" spans="3:57">
      <c r="C554" t="str">
        <f t="shared" si="116"/>
        <v>IGCC</v>
      </c>
      <c r="D554">
        <f>D382*'Fuel Costs'!F117/1000</f>
        <v>0</v>
      </c>
      <c r="E554">
        <f>E382*'Fuel Costs'!G117/1000</f>
        <v>1.5651677159372947E-12</v>
      </c>
      <c r="F554">
        <f>F382*'Fuel Costs'!H117/1000</f>
        <v>0</v>
      </c>
      <c r="G554">
        <f>G382*'Fuel Costs'!I117/1000</f>
        <v>1.9775283102187326E-12</v>
      </c>
      <c r="H554">
        <f>H382*'Fuel Costs'!J117/1000</f>
        <v>1.9775283102187326E-12</v>
      </c>
      <c r="I554">
        <f ca="1">I382*'Fuel Costs'!K117/1000</f>
        <v>0</v>
      </c>
      <c r="J554">
        <f ca="1">J382*'Fuel Costs'!L117/1000</f>
        <v>0</v>
      </c>
      <c r="K554">
        <f ca="1">K382*'Fuel Costs'!M117/1000</f>
        <v>0</v>
      </c>
      <c r="L554">
        <f ca="1">L382*'Fuel Costs'!N117/1000</f>
        <v>0</v>
      </c>
      <c r="M554">
        <f ca="1">M382*'Fuel Costs'!O117/1000</f>
        <v>0</v>
      </c>
      <c r="N554">
        <f ca="1">N382*'Fuel Costs'!P117/1000</f>
        <v>0</v>
      </c>
      <c r="O554">
        <f ca="1">O382*'Fuel Costs'!Q117/1000</f>
        <v>0</v>
      </c>
      <c r="P554">
        <f ca="1">P382*'Fuel Costs'!R117/1000</f>
        <v>0</v>
      </c>
      <c r="Q554">
        <f ca="1">Q382*'Fuel Costs'!S117/1000</f>
        <v>0</v>
      </c>
      <c r="R554">
        <f ca="1">R382*'Fuel Costs'!T117/1000</f>
        <v>0</v>
      </c>
      <c r="S554">
        <f ca="1">S382*'Fuel Costs'!U117/1000</f>
        <v>0</v>
      </c>
      <c r="T554">
        <f ca="1">T382*'Fuel Costs'!V117/1000</f>
        <v>0</v>
      </c>
      <c r="U554">
        <f ca="1">U382*'Fuel Costs'!W117/1000</f>
        <v>0</v>
      </c>
      <c r="V554">
        <f ca="1">V382*'Fuel Costs'!X117/1000</f>
        <v>0</v>
      </c>
      <c r="W554">
        <f ca="1">W382*'Fuel Costs'!Y117/1000</f>
        <v>0</v>
      </c>
      <c r="X554">
        <f ca="1">X382*'Fuel Costs'!Z117/1000</f>
        <v>0</v>
      </c>
      <c r="Y554">
        <f ca="1">Y382*'Fuel Costs'!AA117/1000</f>
        <v>0</v>
      </c>
      <c r="Z554">
        <f ca="1">Z382*'Fuel Costs'!AB117/1000</f>
        <v>0</v>
      </c>
      <c r="AA554">
        <f ca="1">AA382*'Fuel Costs'!AC117/1000</f>
        <v>0</v>
      </c>
      <c r="AB554">
        <f ca="1">AB382*'Fuel Costs'!AD117/1000</f>
        <v>312.67980970022131</v>
      </c>
      <c r="AC554">
        <f ca="1">AC382*'Fuel Costs'!AE117/1000</f>
        <v>628.56659180762449</v>
      </c>
      <c r="AD554" s="76">
        <f ca="1">AD382*'Fuel Costs'!AF117/1000</f>
        <v>628.56659180762449</v>
      </c>
      <c r="AE554" s="76">
        <f ca="1">AE382*'Fuel Costs'!AG117/1000</f>
        <v>628.56659180762449</v>
      </c>
      <c r="AF554" s="76">
        <f ca="1">AF382*'Fuel Costs'!AH117/1000</f>
        <v>628.56659180762449</v>
      </c>
      <c r="AG554" s="76">
        <f ca="1">AG382*'Fuel Costs'!AI117/1000</f>
        <v>628.56659180762449</v>
      </c>
      <c r="AH554" s="76">
        <f ca="1">AH382*'Fuel Costs'!AJ117/1000</f>
        <v>628.56659180762449</v>
      </c>
      <c r="AI554" s="76">
        <f ca="1">AI382*'Fuel Costs'!AK117/1000</f>
        <v>628.56659180762449</v>
      </c>
      <c r="AJ554" s="76">
        <f ca="1">AJ382*'Fuel Costs'!AL117/1000</f>
        <v>628.56659180762449</v>
      </c>
      <c r="AK554" s="76">
        <f ca="1">AK382*'Fuel Costs'!AM117/1000</f>
        <v>628.56659180762449</v>
      </c>
      <c r="AL554" s="76">
        <f ca="1">AL382*'Fuel Costs'!AN117/1000</f>
        <v>628.56659180762449</v>
      </c>
      <c r="AM554" s="76">
        <f ca="1">AM382*'Fuel Costs'!AO117/1000</f>
        <v>628.56659180762449</v>
      </c>
      <c r="AN554" s="76">
        <f ca="1">AN382*'Fuel Costs'!AP117/1000</f>
        <v>628.56659180762449</v>
      </c>
      <c r="AO554" s="76">
        <f ca="1">AO382*'Fuel Costs'!AQ117/1000</f>
        <v>628.56659180762449</v>
      </c>
      <c r="AP554" s="76">
        <f ca="1">AP382*'Fuel Costs'!AR117/1000</f>
        <v>628.56659180762449</v>
      </c>
      <c r="AQ554" s="76">
        <f ca="1">AQ382*'Fuel Costs'!AS117/1000</f>
        <v>628.56659180762449</v>
      </c>
      <c r="AR554" s="76">
        <f ca="1">AR382*'Fuel Costs'!AT117/1000</f>
        <v>628.56659180762449</v>
      </c>
      <c r="AS554" s="76">
        <f ca="1">AS382*'Fuel Costs'!AU117/1000</f>
        <v>628.56659180762449</v>
      </c>
      <c r="AT554" s="76">
        <f ca="1">AT382*'Fuel Costs'!AV117/1000</f>
        <v>628.56659180762449</v>
      </c>
      <c r="AU554" s="76">
        <f ca="1">AU382*'Fuel Costs'!AW117/1000</f>
        <v>628.56659180762449</v>
      </c>
      <c r="AV554" s="76">
        <f ca="1">AV382*'Fuel Costs'!AX117/1000</f>
        <v>628.56659180762449</v>
      </c>
      <c r="AW554" s="76">
        <f ca="1">AW382*'Fuel Costs'!AY117/1000</f>
        <v>628.56659180762449</v>
      </c>
    </row>
    <row r="555" spans="3:57">
      <c r="C555" t="str">
        <f t="shared" si="116"/>
        <v>-</v>
      </c>
      <c r="D555">
        <f>D383*'Fuel Costs'!F118/1000</f>
        <v>0</v>
      </c>
      <c r="E555">
        <f>E383*'Fuel Costs'!G118/1000</f>
        <v>0</v>
      </c>
      <c r="F555">
        <f>F383*'Fuel Costs'!H118/1000</f>
        <v>0</v>
      </c>
      <c r="G555">
        <f>G383*'Fuel Costs'!I118/1000</f>
        <v>0</v>
      </c>
      <c r="H555">
        <f>H383*'Fuel Costs'!J118/1000</f>
        <v>0</v>
      </c>
      <c r="I555">
        <f ca="1">I383*'Fuel Costs'!K118/1000</f>
        <v>0</v>
      </c>
      <c r="J555">
        <f ca="1">J383*'Fuel Costs'!L118/1000</f>
        <v>0</v>
      </c>
      <c r="K555">
        <f ca="1">K383*'Fuel Costs'!M118/1000</f>
        <v>0</v>
      </c>
      <c r="L555">
        <f ca="1">L383*'Fuel Costs'!N118/1000</f>
        <v>0</v>
      </c>
      <c r="M555">
        <f ca="1">M383*'Fuel Costs'!O118/1000</f>
        <v>0</v>
      </c>
      <c r="N555">
        <f ca="1">N383*'Fuel Costs'!P118/1000</f>
        <v>0</v>
      </c>
      <c r="O555">
        <f ca="1">O383*'Fuel Costs'!Q118/1000</f>
        <v>0</v>
      </c>
      <c r="P555">
        <f ca="1">P383*'Fuel Costs'!R118/1000</f>
        <v>0</v>
      </c>
      <c r="Q555">
        <f ca="1">Q383*'Fuel Costs'!S118/1000</f>
        <v>0</v>
      </c>
      <c r="R555">
        <f ca="1">R383*'Fuel Costs'!T118/1000</f>
        <v>0</v>
      </c>
      <c r="S555">
        <f ca="1">S383*'Fuel Costs'!U118/1000</f>
        <v>0</v>
      </c>
      <c r="T555">
        <f ca="1">T383*'Fuel Costs'!V118/1000</f>
        <v>0</v>
      </c>
      <c r="U555">
        <f ca="1">U383*'Fuel Costs'!W118/1000</f>
        <v>0</v>
      </c>
      <c r="V555">
        <f ca="1">V383*'Fuel Costs'!X118/1000</f>
        <v>0</v>
      </c>
      <c r="W555">
        <f ca="1">W383*'Fuel Costs'!Y118/1000</f>
        <v>0</v>
      </c>
      <c r="X555">
        <f ca="1">X383*'Fuel Costs'!Z118/1000</f>
        <v>0</v>
      </c>
      <c r="Y555">
        <f ca="1">Y383*'Fuel Costs'!AA118/1000</f>
        <v>0</v>
      </c>
      <c r="Z555">
        <f ca="1">Z383*'Fuel Costs'!AB118/1000</f>
        <v>0</v>
      </c>
      <c r="AA555">
        <f ca="1">AA383*'Fuel Costs'!AC118/1000</f>
        <v>0</v>
      </c>
      <c r="AB555">
        <f ca="1">AB383*'Fuel Costs'!AD118/1000</f>
        <v>0</v>
      </c>
      <c r="AC555">
        <f ca="1">AC383*'Fuel Costs'!AE118/1000</f>
        <v>0</v>
      </c>
      <c r="AD555" s="76">
        <f ca="1">AD383*'Fuel Costs'!AF118/1000</f>
        <v>0</v>
      </c>
      <c r="AE555" s="76">
        <f ca="1">AE383*'Fuel Costs'!AG118/1000</f>
        <v>0</v>
      </c>
      <c r="AF555" s="76">
        <f ca="1">AF383*'Fuel Costs'!AH118/1000</f>
        <v>0</v>
      </c>
      <c r="AG555" s="76">
        <f ca="1">AG383*'Fuel Costs'!AI118/1000</f>
        <v>0</v>
      </c>
      <c r="AH555" s="76">
        <f ca="1">AH383*'Fuel Costs'!AJ118/1000</f>
        <v>0</v>
      </c>
      <c r="AI555" s="76">
        <f ca="1">AI383*'Fuel Costs'!AK118/1000</f>
        <v>0</v>
      </c>
      <c r="AJ555" s="76">
        <f ca="1">AJ383*'Fuel Costs'!AL118/1000</f>
        <v>0</v>
      </c>
      <c r="AK555" s="76">
        <f ca="1">AK383*'Fuel Costs'!AM118/1000</f>
        <v>0</v>
      </c>
      <c r="AL555" s="76">
        <f ca="1">AL383*'Fuel Costs'!AN118/1000</f>
        <v>0</v>
      </c>
      <c r="AM555" s="76">
        <f ca="1">AM383*'Fuel Costs'!AO118/1000</f>
        <v>0</v>
      </c>
      <c r="AN555" s="76">
        <f ca="1">AN383*'Fuel Costs'!AP118/1000</f>
        <v>0</v>
      </c>
      <c r="AO555" s="76">
        <f ca="1">AO383*'Fuel Costs'!AQ118/1000</f>
        <v>0</v>
      </c>
      <c r="AP555" s="76">
        <f ca="1">AP383*'Fuel Costs'!AR118/1000</f>
        <v>0</v>
      </c>
      <c r="AQ555" s="76">
        <f ca="1">AQ383*'Fuel Costs'!AS118/1000</f>
        <v>0</v>
      </c>
      <c r="AR555" s="76">
        <f ca="1">AR383*'Fuel Costs'!AT118/1000</f>
        <v>0</v>
      </c>
      <c r="AS555" s="76">
        <f ca="1">AS383*'Fuel Costs'!AU118/1000</f>
        <v>0</v>
      </c>
      <c r="AT555" s="76">
        <f ca="1">AT383*'Fuel Costs'!AV118/1000</f>
        <v>0</v>
      </c>
      <c r="AU555" s="76">
        <f ca="1">AU383*'Fuel Costs'!AW118/1000</f>
        <v>0</v>
      </c>
      <c r="AV555" s="76">
        <f ca="1">AV383*'Fuel Costs'!AX118/1000</f>
        <v>0</v>
      </c>
      <c r="AW555" s="76">
        <f ca="1">AW383*'Fuel Costs'!AY118/1000</f>
        <v>0</v>
      </c>
    </row>
    <row r="556" spans="3:57">
      <c r="C556" t="str">
        <f t="shared" si="116"/>
        <v>-</v>
      </c>
      <c r="D556">
        <f>D384*'Fuel Costs'!F119/1000</f>
        <v>0</v>
      </c>
      <c r="E556">
        <f>E384*'Fuel Costs'!G119/1000</f>
        <v>0</v>
      </c>
      <c r="F556">
        <f>F384*'Fuel Costs'!H119/1000</f>
        <v>0</v>
      </c>
      <c r="G556">
        <f>G384*'Fuel Costs'!I119/1000</f>
        <v>0</v>
      </c>
      <c r="H556">
        <f>H384*'Fuel Costs'!J119/1000</f>
        <v>0</v>
      </c>
      <c r="I556">
        <f ca="1">I384*'Fuel Costs'!K119/1000</f>
        <v>0</v>
      </c>
      <c r="J556">
        <f ca="1">J384*'Fuel Costs'!L119/1000</f>
        <v>0</v>
      </c>
      <c r="K556">
        <f ca="1">K384*'Fuel Costs'!M119/1000</f>
        <v>0</v>
      </c>
      <c r="L556">
        <f ca="1">L384*'Fuel Costs'!N119/1000</f>
        <v>0</v>
      </c>
      <c r="M556">
        <f ca="1">M384*'Fuel Costs'!O119/1000</f>
        <v>0</v>
      </c>
      <c r="N556">
        <f ca="1">N384*'Fuel Costs'!P119/1000</f>
        <v>0</v>
      </c>
      <c r="O556">
        <f ca="1">O384*'Fuel Costs'!Q119/1000</f>
        <v>0</v>
      </c>
      <c r="P556">
        <f ca="1">P384*'Fuel Costs'!R119/1000</f>
        <v>0</v>
      </c>
      <c r="Q556">
        <f ca="1">Q384*'Fuel Costs'!S119/1000</f>
        <v>0</v>
      </c>
      <c r="R556">
        <f ca="1">R384*'Fuel Costs'!T119/1000</f>
        <v>0</v>
      </c>
      <c r="S556">
        <f ca="1">S384*'Fuel Costs'!U119/1000</f>
        <v>0</v>
      </c>
      <c r="T556">
        <f ca="1">T384*'Fuel Costs'!V119/1000</f>
        <v>0</v>
      </c>
      <c r="U556">
        <f ca="1">U384*'Fuel Costs'!W119/1000</f>
        <v>0</v>
      </c>
      <c r="V556">
        <f ca="1">V384*'Fuel Costs'!X119/1000</f>
        <v>0</v>
      </c>
      <c r="W556">
        <f ca="1">W384*'Fuel Costs'!Y119/1000</f>
        <v>0</v>
      </c>
      <c r="X556">
        <f ca="1">X384*'Fuel Costs'!Z119/1000</f>
        <v>0</v>
      </c>
      <c r="Y556">
        <f ca="1">Y384*'Fuel Costs'!AA119/1000</f>
        <v>0</v>
      </c>
      <c r="Z556">
        <f ca="1">Z384*'Fuel Costs'!AB119/1000</f>
        <v>0</v>
      </c>
      <c r="AA556">
        <f ca="1">AA384*'Fuel Costs'!AC119/1000</f>
        <v>0</v>
      </c>
      <c r="AB556">
        <f ca="1">AB384*'Fuel Costs'!AD119/1000</f>
        <v>0</v>
      </c>
      <c r="AC556">
        <f ca="1">AC384*'Fuel Costs'!AE119/1000</f>
        <v>0</v>
      </c>
      <c r="AD556" s="76">
        <f ca="1">AD384*'Fuel Costs'!AF119/1000</f>
        <v>0</v>
      </c>
      <c r="AE556" s="76">
        <f ca="1">AE384*'Fuel Costs'!AG119/1000</f>
        <v>0</v>
      </c>
      <c r="AF556" s="76">
        <f ca="1">AF384*'Fuel Costs'!AH119/1000</f>
        <v>0</v>
      </c>
      <c r="AG556" s="76">
        <f ca="1">AG384*'Fuel Costs'!AI119/1000</f>
        <v>0</v>
      </c>
      <c r="AH556" s="76">
        <f ca="1">AH384*'Fuel Costs'!AJ119/1000</f>
        <v>0</v>
      </c>
      <c r="AI556" s="76">
        <f ca="1">AI384*'Fuel Costs'!AK119/1000</f>
        <v>0</v>
      </c>
      <c r="AJ556" s="76">
        <f ca="1">AJ384*'Fuel Costs'!AL119/1000</f>
        <v>0</v>
      </c>
      <c r="AK556" s="76">
        <f ca="1">AK384*'Fuel Costs'!AM119/1000</f>
        <v>0</v>
      </c>
      <c r="AL556" s="76">
        <f ca="1">AL384*'Fuel Costs'!AN119/1000</f>
        <v>0</v>
      </c>
      <c r="AM556" s="76">
        <f ca="1">AM384*'Fuel Costs'!AO119/1000</f>
        <v>0</v>
      </c>
      <c r="AN556" s="76">
        <f ca="1">AN384*'Fuel Costs'!AP119/1000</f>
        <v>0</v>
      </c>
      <c r="AO556" s="76">
        <f ca="1">AO384*'Fuel Costs'!AQ119/1000</f>
        <v>0</v>
      </c>
      <c r="AP556" s="76">
        <f ca="1">AP384*'Fuel Costs'!AR119/1000</f>
        <v>0</v>
      </c>
      <c r="AQ556" s="76">
        <f ca="1">AQ384*'Fuel Costs'!AS119/1000</f>
        <v>0</v>
      </c>
      <c r="AR556" s="76">
        <f ca="1">AR384*'Fuel Costs'!AT119/1000</f>
        <v>0</v>
      </c>
      <c r="AS556" s="76">
        <f ca="1">AS384*'Fuel Costs'!AU119/1000</f>
        <v>0</v>
      </c>
      <c r="AT556" s="76">
        <f ca="1">AT384*'Fuel Costs'!AV119/1000</f>
        <v>0</v>
      </c>
      <c r="AU556" s="76">
        <f ca="1">AU384*'Fuel Costs'!AW119/1000</f>
        <v>0</v>
      </c>
      <c r="AV556" s="76">
        <f ca="1">AV384*'Fuel Costs'!AX119/1000</f>
        <v>0</v>
      </c>
      <c r="AW556" s="76">
        <f ca="1">AW384*'Fuel Costs'!AY119/1000</f>
        <v>0</v>
      </c>
    </row>
    <row r="557" spans="3:57">
      <c r="C557" t="str">
        <f t="shared" si="116"/>
        <v>-</v>
      </c>
      <c r="D557">
        <f>D385*'Fuel Costs'!F120/1000</f>
        <v>0</v>
      </c>
      <c r="E557">
        <f>E385*'Fuel Costs'!G120/1000</f>
        <v>0</v>
      </c>
      <c r="F557">
        <f>F385*'Fuel Costs'!H120/1000</f>
        <v>0</v>
      </c>
      <c r="G557">
        <f>G385*'Fuel Costs'!I120/1000</f>
        <v>0</v>
      </c>
      <c r="H557">
        <f>H385*'Fuel Costs'!J120/1000</f>
        <v>0</v>
      </c>
      <c r="I557">
        <f ca="1">I385*'Fuel Costs'!K120/1000</f>
        <v>0</v>
      </c>
      <c r="J557">
        <f ca="1">J385*'Fuel Costs'!L120/1000</f>
        <v>0</v>
      </c>
      <c r="K557">
        <f ca="1">K385*'Fuel Costs'!M120/1000</f>
        <v>0</v>
      </c>
      <c r="L557">
        <f ca="1">L385*'Fuel Costs'!N120/1000</f>
        <v>0</v>
      </c>
      <c r="M557">
        <f ca="1">M385*'Fuel Costs'!O120/1000</f>
        <v>0</v>
      </c>
      <c r="N557">
        <f ca="1">N385*'Fuel Costs'!P120/1000</f>
        <v>0</v>
      </c>
      <c r="O557">
        <f ca="1">O385*'Fuel Costs'!Q120/1000</f>
        <v>0</v>
      </c>
      <c r="P557">
        <f ca="1">P385*'Fuel Costs'!R120/1000</f>
        <v>0</v>
      </c>
      <c r="Q557">
        <f ca="1">Q385*'Fuel Costs'!S120/1000</f>
        <v>0</v>
      </c>
      <c r="R557">
        <f ca="1">R385*'Fuel Costs'!T120/1000</f>
        <v>0</v>
      </c>
      <c r="S557">
        <f ca="1">S385*'Fuel Costs'!U120/1000</f>
        <v>0</v>
      </c>
      <c r="T557">
        <f ca="1">T385*'Fuel Costs'!V120/1000</f>
        <v>0</v>
      </c>
      <c r="U557">
        <f ca="1">U385*'Fuel Costs'!W120/1000</f>
        <v>0</v>
      </c>
      <c r="V557">
        <f ca="1">V385*'Fuel Costs'!X120/1000</f>
        <v>0</v>
      </c>
      <c r="W557">
        <f ca="1">W385*'Fuel Costs'!Y120/1000</f>
        <v>0</v>
      </c>
      <c r="X557">
        <f ca="1">X385*'Fuel Costs'!Z120/1000</f>
        <v>0</v>
      </c>
      <c r="Y557">
        <f ca="1">Y385*'Fuel Costs'!AA120/1000</f>
        <v>0</v>
      </c>
      <c r="Z557">
        <f ca="1">Z385*'Fuel Costs'!AB120/1000</f>
        <v>0</v>
      </c>
      <c r="AA557">
        <f ca="1">AA385*'Fuel Costs'!AC120/1000</f>
        <v>0</v>
      </c>
      <c r="AB557">
        <f ca="1">AB385*'Fuel Costs'!AD120/1000</f>
        <v>0</v>
      </c>
      <c r="AC557">
        <f ca="1">AC385*'Fuel Costs'!AE120/1000</f>
        <v>0</v>
      </c>
      <c r="AD557" s="76">
        <f ca="1">AD385*'Fuel Costs'!AF120/1000</f>
        <v>0</v>
      </c>
      <c r="AE557" s="76">
        <f ca="1">AE385*'Fuel Costs'!AG120/1000</f>
        <v>0</v>
      </c>
      <c r="AF557" s="76">
        <f ca="1">AF385*'Fuel Costs'!AH120/1000</f>
        <v>0</v>
      </c>
      <c r="AG557" s="76">
        <f ca="1">AG385*'Fuel Costs'!AI120/1000</f>
        <v>0</v>
      </c>
      <c r="AH557" s="76">
        <f ca="1">AH385*'Fuel Costs'!AJ120/1000</f>
        <v>0</v>
      </c>
      <c r="AI557" s="76">
        <f ca="1">AI385*'Fuel Costs'!AK120/1000</f>
        <v>0</v>
      </c>
      <c r="AJ557" s="76">
        <f ca="1">AJ385*'Fuel Costs'!AL120/1000</f>
        <v>0</v>
      </c>
      <c r="AK557" s="76">
        <f ca="1">AK385*'Fuel Costs'!AM120/1000</f>
        <v>0</v>
      </c>
      <c r="AL557" s="76">
        <f ca="1">AL385*'Fuel Costs'!AN120/1000</f>
        <v>0</v>
      </c>
      <c r="AM557" s="76">
        <f ca="1">AM385*'Fuel Costs'!AO120/1000</f>
        <v>0</v>
      </c>
      <c r="AN557" s="76">
        <f ca="1">AN385*'Fuel Costs'!AP120/1000</f>
        <v>0</v>
      </c>
      <c r="AO557" s="76">
        <f ca="1">AO385*'Fuel Costs'!AQ120/1000</f>
        <v>0</v>
      </c>
      <c r="AP557" s="76">
        <f ca="1">AP385*'Fuel Costs'!AR120/1000</f>
        <v>0</v>
      </c>
      <c r="AQ557" s="76">
        <f ca="1">AQ385*'Fuel Costs'!AS120/1000</f>
        <v>0</v>
      </c>
      <c r="AR557" s="76">
        <f ca="1">AR385*'Fuel Costs'!AT120/1000</f>
        <v>0</v>
      </c>
      <c r="AS557" s="76">
        <f ca="1">AS385*'Fuel Costs'!AU120/1000</f>
        <v>0</v>
      </c>
      <c r="AT557" s="76">
        <f ca="1">AT385*'Fuel Costs'!AV120/1000</f>
        <v>0</v>
      </c>
      <c r="AU557" s="76">
        <f ca="1">AU385*'Fuel Costs'!AW120/1000</f>
        <v>0</v>
      </c>
      <c r="AV557" s="76">
        <f ca="1">AV385*'Fuel Costs'!AX120/1000</f>
        <v>0</v>
      </c>
      <c r="AW557" s="76">
        <f ca="1">AW385*'Fuel Costs'!AY120/1000</f>
        <v>0</v>
      </c>
    </row>
    <row r="558" spans="3:57">
      <c r="C558" t="str">
        <f t="shared" si="116"/>
        <v>Pumped storage</v>
      </c>
      <c r="D558">
        <f>D386*'Fuel Costs'!F121/1000</f>
        <v>0</v>
      </c>
      <c r="E558">
        <f>E386*'Fuel Costs'!G121/1000</f>
        <v>0</v>
      </c>
      <c r="F558">
        <f>F386*'Fuel Costs'!H121/1000</f>
        <v>0</v>
      </c>
      <c r="G558">
        <f>G386*'Fuel Costs'!I121/1000</f>
        <v>0</v>
      </c>
      <c r="H558">
        <f>H386*'Fuel Costs'!J121/1000</f>
        <v>0</v>
      </c>
      <c r="I558">
        <f ca="1">I386*'Fuel Costs'!K121/1000</f>
        <v>0</v>
      </c>
      <c r="J558">
        <f ca="1">J386*'Fuel Costs'!L121/1000</f>
        <v>0</v>
      </c>
      <c r="K558">
        <f ca="1">K386*'Fuel Costs'!M121/1000</f>
        <v>0</v>
      </c>
      <c r="L558">
        <f ca="1">L386*'Fuel Costs'!N121/1000</f>
        <v>0</v>
      </c>
      <c r="M558">
        <f ca="1">M386*'Fuel Costs'!O121/1000</f>
        <v>0</v>
      </c>
      <c r="N558">
        <f ca="1">N386*'Fuel Costs'!P121/1000</f>
        <v>0</v>
      </c>
      <c r="O558">
        <f ca="1">O386*'Fuel Costs'!Q121/1000</f>
        <v>0</v>
      </c>
      <c r="P558">
        <f ca="1">P386*'Fuel Costs'!R121/1000</f>
        <v>0</v>
      </c>
      <c r="Q558">
        <f ca="1">Q386*'Fuel Costs'!S121/1000</f>
        <v>0</v>
      </c>
      <c r="R558">
        <f ca="1">R386*'Fuel Costs'!T121/1000</f>
        <v>0</v>
      </c>
      <c r="S558">
        <f ca="1">S386*'Fuel Costs'!U121/1000</f>
        <v>0</v>
      </c>
      <c r="T558">
        <f ca="1">T386*'Fuel Costs'!V121/1000</f>
        <v>0</v>
      </c>
      <c r="U558">
        <f ca="1">U386*'Fuel Costs'!W121/1000</f>
        <v>0</v>
      </c>
      <c r="V558">
        <f ca="1">V386*'Fuel Costs'!X121/1000</f>
        <v>0</v>
      </c>
      <c r="W558">
        <f ca="1">W386*'Fuel Costs'!Y121/1000</f>
        <v>0</v>
      </c>
      <c r="X558">
        <f ca="1">X386*'Fuel Costs'!Z121/1000</f>
        <v>0</v>
      </c>
      <c r="Y558">
        <f ca="1">Y386*'Fuel Costs'!AA121/1000</f>
        <v>0</v>
      </c>
      <c r="Z558">
        <f ca="1">Z386*'Fuel Costs'!AB121/1000</f>
        <v>0</v>
      </c>
      <c r="AA558">
        <f ca="1">AA386*'Fuel Costs'!AC121/1000</f>
        <v>0</v>
      </c>
      <c r="AB558">
        <f ca="1">AB386*'Fuel Costs'!AD121/1000</f>
        <v>0</v>
      </c>
      <c r="AC558">
        <f ca="1">AC386*'Fuel Costs'!AE121/1000</f>
        <v>0</v>
      </c>
      <c r="AD558" s="76">
        <f ca="1">AD386*'Fuel Costs'!AF121/1000</f>
        <v>0</v>
      </c>
      <c r="AE558" s="76">
        <f ca="1">AE386*'Fuel Costs'!AG121/1000</f>
        <v>0</v>
      </c>
      <c r="AF558" s="76">
        <f ca="1">AF386*'Fuel Costs'!AH121/1000</f>
        <v>0</v>
      </c>
      <c r="AG558" s="76">
        <f ca="1">AG386*'Fuel Costs'!AI121/1000</f>
        <v>0</v>
      </c>
      <c r="AH558" s="76">
        <f ca="1">AH386*'Fuel Costs'!AJ121/1000</f>
        <v>0</v>
      </c>
      <c r="AI558" s="76">
        <f ca="1">AI386*'Fuel Costs'!AK121/1000</f>
        <v>0</v>
      </c>
      <c r="AJ558" s="76">
        <f ca="1">AJ386*'Fuel Costs'!AL121/1000</f>
        <v>0</v>
      </c>
      <c r="AK558" s="76">
        <f ca="1">AK386*'Fuel Costs'!AM121/1000</f>
        <v>0</v>
      </c>
      <c r="AL558" s="76">
        <f ca="1">AL386*'Fuel Costs'!AN121/1000</f>
        <v>0</v>
      </c>
      <c r="AM558" s="76">
        <f ca="1">AM386*'Fuel Costs'!AO121/1000</f>
        <v>0</v>
      </c>
      <c r="AN558" s="76">
        <f ca="1">AN386*'Fuel Costs'!AP121/1000</f>
        <v>0</v>
      </c>
      <c r="AO558" s="76">
        <f ca="1">AO386*'Fuel Costs'!AQ121/1000</f>
        <v>0</v>
      </c>
      <c r="AP558" s="76">
        <f ca="1">AP386*'Fuel Costs'!AR121/1000</f>
        <v>0</v>
      </c>
      <c r="AQ558" s="76">
        <f ca="1">AQ386*'Fuel Costs'!AS121/1000</f>
        <v>0</v>
      </c>
      <c r="AR558" s="76">
        <f ca="1">AR386*'Fuel Costs'!AT121/1000</f>
        <v>0</v>
      </c>
      <c r="AS558" s="76">
        <f ca="1">AS386*'Fuel Costs'!AU121/1000</f>
        <v>0</v>
      </c>
      <c r="AT558" s="76">
        <f ca="1">AT386*'Fuel Costs'!AV121/1000</f>
        <v>0</v>
      </c>
      <c r="AU558" s="76">
        <f ca="1">AU386*'Fuel Costs'!AW121/1000</f>
        <v>0</v>
      </c>
      <c r="AV558" s="76">
        <f ca="1">AV386*'Fuel Costs'!AX121/1000</f>
        <v>0</v>
      </c>
      <c r="AW558" s="76">
        <f ca="1">AW386*'Fuel Costs'!AY121/1000</f>
        <v>0</v>
      </c>
    </row>
    <row r="559" spans="3:57">
      <c r="AD559" s="76"/>
      <c r="AE559" s="76"/>
      <c r="AF559" s="76"/>
      <c r="AG559" s="76"/>
      <c r="AH559" s="76"/>
      <c r="AI559" s="76"/>
      <c r="AJ559" s="76"/>
      <c r="AK559" s="76"/>
      <c r="AL559" s="76"/>
      <c r="AM559" s="76"/>
      <c r="AN559" s="76"/>
      <c r="AO559" s="76"/>
      <c r="AP559" s="76"/>
      <c r="AQ559" s="76"/>
      <c r="AR559" s="76"/>
      <c r="AS559" s="76"/>
      <c r="AT559" s="76"/>
      <c r="AU559" s="76"/>
      <c r="AV559" s="76"/>
      <c r="AW559" s="76"/>
      <c r="BA559" s="11" t="s">
        <v>322</v>
      </c>
      <c r="BC559" s="11" t="s">
        <v>323</v>
      </c>
      <c r="BE559" s="11" t="s">
        <v>323</v>
      </c>
    </row>
    <row r="560" spans="3:57">
      <c r="C560" s="4" t="s">
        <v>136</v>
      </c>
      <c r="AD560" s="76"/>
      <c r="AE560" s="76"/>
      <c r="AF560" s="76"/>
      <c r="AG560" s="76"/>
      <c r="AH560" s="76"/>
      <c r="AI560" s="76"/>
      <c r="AJ560" s="76"/>
      <c r="AK560" s="76"/>
      <c r="AL560" s="76"/>
      <c r="AM560" s="76"/>
      <c r="AN560" s="76"/>
      <c r="AO560" s="76"/>
      <c r="AP560" s="76"/>
      <c r="AQ560" s="76"/>
      <c r="AR560" s="76"/>
      <c r="AS560" s="76"/>
      <c r="AT560" s="76"/>
      <c r="AU560" s="76"/>
      <c r="AV560" s="76"/>
      <c r="AW560" s="76"/>
      <c r="AY560" s="4" t="s">
        <v>320</v>
      </c>
      <c r="BA560" s="4" t="s">
        <v>321</v>
      </c>
      <c r="BC560" s="4" t="s">
        <v>324</v>
      </c>
      <c r="BE560" s="4" t="s">
        <v>325</v>
      </c>
    </row>
    <row r="561" spans="3:57">
      <c r="C561" t="str">
        <f>C8</f>
        <v>Existing coal Large</v>
      </c>
      <c r="D561" s="24">
        <f t="shared" ref="D561:AW566" ca="1" si="117">D470+D493+D516+D539</f>
        <v>16255.848534235311</v>
      </c>
      <c r="E561" s="24">
        <f t="shared" ca="1" si="117"/>
        <v>17848.075230169379</v>
      </c>
      <c r="F561" s="24">
        <f t="shared" ca="1" si="117"/>
        <v>19881.448596266746</v>
      </c>
      <c r="G561" s="24">
        <f t="shared" ca="1" si="117"/>
        <v>20778.472732023358</v>
      </c>
      <c r="H561" s="24">
        <f t="shared" ca="1" si="117"/>
        <v>20778.472732023358</v>
      </c>
      <c r="I561" s="24">
        <f t="shared" ca="1" si="117"/>
        <v>21202.080907823816</v>
      </c>
      <c r="J561" s="24">
        <f t="shared" ca="1" si="117"/>
        <v>21507.842323700119</v>
      </c>
      <c r="K561" s="24">
        <f t="shared" ca="1" si="117"/>
        <v>21845.752410405974</v>
      </c>
      <c r="L561" s="24">
        <f t="shared" ca="1" si="117"/>
        <v>22128.25175623727</v>
      </c>
      <c r="M561" s="24">
        <f t="shared" ca="1" si="117"/>
        <v>22369.252860877034</v>
      </c>
      <c r="N561" s="24">
        <f t="shared" ca="1" si="117"/>
        <v>22449.36221189766</v>
      </c>
      <c r="O561" s="24">
        <f t="shared" ca="1" si="117"/>
        <v>22529.47156291829</v>
      </c>
      <c r="P561" s="24">
        <f t="shared" ca="1" si="117"/>
        <v>22609.580913938917</v>
      </c>
      <c r="Q561" s="24">
        <f t="shared" ca="1" si="117"/>
        <v>22689.690264959547</v>
      </c>
      <c r="R561" s="24">
        <f t="shared" ca="1" si="117"/>
        <v>22769.799615980173</v>
      </c>
      <c r="S561" s="24">
        <f t="shared" ca="1" si="117"/>
        <v>22849.908967000803</v>
      </c>
      <c r="T561" s="24">
        <f t="shared" ca="1" si="117"/>
        <v>22930.01831802143</v>
      </c>
      <c r="U561" s="24">
        <f t="shared" ca="1" si="117"/>
        <v>23010.127669042056</v>
      </c>
      <c r="V561" s="24">
        <f t="shared" ca="1" si="117"/>
        <v>22691.857287580668</v>
      </c>
      <c r="W561" s="24">
        <f t="shared" ca="1" si="117"/>
        <v>22055.59472370577</v>
      </c>
      <c r="X561" s="24">
        <f t="shared" ca="1" si="117"/>
        <v>21510.734707158685</v>
      </c>
      <c r="Y561" s="24">
        <f t="shared" ca="1" si="117"/>
        <v>20493.777846058623</v>
      </c>
      <c r="Z561" s="24">
        <f t="shared" ca="1" si="117"/>
        <v>19469.328232820168</v>
      </c>
      <c r="AA561" s="24">
        <f t="shared" ca="1" si="117"/>
        <v>18206.109075327888</v>
      </c>
      <c r="AB561" s="24">
        <f t="shared" ca="1" si="117"/>
        <v>15599.443102709989</v>
      </c>
      <c r="AC561" s="24">
        <f t="shared" ca="1" si="117"/>
        <v>14313.548511114688</v>
      </c>
      <c r="AD561" s="77">
        <f t="shared" ca="1" si="117"/>
        <v>14313.548511114688</v>
      </c>
      <c r="AE561" s="77">
        <f t="shared" ca="1" si="117"/>
        <v>14313.548511114688</v>
      </c>
      <c r="AF561" s="77">
        <f t="shared" ca="1" si="117"/>
        <v>14313.548511114688</v>
      </c>
      <c r="AG561" s="77">
        <f t="shared" ca="1" si="117"/>
        <v>11570.525874691539</v>
      </c>
      <c r="AH561" s="77">
        <f t="shared" ca="1" si="117"/>
        <v>8827.5032382683876</v>
      </c>
      <c r="AI561" s="77">
        <f t="shared" ca="1" si="117"/>
        <v>7395.4498245160639</v>
      </c>
      <c r="AJ561" s="77">
        <f t="shared" ca="1" si="117"/>
        <v>4473.1294436068501</v>
      </c>
      <c r="AK561" s="77">
        <f t="shared" ca="1" si="117"/>
        <v>2982.86247644996</v>
      </c>
      <c r="AL561" s="77">
        <f t="shared" ca="1" si="117"/>
        <v>2982.86247644996</v>
      </c>
      <c r="AM561" s="77">
        <f t="shared" ca="1" si="117"/>
        <v>2982.86247644996</v>
      </c>
      <c r="AN561" s="77">
        <f t="shared" ca="1" si="117"/>
        <v>2982.86247644996</v>
      </c>
      <c r="AO561" s="77">
        <f t="shared" ca="1" si="117"/>
        <v>2982.86247644996</v>
      </c>
      <c r="AP561" s="77">
        <f t="shared" ca="1" si="117"/>
        <v>2982.86247644996</v>
      </c>
      <c r="AQ561" s="77">
        <f t="shared" ca="1" si="117"/>
        <v>2982.86247644996</v>
      </c>
      <c r="AR561" s="77">
        <f t="shared" ca="1" si="117"/>
        <v>1491.4312382249786</v>
      </c>
      <c r="AS561" s="77">
        <f t="shared" ca="1" si="117"/>
        <v>-2.7575478329598024E-12</v>
      </c>
      <c r="AT561" s="77">
        <f t="shared" ca="1" si="117"/>
        <v>-2.7575478329598024E-12</v>
      </c>
      <c r="AU561" s="77">
        <f t="shared" ca="1" si="117"/>
        <v>-2.7575478329598024E-12</v>
      </c>
      <c r="AV561" s="77">
        <f t="shared" ca="1" si="117"/>
        <v>-2.7575478329598024E-12</v>
      </c>
      <c r="AW561" s="77">
        <f t="shared" ca="1" si="117"/>
        <v>-2.7575478329598024E-12</v>
      </c>
      <c r="BA561" s="49">
        <f t="shared" ref="BA561:BA581" ca="1" si="118">NPV(discount_rate,AD561:AW561)</f>
        <v>63258.676336548429</v>
      </c>
      <c r="BB561" s="49"/>
      <c r="BC561" s="49">
        <f t="shared" ref="BC561:BC581" ca="1" si="119">NPV(discount_rate,I561:AB561,AC561+BA561)</f>
        <v>196899.60264353041</v>
      </c>
      <c r="BD561" s="49"/>
      <c r="BE561" s="49">
        <f t="shared" ref="BE561:BE581" ca="1" si="120">NPV(discount_rate,I561:AC561)</f>
        <v>188351.42159383075</v>
      </c>
    </row>
    <row r="562" spans="3:57">
      <c r="C562" t="str">
        <f t="shared" ref="C562:C579" si="121">C9</f>
        <v>Existing coal Small</v>
      </c>
      <c r="D562" s="24">
        <f t="shared" ca="1" si="117"/>
        <v>2346.7001846771027</v>
      </c>
      <c r="E562" s="24">
        <f t="shared" ca="1" si="117"/>
        <v>2456.5429896070436</v>
      </c>
      <c r="F562" s="24">
        <f t="shared" ca="1" si="117"/>
        <v>2566.3857945369841</v>
      </c>
      <c r="G562" s="24">
        <f t="shared" ca="1" si="117"/>
        <v>2680.9661728977972</v>
      </c>
      <c r="H562" s="24">
        <f t="shared" ca="1" si="117"/>
        <v>2680.9661728977972</v>
      </c>
      <c r="I562" s="24">
        <f t="shared" ca="1" si="117"/>
        <v>3024.8324517331271</v>
      </c>
      <c r="J562" s="24">
        <f t="shared" ca="1" si="117"/>
        <v>3231.974476853894</v>
      </c>
      <c r="K562" s="24">
        <f t="shared" ca="1" si="117"/>
        <v>3239.3546044048408</v>
      </c>
      <c r="L562" s="24">
        <f t="shared" ca="1" si="117"/>
        <v>3246.7347319557866</v>
      </c>
      <c r="M562" s="24">
        <f t="shared" ca="1" si="117"/>
        <v>3254.1148595067334</v>
      </c>
      <c r="N562" s="24">
        <f t="shared" ca="1" si="117"/>
        <v>3261.4949870576793</v>
      </c>
      <c r="O562" s="24">
        <f t="shared" ca="1" si="117"/>
        <v>3250.078233359066</v>
      </c>
      <c r="P562" s="24">
        <f t="shared" ca="1" si="117"/>
        <v>3238.5766043585108</v>
      </c>
      <c r="Q562" s="24">
        <f t="shared" ca="1" si="117"/>
        <v>3220.6961812055124</v>
      </c>
      <c r="R562" s="24">
        <f t="shared" ca="1" si="117"/>
        <v>3202.7025909832582</v>
      </c>
      <c r="S562" s="24">
        <f t="shared" ca="1" si="117"/>
        <v>2729.3966692090917</v>
      </c>
      <c r="T562" s="24">
        <f t="shared" ca="1" si="117"/>
        <v>2253.9405731190573</v>
      </c>
      <c r="U562" s="24">
        <f t="shared" ca="1" si="117"/>
        <v>2258.9724839829387</v>
      </c>
      <c r="V562" s="24">
        <f t="shared" ca="1" si="117"/>
        <v>2264.0043948468197</v>
      </c>
      <c r="W562" s="24">
        <f t="shared" ca="1" si="117"/>
        <v>2269.0363057107006</v>
      </c>
      <c r="X562" s="24">
        <f t="shared" ca="1" si="117"/>
        <v>2050.2016630437815</v>
      </c>
      <c r="Y562" s="24">
        <f t="shared" ca="1" si="117"/>
        <v>1830.3763055561185</v>
      </c>
      <c r="Z562" s="24">
        <f t="shared" ca="1" si="117"/>
        <v>1834.4175015992557</v>
      </c>
      <c r="AA562" s="24">
        <f t="shared" ca="1" si="117"/>
        <v>1838.458697642393</v>
      </c>
      <c r="AB562" s="24">
        <f t="shared" ca="1" si="117"/>
        <v>1842.4998936855307</v>
      </c>
      <c r="AC562" s="24">
        <f t="shared" ca="1" si="117"/>
        <v>1846.5410897286679</v>
      </c>
      <c r="AD562" s="77">
        <f t="shared" ca="1" si="117"/>
        <v>1846.5410897286679</v>
      </c>
      <c r="AE562" s="77">
        <f t="shared" ca="1" si="117"/>
        <v>1793.797546980888</v>
      </c>
      <c r="AF562" s="77">
        <f t="shared" ca="1" si="117"/>
        <v>1741.0540042331072</v>
      </c>
      <c r="AG562" s="77">
        <f t="shared" ca="1" si="117"/>
        <v>1741.0540042331072</v>
      </c>
      <c r="AH562" s="77">
        <f t="shared" ca="1" si="117"/>
        <v>1741.0540042331072</v>
      </c>
      <c r="AI562" s="77">
        <f t="shared" ca="1" si="117"/>
        <v>1741.0540042331072</v>
      </c>
      <c r="AJ562" s="77">
        <f t="shared" ca="1" si="117"/>
        <v>1741.0540042331072</v>
      </c>
      <c r="AK562" s="77">
        <f t="shared" ca="1" si="117"/>
        <v>1544.5584528198074</v>
      </c>
      <c r="AL562" s="77">
        <f t="shared" ca="1" si="117"/>
        <v>1348.0629014065075</v>
      </c>
      <c r="AM562" s="77">
        <f t="shared" ca="1" si="117"/>
        <v>1348.0629014065075</v>
      </c>
      <c r="AN562" s="77">
        <f t="shared" ca="1" si="117"/>
        <v>1348.0629014065075</v>
      </c>
      <c r="AO562" s="77">
        <f t="shared" ca="1" si="117"/>
        <v>1348.0629014065075</v>
      </c>
      <c r="AP562" s="77">
        <f t="shared" ca="1" si="117"/>
        <v>1348.0629014065075</v>
      </c>
      <c r="AQ562" s="77">
        <f t="shared" ca="1" si="117"/>
        <v>1348.0629014065075</v>
      </c>
      <c r="AR562" s="77">
        <f t="shared" ca="1" si="117"/>
        <v>1348.0629014065075</v>
      </c>
      <c r="AS562" s="77">
        <f t="shared" ca="1" si="117"/>
        <v>1348.0629014065075</v>
      </c>
      <c r="AT562" s="77">
        <f t="shared" ca="1" si="117"/>
        <v>1348.0629014065075</v>
      </c>
      <c r="AU562" s="77">
        <f t="shared" ca="1" si="117"/>
        <v>1348.0629014065075</v>
      </c>
      <c r="AV562" s="77">
        <f t="shared" ca="1" si="117"/>
        <v>1348.0629014065075</v>
      </c>
      <c r="AW562" s="77">
        <f t="shared" ca="1" si="117"/>
        <v>1348.0629014065075</v>
      </c>
      <c r="BA562" s="49">
        <f t="shared" ca="1" si="118"/>
        <v>13621.218369667238</v>
      </c>
      <c r="BB562" s="49"/>
      <c r="BC562" s="49">
        <f t="shared" ca="1" si="119"/>
        <v>26984.535411610766</v>
      </c>
      <c r="BD562" s="49"/>
      <c r="BE562" s="49">
        <f t="shared" ca="1" si="120"/>
        <v>25143.892396541265</v>
      </c>
    </row>
    <row r="563" spans="3:57">
      <c r="C563" t="str">
        <f t="shared" si="121"/>
        <v>OCGT liquid fuels</v>
      </c>
      <c r="D563" s="24">
        <f t="shared" ca="1" si="117"/>
        <v>1203.429722858983</v>
      </c>
      <c r="E563" s="24">
        <f t="shared" ca="1" si="117"/>
        <v>1333.4299474905283</v>
      </c>
      <c r="F563" s="24">
        <f t="shared" ca="1" si="117"/>
        <v>1333.1218239168195</v>
      </c>
      <c r="G563" s="24">
        <f t="shared" ca="1" si="117"/>
        <v>1771.1195126279106</v>
      </c>
      <c r="H563" s="24">
        <f t="shared" ca="1" si="117"/>
        <v>1291.5694060722121</v>
      </c>
      <c r="I563" s="24">
        <f t="shared" ca="1" si="117"/>
        <v>1344.4644260844339</v>
      </c>
      <c r="J563" s="24">
        <f t="shared" ca="1" si="117"/>
        <v>2707.0090326218919</v>
      </c>
      <c r="K563" s="24">
        <f t="shared" ca="1" si="117"/>
        <v>2783.7068116396131</v>
      </c>
      <c r="L563" s="24">
        <f t="shared" ca="1" si="117"/>
        <v>2860.4045906573351</v>
      </c>
      <c r="M563" s="24">
        <f t="shared" ca="1" si="117"/>
        <v>2937.1023696750563</v>
      </c>
      <c r="N563" s="24">
        <f t="shared" ca="1" si="117"/>
        <v>3013.8001486927778</v>
      </c>
      <c r="O563" s="24">
        <f t="shared" ca="1" si="117"/>
        <v>3090.4979277104985</v>
      </c>
      <c r="P563" s="24">
        <f t="shared" ca="1" si="117"/>
        <v>3167.1957067282201</v>
      </c>
      <c r="Q563" s="24">
        <f t="shared" ca="1" si="117"/>
        <v>3243.8934857459412</v>
      </c>
      <c r="R563" s="24">
        <f t="shared" ca="1" si="117"/>
        <v>3320.5912647636628</v>
      </c>
      <c r="S563" s="24">
        <f t="shared" ca="1" si="117"/>
        <v>3397.2890437813844</v>
      </c>
      <c r="T563" s="24">
        <f t="shared" ca="1" si="117"/>
        <v>3473.9868227991051</v>
      </c>
      <c r="U563" s="24">
        <f t="shared" ca="1" si="117"/>
        <v>3550.6846018168262</v>
      </c>
      <c r="V563" s="24">
        <f t="shared" ca="1" si="117"/>
        <v>3627.3823808345478</v>
      </c>
      <c r="W563" s="24">
        <f t="shared" ca="1" si="117"/>
        <v>3704.0801598522694</v>
      </c>
      <c r="X563" s="24">
        <f t="shared" ca="1" si="117"/>
        <v>3780.777938869991</v>
      </c>
      <c r="Y563" s="24">
        <f t="shared" ca="1" si="117"/>
        <v>4968.6030322928682</v>
      </c>
      <c r="Z563" s="24">
        <f t="shared" ca="1" si="117"/>
        <v>5061.1693173142557</v>
      </c>
      <c r="AA563" s="24">
        <f t="shared" ca="1" si="117"/>
        <v>5153.7356023356433</v>
      </c>
      <c r="AB563" s="24">
        <f t="shared" ca="1" si="117"/>
        <v>6791.2789972452374</v>
      </c>
      <c r="AC563" s="24">
        <f t="shared" ca="1" si="117"/>
        <v>8299.9699142886748</v>
      </c>
      <c r="AD563" s="77">
        <f t="shared" ca="1" si="117"/>
        <v>8178.749287902373</v>
      </c>
      <c r="AE563" s="77">
        <f t="shared" ca="1" si="117"/>
        <v>8074.8026007761182</v>
      </c>
      <c r="AF563" s="77">
        <f t="shared" ca="1" si="117"/>
        <v>8074.8026007761182</v>
      </c>
      <c r="AG563" s="77">
        <f t="shared" ca="1" si="117"/>
        <v>8074.8026007761182</v>
      </c>
      <c r="AH563" s="77">
        <f t="shared" ca="1" si="117"/>
        <v>8074.8026007761182</v>
      </c>
      <c r="AI563" s="77">
        <f t="shared" ca="1" si="117"/>
        <v>8074.8026007761182</v>
      </c>
      <c r="AJ563" s="77">
        <f t="shared" ca="1" si="117"/>
        <v>8074.8026007761182</v>
      </c>
      <c r="AK563" s="77">
        <f t="shared" ca="1" si="117"/>
        <v>8074.8026007761182</v>
      </c>
      <c r="AL563" s="77">
        <f t="shared" ca="1" si="117"/>
        <v>8074.8026007761182</v>
      </c>
      <c r="AM563" s="77">
        <f t="shared" ca="1" si="117"/>
        <v>8074.8026007761182</v>
      </c>
      <c r="AN563" s="77">
        <f t="shared" ca="1" si="117"/>
        <v>8074.8026007761182</v>
      </c>
      <c r="AO563" s="77">
        <f t="shared" ca="1" si="117"/>
        <v>8074.8026007761182</v>
      </c>
      <c r="AP563" s="77">
        <f t="shared" ca="1" si="117"/>
        <v>8074.8026007761182</v>
      </c>
      <c r="AQ563" s="77">
        <f t="shared" ca="1" si="117"/>
        <v>8074.8026007761182</v>
      </c>
      <c r="AR563" s="77">
        <f t="shared" ca="1" si="117"/>
        <v>8074.8026007761182</v>
      </c>
      <c r="AS563" s="77">
        <f t="shared" ca="1" si="117"/>
        <v>8074.8026007761182</v>
      </c>
      <c r="AT563" s="77">
        <f t="shared" ca="1" si="117"/>
        <v>8074.8026007761182</v>
      </c>
      <c r="AU563" s="77">
        <f t="shared" ca="1" si="117"/>
        <v>8074.8026007761182</v>
      </c>
      <c r="AV563" s="77">
        <f t="shared" ca="1" si="117"/>
        <v>8074.8026007761182</v>
      </c>
      <c r="AW563" s="77">
        <f t="shared" ca="1" si="117"/>
        <v>8074.8026007761182</v>
      </c>
      <c r="BA563" s="49">
        <f t="shared" ca="1" si="118"/>
        <v>68839.843454476199</v>
      </c>
      <c r="BB563" s="49"/>
      <c r="BC563" s="49">
        <f t="shared" ca="1" si="119"/>
        <v>36909.192307270234</v>
      </c>
      <c r="BD563" s="49"/>
      <c r="BE563" s="49">
        <f t="shared" ca="1" si="120"/>
        <v>27606.824958463487</v>
      </c>
    </row>
    <row r="564" spans="3:57">
      <c r="C564" t="str">
        <f t="shared" si="121"/>
        <v>PWR nuclear</v>
      </c>
      <c r="D564" s="24">
        <f t="shared" ca="1" si="117"/>
        <v>1841.3944454507421</v>
      </c>
      <c r="E564" s="24">
        <f t="shared" ca="1" si="117"/>
        <v>1914.0285561278479</v>
      </c>
      <c r="F564" s="24">
        <f t="shared" ca="1" si="117"/>
        <v>1986.6626668049537</v>
      </c>
      <c r="G564" s="24">
        <f t="shared" ca="1" si="117"/>
        <v>2059.2967774820595</v>
      </c>
      <c r="H564" s="24">
        <f t="shared" ca="1" si="117"/>
        <v>2168.8768214349784</v>
      </c>
      <c r="I564" s="24">
        <f t="shared" ca="1" si="117"/>
        <v>2172.6932566352129</v>
      </c>
      <c r="J564" s="24">
        <f t="shared" ca="1" si="117"/>
        <v>2176.5287740114481</v>
      </c>
      <c r="K564" s="24">
        <f t="shared" ca="1" si="117"/>
        <v>2180.3834689745649</v>
      </c>
      <c r="L564" s="24">
        <f t="shared" ca="1" si="117"/>
        <v>2184.257437412497</v>
      </c>
      <c r="M564" s="24">
        <f t="shared" ca="1" si="117"/>
        <v>2188.1507756926189</v>
      </c>
      <c r="N564" s="24">
        <f t="shared" ca="1" si="117"/>
        <v>2192.0635806641412</v>
      </c>
      <c r="O564" s="24">
        <f t="shared" ca="1" si="117"/>
        <v>2195.9959496605215</v>
      </c>
      <c r="P564" s="24">
        <f t="shared" ca="1" si="117"/>
        <v>2199.9479805018836</v>
      </c>
      <c r="Q564" s="24">
        <f t="shared" ca="1" si="117"/>
        <v>2203.9197714974525</v>
      </c>
      <c r="R564" s="24">
        <f t="shared" ca="1" si="117"/>
        <v>2207.9114214479987</v>
      </c>
      <c r="S564" s="24">
        <f t="shared" ca="1" si="117"/>
        <v>2211.9230296482983</v>
      </c>
      <c r="T564" s="24">
        <f t="shared" ca="1" si="117"/>
        <v>2215.9546958895994</v>
      </c>
      <c r="U564" s="24">
        <f t="shared" ca="1" si="117"/>
        <v>2220.0065204621064</v>
      </c>
      <c r="V564" s="24">
        <f t="shared" ca="1" si="117"/>
        <v>2224.0786041574765</v>
      </c>
      <c r="W564" s="24">
        <f t="shared" ca="1" si="117"/>
        <v>2228.1710482713233</v>
      </c>
      <c r="X564" s="24">
        <f t="shared" ca="1" si="117"/>
        <v>2232.2839546057394</v>
      </c>
      <c r="Y564" s="24">
        <f t="shared" ca="1" si="117"/>
        <v>2236.4174254718273</v>
      </c>
      <c r="Z564" s="24">
        <f t="shared" ca="1" si="117"/>
        <v>2240.5715636922455</v>
      </c>
      <c r="AA564" s="24">
        <f t="shared" ca="1" si="117"/>
        <v>2244.7464726037661</v>
      </c>
      <c r="AB564" s="24">
        <f t="shared" ca="1" si="117"/>
        <v>2248.9422560598446</v>
      </c>
      <c r="AC564" s="24">
        <f t="shared" ca="1" si="117"/>
        <v>2253.1590184332031</v>
      </c>
      <c r="AD564" s="77">
        <f t="shared" ca="1" si="117"/>
        <v>1756.4294739248348</v>
      </c>
      <c r="AE564" s="77">
        <f t="shared" ca="1" si="117"/>
        <v>1259.6999294164668</v>
      </c>
      <c r="AF564" s="77">
        <f t="shared" ca="1" si="117"/>
        <v>1259.6999294164668</v>
      </c>
      <c r="AG564" s="77">
        <f t="shared" ca="1" si="117"/>
        <v>1259.6999294164668</v>
      </c>
      <c r="AH564" s="77">
        <f t="shared" ca="1" si="117"/>
        <v>1259.6999294164668</v>
      </c>
      <c r="AI564" s="77">
        <f t="shared" ca="1" si="117"/>
        <v>1259.6999294164668</v>
      </c>
      <c r="AJ564" s="77">
        <f t="shared" ca="1" si="117"/>
        <v>1259.6999294164668</v>
      </c>
      <c r="AK564" s="77">
        <f t="shared" ca="1" si="117"/>
        <v>1259.6999294164668</v>
      </c>
      <c r="AL564" s="77">
        <f t="shared" ca="1" si="117"/>
        <v>1259.6999294164668</v>
      </c>
      <c r="AM564" s="77">
        <f t="shared" ca="1" si="117"/>
        <v>1259.6999294164668</v>
      </c>
      <c r="AN564" s="77">
        <f t="shared" ca="1" si="117"/>
        <v>1259.6999294164668</v>
      </c>
      <c r="AO564" s="77">
        <f t="shared" ca="1" si="117"/>
        <v>1259.6999294164668</v>
      </c>
      <c r="AP564" s="77">
        <f t="shared" ca="1" si="117"/>
        <v>1259.6999294164668</v>
      </c>
      <c r="AQ564" s="77">
        <f t="shared" ca="1" si="117"/>
        <v>1259.6999294164668</v>
      </c>
      <c r="AR564" s="77">
        <f t="shared" ca="1" si="117"/>
        <v>1259.6999294164668</v>
      </c>
      <c r="AS564" s="77">
        <f t="shared" ca="1" si="117"/>
        <v>1259.6999294164668</v>
      </c>
      <c r="AT564" s="77">
        <f t="shared" ca="1" si="117"/>
        <v>1259.6999294164668</v>
      </c>
      <c r="AU564" s="77">
        <f t="shared" ca="1" si="117"/>
        <v>1259.6999294164668</v>
      </c>
      <c r="AV564" s="77">
        <f t="shared" ca="1" si="117"/>
        <v>1259.6999294164668</v>
      </c>
      <c r="AW564" s="77">
        <f t="shared" ca="1" si="117"/>
        <v>1259.6999294164668</v>
      </c>
      <c r="BA564" s="49">
        <f t="shared" ca="1" si="118"/>
        <v>11176.107930051872</v>
      </c>
      <c r="BB564" s="49"/>
      <c r="BC564" s="49">
        <f t="shared" ca="1" si="119"/>
        <v>20529.89013921345</v>
      </c>
      <c r="BD564" s="49"/>
      <c r="BE564" s="49">
        <f t="shared" ca="1" si="120"/>
        <v>19019.656293838623</v>
      </c>
    </row>
    <row r="565" spans="3:57">
      <c r="C565" t="str">
        <f t="shared" si="121"/>
        <v>Hydro</v>
      </c>
      <c r="D565" s="24">
        <f t="shared" ca="1" si="117"/>
        <v>86.627408640520088</v>
      </c>
      <c r="E565" s="24">
        <f t="shared" ca="1" si="117"/>
        <v>86.627408640520088</v>
      </c>
      <c r="F565" s="24">
        <f t="shared" ca="1" si="117"/>
        <v>86.627408640520088</v>
      </c>
      <c r="G565" s="24">
        <f t="shared" ca="1" si="117"/>
        <v>86.627408640520088</v>
      </c>
      <c r="H565" s="24">
        <f t="shared" ca="1" si="117"/>
        <v>86.627408640520088</v>
      </c>
      <c r="I565" s="24">
        <f t="shared" ca="1" si="117"/>
        <v>86.627408640520088</v>
      </c>
      <c r="J565" s="24">
        <f t="shared" ca="1" si="117"/>
        <v>86.627408640520088</v>
      </c>
      <c r="K565" s="24">
        <f t="shared" ca="1" si="117"/>
        <v>86.627408640520088</v>
      </c>
      <c r="L565" s="24">
        <f t="shared" ca="1" si="117"/>
        <v>86.627408640520088</v>
      </c>
      <c r="M565" s="24">
        <f t="shared" ca="1" si="117"/>
        <v>86.627408640520088</v>
      </c>
      <c r="N565" s="24">
        <f t="shared" ca="1" si="117"/>
        <v>86.627408640520088</v>
      </c>
      <c r="O565" s="24">
        <f t="shared" ca="1" si="117"/>
        <v>86.627408640520088</v>
      </c>
      <c r="P565" s="24">
        <f t="shared" ca="1" si="117"/>
        <v>86.627408640520088</v>
      </c>
      <c r="Q565" s="24">
        <f t="shared" ca="1" si="117"/>
        <v>86.627408640520088</v>
      </c>
      <c r="R565" s="24">
        <f t="shared" ca="1" si="117"/>
        <v>86.627408640520088</v>
      </c>
      <c r="S565" s="24">
        <f t="shared" ca="1" si="117"/>
        <v>86.627408640520088</v>
      </c>
      <c r="T565" s="24">
        <f t="shared" ca="1" si="117"/>
        <v>86.627408640520088</v>
      </c>
      <c r="U565" s="24">
        <f t="shared" ca="1" si="117"/>
        <v>86.627408640520088</v>
      </c>
      <c r="V565" s="24">
        <f t="shared" ca="1" si="117"/>
        <v>86.627408640520088</v>
      </c>
      <c r="W565" s="24">
        <f t="shared" ca="1" si="117"/>
        <v>86.627408640520088</v>
      </c>
      <c r="X565" s="24">
        <f t="shared" ca="1" si="117"/>
        <v>86.627408640520088</v>
      </c>
      <c r="Y565" s="24">
        <f t="shared" ca="1" si="117"/>
        <v>86.627408640520088</v>
      </c>
      <c r="Z565" s="24">
        <f t="shared" ca="1" si="117"/>
        <v>86.627408640520088</v>
      </c>
      <c r="AA565" s="24">
        <f t="shared" ca="1" si="117"/>
        <v>86.627408640520088</v>
      </c>
      <c r="AB565" s="24">
        <f t="shared" ca="1" si="117"/>
        <v>86.627408640520088</v>
      </c>
      <c r="AC565" s="24">
        <f t="shared" ca="1" si="117"/>
        <v>86.627408640520088</v>
      </c>
      <c r="AD565" s="77">
        <f t="shared" ca="1" si="117"/>
        <v>86.627408640520088</v>
      </c>
      <c r="AE565" s="77">
        <f t="shared" ca="1" si="117"/>
        <v>86.627408640520088</v>
      </c>
      <c r="AF565" s="77">
        <f t="shared" ca="1" si="117"/>
        <v>86.627408640520088</v>
      </c>
      <c r="AG565" s="77">
        <f t="shared" ca="1" si="117"/>
        <v>86.627408640520088</v>
      </c>
      <c r="AH565" s="77">
        <f t="shared" ca="1" si="117"/>
        <v>86.627408640520088</v>
      </c>
      <c r="AI565" s="77">
        <f t="shared" ca="1" si="117"/>
        <v>86.627408640520088</v>
      </c>
      <c r="AJ565" s="77">
        <f t="shared" ca="1" si="117"/>
        <v>86.627408640520088</v>
      </c>
      <c r="AK565" s="77">
        <f t="shared" ca="1" si="117"/>
        <v>86.627408640520088</v>
      </c>
      <c r="AL565" s="77">
        <f t="shared" ca="1" si="117"/>
        <v>86.627408640520088</v>
      </c>
      <c r="AM565" s="77">
        <f t="shared" ca="1" si="117"/>
        <v>86.627408640520088</v>
      </c>
      <c r="AN565" s="77">
        <f t="shared" ca="1" si="117"/>
        <v>86.627408640520088</v>
      </c>
      <c r="AO565" s="77">
        <f t="shared" ca="1" si="117"/>
        <v>86.627408640520088</v>
      </c>
      <c r="AP565" s="77">
        <f t="shared" ca="1" si="117"/>
        <v>86.627408640520088</v>
      </c>
      <c r="AQ565" s="77">
        <f t="shared" ca="1" si="117"/>
        <v>86.627408640520088</v>
      </c>
      <c r="AR565" s="77">
        <f t="shared" ca="1" si="117"/>
        <v>86.627408640520088</v>
      </c>
      <c r="AS565" s="77">
        <f t="shared" ca="1" si="117"/>
        <v>86.627408640520088</v>
      </c>
      <c r="AT565" s="77">
        <f t="shared" ca="1" si="117"/>
        <v>86.627408640520088</v>
      </c>
      <c r="AU565" s="77">
        <f t="shared" ca="1" si="117"/>
        <v>86.627408640520088</v>
      </c>
      <c r="AV565" s="77">
        <f t="shared" ca="1" si="117"/>
        <v>86.627408640520088</v>
      </c>
      <c r="AW565" s="77">
        <f t="shared" ca="1" si="117"/>
        <v>86.627408640520088</v>
      </c>
      <c r="BA565" s="49">
        <f t="shared" ca="1" si="118"/>
        <v>737.50796333863093</v>
      </c>
      <c r="BB565" s="49"/>
      <c r="BC565" s="49">
        <f t="shared" ca="1" si="119"/>
        <v>848.87384667863819</v>
      </c>
      <c r="BD565" s="49"/>
      <c r="BE565" s="49">
        <f t="shared" ca="1" si="120"/>
        <v>749.21397452650092</v>
      </c>
    </row>
    <row r="566" spans="3:57">
      <c r="C566" t="str">
        <f t="shared" si="121"/>
        <v>Landfill gas</v>
      </c>
      <c r="D566" s="24">
        <f t="shared" ca="1" si="117"/>
        <v>66.755984508378774</v>
      </c>
      <c r="E566" s="24">
        <f t="shared" ca="1" si="117"/>
        <v>66.755984508378774</v>
      </c>
      <c r="F566" s="24">
        <f t="shared" ca="1" si="117"/>
        <v>66.755984508378774</v>
      </c>
      <c r="G566" s="24">
        <f t="shared" ca="1" si="117"/>
        <v>66.755984508378774</v>
      </c>
      <c r="H566" s="24">
        <f t="shared" ca="1" si="117"/>
        <v>66.755984508378774</v>
      </c>
      <c r="I566" s="24">
        <f t="shared" ca="1" si="117"/>
        <v>66.755984508378774</v>
      </c>
      <c r="J566" s="24">
        <f t="shared" ca="1" si="117"/>
        <v>66.755984508378774</v>
      </c>
      <c r="K566" s="24">
        <f t="shared" ca="1" si="117"/>
        <v>66.755984508378774</v>
      </c>
      <c r="L566" s="24">
        <f t="shared" ca="1" si="117"/>
        <v>66.755984508378774</v>
      </c>
      <c r="M566" s="24">
        <f t="shared" ca="1" si="117"/>
        <v>66.755984508378774</v>
      </c>
      <c r="N566" s="24">
        <f t="shared" ca="1" si="117"/>
        <v>66.755984508378774</v>
      </c>
      <c r="O566" s="24">
        <f t="shared" ca="1" si="117"/>
        <v>66.755984508378774</v>
      </c>
      <c r="P566" s="24">
        <f t="shared" ca="1" si="117"/>
        <v>66.755984508378774</v>
      </c>
      <c r="Q566" s="24">
        <f t="shared" ca="1" si="117"/>
        <v>66.755984508378774</v>
      </c>
      <c r="R566" s="24">
        <f t="shared" ca="1" si="117"/>
        <v>66.755984508378774</v>
      </c>
      <c r="S566" s="24">
        <f t="shared" ca="1" si="117"/>
        <v>66.755984508378774</v>
      </c>
      <c r="T566" s="24">
        <f t="shared" ca="1" si="117"/>
        <v>66.755984508378774</v>
      </c>
      <c r="U566" s="24">
        <f t="shared" ca="1" si="117"/>
        <v>66.755984508378774</v>
      </c>
      <c r="V566" s="24">
        <f t="shared" ca="1" si="117"/>
        <v>66.755984508378774</v>
      </c>
      <c r="W566" s="24">
        <f t="shared" ca="1" si="117"/>
        <v>66.755984508378774</v>
      </c>
      <c r="X566" s="24">
        <f t="shared" ca="1" si="117"/>
        <v>66.755984508378774</v>
      </c>
      <c r="Y566" s="24">
        <f t="shared" ca="1" si="117"/>
        <v>66.755984508378774</v>
      </c>
      <c r="Z566" s="24">
        <f t="shared" ca="1" si="117"/>
        <v>66.755984508378774</v>
      </c>
      <c r="AA566" s="24">
        <f t="shared" ca="1" si="117"/>
        <v>66.755984508378774</v>
      </c>
      <c r="AB566" s="24">
        <f t="shared" ca="1" si="117"/>
        <v>66.755984508378774</v>
      </c>
      <c r="AC566" s="24">
        <f t="shared" ref="H566:AW572" ca="1" si="122">AC475+AC498+AC521+AC544</f>
        <v>66.755984508378774</v>
      </c>
      <c r="AD566" s="77">
        <f t="shared" ca="1" si="122"/>
        <v>66.755984508378774</v>
      </c>
      <c r="AE566" s="77">
        <f t="shared" ca="1" si="122"/>
        <v>66.755984508378774</v>
      </c>
      <c r="AF566" s="77">
        <f t="shared" ca="1" si="122"/>
        <v>66.755984508378774</v>
      </c>
      <c r="AG566" s="77">
        <f t="shared" ca="1" si="122"/>
        <v>66.755984508378774</v>
      </c>
      <c r="AH566" s="77">
        <f t="shared" ca="1" si="122"/>
        <v>66.755984508378774</v>
      </c>
      <c r="AI566" s="77">
        <f t="shared" ca="1" si="122"/>
        <v>66.755984508378774</v>
      </c>
      <c r="AJ566" s="77">
        <f t="shared" ca="1" si="122"/>
        <v>66.755984508378774</v>
      </c>
      <c r="AK566" s="77">
        <f t="shared" ca="1" si="122"/>
        <v>66.755984508378774</v>
      </c>
      <c r="AL566" s="77">
        <f t="shared" ca="1" si="122"/>
        <v>66.755984508378774</v>
      </c>
      <c r="AM566" s="77">
        <f t="shared" ca="1" si="122"/>
        <v>66.755984508378774</v>
      </c>
      <c r="AN566" s="77">
        <f t="shared" ca="1" si="122"/>
        <v>66.755984508378774</v>
      </c>
      <c r="AO566" s="77">
        <f t="shared" ca="1" si="122"/>
        <v>66.755984508378774</v>
      </c>
      <c r="AP566" s="77">
        <f t="shared" ca="1" si="122"/>
        <v>66.755984508378774</v>
      </c>
      <c r="AQ566" s="77">
        <f t="shared" ca="1" si="122"/>
        <v>66.755984508378774</v>
      </c>
      <c r="AR566" s="77">
        <f t="shared" ca="1" si="122"/>
        <v>66.755984508378774</v>
      </c>
      <c r="AS566" s="77">
        <f t="shared" ca="1" si="122"/>
        <v>66.755984508378774</v>
      </c>
      <c r="AT566" s="77">
        <f t="shared" ca="1" si="122"/>
        <v>66.755984508378774</v>
      </c>
      <c r="AU566" s="77">
        <f t="shared" ca="1" si="122"/>
        <v>66.755984508378774</v>
      </c>
      <c r="AV566" s="77">
        <f t="shared" ca="1" si="122"/>
        <v>66.755984508378774</v>
      </c>
      <c r="AW566" s="77">
        <f t="shared" ca="1" si="122"/>
        <v>66.755984508378774</v>
      </c>
      <c r="BA566" s="49">
        <f t="shared" ca="1" si="118"/>
        <v>568.33132778729782</v>
      </c>
      <c r="BB566" s="49"/>
      <c r="BC566" s="49">
        <f t="shared" ca="1" si="119"/>
        <v>654.15103888887188</v>
      </c>
      <c r="BD566" s="49"/>
      <c r="BE566" s="49">
        <f t="shared" ca="1" si="120"/>
        <v>577.35210208697868</v>
      </c>
    </row>
    <row r="567" spans="3:57">
      <c r="C567" t="str">
        <f t="shared" si="121"/>
        <v>Biomass</v>
      </c>
      <c r="D567" s="24">
        <f t="shared" ref="D567:G578" ca="1" si="123">D476+D499+D522+D545</f>
        <v>186.22474442860573</v>
      </c>
      <c r="E567" s="24">
        <f t="shared" ca="1" si="123"/>
        <v>186.22474442860408</v>
      </c>
      <c r="F567" s="24">
        <f t="shared" ca="1" si="123"/>
        <v>186.22474442860408</v>
      </c>
      <c r="G567" s="24">
        <f t="shared" ca="1" si="123"/>
        <v>186.22474442860408</v>
      </c>
      <c r="H567" s="24">
        <f t="shared" ca="1" si="122"/>
        <v>186.22474442860408</v>
      </c>
      <c r="I567" s="24">
        <f t="shared" ca="1" si="122"/>
        <v>186.22474442860408</v>
      </c>
      <c r="J567" s="24">
        <f t="shared" ca="1" si="122"/>
        <v>186.22474442860408</v>
      </c>
      <c r="K567" s="24">
        <f t="shared" ca="1" si="122"/>
        <v>186.22474442860408</v>
      </c>
      <c r="L567" s="24">
        <f t="shared" ca="1" si="122"/>
        <v>186.22474442860408</v>
      </c>
      <c r="M567" s="24">
        <f t="shared" ca="1" si="122"/>
        <v>186.22474442860408</v>
      </c>
      <c r="N567" s="24">
        <f t="shared" ca="1" si="122"/>
        <v>186.22474442860408</v>
      </c>
      <c r="O567" s="24">
        <f t="shared" ca="1" si="122"/>
        <v>186.22474442860408</v>
      </c>
      <c r="P567" s="24">
        <f t="shared" ca="1" si="122"/>
        <v>186.22474442860408</v>
      </c>
      <c r="Q567" s="24">
        <f t="shared" ca="1" si="122"/>
        <v>186.22474442860408</v>
      </c>
      <c r="R567" s="24">
        <f t="shared" ca="1" si="122"/>
        <v>186.22474442860408</v>
      </c>
      <c r="S567" s="24">
        <f t="shared" ca="1" si="122"/>
        <v>186.22474442860408</v>
      </c>
      <c r="T567" s="24">
        <f t="shared" ca="1" si="122"/>
        <v>186.22474442860408</v>
      </c>
      <c r="U567" s="24">
        <f t="shared" ca="1" si="122"/>
        <v>186.22474442860408</v>
      </c>
      <c r="V567" s="24">
        <f t="shared" ca="1" si="122"/>
        <v>186.22474442860408</v>
      </c>
      <c r="W567" s="24">
        <f t="shared" ca="1" si="122"/>
        <v>186.22474442860408</v>
      </c>
      <c r="X567" s="24">
        <f t="shared" ca="1" si="122"/>
        <v>186.22474442860408</v>
      </c>
      <c r="Y567" s="24">
        <f t="shared" ca="1" si="122"/>
        <v>186.22474442860408</v>
      </c>
      <c r="Z567" s="24">
        <f t="shared" ca="1" si="122"/>
        <v>186.22474442860408</v>
      </c>
      <c r="AA567" s="24">
        <f t="shared" ca="1" si="122"/>
        <v>186.22474442860408</v>
      </c>
      <c r="AB567" s="24">
        <f t="shared" ca="1" si="122"/>
        <v>186.22474442860408</v>
      </c>
      <c r="AC567" s="24">
        <f t="shared" ca="1" si="122"/>
        <v>186.22474442860408</v>
      </c>
      <c r="AD567" s="77">
        <f t="shared" ca="1" si="122"/>
        <v>186.22474442860408</v>
      </c>
      <c r="AE567" s="77">
        <f t="shared" ca="1" si="122"/>
        <v>186.22474442860408</v>
      </c>
      <c r="AF567" s="77">
        <f t="shared" ca="1" si="122"/>
        <v>186.22474442860408</v>
      </c>
      <c r="AG567" s="77">
        <f t="shared" ca="1" si="122"/>
        <v>186.22474442860408</v>
      </c>
      <c r="AH567" s="77">
        <f t="shared" ca="1" si="122"/>
        <v>186.22474442860408</v>
      </c>
      <c r="AI567" s="77">
        <f t="shared" ca="1" si="122"/>
        <v>186.22474442860408</v>
      </c>
      <c r="AJ567" s="77">
        <f t="shared" ca="1" si="122"/>
        <v>186.22474442860408</v>
      </c>
      <c r="AK567" s="77">
        <f t="shared" ca="1" si="122"/>
        <v>186.22474442860408</v>
      </c>
      <c r="AL567" s="77">
        <f t="shared" ca="1" si="122"/>
        <v>186.22474442860408</v>
      </c>
      <c r="AM567" s="77">
        <f t="shared" ca="1" si="122"/>
        <v>186.22474442860408</v>
      </c>
      <c r="AN567" s="77">
        <f t="shared" ca="1" si="122"/>
        <v>186.22474442860408</v>
      </c>
      <c r="AO567" s="77">
        <f t="shared" ca="1" si="122"/>
        <v>186.22474442860408</v>
      </c>
      <c r="AP567" s="77">
        <f t="shared" ca="1" si="122"/>
        <v>186.22474442860408</v>
      </c>
      <c r="AQ567" s="77">
        <f t="shared" ca="1" si="122"/>
        <v>186.22474442860408</v>
      </c>
      <c r="AR567" s="77">
        <f t="shared" ca="1" si="122"/>
        <v>186.22474442860408</v>
      </c>
      <c r="AS567" s="77">
        <f t="shared" ca="1" si="122"/>
        <v>186.22474442860408</v>
      </c>
      <c r="AT567" s="77">
        <f t="shared" ca="1" si="122"/>
        <v>186.22474442860408</v>
      </c>
      <c r="AU567" s="77">
        <f t="shared" ca="1" si="122"/>
        <v>186.22474442860408</v>
      </c>
      <c r="AV567" s="77">
        <f t="shared" ca="1" si="122"/>
        <v>186.22474442860408</v>
      </c>
      <c r="AW567" s="77">
        <f t="shared" ca="1" si="122"/>
        <v>186.22474442860408</v>
      </c>
      <c r="BA567" s="49">
        <f t="shared" ca="1" si="118"/>
        <v>1585.4362278886736</v>
      </c>
      <c r="BB567" s="49"/>
      <c r="BC567" s="49">
        <f t="shared" ca="1" si="119"/>
        <v>1824.8417865741478</v>
      </c>
      <c r="BD567" s="49"/>
      <c r="BE567" s="49">
        <f t="shared" ca="1" si="120"/>
        <v>1610.6008839247977</v>
      </c>
    </row>
    <row r="568" spans="3:57">
      <c r="C568" t="str">
        <f t="shared" si="121"/>
        <v>Supercritical coal</v>
      </c>
      <c r="D568" s="24">
        <f t="shared" ca="1" si="123"/>
        <v>0</v>
      </c>
      <c r="E568" s="24">
        <f t="shared" ca="1" si="123"/>
        <v>0</v>
      </c>
      <c r="F568" s="24">
        <f t="shared" ca="1" si="123"/>
        <v>0</v>
      </c>
      <c r="G568" s="24">
        <f t="shared" ca="1" si="123"/>
        <v>0</v>
      </c>
      <c r="H568" s="24">
        <f t="shared" ca="1" si="122"/>
        <v>0</v>
      </c>
      <c r="I568" s="24">
        <f t="shared" ca="1" si="122"/>
        <v>0</v>
      </c>
      <c r="J568" s="24">
        <f t="shared" ca="1" si="122"/>
        <v>0</v>
      </c>
      <c r="K568" s="24">
        <f t="shared" ca="1" si="122"/>
        <v>2017.0741489649656</v>
      </c>
      <c r="L568" s="24">
        <f t="shared" ca="1" si="122"/>
        <v>6042.9945992936546</v>
      </c>
      <c r="M568" s="24">
        <f t="shared" ca="1" si="122"/>
        <v>12117.693577401764</v>
      </c>
      <c r="N568" s="24">
        <f t="shared" ca="1" si="122"/>
        <v>18245.390982532655</v>
      </c>
      <c r="O568" s="24">
        <f t="shared" ca="1" si="122"/>
        <v>22539.385478471664</v>
      </c>
      <c r="P568" s="24">
        <f t="shared" ca="1" si="122"/>
        <v>24780.645900459003</v>
      </c>
      <c r="Q568" s="24">
        <f t="shared" ca="1" si="122"/>
        <v>25039.143604425612</v>
      </c>
      <c r="R568" s="24">
        <f t="shared" ca="1" si="122"/>
        <v>24988.456817764967</v>
      </c>
      <c r="S568" s="24">
        <f t="shared" ca="1" si="122"/>
        <v>24921.399258460235</v>
      </c>
      <c r="T568" s="24">
        <f t="shared" ca="1" si="122"/>
        <v>24548.019911287018</v>
      </c>
      <c r="U568" s="24">
        <f t="shared" ca="1" si="122"/>
        <v>24298.974727744</v>
      </c>
      <c r="V568" s="24">
        <f t="shared" ca="1" si="122"/>
        <v>24141.525188159027</v>
      </c>
      <c r="W568" s="24">
        <f t="shared" ca="1" si="122"/>
        <v>24149.808376379449</v>
      </c>
      <c r="X568" s="24">
        <f t="shared" ca="1" si="122"/>
        <v>24171.778179177672</v>
      </c>
      <c r="Y568" s="24">
        <f t="shared" ca="1" si="122"/>
        <v>24866.572684143011</v>
      </c>
      <c r="Z568" s="24">
        <f t="shared" ca="1" si="122"/>
        <v>25160.115654031859</v>
      </c>
      <c r="AA568" s="24">
        <f t="shared" ca="1" si="122"/>
        <v>25553.384100303501</v>
      </c>
      <c r="AB568" s="24">
        <f t="shared" ca="1" si="122"/>
        <v>26929.302055259639</v>
      </c>
      <c r="AC568" s="24">
        <f t="shared" ca="1" si="122"/>
        <v>27092.616339242355</v>
      </c>
      <c r="AD568" s="77">
        <f t="shared" ca="1" si="122"/>
        <v>27092.616339242355</v>
      </c>
      <c r="AE568" s="77">
        <f t="shared" ca="1" si="122"/>
        <v>27116.017340662274</v>
      </c>
      <c r="AF568" s="77">
        <f t="shared" ca="1" si="122"/>
        <v>27139.418342082197</v>
      </c>
      <c r="AG568" s="77">
        <f t="shared" ca="1" si="122"/>
        <v>30066.146792487874</v>
      </c>
      <c r="AH568" s="77">
        <f t="shared" ca="1" si="122"/>
        <v>32992.875242893548</v>
      </c>
      <c r="AI568" s="77">
        <f t="shared" ca="1" si="122"/>
        <v>34520.836191110437</v>
      </c>
      <c r="AJ568" s="77">
        <f t="shared" ca="1" si="122"/>
        <v>37638.870321211565</v>
      </c>
      <c r="AK568" s="77">
        <f t="shared" ca="1" si="122"/>
        <v>39316.123704464131</v>
      </c>
      <c r="AL568" s="77">
        <f t="shared" ca="1" si="122"/>
        <v>39403.303905832479</v>
      </c>
      <c r="AM568" s="77">
        <f t="shared" ca="1" si="122"/>
        <v>39403.303905832479</v>
      </c>
      <c r="AN568" s="77">
        <f t="shared" ca="1" si="122"/>
        <v>39403.303905832479</v>
      </c>
      <c r="AO568" s="77">
        <f t="shared" ca="1" si="122"/>
        <v>39268.376680987545</v>
      </c>
      <c r="AP568" s="77">
        <f t="shared" ca="1" si="122"/>
        <v>39003.212421322263</v>
      </c>
      <c r="AQ568" s="77">
        <f t="shared" ca="1" si="122"/>
        <v>38612.501316861228</v>
      </c>
      <c r="AR568" s="77">
        <f t="shared" ca="1" si="122"/>
        <v>39820.140923994652</v>
      </c>
      <c r="AS568" s="77">
        <f t="shared" ca="1" si="122"/>
        <v>41160.362660960724</v>
      </c>
      <c r="AT568" s="77">
        <f t="shared" ca="1" si="122"/>
        <v>41037.160911177249</v>
      </c>
      <c r="AU568" s="77">
        <f t="shared" ca="1" si="122"/>
        <v>41037.160911177249</v>
      </c>
      <c r="AV568" s="77">
        <f t="shared" ca="1" si="122"/>
        <v>41037.160911177249</v>
      </c>
      <c r="AW568" s="77">
        <f t="shared" ca="1" si="122"/>
        <v>41037.160911177249</v>
      </c>
      <c r="BA568" s="49">
        <f t="shared" ca="1" si="118"/>
        <v>292084.45017569797</v>
      </c>
      <c r="BB568" s="49"/>
      <c r="BC568" s="49">
        <f t="shared" ca="1" si="119"/>
        <v>168596.57461372088</v>
      </c>
      <c r="BD568" s="49"/>
      <c r="BE568" s="49">
        <f t="shared" ca="1" si="120"/>
        <v>129127.03610140007</v>
      </c>
    </row>
    <row r="569" spans="3:57">
      <c r="C569" t="str">
        <f t="shared" si="121"/>
        <v xml:space="preserve">Wind 30% </v>
      </c>
      <c r="D569" s="24">
        <f t="shared" ca="1" si="123"/>
        <v>0</v>
      </c>
      <c r="E569" s="24">
        <f t="shared" ca="1" si="123"/>
        <v>0</v>
      </c>
      <c r="F569" s="24">
        <f t="shared" ca="1" si="123"/>
        <v>0</v>
      </c>
      <c r="G569" s="24">
        <f t="shared" ca="1" si="123"/>
        <v>0</v>
      </c>
      <c r="H569" s="24">
        <f t="shared" ca="1" si="122"/>
        <v>0</v>
      </c>
      <c r="I569" s="24">
        <f t="shared" ca="1" si="122"/>
        <v>208.54071752916499</v>
      </c>
      <c r="J569" s="24">
        <f t="shared" ca="1" si="122"/>
        <v>615.97659646748639</v>
      </c>
      <c r="K569" s="24">
        <f t="shared" ca="1" si="122"/>
        <v>1013.7669192857992</v>
      </c>
      <c r="L569" s="24">
        <f t="shared" ca="1" si="122"/>
        <v>1791.9855639064092</v>
      </c>
      <c r="M569" s="24">
        <f t="shared" ca="1" si="122"/>
        <v>2552.8422075110034</v>
      </c>
      <c r="N569" s="24">
        <f t="shared" ca="1" si="122"/>
        <v>4039.8314926881617</v>
      </c>
      <c r="O569" s="24">
        <f t="shared" ca="1" si="122"/>
        <v>5492.0967758332899</v>
      </c>
      <c r="P569" s="24">
        <f t="shared" ca="1" si="122"/>
        <v>7276.1767779358715</v>
      </c>
      <c r="Q569" s="24">
        <f t="shared" ca="1" si="122"/>
        <v>9029.0051782096252</v>
      </c>
      <c r="R569" s="24">
        <f t="shared" ca="1" si="122"/>
        <v>11611.370375877015</v>
      </c>
      <c r="S569" s="24">
        <f t="shared" ca="1" si="122"/>
        <v>14146.858170801162</v>
      </c>
      <c r="T569" s="24">
        <f t="shared" ca="1" si="122"/>
        <v>17465.005360375704</v>
      </c>
      <c r="U569" s="24">
        <f t="shared" ca="1" si="122"/>
        <v>17465.005360375704</v>
      </c>
      <c r="V569" s="24">
        <f t="shared" ca="1" si="122"/>
        <v>17465.005360375704</v>
      </c>
      <c r="W569" s="24">
        <f t="shared" ca="1" si="122"/>
        <v>17465.005360375704</v>
      </c>
      <c r="X569" s="24">
        <f t="shared" ca="1" si="122"/>
        <v>17465.005360375704</v>
      </c>
      <c r="Y569" s="24">
        <f t="shared" ca="1" si="122"/>
        <v>17465.005360375704</v>
      </c>
      <c r="Z569" s="24">
        <f t="shared" ca="1" si="122"/>
        <v>17465.005360375704</v>
      </c>
      <c r="AA569" s="24">
        <f t="shared" ca="1" si="122"/>
        <v>17465.005360375704</v>
      </c>
      <c r="AB569" s="24">
        <f t="shared" ca="1" si="122"/>
        <v>17465.005360375704</v>
      </c>
      <c r="AC569" s="24">
        <f t="shared" ca="1" si="122"/>
        <v>17256.464642846538</v>
      </c>
      <c r="AD569" s="77">
        <f t="shared" ca="1" si="122"/>
        <v>17164.298517191586</v>
      </c>
      <c r="AE569" s="77">
        <f t="shared" ca="1" si="122"/>
        <v>17080.123451089235</v>
      </c>
      <c r="AF569" s="77">
        <f t="shared" ca="1" si="122"/>
        <v>16925.826326765724</v>
      </c>
      <c r="AG569" s="77">
        <f t="shared" ca="1" si="122"/>
        <v>16785.582210323417</v>
      </c>
      <c r="AH569" s="77">
        <f t="shared" ca="1" si="122"/>
        <v>16533.1999932012</v>
      </c>
      <c r="AI569" s="77">
        <f t="shared" ca="1" si="122"/>
        <v>16308.923791841375</v>
      </c>
      <c r="AJ569" s="77">
        <f t="shared" ca="1" si="122"/>
        <v>16051.557659133381</v>
      </c>
      <c r="AK569" s="77">
        <f t="shared" ca="1" si="122"/>
        <v>15817.170645417173</v>
      </c>
      <c r="AL569" s="77">
        <f t="shared" ca="1" si="122"/>
        <v>15512.467527586105</v>
      </c>
      <c r="AM569" s="77">
        <f t="shared" ca="1" si="122"/>
        <v>15254.641812498274</v>
      </c>
      <c r="AN569" s="77">
        <f t="shared" ca="1" si="122"/>
        <v>14973.377396038824</v>
      </c>
      <c r="AO569" s="77">
        <f t="shared" ca="1" si="122"/>
        <v>14973.377396038824</v>
      </c>
      <c r="AP569" s="77">
        <f t="shared" ca="1" si="122"/>
        <v>14973.377396038824</v>
      </c>
      <c r="AQ569" s="77">
        <f t="shared" ca="1" si="122"/>
        <v>14973.377396038824</v>
      </c>
      <c r="AR569" s="77">
        <f t="shared" ca="1" si="122"/>
        <v>14973.377396038824</v>
      </c>
      <c r="AS569" s="77">
        <f t="shared" ca="1" si="122"/>
        <v>14973.377396038824</v>
      </c>
      <c r="AT569" s="77">
        <f t="shared" ca="1" si="122"/>
        <v>14973.377396038824</v>
      </c>
      <c r="AU569" s="77">
        <f t="shared" ca="1" si="122"/>
        <v>14973.377396038824</v>
      </c>
      <c r="AV569" s="77">
        <f t="shared" ca="1" si="122"/>
        <v>14973.377396038824</v>
      </c>
      <c r="AW569" s="77">
        <f t="shared" ca="1" si="122"/>
        <v>14973.377396038824</v>
      </c>
      <c r="BA569" s="49">
        <f t="shared" ca="1" si="118"/>
        <v>136920.71294473123</v>
      </c>
      <c r="BB569" s="49"/>
      <c r="BC569" s="49">
        <f t="shared" ca="1" si="119"/>
        <v>82113.924084061495</v>
      </c>
      <c r="BD569" s="49"/>
      <c r="BE569" s="49">
        <f t="shared" ca="1" si="120"/>
        <v>63611.749971554986</v>
      </c>
    </row>
    <row r="570" spans="3:57">
      <c r="C570" t="str">
        <f t="shared" si="121"/>
        <v>Wind 25%</v>
      </c>
      <c r="D570" s="24">
        <f t="shared" ca="1" si="123"/>
        <v>0</v>
      </c>
      <c r="E570" s="24">
        <f t="shared" ca="1" si="123"/>
        <v>0</v>
      </c>
      <c r="F570" s="24">
        <f t="shared" ca="1" si="123"/>
        <v>0</v>
      </c>
      <c r="G570" s="24">
        <f t="shared" ca="1" si="123"/>
        <v>0</v>
      </c>
      <c r="H570" s="24">
        <f t="shared" ca="1" si="122"/>
        <v>0</v>
      </c>
      <c r="I570" s="24">
        <f t="shared" ca="1" si="122"/>
        <v>0</v>
      </c>
      <c r="J570" s="24">
        <f t="shared" ca="1" si="122"/>
        <v>0</v>
      </c>
      <c r="K570" s="24">
        <f t="shared" ca="1" si="122"/>
        <v>0</v>
      </c>
      <c r="L570" s="24">
        <f t="shared" ca="1" si="122"/>
        <v>0</v>
      </c>
      <c r="M570" s="24">
        <f t="shared" ca="1" si="122"/>
        <v>0</v>
      </c>
      <c r="N570" s="24">
        <f t="shared" ca="1" si="122"/>
        <v>0</v>
      </c>
      <c r="O570" s="24">
        <f t="shared" ca="1" si="122"/>
        <v>0</v>
      </c>
      <c r="P570" s="24">
        <f t="shared" ca="1" si="122"/>
        <v>0</v>
      </c>
      <c r="Q570" s="24">
        <f t="shared" ca="1" si="122"/>
        <v>0</v>
      </c>
      <c r="R570" s="24">
        <f t="shared" ca="1" si="122"/>
        <v>0</v>
      </c>
      <c r="S570" s="24">
        <f t="shared" ca="1" si="122"/>
        <v>0</v>
      </c>
      <c r="T570" s="24">
        <f t="shared" ca="1" si="122"/>
        <v>0</v>
      </c>
      <c r="U570" s="24">
        <f t="shared" ca="1" si="122"/>
        <v>1650.801111950228</v>
      </c>
      <c r="V570" s="24">
        <f t="shared" ca="1" si="122"/>
        <v>3293.3297410634132</v>
      </c>
      <c r="W570" s="24">
        <f t="shared" ca="1" si="122"/>
        <v>4927.5858873395555</v>
      </c>
      <c r="X570" s="24">
        <f t="shared" ca="1" si="122"/>
        <v>6553.5695507786568</v>
      </c>
      <c r="Y570" s="24">
        <f t="shared" ca="1" si="122"/>
        <v>8171.2807313807134</v>
      </c>
      <c r="Z570" s="24">
        <f t="shared" ca="1" si="122"/>
        <v>9780.7194291457272</v>
      </c>
      <c r="AA570" s="24">
        <f t="shared" ca="1" si="122"/>
        <v>11381.8856440737</v>
      </c>
      <c r="AB570" s="24">
        <f t="shared" ca="1" si="122"/>
        <v>12974.77937616463</v>
      </c>
      <c r="AC570" s="24">
        <f t="shared" ca="1" si="122"/>
        <v>14559.400625418515</v>
      </c>
      <c r="AD570" s="77">
        <f t="shared" ca="1" si="122"/>
        <v>14559.400625418515</v>
      </c>
      <c r="AE570" s="77">
        <f t="shared" ca="1" si="122"/>
        <v>14559.400625418515</v>
      </c>
      <c r="AF570" s="77">
        <f t="shared" ca="1" si="122"/>
        <v>14559.400625418515</v>
      </c>
      <c r="AG570" s="77">
        <f t="shared" ca="1" si="122"/>
        <v>14559.400625418515</v>
      </c>
      <c r="AH570" s="77">
        <f t="shared" ca="1" si="122"/>
        <v>14559.400625418515</v>
      </c>
      <c r="AI570" s="77">
        <f t="shared" ca="1" si="122"/>
        <v>14559.400625418515</v>
      </c>
      <c r="AJ570" s="77">
        <f t="shared" ca="1" si="122"/>
        <v>14559.400625418515</v>
      </c>
      <c r="AK570" s="77">
        <f t="shared" ca="1" si="122"/>
        <v>14559.400625418515</v>
      </c>
      <c r="AL570" s="77">
        <f t="shared" ca="1" si="122"/>
        <v>14559.400625418515</v>
      </c>
      <c r="AM570" s="77">
        <f t="shared" ca="1" si="122"/>
        <v>14559.400625418515</v>
      </c>
      <c r="AN570" s="77">
        <f t="shared" ca="1" si="122"/>
        <v>14559.400625418515</v>
      </c>
      <c r="AO570" s="77">
        <f t="shared" ca="1" si="122"/>
        <v>14427.040900025833</v>
      </c>
      <c r="AP570" s="77">
        <f t="shared" ca="1" si="122"/>
        <v>14302.953657470196</v>
      </c>
      <c r="AQ570" s="77">
        <f t="shared" ca="1" si="122"/>
        <v>14187.138897751596</v>
      </c>
      <c r="AR570" s="77">
        <f t="shared" ca="1" si="122"/>
        <v>14079.596620870045</v>
      </c>
      <c r="AS570" s="77">
        <f t="shared" ca="1" si="122"/>
        <v>13980.326826825531</v>
      </c>
      <c r="AT570" s="77">
        <f t="shared" ca="1" si="122"/>
        <v>13889.329515618061</v>
      </c>
      <c r="AU570" s="77">
        <f t="shared" ca="1" si="122"/>
        <v>13806.604687247636</v>
      </c>
      <c r="AV570" s="77">
        <f t="shared" ca="1" si="122"/>
        <v>13732.152341714253</v>
      </c>
      <c r="AW570" s="77">
        <f t="shared" ca="1" si="122"/>
        <v>13665.97247901791</v>
      </c>
      <c r="BA570" s="49">
        <f t="shared" ca="1" si="118"/>
        <v>122960.98369539662</v>
      </c>
      <c r="BB570" s="49"/>
      <c r="BC570" s="49">
        <f t="shared" ca="1" si="119"/>
        <v>29699.935765860366</v>
      </c>
      <c r="BD570" s="49"/>
      <c r="BE570" s="49">
        <f t="shared" ca="1" si="120"/>
        <v>13084.147836859185</v>
      </c>
    </row>
    <row r="571" spans="3:57">
      <c r="C571" t="str">
        <f t="shared" si="121"/>
        <v>solar thermal central reciever</v>
      </c>
      <c r="D571" s="24">
        <f t="shared" ca="1" si="123"/>
        <v>0</v>
      </c>
      <c r="E571" s="24">
        <f t="shared" ca="1" si="123"/>
        <v>0</v>
      </c>
      <c r="F571" s="24">
        <f t="shared" ca="1" si="123"/>
        <v>0</v>
      </c>
      <c r="G571" s="24">
        <f t="shared" ca="1" si="123"/>
        <v>0</v>
      </c>
      <c r="H571" s="24">
        <f t="shared" ca="1" si="122"/>
        <v>0</v>
      </c>
      <c r="I571" s="24">
        <f t="shared" ca="1" si="122"/>
        <v>0</v>
      </c>
      <c r="J571" s="24">
        <f t="shared" ca="1" si="122"/>
        <v>0</v>
      </c>
      <c r="K571" s="24">
        <f t="shared" ca="1" si="122"/>
        <v>0</v>
      </c>
      <c r="L571" s="24">
        <f t="shared" ca="1" si="122"/>
        <v>0</v>
      </c>
      <c r="M571" s="24">
        <f t="shared" ca="1" si="122"/>
        <v>0</v>
      </c>
      <c r="N571" s="24">
        <f t="shared" ca="1" si="122"/>
        <v>637.74768271397556</v>
      </c>
      <c r="O571" s="24">
        <f t="shared" ca="1" si="122"/>
        <v>1877.4622066611482</v>
      </c>
      <c r="P571" s="24">
        <f t="shared" ca="1" si="122"/>
        <v>4299.6419081862487</v>
      </c>
      <c r="Q571" s="24">
        <f t="shared" ca="1" si="122"/>
        <v>9029.5026184979579</v>
      </c>
      <c r="R571" s="24">
        <f t="shared" ca="1" si="122"/>
        <v>15952.54564485779</v>
      </c>
      <c r="S571" s="24">
        <f t="shared" ca="1" si="122"/>
        <v>24954.272294527247</v>
      </c>
      <c r="T571" s="24">
        <f t="shared" ca="1" si="122"/>
        <v>35920.183874767841</v>
      </c>
      <c r="U571" s="24">
        <f t="shared" ca="1" si="122"/>
        <v>46599.848723162206</v>
      </c>
      <c r="V571" s="24">
        <f t="shared" ca="1" si="122"/>
        <v>62189.975897984412</v>
      </c>
      <c r="W571" s="24">
        <f t="shared" ca="1" si="122"/>
        <v>77350.732975037274</v>
      </c>
      <c r="X571" s="24">
        <f t="shared" ca="1" si="122"/>
        <v>92118.923105558191</v>
      </c>
      <c r="Y571" s="24">
        <f t="shared" ca="1" si="122"/>
        <v>106494.54628954711</v>
      </c>
      <c r="Z571" s="24">
        <f t="shared" ca="1" si="122"/>
        <v>120477.60252700408</v>
      </c>
      <c r="AA571" s="24">
        <f t="shared" ca="1" si="122"/>
        <v>134068.09181792909</v>
      </c>
      <c r="AB571" s="24">
        <f t="shared" ca="1" si="122"/>
        <v>147266.01416232213</v>
      </c>
      <c r="AC571" s="24">
        <f t="shared" ca="1" si="122"/>
        <v>160071.36956018317</v>
      </c>
      <c r="AD571" s="77">
        <f t="shared" ca="1" si="122"/>
        <v>160071.36956018317</v>
      </c>
      <c r="AE571" s="77">
        <f t="shared" ca="1" si="122"/>
        <v>160071.36956018317</v>
      </c>
      <c r="AF571" s="77">
        <f t="shared" ca="1" si="122"/>
        <v>160071.36956018317</v>
      </c>
      <c r="AG571" s="77">
        <f t="shared" ca="1" si="122"/>
        <v>160071.36956018317</v>
      </c>
      <c r="AH571" s="77">
        <f t="shared" ca="1" si="122"/>
        <v>160071.36956018317</v>
      </c>
      <c r="AI571" s="77">
        <f t="shared" ca="1" si="122"/>
        <v>160071.36956018317</v>
      </c>
      <c r="AJ571" s="77">
        <f t="shared" ca="1" si="122"/>
        <v>160071.36956018317</v>
      </c>
      <c r="AK571" s="77">
        <f t="shared" ca="1" si="122"/>
        <v>160071.36956018317</v>
      </c>
      <c r="AL571" s="77">
        <f t="shared" ca="1" si="122"/>
        <v>160071.36956018317</v>
      </c>
      <c r="AM571" s="77">
        <f t="shared" ca="1" si="122"/>
        <v>160071.36956018317</v>
      </c>
      <c r="AN571" s="77">
        <f t="shared" ca="1" si="122"/>
        <v>160071.36956018317</v>
      </c>
      <c r="AO571" s="77">
        <f t="shared" ca="1" si="122"/>
        <v>160071.36956018317</v>
      </c>
      <c r="AP571" s="77">
        <f t="shared" ca="1" si="122"/>
        <v>160071.36956018317</v>
      </c>
      <c r="AQ571" s="77">
        <f t="shared" ca="1" si="122"/>
        <v>160071.36956018317</v>
      </c>
      <c r="AR571" s="77">
        <f t="shared" ca="1" si="122"/>
        <v>159715.47899847876</v>
      </c>
      <c r="AS571" s="77">
        <f t="shared" ca="1" si="122"/>
        <v>159026.07909810907</v>
      </c>
      <c r="AT571" s="77">
        <f t="shared" ca="1" si="122"/>
        <v>157677.72940685571</v>
      </c>
      <c r="AU571" s="77">
        <f t="shared" ca="1" si="122"/>
        <v>155041.930243321</v>
      </c>
      <c r="AV571" s="77">
        <f t="shared" ca="1" si="122"/>
        <v>151179.58182647696</v>
      </c>
      <c r="AW571" s="77">
        <f t="shared" ca="1" si="122"/>
        <v>146151.58437529553</v>
      </c>
      <c r="BA571" s="49">
        <f t="shared" ca="1" si="118"/>
        <v>1357563.9978973649</v>
      </c>
      <c r="BB571" s="49"/>
      <c r="BC571" s="49">
        <f t="shared" ca="1" si="119"/>
        <v>393569.0462658279</v>
      </c>
      <c r="BD571" s="49"/>
      <c r="BE571" s="49">
        <f t="shared" ca="1" si="120"/>
        <v>210120.64815453242</v>
      </c>
    </row>
    <row r="572" spans="3:57">
      <c r="C572" t="str">
        <f t="shared" si="121"/>
        <v>solar thermal trough</v>
      </c>
      <c r="D572" s="24">
        <f t="shared" ca="1" si="123"/>
        <v>0</v>
      </c>
      <c r="E572" s="24">
        <f t="shared" ca="1" si="123"/>
        <v>0</v>
      </c>
      <c r="F572" s="24">
        <f t="shared" ca="1" si="123"/>
        <v>0</v>
      </c>
      <c r="G572" s="24">
        <f t="shared" ca="1" si="123"/>
        <v>0</v>
      </c>
      <c r="H572" s="24">
        <f t="shared" ca="1" si="122"/>
        <v>0</v>
      </c>
      <c r="I572" s="24">
        <f t="shared" ca="1" si="122"/>
        <v>0</v>
      </c>
      <c r="J572" s="24">
        <f t="shared" ca="1" si="122"/>
        <v>0</v>
      </c>
      <c r="K572" s="24">
        <f t="shared" ca="1" si="122"/>
        <v>0</v>
      </c>
      <c r="L572" s="24">
        <f t="shared" ca="1" si="122"/>
        <v>0</v>
      </c>
      <c r="M572" s="24">
        <f t="shared" ca="1" si="122"/>
        <v>0</v>
      </c>
      <c r="N572" s="24">
        <f t="shared" ca="1" si="122"/>
        <v>0</v>
      </c>
      <c r="O572" s="24">
        <f t="shared" ca="1" si="122"/>
        <v>0</v>
      </c>
      <c r="P572" s="24">
        <f t="shared" ca="1" si="122"/>
        <v>0</v>
      </c>
      <c r="Q572" s="24">
        <f t="shared" ca="1" si="122"/>
        <v>0</v>
      </c>
      <c r="R572" s="24">
        <f t="shared" ca="1" si="122"/>
        <v>0</v>
      </c>
      <c r="S572" s="24">
        <f t="shared" ca="1" si="122"/>
        <v>0</v>
      </c>
      <c r="T572" s="24">
        <f t="shared" ca="1" si="122"/>
        <v>0</v>
      </c>
      <c r="U572" s="24">
        <f t="shared" ca="1" si="122"/>
        <v>0</v>
      </c>
      <c r="V572" s="24">
        <f t="shared" ca="1" si="122"/>
        <v>0</v>
      </c>
      <c r="W572" s="24">
        <f t="shared" ca="1" si="122"/>
        <v>0</v>
      </c>
      <c r="X572" s="24">
        <f t="shared" ca="1" si="122"/>
        <v>0</v>
      </c>
      <c r="Y572" s="24">
        <f t="shared" ca="1" si="122"/>
        <v>0</v>
      </c>
      <c r="Z572" s="24">
        <f t="shared" ca="1" si="122"/>
        <v>0</v>
      </c>
      <c r="AA572" s="24">
        <f t="shared" ca="1" si="122"/>
        <v>0</v>
      </c>
      <c r="AB572" s="24">
        <f t="shared" ca="1" si="122"/>
        <v>0</v>
      </c>
      <c r="AC572" s="24">
        <f t="shared" ca="1" si="122"/>
        <v>0</v>
      </c>
      <c r="AD572" s="77">
        <f t="shared" ca="1" si="122"/>
        <v>0</v>
      </c>
      <c r="AE572" s="77">
        <f t="shared" ca="1" si="122"/>
        <v>0</v>
      </c>
      <c r="AF572" s="77">
        <f t="shared" ref="AE572:AW580" ca="1" si="124">AF481+AF504+AF527+AF550</f>
        <v>0</v>
      </c>
      <c r="AG572" s="77">
        <f t="shared" ca="1" si="124"/>
        <v>0</v>
      </c>
      <c r="AH572" s="77">
        <f t="shared" ca="1" si="124"/>
        <v>0</v>
      </c>
      <c r="AI572" s="77">
        <f t="shared" ca="1" si="124"/>
        <v>0</v>
      </c>
      <c r="AJ572" s="77">
        <f t="shared" ca="1" si="124"/>
        <v>0</v>
      </c>
      <c r="AK572" s="77">
        <f t="shared" ca="1" si="124"/>
        <v>0</v>
      </c>
      <c r="AL572" s="77">
        <f t="shared" ca="1" si="124"/>
        <v>0</v>
      </c>
      <c r="AM572" s="77">
        <f t="shared" ca="1" si="124"/>
        <v>0</v>
      </c>
      <c r="AN572" s="77">
        <f t="shared" ca="1" si="124"/>
        <v>0</v>
      </c>
      <c r="AO572" s="77">
        <f t="shared" ca="1" si="124"/>
        <v>0</v>
      </c>
      <c r="AP572" s="77">
        <f t="shared" ca="1" si="124"/>
        <v>0</v>
      </c>
      <c r="AQ572" s="77">
        <f t="shared" ca="1" si="124"/>
        <v>0</v>
      </c>
      <c r="AR572" s="77">
        <f t="shared" ca="1" si="124"/>
        <v>0</v>
      </c>
      <c r="AS572" s="77">
        <f t="shared" ca="1" si="124"/>
        <v>0</v>
      </c>
      <c r="AT572" s="77">
        <f t="shared" ca="1" si="124"/>
        <v>0</v>
      </c>
      <c r="AU572" s="77">
        <f t="shared" ca="1" si="124"/>
        <v>0</v>
      </c>
      <c r="AV572" s="77">
        <f t="shared" ca="1" si="124"/>
        <v>0</v>
      </c>
      <c r="AW572" s="77">
        <f t="shared" ca="1" si="124"/>
        <v>0</v>
      </c>
      <c r="BA572" s="49">
        <f t="shared" ca="1" si="118"/>
        <v>0</v>
      </c>
      <c r="BB572" s="49"/>
      <c r="BC572" s="49">
        <f t="shared" ca="1" si="119"/>
        <v>0</v>
      </c>
      <c r="BD572" s="49"/>
      <c r="BE572" s="49">
        <f t="shared" ca="1" si="120"/>
        <v>0</v>
      </c>
    </row>
    <row r="573" spans="3:57">
      <c r="C573" t="str">
        <f t="shared" si="121"/>
        <v>solar PV</v>
      </c>
      <c r="D573" s="24">
        <f t="shared" ca="1" si="123"/>
        <v>0</v>
      </c>
      <c r="E573" s="24">
        <f t="shared" ca="1" si="123"/>
        <v>0</v>
      </c>
      <c r="F573" s="24">
        <f t="shared" ca="1" si="123"/>
        <v>0</v>
      </c>
      <c r="G573" s="24">
        <f t="shared" ca="1" si="123"/>
        <v>0</v>
      </c>
      <c r="H573" s="24">
        <f t="shared" ref="H573:S573" ca="1" si="125">H482+H505+H528+H551</f>
        <v>0</v>
      </c>
      <c r="I573" s="24">
        <f t="shared" ca="1" si="125"/>
        <v>0</v>
      </c>
      <c r="J573" s="24">
        <f t="shared" ca="1" si="125"/>
        <v>0</v>
      </c>
      <c r="K573" s="24">
        <f t="shared" ca="1" si="125"/>
        <v>0</v>
      </c>
      <c r="L573" s="24">
        <f t="shared" ca="1" si="125"/>
        <v>0</v>
      </c>
      <c r="M573" s="24">
        <f t="shared" ca="1" si="125"/>
        <v>0</v>
      </c>
      <c r="N573" s="24">
        <f t="shared" ca="1" si="125"/>
        <v>0</v>
      </c>
      <c r="O573" s="24">
        <f t="shared" ca="1" si="125"/>
        <v>0</v>
      </c>
      <c r="P573" s="24">
        <f t="shared" ca="1" si="125"/>
        <v>0</v>
      </c>
      <c r="Q573" s="24">
        <f t="shared" ca="1" si="125"/>
        <v>0</v>
      </c>
      <c r="R573" s="24">
        <f t="shared" ca="1" si="125"/>
        <v>0</v>
      </c>
      <c r="S573" s="24">
        <f t="shared" ca="1" si="125"/>
        <v>0</v>
      </c>
      <c r="T573" s="24">
        <f t="shared" ref="H573:AD580" ca="1" si="126">T482+T505+T528+T551</f>
        <v>0</v>
      </c>
      <c r="U573" s="24">
        <f t="shared" ca="1" si="126"/>
        <v>0</v>
      </c>
      <c r="V573" s="24">
        <f t="shared" ca="1" si="126"/>
        <v>0</v>
      </c>
      <c r="W573" s="24">
        <f t="shared" ca="1" si="126"/>
        <v>0</v>
      </c>
      <c r="X573" s="24">
        <f t="shared" ca="1" si="126"/>
        <v>0</v>
      </c>
      <c r="Y573" s="24">
        <f t="shared" ca="1" si="126"/>
        <v>0</v>
      </c>
      <c r="Z573" s="24">
        <f t="shared" ca="1" si="126"/>
        <v>0</v>
      </c>
      <c r="AA573" s="24">
        <f t="shared" ca="1" si="126"/>
        <v>0</v>
      </c>
      <c r="AB573" s="24">
        <f t="shared" ca="1" si="126"/>
        <v>0</v>
      </c>
      <c r="AC573" s="24">
        <f t="shared" ca="1" si="126"/>
        <v>0</v>
      </c>
      <c r="AD573" s="77">
        <f t="shared" ca="1" si="126"/>
        <v>0</v>
      </c>
      <c r="AE573" s="77">
        <f t="shared" ca="1" si="124"/>
        <v>0</v>
      </c>
      <c r="AF573" s="77">
        <f t="shared" ca="1" si="124"/>
        <v>0</v>
      </c>
      <c r="AG573" s="77">
        <f t="shared" ca="1" si="124"/>
        <v>0</v>
      </c>
      <c r="AH573" s="77">
        <f t="shared" ca="1" si="124"/>
        <v>0</v>
      </c>
      <c r="AI573" s="77">
        <f t="shared" ca="1" si="124"/>
        <v>0</v>
      </c>
      <c r="AJ573" s="77">
        <f t="shared" ca="1" si="124"/>
        <v>0</v>
      </c>
      <c r="AK573" s="77">
        <f t="shared" ca="1" si="124"/>
        <v>0</v>
      </c>
      <c r="AL573" s="77">
        <f t="shared" ca="1" si="124"/>
        <v>0</v>
      </c>
      <c r="AM573" s="77">
        <f t="shared" ca="1" si="124"/>
        <v>0</v>
      </c>
      <c r="AN573" s="77">
        <f t="shared" ca="1" si="124"/>
        <v>0</v>
      </c>
      <c r="AO573" s="77">
        <f t="shared" ca="1" si="124"/>
        <v>0</v>
      </c>
      <c r="AP573" s="77">
        <f t="shared" ca="1" si="124"/>
        <v>0</v>
      </c>
      <c r="AQ573" s="77">
        <f t="shared" ca="1" si="124"/>
        <v>0</v>
      </c>
      <c r="AR573" s="77">
        <f t="shared" ca="1" si="124"/>
        <v>0</v>
      </c>
      <c r="AS573" s="77">
        <f t="shared" ca="1" si="124"/>
        <v>0</v>
      </c>
      <c r="AT573" s="77">
        <f t="shared" ca="1" si="124"/>
        <v>0</v>
      </c>
      <c r="AU573" s="77">
        <f t="shared" ca="1" si="124"/>
        <v>0</v>
      </c>
      <c r="AV573" s="77">
        <f t="shared" ca="1" si="124"/>
        <v>0</v>
      </c>
      <c r="AW573" s="77">
        <f t="shared" ca="1" si="124"/>
        <v>0</v>
      </c>
      <c r="BA573" s="49">
        <f t="shared" ca="1" si="118"/>
        <v>0</v>
      </c>
      <c r="BB573" s="49"/>
      <c r="BC573" s="49">
        <f t="shared" ca="1" si="119"/>
        <v>0</v>
      </c>
      <c r="BD573" s="49"/>
      <c r="BE573" s="49">
        <f t="shared" ca="1" si="120"/>
        <v>0</v>
      </c>
    </row>
    <row r="574" spans="3:57">
      <c r="C574" t="str">
        <f t="shared" si="121"/>
        <v>combined cycle gas</v>
      </c>
      <c r="D574" s="24">
        <f t="shared" ca="1" si="123"/>
        <v>0</v>
      </c>
      <c r="E574" s="24">
        <f t="shared" ca="1" si="123"/>
        <v>0</v>
      </c>
      <c r="F574" s="24">
        <f t="shared" ca="1" si="123"/>
        <v>0</v>
      </c>
      <c r="G574" s="24">
        <f t="shared" ca="1" si="123"/>
        <v>0</v>
      </c>
      <c r="H574" s="24">
        <f t="shared" ca="1" si="126"/>
        <v>0</v>
      </c>
      <c r="I574" s="24">
        <f t="shared" ca="1" si="126"/>
        <v>0</v>
      </c>
      <c r="J574" s="24">
        <f t="shared" ca="1" si="126"/>
        <v>0</v>
      </c>
      <c r="K574" s="24">
        <f t="shared" ca="1" si="126"/>
        <v>0</v>
      </c>
      <c r="L574" s="24">
        <f t="shared" ca="1" si="126"/>
        <v>0</v>
      </c>
      <c r="M574" s="24">
        <f t="shared" ca="1" si="126"/>
        <v>0</v>
      </c>
      <c r="N574" s="24">
        <f t="shared" ca="1" si="126"/>
        <v>0</v>
      </c>
      <c r="O574" s="24">
        <f t="shared" ca="1" si="126"/>
        <v>0</v>
      </c>
      <c r="P574" s="24">
        <f t="shared" ca="1" si="126"/>
        <v>0</v>
      </c>
      <c r="Q574" s="24">
        <f t="shared" ca="1" si="126"/>
        <v>0</v>
      </c>
      <c r="R574" s="24">
        <f t="shared" ca="1" si="126"/>
        <v>0</v>
      </c>
      <c r="S574" s="24">
        <f t="shared" ca="1" si="126"/>
        <v>0</v>
      </c>
      <c r="T574" s="24">
        <f t="shared" ca="1" si="126"/>
        <v>0</v>
      </c>
      <c r="U574" s="24">
        <f t="shared" ca="1" si="126"/>
        <v>0</v>
      </c>
      <c r="V574" s="24">
        <f t="shared" ca="1" si="126"/>
        <v>0</v>
      </c>
      <c r="W574" s="24">
        <f t="shared" ca="1" si="126"/>
        <v>0</v>
      </c>
      <c r="X574" s="24">
        <f t="shared" ca="1" si="126"/>
        <v>0</v>
      </c>
      <c r="Y574" s="24">
        <f t="shared" ca="1" si="126"/>
        <v>0</v>
      </c>
      <c r="Z574" s="24">
        <f t="shared" ca="1" si="126"/>
        <v>3083.7005316401996</v>
      </c>
      <c r="AA574" s="24">
        <f t="shared" ca="1" si="126"/>
        <v>7864.3443012001862</v>
      </c>
      <c r="AB574" s="24">
        <f t="shared" ca="1" si="126"/>
        <v>12831.618231303542</v>
      </c>
      <c r="AC574" s="24">
        <f t="shared" ca="1" si="126"/>
        <v>13083.915738853018</v>
      </c>
      <c r="AD574" s="77">
        <f t="shared" ca="1" si="126"/>
        <v>13083.915738853018</v>
      </c>
      <c r="AE574" s="77">
        <f t="shared" ca="1" si="124"/>
        <v>13083.915738853018</v>
      </c>
      <c r="AF574" s="77">
        <f t="shared" ca="1" si="124"/>
        <v>13083.915738853018</v>
      </c>
      <c r="AG574" s="77">
        <f t="shared" ca="1" si="124"/>
        <v>13083.915738853018</v>
      </c>
      <c r="AH574" s="77">
        <f t="shared" ca="1" si="124"/>
        <v>13083.915738853018</v>
      </c>
      <c r="AI574" s="77">
        <f t="shared" ca="1" si="124"/>
        <v>13083.915738853018</v>
      </c>
      <c r="AJ574" s="77">
        <f t="shared" ca="1" si="124"/>
        <v>13083.915738853018</v>
      </c>
      <c r="AK574" s="77">
        <f t="shared" ca="1" si="124"/>
        <v>13083.915738853018</v>
      </c>
      <c r="AL574" s="77">
        <f t="shared" ca="1" si="124"/>
        <v>13083.915738853018</v>
      </c>
      <c r="AM574" s="77">
        <f t="shared" ca="1" si="124"/>
        <v>13083.915738853018</v>
      </c>
      <c r="AN574" s="77">
        <f t="shared" ca="1" si="124"/>
        <v>13083.915738853018</v>
      </c>
      <c r="AO574" s="77">
        <f t="shared" ca="1" si="124"/>
        <v>13083.915738853018</v>
      </c>
      <c r="AP574" s="77">
        <f t="shared" ca="1" si="124"/>
        <v>13083.915738853018</v>
      </c>
      <c r="AQ574" s="77">
        <f t="shared" ca="1" si="124"/>
        <v>13083.915738853018</v>
      </c>
      <c r="AR574" s="77">
        <f t="shared" ca="1" si="124"/>
        <v>13083.915738853018</v>
      </c>
      <c r="AS574" s="77">
        <f t="shared" ca="1" si="124"/>
        <v>13083.915738853018</v>
      </c>
      <c r="AT574" s="77">
        <f t="shared" ca="1" si="124"/>
        <v>13083.915738853018</v>
      </c>
      <c r="AU574" s="77">
        <f t="shared" ca="1" si="124"/>
        <v>13083.915738853018</v>
      </c>
      <c r="AV574" s="77">
        <f t="shared" ca="1" si="124"/>
        <v>13083.915738853018</v>
      </c>
      <c r="AW574" s="77">
        <f t="shared" ca="1" si="124"/>
        <v>13083.915738853018</v>
      </c>
      <c r="BA574" s="49">
        <f t="shared" ca="1" si="118"/>
        <v>111390.75034667704</v>
      </c>
      <c r="BB574" s="49"/>
      <c r="BC574" s="49">
        <f t="shared" ca="1" si="119"/>
        <v>20568.184763830614</v>
      </c>
      <c r="BD574" s="49"/>
      <c r="BE574" s="49">
        <f t="shared" ca="1" si="120"/>
        <v>5515.8890730472613</v>
      </c>
    </row>
    <row r="575" spans="3:57">
      <c r="C575" t="str">
        <f t="shared" si="121"/>
        <v>PBMR</v>
      </c>
      <c r="D575" s="24">
        <f t="shared" ca="1" si="123"/>
        <v>0</v>
      </c>
      <c r="E575" s="24">
        <f t="shared" ca="1" si="123"/>
        <v>0</v>
      </c>
      <c r="F575" s="24">
        <f t="shared" ca="1" si="123"/>
        <v>0</v>
      </c>
      <c r="G575" s="24">
        <f t="shared" ca="1" si="123"/>
        <v>0</v>
      </c>
      <c r="H575" s="24">
        <f t="shared" ca="1" si="126"/>
        <v>0</v>
      </c>
      <c r="I575" s="24">
        <f t="shared" ca="1" si="126"/>
        <v>0</v>
      </c>
      <c r="J575" s="24">
        <f t="shared" ca="1" si="126"/>
        <v>0</v>
      </c>
      <c r="K575" s="24">
        <f t="shared" ca="1" si="126"/>
        <v>0</v>
      </c>
      <c r="L575" s="24">
        <f t="shared" ca="1" si="126"/>
        <v>0</v>
      </c>
      <c r="M575" s="24">
        <f t="shared" ca="1" si="126"/>
        <v>0</v>
      </c>
      <c r="N575" s="24">
        <f t="shared" ca="1" si="126"/>
        <v>0</v>
      </c>
      <c r="O575" s="24">
        <f t="shared" ca="1" si="126"/>
        <v>0</v>
      </c>
      <c r="P575" s="24">
        <f t="shared" ca="1" si="126"/>
        <v>0</v>
      </c>
      <c r="Q575" s="24">
        <f t="shared" ca="1" si="126"/>
        <v>0</v>
      </c>
      <c r="R575" s="24">
        <f t="shared" ca="1" si="126"/>
        <v>0</v>
      </c>
      <c r="S575" s="24">
        <f t="shared" ca="1" si="126"/>
        <v>0</v>
      </c>
      <c r="T575" s="24">
        <f t="shared" ca="1" si="126"/>
        <v>0</v>
      </c>
      <c r="U575" s="24">
        <f t="shared" ca="1" si="126"/>
        <v>0</v>
      </c>
      <c r="V575" s="24">
        <f t="shared" ca="1" si="126"/>
        <v>0</v>
      </c>
      <c r="W575" s="24">
        <f t="shared" ca="1" si="126"/>
        <v>0</v>
      </c>
      <c r="X575" s="24">
        <f t="shared" ca="1" si="126"/>
        <v>0</v>
      </c>
      <c r="Y575" s="24">
        <f t="shared" ca="1" si="126"/>
        <v>0</v>
      </c>
      <c r="Z575" s="24">
        <f t="shared" ca="1" si="126"/>
        <v>0</v>
      </c>
      <c r="AA575" s="24">
        <f t="shared" ca="1" si="126"/>
        <v>0</v>
      </c>
      <c r="AB575" s="24">
        <f t="shared" ca="1" si="126"/>
        <v>0</v>
      </c>
      <c r="AC575" s="24">
        <f t="shared" ca="1" si="126"/>
        <v>0</v>
      </c>
      <c r="AD575" s="77">
        <f t="shared" ca="1" si="126"/>
        <v>0</v>
      </c>
      <c r="AE575" s="77">
        <f t="shared" ca="1" si="124"/>
        <v>0</v>
      </c>
      <c r="AF575" s="77">
        <f t="shared" ca="1" si="124"/>
        <v>0</v>
      </c>
      <c r="AG575" s="77">
        <f t="shared" ca="1" si="124"/>
        <v>0</v>
      </c>
      <c r="AH575" s="77">
        <f t="shared" ca="1" si="124"/>
        <v>0</v>
      </c>
      <c r="AI575" s="77">
        <f t="shared" ca="1" si="124"/>
        <v>0</v>
      </c>
      <c r="AJ575" s="77">
        <f t="shared" ca="1" si="124"/>
        <v>0</v>
      </c>
      <c r="AK575" s="77">
        <f t="shared" ca="1" si="124"/>
        <v>0</v>
      </c>
      <c r="AL575" s="77">
        <f t="shared" ca="1" si="124"/>
        <v>0</v>
      </c>
      <c r="AM575" s="77">
        <f t="shared" ca="1" si="124"/>
        <v>0</v>
      </c>
      <c r="AN575" s="77">
        <f t="shared" ca="1" si="124"/>
        <v>0</v>
      </c>
      <c r="AO575" s="77">
        <f t="shared" ca="1" si="124"/>
        <v>0</v>
      </c>
      <c r="AP575" s="77">
        <f t="shared" ca="1" si="124"/>
        <v>0</v>
      </c>
      <c r="AQ575" s="77">
        <f t="shared" ca="1" si="124"/>
        <v>0</v>
      </c>
      <c r="AR575" s="77">
        <f t="shared" ca="1" si="124"/>
        <v>0</v>
      </c>
      <c r="AS575" s="77">
        <f t="shared" ca="1" si="124"/>
        <v>0</v>
      </c>
      <c r="AT575" s="77">
        <f t="shared" ca="1" si="124"/>
        <v>0</v>
      </c>
      <c r="AU575" s="77">
        <f t="shared" ca="1" si="124"/>
        <v>0</v>
      </c>
      <c r="AV575" s="77">
        <f t="shared" ca="1" si="124"/>
        <v>0</v>
      </c>
      <c r="AW575" s="77">
        <f t="shared" ca="1" si="124"/>
        <v>0</v>
      </c>
      <c r="BA575" s="49">
        <f t="shared" ca="1" si="118"/>
        <v>0</v>
      </c>
      <c r="BB575" s="49"/>
      <c r="BC575" s="49">
        <f t="shared" ca="1" si="119"/>
        <v>0</v>
      </c>
      <c r="BD575" s="49"/>
      <c r="BE575" s="49">
        <f t="shared" ca="1" si="120"/>
        <v>0</v>
      </c>
    </row>
    <row r="576" spans="3:57">
      <c r="C576" t="str">
        <f t="shared" si="121"/>
        <v>IGCC</v>
      </c>
      <c r="D576" s="24">
        <f t="shared" ca="1" si="123"/>
        <v>0</v>
      </c>
      <c r="E576" s="24">
        <f t="shared" ca="1" si="123"/>
        <v>2.274066347231097E-12</v>
      </c>
      <c r="F576" s="24">
        <f t="shared" ca="1" si="123"/>
        <v>0</v>
      </c>
      <c r="G576" s="24">
        <f t="shared" ca="1" si="123"/>
        <v>2.686426941512535E-12</v>
      </c>
      <c r="H576" s="24">
        <f t="shared" ca="1" si="126"/>
        <v>2.686426941512535E-12</v>
      </c>
      <c r="I576" s="24">
        <f t="shared" ca="1" si="126"/>
        <v>0</v>
      </c>
      <c r="J576" s="24">
        <f t="shared" ca="1" si="126"/>
        <v>0</v>
      </c>
      <c r="K576" s="24">
        <f t="shared" ca="1" si="126"/>
        <v>0</v>
      </c>
      <c r="L576" s="24">
        <f t="shared" ca="1" si="126"/>
        <v>0</v>
      </c>
      <c r="M576" s="24">
        <f t="shared" ca="1" si="126"/>
        <v>0</v>
      </c>
      <c r="N576" s="24">
        <f t="shared" ca="1" si="126"/>
        <v>0</v>
      </c>
      <c r="O576" s="24">
        <f t="shared" ca="1" si="126"/>
        <v>0</v>
      </c>
      <c r="P576" s="24">
        <f t="shared" ca="1" si="126"/>
        <v>0</v>
      </c>
      <c r="Q576" s="24">
        <f t="shared" ca="1" si="126"/>
        <v>0</v>
      </c>
      <c r="R576" s="24">
        <f t="shared" ca="1" si="126"/>
        <v>0</v>
      </c>
      <c r="S576" s="24">
        <f t="shared" ca="1" si="126"/>
        <v>0</v>
      </c>
      <c r="T576" s="24">
        <f t="shared" ca="1" si="126"/>
        <v>0</v>
      </c>
      <c r="U576" s="24">
        <f t="shared" ca="1" si="126"/>
        <v>0</v>
      </c>
      <c r="V576" s="24">
        <f t="shared" ca="1" si="126"/>
        <v>0</v>
      </c>
      <c r="W576" s="24">
        <f t="shared" ca="1" si="126"/>
        <v>0</v>
      </c>
      <c r="X576" s="24">
        <f t="shared" ca="1" si="126"/>
        <v>0</v>
      </c>
      <c r="Y576" s="24">
        <f t="shared" ca="1" si="126"/>
        <v>0</v>
      </c>
      <c r="Z576" s="24">
        <f t="shared" ca="1" si="126"/>
        <v>0</v>
      </c>
      <c r="AA576" s="24">
        <f t="shared" ca="1" si="126"/>
        <v>0</v>
      </c>
      <c r="AB576" s="24">
        <f t="shared" ca="1" si="126"/>
        <v>1956.3183382939712</v>
      </c>
      <c r="AC576" s="24">
        <f t="shared" ca="1" si="126"/>
        <v>3915.8436489951246</v>
      </c>
      <c r="AD576" s="77">
        <f t="shared" ca="1" si="126"/>
        <v>3915.8436489951246</v>
      </c>
      <c r="AE576" s="77">
        <f t="shared" ca="1" si="124"/>
        <v>3915.8436489951246</v>
      </c>
      <c r="AF576" s="77">
        <f t="shared" ca="1" si="124"/>
        <v>3915.8436489951246</v>
      </c>
      <c r="AG576" s="77">
        <f t="shared" ca="1" si="124"/>
        <v>3915.8436489951246</v>
      </c>
      <c r="AH576" s="77">
        <f t="shared" ca="1" si="124"/>
        <v>3915.8436489951246</v>
      </c>
      <c r="AI576" s="77">
        <f t="shared" ca="1" si="124"/>
        <v>3915.8436489951246</v>
      </c>
      <c r="AJ576" s="77">
        <f t="shared" ca="1" si="124"/>
        <v>3915.8436489951246</v>
      </c>
      <c r="AK576" s="77">
        <f t="shared" ca="1" si="124"/>
        <v>3915.8436489951246</v>
      </c>
      <c r="AL576" s="77">
        <f t="shared" ca="1" si="124"/>
        <v>3915.8436489951246</v>
      </c>
      <c r="AM576" s="77">
        <f t="shared" ca="1" si="124"/>
        <v>3915.8436489951246</v>
      </c>
      <c r="AN576" s="77">
        <f t="shared" ca="1" si="124"/>
        <v>3915.8436489951246</v>
      </c>
      <c r="AO576" s="77">
        <f t="shared" ca="1" si="124"/>
        <v>3915.8436489951246</v>
      </c>
      <c r="AP576" s="77">
        <f t="shared" ca="1" si="124"/>
        <v>3915.8436489951246</v>
      </c>
      <c r="AQ576" s="77">
        <f t="shared" ca="1" si="124"/>
        <v>3915.8436489951246</v>
      </c>
      <c r="AR576" s="77">
        <f t="shared" ca="1" si="124"/>
        <v>3915.8436489951246</v>
      </c>
      <c r="AS576" s="77">
        <f t="shared" ca="1" si="124"/>
        <v>3915.8436489951246</v>
      </c>
      <c r="AT576" s="77">
        <f t="shared" ca="1" si="124"/>
        <v>3915.8436489951246</v>
      </c>
      <c r="AU576" s="77">
        <f t="shared" ca="1" si="124"/>
        <v>3915.8436489951246</v>
      </c>
      <c r="AV576" s="77">
        <f t="shared" ca="1" si="124"/>
        <v>3915.8436489951246</v>
      </c>
      <c r="AW576" s="77">
        <f t="shared" ca="1" si="124"/>
        <v>3915.8436489951246</v>
      </c>
      <c r="BA576" s="49">
        <f t="shared" ca="1" si="118"/>
        <v>33337.784422331846</v>
      </c>
      <c r="BB576" s="49"/>
      <c r="BC576" s="49">
        <f t="shared" ca="1" si="119"/>
        <v>5324.898285905193</v>
      </c>
      <c r="BD576" s="49"/>
      <c r="BE576" s="49">
        <f t="shared" ca="1" si="120"/>
        <v>819.94444333957574</v>
      </c>
    </row>
    <row r="577" spans="3:57">
      <c r="C577" t="str">
        <f t="shared" si="121"/>
        <v>-</v>
      </c>
      <c r="D577" s="24">
        <f t="shared" ca="1" si="123"/>
        <v>0</v>
      </c>
      <c r="E577" s="24">
        <f t="shared" ca="1" si="123"/>
        <v>0</v>
      </c>
      <c r="F577" s="24">
        <f t="shared" ca="1" si="123"/>
        <v>0</v>
      </c>
      <c r="G577" s="24">
        <f t="shared" ca="1" si="123"/>
        <v>0</v>
      </c>
      <c r="H577" s="24">
        <f t="shared" ca="1" si="126"/>
        <v>0</v>
      </c>
      <c r="I577" s="24">
        <f t="shared" ca="1" si="126"/>
        <v>0</v>
      </c>
      <c r="J577" s="24">
        <f t="shared" ca="1" si="126"/>
        <v>0</v>
      </c>
      <c r="K577" s="24">
        <f t="shared" ca="1" si="126"/>
        <v>0</v>
      </c>
      <c r="L577" s="24">
        <f t="shared" ca="1" si="126"/>
        <v>0</v>
      </c>
      <c r="M577" s="24">
        <f t="shared" ca="1" si="126"/>
        <v>0</v>
      </c>
      <c r="N577" s="24">
        <f t="shared" ca="1" si="126"/>
        <v>0</v>
      </c>
      <c r="O577" s="24">
        <f t="shared" ca="1" si="126"/>
        <v>0</v>
      </c>
      <c r="P577" s="24">
        <f t="shared" ca="1" si="126"/>
        <v>0</v>
      </c>
      <c r="Q577" s="24">
        <f t="shared" ca="1" si="126"/>
        <v>0</v>
      </c>
      <c r="R577" s="24">
        <f t="shared" ca="1" si="126"/>
        <v>0</v>
      </c>
      <c r="S577" s="24">
        <f t="shared" ca="1" si="126"/>
        <v>0</v>
      </c>
      <c r="T577" s="24">
        <f t="shared" ca="1" si="126"/>
        <v>0</v>
      </c>
      <c r="U577" s="24">
        <f t="shared" ca="1" si="126"/>
        <v>0</v>
      </c>
      <c r="V577" s="24">
        <f t="shared" ca="1" si="126"/>
        <v>0</v>
      </c>
      <c r="W577" s="24">
        <f t="shared" ca="1" si="126"/>
        <v>0</v>
      </c>
      <c r="X577" s="24">
        <f t="shared" ca="1" si="126"/>
        <v>0</v>
      </c>
      <c r="Y577" s="24">
        <f t="shared" ca="1" si="126"/>
        <v>0</v>
      </c>
      <c r="Z577" s="24">
        <f t="shared" ca="1" si="126"/>
        <v>0</v>
      </c>
      <c r="AA577" s="24">
        <f t="shared" ca="1" si="126"/>
        <v>0</v>
      </c>
      <c r="AB577" s="24">
        <f t="shared" ca="1" si="126"/>
        <v>0</v>
      </c>
      <c r="AC577" s="24">
        <f t="shared" ca="1" si="126"/>
        <v>0</v>
      </c>
      <c r="AD577" s="77">
        <f t="shared" ca="1" si="126"/>
        <v>0</v>
      </c>
      <c r="AE577" s="77">
        <f t="shared" ca="1" si="124"/>
        <v>0</v>
      </c>
      <c r="AF577" s="77">
        <f t="shared" ca="1" si="124"/>
        <v>0</v>
      </c>
      <c r="AG577" s="77">
        <f t="shared" ca="1" si="124"/>
        <v>0</v>
      </c>
      <c r="AH577" s="77">
        <f t="shared" ca="1" si="124"/>
        <v>0</v>
      </c>
      <c r="AI577" s="77">
        <f t="shared" ca="1" si="124"/>
        <v>0</v>
      </c>
      <c r="AJ577" s="77">
        <f t="shared" ca="1" si="124"/>
        <v>0</v>
      </c>
      <c r="AK577" s="77">
        <f t="shared" ca="1" si="124"/>
        <v>0</v>
      </c>
      <c r="AL577" s="77">
        <f t="shared" ca="1" si="124"/>
        <v>0</v>
      </c>
      <c r="AM577" s="77">
        <f t="shared" ca="1" si="124"/>
        <v>0</v>
      </c>
      <c r="AN577" s="77">
        <f t="shared" ca="1" si="124"/>
        <v>0</v>
      </c>
      <c r="AO577" s="77">
        <f t="shared" ca="1" si="124"/>
        <v>0</v>
      </c>
      <c r="AP577" s="77">
        <f t="shared" ca="1" si="124"/>
        <v>0</v>
      </c>
      <c r="AQ577" s="77">
        <f t="shared" ca="1" si="124"/>
        <v>0</v>
      </c>
      <c r="AR577" s="77">
        <f t="shared" ca="1" si="124"/>
        <v>0</v>
      </c>
      <c r="AS577" s="77">
        <f t="shared" ca="1" si="124"/>
        <v>0</v>
      </c>
      <c r="AT577" s="77">
        <f t="shared" ca="1" si="124"/>
        <v>0</v>
      </c>
      <c r="AU577" s="77">
        <f t="shared" ca="1" si="124"/>
        <v>0</v>
      </c>
      <c r="AV577" s="77">
        <f t="shared" ca="1" si="124"/>
        <v>0</v>
      </c>
      <c r="AW577" s="77">
        <f t="shared" ca="1" si="124"/>
        <v>0</v>
      </c>
      <c r="BA577" s="49">
        <f t="shared" ca="1" si="118"/>
        <v>0</v>
      </c>
      <c r="BB577" s="49"/>
      <c r="BC577" s="49">
        <f t="shared" ca="1" si="119"/>
        <v>0</v>
      </c>
      <c r="BD577" s="49"/>
      <c r="BE577" s="49">
        <f t="shared" ca="1" si="120"/>
        <v>0</v>
      </c>
    </row>
    <row r="578" spans="3:57" s="21" customFormat="1">
      <c r="C578" s="21" t="str">
        <f t="shared" si="121"/>
        <v>-</v>
      </c>
      <c r="D578" s="24">
        <f t="shared" ca="1" si="123"/>
        <v>0</v>
      </c>
      <c r="E578" s="24">
        <f t="shared" ca="1" si="123"/>
        <v>0</v>
      </c>
      <c r="F578" s="24">
        <f t="shared" ca="1" si="123"/>
        <v>0</v>
      </c>
      <c r="G578" s="24">
        <f t="shared" ca="1" si="123"/>
        <v>0</v>
      </c>
      <c r="H578" s="24">
        <f t="shared" ca="1" si="126"/>
        <v>0</v>
      </c>
      <c r="I578" s="24">
        <f t="shared" ca="1" si="126"/>
        <v>0</v>
      </c>
      <c r="J578" s="24">
        <f t="shared" ca="1" si="126"/>
        <v>0</v>
      </c>
      <c r="K578" s="24">
        <f t="shared" ca="1" si="126"/>
        <v>0</v>
      </c>
      <c r="L578" s="24">
        <f t="shared" ca="1" si="126"/>
        <v>0</v>
      </c>
      <c r="M578" s="24">
        <f t="shared" ca="1" si="126"/>
        <v>0</v>
      </c>
      <c r="N578" s="24">
        <f t="shared" ca="1" si="126"/>
        <v>0</v>
      </c>
      <c r="O578" s="24">
        <f t="shared" ca="1" si="126"/>
        <v>0</v>
      </c>
      <c r="P578" s="24">
        <f t="shared" ca="1" si="126"/>
        <v>0</v>
      </c>
      <c r="Q578" s="24">
        <f t="shared" ca="1" si="126"/>
        <v>0</v>
      </c>
      <c r="R578" s="24">
        <f t="shared" ca="1" si="126"/>
        <v>0</v>
      </c>
      <c r="S578" s="24">
        <f t="shared" ca="1" si="126"/>
        <v>0</v>
      </c>
      <c r="T578" s="24">
        <f t="shared" ca="1" si="126"/>
        <v>0</v>
      </c>
      <c r="U578" s="24">
        <f t="shared" ca="1" si="126"/>
        <v>0</v>
      </c>
      <c r="V578" s="24">
        <f t="shared" ca="1" si="126"/>
        <v>0</v>
      </c>
      <c r="W578" s="24">
        <f t="shared" ca="1" si="126"/>
        <v>0</v>
      </c>
      <c r="X578" s="24">
        <f t="shared" ca="1" si="126"/>
        <v>0</v>
      </c>
      <c r="Y578" s="24">
        <f t="shared" ca="1" si="126"/>
        <v>0</v>
      </c>
      <c r="Z578" s="24">
        <f t="shared" ca="1" si="126"/>
        <v>0</v>
      </c>
      <c r="AA578" s="24">
        <f t="shared" ca="1" si="126"/>
        <v>0</v>
      </c>
      <c r="AB578" s="24">
        <f t="shared" ca="1" si="126"/>
        <v>0</v>
      </c>
      <c r="AC578" s="24">
        <f t="shared" ca="1" si="126"/>
        <v>0</v>
      </c>
      <c r="AD578" s="77">
        <f t="shared" ca="1" si="126"/>
        <v>0</v>
      </c>
      <c r="AE578" s="77">
        <f t="shared" ca="1" si="124"/>
        <v>0</v>
      </c>
      <c r="AF578" s="77">
        <f t="shared" ca="1" si="124"/>
        <v>0</v>
      </c>
      <c r="AG578" s="77">
        <f t="shared" ca="1" si="124"/>
        <v>0</v>
      </c>
      <c r="AH578" s="77">
        <f t="shared" ca="1" si="124"/>
        <v>0</v>
      </c>
      <c r="AI578" s="77">
        <f t="shared" ca="1" si="124"/>
        <v>0</v>
      </c>
      <c r="AJ578" s="77">
        <f t="shared" ca="1" si="124"/>
        <v>0</v>
      </c>
      <c r="AK578" s="77">
        <f t="shared" ca="1" si="124"/>
        <v>0</v>
      </c>
      <c r="AL578" s="77">
        <f t="shared" ca="1" si="124"/>
        <v>0</v>
      </c>
      <c r="AM578" s="77">
        <f t="shared" ca="1" si="124"/>
        <v>0</v>
      </c>
      <c r="AN578" s="77">
        <f t="shared" ca="1" si="124"/>
        <v>0</v>
      </c>
      <c r="AO578" s="77">
        <f t="shared" ca="1" si="124"/>
        <v>0</v>
      </c>
      <c r="AP578" s="77">
        <f t="shared" ca="1" si="124"/>
        <v>0</v>
      </c>
      <c r="AQ578" s="77">
        <f t="shared" ca="1" si="124"/>
        <v>0</v>
      </c>
      <c r="AR578" s="77">
        <f t="shared" ca="1" si="124"/>
        <v>0</v>
      </c>
      <c r="AS578" s="77">
        <f t="shared" ca="1" si="124"/>
        <v>0</v>
      </c>
      <c r="AT578" s="77">
        <f t="shared" ca="1" si="124"/>
        <v>0</v>
      </c>
      <c r="AU578" s="77">
        <f t="shared" ca="1" si="124"/>
        <v>0</v>
      </c>
      <c r="AV578" s="77">
        <f t="shared" ca="1" si="124"/>
        <v>0</v>
      </c>
      <c r="AW578" s="77">
        <f t="shared" ca="1" si="124"/>
        <v>0</v>
      </c>
      <c r="BA578" s="49">
        <f t="shared" ca="1" si="118"/>
        <v>0</v>
      </c>
      <c r="BB578" s="78"/>
      <c r="BC578" s="49">
        <f t="shared" ca="1" si="119"/>
        <v>0</v>
      </c>
      <c r="BD578" s="78"/>
      <c r="BE578" s="49">
        <f t="shared" ca="1" si="120"/>
        <v>0</v>
      </c>
    </row>
    <row r="579" spans="3:57" s="21" customFormat="1">
      <c r="C579" s="21" t="str">
        <f t="shared" si="121"/>
        <v>-</v>
      </c>
      <c r="D579" s="24">
        <f t="shared" ref="D579:AC579" ca="1" si="127">D488+D511+D534+D557</f>
        <v>0</v>
      </c>
      <c r="E579" s="24">
        <f t="shared" ca="1" si="127"/>
        <v>0</v>
      </c>
      <c r="F579" s="24">
        <f t="shared" ca="1" si="127"/>
        <v>0</v>
      </c>
      <c r="G579" s="24">
        <f t="shared" ca="1" si="127"/>
        <v>0</v>
      </c>
      <c r="H579" s="24">
        <f t="shared" ca="1" si="127"/>
        <v>0</v>
      </c>
      <c r="I579" s="24">
        <f t="shared" ca="1" si="127"/>
        <v>0</v>
      </c>
      <c r="J579" s="24">
        <f t="shared" ca="1" si="127"/>
        <v>0</v>
      </c>
      <c r="K579" s="24">
        <f t="shared" ca="1" si="127"/>
        <v>0</v>
      </c>
      <c r="L579" s="24">
        <f t="shared" ca="1" si="127"/>
        <v>0</v>
      </c>
      <c r="M579" s="24">
        <f t="shared" ca="1" si="127"/>
        <v>0</v>
      </c>
      <c r="N579" s="24">
        <f t="shared" ca="1" si="127"/>
        <v>0</v>
      </c>
      <c r="O579" s="24">
        <f t="shared" ca="1" si="127"/>
        <v>0</v>
      </c>
      <c r="P579" s="24">
        <f t="shared" ca="1" si="127"/>
        <v>0</v>
      </c>
      <c r="Q579" s="24">
        <f t="shared" ca="1" si="127"/>
        <v>0</v>
      </c>
      <c r="R579" s="24">
        <f t="shared" ca="1" si="127"/>
        <v>0</v>
      </c>
      <c r="S579" s="24">
        <f t="shared" ca="1" si="127"/>
        <v>0</v>
      </c>
      <c r="T579" s="24">
        <f t="shared" ca="1" si="127"/>
        <v>0</v>
      </c>
      <c r="U579" s="24">
        <f t="shared" ca="1" si="127"/>
        <v>0</v>
      </c>
      <c r="V579" s="24">
        <f t="shared" ca="1" si="127"/>
        <v>0</v>
      </c>
      <c r="W579" s="24">
        <f t="shared" ca="1" si="127"/>
        <v>0</v>
      </c>
      <c r="X579" s="24">
        <f t="shared" ca="1" si="127"/>
        <v>0</v>
      </c>
      <c r="Y579" s="24">
        <f t="shared" ca="1" si="127"/>
        <v>0</v>
      </c>
      <c r="Z579" s="24">
        <f t="shared" ca="1" si="127"/>
        <v>0</v>
      </c>
      <c r="AA579" s="24">
        <f t="shared" ca="1" si="127"/>
        <v>0</v>
      </c>
      <c r="AB579" s="24">
        <f t="shared" ca="1" si="127"/>
        <v>0</v>
      </c>
      <c r="AC579" s="24">
        <f t="shared" ca="1" si="127"/>
        <v>0</v>
      </c>
      <c r="AD579" s="77">
        <f t="shared" ca="1" si="126"/>
        <v>0</v>
      </c>
      <c r="AE579" s="77">
        <f t="shared" ca="1" si="124"/>
        <v>0</v>
      </c>
      <c r="AF579" s="77">
        <f t="shared" ca="1" si="124"/>
        <v>0</v>
      </c>
      <c r="AG579" s="77">
        <f t="shared" ca="1" si="124"/>
        <v>0</v>
      </c>
      <c r="AH579" s="77">
        <f t="shared" ca="1" si="124"/>
        <v>0</v>
      </c>
      <c r="AI579" s="77">
        <f t="shared" ca="1" si="124"/>
        <v>0</v>
      </c>
      <c r="AJ579" s="77">
        <f t="shared" ca="1" si="124"/>
        <v>0</v>
      </c>
      <c r="AK579" s="77">
        <f t="shared" ca="1" si="124"/>
        <v>0</v>
      </c>
      <c r="AL579" s="77">
        <f t="shared" ca="1" si="124"/>
        <v>0</v>
      </c>
      <c r="AM579" s="77">
        <f t="shared" ca="1" si="124"/>
        <v>0</v>
      </c>
      <c r="AN579" s="77">
        <f t="shared" ca="1" si="124"/>
        <v>0</v>
      </c>
      <c r="AO579" s="77">
        <f t="shared" ca="1" si="124"/>
        <v>0</v>
      </c>
      <c r="AP579" s="77">
        <f t="shared" ca="1" si="124"/>
        <v>0</v>
      </c>
      <c r="AQ579" s="77">
        <f t="shared" ca="1" si="124"/>
        <v>0</v>
      </c>
      <c r="AR579" s="77">
        <f t="shared" ca="1" si="124"/>
        <v>0</v>
      </c>
      <c r="AS579" s="77">
        <f t="shared" ca="1" si="124"/>
        <v>0</v>
      </c>
      <c r="AT579" s="77">
        <f t="shared" ca="1" si="124"/>
        <v>0</v>
      </c>
      <c r="AU579" s="77">
        <f t="shared" ca="1" si="124"/>
        <v>0</v>
      </c>
      <c r="AV579" s="77">
        <f t="shared" ca="1" si="124"/>
        <v>0</v>
      </c>
      <c r="AW579" s="77">
        <f t="shared" ca="1" si="124"/>
        <v>0</v>
      </c>
      <c r="BA579" s="49">
        <f t="shared" ca="1" si="118"/>
        <v>0</v>
      </c>
      <c r="BB579" s="78"/>
      <c r="BC579" s="49">
        <f t="shared" ca="1" si="119"/>
        <v>0</v>
      </c>
      <c r="BD579" s="78"/>
      <c r="BE579" s="49">
        <f t="shared" ca="1" si="120"/>
        <v>0</v>
      </c>
    </row>
    <row r="580" spans="3:57">
      <c r="C580" t="str">
        <f>C27</f>
        <v>Pumped storage</v>
      </c>
      <c r="D580" s="24">
        <f ca="1">D489+D512+D535+D558</f>
        <v>91.355013587921817</v>
      </c>
      <c r="E580" s="24">
        <f ca="1">E489+E512+E535+E558</f>
        <v>91.355013587921817</v>
      </c>
      <c r="F580" s="24">
        <f ca="1">F489+F512+F535+F558</f>
        <v>91.355013587921817</v>
      </c>
      <c r="G580" s="24">
        <f ca="1">G489+G512+G535+G558</f>
        <v>91.355013587921817</v>
      </c>
      <c r="H580" s="24">
        <f t="shared" ca="1" si="126"/>
        <v>91.355013587921817</v>
      </c>
      <c r="I580" s="24">
        <f t="shared" ca="1" si="126"/>
        <v>91.355013587921817</v>
      </c>
      <c r="J580" s="24">
        <f t="shared" ca="1" si="126"/>
        <v>91.355013587921817</v>
      </c>
      <c r="K580" s="24">
        <f t="shared" ca="1" si="126"/>
        <v>91.355013587921817</v>
      </c>
      <c r="L580" s="24">
        <f t="shared" ca="1" si="126"/>
        <v>1003.7456618954134</v>
      </c>
      <c r="M580" s="24">
        <f t="shared" ca="1" si="126"/>
        <v>1916.136310202905</v>
      </c>
      <c r="N580" s="24">
        <f t="shared" ca="1" si="126"/>
        <v>2828.5269585103965</v>
      </c>
      <c r="O580" s="24">
        <f t="shared" ca="1" si="126"/>
        <v>3740.9176068178881</v>
      </c>
      <c r="P580" s="24">
        <f t="shared" ca="1" si="126"/>
        <v>3740.9176068178881</v>
      </c>
      <c r="Q580" s="24">
        <f t="shared" ca="1" si="126"/>
        <v>3740.9176068178881</v>
      </c>
      <c r="R580" s="24">
        <f t="shared" ca="1" si="126"/>
        <v>3740.9176068178881</v>
      </c>
      <c r="S580" s="24">
        <f t="shared" ca="1" si="126"/>
        <v>3740.9176068178881</v>
      </c>
      <c r="T580" s="24">
        <f t="shared" ca="1" si="126"/>
        <v>3740.9176068178881</v>
      </c>
      <c r="U580" s="24">
        <f t="shared" ca="1" si="126"/>
        <v>3740.9176068178881</v>
      </c>
      <c r="V580" s="24">
        <f t="shared" ca="1" si="126"/>
        <v>3740.9176068178881</v>
      </c>
      <c r="W580" s="24">
        <f t="shared" ca="1" si="126"/>
        <v>3740.9176068178881</v>
      </c>
      <c r="X580" s="24">
        <f t="shared" ca="1" si="126"/>
        <v>3740.9176068178881</v>
      </c>
      <c r="Y580" s="24">
        <f t="shared" ca="1" si="126"/>
        <v>3740.9176068178881</v>
      </c>
      <c r="Z580" s="24">
        <f t="shared" ca="1" si="126"/>
        <v>3740.9176068178881</v>
      </c>
      <c r="AA580" s="24">
        <f t="shared" ca="1" si="126"/>
        <v>3740.9176068178881</v>
      </c>
      <c r="AB580" s="24">
        <f t="shared" ca="1" si="126"/>
        <v>3740.9176068178881</v>
      </c>
      <c r="AC580" s="24">
        <f t="shared" ca="1" si="126"/>
        <v>3740.9176068178881</v>
      </c>
      <c r="AD580" s="77">
        <f t="shared" ca="1" si="126"/>
        <v>3740.9176068178881</v>
      </c>
      <c r="AE580" s="77">
        <f t="shared" ca="1" si="124"/>
        <v>3740.9176068178881</v>
      </c>
      <c r="AF580" s="77">
        <f t="shared" ca="1" si="124"/>
        <v>3740.9176068178881</v>
      </c>
      <c r="AG580" s="77">
        <f t="shared" ca="1" si="124"/>
        <v>3740.9176068178881</v>
      </c>
      <c r="AH580" s="77">
        <f t="shared" ca="1" si="124"/>
        <v>3740.9176068178881</v>
      </c>
      <c r="AI580" s="77">
        <f t="shared" ca="1" si="124"/>
        <v>3740.9176068178881</v>
      </c>
      <c r="AJ580" s="77">
        <f t="shared" ca="1" si="124"/>
        <v>3740.9176068178881</v>
      </c>
      <c r="AK580" s="77">
        <f t="shared" ca="1" si="124"/>
        <v>3740.9176068178881</v>
      </c>
      <c r="AL580" s="77">
        <f t="shared" ca="1" si="124"/>
        <v>3740.9176068178881</v>
      </c>
      <c r="AM580" s="77">
        <f t="shared" ca="1" si="124"/>
        <v>3740.9176068178881</v>
      </c>
      <c r="AN580" s="77">
        <f t="shared" ca="1" si="124"/>
        <v>3740.9176068178881</v>
      </c>
      <c r="AO580" s="77">
        <f t="shared" ca="1" si="124"/>
        <v>3740.9176068178881</v>
      </c>
      <c r="AP580" s="77">
        <f t="shared" ca="1" si="124"/>
        <v>3740.9176068178881</v>
      </c>
      <c r="AQ580" s="77">
        <f t="shared" ca="1" si="124"/>
        <v>3740.9176068178881</v>
      </c>
      <c r="AR580" s="77">
        <f t="shared" ca="1" si="124"/>
        <v>3740.9176068178881</v>
      </c>
      <c r="AS580" s="77">
        <f t="shared" ca="1" si="124"/>
        <v>3740.9176068178881</v>
      </c>
      <c r="AT580" s="77">
        <f t="shared" ca="1" si="124"/>
        <v>3740.9176068178881</v>
      </c>
      <c r="AU580" s="77">
        <f t="shared" ca="1" si="124"/>
        <v>3740.9176068178881</v>
      </c>
      <c r="AV580" s="77">
        <f t="shared" ca="1" si="124"/>
        <v>3740.9176068178881</v>
      </c>
      <c r="AW580" s="77">
        <f t="shared" ca="1" si="124"/>
        <v>3740.9176068178881</v>
      </c>
      <c r="BA580" s="49">
        <f t="shared" ca="1" si="118"/>
        <v>31848.540416010779</v>
      </c>
      <c r="BB580" s="49"/>
      <c r="BC580" s="49">
        <f t="shared" ca="1" si="119"/>
        <v>24064.25057655435</v>
      </c>
      <c r="BD580" s="49"/>
      <c r="BE580" s="49">
        <f t="shared" ca="1" si="120"/>
        <v>19760.539126818527</v>
      </c>
    </row>
    <row r="581" spans="3:57">
      <c r="C581" s="4" t="s">
        <v>5</v>
      </c>
      <c r="D581" s="20">
        <f ca="1">SUM(D561:D580)</f>
        <v>22078.336038387566</v>
      </c>
      <c r="E581" s="20">
        <f ca="1">SUM(E561:E580)</f>
        <v>23983.039874560225</v>
      </c>
      <c r="F581" s="20">
        <f ca="1">SUM(F561:F580)</f>
        <v>26198.582032690931</v>
      </c>
      <c r="G581" s="20">
        <f ca="1">SUM(G561:G580)</f>
        <v>27720.818346196553</v>
      </c>
      <c r="H581" s="20">
        <f t="shared" ref="H581:AW581" ca="1" si="128">SUM(H561:H580)</f>
        <v>27350.848283593776</v>
      </c>
      <c r="I581" s="20">
        <f t="shared" ca="1" si="128"/>
        <v>28383.57491097118</v>
      </c>
      <c r="J581" s="20">
        <f t="shared" ca="1" si="128"/>
        <v>30670.294354820267</v>
      </c>
      <c r="K581" s="20">
        <f t="shared" ca="1" si="128"/>
        <v>33511.001514841184</v>
      </c>
      <c r="L581" s="20">
        <f t="shared" ca="1" si="128"/>
        <v>39597.982478935868</v>
      </c>
      <c r="M581" s="20">
        <f t="shared" ca="1" si="128"/>
        <v>47674.901098444621</v>
      </c>
      <c r="N581" s="20">
        <f t="shared" ca="1" si="128"/>
        <v>57007.826182334953</v>
      </c>
      <c r="O581" s="20">
        <f t="shared" ca="1" si="128"/>
        <v>65055.513879009872</v>
      </c>
      <c r="P581" s="20">
        <f t="shared" ca="1" si="128"/>
        <v>71652.291536504054</v>
      </c>
      <c r="Q581" s="20">
        <f t="shared" ca="1" si="128"/>
        <v>78536.376848937056</v>
      </c>
      <c r="R581" s="20">
        <f t="shared" ca="1" si="128"/>
        <v>88133.903476070263</v>
      </c>
      <c r="S581" s="20">
        <f t="shared" ca="1" si="128"/>
        <v>99291.573177823608</v>
      </c>
      <c r="T581" s="20">
        <f t="shared" ca="1" si="128"/>
        <v>112887.63530065515</v>
      </c>
      <c r="U581" s="20">
        <f t="shared" ca="1" si="128"/>
        <v>125134.94694293146</v>
      </c>
      <c r="V581" s="20">
        <f t="shared" ca="1" si="128"/>
        <v>141977.68459939744</v>
      </c>
      <c r="W581" s="20">
        <f t="shared" ca="1" si="128"/>
        <v>158230.54058106741</v>
      </c>
      <c r="X581" s="20">
        <f t="shared" ca="1" si="128"/>
        <v>173963.80020396379</v>
      </c>
      <c r="Y581" s="20">
        <f t="shared" ca="1" si="128"/>
        <v>190607.10541922136</v>
      </c>
      <c r="Z581" s="20">
        <f t="shared" ca="1" si="128"/>
        <v>208653.1558620189</v>
      </c>
      <c r="AA581" s="20">
        <f t="shared" ca="1" si="128"/>
        <v>227856.28681618723</v>
      </c>
      <c r="AB581" s="20">
        <f t="shared" ca="1" si="128"/>
        <v>249985.7275178156</v>
      </c>
      <c r="AC581" s="20">
        <f t="shared" ca="1" si="128"/>
        <v>266773.35483349935</v>
      </c>
      <c r="AD581" s="74">
        <f t="shared" ca="1" si="128"/>
        <v>266063.23853694974</v>
      </c>
      <c r="AE581" s="74">
        <f t="shared" ca="1" si="128"/>
        <v>265349.04469788488</v>
      </c>
      <c r="AF581" s="74">
        <f t="shared" ca="1" si="128"/>
        <v>265165.40503223351</v>
      </c>
      <c r="AG581" s="74">
        <f t="shared" ca="1" si="128"/>
        <v>265208.86672977376</v>
      </c>
      <c r="AH581" s="74">
        <f t="shared" ca="1" si="128"/>
        <v>265140.19032663404</v>
      </c>
      <c r="AI581" s="74">
        <f t="shared" ca="1" si="128"/>
        <v>265011.82165973878</v>
      </c>
      <c r="AJ581" s="74">
        <f t="shared" ca="1" si="128"/>
        <v>264950.1692762227</v>
      </c>
      <c r="AK581" s="74">
        <f t="shared" ca="1" si="128"/>
        <v>264706.27312718891</v>
      </c>
      <c r="AL581" s="74">
        <f t="shared" ca="1" si="128"/>
        <v>264292.25465931284</v>
      </c>
      <c r="AM581" s="74">
        <f t="shared" ca="1" si="128"/>
        <v>264034.42894422502</v>
      </c>
      <c r="AN581" s="74">
        <f t="shared" ca="1" si="128"/>
        <v>263753.16452776559</v>
      </c>
      <c r="AO581" s="74">
        <f t="shared" ca="1" si="128"/>
        <v>263485.87757752795</v>
      </c>
      <c r="AP581" s="74">
        <f t="shared" ca="1" si="128"/>
        <v>263096.62607530702</v>
      </c>
      <c r="AQ581" s="74">
        <f t="shared" ca="1" si="128"/>
        <v>262590.10021112743</v>
      </c>
      <c r="AR581" s="74">
        <f t="shared" ca="1" si="128"/>
        <v>261842.87574144985</v>
      </c>
      <c r="AS581" s="74">
        <f t="shared" ca="1" si="128"/>
        <v>260902.99654577675</v>
      </c>
      <c r="AT581" s="74">
        <f t="shared" ca="1" si="128"/>
        <v>259340.44779353245</v>
      </c>
      <c r="AU581" s="74">
        <f t="shared" ca="1" si="128"/>
        <v>256621.92380162733</v>
      </c>
      <c r="AV581" s="74">
        <f t="shared" ca="1" si="128"/>
        <v>252685.12303924991</v>
      </c>
      <c r="AW581" s="74">
        <f t="shared" ca="1" si="128"/>
        <v>247590.94572537212</v>
      </c>
      <c r="AY581" s="11" t="s">
        <v>647</v>
      </c>
      <c r="BA581" s="79">
        <f t="shared" ca="1" si="118"/>
        <v>2245894.341507968</v>
      </c>
      <c r="BB581" s="49"/>
      <c r="BC581" s="79">
        <f t="shared" ca="1" si="119"/>
        <v>1008587.9015295273</v>
      </c>
      <c r="BD581" s="49"/>
      <c r="BE581" s="79">
        <f t="shared" ca="1" si="120"/>
        <v>705098.91691076453</v>
      </c>
    </row>
    <row r="582" spans="3:57">
      <c r="C582" s="11" t="s">
        <v>651</v>
      </c>
      <c r="D582" s="24">
        <f ca="1">D581+D970</f>
        <v>22078.336038387566</v>
      </c>
      <c r="E582" s="24">
        <f t="shared" ref="E582:AB582" ca="1" si="129">E581+E970</f>
        <v>23983.039874560225</v>
      </c>
      <c r="F582" s="24">
        <f t="shared" ca="1" si="129"/>
        <v>26198.582032690931</v>
      </c>
      <c r="G582" s="24">
        <f t="shared" ca="1" si="129"/>
        <v>27720.818346196553</v>
      </c>
      <c r="H582" s="24">
        <f t="shared" ca="1" si="129"/>
        <v>27350.848283593776</v>
      </c>
      <c r="I582" s="24">
        <f t="shared" ca="1" si="129"/>
        <v>28383.57491097118</v>
      </c>
      <c r="J582" s="24">
        <f t="shared" ca="1" si="129"/>
        <v>30670.294354820267</v>
      </c>
      <c r="K582" s="24">
        <f t="shared" ca="1" si="129"/>
        <v>57989.762973053032</v>
      </c>
      <c r="L582" s="24">
        <f t="shared" ca="1" si="129"/>
        <v>64683.232924895172</v>
      </c>
      <c r="M582" s="24">
        <f t="shared" ca="1" si="129"/>
        <v>73507.445669061359</v>
      </c>
      <c r="N582" s="24">
        <f t="shared" ca="1" si="129"/>
        <v>83417.404918659406</v>
      </c>
      <c r="O582" s="24">
        <f t="shared" ca="1" si="129"/>
        <v>145990.75199254401</v>
      </c>
      <c r="P582" s="24">
        <f t="shared" ca="1" si="129"/>
        <v>153676.34686167171</v>
      </c>
      <c r="Q582" s="24">
        <f t="shared" ca="1" si="129"/>
        <v>161190.38570367309</v>
      </c>
      <c r="R582" s="24">
        <f t="shared" ca="1" si="129"/>
        <v>170580.32274293149</v>
      </c>
      <c r="S582" s="24">
        <f t="shared" ca="1" si="129"/>
        <v>235117.96380674822</v>
      </c>
      <c r="T582" s="24">
        <f t="shared" ca="1" si="129"/>
        <v>245768.79499974698</v>
      </c>
      <c r="U582" s="24">
        <f t="shared" ca="1" si="129"/>
        <v>256867.69897199108</v>
      </c>
      <c r="V582" s="24">
        <f t="shared" ca="1" si="129"/>
        <v>270279.2259196199</v>
      </c>
      <c r="W582" s="24">
        <f t="shared" ca="1" si="129"/>
        <v>283243.39009906125</v>
      </c>
      <c r="X582" s="24">
        <f t="shared" ca="1" si="129"/>
        <v>295823.69215470896</v>
      </c>
      <c r="Y582" s="24">
        <f t="shared" ca="1" si="129"/>
        <v>309585.67945683392</v>
      </c>
      <c r="Z582" s="24">
        <f t="shared" ca="1" si="129"/>
        <v>324233.76107664034</v>
      </c>
      <c r="AA582" s="24">
        <f t="shared" ca="1" si="129"/>
        <v>339709.53380013967</v>
      </c>
      <c r="AB582" s="24">
        <f t="shared" ca="1" si="129"/>
        <v>357760.35769043845</v>
      </c>
      <c r="AC582" s="24">
        <f ca="1">AC581+AC970</f>
        <v>370569.391778994</v>
      </c>
      <c r="AY582" s="11" t="s">
        <v>648</v>
      </c>
      <c r="BA582" s="49">
        <f ca="1">BA581+BA970</f>
        <v>3129568.5159018501</v>
      </c>
      <c r="BC582" s="49">
        <f ca="1">BC581+BC970</f>
        <v>1652109.2313417702</v>
      </c>
      <c r="BE582" s="49">
        <f ca="1">BE581+BE970</f>
        <v>1229208.8510201471</v>
      </c>
    </row>
    <row r="584" spans="3:57">
      <c r="C584" s="4" t="s">
        <v>135</v>
      </c>
    </row>
    <row r="585" spans="3:57">
      <c r="C585" t="str">
        <f>C8</f>
        <v>Existing coal Large</v>
      </c>
      <c r="D585" s="66">
        <f t="shared" ref="D585:AC585" ca="1" si="130">IF(D367=0,0,D561/D367)</f>
        <v>7.8964962111381362E-2</v>
      </c>
      <c r="E585" s="66">
        <f t="shared" ca="1" si="130"/>
        <v>8.6699416603398319E-2</v>
      </c>
      <c r="F585" s="66">
        <f t="shared" ca="1" si="130"/>
        <v>9.349678889441039E-2</v>
      </c>
      <c r="G585" s="66">
        <f t="shared" ca="1" si="130"/>
        <v>9.6641616249601645E-2</v>
      </c>
      <c r="H585" s="66">
        <f t="shared" ca="1" si="130"/>
        <v>9.6641616249601645E-2</v>
      </c>
      <c r="I585" s="66">
        <f t="shared" ca="1" si="130"/>
        <v>9.6337491343764611E-2</v>
      </c>
      <c r="J585" s="66">
        <f t="shared" ca="1" si="130"/>
        <v>9.6273501007105619E-2</v>
      </c>
      <c r="K585" s="66">
        <f t="shared" ca="1" si="130"/>
        <v>9.6171061987991524E-2</v>
      </c>
      <c r="L585" s="66">
        <f t="shared" ca="1" si="130"/>
        <v>9.6177641402460046E-2</v>
      </c>
      <c r="M585" s="66">
        <f t="shared" ca="1" si="130"/>
        <v>9.6261917372768624E-2</v>
      </c>
      <c r="N585" s="66">
        <f t="shared" ca="1" si="130"/>
        <v>9.6606653058698519E-2</v>
      </c>
      <c r="O585" s="66">
        <f t="shared" ca="1" si="130"/>
        <v>9.6951388744628428E-2</v>
      </c>
      <c r="P585" s="66">
        <f t="shared" ca="1" si="130"/>
        <v>9.7296124430558323E-2</v>
      </c>
      <c r="Q585" s="66">
        <f t="shared" ca="1" si="130"/>
        <v>9.7640860116488232E-2</v>
      </c>
      <c r="R585" s="66">
        <f t="shared" ca="1" si="130"/>
        <v>9.7985595802418127E-2</v>
      </c>
      <c r="S585" s="66">
        <f t="shared" ca="1" si="130"/>
        <v>9.8330331488348036E-2</v>
      </c>
      <c r="T585" s="66">
        <f t="shared" ca="1" si="130"/>
        <v>9.8675067174277931E-2</v>
      </c>
      <c r="U585" s="66">
        <f t="shared" ca="1" si="130"/>
        <v>9.9019802860207812E-2</v>
      </c>
      <c r="V585" s="66">
        <f t="shared" ca="1" si="130"/>
        <v>9.9987616073876753E-2</v>
      </c>
      <c r="W585" s="66">
        <f t="shared" ca="1" si="130"/>
        <v>0.10010676999506977</v>
      </c>
      <c r="X585" s="66">
        <f t="shared" ca="1" si="130"/>
        <v>0.10005400991799752</v>
      </c>
      <c r="Y585" s="66">
        <f t="shared" ca="1" si="130"/>
        <v>0.10039874560392742</v>
      </c>
      <c r="Z585" s="66">
        <f t="shared" ca="1" si="130"/>
        <v>0.10074348128985731</v>
      </c>
      <c r="AA585" s="66">
        <f t="shared" ca="1" si="130"/>
        <v>0.10108821697578721</v>
      </c>
      <c r="AB585" s="66">
        <f t="shared" ca="1" si="130"/>
        <v>0.10143295266171713</v>
      </c>
      <c r="AC585" s="66">
        <f t="shared" ca="1" si="130"/>
        <v>0.10177768834764701</v>
      </c>
    </row>
    <row r="586" spans="3:57">
      <c r="C586" t="str">
        <f t="shared" ref="C586:C604" si="131">C9</f>
        <v>Existing coal Small</v>
      </c>
      <c r="D586" s="66">
        <f t="shared" ref="D586:AC586" ca="1" si="132">IF(D368=0,0,D562/D368)</f>
        <v>0.20439666399182957</v>
      </c>
      <c r="E586" s="66">
        <f t="shared" ca="1" si="132"/>
        <v>0.21396392914047679</v>
      </c>
      <c r="F586" s="66">
        <f t="shared" ca="1" si="132"/>
        <v>0.22353119428912396</v>
      </c>
      <c r="G586" s="66">
        <f t="shared" ca="1" si="132"/>
        <v>0.23351110022205604</v>
      </c>
      <c r="H586" s="66">
        <f t="shared" ca="1" si="132"/>
        <v>0.23351110022205604</v>
      </c>
      <c r="I586" s="66">
        <f t="shared" ca="1" si="132"/>
        <v>0.23404676293688209</v>
      </c>
      <c r="J586" s="66">
        <f t="shared" ca="1" si="132"/>
        <v>0.23458242565170809</v>
      </c>
      <c r="K586" s="66">
        <f t="shared" ca="1" si="132"/>
        <v>0.23511808836653417</v>
      </c>
      <c r="L586" s="66">
        <f t="shared" ca="1" si="132"/>
        <v>0.23565375108136016</v>
      </c>
      <c r="M586" s="66">
        <f t="shared" ca="1" si="132"/>
        <v>0.23618941379618622</v>
      </c>
      <c r="N586" s="66">
        <f t="shared" ca="1" si="132"/>
        <v>0.23672507651101221</v>
      </c>
      <c r="O586" s="66">
        <f t="shared" ca="1" si="132"/>
        <v>0.23726073922583821</v>
      </c>
      <c r="P586" s="66">
        <f t="shared" ca="1" si="132"/>
        <v>0.23779640194066426</v>
      </c>
      <c r="Q586" s="66">
        <f t="shared" ca="1" si="132"/>
        <v>0.23833206465549026</v>
      </c>
      <c r="R586" s="66">
        <f t="shared" ca="1" si="132"/>
        <v>0.23886772737031634</v>
      </c>
      <c r="S586" s="66">
        <f t="shared" ca="1" si="132"/>
        <v>0.23940339008514236</v>
      </c>
      <c r="T586" s="66">
        <f t="shared" ca="1" si="132"/>
        <v>0.2399390527999683</v>
      </c>
      <c r="U586" s="66">
        <f t="shared" ca="1" si="132"/>
        <v>0.24047471551479438</v>
      </c>
      <c r="V586" s="66">
        <f t="shared" ca="1" si="132"/>
        <v>0.2410103782296204</v>
      </c>
      <c r="W586" s="66">
        <f t="shared" ca="1" si="132"/>
        <v>0.2415460409444464</v>
      </c>
      <c r="X586" s="66">
        <f t="shared" ca="1" si="132"/>
        <v>0.24208170365927248</v>
      </c>
      <c r="Y586" s="66">
        <f t="shared" ca="1" si="132"/>
        <v>0.24261736637409848</v>
      </c>
      <c r="Z586" s="66">
        <f t="shared" ca="1" si="132"/>
        <v>0.24315302908892447</v>
      </c>
      <c r="AA586" s="66">
        <f t="shared" ca="1" si="132"/>
        <v>0.24368869180375047</v>
      </c>
      <c r="AB586" s="66">
        <f t="shared" ca="1" si="132"/>
        <v>0.24422435451857655</v>
      </c>
      <c r="AC586" s="66">
        <f t="shared" ca="1" si="132"/>
        <v>0.24476001723340254</v>
      </c>
    </row>
    <row r="587" spans="3:57">
      <c r="C587" t="str">
        <f t="shared" si="131"/>
        <v>OCGT liquid fuels</v>
      </c>
      <c r="D587" s="66">
        <f t="shared" ref="D587:AC587" ca="1" si="133">IF(D369=0,0,D563/D369)</f>
        <v>1.8464002640452857</v>
      </c>
      <c r="E587" s="66">
        <f t="shared" ca="1" si="133"/>
        <v>2.0458572365017975</v>
      </c>
      <c r="F587" s="66">
        <f t="shared" ca="1" si="133"/>
        <v>2.0453844881251801</v>
      </c>
      <c r="G587" s="66">
        <f t="shared" ca="1" si="133"/>
        <v>2.717396349495957</v>
      </c>
      <c r="H587" s="66">
        <f t="shared" ca="1" si="133"/>
        <v>1.9816313716592397</v>
      </c>
      <c r="I587" s="66">
        <f t="shared" ca="1" si="133"/>
        <v>2.0627872356553723</v>
      </c>
      <c r="J587" s="66">
        <f t="shared" ca="1" si="133"/>
        <v>2.8643548705237394</v>
      </c>
      <c r="K587" s="66">
        <f t="shared" ca="1" si="133"/>
        <v>2.9455107345198712</v>
      </c>
      <c r="L587" s="66">
        <f t="shared" ca="1" si="133"/>
        <v>3.0266665985160039</v>
      </c>
      <c r="M587" s="66">
        <f t="shared" ca="1" si="133"/>
        <v>3.1078224625121362</v>
      </c>
      <c r="N587" s="66">
        <f t="shared" ca="1" si="133"/>
        <v>3.1889783265082685</v>
      </c>
      <c r="O587" s="66">
        <f t="shared" ca="1" si="133"/>
        <v>3.2701341905043999</v>
      </c>
      <c r="P587" s="66">
        <f t="shared" ca="1" si="133"/>
        <v>3.3512900545005322</v>
      </c>
      <c r="Q587" s="66">
        <f t="shared" ca="1" si="133"/>
        <v>3.4324459184966645</v>
      </c>
      <c r="R587" s="66">
        <f t="shared" ca="1" si="133"/>
        <v>3.5136017824927968</v>
      </c>
      <c r="S587" s="66">
        <f t="shared" ca="1" si="133"/>
        <v>3.594757646488929</v>
      </c>
      <c r="T587" s="66">
        <f t="shared" ca="1" si="133"/>
        <v>3.6759135104850604</v>
      </c>
      <c r="U587" s="66">
        <f t="shared" ca="1" si="133"/>
        <v>3.7570693744811927</v>
      </c>
      <c r="V587" s="66">
        <f t="shared" ca="1" si="133"/>
        <v>3.838225238477325</v>
      </c>
      <c r="W587" s="66">
        <f t="shared" ca="1" si="133"/>
        <v>3.9193811024734573</v>
      </c>
      <c r="X587" s="66">
        <f t="shared" ca="1" si="133"/>
        <v>4.00053696646959</v>
      </c>
      <c r="Y587" s="66">
        <f t="shared" ca="1" si="133"/>
        <v>4.3561354098456206</v>
      </c>
      <c r="Z587" s="66">
        <f t="shared" ca="1" si="133"/>
        <v>4.4372912738417529</v>
      </c>
      <c r="AA587" s="66">
        <f t="shared" ca="1" si="133"/>
        <v>4.5184471378378852</v>
      </c>
      <c r="AB587" s="66">
        <f t="shared" ca="1" si="133"/>
        <v>4.8463885770903605</v>
      </c>
      <c r="AC587" s="66">
        <f t="shared" ca="1" si="133"/>
        <v>5.1374654098776489</v>
      </c>
    </row>
    <row r="588" spans="3:57">
      <c r="C588" t="str">
        <f t="shared" si="131"/>
        <v>PWR nuclear</v>
      </c>
      <c r="D588" s="66">
        <f t="shared" ref="D588:AC588" ca="1" si="134">IF(D370=0,0,D564/D370)</f>
        <v>0.13952266385974332</v>
      </c>
      <c r="E588" s="66">
        <f t="shared" ca="1" si="134"/>
        <v>0.14502615858016568</v>
      </c>
      <c r="F588" s="66">
        <f t="shared" ca="1" si="134"/>
        <v>0.15052965330058807</v>
      </c>
      <c r="G588" s="66">
        <f t="shared" ca="1" si="134"/>
        <v>0.15603314802101043</v>
      </c>
      <c r="H588" s="66">
        <f t="shared" ca="1" si="134"/>
        <v>0.16433604025355245</v>
      </c>
      <c r="I588" s="66">
        <f t="shared" ca="1" si="134"/>
        <v>0.16462521197713417</v>
      </c>
      <c r="J588" s="66">
        <f t="shared" ca="1" si="134"/>
        <v>0.16491582955933379</v>
      </c>
      <c r="K588" s="66">
        <f t="shared" ca="1" si="134"/>
        <v>0.1652079002294444</v>
      </c>
      <c r="L588" s="66">
        <f t="shared" ca="1" si="134"/>
        <v>0.16550143125290556</v>
      </c>
      <c r="M588" s="66">
        <f t="shared" ca="1" si="134"/>
        <v>0.16579642993148405</v>
      </c>
      <c r="N588" s="66">
        <f t="shared" ca="1" si="134"/>
        <v>0.16609290360345541</v>
      </c>
      <c r="O588" s="66">
        <f t="shared" ca="1" si="134"/>
        <v>0.16639085964378664</v>
      </c>
      <c r="P588" s="66">
        <f t="shared" ca="1" si="134"/>
        <v>0.16669030546431954</v>
      </c>
      <c r="Q588" s="66">
        <f t="shared" ca="1" si="134"/>
        <v>0.16699124851395508</v>
      </c>
      <c r="R588" s="66">
        <f t="shared" ca="1" si="134"/>
        <v>0.16729369627883878</v>
      </c>
      <c r="S588" s="66">
        <f t="shared" ca="1" si="134"/>
        <v>0.16759765628254694</v>
      </c>
      <c r="T588" s="66">
        <f t="shared" ca="1" si="134"/>
        <v>0.16790313608627364</v>
      </c>
      <c r="U588" s="66">
        <f t="shared" ca="1" si="134"/>
        <v>0.16821014328901893</v>
      </c>
      <c r="V588" s="66">
        <f t="shared" ca="1" si="134"/>
        <v>0.16851868552777799</v>
      </c>
      <c r="W588" s="66">
        <f t="shared" ca="1" si="134"/>
        <v>0.16882877047773082</v>
      </c>
      <c r="X588" s="66">
        <f t="shared" ca="1" si="134"/>
        <v>0.16914040585243342</v>
      </c>
      <c r="Y588" s="66">
        <f t="shared" ca="1" si="134"/>
        <v>0.16945359940400953</v>
      </c>
      <c r="Z588" s="66">
        <f t="shared" ca="1" si="134"/>
        <v>0.16976835892334349</v>
      </c>
      <c r="AA588" s="66">
        <f t="shared" ca="1" si="134"/>
        <v>0.17008469224027417</v>
      </c>
      <c r="AB588" s="66">
        <f t="shared" ca="1" si="134"/>
        <v>0.1704026072237895</v>
      </c>
      <c r="AC588" s="66">
        <f t="shared" ca="1" si="134"/>
        <v>0.17072211178222241</v>
      </c>
    </row>
    <row r="589" spans="3:57">
      <c r="C589" t="str">
        <f t="shared" si="131"/>
        <v>Hydro</v>
      </c>
      <c r="D589" s="66">
        <f t="shared" ref="D589:AC589" ca="1" si="135">IF(D371=0,0,D565/D371)</f>
        <v>9.8616567997651144E-2</v>
      </c>
      <c r="E589" s="66">
        <f t="shared" ca="1" si="135"/>
        <v>9.8616567997651144E-2</v>
      </c>
      <c r="F589" s="66">
        <f t="shared" ca="1" si="135"/>
        <v>9.8616567997651144E-2</v>
      </c>
      <c r="G589" s="66">
        <f t="shared" ca="1" si="135"/>
        <v>9.8616567997651144E-2</v>
      </c>
      <c r="H589" s="66">
        <f t="shared" ca="1" si="135"/>
        <v>9.8616567997651144E-2</v>
      </c>
      <c r="I589" s="66">
        <f t="shared" ca="1" si="135"/>
        <v>9.8616567997651144E-2</v>
      </c>
      <c r="J589" s="66">
        <f t="shared" ca="1" si="135"/>
        <v>9.8616567997651144E-2</v>
      </c>
      <c r="K589" s="66">
        <f t="shared" ca="1" si="135"/>
        <v>9.8616567997651144E-2</v>
      </c>
      <c r="L589" s="66">
        <f t="shared" ca="1" si="135"/>
        <v>9.8616567997651144E-2</v>
      </c>
      <c r="M589" s="66">
        <f t="shared" ca="1" si="135"/>
        <v>9.8616567997651144E-2</v>
      </c>
      <c r="N589" s="66">
        <f t="shared" ca="1" si="135"/>
        <v>9.8616567997651144E-2</v>
      </c>
      <c r="O589" s="66">
        <f t="shared" ca="1" si="135"/>
        <v>9.8616567997651144E-2</v>
      </c>
      <c r="P589" s="66">
        <f t="shared" ca="1" si="135"/>
        <v>9.8616567997651144E-2</v>
      </c>
      <c r="Q589" s="66">
        <f t="shared" ca="1" si="135"/>
        <v>9.8616567997651144E-2</v>
      </c>
      <c r="R589" s="66">
        <f t="shared" ca="1" si="135"/>
        <v>9.8616567997651144E-2</v>
      </c>
      <c r="S589" s="66">
        <f t="shared" ca="1" si="135"/>
        <v>9.8616567997651144E-2</v>
      </c>
      <c r="T589" s="66">
        <f t="shared" ca="1" si="135"/>
        <v>9.8616567997651144E-2</v>
      </c>
      <c r="U589" s="66">
        <f t="shared" ca="1" si="135"/>
        <v>9.8616567997651144E-2</v>
      </c>
      <c r="V589" s="66">
        <f t="shared" ca="1" si="135"/>
        <v>9.8616567997651144E-2</v>
      </c>
      <c r="W589" s="66">
        <f t="shared" ca="1" si="135"/>
        <v>9.8616567997651144E-2</v>
      </c>
      <c r="X589" s="66">
        <f t="shared" ca="1" si="135"/>
        <v>9.8616567997651144E-2</v>
      </c>
      <c r="Y589" s="66">
        <f t="shared" ca="1" si="135"/>
        <v>9.8616567997651144E-2</v>
      </c>
      <c r="Z589" s="66">
        <f t="shared" ca="1" si="135"/>
        <v>9.8616567997651144E-2</v>
      </c>
      <c r="AA589" s="66">
        <f t="shared" ca="1" si="135"/>
        <v>9.8616567997651144E-2</v>
      </c>
      <c r="AB589" s="66">
        <f t="shared" ca="1" si="135"/>
        <v>9.8616567997651144E-2</v>
      </c>
      <c r="AC589" s="66">
        <f t="shared" ca="1" si="135"/>
        <v>9.8616567997651144E-2</v>
      </c>
    </row>
    <row r="590" spans="3:57">
      <c r="C590" t="str">
        <f t="shared" si="131"/>
        <v>Landfill gas</v>
      </c>
      <c r="D590" s="66">
        <f t="shared" ref="D590:AC590" ca="1" si="136">IF(D372=0,0,D566/D372)</f>
        <v>0.12723441388718468</v>
      </c>
      <c r="E590" s="66">
        <f t="shared" ca="1" si="136"/>
        <v>0.12723441388718468</v>
      </c>
      <c r="F590" s="66">
        <f t="shared" ca="1" si="136"/>
        <v>0.12723441388718468</v>
      </c>
      <c r="G590" s="66">
        <f t="shared" ca="1" si="136"/>
        <v>0.12723441388718468</v>
      </c>
      <c r="H590" s="66">
        <f t="shared" ca="1" si="136"/>
        <v>0.12723441388718468</v>
      </c>
      <c r="I590" s="66">
        <f t="shared" ca="1" si="136"/>
        <v>0.12723441388718468</v>
      </c>
      <c r="J590" s="66">
        <f t="shared" ca="1" si="136"/>
        <v>0.12723441388718468</v>
      </c>
      <c r="K590" s="66">
        <f t="shared" ca="1" si="136"/>
        <v>0.12723441388718468</v>
      </c>
      <c r="L590" s="66">
        <f t="shared" ca="1" si="136"/>
        <v>0.12723441388718468</v>
      </c>
      <c r="M590" s="66">
        <f t="shared" ca="1" si="136"/>
        <v>0.12723441388718468</v>
      </c>
      <c r="N590" s="66">
        <f t="shared" ca="1" si="136"/>
        <v>0.12723441388718468</v>
      </c>
      <c r="O590" s="66">
        <f t="shared" ca="1" si="136"/>
        <v>0.12723441388718468</v>
      </c>
      <c r="P590" s="66">
        <f t="shared" ca="1" si="136"/>
        <v>0.12723441388718468</v>
      </c>
      <c r="Q590" s="66">
        <f t="shared" ca="1" si="136"/>
        <v>0.12723441388718468</v>
      </c>
      <c r="R590" s="66">
        <f t="shared" ca="1" si="136"/>
        <v>0.12723441388718468</v>
      </c>
      <c r="S590" s="66">
        <f t="shared" ca="1" si="136"/>
        <v>0.12723441388718468</v>
      </c>
      <c r="T590" s="66">
        <f t="shared" ca="1" si="136"/>
        <v>0.12723441388718468</v>
      </c>
      <c r="U590" s="66">
        <f t="shared" ca="1" si="136"/>
        <v>0.12723441388718468</v>
      </c>
      <c r="V590" s="66">
        <f t="shared" ca="1" si="136"/>
        <v>0.12723441388718468</v>
      </c>
      <c r="W590" s="66">
        <f t="shared" ca="1" si="136"/>
        <v>0.12723441388718468</v>
      </c>
      <c r="X590" s="66">
        <f t="shared" ca="1" si="136"/>
        <v>0.12723441388718468</v>
      </c>
      <c r="Y590" s="66">
        <f t="shared" ca="1" si="136"/>
        <v>0.12723441388718468</v>
      </c>
      <c r="Z590" s="66">
        <f t="shared" ca="1" si="136"/>
        <v>0.12723441388718468</v>
      </c>
      <c r="AA590" s="66">
        <f t="shared" ca="1" si="136"/>
        <v>0.12723441388718468</v>
      </c>
      <c r="AB590" s="66">
        <f t="shared" ca="1" si="136"/>
        <v>0.12723441388718468</v>
      </c>
      <c r="AC590" s="66">
        <f t="shared" ca="1" si="136"/>
        <v>0.12723441388718468</v>
      </c>
    </row>
    <row r="591" spans="3:57">
      <c r="C591" t="str">
        <f t="shared" si="131"/>
        <v>Biomass</v>
      </c>
      <c r="D591" s="66">
        <f t="shared" ref="D591:AC591" ca="1" si="137">IF(D373=0,0,D567/D373)</f>
        <v>0.12397452963416539</v>
      </c>
      <c r="E591" s="66">
        <f t="shared" ca="1" si="137"/>
        <v>0.12397452963416669</v>
      </c>
      <c r="F591" s="66">
        <f t="shared" ca="1" si="137"/>
        <v>0.12397452963416669</v>
      </c>
      <c r="G591" s="66">
        <f t="shared" ca="1" si="137"/>
        <v>0.12397452963416669</v>
      </c>
      <c r="H591" s="66">
        <f t="shared" ca="1" si="137"/>
        <v>0.12397452963416669</v>
      </c>
      <c r="I591" s="66">
        <f t="shared" ca="1" si="137"/>
        <v>0.12397452963416669</v>
      </c>
      <c r="J591" s="66">
        <f t="shared" ca="1" si="137"/>
        <v>0.12397452963416669</v>
      </c>
      <c r="K591" s="66">
        <f t="shared" ca="1" si="137"/>
        <v>0.12397452963416669</v>
      </c>
      <c r="L591" s="66">
        <f t="shared" ca="1" si="137"/>
        <v>0.12397452963416669</v>
      </c>
      <c r="M591" s="66">
        <f t="shared" ca="1" si="137"/>
        <v>0.12397452963416669</v>
      </c>
      <c r="N591" s="66">
        <f t="shared" ca="1" si="137"/>
        <v>0.12397452963416669</v>
      </c>
      <c r="O591" s="66">
        <f t="shared" ca="1" si="137"/>
        <v>0.12397452963416669</v>
      </c>
      <c r="P591" s="66">
        <f t="shared" ca="1" si="137"/>
        <v>0.12397452963416669</v>
      </c>
      <c r="Q591" s="66">
        <f t="shared" ca="1" si="137"/>
        <v>0.12397452963416669</v>
      </c>
      <c r="R591" s="66">
        <f t="shared" ca="1" si="137"/>
        <v>0.12397452963416669</v>
      </c>
      <c r="S591" s="66">
        <f t="shared" ca="1" si="137"/>
        <v>0.12397452963416669</v>
      </c>
      <c r="T591" s="66">
        <f t="shared" ca="1" si="137"/>
        <v>0.12397452963416669</v>
      </c>
      <c r="U591" s="66">
        <f t="shared" ca="1" si="137"/>
        <v>0.12397452963416669</v>
      </c>
      <c r="V591" s="66">
        <f t="shared" ca="1" si="137"/>
        <v>0.12397452963416669</v>
      </c>
      <c r="W591" s="66">
        <f t="shared" ca="1" si="137"/>
        <v>0.12397452963416669</v>
      </c>
      <c r="X591" s="66">
        <f t="shared" ca="1" si="137"/>
        <v>0.12397452963416669</v>
      </c>
      <c r="Y591" s="66">
        <f t="shared" ca="1" si="137"/>
        <v>0.12397452963416669</v>
      </c>
      <c r="Z591" s="66">
        <f t="shared" ca="1" si="137"/>
        <v>0.12397452963416669</v>
      </c>
      <c r="AA591" s="66">
        <f t="shared" ca="1" si="137"/>
        <v>0.12397452963416669</v>
      </c>
      <c r="AB591" s="66">
        <f t="shared" ca="1" si="137"/>
        <v>0.12397452963416669</v>
      </c>
      <c r="AC591" s="66">
        <f t="shared" ca="1" si="137"/>
        <v>0.12397452963416669</v>
      </c>
    </row>
    <row r="592" spans="3:57">
      <c r="C592" t="str">
        <f t="shared" si="131"/>
        <v>Supercritical coal</v>
      </c>
      <c r="D592" s="66">
        <f t="shared" ref="D592:AC592" si="138">IF(D374=0,0,D568/D374)</f>
        <v>0</v>
      </c>
      <c r="E592" s="66">
        <f t="shared" si="138"/>
        <v>0</v>
      </c>
      <c r="F592" s="66">
        <f t="shared" si="138"/>
        <v>0</v>
      </c>
      <c r="G592" s="66">
        <f t="shared" si="138"/>
        <v>0</v>
      </c>
      <c r="H592" s="66">
        <f t="shared" si="138"/>
        <v>0</v>
      </c>
      <c r="I592" s="66">
        <f t="shared" ca="1" si="138"/>
        <v>0</v>
      </c>
      <c r="J592" s="66">
        <f t="shared" ca="1" si="138"/>
        <v>0</v>
      </c>
      <c r="K592" s="66">
        <f t="shared" ca="1" si="138"/>
        <v>1.1909019201747768</v>
      </c>
      <c r="L592" s="66">
        <f t="shared" ca="1" si="138"/>
        <v>1.1892826507472822</v>
      </c>
      <c r="M592" s="66">
        <f t="shared" ca="1" si="138"/>
        <v>1.1394980604014953</v>
      </c>
      <c r="N592" s="66">
        <f t="shared" ca="1" si="138"/>
        <v>1.0853248830600297</v>
      </c>
      <c r="O592" s="66">
        <f t="shared" ca="1" si="138"/>
        <v>0.97979839514414668</v>
      </c>
      <c r="P592" s="66">
        <f t="shared" ca="1" si="138"/>
        <v>0.91803115632314436</v>
      </c>
      <c r="Q592" s="66">
        <f t="shared" ca="1" si="138"/>
        <v>0.85225613061387406</v>
      </c>
      <c r="R592" s="66">
        <f t="shared" ca="1" si="138"/>
        <v>0.86831883473842719</v>
      </c>
      <c r="S592" s="66">
        <f t="shared" ca="1" si="138"/>
        <v>0.8892821032219228</v>
      </c>
      <c r="T592" s="66">
        <f t="shared" ca="1" si="138"/>
        <v>1.0078495144666237</v>
      </c>
      <c r="U592" s="66">
        <f t="shared" ca="1" si="138"/>
        <v>1.1096310666989144</v>
      </c>
      <c r="V592" s="66">
        <f t="shared" ca="1" si="138"/>
        <v>1.1877843260116427</v>
      </c>
      <c r="W592" s="66">
        <f t="shared" ca="1" si="138"/>
        <v>1.1881918661757767</v>
      </c>
      <c r="X592" s="66">
        <f t="shared" ca="1" si="138"/>
        <v>1.1818042624302167</v>
      </c>
      <c r="Y592" s="66">
        <f t="shared" ca="1" si="138"/>
        <v>0.92540692033901384</v>
      </c>
      <c r="Z592" s="66">
        <f t="shared" ca="1" si="138"/>
        <v>0.85280221598263906</v>
      </c>
      <c r="AA592" s="66">
        <f t="shared" ca="1" si="138"/>
        <v>0.77340374689125579</v>
      </c>
      <c r="AB592" s="66">
        <f t="shared" ca="1" si="138"/>
        <v>0.59011839345940931</v>
      </c>
      <c r="AC592" s="66">
        <f t="shared" ca="1" si="138"/>
        <v>0.57685142202423167</v>
      </c>
    </row>
    <row r="593" spans="1:29">
      <c r="C593" t="str">
        <f t="shared" si="131"/>
        <v xml:space="preserve">Wind 30% </v>
      </c>
      <c r="D593" s="66">
        <f t="shared" ref="D593:AC593" si="139">IF(D375=0,0,D569/D375)</f>
        <v>0</v>
      </c>
      <c r="E593" s="66">
        <f t="shared" si="139"/>
        <v>0</v>
      </c>
      <c r="F593" s="66">
        <f t="shared" si="139"/>
        <v>0</v>
      </c>
      <c r="G593" s="66">
        <f t="shared" si="139"/>
        <v>0</v>
      </c>
      <c r="H593" s="66">
        <f t="shared" si="139"/>
        <v>0</v>
      </c>
      <c r="I593" s="66">
        <f t="shared" ca="1" si="139"/>
        <v>0.79353393275937967</v>
      </c>
      <c r="J593" s="66">
        <f t="shared" ca="1" si="139"/>
        <v>0.78129958963405166</v>
      </c>
      <c r="K593" s="66">
        <f t="shared" ca="1" si="139"/>
        <v>0.77151211513378937</v>
      </c>
      <c r="L593" s="66">
        <f t="shared" ca="1" si="139"/>
        <v>0.75764652625841744</v>
      </c>
      <c r="M593" s="66">
        <f t="shared" ca="1" si="139"/>
        <v>0.74723164954659971</v>
      </c>
      <c r="N593" s="66">
        <f t="shared" ca="1" si="139"/>
        <v>0.73201266447201596</v>
      </c>
      <c r="O593" s="66">
        <f t="shared" ca="1" si="139"/>
        <v>0.72063412268845972</v>
      </c>
      <c r="P593" s="66">
        <f t="shared" ca="1" si="139"/>
        <v>0.70992631404752282</v>
      </c>
      <c r="Q593" s="66">
        <f t="shared" ca="1" si="139"/>
        <v>0.70116214535843402</v>
      </c>
      <c r="R593" s="66">
        <f t="shared" ca="1" si="139"/>
        <v>0.69036401112282475</v>
      </c>
      <c r="S593" s="66">
        <f t="shared" ca="1" si="139"/>
        <v>0.68140850099229144</v>
      </c>
      <c r="T593" s="66">
        <f t="shared" ca="1" si="139"/>
        <v>0.67128689330042068</v>
      </c>
      <c r="U593" s="66">
        <f t="shared" ca="1" si="139"/>
        <v>0.67128689330042068</v>
      </c>
      <c r="V593" s="66">
        <f t="shared" ca="1" si="139"/>
        <v>0.67128689330042068</v>
      </c>
      <c r="W593" s="66">
        <f t="shared" ca="1" si="139"/>
        <v>0.67128689330042068</v>
      </c>
      <c r="X593" s="66">
        <f t="shared" ca="1" si="139"/>
        <v>0.67128689330042068</v>
      </c>
      <c r="Y593" s="66">
        <f t="shared" ca="1" si="139"/>
        <v>0.67128689330042068</v>
      </c>
      <c r="Z593" s="66">
        <f t="shared" ca="1" si="139"/>
        <v>0.67128689330042068</v>
      </c>
      <c r="AA593" s="66">
        <f t="shared" ca="1" si="139"/>
        <v>0.67128689330042068</v>
      </c>
      <c r="AB593" s="66">
        <f t="shared" ca="1" si="139"/>
        <v>0.67128689330042068</v>
      </c>
      <c r="AC593" s="66">
        <f t="shared" ca="1" si="139"/>
        <v>0.67003947453043133</v>
      </c>
    </row>
    <row r="594" spans="1:29">
      <c r="C594" t="str">
        <f t="shared" si="131"/>
        <v>Wind 25%</v>
      </c>
      <c r="D594" s="66">
        <f t="shared" ref="D594:AC594" si="140">IF(D376=0,0,D570/D376)</f>
        <v>0</v>
      </c>
      <c r="E594" s="66">
        <f t="shared" si="140"/>
        <v>0</v>
      </c>
      <c r="F594" s="66">
        <f t="shared" si="140"/>
        <v>0</v>
      </c>
      <c r="G594" s="66">
        <f t="shared" si="140"/>
        <v>0</v>
      </c>
      <c r="H594" s="66">
        <f t="shared" si="140"/>
        <v>0</v>
      </c>
      <c r="I594" s="66">
        <f t="shared" ca="1" si="140"/>
        <v>0</v>
      </c>
      <c r="J594" s="66">
        <f t="shared" ca="1" si="140"/>
        <v>0</v>
      </c>
      <c r="K594" s="66">
        <f t="shared" ca="1" si="140"/>
        <v>0</v>
      </c>
      <c r="L594" s="66">
        <f t="shared" ca="1" si="140"/>
        <v>0</v>
      </c>
      <c r="M594" s="66">
        <f t="shared" ca="1" si="140"/>
        <v>0</v>
      </c>
      <c r="N594" s="66">
        <f t="shared" ca="1" si="140"/>
        <v>0</v>
      </c>
      <c r="O594" s="66">
        <f t="shared" ca="1" si="140"/>
        <v>0</v>
      </c>
      <c r="P594" s="66">
        <f t="shared" ca="1" si="140"/>
        <v>0</v>
      </c>
      <c r="Q594" s="66">
        <f t="shared" ca="1" si="140"/>
        <v>0</v>
      </c>
      <c r="R594" s="66">
        <f t="shared" ca="1" si="140"/>
        <v>0</v>
      </c>
      <c r="S594" s="66">
        <f t="shared" ca="1" si="140"/>
        <v>0</v>
      </c>
      <c r="T594" s="66">
        <f t="shared" ca="1" si="140"/>
        <v>0</v>
      </c>
      <c r="U594" s="66">
        <f t="shared" ca="1" si="140"/>
        <v>0.75379046207772971</v>
      </c>
      <c r="V594" s="66">
        <f t="shared" ca="1" si="140"/>
        <v>0.75190176736607606</v>
      </c>
      <c r="W594" s="66">
        <f t="shared" ca="1" si="140"/>
        <v>0.75001307265442241</v>
      </c>
      <c r="X594" s="66">
        <f t="shared" ca="1" si="140"/>
        <v>0.74812437794276909</v>
      </c>
      <c r="Y594" s="66">
        <f t="shared" ca="1" si="140"/>
        <v>0.74623568323111533</v>
      </c>
      <c r="Z594" s="66">
        <f t="shared" ca="1" si="140"/>
        <v>0.74434698851946168</v>
      </c>
      <c r="AA594" s="66">
        <f t="shared" ca="1" si="140"/>
        <v>0.74245829380780826</v>
      </c>
      <c r="AB594" s="66">
        <f t="shared" ca="1" si="140"/>
        <v>0.74056959909615472</v>
      </c>
      <c r="AC594" s="66">
        <f t="shared" ca="1" si="140"/>
        <v>0.73868090438450107</v>
      </c>
    </row>
    <row r="595" spans="1:29">
      <c r="C595" t="str">
        <f t="shared" si="131"/>
        <v>solar thermal central reciever</v>
      </c>
      <c r="D595" s="66">
        <f t="shared" ref="D595:AC595" si="141">IF(D377=0,0,D571/D377)</f>
        <v>0</v>
      </c>
      <c r="E595" s="66">
        <f t="shared" si="141"/>
        <v>0</v>
      </c>
      <c r="F595" s="66">
        <f t="shared" si="141"/>
        <v>0</v>
      </c>
      <c r="G595" s="66">
        <f t="shared" si="141"/>
        <v>0</v>
      </c>
      <c r="H595" s="66">
        <f t="shared" si="141"/>
        <v>0</v>
      </c>
      <c r="I595" s="66">
        <f t="shared" ca="1" si="141"/>
        <v>0</v>
      </c>
      <c r="J595" s="66">
        <f t="shared" ca="1" si="141"/>
        <v>0</v>
      </c>
      <c r="K595" s="66">
        <f t="shared" ca="1" si="141"/>
        <v>0</v>
      </c>
      <c r="L595" s="66">
        <f t="shared" ca="1" si="141"/>
        <v>0</v>
      </c>
      <c r="M595" s="66">
        <f t="shared" ca="1" si="141"/>
        <v>0</v>
      </c>
      <c r="N595" s="66">
        <f t="shared" ca="1" si="141"/>
        <v>1.2133707814192838</v>
      </c>
      <c r="O595" s="66">
        <f t="shared" ca="1" si="141"/>
        <v>1.1906787206120928</v>
      </c>
      <c r="P595" s="66">
        <f t="shared" ca="1" si="141"/>
        <v>1.1686350043993934</v>
      </c>
      <c r="Q595" s="66">
        <f t="shared" ca="1" si="141"/>
        <v>1.1452945989977117</v>
      </c>
      <c r="R595" s="66">
        <f t="shared" ca="1" si="141"/>
        <v>1.1241153422443337</v>
      </c>
      <c r="S595" s="66">
        <f t="shared" ca="1" si="141"/>
        <v>1.1041322561381564</v>
      </c>
      <c r="T595" s="66">
        <f t="shared" ca="1" si="141"/>
        <v>1.084782436845203</v>
      </c>
      <c r="U595" s="66">
        <f t="shared" ca="1" si="141"/>
        <v>1.0681962719178588</v>
      </c>
      <c r="V595" s="66">
        <f t="shared" ca="1" si="141"/>
        <v>1.0470962119648242</v>
      </c>
      <c r="W595" s="66">
        <f t="shared" ca="1" si="141"/>
        <v>1.0291366373832804</v>
      </c>
      <c r="X595" s="66">
        <f t="shared" ca="1" si="141"/>
        <v>1.0130885165707475</v>
      </c>
      <c r="Y595" s="66">
        <f t="shared" ca="1" si="141"/>
        <v>0.99810440696953528</v>
      </c>
      <c r="Z595" s="66">
        <f t="shared" ca="1" si="141"/>
        <v>0.98377331712462746</v>
      </c>
      <c r="AA595" s="66">
        <f t="shared" ca="1" si="141"/>
        <v>0.96987178019926601</v>
      </c>
      <c r="AB595" s="66">
        <f t="shared" ca="1" si="141"/>
        <v>0.95626785161065486</v>
      </c>
      <c r="AC595" s="66">
        <f t="shared" ca="1" si="141"/>
        <v>0.94287860643524124</v>
      </c>
    </row>
    <row r="596" spans="1:29">
      <c r="C596" t="str">
        <f t="shared" si="131"/>
        <v>solar thermal trough</v>
      </c>
      <c r="D596" s="66">
        <f t="shared" ref="D596:AC596" si="142">IF(D378=0,0,D572/D378)</f>
        <v>0</v>
      </c>
      <c r="E596" s="66">
        <f t="shared" si="142"/>
        <v>0</v>
      </c>
      <c r="F596" s="66">
        <f t="shared" si="142"/>
        <v>0</v>
      </c>
      <c r="G596" s="66">
        <f t="shared" si="142"/>
        <v>0</v>
      </c>
      <c r="H596" s="66">
        <f t="shared" si="142"/>
        <v>0</v>
      </c>
      <c r="I596" s="66">
        <f t="shared" ca="1" si="142"/>
        <v>0</v>
      </c>
      <c r="J596" s="66">
        <f t="shared" ca="1" si="142"/>
        <v>0</v>
      </c>
      <c r="K596" s="66">
        <f t="shared" ca="1" si="142"/>
        <v>0</v>
      </c>
      <c r="L596" s="66">
        <f t="shared" ca="1" si="142"/>
        <v>0</v>
      </c>
      <c r="M596" s="66">
        <f t="shared" ca="1" si="142"/>
        <v>0</v>
      </c>
      <c r="N596" s="66">
        <f t="shared" ca="1" si="142"/>
        <v>0</v>
      </c>
      <c r="O596" s="66">
        <f t="shared" ca="1" si="142"/>
        <v>0</v>
      </c>
      <c r="P596" s="66">
        <f t="shared" ca="1" si="142"/>
        <v>0</v>
      </c>
      <c r="Q596" s="66">
        <f t="shared" ca="1" si="142"/>
        <v>0</v>
      </c>
      <c r="R596" s="66">
        <f t="shared" ca="1" si="142"/>
        <v>0</v>
      </c>
      <c r="S596" s="66">
        <f t="shared" ca="1" si="142"/>
        <v>0</v>
      </c>
      <c r="T596" s="66">
        <f t="shared" ca="1" si="142"/>
        <v>0</v>
      </c>
      <c r="U596" s="66">
        <f t="shared" ca="1" si="142"/>
        <v>0</v>
      </c>
      <c r="V596" s="66">
        <f t="shared" ca="1" si="142"/>
        <v>0</v>
      </c>
      <c r="W596" s="66">
        <f t="shared" ca="1" si="142"/>
        <v>0</v>
      </c>
      <c r="X596" s="66">
        <f t="shared" ca="1" si="142"/>
        <v>0</v>
      </c>
      <c r="Y596" s="66">
        <f t="shared" ca="1" si="142"/>
        <v>0</v>
      </c>
      <c r="Z596" s="66">
        <f t="shared" ca="1" si="142"/>
        <v>0</v>
      </c>
      <c r="AA596" s="66">
        <f t="shared" ca="1" si="142"/>
        <v>0</v>
      </c>
      <c r="AB596" s="66">
        <f t="shared" ca="1" si="142"/>
        <v>0</v>
      </c>
      <c r="AC596" s="66">
        <f t="shared" ca="1" si="142"/>
        <v>0</v>
      </c>
    </row>
    <row r="597" spans="1:29">
      <c r="C597" t="str">
        <f t="shared" si="131"/>
        <v>solar PV</v>
      </c>
      <c r="D597" s="66">
        <f t="shared" ref="D597:AC597" si="143">IF(D379=0,0,D573/D379)</f>
        <v>0</v>
      </c>
      <c r="E597" s="66">
        <f t="shared" si="143"/>
        <v>0</v>
      </c>
      <c r="F597" s="66">
        <f t="shared" si="143"/>
        <v>0</v>
      </c>
      <c r="G597" s="66">
        <f t="shared" si="143"/>
        <v>0</v>
      </c>
      <c r="H597" s="66">
        <f t="shared" si="143"/>
        <v>0</v>
      </c>
      <c r="I597" s="66">
        <f t="shared" ca="1" si="143"/>
        <v>0</v>
      </c>
      <c r="J597" s="66">
        <f t="shared" ca="1" si="143"/>
        <v>0</v>
      </c>
      <c r="K597" s="66">
        <f t="shared" ca="1" si="143"/>
        <v>0</v>
      </c>
      <c r="L597" s="66">
        <f t="shared" ca="1" si="143"/>
        <v>0</v>
      </c>
      <c r="M597" s="66">
        <f t="shared" ca="1" si="143"/>
        <v>0</v>
      </c>
      <c r="N597" s="66">
        <f t="shared" ca="1" si="143"/>
        <v>0</v>
      </c>
      <c r="O597" s="66">
        <f t="shared" ca="1" si="143"/>
        <v>0</v>
      </c>
      <c r="P597" s="66">
        <f t="shared" ca="1" si="143"/>
        <v>0</v>
      </c>
      <c r="Q597" s="66">
        <f t="shared" ca="1" si="143"/>
        <v>0</v>
      </c>
      <c r="R597" s="66">
        <f t="shared" ca="1" si="143"/>
        <v>0</v>
      </c>
      <c r="S597" s="66">
        <f t="shared" ca="1" si="143"/>
        <v>0</v>
      </c>
      <c r="T597" s="66">
        <f t="shared" ca="1" si="143"/>
        <v>0</v>
      </c>
      <c r="U597" s="66">
        <f t="shared" ca="1" si="143"/>
        <v>0</v>
      </c>
      <c r="V597" s="66">
        <f t="shared" ca="1" si="143"/>
        <v>0</v>
      </c>
      <c r="W597" s="66">
        <f t="shared" ca="1" si="143"/>
        <v>0</v>
      </c>
      <c r="X597" s="66">
        <f t="shared" ca="1" si="143"/>
        <v>0</v>
      </c>
      <c r="Y597" s="66">
        <f t="shared" ca="1" si="143"/>
        <v>0</v>
      </c>
      <c r="Z597" s="66">
        <f t="shared" ca="1" si="143"/>
        <v>0</v>
      </c>
      <c r="AA597" s="66">
        <f t="shared" ca="1" si="143"/>
        <v>0</v>
      </c>
      <c r="AB597" s="66">
        <f t="shared" ca="1" si="143"/>
        <v>0</v>
      </c>
      <c r="AC597" s="66">
        <f t="shared" ca="1" si="143"/>
        <v>0</v>
      </c>
    </row>
    <row r="598" spans="1:29">
      <c r="C598" t="str">
        <f t="shared" si="131"/>
        <v>combined cycle gas</v>
      </c>
      <c r="D598" s="66">
        <f t="shared" ref="D598:AC598" si="144">IF(D380=0,0,D574/D380)</f>
        <v>0</v>
      </c>
      <c r="E598" s="66">
        <f t="shared" si="144"/>
        <v>0</v>
      </c>
      <c r="F598" s="66">
        <f t="shared" si="144"/>
        <v>0</v>
      </c>
      <c r="G598" s="66">
        <f t="shared" si="144"/>
        <v>0</v>
      </c>
      <c r="H598" s="66">
        <f t="shared" si="144"/>
        <v>0</v>
      </c>
      <c r="I598" s="66">
        <f t="shared" ca="1" si="144"/>
        <v>0</v>
      </c>
      <c r="J598" s="66">
        <f t="shared" ca="1" si="144"/>
        <v>0</v>
      </c>
      <c r="K598" s="66">
        <f t="shared" ca="1" si="144"/>
        <v>0</v>
      </c>
      <c r="L598" s="66">
        <f t="shared" ca="1" si="144"/>
        <v>0</v>
      </c>
      <c r="M598" s="66">
        <f t="shared" ca="1" si="144"/>
        <v>0</v>
      </c>
      <c r="N598" s="66">
        <f t="shared" ca="1" si="144"/>
        <v>0</v>
      </c>
      <c r="O598" s="66">
        <f t="shared" ca="1" si="144"/>
        <v>0</v>
      </c>
      <c r="P598" s="66">
        <f t="shared" ca="1" si="144"/>
        <v>0</v>
      </c>
      <c r="Q598" s="66">
        <f t="shared" ca="1" si="144"/>
        <v>0</v>
      </c>
      <c r="R598" s="66">
        <f t="shared" ca="1" si="144"/>
        <v>0</v>
      </c>
      <c r="S598" s="66">
        <f t="shared" ca="1" si="144"/>
        <v>0</v>
      </c>
      <c r="T598" s="66">
        <f t="shared" ca="1" si="144"/>
        <v>0</v>
      </c>
      <c r="U598" s="66">
        <f t="shared" ca="1" si="144"/>
        <v>0</v>
      </c>
      <c r="V598" s="66">
        <f t="shared" ca="1" si="144"/>
        <v>0</v>
      </c>
      <c r="W598" s="66">
        <f t="shared" ca="1" si="144"/>
        <v>0</v>
      </c>
      <c r="X598" s="66">
        <f t="shared" ca="1" si="144"/>
        <v>0</v>
      </c>
      <c r="Y598" s="66">
        <f t="shared" ca="1" si="144"/>
        <v>0</v>
      </c>
      <c r="Z598" s="66">
        <f t="shared" ca="1" si="144"/>
        <v>0.85670014341304901</v>
      </c>
      <c r="AA598" s="66">
        <f t="shared" ca="1" si="144"/>
        <v>0.87393504285634682</v>
      </c>
      <c r="AB598" s="66">
        <f t="shared" ca="1" si="144"/>
        <v>0.89120596067837166</v>
      </c>
      <c r="AC598" s="66">
        <f t="shared" ca="1" si="144"/>
        <v>0.90872900715148575</v>
      </c>
    </row>
    <row r="599" spans="1:29">
      <c r="C599" t="str">
        <f t="shared" si="131"/>
        <v>PBMR</v>
      </c>
      <c r="D599" s="66">
        <f t="shared" ref="D599:AC599" si="145">IF(D381=0,0,D575/D381)</f>
        <v>0</v>
      </c>
      <c r="E599" s="66">
        <f t="shared" si="145"/>
        <v>0</v>
      </c>
      <c r="F599" s="66">
        <f t="shared" si="145"/>
        <v>0</v>
      </c>
      <c r="G599" s="66">
        <f t="shared" si="145"/>
        <v>0</v>
      </c>
      <c r="H599" s="66">
        <f t="shared" si="145"/>
        <v>0</v>
      </c>
      <c r="I599" s="66">
        <f t="shared" ca="1" si="145"/>
        <v>0</v>
      </c>
      <c r="J599" s="66">
        <f t="shared" ca="1" si="145"/>
        <v>0</v>
      </c>
      <c r="K599" s="66">
        <f t="shared" ca="1" si="145"/>
        <v>0</v>
      </c>
      <c r="L599" s="66">
        <f t="shared" ca="1" si="145"/>
        <v>0</v>
      </c>
      <c r="M599" s="66">
        <f t="shared" ca="1" si="145"/>
        <v>0</v>
      </c>
      <c r="N599" s="66">
        <f t="shared" ca="1" si="145"/>
        <v>0</v>
      </c>
      <c r="O599" s="66">
        <f t="shared" ca="1" si="145"/>
        <v>0</v>
      </c>
      <c r="P599" s="66">
        <f t="shared" ca="1" si="145"/>
        <v>0</v>
      </c>
      <c r="Q599" s="66">
        <f t="shared" ca="1" si="145"/>
        <v>0</v>
      </c>
      <c r="R599" s="66">
        <f t="shared" ca="1" si="145"/>
        <v>0</v>
      </c>
      <c r="S599" s="66">
        <f t="shared" ca="1" si="145"/>
        <v>0</v>
      </c>
      <c r="T599" s="66">
        <f t="shared" ca="1" si="145"/>
        <v>0</v>
      </c>
      <c r="U599" s="66">
        <f t="shared" ca="1" si="145"/>
        <v>0</v>
      </c>
      <c r="V599" s="66">
        <f t="shared" ca="1" si="145"/>
        <v>0</v>
      </c>
      <c r="W599" s="66">
        <f t="shared" ca="1" si="145"/>
        <v>0</v>
      </c>
      <c r="X599" s="66">
        <f t="shared" ca="1" si="145"/>
        <v>0</v>
      </c>
      <c r="Y599" s="66">
        <f t="shared" ca="1" si="145"/>
        <v>0</v>
      </c>
      <c r="Z599" s="66">
        <f t="shared" ca="1" si="145"/>
        <v>0</v>
      </c>
      <c r="AA599" s="66">
        <f t="shared" ca="1" si="145"/>
        <v>0</v>
      </c>
      <c r="AB599" s="66">
        <f t="shared" ca="1" si="145"/>
        <v>0</v>
      </c>
      <c r="AC599" s="66">
        <f t="shared" ca="1" si="145"/>
        <v>0</v>
      </c>
    </row>
    <row r="600" spans="1:29">
      <c r="C600" t="str">
        <f t="shared" si="131"/>
        <v>IGCC</v>
      </c>
      <c r="D600" s="66">
        <f t="shared" ref="D600:AC600" si="146">IF(D382=0,0,D576/D382)</f>
        <v>0</v>
      </c>
      <c r="E600" s="66">
        <f t="shared" ca="1" si="146"/>
        <v>7.8136324722333936E-2</v>
      </c>
      <c r="F600" s="66">
        <f t="shared" si="146"/>
        <v>0</v>
      </c>
      <c r="G600" s="66">
        <f t="shared" ca="1" si="146"/>
        <v>9.2304926855117139E-2</v>
      </c>
      <c r="H600" s="66">
        <f t="shared" ca="1" si="146"/>
        <v>9.2304926855117139E-2</v>
      </c>
      <c r="I600" s="66">
        <f t="shared" ca="1" si="146"/>
        <v>0</v>
      </c>
      <c r="J600" s="66">
        <f t="shared" ca="1" si="146"/>
        <v>0</v>
      </c>
      <c r="K600" s="66">
        <f t="shared" ca="1" si="146"/>
        <v>0</v>
      </c>
      <c r="L600" s="66">
        <f t="shared" ca="1" si="146"/>
        <v>0</v>
      </c>
      <c r="M600" s="66">
        <f t="shared" ca="1" si="146"/>
        <v>0</v>
      </c>
      <c r="N600" s="66">
        <f t="shared" ca="1" si="146"/>
        <v>0</v>
      </c>
      <c r="O600" s="66">
        <f t="shared" ca="1" si="146"/>
        <v>0</v>
      </c>
      <c r="P600" s="66">
        <f t="shared" ca="1" si="146"/>
        <v>0</v>
      </c>
      <c r="Q600" s="66">
        <f t="shared" ca="1" si="146"/>
        <v>0</v>
      </c>
      <c r="R600" s="66">
        <f t="shared" ca="1" si="146"/>
        <v>0</v>
      </c>
      <c r="S600" s="66">
        <f t="shared" ca="1" si="146"/>
        <v>0</v>
      </c>
      <c r="T600" s="66">
        <f t="shared" ca="1" si="146"/>
        <v>0</v>
      </c>
      <c r="U600" s="66">
        <f t="shared" ca="1" si="146"/>
        <v>0</v>
      </c>
      <c r="V600" s="66">
        <f t="shared" ca="1" si="146"/>
        <v>0</v>
      </c>
      <c r="W600" s="66">
        <f t="shared" ca="1" si="146"/>
        <v>0</v>
      </c>
      <c r="X600" s="66">
        <f t="shared" ca="1" si="146"/>
        <v>0</v>
      </c>
      <c r="Y600" s="66">
        <f t="shared" ca="1" si="146"/>
        <v>0</v>
      </c>
      <c r="Z600" s="66">
        <f t="shared" ca="1" si="146"/>
        <v>0</v>
      </c>
      <c r="AA600" s="66">
        <f t="shared" ca="1" si="146"/>
        <v>0</v>
      </c>
      <c r="AB600" s="66">
        <f t="shared" ca="1" si="146"/>
        <v>0.47370591481331664</v>
      </c>
      <c r="AC600" s="66">
        <f t="shared" ca="1" si="146"/>
        <v>0.47409418541534198</v>
      </c>
    </row>
    <row r="601" spans="1:29">
      <c r="C601" t="str">
        <f t="shared" si="131"/>
        <v>-</v>
      </c>
      <c r="D601" s="66">
        <f t="shared" ref="D601:AC601" si="147">IF(D383=0,0,D577/D383)</f>
        <v>0</v>
      </c>
      <c r="E601" s="66">
        <f t="shared" si="147"/>
        <v>0</v>
      </c>
      <c r="F601" s="66">
        <f t="shared" si="147"/>
        <v>0</v>
      </c>
      <c r="G601" s="66">
        <f t="shared" si="147"/>
        <v>0</v>
      </c>
      <c r="H601" s="66">
        <f t="shared" si="147"/>
        <v>0</v>
      </c>
      <c r="I601" s="66">
        <f t="shared" ca="1" si="147"/>
        <v>0</v>
      </c>
      <c r="J601" s="66">
        <f t="shared" ca="1" si="147"/>
        <v>0</v>
      </c>
      <c r="K601" s="66">
        <f t="shared" ca="1" si="147"/>
        <v>0</v>
      </c>
      <c r="L601" s="66">
        <f t="shared" ca="1" si="147"/>
        <v>0</v>
      </c>
      <c r="M601" s="66">
        <f t="shared" ca="1" si="147"/>
        <v>0</v>
      </c>
      <c r="N601" s="66">
        <f t="shared" ca="1" si="147"/>
        <v>0</v>
      </c>
      <c r="O601" s="66">
        <f t="shared" ca="1" si="147"/>
        <v>0</v>
      </c>
      <c r="P601" s="66">
        <f t="shared" ca="1" si="147"/>
        <v>0</v>
      </c>
      <c r="Q601" s="66">
        <f t="shared" ca="1" si="147"/>
        <v>0</v>
      </c>
      <c r="R601" s="66">
        <f t="shared" ca="1" si="147"/>
        <v>0</v>
      </c>
      <c r="S601" s="66">
        <f t="shared" ca="1" si="147"/>
        <v>0</v>
      </c>
      <c r="T601" s="66">
        <f t="shared" ca="1" si="147"/>
        <v>0</v>
      </c>
      <c r="U601" s="66">
        <f t="shared" ca="1" si="147"/>
        <v>0</v>
      </c>
      <c r="V601" s="66">
        <f t="shared" ca="1" si="147"/>
        <v>0</v>
      </c>
      <c r="W601" s="66">
        <f t="shared" ca="1" si="147"/>
        <v>0</v>
      </c>
      <c r="X601" s="66">
        <f t="shared" ca="1" si="147"/>
        <v>0</v>
      </c>
      <c r="Y601" s="66">
        <f t="shared" ca="1" si="147"/>
        <v>0</v>
      </c>
      <c r="Z601" s="66">
        <f t="shared" ca="1" si="147"/>
        <v>0</v>
      </c>
      <c r="AA601" s="66">
        <f t="shared" ca="1" si="147"/>
        <v>0</v>
      </c>
      <c r="AB601" s="66">
        <f t="shared" ca="1" si="147"/>
        <v>0</v>
      </c>
      <c r="AC601" s="66">
        <f t="shared" ca="1" si="147"/>
        <v>0</v>
      </c>
    </row>
    <row r="602" spans="1:29">
      <c r="C602" t="str">
        <f t="shared" si="131"/>
        <v>-</v>
      </c>
      <c r="D602" s="66">
        <f t="shared" ref="D602:AC602" si="148">IF(D384=0,0,D578/D384)</f>
        <v>0</v>
      </c>
      <c r="E602" s="66">
        <f t="shared" si="148"/>
        <v>0</v>
      </c>
      <c r="F602" s="66">
        <f t="shared" si="148"/>
        <v>0</v>
      </c>
      <c r="G602" s="66">
        <f t="shared" si="148"/>
        <v>0</v>
      </c>
      <c r="H602" s="66">
        <f t="shared" si="148"/>
        <v>0</v>
      </c>
      <c r="I602" s="66">
        <f t="shared" ca="1" si="148"/>
        <v>0</v>
      </c>
      <c r="J602" s="66">
        <f t="shared" ca="1" si="148"/>
        <v>0</v>
      </c>
      <c r="K602" s="66">
        <f t="shared" ca="1" si="148"/>
        <v>0</v>
      </c>
      <c r="L602" s="66">
        <f t="shared" ca="1" si="148"/>
        <v>0</v>
      </c>
      <c r="M602" s="66">
        <f t="shared" ca="1" si="148"/>
        <v>0</v>
      </c>
      <c r="N602" s="66">
        <f t="shared" ca="1" si="148"/>
        <v>0</v>
      </c>
      <c r="O602" s="66">
        <f t="shared" ca="1" si="148"/>
        <v>0</v>
      </c>
      <c r="P602" s="66">
        <f t="shared" ca="1" si="148"/>
        <v>0</v>
      </c>
      <c r="Q602" s="66">
        <f t="shared" ca="1" si="148"/>
        <v>0</v>
      </c>
      <c r="R602" s="66">
        <f t="shared" ca="1" si="148"/>
        <v>0</v>
      </c>
      <c r="S602" s="66">
        <f t="shared" ca="1" si="148"/>
        <v>0</v>
      </c>
      <c r="T602" s="66">
        <f t="shared" ca="1" si="148"/>
        <v>0</v>
      </c>
      <c r="U602" s="66">
        <f t="shared" ca="1" si="148"/>
        <v>0</v>
      </c>
      <c r="V602" s="66">
        <f t="shared" ca="1" si="148"/>
        <v>0</v>
      </c>
      <c r="W602" s="66">
        <f t="shared" ca="1" si="148"/>
        <v>0</v>
      </c>
      <c r="X602" s="66">
        <f t="shared" ca="1" si="148"/>
        <v>0</v>
      </c>
      <c r="Y602" s="66">
        <f t="shared" ca="1" si="148"/>
        <v>0</v>
      </c>
      <c r="Z602" s="66">
        <f t="shared" ca="1" si="148"/>
        <v>0</v>
      </c>
      <c r="AA602" s="66">
        <f t="shared" ca="1" si="148"/>
        <v>0</v>
      </c>
      <c r="AB602" s="66">
        <f t="shared" ca="1" si="148"/>
        <v>0</v>
      </c>
      <c r="AC602" s="66">
        <f t="shared" ca="1" si="148"/>
        <v>0</v>
      </c>
    </row>
    <row r="603" spans="1:29">
      <c r="C603" t="str">
        <f>C26</f>
        <v>-</v>
      </c>
      <c r="D603" s="66">
        <f t="shared" ref="D603:AC603" si="149">IF(D385=0,0,D579/D385)</f>
        <v>0</v>
      </c>
      <c r="E603" s="66">
        <f t="shared" si="149"/>
        <v>0</v>
      </c>
      <c r="F603" s="66">
        <f t="shared" si="149"/>
        <v>0</v>
      </c>
      <c r="G603" s="66">
        <f t="shared" si="149"/>
        <v>0</v>
      </c>
      <c r="H603" s="66">
        <f t="shared" si="149"/>
        <v>0</v>
      </c>
      <c r="I603" s="66">
        <f t="shared" ca="1" si="149"/>
        <v>0</v>
      </c>
      <c r="J603" s="66">
        <f t="shared" ca="1" si="149"/>
        <v>0</v>
      </c>
      <c r="K603" s="66">
        <f t="shared" ca="1" si="149"/>
        <v>0</v>
      </c>
      <c r="L603" s="66">
        <f t="shared" ca="1" si="149"/>
        <v>0</v>
      </c>
      <c r="M603" s="66">
        <f t="shared" ca="1" si="149"/>
        <v>0</v>
      </c>
      <c r="N603" s="66">
        <f t="shared" ca="1" si="149"/>
        <v>0</v>
      </c>
      <c r="O603" s="66">
        <f t="shared" ca="1" si="149"/>
        <v>0</v>
      </c>
      <c r="P603" s="66">
        <f t="shared" ca="1" si="149"/>
        <v>0</v>
      </c>
      <c r="Q603" s="66">
        <f t="shared" ca="1" si="149"/>
        <v>0</v>
      </c>
      <c r="R603" s="66">
        <f t="shared" ca="1" si="149"/>
        <v>0</v>
      </c>
      <c r="S603" s="66">
        <f t="shared" ca="1" si="149"/>
        <v>0</v>
      </c>
      <c r="T603" s="66">
        <f t="shared" ca="1" si="149"/>
        <v>0</v>
      </c>
      <c r="U603" s="66">
        <f t="shared" ca="1" si="149"/>
        <v>0</v>
      </c>
      <c r="V603" s="66">
        <f t="shared" ca="1" si="149"/>
        <v>0</v>
      </c>
      <c r="W603" s="66">
        <f t="shared" ca="1" si="149"/>
        <v>0</v>
      </c>
      <c r="X603" s="66">
        <f t="shared" ca="1" si="149"/>
        <v>0</v>
      </c>
      <c r="Y603" s="66">
        <f t="shared" ca="1" si="149"/>
        <v>0</v>
      </c>
      <c r="Z603" s="66">
        <f t="shared" ca="1" si="149"/>
        <v>0</v>
      </c>
      <c r="AA603" s="66">
        <f t="shared" ca="1" si="149"/>
        <v>0</v>
      </c>
      <c r="AB603" s="66">
        <f t="shared" ca="1" si="149"/>
        <v>0</v>
      </c>
      <c r="AC603" s="66">
        <f t="shared" ca="1" si="149"/>
        <v>0</v>
      </c>
    </row>
    <row r="604" spans="1:29">
      <c r="A604" s="67" t="s">
        <v>250</v>
      </c>
      <c r="C604" t="str">
        <f t="shared" si="131"/>
        <v>Pumped storage</v>
      </c>
      <c r="D604" s="66">
        <f t="shared" ref="D604:AC604" ca="1" si="150">IF(D386=0,0,D580/D386)</f>
        <v>2.9507433329432106E-2</v>
      </c>
      <c r="E604" s="66">
        <f t="shared" ca="1" si="150"/>
        <v>2.9507433329432106E-2</v>
      </c>
      <c r="F604" s="66">
        <f t="shared" ca="1" si="150"/>
        <v>2.9507433329432106E-2</v>
      </c>
      <c r="G604" s="66">
        <f t="shared" ca="1" si="150"/>
        <v>2.9507433329432106E-2</v>
      </c>
      <c r="H604" s="66">
        <f t="shared" ca="1" si="150"/>
        <v>2.9507433329432106E-2</v>
      </c>
      <c r="I604" s="66">
        <f t="shared" ca="1" si="150"/>
        <v>2.9507433329432106E-2</v>
      </c>
      <c r="J604" s="66">
        <f t="shared" ca="1" si="150"/>
        <v>2.9507433329432106E-2</v>
      </c>
      <c r="K604" s="66">
        <f t="shared" ca="1" si="150"/>
        <v>2.9507433329432106E-2</v>
      </c>
      <c r="L604" s="66">
        <f t="shared" ca="1" si="150"/>
        <v>0.22807099871415862</v>
      </c>
      <c r="M604" s="66">
        <f t="shared" ca="1" si="150"/>
        <v>0.33580809806438799</v>
      </c>
      <c r="N604" s="66">
        <f t="shared" ca="1" si="150"/>
        <v>0.40343736724846152</v>
      </c>
      <c r="O604" s="66">
        <f t="shared" ca="1" si="150"/>
        <v>0.44984086203263257</v>
      </c>
      <c r="P604" s="66">
        <f t="shared" ca="1" si="150"/>
        <v>0.44984086203263257</v>
      </c>
      <c r="Q604" s="66">
        <f t="shared" ca="1" si="150"/>
        <v>0.44984086203263257</v>
      </c>
      <c r="R604" s="66">
        <f t="shared" ca="1" si="150"/>
        <v>0.44984086203263257</v>
      </c>
      <c r="S604" s="66">
        <f t="shared" ca="1" si="150"/>
        <v>0.44984086203263257</v>
      </c>
      <c r="T604" s="66">
        <f t="shared" ca="1" si="150"/>
        <v>0.44984086203263257</v>
      </c>
      <c r="U604" s="66">
        <f t="shared" ca="1" si="150"/>
        <v>0.44984086203263257</v>
      </c>
      <c r="V604" s="66">
        <f t="shared" ca="1" si="150"/>
        <v>0.44984086203263257</v>
      </c>
      <c r="W604" s="66">
        <f t="shared" ca="1" si="150"/>
        <v>0.44984086203263257</v>
      </c>
      <c r="X604" s="66">
        <f t="shared" ca="1" si="150"/>
        <v>0.44984086203263257</v>
      </c>
      <c r="Y604" s="66">
        <f t="shared" ca="1" si="150"/>
        <v>0.44984086203263257</v>
      </c>
      <c r="Z604" s="66">
        <f t="shared" ca="1" si="150"/>
        <v>0.44984086203263257</v>
      </c>
      <c r="AA604" s="66">
        <f t="shared" ca="1" si="150"/>
        <v>0.44984086203263257</v>
      </c>
      <c r="AB604" s="66">
        <f t="shared" ca="1" si="150"/>
        <v>0.44984086203263257</v>
      </c>
      <c r="AC604" s="66">
        <f t="shared" ca="1" si="150"/>
        <v>0.44984086203263257</v>
      </c>
    </row>
    <row r="605" spans="1:29">
      <c r="A605" s="11" t="s">
        <v>137</v>
      </c>
      <c r="C605" s="4" t="s">
        <v>134</v>
      </c>
      <c r="D605" s="68">
        <f t="shared" ref="D605:AC605" ca="1" si="151">D581/D387</f>
        <v>9.3081558925848837E-2</v>
      </c>
      <c r="E605" s="68">
        <f t="shared" ca="1" si="151"/>
        <v>0.10111172940856715</v>
      </c>
      <c r="F605" s="68">
        <f t="shared" ca="1" si="151"/>
        <v>0.1073822276448695</v>
      </c>
      <c r="G605" s="68">
        <f t="shared" ca="1" si="151"/>
        <v>0.11253193533162395</v>
      </c>
      <c r="H605" s="68">
        <f t="shared" ca="1" si="151"/>
        <v>0.11103005156183383</v>
      </c>
      <c r="I605" s="68">
        <f t="shared" ca="1" si="151"/>
        <v>0.11213531685831545</v>
      </c>
      <c r="J605" s="68">
        <f t="shared" ca="1" si="151"/>
        <v>0.11882478129616292</v>
      </c>
      <c r="K605" s="68">
        <f t="shared" ca="1" si="151"/>
        <v>0.1268949691092762</v>
      </c>
      <c r="L605" s="68">
        <f t="shared" ca="1" si="151"/>
        <v>0.14518051558366465</v>
      </c>
      <c r="M605" s="68">
        <f t="shared" ca="1" si="151"/>
        <v>0.16848553004438802</v>
      </c>
      <c r="N605" s="68">
        <f t="shared" ca="1" si="151"/>
        <v>0.1945187059306244</v>
      </c>
      <c r="O605" s="68">
        <f t="shared" ca="1" si="151"/>
        <v>0.21424951956301871</v>
      </c>
      <c r="P605" s="68">
        <f t="shared" ca="1" si="151"/>
        <v>0.22944592022538995</v>
      </c>
      <c r="Q605" s="68">
        <f t="shared" ca="1" si="151"/>
        <v>0.24435882027107403</v>
      </c>
      <c r="R605" s="68">
        <f t="shared" ca="1" si="151"/>
        <v>0.266314274598487</v>
      </c>
      <c r="S605" s="68">
        <f t="shared" ca="1" si="151"/>
        <v>0.29157930763711365</v>
      </c>
      <c r="T605" s="68">
        <f t="shared" ca="1" si="151"/>
        <v>0.32196220212016691</v>
      </c>
      <c r="U605" s="68">
        <f t="shared" ca="1" si="151"/>
        <v>0.34676167569557836</v>
      </c>
      <c r="V605" s="68">
        <f t="shared" ca="1" si="151"/>
        <v>0.38184570652813377</v>
      </c>
      <c r="W605" s="68">
        <f t="shared" ca="1" si="151"/>
        <v>0.41297116575118181</v>
      </c>
      <c r="X605" s="68">
        <f t="shared" ca="1" si="151"/>
        <v>0.44043279825337994</v>
      </c>
      <c r="Y605" s="68">
        <f t="shared" ca="1" si="151"/>
        <v>0.46744601657030288</v>
      </c>
      <c r="Z605" s="68">
        <f t="shared" ca="1" si="151"/>
        <v>0.49551332361631439</v>
      </c>
      <c r="AA605" s="68">
        <f t="shared" ca="1" si="151"/>
        <v>0.52401939341596682</v>
      </c>
      <c r="AB605" s="68">
        <f t="shared" ca="1" si="151"/>
        <v>0.55694095727485204</v>
      </c>
      <c r="AC605" s="68">
        <f t="shared" ca="1" si="151"/>
        <v>0.58111484366678268</v>
      </c>
    </row>
    <row r="606" spans="1:29">
      <c r="C606" s="4" t="s">
        <v>652</v>
      </c>
      <c r="D606" s="68">
        <f ca="1">D582/D387</f>
        <v>9.3081558925848837E-2</v>
      </c>
      <c r="E606" s="68">
        <f t="shared" ref="E606:AC606" ca="1" si="152">E582/E387</f>
        <v>0.10111172940856715</v>
      </c>
      <c r="F606" s="68">
        <f t="shared" ca="1" si="152"/>
        <v>0.1073822276448695</v>
      </c>
      <c r="G606" s="68">
        <f t="shared" ca="1" si="152"/>
        <v>0.11253193533162395</v>
      </c>
      <c r="H606" s="68">
        <f t="shared" ca="1" si="152"/>
        <v>0.11103005156183383</v>
      </c>
      <c r="I606" s="68">
        <f t="shared" ca="1" si="152"/>
        <v>0.11213531685831545</v>
      </c>
      <c r="J606" s="68">
        <f t="shared" ca="1" si="152"/>
        <v>0.11882478129616292</v>
      </c>
      <c r="K606" s="68">
        <f t="shared" ca="1" si="152"/>
        <v>0.21958786214911746</v>
      </c>
      <c r="L606" s="68">
        <f t="shared" ca="1" si="152"/>
        <v>0.23715211022808946</v>
      </c>
      <c r="M606" s="68">
        <f t="shared" ca="1" si="152"/>
        <v>0.25977905901025378</v>
      </c>
      <c r="N606" s="68">
        <f t="shared" ca="1" si="152"/>
        <v>0.28463189606581712</v>
      </c>
      <c r="O606" s="68">
        <f t="shared" ca="1" si="152"/>
        <v>0.48079627090822735</v>
      </c>
      <c r="P606" s="68">
        <f t="shared" ca="1" si="152"/>
        <v>0.49210444029677236</v>
      </c>
      <c r="Q606" s="68">
        <f t="shared" ca="1" si="152"/>
        <v>0.50152927942361591</v>
      </c>
      <c r="R606" s="68">
        <f t="shared" ca="1" si="152"/>
        <v>0.5154426743891356</v>
      </c>
      <c r="S606" s="68">
        <f t="shared" ca="1" si="152"/>
        <v>0.69044664019011837</v>
      </c>
      <c r="T606" s="68">
        <f t="shared" ca="1" si="152"/>
        <v>0.70094711648264263</v>
      </c>
      <c r="U606" s="68">
        <f t="shared" ca="1" si="152"/>
        <v>0.71180654088754902</v>
      </c>
      <c r="V606" s="68">
        <f t="shared" ca="1" si="152"/>
        <v>0.72690974129037422</v>
      </c>
      <c r="W606" s="68">
        <f t="shared" ca="1" si="152"/>
        <v>0.73924637159788553</v>
      </c>
      <c r="X606" s="68">
        <f t="shared" ca="1" si="152"/>
        <v>0.74895154263465102</v>
      </c>
      <c r="Y606" s="68">
        <f t="shared" ca="1" si="152"/>
        <v>0.75922979015405712</v>
      </c>
      <c r="Z606" s="68">
        <f t="shared" ca="1" si="152"/>
        <v>0.76999625486589318</v>
      </c>
      <c r="AA606" s="68">
        <f t="shared" ca="1" si="152"/>
        <v>0.78125728425994734</v>
      </c>
      <c r="AB606" s="68">
        <f t="shared" ca="1" si="152"/>
        <v>0.79705108793823576</v>
      </c>
      <c r="AC606" s="68">
        <f t="shared" ca="1" si="152"/>
        <v>0.80721470217948343</v>
      </c>
    </row>
    <row r="608" spans="1:29">
      <c r="C608" s="4" t="s">
        <v>190</v>
      </c>
    </row>
    <row r="610" spans="3:29">
      <c r="C610" t="str">
        <f t="shared" ref="C610:C629" si="153">C8</f>
        <v>Existing coal Large</v>
      </c>
    </row>
    <row r="611" spans="3:29">
      <c r="C611" t="str">
        <f t="shared" si="153"/>
        <v>Existing coal Small</v>
      </c>
    </row>
    <row r="612" spans="3:29">
      <c r="C612" t="str">
        <f t="shared" si="153"/>
        <v>OCGT liquid fuels</v>
      </c>
      <c r="D612">
        <f t="array" ref="D612">SUM(E123:N123*'Tech Parameters'!$BL342:$BU342*'Tech Parameters'!H70:Q70)</f>
        <v>0</v>
      </c>
      <c r="E612">
        <f t="array" ref="E612">SUM(F123:O123*'Tech Parameters'!$BL342:$BU342*'Tech Parameters'!I70:R70)</f>
        <v>0</v>
      </c>
      <c r="F612">
        <f t="array" ref="F612">SUM(G123:P123*'Tech Parameters'!$BL342:$BU342*'Tech Parameters'!J70:S70)</f>
        <v>0</v>
      </c>
      <c r="G612">
        <f t="array" ref="G612">SUM(H123:Q123*'Tech Parameters'!$BL342:$BU342*'Tech Parameters'!K70:T70)</f>
        <v>299.85406508081212</v>
      </c>
      <c r="H612">
        <f t="array" ref="H612">SUM(I123:R123*'Tech Parameters'!$BL342:$BU342*'Tech Parameters'!L70:U70)</f>
        <v>1229.4016668313295</v>
      </c>
      <c r="I612">
        <f t="array" ref="I612">SUM(J123:S123*'Tech Parameters'!$BL342:$BU342*'Tech Parameters'!M70:V70)</f>
        <v>4650.7365494033957</v>
      </c>
      <c r="J612">
        <f t="array" ref="J612">SUM(K123:T123*'Tech Parameters'!$BL342:$BU342*'Tech Parameters'!N70:W70)</f>
        <v>0</v>
      </c>
      <c r="K612">
        <f t="array" ref="K612">SUM(L123:U123*'Tech Parameters'!$BL342:$BU342*'Tech Parameters'!O70:X70)</f>
        <v>0</v>
      </c>
      <c r="L612">
        <f t="array" ref="L612">SUM(M123:V123*'Tech Parameters'!$BL342:$BU342*'Tech Parameters'!P70:Y70)</f>
        <v>0</v>
      </c>
      <c r="M612">
        <f t="array" ref="M612">SUM(N123:W123*'Tech Parameters'!$BL342:$BU342*'Tech Parameters'!Q70:Z70)</f>
        <v>0</v>
      </c>
      <c r="N612">
        <f t="array" ref="N612">SUM(O123:X123*'Tech Parameters'!$BL342:$BU342*'Tech Parameters'!R70:AA70)</f>
        <v>0</v>
      </c>
      <c r="O612">
        <f t="array" ref="O612">SUM(P123:Y123*'Tech Parameters'!$BL342:$BU342*'Tech Parameters'!S70:AB70)</f>
        <v>0</v>
      </c>
      <c r="P612">
        <f t="array" ref="P612">SUM(Q123:Z123*'Tech Parameters'!$BL342:$BU342*'Tech Parameters'!T70:AC70)</f>
        <v>0</v>
      </c>
      <c r="Q612">
        <f t="array" ref="Q612">SUM(R123:AA123*'Tech Parameters'!$BL342:$BU342*'Tech Parameters'!U70:AD70)</f>
        <v>0</v>
      </c>
      <c r="R612">
        <f t="array" ref="R612">SUM(S123:AB123*'Tech Parameters'!$BL342:$BU342*'Tech Parameters'!V70:AE70)</f>
        <v>0</v>
      </c>
      <c r="S612">
        <f t="array" ref="S612">SUM(T123:AC123*'Tech Parameters'!$BL342:$BU342*'Tech Parameters'!W70:AF70)</f>
        <v>0</v>
      </c>
      <c r="T612">
        <f t="array" aca="1" ref="T612" ca="1">SUM(U123:AD123*'Tech Parameters'!$BL342:$BU342*'Tech Parameters'!X70:AG70)</f>
        <v>0</v>
      </c>
      <c r="U612">
        <f t="array" aca="1" ref="U612" ca="1">SUM(V123:AE123*'Tech Parameters'!$BL342:$BU342*'Tech Parameters'!Y70:AH70)</f>
        <v>0</v>
      </c>
      <c r="V612">
        <f t="array" aca="1" ref="V612" ca="1">SUM(W123:AF123*'Tech Parameters'!$BL342:$BU342*'Tech Parameters'!Z70:AI70)</f>
        <v>199.90271005387473</v>
      </c>
      <c r="W612">
        <f t="array" aca="1" ref="W612" ca="1">SUM(X123:AG123*'Tech Parameters'!$BL342:$BU342*'Tech Parameters'!AA70:AJ70)</f>
        <v>819.6011112208862</v>
      </c>
      <c r="X612">
        <f t="array" aca="1" ref="X612" ca="1">SUM(Y123:AH123*'Tech Parameters'!$BL342:$BU342*'Tech Parameters'!AB70:AK70)</f>
        <v>3100.4910329355966</v>
      </c>
      <c r="Y612">
        <f t="array" aca="1" ref="Y612" ca="1">SUM(Z123:AI123*'Tech Parameters'!$BL342:$BU342*'Tech Parameters'!AC70:AL70)</f>
        <v>266.53694673849964</v>
      </c>
      <c r="Z612">
        <f t="array" aca="1" ref="Z612" ca="1">SUM(AA123:AJ123*'Tech Parameters'!$BL342:$BU342*'Tech Parameters'!AD70:AM70)</f>
        <v>1359.3384283663481</v>
      </c>
      <c r="AA612">
        <f t="array" aca="1" ref="AA612" ca="1">SUM(AB123:AK123*'Tech Parameters'!$BL342:$BU342*'Tech Parameters'!AE70:AN70)</f>
        <v>5226.7895255419771</v>
      </c>
      <c r="AB612">
        <f t="array" aca="1" ref="AB612" ca="1">SUM(AC123:AL123*'Tech Parameters'!$BL342:$BU342*'Tech Parameters'!AF70:AO70)</f>
        <v>4133.9880439141289</v>
      </c>
      <c r="AC612">
        <f t="array" aca="1" ref="AC612" ca="1">SUM(AD123:AM123*'Tech Parameters'!$BL342:$BU342*'Tech Parameters'!AG70:AP70)</f>
        <v>0</v>
      </c>
    </row>
    <row r="613" spans="3:29">
      <c r="C613" t="str">
        <f t="shared" si="153"/>
        <v>PWR nuclear</v>
      </c>
      <c r="D613">
        <f t="array" ref="D613">SUM(E124:N124*'Tech Parameters'!$BL343:$BU343*'Tech Parameters'!H71:Q71)</f>
        <v>0</v>
      </c>
      <c r="E613">
        <f t="array" ref="E613">SUM(F124:O124*'Tech Parameters'!$BL343:$BU343*'Tech Parameters'!I71:R71)</f>
        <v>0</v>
      </c>
      <c r="F613">
        <f t="array" ref="F613">SUM(G124:P124*'Tech Parameters'!$BL343:$BU343*'Tech Parameters'!J71:S71)</f>
        <v>0</v>
      </c>
      <c r="G613">
        <f t="array" ref="G613">SUM(H124:Q124*'Tech Parameters'!$BL343:$BU343*'Tech Parameters'!K71:T71)</f>
        <v>0</v>
      </c>
      <c r="H613">
        <f t="array" ref="H613">SUM(I124:R124*'Tech Parameters'!$BL343:$BU343*'Tech Parameters'!L71:U71)</f>
        <v>0</v>
      </c>
      <c r="I613">
        <f t="array" ref="I613">SUM(J124:S124*'Tech Parameters'!$BL343:$BU343*'Tech Parameters'!M71:V71)</f>
        <v>0</v>
      </c>
      <c r="J613">
        <f t="array" ref="J613">SUM(K124:T124*'Tech Parameters'!$BL343:$BU343*'Tech Parameters'!N71:W71)</f>
        <v>0</v>
      </c>
      <c r="K613">
        <f t="array" ref="K613">SUM(L124:U124*'Tech Parameters'!$BL343:$BU343*'Tech Parameters'!O71:X71)</f>
        <v>0</v>
      </c>
      <c r="L613">
        <f t="array" ref="L613">SUM(M124:V124*'Tech Parameters'!$BL343:$BU343*'Tech Parameters'!P71:Y71)</f>
        <v>0</v>
      </c>
      <c r="M613">
        <f t="array" ref="M613">SUM(N124:W124*'Tech Parameters'!$BL343:$BU343*'Tech Parameters'!Q71:Z71)</f>
        <v>0</v>
      </c>
      <c r="N613">
        <f t="array" ref="N613">SUM(O124:X124*'Tech Parameters'!$BL343:$BU343*'Tech Parameters'!R71:AA71)</f>
        <v>0</v>
      </c>
      <c r="O613">
        <f t="array" ref="O613">SUM(P124:Y124*'Tech Parameters'!$BL343:$BU343*'Tech Parameters'!S71:AB71)</f>
        <v>0</v>
      </c>
      <c r="P613">
        <f t="array" ref="P613">SUM(Q124:Z124*'Tech Parameters'!$BL343:$BU343*'Tech Parameters'!T71:AC71)</f>
        <v>0</v>
      </c>
      <c r="Q613">
        <f t="array" ref="Q613">SUM(R124:AA124*'Tech Parameters'!$BL343:$BU343*'Tech Parameters'!U71:AD71)</f>
        <v>0</v>
      </c>
      <c r="R613">
        <f t="array" ref="R613">SUM(S124:AB124*'Tech Parameters'!$BL343:$BU343*'Tech Parameters'!V71:AE71)</f>
        <v>0</v>
      </c>
      <c r="S613">
        <f t="array" ref="S613">SUM(T124:AC124*'Tech Parameters'!$BL343:$BU343*'Tech Parameters'!W71:AF71)</f>
        <v>0</v>
      </c>
      <c r="T613">
        <f t="array" aca="1" ref="T613" ca="1">SUM(U124:AD124*'Tech Parameters'!$BL343:$BU343*'Tech Parameters'!X71:AG71)</f>
        <v>0</v>
      </c>
      <c r="U613">
        <f t="array" aca="1" ref="U613" ca="1">SUM(V124:AE124*'Tech Parameters'!$BL343:$BU343*'Tech Parameters'!Y71:AH71)</f>
        <v>0</v>
      </c>
      <c r="V613">
        <f t="array" aca="1" ref="V613" ca="1">SUM(W124:AF124*'Tech Parameters'!$BL343:$BU343*'Tech Parameters'!Z71:AI71)</f>
        <v>0</v>
      </c>
      <c r="W613">
        <f t="array" aca="1" ref="W613" ca="1">SUM(X124:AG124*'Tech Parameters'!$BL343:$BU343*'Tech Parameters'!AA71:AJ71)</f>
        <v>0</v>
      </c>
      <c r="X613">
        <f t="array" aca="1" ref="X613" ca="1">SUM(Y124:AH124*'Tech Parameters'!$BL343:$BU343*'Tech Parameters'!AB71:AK71)</f>
        <v>0</v>
      </c>
      <c r="Y613">
        <f t="array" aca="1" ref="Y613" ca="1">SUM(Z124:AI124*'Tech Parameters'!$BL343:$BU343*'Tech Parameters'!AC71:AL71)</f>
        <v>0</v>
      </c>
      <c r="Z613">
        <f t="array" aca="1" ref="Z613" ca="1">SUM(AA124:AJ124*'Tech Parameters'!$BL343:$BU343*'Tech Parameters'!AD71:AM71)</f>
        <v>0</v>
      </c>
      <c r="AA613">
        <f t="array" aca="1" ref="AA613" ca="1">SUM(AB124:AK124*'Tech Parameters'!$BL343:$BU343*'Tech Parameters'!AE71:AN71)</f>
        <v>0</v>
      </c>
      <c r="AB613">
        <f t="array" aca="1" ref="AB613" ca="1">SUM(AC124:AL124*'Tech Parameters'!$BL343:$BU343*'Tech Parameters'!AF71:AO71)</f>
        <v>0</v>
      </c>
      <c r="AC613">
        <f t="array" aca="1" ref="AC613" ca="1">SUM(AD124:AM124*'Tech Parameters'!$BL343:$BU343*'Tech Parameters'!AG71:AP71)</f>
        <v>0</v>
      </c>
    </row>
    <row r="614" spans="3:29">
      <c r="C614" t="str">
        <f t="shared" si="153"/>
        <v>Hydro</v>
      </c>
      <c r="D614">
        <f t="array" ref="D614">SUM(E125:N125*'Tech Parameters'!$BL344:$BU344*'Tech Parameters'!H72:Q72)</f>
        <v>0</v>
      </c>
      <c r="E614">
        <f t="array" ref="E614">SUM(F125:O125*'Tech Parameters'!$BL344:$BU344*'Tech Parameters'!I72:R72)</f>
        <v>0</v>
      </c>
      <c r="F614">
        <f t="array" ref="F614">SUM(G125:P125*'Tech Parameters'!$BL344:$BU344*'Tech Parameters'!J72:S72)</f>
        <v>0</v>
      </c>
      <c r="G614">
        <f t="array" ref="G614">SUM(H125:Q125*'Tech Parameters'!$BL344:$BU344*'Tech Parameters'!K72:T72)</f>
        <v>0</v>
      </c>
      <c r="H614">
        <f t="array" ref="H614">SUM(I125:R125*'Tech Parameters'!$BL344:$BU344*'Tech Parameters'!L72:U72)</f>
        <v>0</v>
      </c>
      <c r="I614">
        <f t="array" ref="I614">SUM(J125:S125*'Tech Parameters'!$BL344:$BU344*'Tech Parameters'!M72:V72)</f>
        <v>0</v>
      </c>
      <c r="J614">
        <f t="array" ref="J614">SUM(K125:T125*'Tech Parameters'!$BL344:$BU344*'Tech Parameters'!N72:W72)</f>
        <v>0</v>
      </c>
      <c r="K614">
        <f t="array" ref="K614">SUM(L125:U125*'Tech Parameters'!$BL344:$BU344*'Tech Parameters'!O72:X72)</f>
        <v>0</v>
      </c>
      <c r="L614">
        <f t="array" ref="L614">SUM(M125:V125*'Tech Parameters'!$BL344:$BU344*'Tech Parameters'!P72:Y72)</f>
        <v>0</v>
      </c>
      <c r="M614">
        <f t="array" ref="M614">SUM(N125:W125*'Tech Parameters'!$BL344:$BU344*'Tech Parameters'!Q72:Z72)</f>
        <v>0</v>
      </c>
      <c r="N614">
        <f t="array" ref="N614">SUM(O125:X125*'Tech Parameters'!$BL344:$BU344*'Tech Parameters'!R72:AA72)</f>
        <v>0</v>
      </c>
      <c r="O614">
        <f t="array" ref="O614">SUM(P125:Y125*'Tech Parameters'!$BL344:$BU344*'Tech Parameters'!S72:AB72)</f>
        <v>0</v>
      </c>
      <c r="P614">
        <f t="array" ref="P614">SUM(Q125:Z125*'Tech Parameters'!$BL344:$BU344*'Tech Parameters'!T72:AC72)</f>
        <v>0</v>
      </c>
      <c r="Q614">
        <f t="array" ref="Q614">SUM(R125:AA125*'Tech Parameters'!$BL344:$BU344*'Tech Parameters'!U72:AD72)</f>
        <v>0</v>
      </c>
      <c r="R614">
        <f t="array" ref="R614">SUM(S125:AB125*'Tech Parameters'!$BL344:$BU344*'Tech Parameters'!V72:AE72)</f>
        <v>0</v>
      </c>
      <c r="S614">
        <f t="array" ref="S614">SUM(T125:AC125*'Tech Parameters'!$BL344:$BU344*'Tech Parameters'!W72:AF72)</f>
        <v>0</v>
      </c>
      <c r="T614">
        <f t="array" aca="1" ref="T614" ca="1">SUM(U125:AD125*'Tech Parameters'!$BL344:$BU344*'Tech Parameters'!X72:AG72)</f>
        <v>0</v>
      </c>
      <c r="U614">
        <f t="array" aca="1" ref="U614" ca="1">SUM(V125:AE125*'Tech Parameters'!$BL344:$BU344*'Tech Parameters'!Y72:AH72)</f>
        <v>0</v>
      </c>
      <c r="V614">
        <f t="array" aca="1" ref="V614" ca="1">SUM(W125:AF125*'Tech Parameters'!$BL344:$BU344*'Tech Parameters'!Z72:AI72)</f>
        <v>0</v>
      </c>
      <c r="W614">
        <f t="array" aca="1" ref="W614" ca="1">SUM(X125:AG125*'Tech Parameters'!$BL344:$BU344*'Tech Parameters'!AA72:AJ72)</f>
        <v>0</v>
      </c>
      <c r="X614">
        <f t="array" aca="1" ref="X614" ca="1">SUM(Y125:AH125*'Tech Parameters'!$BL344:$BU344*'Tech Parameters'!AB72:AK72)</f>
        <v>0</v>
      </c>
      <c r="Y614">
        <f t="array" aca="1" ref="Y614" ca="1">SUM(Z125:AI125*'Tech Parameters'!$BL344:$BU344*'Tech Parameters'!AC72:AL72)</f>
        <v>0</v>
      </c>
      <c r="Z614">
        <f t="array" aca="1" ref="Z614" ca="1">SUM(AA125:AJ125*'Tech Parameters'!$BL344:$BU344*'Tech Parameters'!AD72:AM72)</f>
        <v>0</v>
      </c>
      <c r="AA614">
        <f t="array" aca="1" ref="AA614" ca="1">SUM(AB125:AK125*'Tech Parameters'!$BL344:$BU344*'Tech Parameters'!AE72:AN72)</f>
        <v>0</v>
      </c>
      <c r="AB614">
        <f t="array" aca="1" ref="AB614" ca="1">SUM(AC125:AL125*'Tech Parameters'!$BL344:$BU344*'Tech Parameters'!AF72:AO72)</f>
        <v>0</v>
      </c>
      <c r="AC614">
        <f t="array" aca="1" ref="AC614" ca="1">SUM(AD125:AM125*'Tech Parameters'!$BL344:$BU344*'Tech Parameters'!AG72:AP72)</f>
        <v>0</v>
      </c>
    </row>
    <row r="615" spans="3:29">
      <c r="C615" t="str">
        <f t="shared" si="153"/>
        <v>Landfill gas</v>
      </c>
      <c r="D615">
        <f t="array" ref="D615">SUM(E126:N126*'Tech Parameters'!$BL345:$BU345*'Tech Parameters'!H73:Q73)</f>
        <v>0</v>
      </c>
      <c r="E615">
        <f t="array" ref="E615">SUM(F126:O126*'Tech Parameters'!$BL345:$BU345*'Tech Parameters'!I73:R73)</f>
        <v>0</v>
      </c>
      <c r="F615">
        <f t="array" ref="F615">SUM(G126:P126*'Tech Parameters'!$BL345:$BU345*'Tech Parameters'!J73:S73)</f>
        <v>0</v>
      </c>
      <c r="G615">
        <f t="array" ref="G615">SUM(H126:Q126*'Tech Parameters'!$BL345:$BU345*'Tech Parameters'!K73:T73)</f>
        <v>0</v>
      </c>
      <c r="H615">
        <f t="array" ref="H615">SUM(I126:R126*'Tech Parameters'!$BL345:$BU345*'Tech Parameters'!L73:U73)</f>
        <v>0</v>
      </c>
      <c r="I615">
        <f t="array" ref="I615">SUM(J126:S126*'Tech Parameters'!$BL345:$BU345*'Tech Parameters'!M73:V73)</f>
        <v>0</v>
      </c>
      <c r="J615">
        <f t="array" ref="J615">SUM(K126:T126*'Tech Parameters'!$BL345:$BU345*'Tech Parameters'!N73:W73)</f>
        <v>0</v>
      </c>
      <c r="K615">
        <f t="array" ref="K615">SUM(L126:U126*'Tech Parameters'!$BL345:$BU345*'Tech Parameters'!O73:X73)</f>
        <v>0</v>
      </c>
      <c r="L615">
        <f t="array" ref="L615">SUM(M126:V126*'Tech Parameters'!$BL345:$BU345*'Tech Parameters'!P73:Y73)</f>
        <v>0</v>
      </c>
      <c r="M615">
        <f t="array" ref="M615">SUM(N126:W126*'Tech Parameters'!$BL345:$BU345*'Tech Parameters'!Q73:Z73)</f>
        <v>0</v>
      </c>
      <c r="N615">
        <f t="array" ref="N615">SUM(O126:X126*'Tech Parameters'!$BL345:$BU345*'Tech Parameters'!R73:AA73)</f>
        <v>0</v>
      </c>
      <c r="O615">
        <f t="array" ref="O615">SUM(P126:Y126*'Tech Parameters'!$BL345:$BU345*'Tech Parameters'!S73:AB73)</f>
        <v>0</v>
      </c>
      <c r="P615">
        <f t="array" ref="P615">SUM(Q126:Z126*'Tech Parameters'!$BL345:$BU345*'Tech Parameters'!T73:AC73)</f>
        <v>0</v>
      </c>
      <c r="Q615">
        <f t="array" ref="Q615">SUM(R126:AA126*'Tech Parameters'!$BL345:$BU345*'Tech Parameters'!U73:AD73)</f>
        <v>0</v>
      </c>
      <c r="R615">
        <f t="array" ref="R615">SUM(S126:AB126*'Tech Parameters'!$BL345:$BU345*'Tech Parameters'!V73:AE73)</f>
        <v>0</v>
      </c>
      <c r="S615">
        <f t="array" ref="S615">SUM(T126:AC126*'Tech Parameters'!$BL345:$BU345*'Tech Parameters'!W73:AF73)</f>
        <v>0</v>
      </c>
      <c r="T615">
        <f t="array" aca="1" ref="T615" ca="1">SUM(U126:AD126*'Tech Parameters'!$BL345:$BU345*'Tech Parameters'!X73:AG73)</f>
        <v>0</v>
      </c>
      <c r="U615">
        <f t="array" aca="1" ref="U615" ca="1">SUM(V126:AE126*'Tech Parameters'!$BL345:$BU345*'Tech Parameters'!Y73:AH73)</f>
        <v>0</v>
      </c>
      <c r="V615">
        <f t="array" aca="1" ref="V615" ca="1">SUM(W126:AF126*'Tech Parameters'!$BL345:$BU345*'Tech Parameters'!Z73:AI73)</f>
        <v>0</v>
      </c>
      <c r="W615">
        <f t="array" aca="1" ref="W615" ca="1">SUM(X126:AG126*'Tech Parameters'!$BL345:$BU345*'Tech Parameters'!AA73:AJ73)</f>
        <v>0</v>
      </c>
      <c r="X615">
        <f t="array" aca="1" ref="X615" ca="1">SUM(Y126:AH126*'Tech Parameters'!$BL345:$BU345*'Tech Parameters'!AB73:AK73)</f>
        <v>0</v>
      </c>
      <c r="Y615">
        <f t="array" aca="1" ref="Y615" ca="1">SUM(Z126:AI126*'Tech Parameters'!$BL345:$BU345*'Tech Parameters'!AC73:AL73)</f>
        <v>0</v>
      </c>
      <c r="Z615">
        <f t="array" aca="1" ref="Z615" ca="1">SUM(AA126:AJ126*'Tech Parameters'!$BL345:$BU345*'Tech Parameters'!AD73:AM73)</f>
        <v>0</v>
      </c>
      <c r="AA615">
        <f t="array" aca="1" ref="AA615" ca="1">SUM(AB126:AK126*'Tech Parameters'!$BL345:$BU345*'Tech Parameters'!AE73:AN73)</f>
        <v>0</v>
      </c>
      <c r="AB615">
        <f t="array" aca="1" ref="AB615" ca="1">SUM(AC126:AL126*'Tech Parameters'!$BL345:$BU345*'Tech Parameters'!AF73:AO73)</f>
        <v>0</v>
      </c>
      <c r="AC615">
        <f t="array" aca="1" ref="AC615" ca="1">SUM(AD126:AM126*'Tech Parameters'!$BL345:$BU345*'Tech Parameters'!AG73:AP73)</f>
        <v>0</v>
      </c>
    </row>
    <row r="616" spans="3:29">
      <c r="C616" t="str">
        <f t="shared" si="153"/>
        <v>Biomass</v>
      </c>
      <c r="D616">
        <f t="array" ref="D616">SUM(E127:N127*'Tech Parameters'!$BL346:$BU346*'Tech Parameters'!H74:Q74)</f>
        <v>0</v>
      </c>
      <c r="E616">
        <f t="array" ref="E616">SUM(F127:O127*'Tech Parameters'!$BL346:$BU346*'Tech Parameters'!I74:R74)</f>
        <v>0</v>
      </c>
      <c r="F616">
        <f t="array" ref="F616">SUM(G127:P127*'Tech Parameters'!$BL346:$BU346*'Tech Parameters'!J74:S74)</f>
        <v>0</v>
      </c>
      <c r="G616">
        <f t="array" ref="G616">SUM(H127:Q127*'Tech Parameters'!$BL346:$BU346*'Tech Parameters'!K74:T74)</f>
        <v>0</v>
      </c>
      <c r="H616">
        <f t="array" ref="H616">SUM(I127:R127*'Tech Parameters'!$BL346:$BU346*'Tech Parameters'!L74:U74)</f>
        <v>0</v>
      </c>
      <c r="I616">
        <f t="array" ref="I616">SUM(J127:S127*'Tech Parameters'!$BL346:$BU346*'Tech Parameters'!M74:V74)</f>
        <v>0</v>
      </c>
      <c r="J616">
        <f t="array" ref="J616">SUM(K127:T127*'Tech Parameters'!$BL346:$BU346*'Tech Parameters'!N74:W74)</f>
        <v>0</v>
      </c>
      <c r="K616">
        <f t="array" ref="K616">SUM(L127:U127*'Tech Parameters'!$BL346:$BU346*'Tech Parameters'!O74:X74)</f>
        <v>0</v>
      </c>
      <c r="L616">
        <f t="array" ref="L616">SUM(M127:V127*'Tech Parameters'!$BL346:$BU346*'Tech Parameters'!P74:Y74)</f>
        <v>0</v>
      </c>
      <c r="M616">
        <f t="array" ref="M616">SUM(N127:W127*'Tech Parameters'!$BL346:$BU346*'Tech Parameters'!Q74:Z74)</f>
        <v>0</v>
      </c>
      <c r="N616">
        <f t="array" ref="N616">SUM(O127:X127*'Tech Parameters'!$BL346:$BU346*'Tech Parameters'!R74:AA74)</f>
        <v>0</v>
      </c>
      <c r="O616">
        <f t="array" ref="O616">SUM(P127:Y127*'Tech Parameters'!$BL346:$BU346*'Tech Parameters'!S74:AB74)</f>
        <v>0</v>
      </c>
      <c r="P616">
        <f t="array" ref="P616">SUM(Q127:Z127*'Tech Parameters'!$BL346:$BU346*'Tech Parameters'!T74:AC74)</f>
        <v>0</v>
      </c>
      <c r="Q616">
        <f t="array" ref="Q616">SUM(R127:AA127*'Tech Parameters'!$BL346:$BU346*'Tech Parameters'!U74:AD74)</f>
        <v>0</v>
      </c>
      <c r="R616">
        <f t="array" ref="R616">SUM(S127:AB127*'Tech Parameters'!$BL346:$BU346*'Tech Parameters'!V74:AE74)</f>
        <v>0</v>
      </c>
      <c r="S616">
        <f t="array" ref="S616">SUM(T127:AC127*'Tech Parameters'!$BL346:$BU346*'Tech Parameters'!W74:AF74)</f>
        <v>0</v>
      </c>
      <c r="T616">
        <f t="array" aca="1" ref="T616" ca="1">SUM(U127:AD127*'Tech Parameters'!$BL346:$BU346*'Tech Parameters'!X74:AG74)</f>
        <v>0</v>
      </c>
      <c r="U616">
        <f t="array" aca="1" ref="U616" ca="1">SUM(V127:AE127*'Tech Parameters'!$BL346:$BU346*'Tech Parameters'!Y74:AH74)</f>
        <v>0</v>
      </c>
      <c r="V616">
        <f t="array" aca="1" ref="V616" ca="1">SUM(W127:AF127*'Tech Parameters'!$BL346:$BU346*'Tech Parameters'!Z74:AI74)</f>
        <v>0</v>
      </c>
      <c r="W616">
        <f t="array" aca="1" ref="W616" ca="1">SUM(X127:AG127*'Tech Parameters'!$BL346:$BU346*'Tech Parameters'!AA74:AJ74)</f>
        <v>0</v>
      </c>
      <c r="X616">
        <f t="array" aca="1" ref="X616" ca="1">SUM(Y127:AH127*'Tech Parameters'!$BL346:$BU346*'Tech Parameters'!AB74:AK74)</f>
        <v>0</v>
      </c>
      <c r="Y616">
        <f t="array" aca="1" ref="Y616" ca="1">SUM(Z127:AI127*'Tech Parameters'!$BL346:$BU346*'Tech Parameters'!AC74:AL74)</f>
        <v>0</v>
      </c>
      <c r="Z616">
        <f t="array" aca="1" ref="Z616" ca="1">SUM(AA127:AJ127*'Tech Parameters'!$BL346:$BU346*'Tech Parameters'!AD74:AM74)</f>
        <v>0</v>
      </c>
      <c r="AA616">
        <f t="array" aca="1" ref="AA616" ca="1">SUM(AB127:AK127*'Tech Parameters'!$BL346:$BU346*'Tech Parameters'!AE74:AN74)</f>
        <v>0</v>
      </c>
      <c r="AB616">
        <f t="array" aca="1" ref="AB616" ca="1">SUM(AC127:AL127*'Tech Parameters'!$BL346:$BU346*'Tech Parameters'!AF74:AO74)</f>
        <v>0</v>
      </c>
      <c r="AC616">
        <f t="array" aca="1" ref="AC616" ca="1">SUM(AD127:AM127*'Tech Parameters'!$BL346:$BU346*'Tech Parameters'!AG74:AP74)</f>
        <v>0</v>
      </c>
    </row>
    <row r="617" spans="3:29">
      <c r="C617" t="str">
        <f t="shared" si="153"/>
        <v>Supercritical coal</v>
      </c>
      <c r="D617">
        <f t="array" ref="D617">SUM(E128:N128*'Tech Parameters'!$BL347:$BU347*'Tech Parameters'!H75:Q75)</f>
        <v>0</v>
      </c>
      <c r="E617">
        <f t="array" ref="E617">SUM(F128:O128*'Tech Parameters'!$BL347:$BU347*'Tech Parameters'!I75:R75)</f>
        <v>663.75232174368716</v>
      </c>
      <c r="F617">
        <f t="array" ref="F617">SUM(G128:P128*'Tech Parameters'!$BL347:$BU347*'Tech Parameters'!J75:S75)</f>
        <v>2053.5222759085655</v>
      </c>
      <c r="G617">
        <f t="array" ref="G617">SUM(H128:Q128*'Tech Parameters'!$BL347:$BU347*'Tech Parameters'!K75:T75)</f>
        <v>3813.0002183239285</v>
      </c>
      <c r="H617">
        <f t="array" ref="H617">SUM(I128:R128*'Tech Parameters'!$BL347:$BU347*'Tech Parameters'!L75:U75)</f>
        <v>9740.6803993905232</v>
      </c>
      <c r="I617">
        <f t="array" ref="I617">SUM(J128:S128*'Tech Parameters'!$BL347:$BU347*'Tech Parameters'!M75:V75)</f>
        <v>21245.764687606472</v>
      </c>
      <c r="J617">
        <f t="array" ref="J617">SUM(K128:T128*'Tech Parameters'!$BL347:$BU347*'Tech Parameters'!N75:W75)</f>
        <v>33660.51600492774</v>
      </c>
      <c r="K617">
        <f t="array" ref="K617">SUM(L128:U128*'Tech Parameters'!$BL347:$BU347*'Tech Parameters'!O75:X75)</f>
        <v>40832.294020975503</v>
      </c>
      <c r="L617">
        <f t="array" ref="L617">SUM(M128:V128*'Tech Parameters'!$BL347:$BU347*'Tech Parameters'!P75:Y75)</f>
        <v>36903.242010993425</v>
      </c>
      <c r="M617">
        <f t="array" ref="M617">SUM(N128:W128*'Tech Parameters'!$BL347:$BU347*'Tech Parameters'!Q75:Z75)</f>
        <v>24748.18368680634</v>
      </c>
      <c r="N617">
        <f t="array" ref="N617">SUM(O128:X128*'Tech Parameters'!$BL347:$BU347*'Tech Parameters'!R75:AA75)</f>
        <v>10987.519325964422</v>
      </c>
      <c r="O617">
        <f t="array" ref="O617">SUM(P128:Y128*'Tech Parameters'!$BL347:$BU347*'Tech Parameters'!S75:AB75)</f>
        <v>2044.9075927566316</v>
      </c>
      <c r="P617">
        <f t="array" ref="P617">SUM(Q128:Z128*'Tech Parameters'!$BL347:$BU347*'Tech Parameters'!T75:AC75)</f>
        <v>0</v>
      </c>
      <c r="Q617">
        <f t="array" ref="Q617">SUM(R128:AA128*'Tech Parameters'!$BL347:$BU347*'Tech Parameters'!U75:AD75)</f>
        <v>0</v>
      </c>
      <c r="R617">
        <f t="array" ref="R617">SUM(S128:AB128*'Tech Parameters'!$BL347:$BU347*'Tech Parameters'!V75:AE75)</f>
        <v>0</v>
      </c>
      <c r="S617">
        <f t="array" ref="S617">SUM(T128:AC128*'Tech Parameters'!$BL347:$BU347*'Tech Parameters'!W75:AF75)</f>
        <v>0</v>
      </c>
      <c r="T617">
        <f t="array" aca="1" ref="T617" ca="1">SUM(U128:AD128*'Tech Parameters'!$BL347:$BU347*'Tech Parameters'!X75:AG75)</f>
        <v>0</v>
      </c>
      <c r="U617">
        <f t="array" aca="1" ref="U617" ca="1">SUM(V128:AE128*'Tech Parameters'!$BL347:$BU347*'Tech Parameters'!Y75:AH75)</f>
        <v>0</v>
      </c>
      <c r="V617">
        <f t="array" aca="1" ref="V617" ca="1">SUM(W128:AF128*'Tech Parameters'!$BL347:$BU347*'Tech Parameters'!Z75:AI75)</f>
        <v>0</v>
      </c>
      <c r="W617">
        <f t="array" aca="1" ref="W617" ca="1">SUM(X128:AG128*'Tech Parameters'!$BL347:$BU347*'Tech Parameters'!AA75:AJ75)</f>
        <v>0</v>
      </c>
      <c r="X617">
        <f t="array" aca="1" ref="X617" ca="1">SUM(Y128:AH128*'Tech Parameters'!$BL347:$BU347*'Tech Parameters'!AB75:AK75)</f>
        <v>0</v>
      </c>
      <c r="Y617">
        <f t="array" aca="1" ref="Y617" ca="1">SUM(Z128:AI128*'Tech Parameters'!$BL347:$BU347*'Tech Parameters'!AC75:AL75)</f>
        <v>0</v>
      </c>
      <c r="Z617">
        <f t="array" aca="1" ref="Z617" ca="1">SUM(AA128:AJ128*'Tech Parameters'!$BL347:$BU347*'Tech Parameters'!AD75:AM75)</f>
        <v>0</v>
      </c>
      <c r="AA617">
        <f t="array" aca="1" ref="AA617" ca="1">SUM(AB128:AK128*'Tech Parameters'!$BL347:$BU347*'Tech Parameters'!AE75:AN75)</f>
        <v>0</v>
      </c>
      <c r="AB617">
        <f t="array" aca="1" ref="AB617" ca="1">SUM(AC128:AL128*'Tech Parameters'!$BL347:$BU347*'Tech Parameters'!AF75:AO75)</f>
        <v>0</v>
      </c>
      <c r="AC617">
        <f t="array" aca="1" ref="AC617" ca="1">SUM(AD128:AM128*'Tech Parameters'!$BL347:$BU347*'Tech Parameters'!AG75:AP75)</f>
        <v>0</v>
      </c>
    </row>
    <row r="618" spans="3:29">
      <c r="C618" t="str">
        <f t="shared" si="153"/>
        <v xml:space="preserve">Wind 30% </v>
      </c>
      <c r="D618">
        <f t="array" ref="D618">SUM(E129:N129*'Tech Parameters'!$BL348:$BU348*'Tech Parameters'!H76:Q76)</f>
        <v>0</v>
      </c>
      <c r="E618">
        <f t="array" ref="E618">SUM(F129:O129*'Tech Parameters'!$BL348:$BU348*'Tech Parameters'!I76:R76)</f>
        <v>0</v>
      </c>
      <c r="F618">
        <f t="array" ref="F618">SUM(G129:P129*'Tech Parameters'!$BL348:$BU348*'Tech Parameters'!J76:S76)</f>
        <v>75.703206024444654</v>
      </c>
      <c r="G618">
        <f t="array" ref="G618">SUM(H129:Q129*'Tech Parameters'!$BL348:$BU348*'Tech Parameters'!K76:T76)</f>
        <v>457.80517748466798</v>
      </c>
      <c r="H618">
        <f t="array" ref="H618">SUM(I129:R129*'Tech Parameters'!$BL348:$BU348*'Tech Parameters'!L76:U76)</f>
        <v>1922.0247133753612</v>
      </c>
      <c r="I618">
        <f t="array" ref="I618">SUM(J129:S129*'Tech Parameters'!$BL348:$BU348*'Tech Parameters'!M76:V76)</f>
        <v>3154.3135322827429</v>
      </c>
      <c r="J618">
        <f t="array" ref="J618">SUM(K129:T129*'Tech Parameters'!$BL348:$BU348*'Tech Parameters'!N76:W76)</f>
        <v>3644.0335876756112</v>
      </c>
      <c r="K618">
        <f t="array" ref="K618">SUM(L129:U129*'Tech Parameters'!$BL348:$BU348*'Tech Parameters'!O76:X76)</f>
        <v>5986.2987508304568</v>
      </c>
      <c r="L618">
        <f t="array" ref="L618">SUM(M129:V129*'Tech Parameters'!$BL348:$BU348*'Tech Parameters'!P76:Y76)</f>
        <v>6919.2889681512988</v>
      </c>
      <c r="M618">
        <f t="array" ref="M618">SUM(N129:W129*'Tech Parameters'!$BL348:$BU348*'Tech Parameters'!Q76:Z76)</f>
        <v>10981.156440530671</v>
      </c>
      <c r="N618">
        <f t="array" ref="N618">SUM(O129:X129*'Tech Parameters'!$BL348:$BU348*'Tech Parameters'!R76:AA76)</f>
        <v>11222.131698444271</v>
      </c>
      <c r="O618">
        <f t="array" ref="O618">SUM(P129:Y129*'Tech Parameters'!$BL348:$BU348*'Tech Parameters'!S76:AB76)</f>
        <v>13261.686037610511</v>
      </c>
      <c r="P618">
        <f t="array" ref="P618">SUM(Q129:Z129*'Tech Parameters'!$BL348:$BU348*'Tech Parameters'!T76:AC76)</f>
        <v>14232.988452186544</v>
      </c>
      <c r="Q618">
        <f t="array" ref="Q618">SUM(R129:AA129*'Tech Parameters'!$BL348:$BU348*'Tech Parameters'!U76:AD76)</f>
        <v>18929.746838458821</v>
      </c>
      <c r="R618">
        <f t="array" ref="R618">SUM(S129:AB129*'Tech Parameters'!$BL348:$BU348*'Tech Parameters'!V76:AE76)</f>
        <v>18579.063291250448</v>
      </c>
      <c r="S618">
        <f t="array" ref="S618">SUM(T129:AC129*'Tech Parameters'!$BL348:$BU348*'Tech Parameters'!W76:AF76)</f>
        <v>18020.215849371169</v>
      </c>
      <c r="T618">
        <f t="array" aca="1" ref="T618" ca="1">SUM(U129:AD129*'Tech Parameters'!$BL348:$BU348*'Tech Parameters'!X76:AG76)</f>
        <v>0</v>
      </c>
      <c r="U618">
        <f t="array" aca="1" ref="U618" ca="1">SUM(V129:AE129*'Tech Parameters'!$BL348:$BU348*'Tech Parameters'!Y76:AH76)</f>
        <v>0</v>
      </c>
      <c r="V618">
        <f t="array" aca="1" ref="V618" ca="1">SUM(W129:AF129*'Tech Parameters'!$BL348:$BU348*'Tech Parameters'!Z76:AI76)</f>
        <v>0</v>
      </c>
      <c r="W618">
        <f t="array" aca="1" ref="W618" ca="1">SUM(X129:AG129*'Tech Parameters'!$BL348:$BU348*'Tech Parameters'!AA76:AJ76)</f>
        <v>0</v>
      </c>
      <c r="X618">
        <f t="array" aca="1" ref="X618" ca="1">SUM(Y129:AH129*'Tech Parameters'!$BL348:$BU348*'Tech Parameters'!AB76:AK76)</f>
        <v>0</v>
      </c>
      <c r="Y618">
        <f t="array" aca="1" ref="Y618" ca="1">SUM(Z129:AI129*'Tech Parameters'!$BL348:$BU348*'Tech Parameters'!AC76:AL76)</f>
        <v>0</v>
      </c>
      <c r="Z618">
        <f t="array" aca="1" ref="Z618" ca="1">SUM(AA129:AJ129*'Tech Parameters'!$BL348:$BU348*'Tech Parameters'!AD76:AM76)</f>
        <v>0</v>
      </c>
      <c r="AA618">
        <f t="array" aca="1" ref="AA618" ca="1">SUM(AB129:AK129*'Tech Parameters'!$BL348:$BU348*'Tech Parameters'!AE76:AN76)</f>
        <v>109.35011703642387</v>
      </c>
      <c r="AB618">
        <f t="array" aca="1" ref="AB618" ca="1">SUM(AC129:AL129*'Tech Parameters'!$BL348:$BU348*'Tech Parameters'!AF76:AO76)</f>
        <v>557.00215865428402</v>
      </c>
      <c r="AC618">
        <f t="array" aca="1" ref="AC618" ca="1">SUM(AD129:AM129*'Tech Parameters'!$BL348:$BU348*'Tech Parameters'!AG76:AP76)</f>
        <v>2357.520179482151</v>
      </c>
    </row>
    <row r="619" spans="3:29">
      <c r="C619" t="str">
        <f t="shared" si="153"/>
        <v>Wind 25%</v>
      </c>
      <c r="D619">
        <f t="array" ref="D619">SUM(E130:N130*'Tech Parameters'!$BL349:$BU349*'Tech Parameters'!H77:Q77)</f>
        <v>0</v>
      </c>
      <c r="E619">
        <f t="array" ref="E619">SUM(F130:O130*'Tech Parameters'!$BL349:$BU349*'Tech Parameters'!I77:R77)</f>
        <v>0</v>
      </c>
      <c r="F619">
        <f t="array" ref="F619">SUM(G130:P130*'Tech Parameters'!$BL349:$BU349*'Tech Parameters'!J77:S77)</f>
        <v>0</v>
      </c>
      <c r="G619">
        <f t="array" ref="G619">SUM(H130:Q130*'Tech Parameters'!$BL349:$BU349*'Tech Parameters'!K77:T77)</f>
        <v>0</v>
      </c>
      <c r="H619">
        <f t="array" ref="H619">SUM(I130:R130*'Tech Parameters'!$BL349:$BU349*'Tech Parameters'!L77:U77)</f>
        <v>0</v>
      </c>
      <c r="I619">
        <f t="array" ref="I619">SUM(J130:S130*'Tech Parameters'!$BL349:$BU349*'Tech Parameters'!M77:V77)</f>
        <v>0</v>
      </c>
      <c r="J619">
        <f t="array" ref="J619">SUM(K130:T130*'Tech Parameters'!$BL349:$BU349*'Tech Parameters'!N77:W77)</f>
        <v>0</v>
      </c>
      <c r="K619">
        <f t="array" ref="K619">SUM(L130:U130*'Tech Parameters'!$BL349:$BU349*'Tech Parameters'!O77:X77)</f>
        <v>0</v>
      </c>
      <c r="L619">
        <f t="array" ref="L619">SUM(M130:V130*'Tech Parameters'!$BL349:$BU349*'Tech Parameters'!P77:Y77)</f>
        <v>0</v>
      </c>
      <c r="M619">
        <f t="array" ref="M619">SUM(N130:W130*'Tech Parameters'!$BL349:$BU349*'Tech Parameters'!Q77:Z77)</f>
        <v>0</v>
      </c>
      <c r="N619">
        <f t="array" ref="N619">SUM(O130:X130*'Tech Parameters'!$BL349:$BU349*'Tech Parameters'!R77:AA77)</f>
        <v>0</v>
      </c>
      <c r="O619">
        <f t="array" ref="O619">SUM(P130:Y130*'Tech Parameters'!$BL349:$BU349*'Tech Parameters'!S77:AB77)</f>
        <v>0</v>
      </c>
      <c r="P619">
        <f t="array" ref="P619">SUM(Q130:Z130*'Tech Parameters'!$BL349:$BU349*'Tech Parameters'!T77:AC77)</f>
        <v>0</v>
      </c>
      <c r="Q619">
        <f t="array" ref="Q619">SUM(R130:AA130*'Tech Parameters'!$BL349:$BU349*'Tech Parameters'!U77:AD77)</f>
        <v>0</v>
      </c>
      <c r="R619">
        <f t="array" ref="R619">SUM(S130:AB130*'Tech Parameters'!$BL349:$BU349*'Tech Parameters'!V77:AE77)</f>
        <v>577.50530559861352</v>
      </c>
      <c r="S619">
        <f t="array" ref="S619">SUM(T130:AC130*'Tech Parameters'!$BL349:$BU349*'Tech Parameters'!W77:AF77)</f>
        <v>2941.8598673955403</v>
      </c>
      <c r="T619">
        <f t="array" aca="1" ref="T619" ca="1">SUM(U130:AD130*'Tech Parameters'!$BL349:$BU349*'Tech Parameters'!X77:AG77)</f>
        <v>11881.539482327353</v>
      </c>
      <c r="U619">
        <f t="array" aca="1" ref="U619" ca="1">SUM(V130:AE130*'Tech Parameters'!$BL349:$BU349*'Tech Parameters'!Y77:AH77)</f>
        <v>11811.111172573583</v>
      </c>
      <c r="V619">
        <f t="array" aca="1" ref="V619" ca="1">SUM(W130:AF130*'Tech Parameters'!$BL349:$BU349*'Tech Parameters'!Z77:AI77)</f>
        <v>11740.682862819813</v>
      </c>
      <c r="W619">
        <f t="array" aca="1" ref="W619" ca="1">SUM(X130:AG130*'Tech Parameters'!$BL349:$BU349*'Tech Parameters'!AA77:AJ77)</f>
        <v>11670.254553066041</v>
      </c>
      <c r="X619">
        <f t="array" aca="1" ref="X619" ca="1">SUM(Y130:AH130*'Tech Parameters'!$BL349:$BU349*'Tech Parameters'!AB77:AK77)</f>
        <v>11599.826243312269</v>
      </c>
      <c r="Y619">
        <f t="array" aca="1" ref="Y619" ca="1">SUM(Z130:AI130*'Tech Parameters'!$BL349:$BU349*'Tech Parameters'!AC77:AL77)</f>
        <v>11529.397933558497</v>
      </c>
      <c r="Z619">
        <f t="array" aca="1" ref="Z619" ca="1">SUM(AA130:AJ130*'Tech Parameters'!$BL349:$BU349*'Tech Parameters'!AD77:AM77)</f>
        <v>11458.969623804725</v>
      </c>
      <c r="AA619">
        <f t="array" aca="1" ref="AA619" ca="1">SUM(AB130:AK130*'Tech Parameters'!$BL349:$BU349*'Tech Parameters'!AE77:AN77)</f>
        <v>10841.790728868835</v>
      </c>
      <c r="AB619">
        <f t="array" aca="1" ref="AB619" ca="1">SUM(AC130:AL130*'Tech Parameters'!$BL349:$BU349*'Tech Parameters'!AF77:AO77)</f>
        <v>8533.1022110257618</v>
      </c>
      <c r="AC619">
        <f t="array" aca="1" ref="AC619" ca="1">SUM(AD130:AM130*'Tech Parameters'!$BL349:$BU349*'Tech Parameters'!AG77:AP77)</f>
        <v>0</v>
      </c>
    </row>
    <row r="620" spans="3:29">
      <c r="C620" t="str">
        <f t="shared" si="153"/>
        <v>solar thermal central reciever</v>
      </c>
      <c r="D620">
        <f t="array" ref="D620">SUM(E131:N131*'Tech Parameters'!$BL350:$BU350*'Tech Parameters'!H78:Q78)</f>
        <v>0</v>
      </c>
      <c r="E620">
        <f t="array" ref="E620">SUM(F131:O131*'Tech Parameters'!$BL350:$BU350*'Tech Parameters'!I78:R78)</f>
        <v>0</v>
      </c>
      <c r="F620">
        <f t="array" ref="F620">SUM(G131:P131*'Tech Parameters'!$BL350:$BU350*'Tech Parameters'!J78:S78)</f>
        <v>0</v>
      </c>
      <c r="G620">
        <f t="array" ref="G620">SUM(H131:Q131*'Tech Parameters'!$BL350:$BU350*'Tech Parameters'!K78:T78)</f>
        <v>0</v>
      </c>
      <c r="H620">
        <f t="array" ref="H620">SUM(I131:R131*'Tech Parameters'!$BL350:$BU350*'Tech Parameters'!L78:U78)</f>
        <v>0</v>
      </c>
      <c r="I620">
        <f t="array" ref="I620">SUM(J131:S131*'Tech Parameters'!$BL350:$BU350*'Tech Parameters'!M78:V78)</f>
        <v>257.48196312932731</v>
      </c>
      <c r="J620">
        <f t="array" ref="J620">SUM(K131:T131*'Tech Parameters'!$BL350:$BU350*'Tech Parameters'!N78:W78)</f>
        <v>782.58911823853123</v>
      </c>
      <c r="K620">
        <f t="array" ref="K620">SUM(L131:U131*'Tech Parameters'!$BL350:$BU350*'Tech Parameters'!O78:X78)</f>
        <v>2092.0799628444411</v>
      </c>
      <c r="L620">
        <f t="array" ref="L620">SUM(M131:V131*'Tech Parameters'!$BL350:$BU350*'Tech Parameters'!P78:Y78)</f>
        <v>5213.1748876096417</v>
      </c>
      <c r="M620">
        <f t="array" ref="M620">SUM(N131:W131*'Tech Parameters'!$BL350:$BU350*'Tech Parameters'!Q78:Z78)</f>
        <v>12538.258189969802</v>
      </c>
      <c r="N620">
        <f t="array" ref="N620">SUM(O131:X131*'Tech Parameters'!$BL350:$BU350*'Tech Parameters'!R78:AA78)</f>
        <v>21581.070769725793</v>
      </c>
      <c r="O620">
        <f t="array" ref="O620">SUM(P131:Y131*'Tech Parameters'!$BL350:$BU350*'Tech Parameters'!S78:AB78)</f>
        <v>35393.461912975559</v>
      </c>
      <c r="P620">
        <f t="array" ref="P620">SUM(Q131:Z131*'Tech Parameters'!$BL350:$BU350*'Tech Parameters'!T78:AC78)</f>
        <v>53706.370614683023</v>
      </c>
      <c r="Q620">
        <f t="array" ref="Q620">SUM(R131:AA131*'Tech Parameters'!$BL350:$BU350*'Tech Parameters'!U78:AD78)</f>
        <v>72115.900281327966</v>
      </c>
      <c r="R620">
        <f t="array" ref="R620">SUM(S131:AB131*'Tech Parameters'!$BL350:$BU350*'Tech Parameters'!V78:AE78)</f>
        <v>87818.400038748732</v>
      </c>
      <c r="S620">
        <f t="array" ref="S620">SUM(T131:AC131*'Tech Parameters'!$BL350:$BU350*'Tech Parameters'!W78:AF78)</f>
        <v>101129.06169488782</v>
      </c>
      <c r="T620">
        <f t="array" aca="1" ref="T620" ca="1">SUM(U131:AD131*'Tech Parameters'!$BL350:$BU350*'Tech Parameters'!X78:AG78)</f>
        <v>107322.53595699415</v>
      </c>
      <c r="U620">
        <f t="array" aca="1" ref="U620" ca="1">SUM(V131:AE131*'Tech Parameters'!$BL350:$BU350*'Tech Parameters'!Y78:AH78)</f>
        <v>130666.46779929806</v>
      </c>
      <c r="V620">
        <f t="array" aca="1" ref="V620" ca="1">SUM(W131:AF131*'Tech Parameters'!$BL350:$BU350*'Tech Parameters'!Z78:AI78)</f>
        <v>126759.13286269245</v>
      </c>
      <c r="W620">
        <f t="array" aca="1" ref="W620" ca="1">SUM(X131:AG131*'Tech Parameters'!$BL350:$BU350*'Tech Parameters'!AA78:AJ78)</f>
        <v>123058.43783516881</v>
      </c>
      <c r="X620">
        <f t="array" aca="1" ref="X620" ca="1">SUM(Y131:AH131*'Tech Parameters'!$BL350:$BU350*'Tech Parameters'!AB78:AK78)</f>
        <v>119357.74280764519</v>
      </c>
      <c r="Y620">
        <f t="array" aca="1" ref="Y620" ca="1">SUM(Z131:AI131*'Tech Parameters'!$BL350:$BU350*'Tech Parameters'!AC78:AL78)</f>
        <v>110863.20177567731</v>
      </c>
      <c r="Z620">
        <f t="array" aca="1" ref="Z620" ca="1">SUM(AA131:AJ131*'Tech Parameters'!$BL350:$BU350*'Tech Parameters'!AD78:AM78)</f>
        <v>102060.48492913807</v>
      </c>
      <c r="AA620">
        <f t="array" aca="1" ref="AA620" ca="1">SUM(AB131:AK131*'Tech Parameters'!$BL350:$BU350*'Tech Parameters'!AE78:AN78)</f>
        <v>88124.928682126076</v>
      </c>
      <c r="AB620">
        <f t="array" aca="1" ref="AB620" ca="1">SUM(AC131:AL131*'Tech Parameters'!$BL350:$BU350*'Tech Parameters'!AF78:AO78)</f>
        <v>63920.611876022806</v>
      </c>
      <c r="AC620">
        <f t="array" aca="1" ref="AC620" ca="1">SUM(AD131:AM131*'Tech Parameters'!$BL350:$BU350*'Tech Parameters'!AG78:AP78)</f>
        <v>0</v>
      </c>
    </row>
    <row r="621" spans="3:29">
      <c r="C621" t="str">
        <f t="shared" si="153"/>
        <v>solar thermal trough</v>
      </c>
      <c r="D621">
        <f t="array" ref="D621">SUM(E132:N132*'Tech Parameters'!$BL351:$BU351*'Tech Parameters'!H79:Q79)</f>
        <v>0</v>
      </c>
      <c r="E621">
        <f t="array" ref="E621">SUM(F132:O132*'Tech Parameters'!$BL351:$BU351*'Tech Parameters'!I79:R79)</f>
        <v>0</v>
      </c>
      <c r="F621">
        <f t="array" ref="F621">SUM(G132:P132*'Tech Parameters'!$BL351:$BU351*'Tech Parameters'!J79:S79)</f>
        <v>0</v>
      </c>
      <c r="G621">
        <f t="array" ref="G621">SUM(H132:Q132*'Tech Parameters'!$BL351:$BU351*'Tech Parameters'!K79:T79)</f>
        <v>0</v>
      </c>
      <c r="H621">
        <f t="array" ref="H621">SUM(I132:R132*'Tech Parameters'!$BL351:$BU351*'Tech Parameters'!L79:U79)</f>
        <v>0</v>
      </c>
      <c r="I621">
        <f t="array" ref="I621">SUM(J132:S132*'Tech Parameters'!$BL351:$BU351*'Tech Parameters'!M79:V79)</f>
        <v>0</v>
      </c>
      <c r="J621">
        <f t="array" ref="J621">SUM(K132:T132*'Tech Parameters'!$BL351:$BU351*'Tech Parameters'!N79:W79)</f>
        <v>0</v>
      </c>
      <c r="K621">
        <f t="array" ref="K621">SUM(L132:U132*'Tech Parameters'!$BL351:$BU351*'Tech Parameters'!O79:X79)</f>
        <v>0</v>
      </c>
      <c r="L621">
        <f t="array" ref="L621">SUM(M132:V132*'Tech Parameters'!$BL351:$BU351*'Tech Parameters'!P79:Y79)</f>
        <v>0</v>
      </c>
      <c r="M621">
        <f t="array" ref="M621">SUM(N132:W132*'Tech Parameters'!$BL351:$BU351*'Tech Parameters'!Q79:Z79)</f>
        <v>0</v>
      </c>
      <c r="N621">
        <f t="array" ref="N621">SUM(O132:X132*'Tech Parameters'!$BL351:$BU351*'Tech Parameters'!R79:AA79)</f>
        <v>0</v>
      </c>
      <c r="O621">
        <f t="array" ref="O621">SUM(P132:Y132*'Tech Parameters'!$BL351:$BU351*'Tech Parameters'!S79:AB79)</f>
        <v>0</v>
      </c>
      <c r="P621">
        <f t="array" ref="P621">SUM(Q132:Z132*'Tech Parameters'!$BL351:$BU351*'Tech Parameters'!T79:AC79)</f>
        <v>0</v>
      </c>
      <c r="Q621">
        <f t="array" ref="Q621">SUM(R132:AA132*'Tech Parameters'!$BL351:$BU351*'Tech Parameters'!U79:AD79)</f>
        <v>0</v>
      </c>
      <c r="R621">
        <f t="array" ref="R621">SUM(S132:AB132*'Tech Parameters'!$BL351:$BU351*'Tech Parameters'!V79:AE79)</f>
        <v>0</v>
      </c>
      <c r="S621">
        <f t="array" ref="S621">SUM(T132:AC132*'Tech Parameters'!$BL351:$BU351*'Tech Parameters'!W79:AF79)</f>
        <v>0</v>
      </c>
      <c r="T621">
        <f t="array" aca="1" ref="T621" ca="1">SUM(U132:AD132*'Tech Parameters'!$BL351:$BU351*'Tech Parameters'!X79:AG79)</f>
        <v>0</v>
      </c>
      <c r="U621">
        <f t="array" aca="1" ref="U621" ca="1">SUM(V132:AE132*'Tech Parameters'!$BL351:$BU351*'Tech Parameters'!Y79:AH79)</f>
        <v>0</v>
      </c>
      <c r="V621">
        <f t="array" aca="1" ref="V621" ca="1">SUM(W132:AF132*'Tech Parameters'!$BL351:$BU351*'Tech Parameters'!Z79:AI79)</f>
        <v>0</v>
      </c>
      <c r="W621">
        <f t="array" aca="1" ref="W621" ca="1">SUM(X132:AG132*'Tech Parameters'!$BL351:$BU351*'Tech Parameters'!AA79:AJ79)</f>
        <v>0</v>
      </c>
      <c r="X621">
        <f t="array" aca="1" ref="X621" ca="1">SUM(Y132:AH132*'Tech Parameters'!$BL351:$BU351*'Tech Parameters'!AB79:AK79)</f>
        <v>0</v>
      </c>
      <c r="Y621">
        <f t="array" aca="1" ref="Y621" ca="1">SUM(Z132:AI132*'Tech Parameters'!$BL351:$BU351*'Tech Parameters'!AC79:AL79)</f>
        <v>0</v>
      </c>
      <c r="Z621">
        <f t="array" aca="1" ref="Z621" ca="1">SUM(AA132:AJ132*'Tech Parameters'!$BL351:$BU351*'Tech Parameters'!AD79:AM79)</f>
        <v>0</v>
      </c>
      <c r="AA621">
        <f t="array" aca="1" ref="AA621" ca="1">SUM(AB132:AK132*'Tech Parameters'!$BL351:$BU351*'Tech Parameters'!AE79:AN79)</f>
        <v>0</v>
      </c>
      <c r="AB621">
        <f t="array" aca="1" ref="AB621" ca="1">SUM(AC132:AL132*'Tech Parameters'!$BL351:$BU351*'Tech Parameters'!AF79:AO79)</f>
        <v>0</v>
      </c>
      <c r="AC621">
        <f t="array" aca="1" ref="AC621" ca="1">SUM(AD132:AM132*'Tech Parameters'!$BL351:$BU351*'Tech Parameters'!AG79:AP79)</f>
        <v>0</v>
      </c>
    </row>
    <row r="622" spans="3:29">
      <c r="C622" t="str">
        <f t="shared" si="153"/>
        <v>solar PV</v>
      </c>
      <c r="D622">
        <f t="array" ref="D622">SUM(E133:N133*'Tech Parameters'!$BL352:$BU352*'Tech Parameters'!H80:Q80)</f>
        <v>0</v>
      </c>
      <c r="E622">
        <f t="array" ref="E622">SUM(F133:O133*'Tech Parameters'!$BL352:$BU352*'Tech Parameters'!I80:R80)</f>
        <v>0</v>
      </c>
      <c r="F622">
        <f t="array" ref="F622">SUM(G133:P133*'Tech Parameters'!$BL352:$BU352*'Tech Parameters'!J80:S80)</f>
        <v>0</v>
      </c>
      <c r="G622">
        <f t="array" ref="G622">SUM(H133:Q133*'Tech Parameters'!$BL352:$BU352*'Tech Parameters'!K80:T80)</f>
        <v>0</v>
      </c>
      <c r="H622">
        <f t="array" ref="H622">SUM(I133:R133*'Tech Parameters'!$BL352:$BU352*'Tech Parameters'!L80:U80)</f>
        <v>0</v>
      </c>
      <c r="I622">
        <f t="array" ref="I622">SUM(J133:S133*'Tech Parameters'!$BL352:$BU352*'Tech Parameters'!M80:V80)</f>
        <v>0</v>
      </c>
      <c r="J622">
        <f t="array" ref="J622">SUM(K133:T133*'Tech Parameters'!$BL352:$BU352*'Tech Parameters'!N80:W80)</f>
        <v>0</v>
      </c>
      <c r="K622">
        <f t="array" ref="K622">SUM(L133:U133*'Tech Parameters'!$BL352:$BU352*'Tech Parameters'!O80:X80)</f>
        <v>0</v>
      </c>
      <c r="L622">
        <f t="array" ref="L622">SUM(M133:V133*'Tech Parameters'!$BL352:$BU352*'Tech Parameters'!P80:Y80)</f>
        <v>0</v>
      </c>
      <c r="M622">
        <f t="array" ref="M622">SUM(N133:W133*'Tech Parameters'!$BL352:$BU352*'Tech Parameters'!Q80:Z80)</f>
        <v>0</v>
      </c>
      <c r="N622">
        <f t="array" ref="N622">SUM(O133:X133*'Tech Parameters'!$BL352:$BU352*'Tech Parameters'!R80:AA80)</f>
        <v>0</v>
      </c>
      <c r="O622">
        <f t="array" ref="O622">SUM(P133:Y133*'Tech Parameters'!$BL352:$BU352*'Tech Parameters'!S80:AB80)</f>
        <v>0</v>
      </c>
      <c r="P622">
        <f t="array" ref="P622">SUM(Q133:Z133*'Tech Parameters'!$BL352:$BU352*'Tech Parameters'!T80:AC80)</f>
        <v>0</v>
      </c>
      <c r="Q622">
        <f t="array" ref="Q622">SUM(R133:AA133*'Tech Parameters'!$BL352:$BU352*'Tech Parameters'!U80:AD80)</f>
        <v>0</v>
      </c>
      <c r="R622">
        <f t="array" ref="R622">SUM(S133:AB133*'Tech Parameters'!$BL352:$BU352*'Tech Parameters'!V80:AE80)</f>
        <v>0</v>
      </c>
      <c r="S622">
        <f t="array" ref="S622">SUM(T133:AC133*'Tech Parameters'!$BL352:$BU352*'Tech Parameters'!W80:AF80)</f>
        <v>0</v>
      </c>
      <c r="T622">
        <f t="array" aca="1" ref="T622" ca="1">SUM(U133:AD133*'Tech Parameters'!$BL352:$BU352*'Tech Parameters'!X80:AG80)</f>
        <v>0</v>
      </c>
      <c r="U622">
        <f t="array" aca="1" ref="U622" ca="1">SUM(V133:AE133*'Tech Parameters'!$BL352:$BU352*'Tech Parameters'!Y80:AH80)</f>
        <v>0</v>
      </c>
      <c r="V622">
        <f t="array" aca="1" ref="V622" ca="1">SUM(W133:AF133*'Tech Parameters'!$BL352:$BU352*'Tech Parameters'!Z80:AI80)</f>
        <v>0</v>
      </c>
      <c r="W622">
        <f t="array" aca="1" ref="W622" ca="1">SUM(X133:AG133*'Tech Parameters'!$BL352:$BU352*'Tech Parameters'!AA80:AJ80)</f>
        <v>0</v>
      </c>
      <c r="X622">
        <f t="array" aca="1" ref="X622" ca="1">SUM(Y133:AH133*'Tech Parameters'!$BL352:$BU352*'Tech Parameters'!AB80:AK80)</f>
        <v>0</v>
      </c>
      <c r="Y622">
        <f t="array" aca="1" ref="Y622" ca="1">SUM(Z133:AI133*'Tech Parameters'!$BL352:$BU352*'Tech Parameters'!AC80:AL80)</f>
        <v>0</v>
      </c>
      <c r="Z622">
        <f t="array" aca="1" ref="Z622" ca="1">SUM(AA133:AJ133*'Tech Parameters'!$BL352:$BU352*'Tech Parameters'!AD80:AM80)</f>
        <v>0</v>
      </c>
      <c r="AA622">
        <f t="array" aca="1" ref="AA622" ca="1">SUM(AB133:AK133*'Tech Parameters'!$BL352:$BU352*'Tech Parameters'!AE80:AN80)</f>
        <v>0</v>
      </c>
      <c r="AB622">
        <f t="array" aca="1" ref="AB622" ca="1">SUM(AC133:AL133*'Tech Parameters'!$BL352:$BU352*'Tech Parameters'!AF80:AO80)</f>
        <v>0</v>
      </c>
      <c r="AC622">
        <f t="array" aca="1" ref="AC622" ca="1">SUM(AD133:AM133*'Tech Parameters'!$BL352:$BU352*'Tech Parameters'!AG80:AP80)</f>
        <v>0</v>
      </c>
    </row>
    <row r="623" spans="3:29">
      <c r="C623" t="str">
        <f t="shared" si="153"/>
        <v>combined cycle gas</v>
      </c>
      <c r="D623">
        <f t="array" ref="D623">SUM(E134:N134*'Tech Parameters'!$BL353:$BU353*'Tech Parameters'!H81:Q81)</f>
        <v>0</v>
      </c>
      <c r="E623">
        <f t="array" ref="E623">SUM(F134:O134*'Tech Parameters'!$BL353:$BU353*'Tech Parameters'!I81:R81)</f>
        <v>0</v>
      </c>
      <c r="F623">
        <f t="array" ref="F623">SUM(G134:P134*'Tech Parameters'!$BL353:$BU353*'Tech Parameters'!J81:S81)</f>
        <v>0</v>
      </c>
      <c r="G623">
        <f t="array" ref="G623">SUM(H134:Q134*'Tech Parameters'!$BL353:$BU353*'Tech Parameters'!K81:T81)</f>
        <v>0</v>
      </c>
      <c r="H623">
        <f t="array" ref="H623">SUM(I134:R134*'Tech Parameters'!$BL353:$BU353*'Tech Parameters'!L81:U81)</f>
        <v>0</v>
      </c>
      <c r="I623">
        <f t="array" ref="I623">SUM(J134:S134*'Tech Parameters'!$BL353:$BU353*'Tech Parameters'!M81:V81)</f>
        <v>0</v>
      </c>
      <c r="J623">
        <f t="array" ref="J623">SUM(K134:T134*'Tech Parameters'!$BL353:$BU353*'Tech Parameters'!N81:W81)</f>
        <v>0</v>
      </c>
      <c r="K623">
        <f t="array" ref="K623">SUM(L134:U134*'Tech Parameters'!$BL353:$BU353*'Tech Parameters'!O81:X81)</f>
        <v>0</v>
      </c>
      <c r="L623">
        <f t="array" ref="L623">SUM(M134:V134*'Tech Parameters'!$BL353:$BU353*'Tech Parameters'!P81:Y81)</f>
        <v>0</v>
      </c>
      <c r="M623">
        <f t="array" ref="M623">SUM(N134:W134*'Tech Parameters'!$BL353:$BU353*'Tech Parameters'!Q81:Z81)</f>
        <v>0</v>
      </c>
      <c r="N623">
        <f t="array" ref="N623">SUM(O134:X134*'Tech Parameters'!$BL353:$BU353*'Tech Parameters'!R81:AA81)</f>
        <v>0</v>
      </c>
      <c r="O623">
        <f t="array" ref="O623">SUM(P134:Y134*'Tech Parameters'!$BL353:$BU353*'Tech Parameters'!S81:AB81)</f>
        <v>0</v>
      </c>
      <c r="P623">
        <f t="array" ref="P623">SUM(Q134:Z134*'Tech Parameters'!$BL353:$BU353*'Tech Parameters'!T81:AC81)</f>
        <v>0</v>
      </c>
      <c r="Q623">
        <f t="array" ref="Q623">SUM(R134:AA134*'Tech Parameters'!$BL353:$BU353*'Tech Parameters'!U81:AD81)</f>
        <v>0</v>
      </c>
      <c r="R623">
        <f t="array" ref="R623">SUM(S134:AB134*'Tech Parameters'!$BL353:$BU353*'Tech Parameters'!V81:AE81)</f>
        <v>0</v>
      </c>
      <c r="S623">
        <f t="array" ref="S623">SUM(T134:AC134*'Tech Parameters'!$BL353:$BU353*'Tech Parameters'!W81:AF81)</f>
        <v>0</v>
      </c>
      <c r="T623">
        <f t="array" aca="1" ref="T623" ca="1">SUM(U134:AD134*'Tech Parameters'!$BL353:$BU353*'Tech Parameters'!X81:AG81)</f>
        <v>0</v>
      </c>
      <c r="U623">
        <f t="array" aca="1" ref="U623" ca="1">SUM(V134:AE134*'Tech Parameters'!$BL353:$BU353*'Tech Parameters'!Y81:AH81)</f>
        <v>289.79280673885734</v>
      </c>
      <c r="V623">
        <f t="array" aca="1" ref="V623" ca="1">SUM(W134:AF134*'Tech Parameters'!$BL353:$BU353*'Tech Parameters'!Z81:AI81)</f>
        <v>752.39063444194448</v>
      </c>
      <c r="W623">
        <f t="array" aca="1" ref="W623" ca="1">SUM(X134:AG134*'Tech Parameters'!$BL353:$BU353*'Tech Parameters'!AA81:AJ81)</f>
        <v>1492.0118272273421</v>
      </c>
      <c r="X623">
        <f t="array" aca="1" ref="X623" ca="1">SUM(Y134:AH134*'Tech Parameters'!$BL353:$BU353*'Tech Parameters'!AB81:AK81)</f>
        <v>3813.8025300282393</v>
      </c>
      <c r="Y623">
        <f t="array" aca="1" ref="Y623" ca="1">SUM(Z134:AI134*'Tech Parameters'!$BL353:$BU353*'Tech Parameters'!AC81:AL81)</f>
        <v>7273.0179364751266</v>
      </c>
      <c r="Z623">
        <f t="array" aca="1" ref="Z623" ca="1">SUM(AA134:AJ134*'Tech Parameters'!$BL353:$BU353*'Tech Parameters'!AD81:AM81)</f>
        <v>7740.9952394415341</v>
      </c>
      <c r="AA623">
        <f t="array" aca="1" ref="AA623" ca="1">SUM(AB134:AK134*'Tech Parameters'!$BL353:$BU353*'Tech Parameters'!AE81:AN81)</f>
        <v>4049.5565443293913</v>
      </c>
      <c r="AB623">
        <f t="array" aca="1" ref="AB623" ca="1">SUM(AC134:AL134*'Tech Parameters'!$BL353:$BU353*'Tech Parameters'!AF81:AO81)</f>
        <v>0</v>
      </c>
      <c r="AC623">
        <f t="array" aca="1" ref="AC623" ca="1">SUM(AD134:AM134*'Tech Parameters'!$BL353:$BU353*'Tech Parameters'!AG81:AP81)</f>
        <v>0</v>
      </c>
    </row>
    <row r="624" spans="3:29">
      <c r="C624" t="str">
        <f t="shared" si="153"/>
        <v>PBMR</v>
      </c>
      <c r="D624">
        <f t="array" ref="D624">SUM(E135:N135*'Tech Parameters'!$BL354:$BU354*'Tech Parameters'!H82:Q82)</f>
        <v>0</v>
      </c>
      <c r="E624">
        <f t="array" ref="E624">SUM(F135:O135*'Tech Parameters'!$BL354:$BU354*'Tech Parameters'!I82:R82)</f>
        <v>0</v>
      </c>
      <c r="F624">
        <f t="array" ref="F624">SUM(G135:P135*'Tech Parameters'!$BL354:$BU354*'Tech Parameters'!J82:S82)</f>
        <v>0</v>
      </c>
      <c r="G624">
        <f t="array" ref="G624">SUM(H135:Q135*'Tech Parameters'!$BL354:$BU354*'Tech Parameters'!K82:T82)</f>
        <v>0</v>
      </c>
      <c r="H624">
        <f t="array" ref="H624">SUM(I135:R135*'Tech Parameters'!$BL354:$BU354*'Tech Parameters'!L82:U82)</f>
        <v>0</v>
      </c>
      <c r="I624">
        <f t="array" ref="I624">SUM(J135:S135*'Tech Parameters'!$BL354:$BU354*'Tech Parameters'!M82:V82)</f>
        <v>0</v>
      </c>
      <c r="J624">
        <f t="array" ref="J624">SUM(K135:T135*'Tech Parameters'!$BL354:$BU354*'Tech Parameters'!N82:W82)</f>
        <v>0</v>
      </c>
      <c r="K624">
        <f t="array" ref="K624">SUM(L135:U135*'Tech Parameters'!$BL354:$BU354*'Tech Parameters'!O82:X82)</f>
        <v>0</v>
      </c>
      <c r="L624">
        <f t="array" ref="L624">SUM(M135:V135*'Tech Parameters'!$BL354:$BU354*'Tech Parameters'!P82:Y82)</f>
        <v>0</v>
      </c>
      <c r="M624">
        <f t="array" ref="M624">SUM(N135:W135*'Tech Parameters'!$BL354:$BU354*'Tech Parameters'!Q82:Z82)</f>
        <v>0</v>
      </c>
      <c r="N624">
        <f t="array" ref="N624">SUM(O135:X135*'Tech Parameters'!$BL354:$BU354*'Tech Parameters'!R82:AA82)</f>
        <v>0</v>
      </c>
      <c r="O624">
        <f t="array" ref="O624">SUM(P135:Y135*'Tech Parameters'!$BL354:$BU354*'Tech Parameters'!S82:AB82)</f>
        <v>0</v>
      </c>
      <c r="P624">
        <f t="array" ref="P624">SUM(Q135:Z135*'Tech Parameters'!$BL354:$BU354*'Tech Parameters'!T82:AC82)</f>
        <v>0</v>
      </c>
      <c r="Q624">
        <f t="array" ref="Q624">SUM(R135:AA135*'Tech Parameters'!$BL354:$BU354*'Tech Parameters'!U82:AD82)</f>
        <v>0</v>
      </c>
      <c r="R624">
        <f t="array" ref="R624">SUM(S135:AB135*'Tech Parameters'!$BL354:$BU354*'Tech Parameters'!V82:AE82)</f>
        <v>0</v>
      </c>
      <c r="S624">
        <f t="array" ref="S624">SUM(T135:AC135*'Tech Parameters'!$BL354:$BU354*'Tech Parameters'!W82:AF82)</f>
        <v>0</v>
      </c>
      <c r="T624">
        <f t="array" aca="1" ref="T624" ca="1">SUM(U135:AD135*'Tech Parameters'!$BL354:$BU354*'Tech Parameters'!X82:AG82)</f>
        <v>0</v>
      </c>
      <c r="U624">
        <f t="array" aca="1" ref="U624" ca="1">SUM(V135:AE135*'Tech Parameters'!$BL354:$BU354*'Tech Parameters'!Y82:AH82)</f>
        <v>0</v>
      </c>
      <c r="V624">
        <f t="array" aca="1" ref="V624" ca="1">SUM(W135:AF135*'Tech Parameters'!$BL354:$BU354*'Tech Parameters'!Z82:AI82)</f>
        <v>0</v>
      </c>
      <c r="W624">
        <f t="array" aca="1" ref="W624" ca="1">SUM(X135:AG135*'Tech Parameters'!$BL354:$BU354*'Tech Parameters'!AA82:AJ82)</f>
        <v>0</v>
      </c>
      <c r="X624">
        <f t="array" aca="1" ref="X624" ca="1">SUM(Y135:AH135*'Tech Parameters'!$BL354:$BU354*'Tech Parameters'!AB82:AK82)</f>
        <v>0</v>
      </c>
      <c r="Y624">
        <f t="array" aca="1" ref="Y624" ca="1">SUM(Z135:AI135*'Tech Parameters'!$BL354:$BU354*'Tech Parameters'!AC82:AL82)</f>
        <v>0</v>
      </c>
      <c r="Z624">
        <f t="array" aca="1" ref="Z624" ca="1">SUM(AA135:AJ135*'Tech Parameters'!$BL354:$BU354*'Tech Parameters'!AD82:AM82)</f>
        <v>0</v>
      </c>
      <c r="AA624">
        <f t="array" aca="1" ref="AA624" ca="1">SUM(AB135:AK135*'Tech Parameters'!$BL354:$BU354*'Tech Parameters'!AE82:AN82)</f>
        <v>0</v>
      </c>
      <c r="AB624">
        <f t="array" aca="1" ref="AB624" ca="1">SUM(AC135:AL135*'Tech Parameters'!$BL354:$BU354*'Tech Parameters'!AF82:AO82)</f>
        <v>0</v>
      </c>
      <c r="AC624">
        <f t="array" aca="1" ref="AC624" ca="1">SUM(AD135:AM135*'Tech Parameters'!$BL354:$BU354*'Tech Parameters'!AG82:AP82)</f>
        <v>0</v>
      </c>
    </row>
    <row r="625" spans="3:29">
      <c r="C625" t="str">
        <f t="shared" si="153"/>
        <v>IGCC</v>
      </c>
      <c r="D625">
        <f t="array" ref="D625">SUM(E136:N136*'Tech Parameters'!$BL355:$BU355*'Tech Parameters'!H83:Q83)</f>
        <v>0</v>
      </c>
      <c r="E625">
        <f t="array" ref="E625">SUM(F136:O136*'Tech Parameters'!$BL355:$BU355*'Tech Parameters'!I83:R83)</f>
        <v>0</v>
      </c>
      <c r="F625">
        <f t="array" ref="F625">SUM(G136:P136*'Tech Parameters'!$BL355:$BU355*'Tech Parameters'!J83:S83)</f>
        <v>0</v>
      </c>
      <c r="G625">
        <f t="array" ref="G625">SUM(H136:Q136*'Tech Parameters'!$BL355:$BU355*'Tech Parameters'!K83:T83)</f>
        <v>0</v>
      </c>
      <c r="H625">
        <f t="array" ref="H625">SUM(I136:R136*'Tech Parameters'!$BL355:$BU355*'Tech Parameters'!L83:U83)</f>
        <v>0</v>
      </c>
      <c r="I625">
        <f t="array" ref="I625">SUM(J136:S136*'Tech Parameters'!$BL355:$BU355*'Tech Parameters'!M83:V83)</f>
        <v>0</v>
      </c>
      <c r="J625">
        <f t="array" ref="J625">SUM(K136:T136*'Tech Parameters'!$BL355:$BU355*'Tech Parameters'!N83:W83)</f>
        <v>0</v>
      </c>
      <c r="K625">
        <f t="array" ref="K625">SUM(L136:U136*'Tech Parameters'!$BL355:$BU355*'Tech Parameters'!O83:X83)</f>
        <v>0</v>
      </c>
      <c r="L625">
        <f t="array" ref="L625">SUM(M136:V136*'Tech Parameters'!$BL355:$BU355*'Tech Parameters'!P83:Y83)</f>
        <v>0</v>
      </c>
      <c r="M625">
        <f t="array" ref="M625">SUM(N136:W136*'Tech Parameters'!$BL355:$BU355*'Tech Parameters'!Q83:Z83)</f>
        <v>0</v>
      </c>
      <c r="N625">
        <f t="array" ref="N625">SUM(O136:X136*'Tech Parameters'!$BL355:$BU355*'Tech Parameters'!R83:AA83)</f>
        <v>0</v>
      </c>
      <c r="O625">
        <f t="array" ref="O625">SUM(P136:Y136*'Tech Parameters'!$BL355:$BU355*'Tech Parameters'!S83:AB83)</f>
        <v>0</v>
      </c>
      <c r="P625">
        <f t="array" ref="P625">SUM(Q136:Z136*'Tech Parameters'!$BL355:$BU355*'Tech Parameters'!T83:AC83)</f>
        <v>0</v>
      </c>
      <c r="Q625">
        <f t="array" ref="Q625">SUM(R136:AA136*'Tech Parameters'!$BL355:$BU355*'Tech Parameters'!U83:AD83)</f>
        <v>0</v>
      </c>
      <c r="R625">
        <f t="array" ref="R625">SUM(S136:AB136*'Tech Parameters'!$BL355:$BU355*'Tech Parameters'!V83:AE83)</f>
        <v>0</v>
      </c>
      <c r="S625">
        <f t="array" ref="S625">SUM(T136:AC136*'Tech Parameters'!$BL355:$BU355*'Tech Parameters'!W83:AF83)</f>
        <v>0</v>
      </c>
      <c r="T625">
        <f t="array" aca="1" ref="T625" ca="1">SUM(U136:AD136*'Tech Parameters'!$BL355:$BU355*'Tech Parameters'!X83:AG83)</f>
        <v>0</v>
      </c>
      <c r="U625">
        <f t="array" aca="1" ref="U625" ca="1">SUM(V136:AE136*'Tech Parameters'!$BL355:$BU355*'Tech Parameters'!Y83:AH83)</f>
        <v>541.98332188943368</v>
      </c>
      <c r="V625">
        <f t="array" aca="1" ref="V625" ca="1">SUM(W136:AF136*'Tech Parameters'!$BL355:$BU355*'Tech Parameters'!Z83:AI83)</f>
        <v>1138.1649759678107</v>
      </c>
      <c r="W625">
        <f t="array" aca="1" ref="W625" ca="1">SUM(X136:AG136*'Tech Parameters'!$BL355:$BU355*'Tech Parameters'!AA83:AJ83)</f>
        <v>1197.7831413756485</v>
      </c>
      <c r="X625">
        <f t="array" aca="1" ref="X625" ca="1">SUM(Y136:AH136*'Tech Parameters'!$BL355:$BU355*'Tech Parameters'!AB83:AK83)</f>
        <v>1848.7051109648582</v>
      </c>
      <c r="Y625">
        <f t="array" aca="1" ref="Y625" ca="1">SUM(Z136:AI136*'Tech Parameters'!$BL355:$BU355*'Tech Parameters'!AC83:AL83)</f>
        <v>3594.4875891029128</v>
      </c>
      <c r="Z625">
        <f t="array" aca="1" ref="Z625" ca="1">SUM(AA136:AJ136*'Tech Parameters'!$BL355:$BU355*'Tech Parameters'!AD83:AM83)</f>
        <v>5612.4053129948707</v>
      </c>
      <c r="AA625">
        <f t="array" aca="1" ref="AA625" ca="1">SUM(AB136:AK136*'Tech Parameters'!$BL355:$BU355*'Tech Parameters'!AE83:AN83)</f>
        <v>7539.4438154557301</v>
      </c>
      <c r="AB625">
        <f t="array" aca="1" ref="AB625" ca="1">SUM(AC136:AL136*'Tech Parameters'!$BL355:$BU355*'Tech Parameters'!AF83:AO83)</f>
        <v>4274.4224678961855</v>
      </c>
      <c r="AC625">
        <f t="array" aca="1" ref="AC625" ca="1">SUM(AD136:AM136*'Tech Parameters'!$BL355:$BU355*'Tech Parameters'!AG83:AP83)</f>
        <v>0</v>
      </c>
    </row>
    <row r="626" spans="3:29">
      <c r="C626" t="str">
        <f t="shared" si="153"/>
        <v>-</v>
      </c>
      <c r="D626">
        <f t="array" ref="D626">SUM(E137:N137*'Tech Parameters'!$BL356:$BU356*'Tech Parameters'!H84:Q84)</f>
        <v>0</v>
      </c>
      <c r="E626">
        <f t="array" ref="E626">SUM(F137:O137*'Tech Parameters'!$BL356:$BU356*'Tech Parameters'!I84:R84)</f>
        <v>0</v>
      </c>
      <c r="F626">
        <f t="array" ref="F626">SUM(G137:P137*'Tech Parameters'!$BL356:$BU356*'Tech Parameters'!J84:S84)</f>
        <v>0</v>
      </c>
      <c r="G626">
        <f t="array" ref="G626">SUM(H137:Q137*'Tech Parameters'!$BL356:$BU356*'Tech Parameters'!K84:T84)</f>
        <v>0</v>
      </c>
      <c r="H626">
        <f t="array" ref="H626">SUM(I137:R137*'Tech Parameters'!$BL356:$BU356*'Tech Parameters'!L84:U84)</f>
        <v>0</v>
      </c>
      <c r="I626">
        <f t="array" ref="I626">SUM(J137:S137*'Tech Parameters'!$BL356:$BU356*'Tech Parameters'!M84:V84)</f>
        <v>0</v>
      </c>
      <c r="J626">
        <f t="array" ref="J626">SUM(K137:T137*'Tech Parameters'!$BL356:$BU356*'Tech Parameters'!N84:W84)</f>
        <v>0</v>
      </c>
      <c r="K626">
        <f t="array" ref="K626">SUM(L137:U137*'Tech Parameters'!$BL356:$BU356*'Tech Parameters'!O84:X84)</f>
        <v>0</v>
      </c>
      <c r="L626">
        <f t="array" ref="L626">SUM(M137:V137*'Tech Parameters'!$BL356:$BU356*'Tech Parameters'!P84:Y84)</f>
        <v>0</v>
      </c>
      <c r="M626">
        <f t="array" ref="M626">SUM(N137:W137*'Tech Parameters'!$BL356:$BU356*'Tech Parameters'!Q84:Z84)</f>
        <v>0</v>
      </c>
      <c r="N626">
        <f t="array" ref="N626">SUM(O137:X137*'Tech Parameters'!$BL356:$BU356*'Tech Parameters'!R84:AA84)</f>
        <v>0</v>
      </c>
      <c r="O626">
        <f t="array" ref="O626">SUM(P137:Y137*'Tech Parameters'!$BL356:$BU356*'Tech Parameters'!S84:AB84)</f>
        <v>0</v>
      </c>
      <c r="P626">
        <f t="array" ref="P626">SUM(Q137:Z137*'Tech Parameters'!$BL356:$BU356*'Tech Parameters'!T84:AC84)</f>
        <v>0</v>
      </c>
      <c r="Q626">
        <f t="array" ref="Q626">SUM(R137:AA137*'Tech Parameters'!$BL356:$BU356*'Tech Parameters'!U84:AD84)</f>
        <v>0</v>
      </c>
      <c r="R626">
        <f t="array" ref="R626">SUM(S137:AB137*'Tech Parameters'!$BL356:$BU356*'Tech Parameters'!V84:AE84)</f>
        <v>0</v>
      </c>
      <c r="S626">
        <f t="array" ref="S626">SUM(T137:AC137*'Tech Parameters'!$BL356:$BU356*'Tech Parameters'!W84:AF84)</f>
        <v>0</v>
      </c>
      <c r="T626">
        <f t="array" aca="1" ref="T626" ca="1">SUM(U137:AD137*'Tech Parameters'!$BL356:$BU356*'Tech Parameters'!X84:AG84)</f>
        <v>0</v>
      </c>
      <c r="U626">
        <f t="array" aca="1" ref="U626" ca="1">SUM(V137:AE137*'Tech Parameters'!$BL356:$BU356*'Tech Parameters'!Y84:AH84)</f>
        <v>0</v>
      </c>
      <c r="V626">
        <f t="array" aca="1" ref="V626" ca="1">SUM(W137:AF137*'Tech Parameters'!$BL356:$BU356*'Tech Parameters'!Z84:AI84)</f>
        <v>0</v>
      </c>
      <c r="W626">
        <f t="array" aca="1" ref="W626" ca="1">SUM(X137:AG137*'Tech Parameters'!$BL356:$BU356*'Tech Parameters'!AA84:AJ84)</f>
        <v>0</v>
      </c>
      <c r="X626">
        <f t="array" aca="1" ref="X626" ca="1">SUM(Y137:AH137*'Tech Parameters'!$BL356:$BU356*'Tech Parameters'!AB84:AK84)</f>
        <v>0</v>
      </c>
      <c r="Y626">
        <f t="array" aca="1" ref="Y626" ca="1">SUM(Z137:AI137*'Tech Parameters'!$BL356:$BU356*'Tech Parameters'!AC84:AL84)</f>
        <v>0</v>
      </c>
      <c r="Z626">
        <f t="array" aca="1" ref="Z626" ca="1">SUM(AA137:AJ137*'Tech Parameters'!$BL356:$BU356*'Tech Parameters'!AD84:AM84)</f>
        <v>0</v>
      </c>
      <c r="AA626">
        <f t="array" aca="1" ref="AA626" ca="1">SUM(AB137:AK137*'Tech Parameters'!$BL356:$BU356*'Tech Parameters'!AE84:AN84)</f>
        <v>0</v>
      </c>
      <c r="AB626">
        <f t="array" aca="1" ref="AB626" ca="1">SUM(AC137:AL137*'Tech Parameters'!$BL356:$BU356*'Tech Parameters'!AF84:AO84)</f>
        <v>0</v>
      </c>
      <c r="AC626">
        <f t="array" aca="1" ref="AC626" ca="1">SUM(AD137:AM137*'Tech Parameters'!$BL356:$BU356*'Tech Parameters'!AG84:AP84)</f>
        <v>0</v>
      </c>
    </row>
    <row r="627" spans="3:29">
      <c r="C627" t="str">
        <f t="shared" si="153"/>
        <v>-</v>
      </c>
      <c r="D627">
        <f t="array" ref="D627">SUM(E138:N138*'Tech Parameters'!$BL357:$BU357*'Tech Parameters'!H85:Q85)</f>
        <v>0</v>
      </c>
      <c r="E627">
        <f t="array" ref="E627">SUM(F138:O138*'Tech Parameters'!$BL357:$BU357*'Tech Parameters'!I85:R85)</f>
        <v>0</v>
      </c>
      <c r="F627">
        <f t="array" ref="F627">SUM(G138:P138*'Tech Parameters'!$BL357:$BU357*'Tech Parameters'!J85:S85)</f>
        <v>0</v>
      </c>
      <c r="G627">
        <f t="array" ref="G627">SUM(H138:Q138*'Tech Parameters'!$BL357:$BU357*'Tech Parameters'!K85:T85)</f>
        <v>0</v>
      </c>
      <c r="H627">
        <f t="array" ref="H627">SUM(I138:R138*'Tech Parameters'!$BL357:$BU357*'Tech Parameters'!L85:U85)</f>
        <v>0</v>
      </c>
      <c r="I627">
        <f t="array" ref="I627">SUM(J138:S138*'Tech Parameters'!$BL357:$BU357*'Tech Parameters'!M85:V85)</f>
        <v>0</v>
      </c>
      <c r="J627">
        <f t="array" ref="J627">SUM(K138:T138*'Tech Parameters'!$BL357:$BU357*'Tech Parameters'!N85:W85)</f>
        <v>0</v>
      </c>
      <c r="K627">
        <f t="array" ref="K627">SUM(L138:U138*'Tech Parameters'!$BL357:$BU357*'Tech Parameters'!O85:X85)</f>
        <v>0</v>
      </c>
      <c r="L627">
        <f t="array" ref="L627">SUM(M138:V138*'Tech Parameters'!$BL357:$BU357*'Tech Parameters'!P85:Y85)</f>
        <v>0</v>
      </c>
      <c r="M627">
        <f t="array" ref="M627">SUM(N138:W138*'Tech Parameters'!$BL357:$BU357*'Tech Parameters'!Q85:Z85)</f>
        <v>0</v>
      </c>
      <c r="N627">
        <f t="array" ref="N627">SUM(O138:X138*'Tech Parameters'!$BL357:$BU357*'Tech Parameters'!R85:AA85)</f>
        <v>0</v>
      </c>
      <c r="O627">
        <f t="array" ref="O627">SUM(P138:Y138*'Tech Parameters'!$BL357:$BU357*'Tech Parameters'!S85:AB85)</f>
        <v>0</v>
      </c>
      <c r="P627">
        <f t="array" ref="P627">SUM(Q138:Z138*'Tech Parameters'!$BL357:$BU357*'Tech Parameters'!T85:AC85)</f>
        <v>0</v>
      </c>
      <c r="Q627">
        <f t="array" ref="Q627">SUM(R138:AA138*'Tech Parameters'!$BL357:$BU357*'Tech Parameters'!U85:AD85)</f>
        <v>0</v>
      </c>
      <c r="R627">
        <f t="array" ref="R627">SUM(S138:AB138*'Tech Parameters'!$BL357:$BU357*'Tech Parameters'!V85:AE85)</f>
        <v>0</v>
      </c>
      <c r="S627">
        <f t="array" ref="S627">SUM(T138:AC138*'Tech Parameters'!$BL357:$BU357*'Tech Parameters'!W85:AF85)</f>
        <v>0</v>
      </c>
      <c r="T627">
        <f t="array" aca="1" ref="T627" ca="1">SUM(U138:AD138*'Tech Parameters'!$BL357:$BU357*'Tech Parameters'!X85:AG85)</f>
        <v>0</v>
      </c>
      <c r="U627">
        <f t="array" aca="1" ref="U627" ca="1">SUM(V138:AE138*'Tech Parameters'!$BL357:$BU357*'Tech Parameters'!Y85:AH85)</f>
        <v>0</v>
      </c>
      <c r="V627">
        <f t="array" aca="1" ref="V627" ca="1">SUM(W138:AF138*'Tech Parameters'!$BL357:$BU357*'Tech Parameters'!Z85:AI85)</f>
        <v>0</v>
      </c>
      <c r="W627">
        <f t="array" aca="1" ref="W627" ca="1">SUM(X138:AG138*'Tech Parameters'!$BL357:$BU357*'Tech Parameters'!AA85:AJ85)</f>
        <v>0</v>
      </c>
      <c r="X627">
        <f t="array" aca="1" ref="X627" ca="1">SUM(Y138:AH138*'Tech Parameters'!$BL357:$BU357*'Tech Parameters'!AB85:AK85)</f>
        <v>0</v>
      </c>
      <c r="Y627">
        <f t="array" aca="1" ref="Y627" ca="1">SUM(Z138:AI138*'Tech Parameters'!$BL357:$BU357*'Tech Parameters'!AC85:AL85)</f>
        <v>0</v>
      </c>
      <c r="Z627">
        <f t="array" aca="1" ref="Z627" ca="1">SUM(AA138:AJ138*'Tech Parameters'!$BL357:$BU357*'Tech Parameters'!AD85:AM85)</f>
        <v>0</v>
      </c>
      <c r="AA627">
        <f t="array" aca="1" ref="AA627" ca="1">SUM(AB138:AK138*'Tech Parameters'!$BL357:$BU357*'Tech Parameters'!AE85:AN85)</f>
        <v>0</v>
      </c>
      <c r="AB627">
        <f t="array" aca="1" ref="AB627" ca="1">SUM(AC138:AL138*'Tech Parameters'!$BL357:$BU357*'Tech Parameters'!AF85:AO85)</f>
        <v>0</v>
      </c>
      <c r="AC627">
        <f t="array" aca="1" ref="AC627" ca="1">SUM(AD138:AM138*'Tech Parameters'!$BL357:$BU357*'Tech Parameters'!AG85:AP85)</f>
        <v>0</v>
      </c>
    </row>
    <row r="628" spans="3:29">
      <c r="C628" t="str">
        <f t="shared" si="153"/>
        <v>-</v>
      </c>
      <c r="D628">
        <f t="array" ref="D628">SUM(E139:N139*'Tech Parameters'!$BL358:$BU358*'Tech Parameters'!H86:Q86)</f>
        <v>0</v>
      </c>
      <c r="E628">
        <f t="array" ref="E628">SUM(F139:O139*'Tech Parameters'!$BL358:$BU358*'Tech Parameters'!I86:R86)</f>
        <v>0</v>
      </c>
      <c r="F628">
        <f t="array" ref="F628">SUM(G139:P139*'Tech Parameters'!$BL358:$BU358*'Tech Parameters'!J86:S86)</f>
        <v>0</v>
      </c>
      <c r="G628">
        <f t="array" ref="G628">SUM(H139:Q139*'Tech Parameters'!$BL358:$BU358*'Tech Parameters'!K86:T86)</f>
        <v>0</v>
      </c>
      <c r="H628">
        <f t="array" ref="H628">SUM(I139:R139*'Tech Parameters'!$BL358:$BU358*'Tech Parameters'!L86:U86)</f>
        <v>0</v>
      </c>
      <c r="I628">
        <f t="array" ref="I628">SUM(J139:S139*'Tech Parameters'!$BL358:$BU358*'Tech Parameters'!M86:V86)</f>
        <v>0</v>
      </c>
      <c r="J628">
        <f t="array" ref="J628">SUM(K139:T139*'Tech Parameters'!$BL358:$BU358*'Tech Parameters'!N86:W86)</f>
        <v>0</v>
      </c>
      <c r="K628">
        <f t="array" ref="K628">SUM(L139:U139*'Tech Parameters'!$BL358:$BU358*'Tech Parameters'!O86:X86)</f>
        <v>0</v>
      </c>
      <c r="L628">
        <f t="array" ref="L628">SUM(M139:V139*'Tech Parameters'!$BL358:$BU358*'Tech Parameters'!P86:Y86)</f>
        <v>0</v>
      </c>
      <c r="M628">
        <f t="array" ref="M628">SUM(N139:W139*'Tech Parameters'!$BL358:$BU358*'Tech Parameters'!Q86:Z86)</f>
        <v>0</v>
      </c>
      <c r="N628">
        <f t="array" ref="N628">SUM(O139:X139*'Tech Parameters'!$BL358:$BU358*'Tech Parameters'!R86:AA86)</f>
        <v>0</v>
      </c>
      <c r="O628">
        <f t="array" ref="O628">SUM(P139:Y139*'Tech Parameters'!$BL358:$BU358*'Tech Parameters'!S86:AB86)</f>
        <v>0</v>
      </c>
      <c r="P628">
        <f t="array" ref="P628">SUM(Q139:Z139*'Tech Parameters'!$BL358:$BU358*'Tech Parameters'!T86:AC86)</f>
        <v>0</v>
      </c>
      <c r="Q628">
        <f t="array" ref="Q628">SUM(R139:AA139*'Tech Parameters'!$BL358:$BU358*'Tech Parameters'!U86:AD86)</f>
        <v>0</v>
      </c>
      <c r="R628">
        <f t="array" ref="R628">SUM(S139:AB139*'Tech Parameters'!$BL358:$BU358*'Tech Parameters'!V86:AE86)</f>
        <v>0</v>
      </c>
      <c r="S628">
        <f t="array" ref="S628">SUM(T139:AC139*'Tech Parameters'!$BL358:$BU358*'Tech Parameters'!W86:AF86)</f>
        <v>0</v>
      </c>
      <c r="T628">
        <f t="array" aca="1" ref="T628" ca="1">SUM(U139:AD139*'Tech Parameters'!$BL358:$BU358*'Tech Parameters'!X86:AG86)</f>
        <v>0</v>
      </c>
      <c r="U628">
        <f t="array" aca="1" ref="U628" ca="1">SUM(V139:AE139*'Tech Parameters'!$BL358:$BU358*'Tech Parameters'!Y86:AH86)</f>
        <v>0</v>
      </c>
      <c r="V628">
        <f t="array" aca="1" ref="V628" ca="1">SUM(W139:AF139*'Tech Parameters'!$BL358:$BU358*'Tech Parameters'!Z86:AI86)</f>
        <v>0</v>
      </c>
      <c r="W628">
        <f t="array" aca="1" ref="W628" ca="1">SUM(X139:AG139*'Tech Parameters'!$BL358:$BU358*'Tech Parameters'!AA86:AJ86)</f>
        <v>0</v>
      </c>
      <c r="X628">
        <f t="array" aca="1" ref="X628" ca="1">SUM(Y139:AH139*'Tech Parameters'!$BL358:$BU358*'Tech Parameters'!AB86:AK86)</f>
        <v>0</v>
      </c>
      <c r="Y628">
        <f t="array" aca="1" ref="Y628" ca="1">SUM(Z139:AI139*'Tech Parameters'!$BL358:$BU358*'Tech Parameters'!AC86:AL86)</f>
        <v>0</v>
      </c>
      <c r="Z628">
        <f t="array" aca="1" ref="Z628" ca="1">SUM(AA139:AJ139*'Tech Parameters'!$BL358:$BU358*'Tech Parameters'!AD86:AM86)</f>
        <v>0</v>
      </c>
      <c r="AA628">
        <f t="array" aca="1" ref="AA628" ca="1">SUM(AB139:AK139*'Tech Parameters'!$BL358:$BU358*'Tech Parameters'!AE86:AN86)</f>
        <v>0</v>
      </c>
      <c r="AB628">
        <f t="array" aca="1" ref="AB628" ca="1">SUM(AC139:AL139*'Tech Parameters'!$BL358:$BU358*'Tech Parameters'!AF86:AO86)</f>
        <v>0</v>
      </c>
      <c r="AC628">
        <f t="array" aca="1" ref="AC628" ca="1">SUM(AD139:AM139*'Tech Parameters'!$BL358:$BU358*'Tech Parameters'!AG86:AP86)</f>
        <v>0</v>
      </c>
    </row>
    <row r="629" spans="3:29">
      <c r="C629" t="str">
        <f t="shared" si="153"/>
        <v>Pumped storage</v>
      </c>
      <c r="D629">
        <f t="array" ref="D629">SUM(E140:N140*'Tech Parameters'!$BL359:$BU359*'Tech Parameters'!H87:Q87)</f>
        <v>1152.7675173263508</v>
      </c>
      <c r="E629">
        <f t="array" ref="E629">SUM(F140:O140*'Tech Parameters'!$BL359:$BU359*'Tech Parameters'!I87:R87)</f>
        <v>1816.9811820715338</v>
      </c>
      <c r="F629">
        <f t="array" ref="F629">SUM(G140:P140*'Tech Parameters'!$BL359:$BU359*'Tech Parameters'!J87:S87)</f>
        <v>2704.4553312948201</v>
      </c>
      <c r="G629">
        <f t="array" ref="G629">SUM(H140:Q140*'Tech Parameters'!$BL359:$BU359*'Tech Parameters'!K87:T87)</f>
        <v>3131.7399824278873</v>
      </c>
      <c r="H629">
        <f t="array" ref="H629">SUM(I140:R140*'Tech Parameters'!$BL359:$BU359*'Tech Parameters'!L87:U87)</f>
        <v>3601.7530986742613</v>
      </c>
      <c r="I629">
        <f t="array" ref="I629">SUM(J140:S140*'Tech Parameters'!$BL359:$BU359*'Tech Parameters'!M87:V87)</f>
        <v>4118.7675265452726</v>
      </c>
      <c r="J629">
        <f t="array" ref="J629">SUM(K140:T140*'Tech Parameters'!$BL359:$BU359*'Tech Parameters'!N87:W87)</f>
        <v>4530.6442791997997</v>
      </c>
      <c r="K629">
        <f t="array" ref="K629">SUM(L140:U140*'Tech Parameters'!$BL359:$BU359*'Tech Parameters'!O87:X87)</f>
        <v>4983.7087071197802</v>
      </c>
      <c r="L629">
        <f t="array" ref="L629">SUM(M140:V140*'Tech Parameters'!$BL359:$BU359*'Tech Parameters'!P87:Y87)</f>
        <v>3909.8649865596035</v>
      </c>
      <c r="M629">
        <f t="array" ref="M629">SUM(N140:W140*'Tech Parameters'!$BL359:$BU359*'Tech Parameters'!Q87:Z87)</f>
        <v>2728.6368939434087</v>
      </c>
      <c r="N629">
        <f t="array" ref="N629">SUM(O140:X140*'Tech Parameters'!$BL359:$BU359*'Tech Parameters'!R87:AA87)</f>
        <v>1429.2859920655951</v>
      </c>
      <c r="O629">
        <f t="array" ref="O629">SUM(P140:Y140*'Tech Parameters'!$BL359:$BU359*'Tech Parameters'!S87:AB87)</f>
        <v>0</v>
      </c>
      <c r="P629">
        <f t="array" ref="P629">SUM(Q140:Z140*'Tech Parameters'!$BL359:$BU359*'Tech Parameters'!T87:AC87)</f>
        <v>0</v>
      </c>
      <c r="Q629">
        <f t="array" ref="Q629">SUM(R140:AA140*'Tech Parameters'!$BL359:$BU359*'Tech Parameters'!U87:AD87)</f>
        <v>0</v>
      </c>
      <c r="R629">
        <f t="array" ref="R629">SUM(S140:AB140*'Tech Parameters'!$BL359:$BU359*'Tech Parameters'!V87:AE87)</f>
        <v>0</v>
      </c>
      <c r="S629">
        <f t="array" ref="S629">SUM(T140:AC140*'Tech Parameters'!$BL359:$BU359*'Tech Parameters'!W87:AF87)</f>
        <v>0</v>
      </c>
      <c r="T629">
        <f t="array" aca="1" ref="T629" ca="1">SUM(U140:AD140*'Tech Parameters'!$BL359:$BU359*'Tech Parameters'!X87:AG87)</f>
        <v>0</v>
      </c>
      <c r="U629">
        <f t="array" aca="1" ref="U629" ca="1">SUM(V140:AE140*'Tech Parameters'!$BL359:$BU359*'Tech Parameters'!Y87:AH87)</f>
        <v>0</v>
      </c>
      <c r="V629">
        <f t="array" aca="1" ref="V629" ca="1">SUM(W140:AF140*'Tech Parameters'!$BL359:$BU359*'Tech Parameters'!Z87:AI87)</f>
        <v>0</v>
      </c>
      <c r="W629">
        <f t="array" aca="1" ref="W629" ca="1">SUM(X140:AG140*'Tech Parameters'!$BL359:$BU359*'Tech Parameters'!AA87:AJ87)</f>
        <v>0</v>
      </c>
      <c r="X629">
        <f t="array" aca="1" ref="X629" ca="1">SUM(Y140:AH140*'Tech Parameters'!$BL359:$BU359*'Tech Parameters'!AB87:AK87)</f>
        <v>0</v>
      </c>
      <c r="Y629">
        <f t="array" aca="1" ref="Y629" ca="1">SUM(Z140:AI140*'Tech Parameters'!$BL359:$BU359*'Tech Parameters'!AC87:AL87)</f>
        <v>0</v>
      </c>
      <c r="Z629">
        <f t="array" aca="1" ref="Z629" ca="1">SUM(AA140:AJ140*'Tech Parameters'!$BL359:$BU359*'Tech Parameters'!AD87:AM87)</f>
        <v>0</v>
      </c>
      <c r="AA629">
        <f t="array" aca="1" ref="AA629" ca="1">SUM(AB140:AK140*'Tech Parameters'!$BL359:$BU359*'Tech Parameters'!AE87:AN87)</f>
        <v>0</v>
      </c>
      <c r="AB629">
        <f t="array" aca="1" ref="AB629" ca="1">SUM(AC140:AL140*'Tech Parameters'!$BL359:$BU359*'Tech Parameters'!AF87:AO87)</f>
        <v>0</v>
      </c>
      <c r="AC629">
        <f t="array" aca="1" ref="AC629" ca="1">SUM(AD140:AM140*'Tech Parameters'!$BL359:$BU359*'Tech Parameters'!AG87:AP87)</f>
        <v>0</v>
      </c>
    </row>
    <row r="630" spans="3:29">
      <c r="C630" s="11" t="s">
        <v>5</v>
      </c>
      <c r="D630">
        <f>SUM(D610:D629)</f>
        <v>1152.7675173263508</v>
      </c>
      <c r="E630">
        <f t="shared" ref="E630:AC630" si="154">SUM(E610:E629)</f>
        <v>2480.733503815221</v>
      </c>
      <c r="F630">
        <f t="shared" si="154"/>
        <v>4833.6808132278302</v>
      </c>
      <c r="G630">
        <f t="shared" si="154"/>
        <v>7702.3994433172957</v>
      </c>
      <c r="H630">
        <f t="shared" si="154"/>
        <v>16493.859878271476</v>
      </c>
      <c r="I630">
        <f t="shared" si="154"/>
        <v>33427.064258967213</v>
      </c>
      <c r="J630">
        <f t="shared" si="154"/>
        <v>42617.782990041684</v>
      </c>
      <c r="K630">
        <f t="shared" si="154"/>
        <v>53894.381441770187</v>
      </c>
      <c r="L630">
        <f t="shared" si="154"/>
        <v>52945.570853313962</v>
      </c>
      <c r="M630">
        <f t="shared" si="154"/>
        <v>50996.235211250219</v>
      </c>
      <c r="N630">
        <f t="shared" si="154"/>
        <v>45220.007786200084</v>
      </c>
      <c r="O630">
        <f t="shared" si="154"/>
        <v>50700.0555433427</v>
      </c>
      <c r="P630">
        <f t="shared" si="154"/>
        <v>67939.359066869569</v>
      </c>
      <c r="Q630">
        <f t="shared" si="154"/>
        <v>91045.647119786794</v>
      </c>
      <c r="R630">
        <f t="shared" si="154"/>
        <v>106974.96863559779</v>
      </c>
      <c r="S630">
        <f t="shared" si="154"/>
        <v>122091.13741165452</v>
      </c>
      <c r="T630">
        <f t="shared" ca="1" si="154"/>
        <v>119204.0754393215</v>
      </c>
      <c r="U630">
        <f t="shared" ca="1" si="154"/>
        <v>143309.35510049993</v>
      </c>
      <c r="V630">
        <f t="shared" ca="1" si="154"/>
        <v>140590.27404597591</v>
      </c>
      <c r="W630">
        <f t="shared" ca="1" si="154"/>
        <v>138238.0884680587</v>
      </c>
      <c r="X630">
        <f t="shared" ca="1" si="154"/>
        <v>139720.56772488618</v>
      </c>
      <c r="Y630">
        <f t="shared" ca="1" si="154"/>
        <v>133526.64218155234</v>
      </c>
      <c r="Z630">
        <f t="shared" ca="1" si="154"/>
        <v>128232.19353374555</v>
      </c>
      <c r="AA630">
        <f t="shared" ca="1" si="154"/>
        <v>115891.85941335843</v>
      </c>
      <c r="AB630">
        <f t="shared" ca="1" si="154"/>
        <v>81419.126757513179</v>
      </c>
      <c r="AC630">
        <f t="shared" ca="1" si="154"/>
        <v>2357.520179482151</v>
      </c>
    </row>
    <row r="632" spans="3:29">
      <c r="C632" s="4" t="s">
        <v>189</v>
      </c>
    </row>
    <row r="634" spans="3:29">
      <c r="C634" t="str">
        <f>C8</f>
        <v>Existing coal Large</v>
      </c>
    </row>
    <row r="635" spans="3:29">
      <c r="C635" t="str">
        <f t="shared" ref="C635:C653" si="155">C9</f>
        <v>Existing coal Small</v>
      </c>
    </row>
    <row r="636" spans="3:29">
      <c r="C636" t="str">
        <f t="shared" si="155"/>
        <v>OCGT liquid fuels</v>
      </c>
      <c r="D636">
        <f t="array" ref="D636">SUM(E123:N123*'Tech Parameters'!$BA342:$BJ342*'Tech Parameters'!H70:Q70)</f>
        <v>0</v>
      </c>
      <c r="E636">
        <f t="array" ref="E636">SUM(F123:O123*'Tech Parameters'!$BA342:$BJ342*'Tech Parameters'!I70:R70)</f>
        <v>0</v>
      </c>
      <c r="F636">
        <f t="array" ref="F636">SUM(G123:P123*'Tech Parameters'!$BA342:$BJ342*'Tech Parameters'!J70:S70)</f>
        <v>0</v>
      </c>
      <c r="G636">
        <f t="array" ref="G636">SUM(H123:Q123*'Tech Parameters'!$BA342:$BJ342*'Tech Parameters'!K70:T70)</f>
        <v>299.85406508081212</v>
      </c>
      <c r="H636">
        <f t="array" ref="H636">SUM(I123:R123*'Tech Parameters'!$BA342:$BJ342*'Tech Parameters'!L70:U70)</f>
        <v>1199.4162603232485</v>
      </c>
      <c r="I636">
        <f t="array" ref="I636">SUM(J123:S123*'Tech Parameters'!$BA342:$BJ342*'Tech Parameters'!M70:V70)</f>
        <v>4497.8109762121812</v>
      </c>
      <c r="J636">
        <f t="array" ref="J636">SUM(K123:T123*'Tech Parameters'!$BA342:$BJ342*'Tech Parameters'!N70:W70)</f>
        <v>0</v>
      </c>
      <c r="K636">
        <f t="array" ref="K636">SUM(L123:U123*'Tech Parameters'!$BA342:$BJ342*'Tech Parameters'!O70:X70)</f>
        <v>0</v>
      </c>
      <c r="L636">
        <f t="array" ref="L636">SUM(M123:V123*'Tech Parameters'!$BA342:$BJ342*'Tech Parameters'!P70:Y70)</f>
        <v>0</v>
      </c>
      <c r="M636">
        <f t="array" ref="M636">SUM(N123:W123*'Tech Parameters'!$BA342:$BJ342*'Tech Parameters'!Q70:Z70)</f>
        <v>0</v>
      </c>
      <c r="N636">
        <f t="array" ref="N636">SUM(O123:X123*'Tech Parameters'!$BA342:$BJ342*'Tech Parameters'!R70:AA70)</f>
        <v>0</v>
      </c>
      <c r="O636">
        <f t="array" ref="O636">SUM(P123:Y123*'Tech Parameters'!$BA342:$BJ342*'Tech Parameters'!S70:AB70)</f>
        <v>0</v>
      </c>
      <c r="P636">
        <f t="array" ref="P636">SUM(Q123:Z123*'Tech Parameters'!$BA342:$BJ342*'Tech Parameters'!T70:AC70)</f>
        <v>0</v>
      </c>
      <c r="Q636">
        <f t="array" ref="Q636">SUM(R123:AA123*'Tech Parameters'!$BA342:$BJ342*'Tech Parameters'!U70:AD70)</f>
        <v>0</v>
      </c>
      <c r="R636">
        <f t="array" ref="R636">SUM(S123:AB123*'Tech Parameters'!$BA342:$BJ342*'Tech Parameters'!V70:AE70)</f>
        <v>0</v>
      </c>
      <c r="S636">
        <f t="array" ref="S636">SUM(T123:AC123*'Tech Parameters'!$BA342:$BJ342*'Tech Parameters'!W70:AF70)</f>
        <v>0</v>
      </c>
      <c r="T636">
        <f t="array" aca="1" ref="T636" ca="1">SUM(U123:AD123*'Tech Parameters'!$BA342:$BJ342*'Tech Parameters'!X70:AG70)</f>
        <v>0</v>
      </c>
      <c r="U636">
        <f t="array" aca="1" ref="U636" ca="1">SUM(V123:AE123*'Tech Parameters'!$BA342:$BJ342*'Tech Parameters'!Y70:AH70)</f>
        <v>0</v>
      </c>
      <c r="V636">
        <f t="array" aca="1" ref="V636" ca="1">SUM(W123:AF123*'Tech Parameters'!$BA342:$BJ342*'Tech Parameters'!Z70:AI70)</f>
        <v>199.90271005387473</v>
      </c>
      <c r="W636">
        <f t="array" aca="1" ref="W636" ca="1">SUM(X123:AG123*'Tech Parameters'!$BA342:$BJ342*'Tech Parameters'!AA70:AJ70)</f>
        <v>799.61084021549891</v>
      </c>
      <c r="X636">
        <f t="array" aca="1" ref="X636" ca="1">SUM(Y123:AH123*'Tech Parameters'!$BA342:$BJ342*'Tech Parameters'!AB70:AK70)</f>
        <v>2998.5406508081205</v>
      </c>
      <c r="Y636">
        <f t="array" aca="1" ref="Y636" ca="1">SUM(Z123:AI123*'Tech Parameters'!$BA342:$BJ342*'Tech Parameters'!AC70:AL70)</f>
        <v>266.53694673849964</v>
      </c>
      <c r="Z636">
        <f t="array" aca="1" ref="Z636" ca="1">SUM(AA123:AJ123*'Tech Parameters'!$BA342:$BJ342*'Tech Parameters'!AD70:AM70)</f>
        <v>1332.6847336924982</v>
      </c>
      <c r="AA636">
        <f t="array" aca="1" ref="AA636" ca="1">SUM(AB123:AK123*'Tech Parameters'!$BA342:$BJ342*'Tech Parameters'!AE70:AN70)</f>
        <v>5064.2019880314929</v>
      </c>
      <c r="AB636">
        <f t="array" aca="1" ref="AB636" ca="1">SUM(AC123:AL123*'Tech Parameters'!$BA342:$BJ342*'Tech Parameters'!AF70:AO70)</f>
        <v>3998.0542010774939</v>
      </c>
      <c r="AC636">
        <f t="array" aca="1" ref="AC636" ca="1">SUM(AD123:AM123*'Tech Parameters'!$BA342:$BJ342*'Tech Parameters'!AG70:AP70)</f>
        <v>0</v>
      </c>
    </row>
    <row r="637" spans="3:29">
      <c r="C637" t="str">
        <f t="shared" si="155"/>
        <v>PWR nuclear</v>
      </c>
      <c r="D637">
        <f t="array" ref="D637">SUM(E124:N124*'Tech Parameters'!$BA343:$BJ343*'Tech Parameters'!H71:Q71)</f>
        <v>0</v>
      </c>
      <c r="E637">
        <f t="array" ref="E637">SUM(F124:O124*'Tech Parameters'!$BA343:$BJ343*'Tech Parameters'!I71:R71)</f>
        <v>0</v>
      </c>
      <c r="F637">
        <f t="array" ref="F637">SUM(G124:P124*'Tech Parameters'!$BA343:$BJ343*'Tech Parameters'!J71:S71)</f>
        <v>0</v>
      </c>
      <c r="G637">
        <f t="array" ref="G637">SUM(H124:Q124*'Tech Parameters'!$BA343:$BJ343*'Tech Parameters'!K71:T71)</f>
        <v>0</v>
      </c>
      <c r="H637">
        <f t="array" ref="H637">SUM(I124:R124*'Tech Parameters'!$BA343:$BJ343*'Tech Parameters'!L71:U71)</f>
        <v>0</v>
      </c>
      <c r="I637">
        <f t="array" ref="I637">SUM(J124:S124*'Tech Parameters'!$BA343:$BJ343*'Tech Parameters'!M71:V71)</f>
        <v>0</v>
      </c>
      <c r="J637">
        <f t="array" ref="J637">SUM(K124:T124*'Tech Parameters'!$BA343:$BJ343*'Tech Parameters'!N71:W71)</f>
        <v>0</v>
      </c>
      <c r="K637">
        <f t="array" ref="K637">SUM(L124:U124*'Tech Parameters'!$BA343:$BJ343*'Tech Parameters'!O71:X71)</f>
        <v>0</v>
      </c>
      <c r="L637">
        <f t="array" ref="L637">SUM(M124:V124*'Tech Parameters'!$BA343:$BJ343*'Tech Parameters'!P71:Y71)</f>
        <v>0</v>
      </c>
      <c r="M637">
        <f t="array" ref="M637">SUM(N124:W124*'Tech Parameters'!$BA343:$BJ343*'Tech Parameters'!Q71:Z71)</f>
        <v>0</v>
      </c>
      <c r="N637">
        <f t="array" ref="N637">SUM(O124:X124*'Tech Parameters'!$BA343:$BJ343*'Tech Parameters'!R71:AA71)</f>
        <v>0</v>
      </c>
      <c r="O637">
        <f t="array" ref="O637">SUM(P124:Y124*'Tech Parameters'!$BA343:$BJ343*'Tech Parameters'!S71:AB71)</f>
        <v>0</v>
      </c>
      <c r="P637">
        <f t="array" ref="P637">SUM(Q124:Z124*'Tech Parameters'!$BA343:$BJ343*'Tech Parameters'!T71:AC71)</f>
        <v>0</v>
      </c>
      <c r="Q637">
        <f t="array" ref="Q637">SUM(R124:AA124*'Tech Parameters'!$BA343:$BJ343*'Tech Parameters'!U71:AD71)</f>
        <v>0</v>
      </c>
      <c r="R637">
        <f t="array" ref="R637">SUM(S124:AB124*'Tech Parameters'!$BA343:$BJ343*'Tech Parameters'!V71:AE71)</f>
        <v>0</v>
      </c>
      <c r="S637">
        <f t="array" ref="S637">SUM(T124:AC124*'Tech Parameters'!$BA343:$BJ343*'Tech Parameters'!W71:AF71)</f>
        <v>0</v>
      </c>
      <c r="T637">
        <f t="array" aca="1" ref="T637" ca="1">SUM(U124:AD124*'Tech Parameters'!$BA343:$BJ343*'Tech Parameters'!X71:AG71)</f>
        <v>0</v>
      </c>
      <c r="U637">
        <f t="array" aca="1" ref="U637" ca="1">SUM(V124:AE124*'Tech Parameters'!$BA343:$BJ343*'Tech Parameters'!Y71:AH71)</f>
        <v>0</v>
      </c>
      <c r="V637">
        <f t="array" aca="1" ref="V637" ca="1">SUM(W124:AF124*'Tech Parameters'!$BA343:$BJ343*'Tech Parameters'!Z71:AI71)</f>
        <v>0</v>
      </c>
      <c r="W637">
        <f t="array" aca="1" ref="W637" ca="1">SUM(X124:AG124*'Tech Parameters'!$BA343:$BJ343*'Tech Parameters'!AA71:AJ71)</f>
        <v>0</v>
      </c>
      <c r="X637">
        <f t="array" aca="1" ref="X637" ca="1">SUM(Y124:AH124*'Tech Parameters'!$BA343:$BJ343*'Tech Parameters'!AB71:AK71)</f>
        <v>0</v>
      </c>
      <c r="Y637">
        <f t="array" aca="1" ref="Y637" ca="1">SUM(Z124:AI124*'Tech Parameters'!$BA343:$BJ343*'Tech Parameters'!AC71:AL71)</f>
        <v>0</v>
      </c>
      <c r="Z637">
        <f t="array" aca="1" ref="Z637" ca="1">SUM(AA124:AJ124*'Tech Parameters'!$BA343:$BJ343*'Tech Parameters'!AD71:AM71)</f>
        <v>0</v>
      </c>
      <c r="AA637">
        <f t="array" aca="1" ref="AA637" ca="1">SUM(AB124:AK124*'Tech Parameters'!$BA343:$BJ343*'Tech Parameters'!AE71:AN71)</f>
        <v>0</v>
      </c>
      <c r="AB637">
        <f t="array" aca="1" ref="AB637" ca="1">SUM(AC124:AL124*'Tech Parameters'!$BA343:$BJ343*'Tech Parameters'!AF71:AO71)</f>
        <v>0</v>
      </c>
      <c r="AC637">
        <f t="array" aca="1" ref="AC637" ca="1">SUM(AD124:AM124*'Tech Parameters'!$BA343:$BJ343*'Tech Parameters'!AG71:AP71)</f>
        <v>0</v>
      </c>
    </row>
    <row r="638" spans="3:29">
      <c r="C638" t="str">
        <f t="shared" si="155"/>
        <v>Hydro</v>
      </c>
      <c r="D638">
        <f t="array" ref="D638">SUM(E125:N125*'Tech Parameters'!$BA344:$BJ344*'Tech Parameters'!H72:Q72)</f>
        <v>0</v>
      </c>
      <c r="E638">
        <f t="array" ref="E638">SUM(F125:O125*'Tech Parameters'!$BA344:$BJ344*'Tech Parameters'!I72:R72)</f>
        <v>0</v>
      </c>
      <c r="F638">
        <f t="array" ref="F638">SUM(G125:P125*'Tech Parameters'!$BA344:$BJ344*'Tech Parameters'!J72:S72)</f>
        <v>0</v>
      </c>
      <c r="G638">
        <f t="array" ref="G638">SUM(H125:Q125*'Tech Parameters'!$BA344:$BJ344*'Tech Parameters'!K72:T72)</f>
        <v>0</v>
      </c>
      <c r="H638">
        <f t="array" ref="H638">SUM(I125:R125*'Tech Parameters'!$BA344:$BJ344*'Tech Parameters'!L72:U72)</f>
        <v>0</v>
      </c>
      <c r="I638">
        <f t="array" ref="I638">SUM(J125:S125*'Tech Parameters'!$BA344:$BJ344*'Tech Parameters'!M72:V72)</f>
        <v>0</v>
      </c>
      <c r="J638">
        <f t="array" ref="J638">SUM(K125:T125*'Tech Parameters'!$BA344:$BJ344*'Tech Parameters'!N72:W72)</f>
        <v>0</v>
      </c>
      <c r="K638">
        <f t="array" ref="K638">SUM(L125:U125*'Tech Parameters'!$BA344:$BJ344*'Tech Parameters'!O72:X72)</f>
        <v>0</v>
      </c>
      <c r="L638">
        <f t="array" ref="L638">SUM(M125:V125*'Tech Parameters'!$BA344:$BJ344*'Tech Parameters'!P72:Y72)</f>
        <v>0</v>
      </c>
      <c r="M638">
        <f t="array" ref="M638">SUM(N125:W125*'Tech Parameters'!$BA344:$BJ344*'Tech Parameters'!Q72:Z72)</f>
        <v>0</v>
      </c>
      <c r="N638">
        <f t="array" ref="N638">SUM(O125:X125*'Tech Parameters'!$BA344:$BJ344*'Tech Parameters'!R72:AA72)</f>
        <v>0</v>
      </c>
      <c r="O638">
        <f t="array" ref="O638">SUM(P125:Y125*'Tech Parameters'!$BA344:$BJ344*'Tech Parameters'!S72:AB72)</f>
        <v>0</v>
      </c>
      <c r="P638">
        <f t="array" ref="P638">SUM(Q125:Z125*'Tech Parameters'!$BA344:$BJ344*'Tech Parameters'!T72:AC72)</f>
        <v>0</v>
      </c>
      <c r="Q638">
        <f t="array" ref="Q638">SUM(R125:AA125*'Tech Parameters'!$BA344:$BJ344*'Tech Parameters'!U72:AD72)</f>
        <v>0</v>
      </c>
      <c r="R638">
        <f t="array" ref="R638">SUM(S125:AB125*'Tech Parameters'!$BA344:$BJ344*'Tech Parameters'!V72:AE72)</f>
        <v>0</v>
      </c>
      <c r="S638">
        <f t="array" ref="S638">SUM(T125:AC125*'Tech Parameters'!$BA344:$BJ344*'Tech Parameters'!W72:AF72)</f>
        <v>0</v>
      </c>
      <c r="T638">
        <f t="array" aca="1" ref="T638" ca="1">SUM(U125:AD125*'Tech Parameters'!$BA344:$BJ344*'Tech Parameters'!X72:AG72)</f>
        <v>0</v>
      </c>
      <c r="U638">
        <f t="array" aca="1" ref="U638" ca="1">SUM(V125:AE125*'Tech Parameters'!$BA344:$BJ344*'Tech Parameters'!Y72:AH72)</f>
        <v>0</v>
      </c>
      <c r="V638">
        <f t="array" aca="1" ref="V638" ca="1">SUM(W125:AF125*'Tech Parameters'!$BA344:$BJ344*'Tech Parameters'!Z72:AI72)</f>
        <v>0</v>
      </c>
      <c r="W638">
        <f t="array" aca="1" ref="W638" ca="1">SUM(X125:AG125*'Tech Parameters'!$BA344:$BJ344*'Tech Parameters'!AA72:AJ72)</f>
        <v>0</v>
      </c>
      <c r="X638">
        <f t="array" aca="1" ref="X638" ca="1">SUM(Y125:AH125*'Tech Parameters'!$BA344:$BJ344*'Tech Parameters'!AB72:AK72)</f>
        <v>0</v>
      </c>
      <c r="Y638">
        <f t="array" aca="1" ref="Y638" ca="1">SUM(Z125:AI125*'Tech Parameters'!$BA344:$BJ344*'Tech Parameters'!AC72:AL72)</f>
        <v>0</v>
      </c>
      <c r="Z638">
        <f t="array" aca="1" ref="Z638" ca="1">SUM(AA125:AJ125*'Tech Parameters'!$BA344:$BJ344*'Tech Parameters'!AD72:AM72)</f>
        <v>0</v>
      </c>
      <c r="AA638">
        <f t="array" aca="1" ref="AA638" ca="1">SUM(AB125:AK125*'Tech Parameters'!$BA344:$BJ344*'Tech Parameters'!AE72:AN72)</f>
        <v>0</v>
      </c>
      <c r="AB638">
        <f t="array" aca="1" ref="AB638" ca="1">SUM(AC125:AL125*'Tech Parameters'!$BA344:$BJ344*'Tech Parameters'!AF72:AO72)</f>
        <v>0</v>
      </c>
      <c r="AC638">
        <f t="array" aca="1" ref="AC638" ca="1">SUM(AD125:AM125*'Tech Parameters'!$BA344:$BJ344*'Tech Parameters'!AG72:AP72)</f>
        <v>0</v>
      </c>
    </row>
    <row r="639" spans="3:29">
      <c r="C639" t="str">
        <f t="shared" si="155"/>
        <v>Landfill gas</v>
      </c>
      <c r="D639">
        <f t="array" ref="D639">SUM(E126:N126*'Tech Parameters'!$BA345:$BJ345*'Tech Parameters'!H73:Q73)</f>
        <v>0</v>
      </c>
      <c r="E639">
        <f t="array" ref="E639">SUM(F126:O126*'Tech Parameters'!$BA345:$BJ345*'Tech Parameters'!I73:R73)</f>
        <v>0</v>
      </c>
      <c r="F639">
        <f t="array" ref="F639">SUM(G126:P126*'Tech Parameters'!$BA345:$BJ345*'Tech Parameters'!J73:S73)</f>
        <v>0</v>
      </c>
      <c r="G639">
        <f t="array" ref="G639">SUM(H126:Q126*'Tech Parameters'!$BA345:$BJ345*'Tech Parameters'!K73:T73)</f>
        <v>0</v>
      </c>
      <c r="H639">
        <f t="array" ref="H639">SUM(I126:R126*'Tech Parameters'!$BA345:$BJ345*'Tech Parameters'!L73:U73)</f>
        <v>0</v>
      </c>
      <c r="I639">
        <f t="array" ref="I639">SUM(J126:S126*'Tech Parameters'!$BA345:$BJ345*'Tech Parameters'!M73:V73)</f>
        <v>0</v>
      </c>
      <c r="J639">
        <f t="array" ref="J639">SUM(K126:T126*'Tech Parameters'!$BA345:$BJ345*'Tech Parameters'!N73:W73)</f>
        <v>0</v>
      </c>
      <c r="K639">
        <f t="array" ref="K639">SUM(L126:U126*'Tech Parameters'!$BA345:$BJ345*'Tech Parameters'!O73:X73)</f>
        <v>0</v>
      </c>
      <c r="L639">
        <f t="array" ref="L639">SUM(M126:V126*'Tech Parameters'!$BA345:$BJ345*'Tech Parameters'!P73:Y73)</f>
        <v>0</v>
      </c>
      <c r="M639">
        <f t="array" ref="M639">SUM(N126:W126*'Tech Parameters'!$BA345:$BJ345*'Tech Parameters'!Q73:Z73)</f>
        <v>0</v>
      </c>
      <c r="N639">
        <f t="array" ref="N639">SUM(O126:X126*'Tech Parameters'!$BA345:$BJ345*'Tech Parameters'!R73:AA73)</f>
        <v>0</v>
      </c>
      <c r="O639">
        <f t="array" ref="O639">SUM(P126:Y126*'Tech Parameters'!$BA345:$BJ345*'Tech Parameters'!S73:AB73)</f>
        <v>0</v>
      </c>
      <c r="P639">
        <f t="array" ref="P639">SUM(Q126:Z126*'Tech Parameters'!$BA345:$BJ345*'Tech Parameters'!T73:AC73)</f>
        <v>0</v>
      </c>
      <c r="Q639">
        <f t="array" ref="Q639">SUM(R126:AA126*'Tech Parameters'!$BA345:$BJ345*'Tech Parameters'!U73:AD73)</f>
        <v>0</v>
      </c>
      <c r="R639">
        <f t="array" ref="R639">SUM(S126:AB126*'Tech Parameters'!$BA345:$BJ345*'Tech Parameters'!V73:AE73)</f>
        <v>0</v>
      </c>
      <c r="S639">
        <f t="array" ref="S639">SUM(T126:AC126*'Tech Parameters'!$BA345:$BJ345*'Tech Parameters'!W73:AF73)</f>
        <v>0</v>
      </c>
      <c r="T639">
        <f t="array" aca="1" ref="T639" ca="1">SUM(U126:AD126*'Tech Parameters'!$BA345:$BJ345*'Tech Parameters'!X73:AG73)</f>
        <v>0</v>
      </c>
      <c r="U639">
        <f t="array" aca="1" ref="U639" ca="1">SUM(V126:AE126*'Tech Parameters'!$BA345:$BJ345*'Tech Parameters'!Y73:AH73)</f>
        <v>0</v>
      </c>
      <c r="V639">
        <f t="array" aca="1" ref="V639" ca="1">SUM(W126:AF126*'Tech Parameters'!$BA345:$BJ345*'Tech Parameters'!Z73:AI73)</f>
        <v>0</v>
      </c>
      <c r="W639">
        <f t="array" aca="1" ref="W639" ca="1">SUM(X126:AG126*'Tech Parameters'!$BA345:$BJ345*'Tech Parameters'!AA73:AJ73)</f>
        <v>0</v>
      </c>
      <c r="X639">
        <f t="array" aca="1" ref="X639" ca="1">SUM(Y126:AH126*'Tech Parameters'!$BA345:$BJ345*'Tech Parameters'!AB73:AK73)</f>
        <v>0</v>
      </c>
      <c r="Y639">
        <f t="array" aca="1" ref="Y639" ca="1">SUM(Z126:AI126*'Tech Parameters'!$BA345:$BJ345*'Tech Parameters'!AC73:AL73)</f>
        <v>0</v>
      </c>
      <c r="Z639">
        <f t="array" aca="1" ref="Z639" ca="1">SUM(AA126:AJ126*'Tech Parameters'!$BA345:$BJ345*'Tech Parameters'!AD73:AM73)</f>
        <v>0</v>
      </c>
      <c r="AA639">
        <f t="array" aca="1" ref="AA639" ca="1">SUM(AB126:AK126*'Tech Parameters'!$BA345:$BJ345*'Tech Parameters'!AE73:AN73)</f>
        <v>0</v>
      </c>
      <c r="AB639">
        <f t="array" aca="1" ref="AB639" ca="1">SUM(AC126:AL126*'Tech Parameters'!$BA345:$BJ345*'Tech Parameters'!AF73:AO73)</f>
        <v>0</v>
      </c>
      <c r="AC639">
        <f t="array" aca="1" ref="AC639" ca="1">SUM(AD126:AM126*'Tech Parameters'!$BA345:$BJ345*'Tech Parameters'!AG73:AP73)</f>
        <v>0</v>
      </c>
    </row>
    <row r="640" spans="3:29">
      <c r="C640" t="str">
        <f t="shared" si="155"/>
        <v>Biomass</v>
      </c>
      <c r="D640">
        <f t="array" ref="D640">SUM(E127:N127*'Tech Parameters'!$BA346:$BJ346*'Tech Parameters'!H74:Q74)</f>
        <v>0</v>
      </c>
      <c r="E640">
        <f t="array" ref="E640">SUM(F127:O127*'Tech Parameters'!$BA346:$BJ346*'Tech Parameters'!I74:R74)</f>
        <v>0</v>
      </c>
      <c r="F640">
        <f t="array" ref="F640">SUM(G127:P127*'Tech Parameters'!$BA346:$BJ346*'Tech Parameters'!J74:S74)</f>
        <v>0</v>
      </c>
      <c r="G640">
        <f t="array" ref="G640">SUM(H127:Q127*'Tech Parameters'!$BA346:$BJ346*'Tech Parameters'!K74:T74)</f>
        <v>0</v>
      </c>
      <c r="H640">
        <f t="array" ref="H640">SUM(I127:R127*'Tech Parameters'!$BA346:$BJ346*'Tech Parameters'!L74:U74)</f>
        <v>0</v>
      </c>
      <c r="I640">
        <f t="array" ref="I640">SUM(J127:S127*'Tech Parameters'!$BA346:$BJ346*'Tech Parameters'!M74:V74)</f>
        <v>0</v>
      </c>
      <c r="J640">
        <f t="array" ref="J640">SUM(K127:T127*'Tech Parameters'!$BA346:$BJ346*'Tech Parameters'!N74:W74)</f>
        <v>0</v>
      </c>
      <c r="K640">
        <f t="array" ref="K640">SUM(L127:U127*'Tech Parameters'!$BA346:$BJ346*'Tech Parameters'!O74:X74)</f>
        <v>0</v>
      </c>
      <c r="L640">
        <f t="array" ref="L640">SUM(M127:V127*'Tech Parameters'!$BA346:$BJ346*'Tech Parameters'!P74:Y74)</f>
        <v>0</v>
      </c>
      <c r="M640">
        <f t="array" ref="M640">SUM(N127:W127*'Tech Parameters'!$BA346:$BJ346*'Tech Parameters'!Q74:Z74)</f>
        <v>0</v>
      </c>
      <c r="N640">
        <f t="array" ref="N640">SUM(O127:X127*'Tech Parameters'!$BA346:$BJ346*'Tech Parameters'!R74:AA74)</f>
        <v>0</v>
      </c>
      <c r="O640">
        <f t="array" ref="O640">SUM(P127:Y127*'Tech Parameters'!$BA346:$BJ346*'Tech Parameters'!S74:AB74)</f>
        <v>0</v>
      </c>
      <c r="P640">
        <f t="array" ref="P640">SUM(Q127:Z127*'Tech Parameters'!$BA346:$BJ346*'Tech Parameters'!T74:AC74)</f>
        <v>0</v>
      </c>
      <c r="Q640">
        <f t="array" ref="Q640">SUM(R127:AA127*'Tech Parameters'!$BA346:$BJ346*'Tech Parameters'!U74:AD74)</f>
        <v>0</v>
      </c>
      <c r="R640">
        <f t="array" ref="R640">SUM(S127:AB127*'Tech Parameters'!$BA346:$BJ346*'Tech Parameters'!V74:AE74)</f>
        <v>0</v>
      </c>
      <c r="S640">
        <f t="array" ref="S640">SUM(T127:AC127*'Tech Parameters'!$BA346:$BJ346*'Tech Parameters'!W74:AF74)</f>
        <v>0</v>
      </c>
      <c r="T640">
        <f t="array" aca="1" ref="T640" ca="1">SUM(U127:AD127*'Tech Parameters'!$BA346:$BJ346*'Tech Parameters'!X74:AG74)</f>
        <v>0</v>
      </c>
      <c r="U640">
        <f t="array" aca="1" ref="U640" ca="1">SUM(V127:AE127*'Tech Parameters'!$BA346:$BJ346*'Tech Parameters'!Y74:AH74)</f>
        <v>0</v>
      </c>
      <c r="V640">
        <f t="array" aca="1" ref="V640" ca="1">SUM(W127:AF127*'Tech Parameters'!$BA346:$BJ346*'Tech Parameters'!Z74:AI74)</f>
        <v>0</v>
      </c>
      <c r="W640">
        <f t="array" aca="1" ref="W640" ca="1">SUM(X127:AG127*'Tech Parameters'!$BA346:$BJ346*'Tech Parameters'!AA74:AJ74)</f>
        <v>0</v>
      </c>
      <c r="X640">
        <f t="array" aca="1" ref="X640" ca="1">SUM(Y127:AH127*'Tech Parameters'!$BA346:$BJ346*'Tech Parameters'!AB74:AK74)</f>
        <v>0</v>
      </c>
      <c r="Y640">
        <f t="array" aca="1" ref="Y640" ca="1">SUM(Z127:AI127*'Tech Parameters'!$BA346:$BJ346*'Tech Parameters'!AC74:AL74)</f>
        <v>0</v>
      </c>
      <c r="Z640">
        <f t="array" aca="1" ref="Z640" ca="1">SUM(AA127:AJ127*'Tech Parameters'!$BA346:$BJ346*'Tech Parameters'!AD74:AM74)</f>
        <v>0</v>
      </c>
      <c r="AA640">
        <f t="array" aca="1" ref="AA640" ca="1">SUM(AB127:AK127*'Tech Parameters'!$BA346:$BJ346*'Tech Parameters'!AE74:AN74)</f>
        <v>0</v>
      </c>
      <c r="AB640">
        <f t="array" aca="1" ref="AB640" ca="1">SUM(AC127:AL127*'Tech Parameters'!$BA346:$BJ346*'Tech Parameters'!AF74:AO74)</f>
        <v>0</v>
      </c>
      <c r="AC640">
        <f t="array" aca="1" ref="AC640" ca="1">SUM(AD127:AM127*'Tech Parameters'!$BA346:$BJ346*'Tech Parameters'!AG74:AP74)</f>
        <v>0</v>
      </c>
    </row>
    <row r="641" spans="3:29">
      <c r="C641" t="str">
        <f t="shared" si="155"/>
        <v>Supercritical coal</v>
      </c>
      <c r="D641">
        <f t="array" ref="D641">SUM(E128:N128*'Tech Parameters'!$BA347:$BJ347*'Tech Parameters'!H75:Q75)</f>
        <v>0</v>
      </c>
      <c r="E641">
        <f t="array" ref="E641">SUM(F128:O128*'Tech Parameters'!$BA347:$BJ347*'Tech Parameters'!I75:R75)</f>
        <v>663.75232174368716</v>
      </c>
      <c r="F641">
        <f t="array" ref="F641">SUM(G128:P128*'Tech Parameters'!$BA347:$BJ347*'Tech Parameters'!J75:S75)</f>
        <v>1987.1470437341966</v>
      </c>
      <c r="G641">
        <f t="array" ref="G641">SUM(H128:Q128*'Tech Parameters'!$BA347:$BJ347*'Tech Parameters'!K75:T75)</f>
        <v>3541.2727585587036</v>
      </c>
      <c r="H641">
        <f t="array" ref="H641">SUM(I128:R128*'Tech Parameters'!$BA347:$BJ347*'Tech Parameters'!L75:U75)</f>
        <v>9087.6529177929042</v>
      </c>
      <c r="I641">
        <f t="array" ref="I641">SUM(J128:S128*'Tech Parameters'!$BA347:$BJ347*'Tech Parameters'!M75:V75)</f>
        <v>19618.669166069805</v>
      </c>
      <c r="J641">
        <f t="array" ref="J641">SUM(K128:T128*'Tech Parameters'!$BA347:$BJ347*'Tech Parameters'!N75:W75)</f>
        <v>29908.84401463042</v>
      </c>
      <c r="K641">
        <f t="array" ref="K641">SUM(L128:U128*'Tech Parameters'!$BA347:$BJ347*'Tech Parameters'!O75:X75)</f>
        <v>35282.484173351389</v>
      </c>
      <c r="L641">
        <f t="array" ref="L641">SUM(M128:V128*'Tech Parameters'!$BA347:$BJ347*'Tech Parameters'!P75:Y75)</f>
        <v>30396.321803373565</v>
      </c>
      <c r="M641">
        <f t="array" ref="M641">SUM(N128:W128*'Tech Parameters'!$BA347:$BJ347*'Tech Parameters'!Q75:Z75)</f>
        <v>19225.555174894671</v>
      </c>
      <c r="N641">
        <f t="array" ref="N641">SUM(O128:X128*'Tech Parameters'!$BA347:$BJ347*'Tech Parameters'!R75:AA75)</f>
        <v>7650.1256758344543</v>
      </c>
      <c r="O641">
        <f t="array" ref="O641">SUM(P128:Y128*'Tech Parameters'!$BA347:$BJ347*'Tech Parameters'!S75:AB75)</f>
        <v>705.75571944164665</v>
      </c>
      <c r="P641">
        <f t="array" ref="P641">SUM(Q128:Z128*'Tech Parameters'!$BA347:$BJ347*'Tech Parameters'!T75:AC75)</f>
        <v>0</v>
      </c>
      <c r="Q641">
        <f t="array" ref="Q641">SUM(R128:AA128*'Tech Parameters'!$BA347:$BJ347*'Tech Parameters'!U75:AD75)</f>
        <v>0</v>
      </c>
      <c r="R641">
        <f t="array" ref="R641">SUM(S128:AB128*'Tech Parameters'!$BA347:$BJ347*'Tech Parameters'!V75:AE75)</f>
        <v>0</v>
      </c>
      <c r="S641">
        <f t="array" ref="S641">SUM(T128:AC128*'Tech Parameters'!$BA347:$BJ347*'Tech Parameters'!W75:AF75)</f>
        <v>0</v>
      </c>
      <c r="T641">
        <f t="array" aca="1" ref="T641" ca="1">SUM(U128:AD128*'Tech Parameters'!$BA347:$BJ347*'Tech Parameters'!X75:AG75)</f>
        <v>0</v>
      </c>
      <c r="U641">
        <f t="array" aca="1" ref="U641" ca="1">SUM(V128:AE128*'Tech Parameters'!$BA347:$BJ347*'Tech Parameters'!Y75:AH75)</f>
        <v>0</v>
      </c>
      <c r="V641">
        <f t="array" aca="1" ref="V641" ca="1">SUM(W128:AF128*'Tech Parameters'!$BA347:$BJ347*'Tech Parameters'!Z75:AI75)</f>
        <v>0</v>
      </c>
      <c r="W641">
        <f t="array" aca="1" ref="W641" ca="1">SUM(X128:AG128*'Tech Parameters'!$BA347:$BJ347*'Tech Parameters'!AA75:AJ75)</f>
        <v>0</v>
      </c>
      <c r="X641">
        <f t="array" aca="1" ref="X641" ca="1">SUM(Y128:AH128*'Tech Parameters'!$BA347:$BJ347*'Tech Parameters'!AB75:AK75)</f>
        <v>0</v>
      </c>
      <c r="Y641">
        <f t="array" aca="1" ref="Y641" ca="1">SUM(Z128:AI128*'Tech Parameters'!$BA347:$BJ347*'Tech Parameters'!AC75:AL75)</f>
        <v>0</v>
      </c>
      <c r="Z641">
        <f t="array" aca="1" ref="Z641" ca="1">SUM(AA128:AJ128*'Tech Parameters'!$BA347:$BJ347*'Tech Parameters'!AD75:AM75)</f>
        <v>0</v>
      </c>
      <c r="AA641">
        <f t="array" aca="1" ref="AA641" ca="1">SUM(AB128:AK128*'Tech Parameters'!$BA347:$BJ347*'Tech Parameters'!AE75:AN75)</f>
        <v>0</v>
      </c>
      <c r="AB641">
        <f t="array" aca="1" ref="AB641" ca="1">SUM(AC128:AL128*'Tech Parameters'!$BA347:$BJ347*'Tech Parameters'!AF75:AO75)</f>
        <v>0</v>
      </c>
      <c r="AC641">
        <f t="array" aca="1" ref="AC641" ca="1">SUM(AD128:AM128*'Tech Parameters'!$BA347:$BJ347*'Tech Parameters'!AG75:AP75)</f>
        <v>0</v>
      </c>
    </row>
    <row r="642" spans="3:29">
      <c r="C642" t="str">
        <f t="shared" si="155"/>
        <v xml:space="preserve">Wind 30% </v>
      </c>
      <c r="D642">
        <f t="array" ref="D642">SUM(E129:N129*'Tech Parameters'!$BA348:$BJ348*'Tech Parameters'!H76:Q76)</f>
        <v>0</v>
      </c>
      <c r="E642">
        <f t="array" ref="E642">SUM(F129:O129*'Tech Parameters'!$BA348:$BJ348*'Tech Parameters'!I76:R76)</f>
        <v>0</v>
      </c>
      <c r="F642">
        <f t="array" ref="F642">SUM(G129:P129*'Tech Parameters'!$BA348:$BJ348*'Tech Parameters'!J76:S76)</f>
        <v>75.703206024444654</v>
      </c>
      <c r="G642">
        <f t="array" ref="G642">SUM(H129:Q129*'Tech Parameters'!$BA348:$BJ348*'Tech Parameters'!K76:T76)</f>
        <v>450.23485688222348</v>
      </c>
      <c r="H642">
        <f t="array" ref="H642">SUM(I129:R129*'Tech Parameters'!$BA348:$BJ348*'Tech Parameters'!L76:U76)</f>
        <v>1868.6738750244497</v>
      </c>
      <c r="I642">
        <f t="array" ref="I642">SUM(J129:S129*'Tech Parameters'!$BA348:$BJ348*'Tech Parameters'!M76:V76)</f>
        <v>3064.7845302106762</v>
      </c>
      <c r="J642">
        <f t="array" ref="J642">SUM(K129:T129*'Tech Parameters'!$BA348:$BJ348*'Tech Parameters'!N76:W76)</f>
        <v>3542.9100419440106</v>
      </c>
      <c r="K642">
        <f t="array" ref="K642">SUM(L129:U129*'Tech Parameters'!$BA348:$BJ348*'Tech Parameters'!O76:X76)</f>
        <v>5816.3968502360158</v>
      </c>
      <c r="L642">
        <f t="array" ref="L642">SUM(M129:V129*'Tech Parameters'!$BA348:$BJ348*'Tech Parameters'!P76:Y76)</f>
        <v>6727.2259500880191</v>
      </c>
      <c r="M642">
        <f t="array" ref="M642">SUM(N129:W129*'Tech Parameters'!$BA348:$BJ348*'Tech Parameters'!Q76:Z76)</f>
        <v>10658.852033071229</v>
      </c>
      <c r="N642">
        <f t="array" ref="N642">SUM(O129:X129*'Tech Parameters'!$BA348:$BJ348*'Tech Parameters'!R76:AA76)</f>
        <v>10895.52416137923</v>
      </c>
      <c r="O642">
        <f t="array" ref="O642">SUM(P129:Y129*'Tech Parameters'!$BA348:$BJ348*'Tech Parameters'!S76:AB76)</f>
        <v>12877.115344758035</v>
      </c>
      <c r="P642">
        <f t="array" ref="P642">SUM(Q129:Z129*'Tech Parameters'!$BA348:$BJ348*'Tech Parameters'!T76:AC76)</f>
        <v>13825.955422792838</v>
      </c>
      <c r="Q642">
        <f t="array" ref="Q642">SUM(R129:AA129*'Tech Parameters'!$BA348:$BJ348*'Tech Parameters'!U76:AD76)</f>
        <v>18376.514980714855</v>
      </c>
      <c r="R642">
        <f t="array" ref="R642">SUM(S129:AB129*'Tech Parameters'!$BA348:$BJ348*'Tech Parameters'!V76:AE76)</f>
        <v>18008.597399436054</v>
      </c>
      <c r="S642">
        <f t="array" ref="S642">SUM(T129:AC129*'Tech Parameters'!$BA348:$BJ348*'Tech Parameters'!W76:AF76)</f>
        <v>17427.674902680046</v>
      </c>
      <c r="T642">
        <f t="array" aca="1" ref="T642" ca="1">SUM(U129:AD129*'Tech Parameters'!$BA348:$BJ348*'Tech Parameters'!X76:AG76)</f>
        <v>0</v>
      </c>
      <c r="U642">
        <f t="array" aca="1" ref="U642" ca="1">SUM(V129:AE129*'Tech Parameters'!$BA348:$BJ348*'Tech Parameters'!Y76:AH76)</f>
        <v>0</v>
      </c>
      <c r="V642">
        <f t="array" aca="1" ref="V642" ca="1">SUM(W129:AF129*'Tech Parameters'!$BA348:$BJ348*'Tech Parameters'!Z76:AI76)</f>
        <v>0</v>
      </c>
      <c r="W642">
        <f t="array" aca="1" ref="W642" ca="1">SUM(X129:AG129*'Tech Parameters'!$BA348:$BJ348*'Tech Parameters'!AA76:AJ76)</f>
        <v>0</v>
      </c>
      <c r="X642">
        <f t="array" aca="1" ref="X642" ca="1">SUM(Y129:AH129*'Tech Parameters'!$BA348:$BJ348*'Tech Parameters'!AB76:AK76)</f>
        <v>0</v>
      </c>
      <c r="Y642">
        <f t="array" aca="1" ref="Y642" ca="1">SUM(Z129:AI129*'Tech Parameters'!$BA348:$BJ348*'Tech Parameters'!AC76:AL76)</f>
        <v>0</v>
      </c>
      <c r="Z642">
        <f t="array" aca="1" ref="Z642" ca="1">SUM(AA129:AJ129*'Tech Parameters'!$BA348:$BJ348*'Tech Parameters'!AD76:AM76)</f>
        <v>0</v>
      </c>
      <c r="AA642">
        <f t="array" aca="1" ref="AA642" ca="1">SUM(AB129:AK129*'Tech Parameters'!$BA348:$BJ348*'Tech Parameters'!AE76:AN76)</f>
        <v>109.35011703642387</v>
      </c>
      <c r="AB642">
        <f t="array" aca="1" ref="AB642" ca="1">SUM(AC129:AL129*'Tech Parameters'!$BA348:$BJ348*'Tech Parameters'!AF76:AO76)</f>
        <v>546.0671469506417</v>
      </c>
      <c r="AC642">
        <f t="array" aca="1" ref="AC642" ca="1">SUM(AD129:AM129*'Tech Parameters'!$BA348:$BJ348*'Tech Parameters'!AG76:AP76)</f>
        <v>2290.8849519130799</v>
      </c>
    </row>
    <row r="643" spans="3:29">
      <c r="C643" t="str">
        <f t="shared" si="155"/>
        <v>Wind 25%</v>
      </c>
      <c r="D643">
        <f t="array" ref="D643">SUM(E130:N130*'Tech Parameters'!$BA349:$BJ349*'Tech Parameters'!H77:Q77)</f>
        <v>0</v>
      </c>
      <c r="E643">
        <f t="array" ref="E643">SUM(F130:O130*'Tech Parameters'!$BA349:$BJ349*'Tech Parameters'!I77:R77)</f>
        <v>0</v>
      </c>
      <c r="F643">
        <f t="array" ref="F643">SUM(G130:P130*'Tech Parameters'!$BA349:$BJ349*'Tech Parameters'!J77:S77)</f>
        <v>0</v>
      </c>
      <c r="G643">
        <f t="array" ref="G643">SUM(H130:Q130*'Tech Parameters'!$BA349:$BJ349*'Tech Parameters'!K77:T77)</f>
        <v>0</v>
      </c>
      <c r="H643">
        <f t="array" ref="H643">SUM(I130:R130*'Tech Parameters'!$BA349:$BJ349*'Tech Parameters'!L77:U77)</f>
        <v>0</v>
      </c>
      <c r="I643">
        <f t="array" ref="I643">SUM(J130:S130*'Tech Parameters'!$BA349:$BJ349*'Tech Parameters'!M77:V77)</f>
        <v>0</v>
      </c>
      <c r="J643">
        <f t="array" ref="J643">SUM(K130:T130*'Tech Parameters'!$BA349:$BJ349*'Tech Parameters'!N77:W77)</f>
        <v>0</v>
      </c>
      <c r="K643">
        <f t="array" ref="K643">SUM(L130:U130*'Tech Parameters'!$BA349:$BJ349*'Tech Parameters'!O77:X77)</f>
        <v>0</v>
      </c>
      <c r="L643">
        <f t="array" ref="L643">SUM(M130:V130*'Tech Parameters'!$BA349:$BJ349*'Tech Parameters'!P77:Y77)</f>
        <v>0</v>
      </c>
      <c r="M643">
        <f t="array" ref="M643">SUM(N130:W130*'Tech Parameters'!$BA349:$BJ349*'Tech Parameters'!Q77:Z77)</f>
        <v>0</v>
      </c>
      <c r="N643">
        <f t="array" ref="N643">SUM(O130:X130*'Tech Parameters'!$BA349:$BJ349*'Tech Parameters'!R77:AA77)</f>
        <v>0</v>
      </c>
      <c r="O643">
        <f t="array" ref="O643">SUM(P130:Y130*'Tech Parameters'!$BA349:$BJ349*'Tech Parameters'!S77:AB77)</f>
        <v>0</v>
      </c>
      <c r="P643">
        <f t="array" ref="P643">SUM(Q130:Z130*'Tech Parameters'!$BA349:$BJ349*'Tech Parameters'!T77:AC77)</f>
        <v>0</v>
      </c>
      <c r="Q643">
        <f t="array" ref="Q643">SUM(R130:AA130*'Tech Parameters'!$BA349:$BJ349*'Tech Parameters'!U77:AD77)</f>
        <v>0</v>
      </c>
      <c r="R643">
        <f t="array" ref="R643">SUM(S130:AB130*'Tech Parameters'!$BA349:$BJ349*'Tech Parameters'!V77:AE77)</f>
        <v>577.50530559861352</v>
      </c>
      <c r="S643">
        <f t="array" ref="S643">SUM(T130:AC130*'Tech Parameters'!$BA349:$BJ349*'Tech Parameters'!W77:AF77)</f>
        <v>2884.1093368356792</v>
      </c>
      <c r="T643">
        <f t="array" aca="1" ref="T643" ca="1">SUM(U130:AD130*'Tech Parameters'!$BA349:$BJ349*'Tech Parameters'!X77:AG77)</f>
        <v>11529.602965027938</v>
      </c>
      <c r="U643">
        <f t="array" aca="1" ref="U643" ca="1">SUM(V130:AE130*'Tech Parameters'!$BA349:$BJ349*'Tech Parameters'!Y77:AH77)</f>
        <v>11461.259141880173</v>
      </c>
      <c r="V643">
        <f t="array" aca="1" ref="V643" ca="1">SUM(W130:AF130*'Tech Parameters'!$BA349:$BJ349*'Tech Parameters'!Z77:AI77)</f>
        <v>11392.915318732408</v>
      </c>
      <c r="W643">
        <f t="array" aca="1" ref="W643" ca="1">SUM(X130:AG130*'Tech Parameters'!$BA349:$BJ349*'Tech Parameters'!AA77:AJ77)</f>
        <v>11324.571495584645</v>
      </c>
      <c r="X643">
        <f t="array" aca="1" ref="X643" ca="1">SUM(Y130:AH130*'Tech Parameters'!$BA349:$BJ349*'Tech Parameters'!AB77:AK77)</f>
        <v>11256.22767243688</v>
      </c>
      <c r="Y643">
        <f t="array" aca="1" ref="Y643" ca="1">SUM(Z130:AI130*'Tech Parameters'!$BA349:$BJ349*'Tech Parameters'!AC77:AL77)</f>
        <v>11187.883849289115</v>
      </c>
      <c r="Z643">
        <f t="array" aca="1" ref="Z643" ca="1">SUM(AA130:AJ130*'Tech Parameters'!$BA349:$BJ349*'Tech Parameters'!AD77:AM77)</f>
        <v>11119.540026141351</v>
      </c>
      <c r="AA643">
        <f t="array" aca="1" ref="AA643" ca="1">SUM(AB130:AK130*'Tech Parameters'!$BA349:$BJ349*'Tech Parameters'!AE77:AN77)</f>
        <v>10504.445617811467</v>
      </c>
      <c r="AB643">
        <f t="array" aca="1" ref="AB643" ca="1">SUM(AC130:AL130*'Tech Parameters'!$BA349:$BJ349*'Tech Parameters'!AF77:AO77)</f>
        <v>8252.5166450926117</v>
      </c>
      <c r="AC643">
        <f t="array" aca="1" ref="AC643" ca="1">SUM(AD130:AM130*'Tech Parameters'!$BA349:$BJ349*'Tech Parameters'!AG77:AP77)</f>
        <v>0</v>
      </c>
    </row>
    <row r="644" spans="3:29">
      <c r="C644" t="str">
        <f t="shared" si="155"/>
        <v>solar thermal central reciever</v>
      </c>
      <c r="D644">
        <f t="array" ref="D644">SUM(E131:N131*'Tech Parameters'!$BA350:$BJ350*'Tech Parameters'!H78:Q78)</f>
        <v>0</v>
      </c>
      <c r="E644">
        <f t="array" ref="E644">SUM(F131:O131*'Tech Parameters'!$BA350:$BJ350*'Tech Parameters'!I78:R78)</f>
        <v>0</v>
      </c>
      <c r="F644">
        <f t="array" ref="F644">SUM(G131:P131*'Tech Parameters'!$BA350:$BJ350*'Tech Parameters'!J78:S78)</f>
        <v>0</v>
      </c>
      <c r="G644">
        <f t="array" ref="G644">SUM(H131:Q131*'Tech Parameters'!$BA350:$BJ350*'Tech Parameters'!K78:T78)</f>
        <v>0</v>
      </c>
      <c r="H644">
        <f t="array" ref="H644">SUM(I131:R131*'Tech Parameters'!$BA350:$BJ350*'Tech Parameters'!L78:U78)</f>
        <v>0</v>
      </c>
      <c r="I644">
        <f t="array" ref="I644">SUM(J131:S131*'Tech Parameters'!$BA350:$BJ350*'Tech Parameters'!M78:V78)</f>
        <v>257.48196312932731</v>
      </c>
      <c r="J644">
        <f t="array" ref="J644">SUM(K131:T131*'Tech Parameters'!$BA350:$BJ350*'Tech Parameters'!N78:W78)</f>
        <v>756.84092192559842</v>
      </c>
      <c r="K644">
        <f t="array" ref="K644">SUM(L131:U131*'Tech Parameters'!$BA350:$BJ350*'Tech Parameters'!O78:X78)</f>
        <v>1988.0728547076549</v>
      </c>
      <c r="L644">
        <f t="array" ref="L644">SUM(M131:V131*'Tech Parameters'!$BA350:$BJ350*'Tech Parameters'!P78:Y78)</f>
        <v>4899.9597831884121</v>
      </c>
      <c r="M644">
        <f t="array" ref="M644">SUM(N131:W131*'Tech Parameters'!$BA350:$BJ350*'Tech Parameters'!Q78:Z78)</f>
        <v>11703.725596787608</v>
      </c>
      <c r="N644">
        <f t="array" ref="N644">SUM(O131:X131*'Tech Parameters'!$BA350:$BJ350*'Tech Parameters'!R78:AA78)</f>
        <v>20049.26219567029</v>
      </c>
      <c r="O644">
        <f t="array" ref="O644">SUM(P131:Y131*'Tech Parameters'!$BA350:$BJ350*'Tech Parameters'!S78:AB78)</f>
        <v>32782.915644975212</v>
      </c>
      <c r="P644">
        <f t="array" ref="P644">SUM(Q131:Z131*'Tech Parameters'!$BA350:$BJ350*'Tech Parameters'!T78:AC78)</f>
        <v>49661.248452289175</v>
      </c>
      <c r="Q644">
        <f t="array" ref="Q644">SUM(R131:AA131*'Tech Parameters'!$BA350:$BJ350*'Tech Parameters'!U78:AD78)</f>
        <v>66801.74471297118</v>
      </c>
      <c r="R644">
        <f t="array" ref="R644">SUM(S131:AB131*'Tech Parameters'!$BA350:$BJ350*'Tech Parameters'!V78:AE78)</f>
        <v>81283.154518063049</v>
      </c>
      <c r="S644">
        <f t="array" ref="S644">SUM(T131:AC131*'Tech Parameters'!$BA350:$BJ350*'Tech Parameters'!W78:AF78)</f>
        <v>93583.435728126919</v>
      </c>
      <c r="T644">
        <f t="array" aca="1" ref="T644" ca="1">SUM(U131:AD131*'Tech Parameters'!$BA350:$BJ350*'Tech Parameters'!X78:AG78)</f>
        <v>99108.485922237087</v>
      </c>
      <c r="U644">
        <f t="array" aca="1" ref="U644" ca="1">SUM(V131:AE131*'Tech Parameters'!$BA350:$BJ350*'Tech Parameters'!Y78:AH78)</f>
        <v>120894.80392457725</v>
      </c>
      <c r="V644">
        <f t="array" aca="1" ref="V644" ca="1">SUM(W131:AF131*'Tech Parameters'!$BA350:$BJ350*'Tech Parameters'!Z78:AI78)</f>
        <v>117278.01832300998</v>
      </c>
      <c r="W644">
        <f t="array" aca="1" ref="W644" ca="1">SUM(X131:AG131*'Tech Parameters'!$BA350:$BJ350*'Tech Parameters'!AA78:AJ78)</f>
        <v>113853.84260554984</v>
      </c>
      <c r="X644">
        <f t="array" aca="1" ref="X644" ca="1">SUM(Y131:AH131*'Tech Parameters'!$BA350:$BJ350*'Tech Parameters'!AB78:AK78)</f>
        <v>110429.66688808972</v>
      </c>
      <c r="Y644">
        <f t="array" aca="1" ref="Y644" ca="1">SUM(Z131:AI131*'Tech Parameters'!$BA350:$BJ350*'Tech Parameters'!AC78:AL78)</f>
        <v>102211.64516618534</v>
      </c>
      <c r="Z644">
        <f t="array" aca="1" ref="Z644" ca="1">SUM(AA131:AJ131*'Tech Parameters'!$BA350:$BJ350*'Tech Parameters'!AD78:AM78)</f>
        <v>94164.832230154003</v>
      </c>
      <c r="AA644">
        <f t="array" aca="1" ref="AA644" ca="1">SUM(AB131:AK131*'Tech Parameters'!$BA350:$BJ350*'Tech Parameters'!AE78:AN78)</f>
        <v>81495.382075551475</v>
      </c>
      <c r="AB644">
        <f t="array" aca="1" ref="AB644" ca="1">SUM(AC131:AL131*'Tech Parameters'!$BA350:$BJ350*'Tech Parameters'!AF78:AO78)</f>
        <v>59580.657483806528</v>
      </c>
      <c r="AC644">
        <f t="array" aca="1" ref="AC644" ca="1">SUM(AD131:AM131*'Tech Parameters'!$BA350:$BJ350*'Tech Parameters'!AG78:AP78)</f>
        <v>0</v>
      </c>
    </row>
    <row r="645" spans="3:29">
      <c r="C645" t="str">
        <f t="shared" si="155"/>
        <v>solar thermal trough</v>
      </c>
      <c r="D645">
        <f t="array" ref="D645">SUM(E132:N132*'Tech Parameters'!$BA351:$BJ351*'Tech Parameters'!H79:Q79)</f>
        <v>0</v>
      </c>
      <c r="E645">
        <f t="array" ref="E645">SUM(F132:O132*'Tech Parameters'!$BA351:$BJ351*'Tech Parameters'!I79:R79)</f>
        <v>0</v>
      </c>
      <c r="F645">
        <f t="array" ref="F645">SUM(G132:P132*'Tech Parameters'!$BA351:$BJ351*'Tech Parameters'!J79:S79)</f>
        <v>0</v>
      </c>
      <c r="G645">
        <f t="array" ref="G645">SUM(H132:Q132*'Tech Parameters'!$BA351:$BJ351*'Tech Parameters'!K79:T79)</f>
        <v>0</v>
      </c>
      <c r="H645">
        <f t="array" ref="H645">SUM(I132:R132*'Tech Parameters'!$BA351:$BJ351*'Tech Parameters'!L79:U79)</f>
        <v>0</v>
      </c>
      <c r="I645">
        <f t="array" ref="I645">SUM(J132:S132*'Tech Parameters'!$BA351:$BJ351*'Tech Parameters'!M79:V79)</f>
        <v>0</v>
      </c>
      <c r="J645">
        <f t="array" ref="J645">SUM(K132:T132*'Tech Parameters'!$BA351:$BJ351*'Tech Parameters'!N79:W79)</f>
        <v>0</v>
      </c>
      <c r="K645">
        <f t="array" ref="K645">SUM(L132:U132*'Tech Parameters'!$BA351:$BJ351*'Tech Parameters'!O79:X79)</f>
        <v>0</v>
      </c>
      <c r="L645">
        <f t="array" ref="L645">SUM(M132:V132*'Tech Parameters'!$BA351:$BJ351*'Tech Parameters'!P79:Y79)</f>
        <v>0</v>
      </c>
      <c r="M645">
        <f t="array" ref="M645">SUM(N132:W132*'Tech Parameters'!$BA351:$BJ351*'Tech Parameters'!Q79:Z79)</f>
        <v>0</v>
      </c>
      <c r="N645">
        <f t="array" ref="N645">SUM(O132:X132*'Tech Parameters'!$BA351:$BJ351*'Tech Parameters'!R79:AA79)</f>
        <v>0</v>
      </c>
      <c r="O645">
        <f t="array" ref="O645">SUM(P132:Y132*'Tech Parameters'!$BA351:$BJ351*'Tech Parameters'!S79:AB79)</f>
        <v>0</v>
      </c>
      <c r="P645">
        <f t="array" ref="P645">SUM(Q132:Z132*'Tech Parameters'!$BA351:$BJ351*'Tech Parameters'!T79:AC79)</f>
        <v>0</v>
      </c>
      <c r="Q645">
        <f t="array" ref="Q645">SUM(R132:AA132*'Tech Parameters'!$BA351:$BJ351*'Tech Parameters'!U79:AD79)</f>
        <v>0</v>
      </c>
      <c r="R645">
        <f t="array" ref="R645">SUM(S132:AB132*'Tech Parameters'!$BA351:$BJ351*'Tech Parameters'!V79:AE79)</f>
        <v>0</v>
      </c>
      <c r="S645">
        <f t="array" ref="S645">SUM(T132:AC132*'Tech Parameters'!$BA351:$BJ351*'Tech Parameters'!W79:AF79)</f>
        <v>0</v>
      </c>
      <c r="T645">
        <f t="array" aca="1" ref="T645" ca="1">SUM(U132:AD132*'Tech Parameters'!$BA351:$BJ351*'Tech Parameters'!X79:AG79)</f>
        <v>0</v>
      </c>
      <c r="U645">
        <f t="array" aca="1" ref="U645" ca="1">SUM(V132:AE132*'Tech Parameters'!$BA351:$BJ351*'Tech Parameters'!Y79:AH79)</f>
        <v>0</v>
      </c>
      <c r="V645">
        <f t="array" aca="1" ref="V645" ca="1">SUM(W132:AF132*'Tech Parameters'!$BA351:$BJ351*'Tech Parameters'!Z79:AI79)</f>
        <v>0</v>
      </c>
      <c r="W645">
        <f t="array" aca="1" ref="W645" ca="1">SUM(X132:AG132*'Tech Parameters'!$BA351:$BJ351*'Tech Parameters'!AA79:AJ79)</f>
        <v>0</v>
      </c>
      <c r="X645">
        <f t="array" aca="1" ref="X645" ca="1">SUM(Y132:AH132*'Tech Parameters'!$BA351:$BJ351*'Tech Parameters'!AB79:AK79)</f>
        <v>0</v>
      </c>
      <c r="Y645">
        <f t="array" aca="1" ref="Y645" ca="1">SUM(Z132:AI132*'Tech Parameters'!$BA351:$BJ351*'Tech Parameters'!AC79:AL79)</f>
        <v>0</v>
      </c>
      <c r="Z645">
        <f t="array" aca="1" ref="Z645" ca="1">SUM(AA132:AJ132*'Tech Parameters'!$BA351:$BJ351*'Tech Parameters'!AD79:AM79)</f>
        <v>0</v>
      </c>
      <c r="AA645">
        <f t="array" aca="1" ref="AA645" ca="1">SUM(AB132:AK132*'Tech Parameters'!$BA351:$BJ351*'Tech Parameters'!AE79:AN79)</f>
        <v>0</v>
      </c>
      <c r="AB645">
        <f t="array" aca="1" ref="AB645" ca="1">SUM(AC132:AL132*'Tech Parameters'!$BA351:$BJ351*'Tech Parameters'!AF79:AO79)</f>
        <v>0</v>
      </c>
      <c r="AC645">
        <f t="array" aca="1" ref="AC645" ca="1">SUM(AD132:AM132*'Tech Parameters'!$BA351:$BJ351*'Tech Parameters'!AG79:AP79)</f>
        <v>0</v>
      </c>
    </row>
    <row r="646" spans="3:29">
      <c r="C646" t="str">
        <f t="shared" si="155"/>
        <v>solar PV</v>
      </c>
      <c r="D646">
        <f t="array" ref="D646">SUM(E133:N133*'Tech Parameters'!$BA352:$BJ352*'Tech Parameters'!H80:Q80)</f>
        <v>0</v>
      </c>
      <c r="E646">
        <f t="array" ref="E646">SUM(F133:O133*'Tech Parameters'!$BA352:$BJ352*'Tech Parameters'!I80:R80)</f>
        <v>0</v>
      </c>
      <c r="F646">
        <f t="array" ref="F646">SUM(G133:P133*'Tech Parameters'!$BA352:$BJ352*'Tech Parameters'!J80:S80)</f>
        <v>0</v>
      </c>
      <c r="G646">
        <f t="array" ref="G646">SUM(H133:Q133*'Tech Parameters'!$BA352:$BJ352*'Tech Parameters'!K80:T80)</f>
        <v>0</v>
      </c>
      <c r="H646">
        <f t="array" ref="H646">SUM(I133:R133*'Tech Parameters'!$BA352:$BJ352*'Tech Parameters'!L80:U80)</f>
        <v>0</v>
      </c>
      <c r="I646">
        <f t="array" ref="I646">SUM(J133:S133*'Tech Parameters'!$BA352:$BJ352*'Tech Parameters'!M80:V80)</f>
        <v>0</v>
      </c>
      <c r="J646">
        <f t="array" ref="J646">SUM(K133:T133*'Tech Parameters'!$BA352:$BJ352*'Tech Parameters'!N80:W80)</f>
        <v>0</v>
      </c>
      <c r="K646">
        <f t="array" ref="K646">SUM(L133:U133*'Tech Parameters'!$BA352:$BJ352*'Tech Parameters'!O80:X80)</f>
        <v>0</v>
      </c>
      <c r="L646">
        <f t="array" ref="L646">SUM(M133:V133*'Tech Parameters'!$BA352:$BJ352*'Tech Parameters'!P80:Y80)</f>
        <v>0</v>
      </c>
      <c r="M646">
        <f t="array" ref="M646">SUM(N133:W133*'Tech Parameters'!$BA352:$BJ352*'Tech Parameters'!Q80:Z80)</f>
        <v>0</v>
      </c>
      <c r="N646">
        <f t="array" ref="N646">SUM(O133:X133*'Tech Parameters'!$BA352:$BJ352*'Tech Parameters'!R80:AA80)</f>
        <v>0</v>
      </c>
      <c r="O646">
        <f t="array" ref="O646">SUM(P133:Y133*'Tech Parameters'!$BA352:$BJ352*'Tech Parameters'!S80:AB80)</f>
        <v>0</v>
      </c>
      <c r="P646">
        <f t="array" ref="P646">SUM(Q133:Z133*'Tech Parameters'!$BA352:$BJ352*'Tech Parameters'!T80:AC80)</f>
        <v>0</v>
      </c>
      <c r="Q646">
        <f t="array" ref="Q646">SUM(R133:AA133*'Tech Parameters'!$BA352:$BJ352*'Tech Parameters'!U80:AD80)</f>
        <v>0</v>
      </c>
      <c r="R646">
        <f t="array" ref="R646">SUM(S133:AB133*'Tech Parameters'!$BA352:$BJ352*'Tech Parameters'!V80:AE80)</f>
        <v>0</v>
      </c>
      <c r="S646">
        <f t="array" ref="S646">SUM(T133:AC133*'Tech Parameters'!$BA352:$BJ352*'Tech Parameters'!W80:AF80)</f>
        <v>0</v>
      </c>
      <c r="T646">
        <f t="array" aca="1" ref="T646" ca="1">SUM(U133:AD133*'Tech Parameters'!$BA352:$BJ352*'Tech Parameters'!X80:AG80)</f>
        <v>0</v>
      </c>
      <c r="U646">
        <f t="array" aca="1" ref="U646" ca="1">SUM(V133:AE133*'Tech Parameters'!$BA352:$BJ352*'Tech Parameters'!Y80:AH80)</f>
        <v>0</v>
      </c>
      <c r="V646">
        <f t="array" aca="1" ref="V646" ca="1">SUM(W133:AF133*'Tech Parameters'!$BA352:$BJ352*'Tech Parameters'!Z80:AI80)</f>
        <v>0</v>
      </c>
      <c r="W646">
        <f t="array" aca="1" ref="W646" ca="1">SUM(X133:AG133*'Tech Parameters'!$BA352:$BJ352*'Tech Parameters'!AA80:AJ80)</f>
        <v>0</v>
      </c>
      <c r="X646">
        <f t="array" aca="1" ref="X646" ca="1">SUM(Y133:AH133*'Tech Parameters'!$BA352:$BJ352*'Tech Parameters'!AB80:AK80)</f>
        <v>0</v>
      </c>
      <c r="Y646">
        <f t="array" aca="1" ref="Y646" ca="1">SUM(Z133:AI133*'Tech Parameters'!$BA352:$BJ352*'Tech Parameters'!AC80:AL80)</f>
        <v>0</v>
      </c>
      <c r="Z646">
        <f t="array" aca="1" ref="Z646" ca="1">SUM(AA133:AJ133*'Tech Parameters'!$BA352:$BJ352*'Tech Parameters'!AD80:AM80)</f>
        <v>0</v>
      </c>
      <c r="AA646">
        <f t="array" aca="1" ref="AA646" ca="1">SUM(AB133:AK133*'Tech Parameters'!$BA352:$BJ352*'Tech Parameters'!AE80:AN80)</f>
        <v>0</v>
      </c>
      <c r="AB646">
        <f t="array" aca="1" ref="AB646" ca="1">SUM(AC133:AL133*'Tech Parameters'!$BA352:$BJ352*'Tech Parameters'!AF80:AO80)</f>
        <v>0</v>
      </c>
      <c r="AC646">
        <f t="array" aca="1" ref="AC646" ca="1">SUM(AD133:AM133*'Tech Parameters'!$BA352:$BJ352*'Tech Parameters'!AG80:AP80)</f>
        <v>0</v>
      </c>
    </row>
    <row r="647" spans="3:29">
      <c r="C647" t="str">
        <f t="shared" si="155"/>
        <v>combined cycle gas</v>
      </c>
      <c r="D647">
        <f t="array" ref="D647">SUM(E134:N134*'Tech Parameters'!$BA353:$BJ353*'Tech Parameters'!H81:Q81)</f>
        <v>0</v>
      </c>
      <c r="E647">
        <f t="array" ref="E647">SUM(F134:O134*'Tech Parameters'!$BA353:$BJ353*'Tech Parameters'!I81:R81)</f>
        <v>0</v>
      </c>
      <c r="F647">
        <f t="array" ref="F647">SUM(G134:P134*'Tech Parameters'!$BA353:$BJ353*'Tech Parameters'!J81:S81)</f>
        <v>0</v>
      </c>
      <c r="G647">
        <f t="array" ref="G647">SUM(H134:Q134*'Tech Parameters'!$BA353:$BJ353*'Tech Parameters'!K81:T81)</f>
        <v>0</v>
      </c>
      <c r="H647">
        <f t="array" ref="H647">SUM(I134:R134*'Tech Parameters'!$BA353:$BJ353*'Tech Parameters'!L81:U81)</f>
        <v>0</v>
      </c>
      <c r="I647">
        <f t="array" ref="I647">SUM(J134:S134*'Tech Parameters'!$BA353:$BJ353*'Tech Parameters'!M81:V81)</f>
        <v>0</v>
      </c>
      <c r="J647">
        <f t="array" ref="J647">SUM(K134:T134*'Tech Parameters'!$BA353:$BJ353*'Tech Parameters'!N81:W81)</f>
        <v>0</v>
      </c>
      <c r="K647">
        <f t="array" ref="K647">SUM(L134:U134*'Tech Parameters'!$BA353:$BJ353*'Tech Parameters'!O81:X81)</f>
        <v>0</v>
      </c>
      <c r="L647">
        <f t="array" ref="L647">SUM(M134:V134*'Tech Parameters'!$BA353:$BJ353*'Tech Parameters'!P81:Y81)</f>
        <v>0</v>
      </c>
      <c r="M647">
        <f t="array" ref="M647">SUM(N134:W134*'Tech Parameters'!$BA353:$BJ353*'Tech Parameters'!Q81:Z81)</f>
        <v>0</v>
      </c>
      <c r="N647">
        <f t="array" ref="N647">SUM(O134:X134*'Tech Parameters'!$BA353:$BJ353*'Tech Parameters'!R81:AA81)</f>
        <v>0</v>
      </c>
      <c r="O647">
        <f t="array" ref="O647">SUM(P134:Y134*'Tech Parameters'!$BA353:$BJ353*'Tech Parameters'!S81:AB81)</f>
        <v>0</v>
      </c>
      <c r="P647">
        <f t="array" ref="P647">SUM(Q134:Z134*'Tech Parameters'!$BA353:$BJ353*'Tech Parameters'!T81:AC81)</f>
        <v>0</v>
      </c>
      <c r="Q647">
        <f t="array" ref="Q647">SUM(R134:AA134*'Tech Parameters'!$BA353:$BJ353*'Tech Parameters'!U81:AD81)</f>
        <v>0</v>
      </c>
      <c r="R647">
        <f t="array" ref="R647">SUM(S134:AB134*'Tech Parameters'!$BA353:$BJ353*'Tech Parameters'!V81:AE81)</f>
        <v>0</v>
      </c>
      <c r="S647">
        <f t="array" ref="S647">SUM(T134:AC134*'Tech Parameters'!$BA353:$BJ353*'Tech Parameters'!W81:AF81)</f>
        <v>0</v>
      </c>
      <c r="T647">
        <f t="array" aca="1" ref="T647" ca="1">SUM(U134:AD134*'Tech Parameters'!$BA353:$BJ353*'Tech Parameters'!X81:AG81)</f>
        <v>0</v>
      </c>
      <c r="U647">
        <f t="array" aca="1" ref="U647" ca="1">SUM(V134:AE134*'Tech Parameters'!$BA353:$BJ353*'Tech Parameters'!Y81:AH81)</f>
        <v>289.79280673885734</v>
      </c>
      <c r="V647">
        <f t="array" aca="1" ref="V647" ca="1">SUM(W134:AF134*'Tech Parameters'!$BA353:$BJ353*'Tech Parameters'!Z81:AI81)</f>
        <v>723.4113537680588</v>
      </c>
      <c r="W647">
        <f t="array" aca="1" ref="W647" ca="1">SUM(X134:AG134*'Tech Parameters'!$BA353:$BJ353*'Tech Parameters'!AA81:AJ81)</f>
        <v>1387.7934831092616</v>
      </c>
      <c r="X647">
        <f t="array" aca="1" ref="X647" ca="1">SUM(Y134:AH134*'Tech Parameters'!$BA353:$BJ353*'Tech Parameters'!AB81:AK81)</f>
        <v>3560.3830031874245</v>
      </c>
      <c r="Y647">
        <f t="array" aca="1" ref="Y647" ca="1">SUM(Z134:AI134*'Tech Parameters'!$BA353:$BJ353*'Tech Parameters'!AC81:AL81)</f>
        <v>6638.2181566314885</v>
      </c>
      <c r="Z647">
        <f t="array" aca="1" ref="Z647" ca="1">SUM(AA134:AJ134*'Tech Parameters'!$BA353:$BJ353*'Tech Parameters'!AD81:AM81)</f>
        <v>7015.9480909324811</v>
      </c>
      <c r="AA647">
        <f t="array" aca="1" ref="AA647" ca="1">SUM(AB134:AK134*'Tech Parameters'!$BA353:$BJ353*'Tech Parameters'!AE81:AN81)</f>
        <v>3503.6378599959485</v>
      </c>
      <c r="AB647">
        <f t="array" aca="1" ref="AB647" ca="1">SUM(AC134:AL134*'Tech Parameters'!$BA353:$BJ353*'Tech Parameters'!AF81:AO81)</f>
        <v>0</v>
      </c>
      <c r="AC647">
        <f t="array" aca="1" ref="AC647" ca="1">SUM(AD134:AM134*'Tech Parameters'!$BA353:$BJ353*'Tech Parameters'!AG81:AP81)</f>
        <v>0</v>
      </c>
    </row>
    <row r="648" spans="3:29">
      <c r="C648" t="str">
        <f t="shared" si="155"/>
        <v>PBMR</v>
      </c>
      <c r="D648">
        <f t="array" ref="D648">SUM(E135:N135*'Tech Parameters'!$BA354:$BJ354*'Tech Parameters'!H82:Q82)</f>
        <v>0</v>
      </c>
      <c r="E648">
        <f t="array" ref="E648">SUM(F135:O135*'Tech Parameters'!$BA354:$BJ354*'Tech Parameters'!I82:R82)</f>
        <v>0</v>
      </c>
      <c r="F648">
        <f t="array" ref="F648">SUM(G135:P135*'Tech Parameters'!$BA354:$BJ354*'Tech Parameters'!J82:S82)</f>
        <v>0</v>
      </c>
      <c r="G648">
        <f t="array" ref="G648">SUM(H135:Q135*'Tech Parameters'!$BA354:$BJ354*'Tech Parameters'!K82:T82)</f>
        <v>0</v>
      </c>
      <c r="H648">
        <f t="array" ref="H648">SUM(I135:R135*'Tech Parameters'!$BA354:$BJ354*'Tech Parameters'!L82:U82)</f>
        <v>0</v>
      </c>
      <c r="I648">
        <f t="array" ref="I648">SUM(J135:S135*'Tech Parameters'!$BA354:$BJ354*'Tech Parameters'!M82:V82)</f>
        <v>0</v>
      </c>
      <c r="J648">
        <f t="array" ref="J648">SUM(K135:T135*'Tech Parameters'!$BA354:$BJ354*'Tech Parameters'!N82:W82)</f>
        <v>0</v>
      </c>
      <c r="K648">
        <f t="array" ref="K648">SUM(L135:U135*'Tech Parameters'!$BA354:$BJ354*'Tech Parameters'!O82:X82)</f>
        <v>0</v>
      </c>
      <c r="L648">
        <f t="array" ref="L648">SUM(M135:V135*'Tech Parameters'!$BA354:$BJ354*'Tech Parameters'!P82:Y82)</f>
        <v>0</v>
      </c>
      <c r="M648">
        <f t="array" ref="M648">SUM(N135:W135*'Tech Parameters'!$BA354:$BJ354*'Tech Parameters'!Q82:Z82)</f>
        <v>0</v>
      </c>
      <c r="N648">
        <f t="array" ref="N648">SUM(O135:X135*'Tech Parameters'!$BA354:$BJ354*'Tech Parameters'!R82:AA82)</f>
        <v>0</v>
      </c>
      <c r="O648">
        <f t="array" ref="O648">SUM(P135:Y135*'Tech Parameters'!$BA354:$BJ354*'Tech Parameters'!S82:AB82)</f>
        <v>0</v>
      </c>
      <c r="P648">
        <f t="array" ref="P648">SUM(Q135:Z135*'Tech Parameters'!$BA354:$BJ354*'Tech Parameters'!T82:AC82)</f>
        <v>0</v>
      </c>
      <c r="Q648">
        <f t="array" ref="Q648">SUM(R135:AA135*'Tech Parameters'!$BA354:$BJ354*'Tech Parameters'!U82:AD82)</f>
        <v>0</v>
      </c>
      <c r="R648">
        <f t="array" ref="R648">SUM(S135:AB135*'Tech Parameters'!$BA354:$BJ354*'Tech Parameters'!V82:AE82)</f>
        <v>0</v>
      </c>
      <c r="S648">
        <f t="array" ref="S648">SUM(T135:AC135*'Tech Parameters'!$BA354:$BJ354*'Tech Parameters'!W82:AF82)</f>
        <v>0</v>
      </c>
      <c r="T648">
        <f t="array" aca="1" ref="T648" ca="1">SUM(U135:AD135*'Tech Parameters'!$BA354:$BJ354*'Tech Parameters'!X82:AG82)</f>
        <v>0</v>
      </c>
      <c r="U648">
        <f t="array" aca="1" ref="U648" ca="1">SUM(V135:AE135*'Tech Parameters'!$BA354:$BJ354*'Tech Parameters'!Y82:AH82)</f>
        <v>0</v>
      </c>
      <c r="V648">
        <f t="array" aca="1" ref="V648" ca="1">SUM(W135:AF135*'Tech Parameters'!$BA354:$BJ354*'Tech Parameters'!Z82:AI82)</f>
        <v>0</v>
      </c>
      <c r="W648">
        <f t="array" aca="1" ref="W648" ca="1">SUM(X135:AG135*'Tech Parameters'!$BA354:$BJ354*'Tech Parameters'!AA82:AJ82)</f>
        <v>0</v>
      </c>
      <c r="X648">
        <f t="array" aca="1" ref="X648" ca="1">SUM(Y135:AH135*'Tech Parameters'!$BA354:$BJ354*'Tech Parameters'!AB82:AK82)</f>
        <v>0</v>
      </c>
      <c r="Y648">
        <f t="array" aca="1" ref="Y648" ca="1">SUM(Z135:AI135*'Tech Parameters'!$BA354:$BJ354*'Tech Parameters'!AC82:AL82)</f>
        <v>0</v>
      </c>
      <c r="Z648">
        <f t="array" aca="1" ref="Z648" ca="1">SUM(AA135:AJ135*'Tech Parameters'!$BA354:$BJ354*'Tech Parameters'!AD82:AM82)</f>
        <v>0</v>
      </c>
      <c r="AA648">
        <f t="array" aca="1" ref="AA648" ca="1">SUM(AB135:AK135*'Tech Parameters'!$BA354:$BJ354*'Tech Parameters'!AE82:AN82)</f>
        <v>0</v>
      </c>
      <c r="AB648">
        <f t="array" aca="1" ref="AB648" ca="1">SUM(AC135:AL135*'Tech Parameters'!$BA354:$BJ354*'Tech Parameters'!AF82:AO82)</f>
        <v>0</v>
      </c>
      <c r="AC648">
        <f t="array" aca="1" ref="AC648" ca="1">SUM(AD135:AM135*'Tech Parameters'!$BA354:$BJ354*'Tech Parameters'!AG82:AP82)</f>
        <v>0</v>
      </c>
    </row>
    <row r="649" spans="3:29">
      <c r="C649" t="str">
        <f t="shared" si="155"/>
        <v>IGCC</v>
      </c>
      <c r="D649">
        <f t="array" ref="D649">SUM(E136:N136*'Tech Parameters'!$BA355:$BJ355*'Tech Parameters'!H83:Q83)</f>
        <v>0</v>
      </c>
      <c r="E649">
        <f t="array" ref="E649">SUM(F136:O136*'Tech Parameters'!$BA355:$BJ355*'Tech Parameters'!I83:R83)</f>
        <v>0</v>
      </c>
      <c r="F649">
        <f t="array" ref="F649">SUM(G136:P136*'Tech Parameters'!$BA355:$BJ355*'Tech Parameters'!J83:S83)</f>
        <v>0</v>
      </c>
      <c r="G649">
        <f t="array" ref="G649">SUM(H136:Q136*'Tech Parameters'!$BA355:$BJ355*'Tech Parameters'!K83:T83)</f>
        <v>0</v>
      </c>
      <c r="H649">
        <f t="array" ref="H649">SUM(I136:R136*'Tech Parameters'!$BA355:$BJ355*'Tech Parameters'!L83:U83)</f>
        <v>0</v>
      </c>
      <c r="I649">
        <f t="array" ref="I649">SUM(J136:S136*'Tech Parameters'!$BA355:$BJ355*'Tech Parameters'!M83:V83)</f>
        <v>0</v>
      </c>
      <c r="J649">
        <f t="array" ref="J649">SUM(K136:T136*'Tech Parameters'!$BA355:$BJ355*'Tech Parameters'!N83:W83)</f>
        <v>0</v>
      </c>
      <c r="K649">
        <f t="array" ref="K649">SUM(L136:U136*'Tech Parameters'!$BA355:$BJ355*'Tech Parameters'!O83:X83)</f>
        <v>0</v>
      </c>
      <c r="L649">
        <f t="array" ref="L649">SUM(M136:V136*'Tech Parameters'!$BA355:$BJ355*'Tech Parameters'!P83:Y83)</f>
        <v>0</v>
      </c>
      <c r="M649">
        <f t="array" ref="M649">SUM(N136:W136*'Tech Parameters'!$BA355:$BJ355*'Tech Parameters'!Q83:Z83)</f>
        <v>0</v>
      </c>
      <c r="N649">
        <f t="array" ref="N649">SUM(O136:X136*'Tech Parameters'!$BA355:$BJ355*'Tech Parameters'!R83:AA83)</f>
        <v>0</v>
      </c>
      <c r="O649">
        <f t="array" ref="O649">SUM(P136:Y136*'Tech Parameters'!$BA355:$BJ355*'Tech Parameters'!S83:AB83)</f>
        <v>0</v>
      </c>
      <c r="P649">
        <f t="array" ref="P649">SUM(Q136:Z136*'Tech Parameters'!$BA355:$BJ355*'Tech Parameters'!T83:AC83)</f>
        <v>0</v>
      </c>
      <c r="Q649">
        <f t="array" ref="Q649">SUM(R136:AA136*'Tech Parameters'!$BA355:$BJ355*'Tech Parameters'!U83:AD83)</f>
        <v>0</v>
      </c>
      <c r="R649">
        <f t="array" ref="R649">SUM(S136:AB136*'Tech Parameters'!$BA355:$BJ355*'Tech Parameters'!V83:AE83)</f>
        <v>0</v>
      </c>
      <c r="S649">
        <f t="array" ref="S649">SUM(T136:AC136*'Tech Parameters'!$BA355:$BJ355*'Tech Parameters'!W83:AF83)</f>
        <v>0</v>
      </c>
      <c r="T649">
        <f t="array" aca="1" ref="T649" ca="1">SUM(U136:AD136*'Tech Parameters'!$BA355:$BJ355*'Tech Parameters'!X83:AG83)</f>
        <v>0</v>
      </c>
      <c r="U649">
        <f t="array" aca="1" ref="U649" ca="1">SUM(V136:AE136*'Tech Parameters'!$BA355:$BJ355*'Tech Parameters'!Y83:AH83)</f>
        <v>541.98332188943368</v>
      </c>
      <c r="V649">
        <f t="array" aca="1" ref="V649" ca="1">SUM(W136:AF136*'Tech Parameters'!$BA355:$BJ355*'Tech Parameters'!Z83:AI83)</f>
        <v>1083.9666437788674</v>
      </c>
      <c r="W649">
        <f t="array" aca="1" ref="W649" ca="1">SUM(X136:AG136*'Tech Parameters'!$BA355:$BJ355*'Tech Parameters'!AA83:AJ83)</f>
        <v>1029.768311589924</v>
      </c>
      <c r="X649">
        <f t="array" aca="1" ref="X649" ca="1">SUM(Y136:AH136*'Tech Parameters'!$BA355:$BJ355*'Tech Parameters'!AB83:AK83)</f>
        <v>1560.9119670415689</v>
      </c>
      <c r="Y649">
        <f t="array" aca="1" ref="Y649" ca="1">SUM(Z136:AI136*'Tech Parameters'!$BA355:$BJ355*'Tech Parameters'!AC83:AL83)</f>
        <v>3121.8239340831374</v>
      </c>
      <c r="Z649">
        <f t="array" aca="1" ref="Z649" ca="1">SUM(AA136:AJ136*'Tech Parameters'!$BA355:$BJ355*'Tech Parameters'!AD83:AM83)</f>
        <v>4780.2928990648043</v>
      </c>
      <c r="AA649">
        <f t="array" aca="1" ref="AA649" ca="1">SUM(AB136:AK136*'Tech Parameters'!$BA355:$BJ355*'Tech Parameters'!AE83:AN83)</f>
        <v>6146.0908702261768</v>
      </c>
      <c r="AB649">
        <f t="array" aca="1" ref="AB649" ca="1">SUM(AC136:AL136*'Tech Parameters'!$BA355:$BJ355*'Tech Parameters'!AF83:AO83)</f>
        <v>3414.4949279034313</v>
      </c>
      <c r="AC649">
        <f t="array" aca="1" ref="AC649" ca="1">SUM(AD136:AM136*'Tech Parameters'!$BA355:$BJ355*'Tech Parameters'!AG83:AP83)</f>
        <v>0</v>
      </c>
    </row>
    <row r="650" spans="3:29">
      <c r="C650" t="str">
        <f t="shared" si="155"/>
        <v>-</v>
      </c>
      <c r="D650">
        <f t="array" ref="D650">SUM(E137:N137*'Tech Parameters'!$BA356:$BJ356*'Tech Parameters'!H84:Q84)</f>
        <v>0</v>
      </c>
      <c r="E650">
        <f t="array" ref="E650">SUM(F137:O137*'Tech Parameters'!$BA356:$BJ356*'Tech Parameters'!I84:R84)</f>
        <v>0</v>
      </c>
      <c r="F650">
        <f t="array" ref="F650">SUM(G137:P137*'Tech Parameters'!$BA356:$BJ356*'Tech Parameters'!J84:S84)</f>
        <v>0</v>
      </c>
      <c r="G650">
        <f t="array" ref="G650">SUM(H137:Q137*'Tech Parameters'!$BA356:$BJ356*'Tech Parameters'!K84:T84)</f>
        <v>0</v>
      </c>
      <c r="H650">
        <f t="array" ref="H650">SUM(I137:R137*'Tech Parameters'!$BA356:$BJ356*'Tech Parameters'!L84:U84)</f>
        <v>0</v>
      </c>
      <c r="I650">
        <f t="array" ref="I650">SUM(J137:S137*'Tech Parameters'!$BA356:$BJ356*'Tech Parameters'!M84:V84)</f>
        <v>0</v>
      </c>
      <c r="J650">
        <f t="array" ref="J650">SUM(K137:T137*'Tech Parameters'!$BA356:$BJ356*'Tech Parameters'!N84:W84)</f>
        <v>0</v>
      </c>
      <c r="K650">
        <f t="array" ref="K650">SUM(L137:U137*'Tech Parameters'!$BA356:$BJ356*'Tech Parameters'!O84:X84)</f>
        <v>0</v>
      </c>
      <c r="L650">
        <f t="array" ref="L650">SUM(M137:V137*'Tech Parameters'!$BA356:$BJ356*'Tech Parameters'!P84:Y84)</f>
        <v>0</v>
      </c>
      <c r="M650">
        <f t="array" ref="M650">SUM(N137:W137*'Tech Parameters'!$BA356:$BJ356*'Tech Parameters'!Q84:Z84)</f>
        <v>0</v>
      </c>
      <c r="N650">
        <f t="array" ref="N650">SUM(O137:X137*'Tech Parameters'!$BA356:$BJ356*'Tech Parameters'!R84:AA84)</f>
        <v>0</v>
      </c>
      <c r="O650">
        <f t="array" ref="O650">SUM(P137:Y137*'Tech Parameters'!$BA356:$BJ356*'Tech Parameters'!S84:AB84)</f>
        <v>0</v>
      </c>
      <c r="P650">
        <f t="array" ref="P650">SUM(Q137:Z137*'Tech Parameters'!$BA356:$BJ356*'Tech Parameters'!T84:AC84)</f>
        <v>0</v>
      </c>
      <c r="Q650">
        <f t="array" ref="Q650">SUM(R137:AA137*'Tech Parameters'!$BA356:$BJ356*'Tech Parameters'!U84:AD84)</f>
        <v>0</v>
      </c>
      <c r="R650">
        <f t="array" ref="R650">SUM(S137:AB137*'Tech Parameters'!$BA356:$BJ356*'Tech Parameters'!V84:AE84)</f>
        <v>0</v>
      </c>
      <c r="S650">
        <f t="array" ref="S650">SUM(T137:AC137*'Tech Parameters'!$BA356:$BJ356*'Tech Parameters'!W84:AF84)</f>
        <v>0</v>
      </c>
      <c r="T650">
        <f t="array" aca="1" ref="T650" ca="1">SUM(U137:AD137*'Tech Parameters'!$BA356:$BJ356*'Tech Parameters'!X84:AG84)</f>
        <v>0</v>
      </c>
      <c r="U650">
        <f t="array" aca="1" ref="U650" ca="1">SUM(V137:AE137*'Tech Parameters'!$BA356:$BJ356*'Tech Parameters'!Y84:AH84)</f>
        <v>0</v>
      </c>
      <c r="V650">
        <f t="array" aca="1" ref="V650" ca="1">SUM(W137:AF137*'Tech Parameters'!$BA356:$BJ356*'Tech Parameters'!Z84:AI84)</f>
        <v>0</v>
      </c>
      <c r="W650">
        <f t="array" aca="1" ref="W650" ca="1">SUM(X137:AG137*'Tech Parameters'!$BA356:$BJ356*'Tech Parameters'!AA84:AJ84)</f>
        <v>0</v>
      </c>
      <c r="X650">
        <f t="array" aca="1" ref="X650" ca="1">SUM(Y137:AH137*'Tech Parameters'!$BA356:$BJ356*'Tech Parameters'!AB84:AK84)</f>
        <v>0</v>
      </c>
      <c r="Y650">
        <f t="array" aca="1" ref="Y650" ca="1">SUM(Z137:AI137*'Tech Parameters'!$BA356:$BJ356*'Tech Parameters'!AC84:AL84)</f>
        <v>0</v>
      </c>
      <c r="Z650">
        <f t="array" aca="1" ref="Z650" ca="1">SUM(AA137:AJ137*'Tech Parameters'!$BA356:$BJ356*'Tech Parameters'!AD84:AM84)</f>
        <v>0</v>
      </c>
      <c r="AA650">
        <f t="array" aca="1" ref="AA650" ca="1">SUM(AB137:AK137*'Tech Parameters'!$BA356:$BJ356*'Tech Parameters'!AE84:AN84)</f>
        <v>0</v>
      </c>
      <c r="AB650">
        <f t="array" aca="1" ref="AB650" ca="1">SUM(AC137:AL137*'Tech Parameters'!$BA356:$BJ356*'Tech Parameters'!AF84:AO84)</f>
        <v>0</v>
      </c>
      <c r="AC650">
        <f t="array" aca="1" ref="AC650" ca="1">SUM(AD137:AM137*'Tech Parameters'!$BA356:$BJ356*'Tech Parameters'!AG84:AP84)</f>
        <v>0</v>
      </c>
    </row>
    <row r="651" spans="3:29">
      <c r="C651" t="str">
        <f t="shared" si="155"/>
        <v>-</v>
      </c>
      <c r="D651">
        <f t="array" ref="D651">SUM(E138:N138*'Tech Parameters'!$BA357:$BJ357*'Tech Parameters'!H85:Q85)</f>
        <v>0</v>
      </c>
      <c r="E651">
        <f t="array" ref="E651">SUM(F138:O138*'Tech Parameters'!$BA357:$BJ357*'Tech Parameters'!I85:R85)</f>
        <v>0</v>
      </c>
      <c r="F651">
        <f t="array" ref="F651">SUM(G138:P138*'Tech Parameters'!$BA357:$BJ357*'Tech Parameters'!J85:S85)</f>
        <v>0</v>
      </c>
      <c r="G651">
        <f t="array" ref="G651">SUM(H138:Q138*'Tech Parameters'!$BA357:$BJ357*'Tech Parameters'!K85:T85)</f>
        <v>0</v>
      </c>
      <c r="H651">
        <f t="array" ref="H651">SUM(I138:R138*'Tech Parameters'!$BA357:$BJ357*'Tech Parameters'!L85:U85)</f>
        <v>0</v>
      </c>
      <c r="I651">
        <f t="array" ref="I651">SUM(J138:S138*'Tech Parameters'!$BA357:$BJ357*'Tech Parameters'!M85:V85)</f>
        <v>0</v>
      </c>
      <c r="J651">
        <f t="array" ref="J651">SUM(K138:T138*'Tech Parameters'!$BA357:$BJ357*'Tech Parameters'!N85:W85)</f>
        <v>0</v>
      </c>
      <c r="K651">
        <f t="array" ref="K651">SUM(L138:U138*'Tech Parameters'!$BA357:$BJ357*'Tech Parameters'!O85:X85)</f>
        <v>0</v>
      </c>
      <c r="L651">
        <f t="array" ref="L651">SUM(M138:V138*'Tech Parameters'!$BA357:$BJ357*'Tech Parameters'!P85:Y85)</f>
        <v>0</v>
      </c>
      <c r="M651">
        <f t="array" ref="M651">SUM(N138:W138*'Tech Parameters'!$BA357:$BJ357*'Tech Parameters'!Q85:Z85)</f>
        <v>0</v>
      </c>
      <c r="N651">
        <f t="array" ref="N651">SUM(O138:X138*'Tech Parameters'!$BA357:$BJ357*'Tech Parameters'!R85:AA85)</f>
        <v>0</v>
      </c>
      <c r="O651">
        <f t="array" ref="O651">SUM(P138:Y138*'Tech Parameters'!$BA357:$BJ357*'Tech Parameters'!S85:AB85)</f>
        <v>0</v>
      </c>
      <c r="P651">
        <f t="array" ref="P651">SUM(Q138:Z138*'Tech Parameters'!$BA357:$BJ357*'Tech Parameters'!T85:AC85)</f>
        <v>0</v>
      </c>
      <c r="Q651">
        <f t="array" ref="Q651">SUM(R138:AA138*'Tech Parameters'!$BA357:$BJ357*'Tech Parameters'!U85:AD85)</f>
        <v>0</v>
      </c>
      <c r="R651">
        <f t="array" ref="R651">SUM(S138:AB138*'Tech Parameters'!$BA357:$BJ357*'Tech Parameters'!V85:AE85)</f>
        <v>0</v>
      </c>
      <c r="S651">
        <f t="array" ref="S651">SUM(T138:AC138*'Tech Parameters'!$BA357:$BJ357*'Tech Parameters'!W85:AF85)</f>
        <v>0</v>
      </c>
      <c r="T651">
        <f t="array" aca="1" ref="T651" ca="1">SUM(U138:AD138*'Tech Parameters'!$BA357:$BJ357*'Tech Parameters'!X85:AG85)</f>
        <v>0</v>
      </c>
      <c r="U651">
        <f t="array" aca="1" ref="U651" ca="1">SUM(V138:AE138*'Tech Parameters'!$BA357:$BJ357*'Tech Parameters'!Y85:AH85)</f>
        <v>0</v>
      </c>
      <c r="V651">
        <f t="array" aca="1" ref="V651" ca="1">SUM(W138:AF138*'Tech Parameters'!$BA357:$BJ357*'Tech Parameters'!Z85:AI85)</f>
        <v>0</v>
      </c>
      <c r="W651">
        <f t="array" aca="1" ref="W651" ca="1">SUM(X138:AG138*'Tech Parameters'!$BA357:$BJ357*'Tech Parameters'!AA85:AJ85)</f>
        <v>0</v>
      </c>
      <c r="X651">
        <f t="array" aca="1" ref="X651" ca="1">SUM(Y138:AH138*'Tech Parameters'!$BA357:$BJ357*'Tech Parameters'!AB85:AK85)</f>
        <v>0</v>
      </c>
      <c r="Y651">
        <f t="array" aca="1" ref="Y651" ca="1">SUM(Z138:AI138*'Tech Parameters'!$BA357:$BJ357*'Tech Parameters'!AC85:AL85)</f>
        <v>0</v>
      </c>
      <c r="Z651">
        <f t="array" aca="1" ref="Z651" ca="1">SUM(AA138:AJ138*'Tech Parameters'!$BA357:$BJ357*'Tech Parameters'!AD85:AM85)</f>
        <v>0</v>
      </c>
      <c r="AA651">
        <f t="array" aca="1" ref="AA651" ca="1">SUM(AB138:AK138*'Tech Parameters'!$BA357:$BJ357*'Tech Parameters'!AE85:AN85)</f>
        <v>0</v>
      </c>
      <c r="AB651">
        <f t="array" aca="1" ref="AB651" ca="1">SUM(AC138:AL138*'Tech Parameters'!$BA357:$BJ357*'Tech Parameters'!AF85:AO85)</f>
        <v>0</v>
      </c>
      <c r="AC651">
        <f t="array" aca="1" ref="AC651" ca="1">SUM(AD138:AM138*'Tech Parameters'!$BA357:$BJ357*'Tech Parameters'!AG85:AP85)</f>
        <v>0</v>
      </c>
    </row>
    <row r="652" spans="3:29">
      <c r="C652" t="str">
        <f t="shared" si="155"/>
        <v>-</v>
      </c>
      <c r="D652">
        <f t="array" ref="D652">SUM(E139:N139*'Tech Parameters'!$BA358:$BJ358*'Tech Parameters'!H86:Q86)</f>
        <v>0</v>
      </c>
      <c r="E652">
        <f t="array" ref="E652">SUM(F139:O139*'Tech Parameters'!$BA358:$BJ358*'Tech Parameters'!I86:R86)</f>
        <v>0</v>
      </c>
      <c r="F652">
        <f t="array" ref="F652">SUM(G139:P139*'Tech Parameters'!$BA358:$BJ358*'Tech Parameters'!J86:S86)</f>
        <v>0</v>
      </c>
      <c r="G652">
        <f t="array" ref="G652">SUM(H139:Q139*'Tech Parameters'!$BA358:$BJ358*'Tech Parameters'!K86:T86)</f>
        <v>0</v>
      </c>
      <c r="H652">
        <f t="array" ref="H652">SUM(I139:R139*'Tech Parameters'!$BA358:$BJ358*'Tech Parameters'!L86:U86)</f>
        <v>0</v>
      </c>
      <c r="I652">
        <f t="array" ref="I652">SUM(J139:S139*'Tech Parameters'!$BA358:$BJ358*'Tech Parameters'!M86:V86)</f>
        <v>0</v>
      </c>
      <c r="J652">
        <f t="array" ref="J652">SUM(K139:T139*'Tech Parameters'!$BA358:$BJ358*'Tech Parameters'!N86:W86)</f>
        <v>0</v>
      </c>
      <c r="K652">
        <f t="array" ref="K652">SUM(L139:U139*'Tech Parameters'!$BA358:$BJ358*'Tech Parameters'!O86:X86)</f>
        <v>0</v>
      </c>
      <c r="L652">
        <f t="array" ref="L652">SUM(M139:V139*'Tech Parameters'!$BA358:$BJ358*'Tech Parameters'!P86:Y86)</f>
        <v>0</v>
      </c>
      <c r="M652">
        <f t="array" ref="M652">SUM(N139:W139*'Tech Parameters'!$BA358:$BJ358*'Tech Parameters'!Q86:Z86)</f>
        <v>0</v>
      </c>
      <c r="N652">
        <f t="array" ref="N652">SUM(O139:X139*'Tech Parameters'!$BA358:$BJ358*'Tech Parameters'!R86:AA86)</f>
        <v>0</v>
      </c>
      <c r="O652">
        <f t="array" ref="O652">SUM(P139:Y139*'Tech Parameters'!$BA358:$BJ358*'Tech Parameters'!S86:AB86)</f>
        <v>0</v>
      </c>
      <c r="P652">
        <f t="array" ref="P652">SUM(Q139:Z139*'Tech Parameters'!$BA358:$BJ358*'Tech Parameters'!T86:AC86)</f>
        <v>0</v>
      </c>
      <c r="Q652">
        <f t="array" ref="Q652">SUM(R139:AA139*'Tech Parameters'!$BA358:$BJ358*'Tech Parameters'!U86:AD86)</f>
        <v>0</v>
      </c>
      <c r="R652">
        <f t="array" ref="R652">SUM(S139:AB139*'Tech Parameters'!$BA358:$BJ358*'Tech Parameters'!V86:AE86)</f>
        <v>0</v>
      </c>
      <c r="S652">
        <f t="array" ref="S652">SUM(T139:AC139*'Tech Parameters'!$BA358:$BJ358*'Tech Parameters'!W86:AF86)</f>
        <v>0</v>
      </c>
      <c r="T652">
        <f t="array" aca="1" ref="T652" ca="1">SUM(U139:AD139*'Tech Parameters'!$BA358:$BJ358*'Tech Parameters'!X86:AG86)</f>
        <v>0</v>
      </c>
      <c r="U652">
        <f t="array" aca="1" ref="U652" ca="1">SUM(V139:AE139*'Tech Parameters'!$BA358:$BJ358*'Tech Parameters'!Y86:AH86)</f>
        <v>0</v>
      </c>
      <c r="V652">
        <f t="array" aca="1" ref="V652" ca="1">SUM(W139:AF139*'Tech Parameters'!$BA358:$BJ358*'Tech Parameters'!Z86:AI86)</f>
        <v>0</v>
      </c>
      <c r="W652">
        <f t="array" aca="1" ref="W652" ca="1">SUM(X139:AG139*'Tech Parameters'!$BA358:$BJ358*'Tech Parameters'!AA86:AJ86)</f>
        <v>0</v>
      </c>
      <c r="X652">
        <f t="array" aca="1" ref="X652" ca="1">SUM(Y139:AH139*'Tech Parameters'!$BA358:$BJ358*'Tech Parameters'!AB86:AK86)</f>
        <v>0</v>
      </c>
      <c r="Y652">
        <f t="array" aca="1" ref="Y652" ca="1">SUM(Z139:AI139*'Tech Parameters'!$BA358:$BJ358*'Tech Parameters'!AC86:AL86)</f>
        <v>0</v>
      </c>
      <c r="Z652">
        <f t="array" aca="1" ref="Z652" ca="1">SUM(AA139:AJ139*'Tech Parameters'!$BA358:$BJ358*'Tech Parameters'!AD86:AM86)</f>
        <v>0</v>
      </c>
      <c r="AA652">
        <f t="array" aca="1" ref="AA652" ca="1">SUM(AB139:AK139*'Tech Parameters'!$BA358:$BJ358*'Tech Parameters'!AE86:AN86)</f>
        <v>0</v>
      </c>
      <c r="AB652">
        <f t="array" aca="1" ref="AB652" ca="1">SUM(AC139:AL139*'Tech Parameters'!$BA358:$BJ358*'Tech Parameters'!AF86:AO86)</f>
        <v>0</v>
      </c>
      <c r="AC652">
        <f t="array" aca="1" ref="AC652" ca="1">SUM(AD139:AM139*'Tech Parameters'!$BA358:$BJ358*'Tech Parameters'!AG86:AP86)</f>
        <v>0</v>
      </c>
    </row>
    <row r="653" spans="3:29">
      <c r="C653" t="str">
        <f t="shared" si="155"/>
        <v>Pumped storage</v>
      </c>
      <c r="D653">
        <f t="array" ref="D653">SUM(E140:N140*'Tech Parameters'!$BA359:$BJ359*'Tech Parameters'!H87:Q87)</f>
        <v>1097.8738260250962</v>
      </c>
      <c r="E653">
        <f t="array" ref="E653">SUM(F140:O140*'Tech Parameters'!$BA359:$BJ359*'Tech Parameters'!I87:R87)</f>
        <v>1646.8107390376442</v>
      </c>
      <c r="F653">
        <f t="array" ref="F653">SUM(G140:P140*'Tech Parameters'!$BA359:$BJ359*'Tech Parameters'!J87:S87)</f>
        <v>2352.5867700537774</v>
      </c>
      <c r="G653">
        <f t="array" ref="G653">SUM(H140:Q140*'Tech Parameters'!$BA359:$BJ359*'Tech Parameters'!K87:T87)</f>
        <v>2509.4258880573625</v>
      </c>
      <c r="H653">
        <f t="array" ref="H653">SUM(I140:R140*'Tech Parameters'!$BA359:$BJ359*'Tech Parameters'!L87:U87)</f>
        <v>2666.2650060609476</v>
      </c>
      <c r="I653">
        <f t="array" ref="I653">SUM(J140:S140*'Tech Parameters'!$BA359:$BJ359*'Tech Parameters'!M87:V87)</f>
        <v>2823.1041240645322</v>
      </c>
      <c r="J653">
        <f t="array" ref="J653">SUM(K140:T140*'Tech Parameters'!$BA359:$BJ359*'Tech Parameters'!N87:W87)</f>
        <v>2823.1041240645322</v>
      </c>
      <c r="K653">
        <f t="array" ref="K653">SUM(L140:U140*'Tech Parameters'!$BA359:$BJ359*'Tech Parameters'!O87:X87)</f>
        <v>2823.1041240645322</v>
      </c>
      <c r="L653">
        <f t="array" ref="L653">SUM(M140:V140*'Tech Parameters'!$BA359:$BJ359*'Tech Parameters'!P87:Y87)</f>
        <v>2117.3280930483993</v>
      </c>
      <c r="M653">
        <f t="array" ref="M653">SUM(N140:W140*'Tech Parameters'!$BA359:$BJ359*'Tech Parameters'!Q87:Z87)</f>
        <v>1411.5520620322661</v>
      </c>
      <c r="N653">
        <f t="array" ref="N653">SUM(O140:X140*'Tech Parameters'!$BA359:$BJ359*'Tech Parameters'!R87:AA87)</f>
        <v>705.77603101613306</v>
      </c>
      <c r="O653">
        <f t="array" ref="O653">SUM(P140:Y140*'Tech Parameters'!$BA359:$BJ359*'Tech Parameters'!S87:AB87)</f>
        <v>0</v>
      </c>
      <c r="P653">
        <f t="array" ref="P653">SUM(Q140:Z140*'Tech Parameters'!$BA359:$BJ359*'Tech Parameters'!T87:AC87)</f>
        <v>0</v>
      </c>
      <c r="Q653">
        <f t="array" ref="Q653">SUM(R140:AA140*'Tech Parameters'!$BA359:$BJ359*'Tech Parameters'!U87:AD87)</f>
        <v>0</v>
      </c>
      <c r="R653">
        <f t="array" ref="R653">SUM(S140:AB140*'Tech Parameters'!$BA359:$BJ359*'Tech Parameters'!V87:AE87)</f>
        <v>0</v>
      </c>
      <c r="S653">
        <f t="array" ref="S653">SUM(T140:AC140*'Tech Parameters'!$BA359:$BJ359*'Tech Parameters'!W87:AF87)</f>
        <v>0</v>
      </c>
      <c r="T653">
        <f t="array" aca="1" ref="T653" ca="1">SUM(U140:AD140*'Tech Parameters'!$BA359:$BJ359*'Tech Parameters'!X87:AG87)</f>
        <v>0</v>
      </c>
      <c r="U653">
        <f t="array" aca="1" ref="U653" ca="1">SUM(V140:AE140*'Tech Parameters'!$BA359:$BJ359*'Tech Parameters'!Y87:AH87)</f>
        <v>0</v>
      </c>
      <c r="V653">
        <f t="array" aca="1" ref="V653" ca="1">SUM(W140:AF140*'Tech Parameters'!$BA359:$BJ359*'Tech Parameters'!Z87:AI87)</f>
        <v>0</v>
      </c>
      <c r="W653">
        <f t="array" aca="1" ref="W653" ca="1">SUM(X140:AG140*'Tech Parameters'!$BA359:$BJ359*'Tech Parameters'!AA87:AJ87)</f>
        <v>0</v>
      </c>
      <c r="X653">
        <f t="array" aca="1" ref="X653" ca="1">SUM(Y140:AH140*'Tech Parameters'!$BA359:$BJ359*'Tech Parameters'!AB87:AK87)</f>
        <v>0</v>
      </c>
      <c r="Y653">
        <f t="array" aca="1" ref="Y653" ca="1">SUM(Z140:AI140*'Tech Parameters'!$BA359:$BJ359*'Tech Parameters'!AC87:AL87)</f>
        <v>0</v>
      </c>
      <c r="Z653">
        <f t="array" aca="1" ref="Z653" ca="1">SUM(AA140:AJ140*'Tech Parameters'!$BA359:$BJ359*'Tech Parameters'!AD87:AM87)</f>
        <v>0</v>
      </c>
      <c r="AA653">
        <f t="array" aca="1" ref="AA653" ca="1">SUM(AB140:AK140*'Tech Parameters'!$BA359:$BJ359*'Tech Parameters'!AE87:AN87)</f>
        <v>0</v>
      </c>
      <c r="AB653">
        <f t="array" aca="1" ref="AB653" ca="1">SUM(AC140:AL140*'Tech Parameters'!$BA359:$BJ359*'Tech Parameters'!AF87:AO87)</f>
        <v>0</v>
      </c>
      <c r="AC653">
        <f t="array" aca="1" ref="AC653" ca="1">SUM(AD140:AM140*'Tech Parameters'!$BA359:$BJ359*'Tech Parameters'!AG87:AP87)</f>
        <v>0</v>
      </c>
    </row>
    <row r="654" spans="3:29">
      <c r="C654" s="11" t="s">
        <v>5</v>
      </c>
      <c r="D654">
        <f>SUM(D634:D653)</f>
        <v>1097.8738260250962</v>
      </c>
      <c r="E654">
        <f t="shared" ref="E654:AC654" si="156">SUM(E634:E653)</f>
        <v>2310.5630607813314</v>
      </c>
      <c r="F654">
        <f t="shared" si="156"/>
        <v>4415.4370198124188</v>
      </c>
      <c r="G654">
        <f t="shared" si="156"/>
        <v>6800.7875685791014</v>
      </c>
      <c r="H654">
        <f t="shared" si="156"/>
        <v>14822.008059201551</v>
      </c>
      <c r="I654">
        <f t="shared" si="156"/>
        <v>30261.850759686524</v>
      </c>
      <c r="J654">
        <f t="shared" si="156"/>
        <v>37031.699102564562</v>
      </c>
      <c r="K654">
        <f t="shared" si="156"/>
        <v>45910.058002359598</v>
      </c>
      <c r="L654">
        <f t="shared" si="156"/>
        <v>44140.835629698391</v>
      </c>
      <c r="M654">
        <f t="shared" si="156"/>
        <v>42999.68486678577</v>
      </c>
      <c r="N654">
        <f t="shared" si="156"/>
        <v>39300.68806390011</v>
      </c>
      <c r="O654">
        <f t="shared" si="156"/>
        <v>46365.786709174892</v>
      </c>
      <c r="P654">
        <f t="shared" si="156"/>
        <v>63487.203875082014</v>
      </c>
      <c r="Q654">
        <f t="shared" si="156"/>
        <v>85178.259693686035</v>
      </c>
      <c r="R654">
        <f t="shared" si="156"/>
        <v>99869.257223097724</v>
      </c>
      <c r="S654">
        <f t="shared" si="156"/>
        <v>113895.21996764264</v>
      </c>
      <c r="T654">
        <f t="shared" ca="1" si="156"/>
        <v>110638.08888726502</v>
      </c>
      <c r="U654">
        <f t="shared" ca="1" si="156"/>
        <v>133187.83919508572</v>
      </c>
      <c r="V654">
        <f t="shared" ca="1" si="156"/>
        <v>130678.21434934318</v>
      </c>
      <c r="W654">
        <f t="shared" ca="1" si="156"/>
        <v>128395.58673604917</v>
      </c>
      <c r="X654">
        <f t="shared" ca="1" si="156"/>
        <v>129805.73018156372</v>
      </c>
      <c r="Y654">
        <f t="shared" ca="1" si="156"/>
        <v>123426.10805292756</v>
      </c>
      <c r="Z654">
        <f t="shared" ca="1" si="156"/>
        <v>118413.29797998513</v>
      </c>
      <c r="AA654">
        <f t="shared" ca="1" si="156"/>
        <v>106823.10852865299</v>
      </c>
      <c r="AB654">
        <f t="shared" ca="1" si="156"/>
        <v>75791.79040483071</v>
      </c>
      <c r="AC654">
        <f t="shared" ca="1" si="156"/>
        <v>2290.8849519130799</v>
      </c>
    </row>
    <row r="656" spans="3:29">
      <c r="C656" s="4" t="s">
        <v>255</v>
      </c>
      <c r="F656" s="11" t="s">
        <v>272</v>
      </c>
      <c r="H656" s="21" t="str">
        <f>'Costs graphs'!AD61</f>
        <v xml:space="preserve">Wind 30% </v>
      </c>
      <c r="I656" s="21"/>
      <c r="J656" s="21"/>
    </row>
    <row r="657" spans="2:29">
      <c r="F657" s="11" t="s">
        <v>273</v>
      </c>
      <c r="H657" s="21" t="str">
        <f>'Costs graphs'!AD62</f>
        <v>Existing coal Small</v>
      </c>
      <c r="I657" s="21"/>
      <c r="J657" s="21"/>
    </row>
    <row r="658" spans="2:29">
      <c r="C658" s="4" t="s">
        <v>257</v>
      </c>
    </row>
    <row r="660" spans="2:29">
      <c r="B660" s="11" t="s">
        <v>275</v>
      </c>
      <c r="C660" s="11" t="s">
        <v>258</v>
      </c>
      <c r="D660">
        <f ca="1">SUMIF($C$634:$C$653,$H$656,D$470:D$489)</f>
        <v>0</v>
      </c>
      <c r="E660">
        <f t="shared" ref="E660:AC660" ca="1" si="157">SUMIF($C$634:$C$653,$H$656,E$470:E$489)</f>
        <v>0</v>
      </c>
      <c r="F660">
        <f t="shared" ca="1" si="157"/>
        <v>0</v>
      </c>
      <c r="G660">
        <f t="shared" ca="1" si="157"/>
        <v>0</v>
      </c>
      <c r="H660">
        <f t="shared" ca="1" si="157"/>
        <v>0</v>
      </c>
      <c r="I660">
        <f t="shared" ca="1" si="157"/>
        <v>183.26556628016303</v>
      </c>
      <c r="J660">
        <f t="shared" ca="1" si="157"/>
        <v>540.15114272048049</v>
      </c>
      <c r="K660">
        <f t="shared" ca="1" si="157"/>
        <v>887.39116304078937</v>
      </c>
      <c r="L660">
        <f t="shared" ca="1" si="157"/>
        <v>1564.5092026653915</v>
      </c>
      <c r="M660">
        <f t="shared" ca="1" si="157"/>
        <v>2224.2652412739781</v>
      </c>
      <c r="N660">
        <f t="shared" ca="1" si="157"/>
        <v>3509.0533164591207</v>
      </c>
      <c r="O660">
        <f t="shared" ca="1" si="157"/>
        <v>4759.1173896122327</v>
      </c>
      <c r="P660">
        <f t="shared" ca="1" si="157"/>
        <v>6290.4458792247951</v>
      </c>
      <c r="Q660">
        <f t="shared" ca="1" si="157"/>
        <v>7790.5227670085296</v>
      </c>
      <c r="R660">
        <f t="shared" ca="1" si="157"/>
        <v>9993.7606959408895</v>
      </c>
      <c r="S660">
        <f t="shared" ca="1" si="157"/>
        <v>12150.121222130008</v>
      </c>
      <c r="T660">
        <f t="shared" ca="1" si="157"/>
        <v>14962.76538672451</v>
      </c>
      <c r="U660">
        <f t="shared" ca="1" si="157"/>
        <v>14962.76538672451</v>
      </c>
      <c r="V660">
        <f t="shared" ca="1" si="157"/>
        <v>14962.76538672451</v>
      </c>
      <c r="W660">
        <f t="shared" ca="1" si="157"/>
        <v>14962.76538672451</v>
      </c>
      <c r="X660">
        <f t="shared" ca="1" si="157"/>
        <v>14962.76538672451</v>
      </c>
      <c r="Y660">
        <f t="shared" ca="1" si="157"/>
        <v>14962.76538672451</v>
      </c>
      <c r="Z660">
        <f t="shared" ca="1" si="157"/>
        <v>14962.76538672451</v>
      </c>
      <c r="AA660">
        <f t="shared" ca="1" si="157"/>
        <v>14962.76538672451</v>
      </c>
      <c r="AB660">
        <f t="shared" ca="1" si="157"/>
        <v>14962.76538672451</v>
      </c>
      <c r="AC660">
        <f t="shared" ca="1" si="157"/>
        <v>14779.499820444347</v>
      </c>
    </row>
    <row r="661" spans="2:29">
      <c r="C661" s="11" t="s">
        <v>64</v>
      </c>
      <c r="D661">
        <f>SUMIF($C$634:$C$653,$H$656,D$493:D$512)</f>
        <v>0</v>
      </c>
      <c r="E661">
        <f t="shared" ref="E661:AC661" si="158">SUMIF($C$634:$C$653,$H$656,E$493:E$512)</f>
        <v>0</v>
      </c>
      <c r="F661">
        <f t="shared" si="158"/>
        <v>0</v>
      </c>
      <c r="G661">
        <f t="shared" si="158"/>
        <v>0</v>
      </c>
      <c r="H661">
        <f t="shared" si="158"/>
        <v>0</v>
      </c>
      <c r="I661">
        <f t="shared" ca="1" si="158"/>
        <v>25.275151249001961</v>
      </c>
      <c r="J661">
        <f t="shared" ca="1" si="158"/>
        <v>75.825453747005895</v>
      </c>
      <c r="K661">
        <f t="shared" ca="1" si="158"/>
        <v>126.3757562450098</v>
      </c>
      <c r="L661">
        <f t="shared" ca="1" si="158"/>
        <v>227.47636124101763</v>
      </c>
      <c r="M661">
        <f t="shared" ca="1" si="158"/>
        <v>328.57696623702549</v>
      </c>
      <c r="N661">
        <f t="shared" ca="1" si="158"/>
        <v>530.77817622904115</v>
      </c>
      <c r="O661">
        <f t="shared" ca="1" si="158"/>
        <v>732.97938622105687</v>
      </c>
      <c r="P661">
        <f t="shared" ca="1" si="158"/>
        <v>985.73089871107652</v>
      </c>
      <c r="Q661">
        <f t="shared" ca="1" si="158"/>
        <v>1238.4824112010961</v>
      </c>
      <c r="R661">
        <f t="shared" ca="1" si="158"/>
        <v>1617.6096799361255</v>
      </c>
      <c r="S661">
        <f t="shared" ca="1" si="158"/>
        <v>1996.7369486711548</v>
      </c>
      <c r="T661">
        <f t="shared" ca="1" si="158"/>
        <v>2502.2399736511938</v>
      </c>
      <c r="U661">
        <f t="shared" ca="1" si="158"/>
        <v>2502.2399736511938</v>
      </c>
      <c r="V661">
        <f t="shared" ca="1" si="158"/>
        <v>2502.2399736511938</v>
      </c>
      <c r="W661">
        <f t="shared" ca="1" si="158"/>
        <v>2502.2399736511938</v>
      </c>
      <c r="X661">
        <f t="shared" ca="1" si="158"/>
        <v>2502.2399736511938</v>
      </c>
      <c r="Y661">
        <f t="shared" ca="1" si="158"/>
        <v>2502.2399736511938</v>
      </c>
      <c r="Z661">
        <f t="shared" ca="1" si="158"/>
        <v>2502.2399736511938</v>
      </c>
      <c r="AA661">
        <f t="shared" ca="1" si="158"/>
        <v>2502.2399736511938</v>
      </c>
      <c r="AB661">
        <f t="shared" ca="1" si="158"/>
        <v>2502.2399736511938</v>
      </c>
      <c r="AC661">
        <f t="shared" ca="1" si="158"/>
        <v>2476.9648224021921</v>
      </c>
    </row>
    <row r="662" spans="2:29">
      <c r="C662" s="11" t="s">
        <v>65</v>
      </c>
      <c r="D662">
        <f>SUMIF($C$634:$C$653,$H$656,D$516:D$535)</f>
        <v>0</v>
      </c>
      <c r="E662">
        <f t="shared" ref="E662:AC662" si="159">SUMIF($C$634:$C$653,$H$656,E$516:E$535)</f>
        <v>0</v>
      </c>
      <c r="F662">
        <f t="shared" si="159"/>
        <v>0</v>
      </c>
      <c r="G662">
        <f t="shared" si="159"/>
        <v>0</v>
      </c>
      <c r="H662">
        <f t="shared" si="159"/>
        <v>0</v>
      </c>
      <c r="I662">
        <f t="shared" ca="1" si="159"/>
        <v>0</v>
      </c>
      <c r="J662">
        <f t="shared" ca="1" si="159"/>
        <v>0</v>
      </c>
      <c r="K662">
        <f t="shared" ca="1" si="159"/>
        <v>0</v>
      </c>
      <c r="L662">
        <f t="shared" ca="1" si="159"/>
        <v>0</v>
      </c>
      <c r="M662">
        <f t="shared" ca="1" si="159"/>
        <v>0</v>
      </c>
      <c r="N662">
        <f t="shared" ca="1" si="159"/>
        <v>0</v>
      </c>
      <c r="O662">
        <f t="shared" ca="1" si="159"/>
        <v>0</v>
      </c>
      <c r="P662">
        <f t="shared" ca="1" si="159"/>
        <v>0</v>
      </c>
      <c r="Q662">
        <f t="shared" ca="1" si="159"/>
        <v>0</v>
      </c>
      <c r="R662">
        <f t="shared" ca="1" si="159"/>
        <v>0</v>
      </c>
      <c r="S662">
        <f t="shared" ca="1" si="159"/>
        <v>0</v>
      </c>
      <c r="T662">
        <f t="shared" ca="1" si="159"/>
        <v>0</v>
      </c>
      <c r="U662">
        <f t="shared" ca="1" si="159"/>
        <v>0</v>
      </c>
      <c r="V662">
        <f t="shared" ca="1" si="159"/>
        <v>0</v>
      </c>
      <c r="W662">
        <f t="shared" ca="1" si="159"/>
        <v>0</v>
      </c>
      <c r="X662">
        <f t="shared" ca="1" si="159"/>
        <v>0</v>
      </c>
      <c r="Y662">
        <f t="shared" ca="1" si="159"/>
        <v>0</v>
      </c>
      <c r="Z662">
        <f t="shared" ca="1" si="159"/>
        <v>0</v>
      </c>
      <c r="AA662">
        <f t="shared" ca="1" si="159"/>
        <v>0</v>
      </c>
      <c r="AB662">
        <f t="shared" ca="1" si="159"/>
        <v>0</v>
      </c>
      <c r="AC662">
        <f t="shared" ca="1" si="159"/>
        <v>0</v>
      </c>
    </row>
    <row r="663" spans="2:29">
      <c r="C663" s="11" t="s">
        <v>259</v>
      </c>
      <c r="D663">
        <f>SUMIF($C$634:$C$653,$H$656,D$539:D$558)</f>
        <v>0</v>
      </c>
      <c r="E663">
        <f t="shared" ref="E663:AC663" si="160">SUMIF($C$634:$C$653,$H$656,E$539:E$558)</f>
        <v>0</v>
      </c>
      <c r="F663">
        <f t="shared" si="160"/>
        <v>0</v>
      </c>
      <c r="G663">
        <f t="shared" si="160"/>
        <v>0</v>
      </c>
      <c r="H663">
        <f t="shared" si="160"/>
        <v>0</v>
      </c>
      <c r="I663">
        <f t="shared" ca="1" si="160"/>
        <v>0</v>
      </c>
      <c r="J663">
        <f t="shared" ca="1" si="160"/>
        <v>0</v>
      </c>
      <c r="K663">
        <f t="shared" ca="1" si="160"/>
        <v>0</v>
      </c>
      <c r="L663">
        <f t="shared" ca="1" si="160"/>
        <v>0</v>
      </c>
      <c r="M663">
        <f t="shared" ca="1" si="160"/>
        <v>0</v>
      </c>
      <c r="N663">
        <f t="shared" ca="1" si="160"/>
        <v>0</v>
      </c>
      <c r="O663">
        <f t="shared" ca="1" si="160"/>
        <v>0</v>
      </c>
      <c r="P663">
        <f t="shared" ca="1" si="160"/>
        <v>0</v>
      </c>
      <c r="Q663">
        <f t="shared" ca="1" si="160"/>
        <v>0</v>
      </c>
      <c r="R663">
        <f t="shared" ca="1" si="160"/>
        <v>0</v>
      </c>
      <c r="S663">
        <f t="shared" ca="1" si="160"/>
        <v>0</v>
      </c>
      <c r="T663">
        <f t="shared" ca="1" si="160"/>
        <v>0</v>
      </c>
      <c r="U663">
        <f t="shared" ca="1" si="160"/>
        <v>0</v>
      </c>
      <c r="V663">
        <f t="shared" ca="1" si="160"/>
        <v>0</v>
      </c>
      <c r="W663">
        <f t="shared" ca="1" si="160"/>
        <v>0</v>
      </c>
      <c r="X663">
        <f t="shared" ca="1" si="160"/>
        <v>0</v>
      </c>
      <c r="Y663">
        <f t="shared" ca="1" si="160"/>
        <v>0</v>
      </c>
      <c r="Z663">
        <f t="shared" ca="1" si="160"/>
        <v>0</v>
      </c>
      <c r="AA663">
        <f t="shared" ca="1" si="160"/>
        <v>0</v>
      </c>
      <c r="AB663">
        <f t="shared" ca="1" si="160"/>
        <v>0</v>
      </c>
      <c r="AC663">
        <f t="shared" ca="1" si="160"/>
        <v>0</v>
      </c>
    </row>
    <row r="664" spans="2:29">
      <c r="C664" s="11" t="s">
        <v>496</v>
      </c>
      <c r="D664">
        <f>SUMIF($C$950:$C$969,$H$656,D$950:D$969)</f>
        <v>0</v>
      </c>
      <c r="E664">
        <f t="shared" ref="E664:AC664" si="161">SUMIF($C$950:$C$969,$H$656,E$950:E$969)</f>
        <v>0</v>
      </c>
      <c r="F664">
        <f t="shared" si="161"/>
        <v>0</v>
      </c>
      <c r="G664">
        <f t="shared" si="161"/>
        <v>0</v>
      </c>
      <c r="H664">
        <f t="shared" si="161"/>
        <v>0</v>
      </c>
      <c r="I664">
        <f t="shared" ca="1" si="161"/>
        <v>0</v>
      </c>
      <c r="J664">
        <f t="shared" ca="1" si="161"/>
        <v>0</v>
      </c>
      <c r="K664">
        <f t="shared" ca="1" si="161"/>
        <v>0</v>
      </c>
      <c r="L664">
        <f t="shared" ca="1" si="161"/>
        <v>0</v>
      </c>
      <c r="M664">
        <f t="shared" ca="1" si="161"/>
        <v>0</v>
      </c>
      <c r="N664">
        <f t="shared" ca="1" si="161"/>
        <v>0</v>
      </c>
      <c r="O664">
        <f t="shared" ca="1" si="161"/>
        <v>0</v>
      </c>
      <c r="P664">
        <f t="shared" ca="1" si="161"/>
        <v>0</v>
      </c>
      <c r="Q664">
        <f t="shared" ca="1" si="161"/>
        <v>0</v>
      </c>
      <c r="R664">
        <f t="shared" ca="1" si="161"/>
        <v>0</v>
      </c>
      <c r="S664">
        <f t="shared" ca="1" si="161"/>
        <v>0</v>
      </c>
      <c r="T664">
        <f t="shared" ca="1" si="161"/>
        <v>0</v>
      </c>
      <c r="U664">
        <f t="shared" ca="1" si="161"/>
        <v>0</v>
      </c>
      <c r="V664">
        <f t="shared" ca="1" si="161"/>
        <v>0</v>
      </c>
      <c r="W664">
        <f t="shared" ca="1" si="161"/>
        <v>0</v>
      </c>
      <c r="X664">
        <f t="shared" ca="1" si="161"/>
        <v>0</v>
      </c>
      <c r="Y664">
        <f t="shared" ca="1" si="161"/>
        <v>0</v>
      </c>
      <c r="Z664">
        <f t="shared" ca="1" si="161"/>
        <v>0</v>
      </c>
      <c r="AA664">
        <f t="shared" ca="1" si="161"/>
        <v>0</v>
      </c>
      <c r="AB664">
        <f t="shared" ca="1" si="161"/>
        <v>0</v>
      </c>
      <c r="AC664">
        <f t="shared" ca="1" si="161"/>
        <v>0</v>
      </c>
    </row>
    <row r="665" spans="2:29">
      <c r="B665" s="11" t="s">
        <v>276</v>
      </c>
      <c r="C665" s="11" t="s">
        <v>258</v>
      </c>
      <c r="D665">
        <f ca="1">SUMIF($C$634:$C$653,$H$657,D$470:D$489)</f>
        <v>0</v>
      </c>
      <c r="E665">
        <f t="shared" ref="E665:AC665" ca="1" si="162">SUMIF($C$634:$C$653,$H$657,E$470:E$489)</f>
        <v>0</v>
      </c>
      <c r="F665">
        <f t="shared" ca="1" si="162"/>
        <v>0</v>
      </c>
      <c r="G665">
        <f t="shared" ca="1" si="162"/>
        <v>0</v>
      </c>
      <c r="H665">
        <f t="shared" ca="1" si="162"/>
        <v>0</v>
      </c>
      <c r="I665">
        <f t="shared" ca="1" si="162"/>
        <v>0</v>
      </c>
      <c r="J665">
        <f t="shared" ca="1" si="162"/>
        <v>0</v>
      </c>
      <c r="K665">
        <f t="shared" ca="1" si="162"/>
        <v>0</v>
      </c>
      <c r="L665">
        <f t="shared" ca="1" si="162"/>
        <v>0</v>
      </c>
      <c r="M665">
        <f t="shared" ca="1" si="162"/>
        <v>0</v>
      </c>
      <c r="N665">
        <f t="shared" ca="1" si="162"/>
        <v>0</v>
      </c>
      <c r="O665">
        <f t="shared" ca="1" si="162"/>
        <v>0</v>
      </c>
      <c r="P665">
        <f t="shared" ca="1" si="162"/>
        <v>0</v>
      </c>
      <c r="Q665">
        <f t="shared" ca="1" si="162"/>
        <v>0</v>
      </c>
      <c r="R665">
        <f t="shared" ca="1" si="162"/>
        <v>0</v>
      </c>
      <c r="S665">
        <f t="shared" ca="1" si="162"/>
        <v>0</v>
      </c>
      <c r="T665">
        <f t="shared" ca="1" si="162"/>
        <v>0</v>
      </c>
      <c r="U665">
        <f t="shared" ca="1" si="162"/>
        <v>0</v>
      </c>
      <c r="V665">
        <f t="shared" ca="1" si="162"/>
        <v>0</v>
      </c>
      <c r="W665">
        <f t="shared" ca="1" si="162"/>
        <v>0</v>
      </c>
      <c r="X665">
        <f t="shared" ca="1" si="162"/>
        <v>0</v>
      </c>
      <c r="Y665">
        <f t="shared" ca="1" si="162"/>
        <v>0</v>
      </c>
      <c r="Z665">
        <f t="shared" ca="1" si="162"/>
        <v>0</v>
      </c>
      <c r="AA665">
        <f t="shared" ca="1" si="162"/>
        <v>0</v>
      </c>
      <c r="AB665">
        <f t="shared" ca="1" si="162"/>
        <v>0</v>
      </c>
      <c r="AC665">
        <f t="shared" ca="1" si="162"/>
        <v>0</v>
      </c>
    </row>
    <row r="666" spans="2:29">
      <c r="C666" s="11" t="s">
        <v>64</v>
      </c>
      <c r="D666">
        <f>SUMIF($C$634:$C$653,$H$657,D$493:D$512)</f>
        <v>1493.6648015951273</v>
      </c>
      <c r="E666">
        <f t="shared" ref="E666:AC666" si="163">SUMIF($C$634:$C$653,$H$657,E$493:E$512)</f>
        <v>1493.6648015951273</v>
      </c>
      <c r="F666">
        <f t="shared" si="163"/>
        <v>1493.6648015951273</v>
      </c>
      <c r="G666">
        <f t="shared" si="163"/>
        <v>1493.6648015951273</v>
      </c>
      <c r="H666">
        <f t="shared" si="163"/>
        <v>1493.6648015951273</v>
      </c>
      <c r="I666">
        <f t="shared" ca="1" si="163"/>
        <v>1681.3883251159868</v>
      </c>
      <c r="J666">
        <f t="shared" ca="1" si="163"/>
        <v>1792.4283009614148</v>
      </c>
      <c r="K666">
        <f t="shared" ca="1" si="163"/>
        <v>1792.4283009614148</v>
      </c>
      <c r="L666">
        <f t="shared" ca="1" si="163"/>
        <v>1792.4283009614148</v>
      </c>
      <c r="M666">
        <f t="shared" ca="1" si="163"/>
        <v>1792.4283009614148</v>
      </c>
      <c r="N666">
        <f t="shared" ca="1" si="163"/>
        <v>1792.4283009614148</v>
      </c>
      <c r="O666">
        <f t="shared" ca="1" si="163"/>
        <v>1782.121372510416</v>
      </c>
      <c r="P666">
        <f t="shared" ca="1" si="163"/>
        <v>1771.8144440594174</v>
      </c>
      <c r="Q666">
        <f t="shared" ca="1" si="163"/>
        <v>1758.0718727914189</v>
      </c>
      <c r="R666">
        <f t="shared" ca="1" si="163"/>
        <v>1744.3293015234203</v>
      </c>
      <c r="S666">
        <f t="shared" ca="1" si="163"/>
        <v>1483.2204474314485</v>
      </c>
      <c r="T666">
        <f t="shared" ca="1" si="163"/>
        <v>1222.1115933394767</v>
      </c>
      <c r="U666">
        <f t="shared" ca="1" si="163"/>
        <v>1222.1115933394767</v>
      </c>
      <c r="V666">
        <f t="shared" ca="1" si="163"/>
        <v>1222.1115933394767</v>
      </c>
      <c r="W666">
        <f t="shared" ca="1" si="163"/>
        <v>1222.1115933394767</v>
      </c>
      <c r="X666">
        <f t="shared" ca="1" si="163"/>
        <v>1101.8030166499655</v>
      </c>
      <c r="Y666">
        <f t="shared" ca="1" si="163"/>
        <v>981.49443996045386</v>
      </c>
      <c r="Z666">
        <f t="shared" ca="1" si="163"/>
        <v>981.49443996045386</v>
      </c>
      <c r="AA666">
        <f t="shared" ca="1" si="163"/>
        <v>981.49443996045386</v>
      </c>
      <c r="AB666">
        <f t="shared" ca="1" si="163"/>
        <v>981.49443996045386</v>
      </c>
      <c r="AC666">
        <f t="shared" ca="1" si="163"/>
        <v>981.49443996045386</v>
      </c>
    </row>
    <row r="667" spans="2:29">
      <c r="C667" s="11" t="s">
        <v>65</v>
      </c>
      <c r="D667">
        <f>SUMIF($C$634:$C$653,$H$657,D$516:D$535)</f>
        <v>111.0511073795959</v>
      </c>
      <c r="E667">
        <f t="shared" ref="E667:AC667" si="164">SUMIF($C$634:$C$653,$H$657,E$516:E$535)</f>
        <v>111.0511073795959</v>
      </c>
      <c r="F667">
        <f t="shared" si="164"/>
        <v>111.0511073795959</v>
      </c>
      <c r="G667">
        <f t="shared" si="164"/>
        <v>111.0511073795959</v>
      </c>
      <c r="H667">
        <f t="shared" si="164"/>
        <v>111.0511073795959</v>
      </c>
      <c r="I667">
        <f t="shared" ca="1" si="164"/>
        <v>125.00799057449215</v>
      </c>
      <c r="J667">
        <f t="shared" ca="1" si="164"/>
        <v>133.26359937498717</v>
      </c>
      <c r="K667">
        <f t="shared" ca="1" si="164"/>
        <v>133.26359937498717</v>
      </c>
      <c r="L667">
        <f t="shared" ca="1" si="164"/>
        <v>133.26359937498717</v>
      </c>
      <c r="M667">
        <f t="shared" ca="1" si="164"/>
        <v>133.26359937498717</v>
      </c>
      <c r="N667">
        <f t="shared" ca="1" si="164"/>
        <v>133.26359937498717</v>
      </c>
      <c r="O667">
        <f t="shared" ca="1" si="164"/>
        <v>132.49729905315905</v>
      </c>
      <c r="P667">
        <f t="shared" ca="1" si="164"/>
        <v>131.73099873133091</v>
      </c>
      <c r="Q667">
        <f t="shared" ca="1" si="164"/>
        <v>130.70926496889342</v>
      </c>
      <c r="R667">
        <f t="shared" ca="1" si="164"/>
        <v>129.68753120645593</v>
      </c>
      <c r="S667">
        <f t="shared" ca="1" si="164"/>
        <v>110.27458972014341</v>
      </c>
      <c r="T667">
        <f t="shared" ca="1" si="164"/>
        <v>90.861648233830905</v>
      </c>
      <c r="U667">
        <f t="shared" ca="1" si="164"/>
        <v>90.861648233830905</v>
      </c>
      <c r="V667">
        <f t="shared" ca="1" si="164"/>
        <v>90.861648233830905</v>
      </c>
      <c r="W667">
        <f t="shared" ca="1" si="164"/>
        <v>90.861648233830905</v>
      </c>
      <c r="X667">
        <f t="shared" ca="1" si="164"/>
        <v>81.916936773558604</v>
      </c>
      <c r="Y667">
        <f t="shared" ca="1" si="164"/>
        <v>72.972225313286316</v>
      </c>
      <c r="Z667">
        <f t="shared" ca="1" si="164"/>
        <v>72.972225313286316</v>
      </c>
      <c r="AA667">
        <f t="shared" ca="1" si="164"/>
        <v>72.972225313286316</v>
      </c>
      <c r="AB667">
        <f t="shared" ca="1" si="164"/>
        <v>72.972225313286316</v>
      </c>
      <c r="AC667">
        <f t="shared" ca="1" si="164"/>
        <v>72.972225313286316</v>
      </c>
    </row>
    <row r="668" spans="2:29">
      <c r="C668" s="11" t="s">
        <v>259</v>
      </c>
      <c r="D668">
        <f>SUMIF($C$634:$C$653,$H$657,D$539:D$558)</f>
        <v>741.9842757023797</v>
      </c>
      <c r="E668">
        <f t="shared" ref="E668:AC668" si="165">SUMIF($C$634:$C$653,$H$657,E$539:E$558)</f>
        <v>851.8270806323203</v>
      </c>
      <c r="F668">
        <f t="shared" si="165"/>
        <v>961.6698855622609</v>
      </c>
      <c r="G668">
        <f t="shared" si="165"/>
        <v>1076.250263923074</v>
      </c>
      <c r="H668">
        <f t="shared" si="165"/>
        <v>1076.250263923074</v>
      </c>
      <c r="I668">
        <f t="shared" ca="1" si="165"/>
        <v>1218.4361360426481</v>
      </c>
      <c r="J668">
        <f t="shared" ca="1" si="165"/>
        <v>1306.2825765174923</v>
      </c>
      <c r="K668">
        <f t="shared" ca="1" si="165"/>
        <v>1313.6627040684386</v>
      </c>
      <c r="L668">
        <f t="shared" ca="1" si="165"/>
        <v>1321.0428316193847</v>
      </c>
      <c r="M668">
        <f t="shared" ca="1" si="165"/>
        <v>1328.4229591703313</v>
      </c>
      <c r="N668">
        <f t="shared" ca="1" si="165"/>
        <v>1335.8030867212774</v>
      </c>
      <c r="O668">
        <f t="shared" ca="1" si="165"/>
        <v>1335.4595617954913</v>
      </c>
      <c r="P668">
        <f t="shared" ca="1" si="165"/>
        <v>1335.0311615677624</v>
      </c>
      <c r="Q668">
        <f t="shared" ca="1" si="165"/>
        <v>1331.9150434452004</v>
      </c>
      <c r="R668">
        <f t="shared" ca="1" si="165"/>
        <v>1328.6857582533819</v>
      </c>
      <c r="S668">
        <f t="shared" ca="1" si="165"/>
        <v>1135.9016320574995</v>
      </c>
      <c r="T668">
        <f t="shared" ca="1" si="165"/>
        <v>940.96733154574986</v>
      </c>
      <c r="U668">
        <f t="shared" ca="1" si="165"/>
        <v>945.99924240963105</v>
      </c>
      <c r="V668">
        <f t="shared" ca="1" si="165"/>
        <v>951.0311532735119</v>
      </c>
      <c r="W668">
        <f t="shared" ca="1" si="165"/>
        <v>956.06306413739298</v>
      </c>
      <c r="X668">
        <f t="shared" ca="1" si="165"/>
        <v>866.48170962025745</v>
      </c>
      <c r="Y668">
        <f t="shared" ca="1" si="165"/>
        <v>775.9096402823784</v>
      </c>
      <c r="Z668">
        <f t="shared" ca="1" si="165"/>
        <v>779.95083632551564</v>
      </c>
      <c r="AA668">
        <f t="shared" ca="1" si="165"/>
        <v>783.99203236865299</v>
      </c>
      <c r="AB668">
        <f t="shared" ca="1" si="165"/>
        <v>788.03322841179056</v>
      </c>
      <c r="AC668">
        <f t="shared" ca="1" si="165"/>
        <v>792.07442445492791</v>
      </c>
    </row>
    <row r="669" spans="2:29">
      <c r="C669" s="11" t="s">
        <v>496</v>
      </c>
      <c r="D669">
        <f>SUMIF($C$950:$C$969,$H$657,D$950:D$969)</f>
        <v>0</v>
      </c>
      <c r="E669">
        <f t="shared" ref="E669:AC669" si="166">SUMIF($C$950:$C$969,$H$657,E$950:E$969)</f>
        <v>0</v>
      </c>
      <c r="F669">
        <f t="shared" si="166"/>
        <v>0</v>
      </c>
      <c r="G669">
        <f t="shared" si="166"/>
        <v>0</v>
      </c>
      <c r="H669">
        <f t="shared" si="166"/>
        <v>0</v>
      </c>
      <c r="I669">
        <f t="shared" ca="1" si="166"/>
        <v>0</v>
      </c>
      <c r="J669">
        <f t="shared" ca="1" si="166"/>
        <v>0</v>
      </c>
      <c r="K669">
        <f t="shared" ca="1" si="166"/>
        <v>1691.7433458531966</v>
      </c>
      <c r="L669">
        <f t="shared" ca="1" si="166"/>
        <v>1691.7433458531966</v>
      </c>
      <c r="M669">
        <f t="shared" ca="1" si="166"/>
        <v>1691.7433458531966</v>
      </c>
      <c r="N669">
        <f t="shared" ca="1" si="166"/>
        <v>1691.7433458531966</v>
      </c>
      <c r="O669">
        <f t="shared" ca="1" si="166"/>
        <v>5046.0461461640862</v>
      </c>
      <c r="P669">
        <f t="shared" ca="1" si="166"/>
        <v>5016.8622547685818</v>
      </c>
      <c r="Q669">
        <f t="shared" ca="1" si="166"/>
        <v>4977.9503995745754</v>
      </c>
      <c r="R669">
        <f t="shared" ca="1" si="166"/>
        <v>4939.038544380569</v>
      </c>
      <c r="S669">
        <f t="shared" ca="1" si="166"/>
        <v>6999.5221594907471</v>
      </c>
      <c r="T669">
        <f t="shared" ca="1" si="166"/>
        <v>5767.313411680545</v>
      </c>
      <c r="U669">
        <f t="shared" ca="1" si="166"/>
        <v>5767.313411680545</v>
      </c>
      <c r="V669">
        <f t="shared" ca="1" si="166"/>
        <v>5767.313411680545</v>
      </c>
      <c r="W669">
        <f t="shared" ca="1" si="166"/>
        <v>5767.313411680545</v>
      </c>
      <c r="X669">
        <f t="shared" ca="1" si="166"/>
        <v>5199.5606208035515</v>
      </c>
      <c r="Y669">
        <f t="shared" ca="1" si="166"/>
        <v>4631.807829926559</v>
      </c>
      <c r="Z669">
        <f t="shared" ca="1" si="166"/>
        <v>4631.807829926559</v>
      </c>
      <c r="AA669">
        <f t="shared" ca="1" si="166"/>
        <v>4631.807829926559</v>
      </c>
      <c r="AB669">
        <f t="shared" ca="1" si="166"/>
        <v>4631.807829926559</v>
      </c>
      <c r="AC669">
        <f t="shared" ca="1" si="166"/>
        <v>4631.807829926559</v>
      </c>
    </row>
    <row r="671" spans="2:29">
      <c r="C671" s="4" t="s">
        <v>260</v>
      </c>
    </row>
    <row r="673" spans="2:29">
      <c r="B673" s="11" t="s">
        <v>275</v>
      </c>
      <c r="C673" s="11" t="s">
        <v>254</v>
      </c>
      <c r="D673">
        <f>SUMIF($C$634:$C$653,$H$656,D$610:D$629)</f>
        <v>0</v>
      </c>
      <c r="E673">
        <f t="shared" ref="E673:AC673" si="167">SUMIF($C$634:$C$653,$H$656,E$610:E$629)</f>
        <v>0</v>
      </c>
      <c r="F673">
        <f t="shared" si="167"/>
        <v>75.703206024444654</v>
      </c>
      <c r="G673">
        <f t="shared" si="167"/>
        <v>457.80517748466798</v>
      </c>
      <c r="H673">
        <f t="shared" si="167"/>
        <v>1922.0247133753612</v>
      </c>
      <c r="I673">
        <f t="shared" si="167"/>
        <v>3154.3135322827429</v>
      </c>
      <c r="J673">
        <f t="shared" si="167"/>
        <v>3644.0335876756112</v>
      </c>
      <c r="K673">
        <f t="shared" si="167"/>
        <v>5986.2987508304568</v>
      </c>
      <c r="L673">
        <f t="shared" si="167"/>
        <v>6919.2889681512988</v>
      </c>
      <c r="M673">
        <f t="shared" si="167"/>
        <v>10981.156440530671</v>
      </c>
      <c r="N673">
        <f t="shared" si="167"/>
        <v>11222.131698444271</v>
      </c>
      <c r="O673">
        <f t="shared" si="167"/>
        <v>13261.686037610511</v>
      </c>
      <c r="P673">
        <f t="shared" si="167"/>
        <v>14232.988452186544</v>
      </c>
      <c r="Q673">
        <f t="shared" si="167"/>
        <v>18929.746838458821</v>
      </c>
      <c r="R673">
        <f t="shared" si="167"/>
        <v>18579.063291250448</v>
      </c>
      <c r="S673">
        <f t="shared" si="167"/>
        <v>18020.215849371169</v>
      </c>
      <c r="T673">
        <f t="shared" ca="1" si="167"/>
        <v>0</v>
      </c>
      <c r="U673">
        <f t="shared" ca="1" si="167"/>
        <v>0</v>
      </c>
      <c r="V673">
        <f t="shared" ca="1" si="167"/>
        <v>0</v>
      </c>
      <c r="W673">
        <f t="shared" ca="1" si="167"/>
        <v>0</v>
      </c>
      <c r="X673">
        <f t="shared" ca="1" si="167"/>
        <v>0</v>
      </c>
      <c r="Y673">
        <f t="shared" ca="1" si="167"/>
        <v>0</v>
      </c>
      <c r="Z673">
        <f t="shared" ca="1" si="167"/>
        <v>0</v>
      </c>
      <c r="AA673">
        <f t="shared" ca="1" si="167"/>
        <v>109.35011703642387</v>
      </c>
      <c r="AB673">
        <f t="shared" ca="1" si="167"/>
        <v>557.00215865428402</v>
      </c>
      <c r="AC673">
        <f t="shared" ca="1" si="167"/>
        <v>2357.520179482151</v>
      </c>
    </row>
    <row r="674" spans="2:29">
      <c r="B674" s="11" t="s">
        <v>276</v>
      </c>
      <c r="C674" s="11" t="s">
        <v>254</v>
      </c>
      <c r="D674">
        <f>SUMIF($C$634:$C$653,$H$657,D$610:D$629)</f>
        <v>0</v>
      </c>
      <c r="E674">
        <f t="shared" ref="E674:AC674" si="168">SUMIF($C$634:$C$653,$H$657,E$610:E$629)</f>
        <v>0</v>
      </c>
      <c r="F674">
        <f t="shared" si="168"/>
        <v>0</v>
      </c>
      <c r="G674">
        <f t="shared" si="168"/>
        <v>0</v>
      </c>
      <c r="H674">
        <f t="shared" si="168"/>
        <v>0</v>
      </c>
      <c r="I674">
        <f t="shared" si="168"/>
        <v>0</v>
      </c>
      <c r="J674">
        <f t="shared" si="168"/>
        <v>0</v>
      </c>
      <c r="K674">
        <f t="shared" si="168"/>
        <v>0</v>
      </c>
      <c r="L674">
        <f t="shared" si="168"/>
        <v>0</v>
      </c>
      <c r="M674">
        <f t="shared" si="168"/>
        <v>0</v>
      </c>
      <c r="N674">
        <f t="shared" si="168"/>
        <v>0</v>
      </c>
      <c r="O674">
        <f t="shared" si="168"/>
        <v>0</v>
      </c>
      <c r="P674">
        <f t="shared" si="168"/>
        <v>0</v>
      </c>
      <c r="Q674">
        <f t="shared" si="168"/>
        <v>0</v>
      </c>
      <c r="R674">
        <f t="shared" si="168"/>
        <v>0</v>
      </c>
      <c r="S674">
        <f t="shared" si="168"/>
        <v>0</v>
      </c>
      <c r="T674">
        <f t="shared" si="168"/>
        <v>0</v>
      </c>
      <c r="U674">
        <f t="shared" si="168"/>
        <v>0</v>
      </c>
      <c r="V674">
        <f t="shared" si="168"/>
        <v>0</v>
      </c>
      <c r="W674">
        <f t="shared" si="168"/>
        <v>0</v>
      </c>
      <c r="X674">
        <f t="shared" si="168"/>
        <v>0</v>
      </c>
      <c r="Y674">
        <f t="shared" si="168"/>
        <v>0</v>
      </c>
      <c r="Z674">
        <f t="shared" si="168"/>
        <v>0</v>
      </c>
      <c r="AA674">
        <f t="shared" si="168"/>
        <v>0</v>
      </c>
      <c r="AB674">
        <f t="shared" si="168"/>
        <v>0</v>
      </c>
      <c r="AC674">
        <f t="shared" si="168"/>
        <v>0</v>
      </c>
    </row>
    <row r="676" spans="2:29">
      <c r="C676" s="4" t="s">
        <v>277</v>
      </c>
      <c r="F676" s="11" t="s">
        <v>256</v>
      </c>
      <c r="H676" s="36" t="str">
        <f>'Costs graphs'!AY122</f>
        <v>Existing coal Large</v>
      </c>
      <c r="I676" s="21"/>
      <c r="J676" s="36"/>
    </row>
    <row r="678" spans="2:29">
      <c r="C678" s="11" t="s">
        <v>258</v>
      </c>
      <c r="D678">
        <f t="shared" ref="D678:AC678" ca="1" si="169">SUMIF($C$634:$C$653,$H$676,D$470:D$489)</f>
        <v>0</v>
      </c>
      <c r="E678">
        <f t="shared" ca="1" si="169"/>
        <v>0</v>
      </c>
      <c r="F678">
        <f t="shared" ca="1" si="169"/>
        <v>0</v>
      </c>
      <c r="G678">
        <f t="shared" ca="1" si="169"/>
        <v>0</v>
      </c>
      <c r="H678">
        <f t="shared" ca="1" si="169"/>
        <v>0</v>
      </c>
      <c r="I678">
        <f t="shared" ca="1" si="169"/>
        <v>0</v>
      </c>
      <c r="J678">
        <f t="shared" ca="1" si="169"/>
        <v>0</v>
      </c>
      <c r="K678">
        <f t="shared" ca="1" si="169"/>
        <v>0</v>
      </c>
      <c r="L678">
        <f t="shared" ca="1" si="169"/>
        <v>0</v>
      </c>
      <c r="M678">
        <f t="shared" ca="1" si="169"/>
        <v>0</v>
      </c>
      <c r="N678">
        <f t="shared" ca="1" si="169"/>
        <v>0</v>
      </c>
      <c r="O678">
        <f t="shared" ca="1" si="169"/>
        <v>0</v>
      </c>
      <c r="P678">
        <f t="shared" ca="1" si="169"/>
        <v>0</v>
      </c>
      <c r="Q678">
        <f t="shared" ca="1" si="169"/>
        <v>0</v>
      </c>
      <c r="R678">
        <f t="shared" ca="1" si="169"/>
        <v>0</v>
      </c>
      <c r="S678">
        <f t="shared" ca="1" si="169"/>
        <v>0</v>
      </c>
      <c r="T678">
        <f t="shared" ca="1" si="169"/>
        <v>0</v>
      </c>
      <c r="U678">
        <f t="shared" ca="1" si="169"/>
        <v>0</v>
      </c>
      <c r="V678">
        <f t="shared" ca="1" si="169"/>
        <v>0</v>
      </c>
      <c r="W678">
        <f t="shared" ca="1" si="169"/>
        <v>0</v>
      </c>
      <c r="X678">
        <f t="shared" ca="1" si="169"/>
        <v>0</v>
      </c>
      <c r="Y678">
        <f t="shared" ca="1" si="169"/>
        <v>0</v>
      </c>
      <c r="Z678">
        <f t="shared" ca="1" si="169"/>
        <v>0</v>
      </c>
      <c r="AA678">
        <f t="shared" ca="1" si="169"/>
        <v>0</v>
      </c>
      <c r="AB678">
        <f t="shared" ca="1" si="169"/>
        <v>0</v>
      </c>
      <c r="AC678">
        <f t="shared" ca="1" si="169"/>
        <v>0</v>
      </c>
    </row>
    <row r="679" spans="2:29">
      <c r="C679" s="11" t="s">
        <v>64</v>
      </c>
      <c r="D679">
        <f t="shared" ref="D679:AC679" si="170">SUMIF($C$634:$C$653,$H$676,D$493:D$512)</f>
        <v>6048.8582920974877</v>
      </c>
      <c r="E679">
        <f t="shared" si="170"/>
        <v>6048.8582920974877</v>
      </c>
      <c r="F679">
        <f t="shared" si="170"/>
        <v>6048.8582920974877</v>
      </c>
      <c r="G679">
        <f t="shared" si="170"/>
        <v>6048.8582920974877</v>
      </c>
      <c r="H679">
        <f t="shared" si="170"/>
        <v>6048.8582920974877</v>
      </c>
      <c r="I679">
        <f t="shared" ca="1" si="170"/>
        <v>6048.8582920974877</v>
      </c>
      <c r="J679">
        <f t="shared" ca="1" si="170"/>
        <v>6048.8582920974877</v>
      </c>
      <c r="K679">
        <f t="shared" ca="1" si="170"/>
        <v>6048.8582920974877</v>
      </c>
      <c r="L679">
        <f t="shared" ca="1" si="170"/>
        <v>6048.8582920974877</v>
      </c>
      <c r="M679">
        <f t="shared" ca="1" si="170"/>
        <v>6048.8582920974877</v>
      </c>
      <c r="N679">
        <f t="shared" ca="1" si="170"/>
        <v>6048.8582920974877</v>
      </c>
      <c r="O679">
        <f t="shared" ca="1" si="170"/>
        <v>6048.8582920974877</v>
      </c>
      <c r="P679">
        <f t="shared" ca="1" si="170"/>
        <v>6048.8582920974877</v>
      </c>
      <c r="Q679">
        <f t="shared" ca="1" si="170"/>
        <v>6048.8582920974877</v>
      </c>
      <c r="R679">
        <f t="shared" ca="1" si="170"/>
        <v>6048.8582920974877</v>
      </c>
      <c r="S679">
        <f t="shared" ca="1" si="170"/>
        <v>6048.8582920974877</v>
      </c>
      <c r="T679">
        <f t="shared" ca="1" si="170"/>
        <v>6048.8582920974877</v>
      </c>
      <c r="U679">
        <f t="shared" ca="1" si="170"/>
        <v>6048.8582920974877</v>
      </c>
      <c r="V679">
        <f t="shared" ca="1" si="170"/>
        <v>6048.8582920974877</v>
      </c>
      <c r="W679">
        <f t="shared" ca="1" si="170"/>
        <v>5822.5546442686946</v>
      </c>
      <c r="X679">
        <f t="shared" ca="1" si="170"/>
        <v>5596.2509964399023</v>
      </c>
      <c r="Y679">
        <f t="shared" ca="1" si="170"/>
        <v>5313.3714366539116</v>
      </c>
      <c r="Z679">
        <f t="shared" ca="1" si="170"/>
        <v>5030.4918768679208</v>
      </c>
      <c r="AA679">
        <f t="shared" ca="1" si="170"/>
        <v>4688.0587255480368</v>
      </c>
      <c r="AB679">
        <f t="shared" ca="1" si="170"/>
        <v>4003.1924229082706</v>
      </c>
      <c r="AC679">
        <f t="shared" ca="1" si="170"/>
        <v>3660.759271588387</v>
      </c>
    </row>
    <row r="680" spans="2:29">
      <c r="C680" s="11" t="s">
        <v>65</v>
      </c>
      <c r="D680">
        <f t="shared" ref="D680:AC680" si="171">SUMIF($C$634:$C$653,$H$676,D$516:D$535)</f>
        <v>1683.8151698604067</v>
      </c>
      <c r="E680">
        <f t="shared" si="171"/>
        <v>1683.8151698604067</v>
      </c>
      <c r="F680">
        <f t="shared" si="171"/>
        <v>1739.2841301648871</v>
      </c>
      <c r="G680">
        <f t="shared" si="171"/>
        <v>1758.6063755933469</v>
      </c>
      <c r="H680">
        <f t="shared" si="171"/>
        <v>1758.6063755933469</v>
      </c>
      <c r="I680">
        <f t="shared" ca="1" si="171"/>
        <v>1800.1237409377582</v>
      </c>
      <c r="J680">
        <f t="shared" ca="1" si="171"/>
        <v>1827.2975999015682</v>
      </c>
      <c r="K680">
        <f t="shared" ca="1" si="171"/>
        <v>1857.9832761077053</v>
      </c>
      <c r="L680">
        <f t="shared" ca="1" si="171"/>
        <v>1881.8811253902302</v>
      </c>
      <c r="M680">
        <f t="shared" ca="1" si="171"/>
        <v>1900.7113850665073</v>
      </c>
      <c r="N680">
        <f t="shared" ca="1" si="171"/>
        <v>1900.7113850665073</v>
      </c>
      <c r="O680">
        <f t="shared" ca="1" si="171"/>
        <v>1900.7113850665073</v>
      </c>
      <c r="P680">
        <f t="shared" ca="1" si="171"/>
        <v>1900.7113850665073</v>
      </c>
      <c r="Q680">
        <f t="shared" ca="1" si="171"/>
        <v>1900.7113850665073</v>
      </c>
      <c r="R680">
        <f t="shared" ca="1" si="171"/>
        <v>1900.7113850665073</v>
      </c>
      <c r="S680">
        <f t="shared" ca="1" si="171"/>
        <v>1900.7113850665073</v>
      </c>
      <c r="T680">
        <f t="shared" ca="1" si="171"/>
        <v>1900.7113850665073</v>
      </c>
      <c r="U680">
        <f t="shared" ca="1" si="171"/>
        <v>1900.7113850665073</v>
      </c>
      <c r="V680">
        <f t="shared" ca="1" si="171"/>
        <v>1856.2780733494371</v>
      </c>
      <c r="W680">
        <f t="shared" ca="1" si="171"/>
        <v>1802.0819189832125</v>
      </c>
      <c r="X680">
        <f t="shared" ca="1" si="171"/>
        <v>1758.4901925243644</v>
      </c>
      <c r="Y680">
        <f t="shared" ca="1" si="171"/>
        <v>1669.6019471855252</v>
      </c>
      <c r="Z680">
        <f t="shared" ca="1" si="171"/>
        <v>1580.7137018466856</v>
      </c>
      <c r="AA680">
        <f t="shared" ca="1" si="171"/>
        <v>1473.1121416996696</v>
      </c>
      <c r="AB680">
        <f t="shared" ca="1" si="171"/>
        <v>1257.9090214056378</v>
      </c>
      <c r="AC680">
        <f t="shared" ca="1" si="171"/>
        <v>1150.3074612586215</v>
      </c>
    </row>
    <row r="681" spans="2:29">
      <c r="C681" s="11" t="s">
        <v>259</v>
      </c>
      <c r="D681">
        <f t="shared" ref="D681:AC681" si="172">SUMIF($C$634:$C$653,$H$676,D$539:D$558)</f>
        <v>8523.1750722774159</v>
      </c>
      <c r="E681">
        <f t="shared" si="172"/>
        <v>10115.401768211486</v>
      </c>
      <c r="F681">
        <f t="shared" si="172"/>
        <v>12093.306174004372</v>
      </c>
      <c r="G681">
        <f t="shared" si="172"/>
        <v>12971.008064332525</v>
      </c>
      <c r="H681">
        <f t="shared" si="172"/>
        <v>12971.008064332525</v>
      </c>
      <c r="I681">
        <f t="shared" ca="1" si="172"/>
        <v>13353.098874788571</v>
      </c>
      <c r="J681">
        <f t="shared" ca="1" si="172"/>
        <v>13631.686431701064</v>
      </c>
      <c r="K681">
        <f t="shared" ca="1" si="172"/>
        <v>13938.910842200781</v>
      </c>
      <c r="L681">
        <f t="shared" ca="1" si="172"/>
        <v>14197.512338749553</v>
      </c>
      <c r="M681">
        <f t="shared" ca="1" si="172"/>
        <v>14419.683183713039</v>
      </c>
      <c r="N681">
        <f t="shared" ca="1" si="172"/>
        <v>14499.792534733666</v>
      </c>
      <c r="O681">
        <f t="shared" ca="1" si="172"/>
        <v>14579.901885754294</v>
      </c>
      <c r="P681">
        <f t="shared" ca="1" si="172"/>
        <v>14660.011236774921</v>
      </c>
      <c r="Q681">
        <f t="shared" ca="1" si="172"/>
        <v>14740.120587795551</v>
      </c>
      <c r="R681">
        <f t="shared" ca="1" si="172"/>
        <v>14820.229938816179</v>
      </c>
      <c r="S681">
        <f t="shared" ca="1" si="172"/>
        <v>14900.339289836807</v>
      </c>
      <c r="T681">
        <f t="shared" ca="1" si="172"/>
        <v>14980.448640857434</v>
      </c>
      <c r="U681">
        <f t="shared" ca="1" si="172"/>
        <v>15060.557991878062</v>
      </c>
      <c r="V681">
        <f t="shared" ca="1" si="172"/>
        <v>14786.720922133742</v>
      </c>
      <c r="W681">
        <f t="shared" ca="1" si="172"/>
        <v>14430.958160453863</v>
      </c>
      <c r="X681">
        <f t="shared" ca="1" si="172"/>
        <v>14155.993518194417</v>
      </c>
      <c r="Y681">
        <f t="shared" ca="1" si="172"/>
        <v>13510.804462219186</v>
      </c>
      <c r="Z681">
        <f t="shared" ca="1" si="172"/>
        <v>12858.122654105562</v>
      </c>
      <c r="AA681">
        <f t="shared" ca="1" si="172"/>
        <v>12044.938208080182</v>
      </c>
      <c r="AB681">
        <f t="shared" ca="1" si="172"/>
        <v>10338.341658396081</v>
      </c>
      <c r="AC681">
        <f t="shared" ca="1" si="172"/>
        <v>9502.4817782676801</v>
      </c>
    </row>
    <row r="682" spans="2:29">
      <c r="C682" s="11" t="s">
        <v>496</v>
      </c>
      <c r="D682">
        <f>SUMIF($C$950:$C$969,$H$676,D$950:D$969)</f>
        <v>0</v>
      </c>
      <c r="E682">
        <f t="shared" ref="E682:AC682" si="173">SUMIF($C$950:$C$969,$H$676,E$950:E$969)</f>
        <v>0</v>
      </c>
      <c r="F682">
        <f t="shared" si="173"/>
        <v>0</v>
      </c>
      <c r="G682">
        <f t="shared" si="173"/>
        <v>0</v>
      </c>
      <c r="H682">
        <f t="shared" si="173"/>
        <v>0</v>
      </c>
      <c r="I682">
        <f t="shared" ca="1" si="173"/>
        <v>0</v>
      </c>
      <c r="J682">
        <f t="shared" ca="1" si="173"/>
        <v>0</v>
      </c>
      <c r="K682">
        <f t="shared" ca="1" si="173"/>
        <v>22548.959202984657</v>
      </c>
      <c r="L682">
        <f t="shared" ca="1" si="173"/>
        <v>22838.989600696103</v>
      </c>
      <c r="M682">
        <f t="shared" ca="1" si="173"/>
        <v>23067.518437678682</v>
      </c>
      <c r="N682">
        <f t="shared" ca="1" si="173"/>
        <v>23067.518437678682</v>
      </c>
      <c r="O682">
        <f t="shared" ca="1" si="173"/>
        <v>69202.555313036049</v>
      </c>
      <c r="P682">
        <f t="shared" ca="1" si="173"/>
        <v>69202.555313036049</v>
      </c>
      <c r="Q682">
        <f t="shared" ca="1" si="173"/>
        <v>69202.555313036049</v>
      </c>
      <c r="R682">
        <f t="shared" ca="1" si="173"/>
        <v>69202.555313036049</v>
      </c>
      <c r="S682">
        <f t="shared" ca="1" si="173"/>
        <v>115337.59218839342</v>
      </c>
      <c r="T682">
        <f t="shared" ca="1" si="173"/>
        <v>115337.59218839342</v>
      </c>
      <c r="U682">
        <f t="shared" ca="1" si="173"/>
        <v>115337.59218839342</v>
      </c>
      <c r="V682">
        <f t="shared" ca="1" si="173"/>
        <v>112641.32213568162</v>
      </c>
      <c r="W682">
        <f t="shared" ca="1" si="173"/>
        <v>109352.63033345299</v>
      </c>
      <c r="X682">
        <f t="shared" ca="1" si="173"/>
        <v>106707.42874808832</v>
      </c>
      <c r="Y682">
        <f t="shared" ca="1" si="173"/>
        <v>101313.57659789764</v>
      </c>
      <c r="Z682">
        <f t="shared" ca="1" si="173"/>
        <v>95919.724447706918</v>
      </c>
      <c r="AA682">
        <f t="shared" ca="1" si="173"/>
        <v>89390.324476423455</v>
      </c>
      <c r="AB682">
        <f t="shared" ca="1" si="173"/>
        <v>76331.524533856515</v>
      </c>
      <c r="AC682">
        <f t="shared" ca="1" si="173"/>
        <v>69802.124562573023</v>
      </c>
    </row>
    <row r="683" spans="2:29">
      <c r="C683" s="11" t="s">
        <v>254</v>
      </c>
      <c r="D683">
        <f t="shared" ref="D683:AC683" si="174">SUMIF($C$634:$C$653,$H$676,D$610:D$629)</f>
        <v>0</v>
      </c>
      <c r="E683">
        <f t="shared" si="174"/>
        <v>0</v>
      </c>
      <c r="F683">
        <f t="shared" si="174"/>
        <v>0</v>
      </c>
      <c r="G683">
        <f t="shared" si="174"/>
        <v>0</v>
      </c>
      <c r="H683">
        <f t="shared" si="174"/>
        <v>0</v>
      </c>
      <c r="I683">
        <f t="shared" si="174"/>
        <v>0</v>
      </c>
      <c r="J683">
        <f t="shared" si="174"/>
        <v>0</v>
      </c>
      <c r="K683">
        <f t="shared" si="174"/>
        <v>0</v>
      </c>
      <c r="L683">
        <f t="shared" si="174"/>
        <v>0</v>
      </c>
      <c r="M683">
        <f t="shared" si="174"/>
        <v>0</v>
      </c>
      <c r="N683">
        <f t="shared" si="174"/>
        <v>0</v>
      </c>
      <c r="O683">
        <f t="shared" si="174"/>
        <v>0</v>
      </c>
      <c r="P683">
        <f t="shared" si="174"/>
        <v>0</v>
      </c>
      <c r="Q683">
        <f t="shared" si="174"/>
        <v>0</v>
      </c>
      <c r="R683">
        <f t="shared" si="174"/>
        <v>0</v>
      </c>
      <c r="S683">
        <f t="shared" si="174"/>
        <v>0</v>
      </c>
      <c r="T683">
        <f t="shared" si="174"/>
        <v>0</v>
      </c>
      <c r="U683">
        <f t="shared" si="174"/>
        <v>0</v>
      </c>
      <c r="V683">
        <f t="shared" si="174"/>
        <v>0</v>
      </c>
      <c r="W683">
        <f t="shared" si="174"/>
        <v>0</v>
      </c>
      <c r="X683">
        <f t="shared" si="174"/>
        <v>0</v>
      </c>
      <c r="Y683">
        <f t="shared" si="174"/>
        <v>0</v>
      </c>
      <c r="Z683">
        <f t="shared" si="174"/>
        <v>0</v>
      </c>
      <c r="AA683">
        <f t="shared" si="174"/>
        <v>0</v>
      </c>
      <c r="AB683">
        <f t="shared" si="174"/>
        <v>0</v>
      </c>
      <c r="AC683">
        <f t="shared" si="174"/>
        <v>0</v>
      </c>
    </row>
    <row r="688" spans="2:29">
      <c r="C688" s="4" t="s">
        <v>138</v>
      </c>
    </row>
    <row r="690" spans="3:29">
      <c r="C690" s="4" t="s">
        <v>149</v>
      </c>
    </row>
    <row r="691" spans="3:29">
      <c r="C691" t="str">
        <f>C8</f>
        <v>Existing coal Large</v>
      </c>
      <c r="D691">
        <f>'Fuel Costs'!$D171*D367</f>
        <v>204.35210617228404</v>
      </c>
      <c r="E691">
        <f>'Fuel Costs'!$D171*E367</f>
        <v>204.35210617228404</v>
      </c>
      <c r="F691">
        <f>'Fuel Costs'!$D171*F367</f>
        <v>211.08396075365542</v>
      </c>
      <c r="G691">
        <f>'Fuel Costs'!$D171*G367</f>
        <v>213.4289577699318</v>
      </c>
      <c r="H691">
        <f>'Fuel Costs'!$D171*H367</f>
        <v>213.4289577699318</v>
      </c>
      <c r="I691">
        <f ca="1">'Fuel Costs'!$D171*I367</f>
        <v>218.46761118196753</v>
      </c>
      <c r="J691">
        <f ca="1">'Fuel Costs'!$D171*J367</f>
        <v>221.76550005449948</v>
      </c>
      <c r="K691">
        <f ca="1">'Fuel Costs'!$D171*K367</f>
        <v>225.48959202984656</v>
      </c>
      <c r="L691">
        <f ca="1">'Fuel Costs'!$D171*L367</f>
        <v>228.38989600696104</v>
      </c>
      <c r="M691">
        <f ca="1">'Fuel Costs'!$D171*M367</f>
        <v>230.67518437678683</v>
      </c>
      <c r="N691">
        <f ca="1">'Fuel Costs'!$D171*N367</f>
        <v>230.67518437678683</v>
      </c>
      <c r="O691">
        <f ca="1">'Fuel Costs'!$D171*O367</f>
        <v>230.67518437678683</v>
      </c>
      <c r="P691">
        <f ca="1">'Fuel Costs'!$D171*P367</f>
        <v>230.67518437678683</v>
      </c>
      <c r="Q691">
        <f ca="1">'Fuel Costs'!$D171*Q367</f>
        <v>230.67518437678683</v>
      </c>
      <c r="R691">
        <f ca="1">'Fuel Costs'!$D171*R367</f>
        <v>230.67518437678683</v>
      </c>
      <c r="S691">
        <f ca="1">'Fuel Costs'!$D171*S367</f>
        <v>230.67518437678683</v>
      </c>
      <c r="T691">
        <f ca="1">'Fuel Costs'!$D171*T367</f>
        <v>230.67518437678683</v>
      </c>
      <c r="U691">
        <f ca="1">'Fuel Costs'!$D171*U367</f>
        <v>230.67518437678683</v>
      </c>
      <c r="V691">
        <f ca="1">'Fuel Costs'!$D171*V367</f>
        <v>225.28264427136324</v>
      </c>
      <c r="W691">
        <f ca="1">'Fuel Costs'!$D171*W367</f>
        <v>218.70526066690599</v>
      </c>
      <c r="X691">
        <f ca="1">'Fuel Costs'!$D171*X367</f>
        <v>213.41485749617664</v>
      </c>
      <c r="Y691">
        <f ca="1">'Fuel Costs'!$D171*Y367</f>
        <v>202.62715319579527</v>
      </c>
      <c r="Z691">
        <f ca="1">'Fuel Costs'!$D171*Z367</f>
        <v>191.83944889541382</v>
      </c>
      <c r="AA691">
        <f ca="1">'Fuel Costs'!$D171*AA367</f>
        <v>178.78064895284692</v>
      </c>
      <c r="AB691">
        <f ca="1">'Fuel Costs'!$D171*AB367</f>
        <v>152.66304906771302</v>
      </c>
      <c r="AC691">
        <f ca="1">'Fuel Costs'!$D171*AC367</f>
        <v>139.60424912514605</v>
      </c>
    </row>
    <row r="692" spans="3:29">
      <c r="C692" t="str">
        <f t="shared" ref="C692:C710" si="175">C9</f>
        <v>Existing coal Small</v>
      </c>
      <c r="D692">
        <f>'Fuel Costs'!$D172*D368</f>
        <v>14.09762101880631</v>
      </c>
      <c r="E692">
        <f>'Fuel Costs'!$D172*E368</f>
        <v>14.09762101880631</v>
      </c>
      <c r="F692">
        <f>'Fuel Costs'!$D172*F368</f>
        <v>14.09762101880631</v>
      </c>
      <c r="G692">
        <f>'Fuel Costs'!$D172*G368</f>
        <v>14.09762101880631</v>
      </c>
      <c r="H692">
        <f>'Fuel Costs'!$D172*H368</f>
        <v>14.09762101880631</v>
      </c>
      <c r="I692">
        <f ca="1">'Fuel Costs'!$D172*I368</f>
        <v>15.869407491973398</v>
      </c>
      <c r="J692">
        <f ca="1">'Fuel Costs'!$D172*J368</f>
        <v>16.917433458531967</v>
      </c>
      <c r="K692">
        <f ca="1">'Fuel Costs'!$D172*K368</f>
        <v>16.917433458531967</v>
      </c>
      <c r="L692">
        <f ca="1">'Fuel Costs'!$D172*L368</f>
        <v>16.917433458531967</v>
      </c>
      <c r="M692">
        <f ca="1">'Fuel Costs'!$D172*M368</f>
        <v>16.917433458531967</v>
      </c>
      <c r="N692">
        <f ca="1">'Fuel Costs'!$D172*N368</f>
        <v>16.917433458531967</v>
      </c>
      <c r="O692">
        <f ca="1">'Fuel Costs'!$D172*O368</f>
        <v>16.820153820546953</v>
      </c>
      <c r="P692">
        <f ca="1">'Fuel Costs'!$D172*P368</f>
        <v>16.722874182561938</v>
      </c>
      <c r="Q692">
        <f ca="1">'Fuel Costs'!$D172*Q368</f>
        <v>16.593167998581919</v>
      </c>
      <c r="R692">
        <f ca="1">'Fuel Costs'!$D172*R368</f>
        <v>16.463461814601896</v>
      </c>
      <c r="S692">
        <f ca="1">'Fuel Costs'!$D172*S368</f>
        <v>13.999044318981493</v>
      </c>
      <c r="T692">
        <f ca="1">'Fuel Costs'!$D172*T368</f>
        <v>11.534626823361091</v>
      </c>
      <c r="U692">
        <f ca="1">'Fuel Costs'!$D172*U368</f>
        <v>11.534626823361091</v>
      </c>
      <c r="V692">
        <f ca="1">'Fuel Costs'!$D172*V368</f>
        <v>11.534626823361091</v>
      </c>
      <c r="W692">
        <f ca="1">'Fuel Costs'!$D172*W368</f>
        <v>11.534626823361091</v>
      </c>
      <c r="X692">
        <f ca="1">'Fuel Costs'!$D172*X368</f>
        <v>10.399121241607103</v>
      </c>
      <c r="Y692">
        <f ca="1">'Fuel Costs'!$D172*Y368</f>
        <v>9.2636156598531176</v>
      </c>
      <c r="Z692">
        <f ca="1">'Fuel Costs'!$D172*Z368</f>
        <v>9.2636156598531176</v>
      </c>
      <c r="AA692">
        <f ca="1">'Fuel Costs'!$D172*AA368</f>
        <v>9.2636156598531176</v>
      </c>
      <c r="AB692">
        <f ca="1">'Fuel Costs'!$D172*AB368</f>
        <v>9.2636156598531176</v>
      </c>
      <c r="AC692">
        <f ca="1">'Fuel Costs'!$D172*AC368</f>
        <v>9.2636156598531176</v>
      </c>
    </row>
    <row r="693" spans="3:29">
      <c r="C693" t="str">
        <f t="shared" si="175"/>
        <v>OCGT liquid fuels</v>
      </c>
      <c r="D693">
        <f>'Fuel Costs'!$D173*D369</f>
        <v>0.55054906452403418</v>
      </c>
      <c r="E693">
        <f>'Fuel Costs'!$D173*E369</f>
        <v>0.55054906452403418</v>
      </c>
      <c r="F693">
        <f>'Fuel Costs'!$D173*F369</f>
        <v>0.55054906452403418</v>
      </c>
      <c r="G693">
        <f>'Fuel Costs'!$D173*G369</f>
        <v>0.55054906452403418</v>
      </c>
      <c r="H693">
        <f>'Fuel Costs'!$D173*H369</f>
        <v>0.55054906452403418</v>
      </c>
      <c r="I693">
        <f ca="1">'Fuel Costs'!$D173*I369</f>
        <v>0.55054906452403418</v>
      </c>
      <c r="J693">
        <f ca="1">'Fuel Costs'!$D173*J369</f>
        <v>0.79829614355984957</v>
      </c>
      <c r="K693">
        <f ca="1">'Fuel Costs'!$D173*K369</f>
        <v>0.79829614355984957</v>
      </c>
      <c r="L693">
        <f ca="1">'Fuel Costs'!$D173*L369</f>
        <v>0.79829614355984957</v>
      </c>
      <c r="M693">
        <f ca="1">'Fuel Costs'!$D173*M369</f>
        <v>0.79829614355984957</v>
      </c>
      <c r="N693">
        <f ca="1">'Fuel Costs'!$D173*N369</f>
        <v>0.79829614355984957</v>
      </c>
      <c r="O693">
        <f ca="1">'Fuel Costs'!$D173*O369</f>
        <v>0.79829614355984957</v>
      </c>
      <c r="P693">
        <f ca="1">'Fuel Costs'!$D173*P369</f>
        <v>0.79829614355984957</v>
      </c>
      <c r="Q693">
        <f ca="1">'Fuel Costs'!$D173*Q369</f>
        <v>0.79829614355984957</v>
      </c>
      <c r="R693">
        <f ca="1">'Fuel Costs'!$D173*R369</f>
        <v>0.79829614355984957</v>
      </c>
      <c r="S693">
        <f ca="1">'Fuel Costs'!$D173*S369</f>
        <v>0.79829614355984957</v>
      </c>
      <c r="T693">
        <f ca="1">'Fuel Costs'!$D173*T369</f>
        <v>0.79829614355984957</v>
      </c>
      <c r="U693">
        <f ca="1">'Fuel Costs'!$D173*U369</f>
        <v>0.79829614355984957</v>
      </c>
      <c r="V693">
        <f ca="1">'Fuel Costs'!$D173*V369</f>
        <v>0.79829614355984957</v>
      </c>
      <c r="W693">
        <f ca="1">'Fuel Costs'!$D173*W369</f>
        <v>0.79829614355984957</v>
      </c>
      <c r="X693">
        <f ca="1">'Fuel Costs'!$D173*X369</f>
        <v>0.79829614355984957</v>
      </c>
      <c r="Y693">
        <f ca="1">'Fuel Costs'!$D173*Y369</f>
        <v>0.96346086291706012</v>
      </c>
      <c r="Z693">
        <f ca="1">'Fuel Costs'!$D173*Z369</f>
        <v>0.96346086291706012</v>
      </c>
      <c r="AA693">
        <f ca="1">'Fuel Costs'!$D173*AA369</f>
        <v>0.96346086291706012</v>
      </c>
      <c r="AB693">
        <f ca="1">'Fuel Costs'!$D173*AB369</f>
        <v>1.1836804887266736</v>
      </c>
      <c r="AC693">
        <f ca="1">'Fuel Costs'!$D173*AC369</f>
        <v>1.3646734936889497</v>
      </c>
    </row>
    <row r="694" spans="3:29">
      <c r="C694" t="str">
        <f t="shared" si="175"/>
        <v>PWR nuclear</v>
      </c>
      <c r="D694">
        <f>'Fuel Costs'!$D174*D370</f>
        <v>0</v>
      </c>
      <c r="E694">
        <f>'Fuel Costs'!$D174*E370</f>
        <v>0</v>
      </c>
      <c r="F694">
        <f>'Fuel Costs'!$D174*F370</f>
        <v>0</v>
      </c>
      <c r="G694">
        <f>'Fuel Costs'!$D174*G370</f>
        <v>0</v>
      </c>
      <c r="H694">
        <f>'Fuel Costs'!$D174*H370</f>
        <v>0</v>
      </c>
      <c r="I694">
        <f ca="1">'Fuel Costs'!$D174*I370</f>
        <v>0</v>
      </c>
      <c r="J694">
        <f ca="1">'Fuel Costs'!$D174*J370</f>
        <v>0</v>
      </c>
      <c r="K694">
        <f ca="1">'Fuel Costs'!$D174*K370</f>
        <v>0</v>
      </c>
      <c r="L694">
        <f ca="1">'Fuel Costs'!$D174*L370</f>
        <v>0</v>
      </c>
      <c r="M694">
        <f ca="1">'Fuel Costs'!$D174*M370</f>
        <v>0</v>
      </c>
      <c r="N694">
        <f ca="1">'Fuel Costs'!$D174*N370</f>
        <v>0</v>
      </c>
      <c r="O694">
        <f ca="1">'Fuel Costs'!$D174*O370</f>
        <v>0</v>
      </c>
      <c r="P694">
        <f ca="1">'Fuel Costs'!$D174*P370</f>
        <v>0</v>
      </c>
      <c r="Q694">
        <f ca="1">'Fuel Costs'!$D174*Q370</f>
        <v>0</v>
      </c>
      <c r="R694">
        <f ca="1">'Fuel Costs'!$D174*R370</f>
        <v>0</v>
      </c>
      <c r="S694">
        <f ca="1">'Fuel Costs'!$D174*S370</f>
        <v>0</v>
      </c>
      <c r="T694">
        <f ca="1">'Fuel Costs'!$D174*T370</f>
        <v>0</v>
      </c>
      <c r="U694">
        <f ca="1">'Fuel Costs'!$D174*U370</f>
        <v>0</v>
      </c>
      <c r="V694">
        <f ca="1">'Fuel Costs'!$D174*V370</f>
        <v>0</v>
      </c>
      <c r="W694">
        <f ca="1">'Fuel Costs'!$D174*W370</f>
        <v>0</v>
      </c>
      <c r="X694">
        <f ca="1">'Fuel Costs'!$D174*X370</f>
        <v>0</v>
      </c>
      <c r="Y694">
        <f ca="1">'Fuel Costs'!$D174*Y370</f>
        <v>0</v>
      </c>
      <c r="Z694">
        <f ca="1">'Fuel Costs'!$D174*Z370</f>
        <v>0</v>
      </c>
      <c r="AA694">
        <f ca="1">'Fuel Costs'!$D174*AA370</f>
        <v>0</v>
      </c>
      <c r="AB694">
        <f ca="1">'Fuel Costs'!$D174*AB370</f>
        <v>0</v>
      </c>
      <c r="AC694">
        <f ca="1">'Fuel Costs'!$D174*AC370</f>
        <v>0</v>
      </c>
    </row>
    <row r="695" spans="3:29">
      <c r="C695" t="str">
        <f t="shared" si="175"/>
        <v>Hydro</v>
      </c>
      <c r="D695">
        <f>'Fuel Costs'!$D175*D371</f>
        <v>0</v>
      </c>
      <c r="E695">
        <f>'Fuel Costs'!$D175*E371</f>
        <v>0</v>
      </c>
      <c r="F695">
        <f>'Fuel Costs'!$D175*F371</f>
        <v>0</v>
      </c>
      <c r="G695">
        <f>'Fuel Costs'!$D175*G371</f>
        <v>0</v>
      </c>
      <c r="H695">
        <f>'Fuel Costs'!$D175*H371</f>
        <v>0</v>
      </c>
      <c r="I695">
        <f ca="1">'Fuel Costs'!$D175*I371</f>
        <v>0</v>
      </c>
      <c r="J695">
        <f ca="1">'Fuel Costs'!$D175*J371</f>
        <v>0</v>
      </c>
      <c r="K695">
        <f ca="1">'Fuel Costs'!$D175*K371</f>
        <v>0</v>
      </c>
      <c r="L695">
        <f ca="1">'Fuel Costs'!$D175*L371</f>
        <v>0</v>
      </c>
      <c r="M695">
        <f ca="1">'Fuel Costs'!$D175*M371</f>
        <v>0</v>
      </c>
      <c r="N695">
        <f ca="1">'Fuel Costs'!$D175*N371</f>
        <v>0</v>
      </c>
      <c r="O695">
        <f ca="1">'Fuel Costs'!$D175*O371</f>
        <v>0</v>
      </c>
      <c r="P695">
        <f ca="1">'Fuel Costs'!$D175*P371</f>
        <v>0</v>
      </c>
      <c r="Q695">
        <f ca="1">'Fuel Costs'!$D175*Q371</f>
        <v>0</v>
      </c>
      <c r="R695">
        <f ca="1">'Fuel Costs'!$D175*R371</f>
        <v>0</v>
      </c>
      <c r="S695">
        <f ca="1">'Fuel Costs'!$D175*S371</f>
        <v>0</v>
      </c>
      <c r="T695">
        <f ca="1">'Fuel Costs'!$D175*T371</f>
        <v>0</v>
      </c>
      <c r="U695">
        <f ca="1">'Fuel Costs'!$D175*U371</f>
        <v>0</v>
      </c>
      <c r="V695">
        <f ca="1">'Fuel Costs'!$D175*V371</f>
        <v>0</v>
      </c>
      <c r="W695">
        <f ca="1">'Fuel Costs'!$D175*W371</f>
        <v>0</v>
      </c>
      <c r="X695">
        <f ca="1">'Fuel Costs'!$D175*X371</f>
        <v>0</v>
      </c>
      <c r="Y695">
        <f ca="1">'Fuel Costs'!$D175*Y371</f>
        <v>0</v>
      </c>
      <c r="Z695">
        <f ca="1">'Fuel Costs'!$D175*Z371</f>
        <v>0</v>
      </c>
      <c r="AA695">
        <f ca="1">'Fuel Costs'!$D175*AA371</f>
        <v>0</v>
      </c>
      <c r="AB695">
        <f ca="1">'Fuel Costs'!$D175*AB371</f>
        <v>0</v>
      </c>
      <c r="AC695">
        <f ca="1">'Fuel Costs'!$D175*AC371</f>
        <v>0</v>
      </c>
    </row>
    <row r="696" spans="3:29">
      <c r="C696" t="str">
        <f t="shared" si="175"/>
        <v>Landfill gas</v>
      </c>
      <c r="D696">
        <f>'Fuel Costs'!$D176*D372</f>
        <v>0</v>
      </c>
      <c r="E696">
        <f>'Fuel Costs'!$D176*E372</f>
        <v>0</v>
      </c>
      <c r="F696">
        <f>'Fuel Costs'!$D176*F372</f>
        <v>0</v>
      </c>
      <c r="G696">
        <f>'Fuel Costs'!$D176*G372</f>
        <v>0</v>
      </c>
      <c r="H696">
        <f>'Fuel Costs'!$D176*H372</f>
        <v>0</v>
      </c>
      <c r="I696">
        <f ca="1">'Fuel Costs'!$D176*I372</f>
        <v>0</v>
      </c>
      <c r="J696">
        <f ca="1">'Fuel Costs'!$D176*J372</f>
        <v>0</v>
      </c>
      <c r="K696">
        <f ca="1">'Fuel Costs'!$D176*K372</f>
        <v>0</v>
      </c>
      <c r="L696">
        <f ca="1">'Fuel Costs'!$D176*L372</f>
        <v>0</v>
      </c>
      <c r="M696">
        <f ca="1">'Fuel Costs'!$D176*M372</f>
        <v>0</v>
      </c>
      <c r="N696">
        <f ca="1">'Fuel Costs'!$D176*N372</f>
        <v>0</v>
      </c>
      <c r="O696">
        <f ca="1">'Fuel Costs'!$D176*O372</f>
        <v>0</v>
      </c>
      <c r="P696">
        <f ca="1">'Fuel Costs'!$D176*P372</f>
        <v>0</v>
      </c>
      <c r="Q696">
        <f ca="1">'Fuel Costs'!$D176*Q372</f>
        <v>0</v>
      </c>
      <c r="R696">
        <f ca="1">'Fuel Costs'!$D176*R372</f>
        <v>0</v>
      </c>
      <c r="S696">
        <f ca="1">'Fuel Costs'!$D176*S372</f>
        <v>0</v>
      </c>
      <c r="T696">
        <f ca="1">'Fuel Costs'!$D176*T372</f>
        <v>0</v>
      </c>
      <c r="U696">
        <f ca="1">'Fuel Costs'!$D176*U372</f>
        <v>0</v>
      </c>
      <c r="V696">
        <f ca="1">'Fuel Costs'!$D176*V372</f>
        <v>0</v>
      </c>
      <c r="W696">
        <f ca="1">'Fuel Costs'!$D176*W372</f>
        <v>0</v>
      </c>
      <c r="X696">
        <f ca="1">'Fuel Costs'!$D176*X372</f>
        <v>0</v>
      </c>
      <c r="Y696">
        <f ca="1">'Fuel Costs'!$D176*Y372</f>
        <v>0</v>
      </c>
      <c r="Z696">
        <f ca="1">'Fuel Costs'!$D176*Z372</f>
        <v>0</v>
      </c>
      <c r="AA696">
        <f ca="1">'Fuel Costs'!$D176*AA372</f>
        <v>0</v>
      </c>
      <c r="AB696">
        <f ca="1">'Fuel Costs'!$D176*AB372</f>
        <v>0</v>
      </c>
      <c r="AC696">
        <f ca="1">'Fuel Costs'!$D176*AC372</f>
        <v>0</v>
      </c>
    </row>
    <row r="697" spans="3:29">
      <c r="C697" t="str">
        <f t="shared" si="175"/>
        <v>Biomass</v>
      </c>
      <c r="D697">
        <f>'Fuel Costs'!$D177*D373</f>
        <v>0</v>
      </c>
      <c r="E697">
        <f>'Fuel Costs'!$D177*E373</f>
        <v>0</v>
      </c>
      <c r="F697">
        <f>'Fuel Costs'!$D177*F373</f>
        <v>0</v>
      </c>
      <c r="G697">
        <f>'Fuel Costs'!$D177*G373</f>
        <v>0</v>
      </c>
      <c r="H697">
        <f>'Fuel Costs'!$D177*H373</f>
        <v>0</v>
      </c>
      <c r="I697">
        <f ca="1">'Fuel Costs'!$D177*I373</f>
        <v>0</v>
      </c>
      <c r="J697">
        <f ca="1">'Fuel Costs'!$D177*J373</f>
        <v>0</v>
      </c>
      <c r="K697">
        <f ca="1">'Fuel Costs'!$D177*K373</f>
        <v>0</v>
      </c>
      <c r="L697">
        <f ca="1">'Fuel Costs'!$D177*L373</f>
        <v>0</v>
      </c>
      <c r="M697">
        <f ca="1">'Fuel Costs'!$D177*M373</f>
        <v>0</v>
      </c>
      <c r="N697">
        <f ca="1">'Fuel Costs'!$D177*N373</f>
        <v>0</v>
      </c>
      <c r="O697">
        <f ca="1">'Fuel Costs'!$D177*O373</f>
        <v>0</v>
      </c>
      <c r="P697">
        <f ca="1">'Fuel Costs'!$D177*P373</f>
        <v>0</v>
      </c>
      <c r="Q697">
        <f ca="1">'Fuel Costs'!$D177*Q373</f>
        <v>0</v>
      </c>
      <c r="R697">
        <f ca="1">'Fuel Costs'!$D177*R373</f>
        <v>0</v>
      </c>
      <c r="S697">
        <f ca="1">'Fuel Costs'!$D177*S373</f>
        <v>0</v>
      </c>
      <c r="T697">
        <f ca="1">'Fuel Costs'!$D177*T373</f>
        <v>0</v>
      </c>
      <c r="U697">
        <f ca="1">'Fuel Costs'!$D177*U373</f>
        <v>0</v>
      </c>
      <c r="V697">
        <f ca="1">'Fuel Costs'!$D177*V373</f>
        <v>0</v>
      </c>
      <c r="W697">
        <f ca="1">'Fuel Costs'!$D177*W373</f>
        <v>0</v>
      </c>
      <c r="X697">
        <f ca="1">'Fuel Costs'!$D177*X373</f>
        <v>0</v>
      </c>
      <c r="Y697">
        <f ca="1">'Fuel Costs'!$D177*Y373</f>
        <v>0</v>
      </c>
      <c r="Z697">
        <f ca="1">'Fuel Costs'!$D177*Z373</f>
        <v>0</v>
      </c>
      <c r="AA697">
        <f ca="1">'Fuel Costs'!$D177*AA373</f>
        <v>0</v>
      </c>
      <c r="AB697">
        <f ca="1">'Fuel Costs'!$D177*AB373</f>
        <v>0</v>
      </c>
      <c r="AC697">
        <f ca="1">'Fuel Costs'!$D177*AC373</f>
        <v>0</v>
      </c>
    </row>
    <row r="698" spans="3:29">
      <c r="C698" t="str">
        <f t="shared" si="175"/>
        <v>Supercritical coal</v>
      </c>
      <c r="D698">
        <f>'Fuel Costs'!$D178*D374</f>
        <v>0</v>
      </c>
      <c r="E698">
        <f>'Fuel Costs'!$D178*E374</f>
        <v>0</v>
      </c>
      <c r="F698">
        <f>'Fuel Costs'!$D178*F374</f>
        <v>0</v>
      </c>
      <c r="G698">
        <f>'Fuel Costs'!$D178*G374</f>
        <v>0</v>
      </c>
      <c r="H698">
        <f>'Fuel Costs'!$D178*H374</f>
        <v>0</v>
      </c>
      <c r="I698">
        <f ca="1">'Fuel Costs'!$D178*I374</f>
        <v>0</v>
      </c>
      <c r="J698">
        <f ca="1">'Fuel Costs'!$D178*J374</f>
        <v>0</v>
      </c>
      <c r="K698">
        <f ca="1">'Fuel Costs'!$D178*K374</f>
        <v>1.5822929501800578</v>
      </c>
      <c r="L698">
        <f ca="1">'Fuel Costs'!$D178*L374</f>
        <v>4.746878850540174</v>
      </c>
      <c r="M698">
        <f ca="1">'Fuel Costs'!$D178*M374</f>
        <v>9.934531727288773</v>
      </c>
      <c r="N698">
        <f ca="1">'Fuel Costs'!$D178*N374</f>
        <v>15.704873384365873</v>
      </c>
      <c r="O698">
        <f ca="1">'Fuel Costs'!$D178*O374</f>
        <v>21.490492704220181</v>
      </c>
      <c r="P698">
        <f ca="1">'Fuel Costs'!$D178*P374</f>
        <v>25.217163047650171</v>
      </c>
      <c r="Q698">
        <f ca="1">'Fuel Costs'!$D178*Q374</f>
        <v>27.446714330191551</v>
      </c>
      <c r="R698">
        <f ca="1">'Fuel Costs'!$D178*R374</f>
        <v>26.884455221255589</v>
      </c>
      <c r="S698">
        <f ca="1">'Fuel Costs'!$D178*S374</f>
        <v>26.180256418521111</v>
      </c>
      <c r="T698">
        <f ca="1">'Fuel Costs'!$D178*T374</f>
        <v>22.754212054475879</v>
      </c>
      <c r="U698">
        <f ca="1">'Fuel Costs'!$D178*U374</f>
        <v>20.45739671441147</v>
      </c>
      <c r="V698">
        <f ca="1">'Fuel Costs'!$D178*V374</f>
        <v>18.9875154021607</v>
      </c>
      <c r="W698">
        <f ca="1">'Fuel Costs'!$D178*W374</f>
        <v>18.9875154021607</v>
      </c>
      <c r="X698">
        <f ca="1">'Fuel Costs'!$D178*X374</f>
        <v>19.10750902014674</v>
      </c>
      <c r="Y698">
        <f ca="1">'Fuel Costs'!$D178*Y374</f>
        <v>25.102918356659657</v>
      </c>
      <c r="Z698">
        <f ca="1">'Fuel Costs'!$D178*Z374</f>
        <v>27.561657912910718</v>
      </c>
      <c r="AA698">
        <f ca="1">'Fuel Costs'!$D178*AA374</f>
        <v>30.866200746917645</v>
      </c>
      <c r="AB698">
        <f ca="1">'Fuel Costs'!$D178*AB374</f>
        <v>42.631142465836597</v>
      </c>
      <c r="AC698">
        <f ca="1">'Fuel Costs'!$D178*AC374</f>
        <v>43.87609867866091</v>
      </c>
    </row>
    <row r="699" spans="3:29">
      <c r="C699" t="str">
        <f t="shared" si="175"/>
        <v xml:space="preserve">Wind 30% </v>
      </c>
      <c r="D699">
        <f>'Fuel Costs'!$D179*D375</f>
        <v>0</v>
      </c>
      <c r="E699">
        <f>'Fuel Costs'!$D179*E375</f>
        <v>0</v>
      </c>
      <c r="F699">
        <f>'Fuel Costs'!$D179*F375</f>
        <v>0</v>
      </c>
      <c r="G699">
        <f>'Fuel Costs'!$D179*G375</f>
        <v>0</v>
      </c>
      <c r="H699">
        <f>'Fuel Costs'!$D179*H375</f>
        <v>0</v>
      </c>
      <c r="I699">
        <f ca="1">'Fuel Costs'!$D179*I375</f>
        <v>0</v>
      </c>
      <c r="J699">
        <f ca="1">'Fuel Costs'!$D179*J375</f>
        <v>0</v>
      </c>
      <c r="K699">
        <f ca="1">'Fuel Costs'!$D179*K375</f>
        <v>0</v>
      </c>
      <c r="L699">
        <f ca="1">'Fuel Costs'!$D179*L375</f>
        <v>0</v>
      </c>
      <c r="M699">
        <f ca="1">'Fuel Costs'!$D179*M375</f>
        <v>0</v>
      </c>
      <c r="N699">
        <f ca="1">'Fuel Costs'!$D179*N375</f>
        <v>0</v>
      </c>
      <c r="O699">
        <f ca="1">'Fuel Costs'!$D179*O375</f>
        <v>0</v>
      </c>
      <c r="P699">
        <f ca="1">'Fuel Costs'!$D179*P375</f>
        <v>0</v>
      </c>
      <c r="Q699">
        <f ca="1">'Fuel Costs'!$D179*Q375</f>
        <v>0</v>
      </c>
      <c r="R699">
        <f ca="1">'Fuel Costs'!$D179*R375</f>
        <v>0</v>
      </c>
      <c r="S699">
        <f ca="1">'Fuel Costs'!$D179*S375</f>
        <v>0</v>
      </c>
      <c r="T699">
        <f ca="1">'Fuel Costs'!$D179*T375</f>
        <v>0</v>
      </c>
      <c r="U699">
        <f ca="1">'Fuel Costs'!$D179*U375</f>
        <v>0</v>
      </c>
      <c r="V699">
        <f ca="1">'Fuel Costs'!$D179*V375</f>
        <v>0</v>
      </c>
      <c r="W699">
        <f ca="1">'Fuel Costs'!$D179*W375</f>
        <v>0</v>
      </c>
      <c r="X699">
        <f ca="1">'Fuel Costs'!$D179*X375</f>
        <v>0</v>
      </c>
      <c r="Y699">
        <f ca="1">'Fuel Costs'!$D179*Y375</f>
        <v>0</v>
      </c>
      <c r="Z699">
        <f ca="1">'Fuel Costs'!$D179*Z375</f>
        <v>0</v>
      </c>
      <c r="AA699">
        <f ca="1">'Fuel Costs'!$D179*AA375</f>
        <v>0</v>
      </c>
      <c r="AB699">
        <f ca="1">'Fuel Costs'!$D179*AB375</f>
        <v>0</v>
      </c>
      <c r="AC699">
        <f ca="1">'Fuel Costs'!$D179*AC375</f>
        <v>0</v>
      </c>
    </row>
    <row r="700" spans="3:29">
      <c r="C700" t="str">
        <f t="shared" si="175"/>
        <v>Wind 25%</v>
      </c>
      <c r="D700">
        <f>'Fuel Costs'!$D180*D376</f>
        <v>0</v>
      </c>
      <c r="E700">
        <f>'Fuel Costs'!$D180*E376</f>
        <v>0</v>
      </c>
      <c r="F700">
        <f>'Fuel Costs'!$D180*F376</f>
        <v>0</v>
      </c>
      <c r="G700">
        <f>'Fuel Costs'!$D180*G376</f>
        <v>0</v>
      </c>
      <c r="H700">
        <f>'Fuel Costs'!$D180*H376</f>
        <v>0</v>
      </c>
      <c r="I700">
        <f ca="1">'Fuel Costs'!$D180*I376</f>
        <v>0</v>
      </c>
      <c r="J700">
        <f ca="1">'Fuel Costs'!$D180*J376</f>
        <v>0</v>
      </c>
      <c r="K700">
        <f ca="1">'Fuel Costs'!$D180*K376</f>
        <v>0</v>
      </c>
      <c r="L700">
        <f ca="1">'Fuel Costs'!$D180*L376</f>
        <v>0</v>
      </c>
      <c r="M700">
        <f ca="1">'Fuel Costs'!$D180*M376</f>
        <v>0</v>
      </c>
      <c r="N700">
        <f ca="1">'Fuel Costs'!$D180*N376</f>
        <v>0</v>
      </c>
      <c r="O700">
        <f ca="1">'Fuel Costs'!$D180*O376</f>
        <v>0</v>
      </c>
      <c r="P700">
        <f ca="1">'Fuel Costs'!$D180*P376</f>
        <v>0</v>
      </c>
      <c r="Q700">
        <f ca="1">'Fuel Costs'!$D180*Q376</f>
        <v>0</v>
      </c>
      <c r="R700">
        <f ca="1">'Fuel Costs'!$D180*R376</f>
        <v>0</v>
      </c>
      <c r="S700">
        <f ca="1">'Fuel Costs'!$D180*S376</f>
        <v>0</v>
      </c>
      <c r="T700">
        <f ca="1">'Fuel Costs'!$D180*T376</f>
        <v>0</v>
      </c>
      <c r="U700">
        <f ca="1">'Fuel Costs'!$D180*U376</f>
        <v>0</v>
      </c>
      <c r="V700">
        <f ca="1">'Fuel Costs'!$D180*V376</f>
        <v>0</v>
      </c>
      <c r="W700">
        <f ca="1">'Fuel Costs'!$D180*W376</f>
        <v>0</v>
      </c>
      <c r="X700">
        <f ca="1">'Fuel Costs'!$D180*X376</f>
        <v>0</v>
      </c>
      <c r="Y700">
        <f ca="1">'Fuel Costs'!$D180*Y376</f>
        <v>0</v>
      </c>
      <c r="Z700">
        <f ca="1">'Fuel Costs'!$D180*Z376</f>
        <v>0</v>
      </c>
      <c r="AA700">
        <f ca="1">'Fuel Costs'!$D180*AA376</f>
        <v>0</v>
      </c>
      <c r="AB700">
        <f ca="1">'Fuel Costs'!$D180*AB376</f>
        <v>0</v>
      </c>
      <c r="AC700">
        <f ca="1">'Fuel Costs'!$D180*AC376</f>
        <v>0</v>
      </c>
    </row>
    <row r="701" spans="3:29">
      <c r="C701" t="str">
        <f t="shared" si="175"/>
        <v>solar thermal central reciever</v>
      </c>
      <c r="D701">
        <f>'Fuel Costs'!$D181*D377</f>
        <v>0</v>
      </c>
      <c r="E701">
        <f>'Fuel Costs'!$D181*E377</f>
        <v>0</v>
      </c>
      <c r="F701">
        <f>'Fuel Costs'!$D181*F377</f>
        <v>0</v>
      </c>
      <c r="G701">
        <f>'Fuel Costs'!$D181*G377</f>
        <v>0</v>
      </c>
      <c r="H701">
        <f>'Fuel Costs'!$D181*H377</f>
        <v>0</v>
      </c>
      <c r="I701">
        <f ca="1">'Fuel Costs'!$D181*I377</f>
        <v>0</v>
      </c>
      <c r="J701">
        <f ca="1">'Fuel Costs'!$D181*J377</f>
        <v>0</v>
      </c>
      <c r="K701">
        <f ca="1">'Fuel Costs'!$D181*K377</f>
        <v>0</v>
      </c>
      <c r="L701">
        <f ca="1">'Fuel Costs'!$D181*L377</f>
        <v>0</v>
      </c>
      <c r="M701">
        <f ca="1">'Fuel Costs'!$D181*M377</f>
        <v>0</v>
      </c>
      <c r="N701">
        <f ca="1">'Fuel Costs'!$D181*N377</f>
        <v>0</v>
      </c>
      <c r="O701">
        <f ca="1">'Fuel Costs'!$D181*O377</f>
        <v>0</v>
      </c>
      <c r="P701">
        <f ca="1">'Fuel Costs'!$D181*P377</f>
        <v>0</v>
      </c>
      <c r="Q701">
        <f ca="1">'Fuel Costs'!$D181*Q377</f>
        <v>0</v>
      </c>
      <c r="R701">
        <f ca="1">'Fuel Costs'!$D181*R377</f>
        <v>0</v>
      </c>
      <c r="S701">
        <f ca="1">'Fuel Costs'!$D181*S377</f>
        <v>0</v>
      </c>
      <c r="T701">
        <f ca="1">'Fuel Costs'!$D181*T377</f>
        <v>0</v>
      </c>
      <c r="U701">
        <f ca="1">'Fuel Costs'!$D181*U377</f>
        <v>0</v>
      </c>
      <c r="V701">
        <f ca="1">'Fuel Costs'!$D181*V377</f>
        <v>0</v>
      </c>
      <c r="W701">
        <f ca="1">'Fuel Costs'!$D181*W377</f>
        <v>0</v>
      </c>
      <c r="X701">
        <f ca="1">'Fuel Costs'!$D181*X377</f>
        <v>0</v>
      </c>
      <c r="Y701">
        <f ca="1">'Fuel Costs'!$D181*Y377</f>
        <v>0</v>
      </c>
      <c r="Z701">
        <f ca="1">'Fuel Costs'!$D181*Z377</f>
        <v>0</v>
      </c>
      <c r="AA701">
        <f ca="1">'Fuel Costs'!$D181*AA377</f>
        <v>0</v>
      </c>
      <c r="AB701">
        <f ca="1">'Fuel Costs'!$D181*AB377</f>
        <v>0</v>
      </c>
      <c r="AC701">
        <f ca="1">'Fuel Costs'!$D181*AC377</f>
        <v>0</v>
      </c>
    </row>
    <row r="702" spans="3:29">
      <c r="C702" t="str">
        <f t="shared" si="175"/>
        <v>solar thermal trough</v>
      </c>
      <c r="D702">
        <f>'Fuel Costs'!$D182*D378</f>
        <v>0</v>
      </c>
      <c r="E702">
        <f>'Fuel Costs'!$D182*E378</f>
        <v>0</v>
      </c>
      <c r="F702">
        <f>'Fuel Costs'!$D182*F378</f>
        <v>0</v>
      </c>
      <c r="G702">
        <f>'Fuel Costs'!$D182*G378</f>
        <v>0</v>
      </c>
      <c r="H702">
        <f>'Fuel Costs'!$D182*H378</f>
        <v>0</v>
      </c>
      <c r="I702">
        <f ca="1">'Fuel Costs'!$D182*I378</f>
        <v>0</v>
      </c>
      <c r="J702">
        <f ca="1">'Fuel Costs'!$D182*J378</f>
        <v>0</v>
      </c>
      <c r="K702">
        <f ca="1">'Fuel Costs'!$D182*K378</f>
        <v>0</v>
      </c>
      <c r="L702">
        <f ca="1">'Fuel Costs'!$D182*L378</f>
        <v>0</v>
      </c>
      <c r="M702">
        <f ca="1">'Fuel Costs'!$D182*M378</f>
        <v>0</v>
      </c>
      <c r="N702">
        <f ca="1">'Fuel Costs'!$D182*N378</f>
        <v>0</v>
      </c>
      <c r="O702">
        <f ca="1">'Fuel Costs'!$D182*O378</f>
        <v>0</v>
      </c>
      <c r="P702">
        <f ca="1">'Fuel Costs'!$D182*P378</f>
        <v>0</v>
      </c>
      <c r="Q702">
        <f ca="1">'Fuel Costs'!$D182*Q378</f>
        <v>0</v>
      </c>
      <c r="R702">
        <f ca="1">'Fuel Costs'!$D182*R378</f>
        <v>0</v>
      </c>
      <c r="S702">
        <f ca="1">'Fuel Costs'!$D182*S378</f>
        <v>0</v>
      </c>
      <c r="T702">
        <f ca="1">'Fuel Costs'!$D182*T378</f>
        <v>0</v>
      </c>
      <c r="U702">
        <f ca="1">'Fuel Costs'!$D182*U378</f>
        <v>0</v>
      </c>
      <c r="V702">
        <f ca="1">'Fuel Costs'!$D182*V378</f>
        <v>0</v>
      </c>
      <c r="W702">
        <f ca="1">'Fuel Costs'!$D182*W378</f>
        <v>0</v>
      </c>
      <c r="X702">
        <f ca="1">'Fuel Costs'!$D182*X378</f>
        <v>0</v>
      </c>
      <c r="Y702">
        <f ca="1">'Fuel Costs'!$D182*Y378</f>
        <v>0</v>
      </c>
      <c r="Z702">
        <f ca="1">'Fuel Costs'!$D182*Z378</f>
        <v>0</v>
      </c>
      <c r="AA702">
        <f ca="1">'Fuel Costs'!$D182*AA378</f>
        <v>0</v>
      </c>
      <c r="AB702">
        <f ca="1">'Fuel Costs'!$D182*AB378</f>
        <v>0</v>
      </c>
      <c r="AC702">
        <f ca="1">'Fuel Costs'!$D182*AC378</f>
        <v>0</v>
      </c>
    </row>
    <row r="703" spans="3:29">
      <c r="C703" t="str">
        <f t="shared" si="175"/>
        <v>solar PV</v>
      </c>
      <c r="D703">
        <f>'Fuel Costs'!$D183*D379</f>
        <v>0</v>
      </c>
      <c r="E703">
        <f>'Fuel Costs'!$D183*E379</f>
        <v>0</v>
      </c>
      <c r="F703">
        <f>'Fuel Costs'!$D183*F379</f>
        <v>0</v>
      </c>
      <c r="G703">
        <f>'Fuel Costs'!$D183*G379</f>
        <v>0</v>
      </c>
      <c r="H703">
        <f>'Fuel Costs'!$D183*H379</f>
        <v>0</v>
      </c>
      <c r="I703">
        <f ca="1">'Fuel Costs'!$D183*I379</f>
        <v>0</v>
      </c>
      <c r="J703">
        <f ca="1">'Fuel Costs'!$D183*J379</f>
        <v>0</v>
      </c>
      <c r="K703">
        <f ca="1">'Fuel Costs'!$D183*K379</f>
        <v>0</v>
      </c>
      <c r="L703">
        <f ca="1">'Fuel Costs'!$D183*L379</f>
        <v>0</v>
      </c>
      <c r="M703">
        <f ca="1">'Fuel Costs'!$D183*M379</f>
        <v>0</v>
      </c>
      <c r="N703">
        <f ca="1">'Fuel Costs'!$D183*N379</f>
        <v>0</v>
      </c>
      <c r="O703">
        <f ca="1">'Fuel Costs'!$D183*O379</f>
        <v>0</v>
      </c>
      <c r="P703">
        <f ca="1">'Fuel Costs'!$D183*P379</f>
        <v>0</v>
      </c>
      <c r="Q703">
        <f ca="1">'Fuel Costs'!$D183*Q379</f>
        <v>0</v>
      </c>
      <c r="R703">
        <f ca="1">'Fuel Costs'!$D183*R379</f>
        <v>0</v>
      </c>
      <c r="S703">
        <f ca="1">'Fuel Costs'!$D183*S379</f>
        <v>0</v>
      </c>
      <c r="T703">
        <f ca="1">'Fuel Costs'!$D183*T379</f>
        <v>0</v>
      </c>
      <c r="U703">
        <f ca="1">'Fuel Costs'!$D183*U379</f>
        <v>0</v>
      </c>
      <c r="V703">
        <f ca="1">'Fuel Costs'!$D183*V379</f>
        <v>0</v>
      </c>
      <c r="W703">
        <f ca="1">'Fuel Costs'!$D183*W379</f>
        <v>0</v>
      </c>
      <c r="X703">
        <f ca="1">'Fuel Costs'!$D183*X379</f>
        <v>0</v>
      </c>
      <c r="Y703">
        <f ca="1">'Fuel Costs'!$D183*Y379</f>
        <v>0</v>
      </c>
      <c r="Z703">
        <f ca="1">'Fuel Costs'!$D183*Z379</f>
        <v>0</v>
      </c>
      <c r="AA703">
        <f ca="1">'Fuel Costs'!$D183*AA379</f>
        <v>0</v>
      </c>
      <c r="AB703">
        <f ca="1">'Fuel Costs'!$D183*AB379</f>
        <v>0</v>
      </c>
      <c r="AC703">
        <f ca="1">'Fuel Costs'!$D183*AC379</f>
        <v>0</v>
      </c>
    </row>
    <row r="704" spans="3:29">
      <c r="C704" t="str">
        <f t="shared" si="175"/>
        <v>combined cycle gas</v>
      </c>
      <c r="D704">
        <f>'Fuel Costs'!$D184*D380</f>
        <v>0</v>
      </c>
      <c r="E704">
        <f>'Fuel Costs'!$D184*E380</f>
        <v>0</v>
      </c>
      <c r="F704">
        <f>'Fuel Costs'!$D184*F380</f>
        <v>0</v>
      </c>
      <c r="G704">
        <f>'Fuel Costs'!$D184*G380</f>
        <v>0</v>
      </c>
      <c r="H704">
        <f>'Fuel Costs'!$D184*H380</f>
        <v>0</v>
      </c>
      <c r="I704">
        <f ca="1">'Fuel Costs'!$D184*I380</f>
        <v>0</v>
      </c>
      <c r="J704">
        <f ca="1">'Fuel Costs'!$D184*J380</f>
        <v>0</v>
      </c>
      <c r="K704">
        <f ca="1">'Fuel Costs'!$D184*K380</f>
        <v>0</v>
      </c>
      <c r="L704">
        <f ca="1">'Fuel Costs'!$D184*L380</f>
        <v>0</v>
      </c>
      <c r="M704">
        <f ca="1">'Fuel Costs'!$D184*M380</f>
        <v>0</v>
      </c>
      <c r="N704">
        <f ca="1">'Fuel Costs'!$D184*N380</f>
        <v>0</v>
      </c>
      <c r="O704">
        <f ca="1">'Fuel Costs'!$D184*O380</f>
        <v>0</v>
      </c>
      <c r="P704">
        <f ca="1">'Fuel Costs'!$D184*P380</f>
        <v>0</v>
      </c>
      <c r="Q704">
        <f ca="1">'Fuel Costs'!$D184*Q380</f>
        <v>0</v>
      </c>
      <c r="R704">
        <f ca="1">'Fuel Costs'!$D184*R380</f>
        <v>0</v>
      </c>
      <c r="S704">
        <f ca="1">'Fuel Costs'!$D184*S380</f>
        <v>0</v>
      </c>
      <c r="T704">
        <f ca="1">'Fuel Costs'!$D184*T380</f>
        <v>0</v>
      </c>
      <c r="U704">
        <f ca="1">'Fuel Costs'!$D184*U380</f>
        <v>0</v>
      </c>
      <c r="V704">
        <f ca="1">'Fuel Costs'!$D184*V380</f>
        <v>0</v>
      </c>
      <c r="W704">
        <f ca="1">'Fuel Costs'!$D184*W380</f>
        <v>0</v>
      </c>
      <c r="X704">
        <f ca="1">'Fuel Costs'!$D184*X380</f>
        <v>0</v>
      </c>
      <c r="Y704">
        <f ca="1">'Fuel Costs'!$D184*Y380</f>
        <v>0</v>
      </c>
      <c r="Z704">
        <f ca="1">'Fuel Costs'!$D184*Z380</f>
        <v>1.5330270981480838</v>
      </c>
      <c r="AA704">
        <f ca="1">'Fuel Costs'!$D184*AA380</f>
        <v>3.8325677453702101</v>
      </c>
      <c r="AB704">
        <f ca="1">'Fuel Costs'!$D184*AB380</f>
        <v>6.1321083925923352</v>
      </c>
      <c r="AC704">
        <f ca="1">'Fuel Costs'!$D184*AC380</f>
        <v>6.1321083925923352</v>
      </c>
    </row>
    <row r="705" spans="3:29">
      <c r="C705" t="str">
        <f t="shared" si="175"/>
        <v>PBMR</v>
      </c>
      <c r="D705">
        <f>'Fuel Costs'!$D185*D381</f>
        <v>0</v>
      </c>
      <c r="E705">
        <f>'Fuel Costs'!$D185*E381</f>
        <v>0</v>
      </c>
      <c r="F705">
        <f>'Fuel Costs'!$D185*F381</f>
        <v>0</v>
      </c>
      <c r="G705">
        <f>'Fuel Costs'!$D185*G381</f>
        <v>0</v>
      </c>
      <c r="H705">
        <f>'Fuel Costs'!$D185*H381</f>
        <v>0</v>
      </c>
      <c r="I705">
        <f ca="1">'Fuel Costs'!$D185*I381</f>
        <v>0</v>
      </c>
      <c r="J705">
        <f ca="1">'Fuel Costs'!$D185*J381</f>
        <v>0</v>
      </c>
      <c r="K705">
        <f ca="1">'Fuel Costs'!$D185*K381</f>
        <v>0</v>
      </c>
      <c r="L705">
        <f ca="1">'Fuel Costs'!$D185*L381</f>
        <v>0</v>
      </c>
      <c r="M705">
        <f ca="1">'Fuel Costs'!$D185*M381</f>
        <v>0</v>
      </c>
      <c r="N705">
        <f ca="1">'Fuel Costs'!$D185*N381</f>
        <v>0</v>
      </c>
      <c r="O705">
        <f ca="1">'Fuel Costs'!$D185*O381</f>
        <v>0</v>
      </c>
      <c r="P705">
        <f ca="1">'Fuel Costs'!$D185*P381</f>
        <v>0</v>
      </c>
      <c r="Q705">
        <f ca="1">'Fuel Costs'!$D185*Q381</f>
        <v>0</v>
      </c>
      <c r="R705">
        <f ca="1">'Fuel Costs'!$D185*R381</f>
        <v>0</v>
      </c>
      <c r="S705">
        <f ca="1">'Fuel Costs'!$D185*S381</f>
        <v>0</v>
      </c>
      <c r="T705">
        <f ca="1">'Fuel Costs'!$D185*T381</f>
        <v>0</v>
      </c>
      <c r="U705">
        <f ca="1">'Fuel Costs'!$D185*U381</f>
        <v>0</v>
      </c>
      <c r="V705">
        <f ca="1">'Fuel Costs'!$D185*V381</f>
        <v>0</v>
      </c>
      <c r="W705">
        <f ca="1">'Fuel Costs'!$D185*W381</f>
        <v>0</v>
      </c>
      <c r="X705">
        <f ca="1">'Fuel Costs'!$D185*X381</f>
        <v>0</v>
      </c>
      <c r="Y705">
        <f ca="1">'Fuel Costs'!$D185*Y381</f>
        <v>0</v>
      </c>
      <c r="Z705">
        <f ca="1">'Fuel Costs'!$D185*Z381</f>
        <v>0</v>
      </c>
      <c r="AA705">
        <f ca="1">'Fuel Costs'!$D185*AA381</f>
        <v>0</v>
      </c>
      <c r="AB705">
        <f ca="1">'Fuel Costs'!$D185*AB381</f>
        <v>0</v>
      </c>
      <c r="AC705">
        <f ca="1">'Fuel Costs'!$D185*AC381</f>
        <v>0</v>
      </c>
    </row>
    <row r="706" spans="3:29">
      <c r="C706" t="str">
        <f t="shared" si="175"/>
        <v>IGCC</v>
      </c>
      <c r="D706">
        <f>'Fuel Costs'!$D186*D382</f>
        <v>0</v>
      </c>
      <c r="E706">
        <f>'Fuel Costs'!$D186*E382</f>
        <v>2.5903310415742451E-14</v>
      </c>
      <c r="F706">
        <f>'Fuel Costs'!$D186*F382</f>
        <v>0</v>
      </c>
      <c r="G706">
        <f>'Fuel Costs'!$D186*G382</f>
        <v>2.5903310415742451E-14</v>
      </c>
      <c r="H706">
        <f>'Fuel Costs'!$D186*H382</f>
        <v>2.5903310415742451E-14</v>
      </c>
      <c r="I706">
        <f ca="1">'Fuel Costs'!$D186*I382</f>
        <v>0</v>
      </c>
      <c r="J706">
        <f ca="1">'Fuel Costs'!$D186*J382</f>
        <v>0</v>
      </c>
      <c r="K706">
        <f ca="1">'Fuel Costs'!$D186*K382</f>
        <v>0</v>
      </c>
      <c r="L706">
        <f ca="1">'Fuel Costs'!$D186*L382</f>
        <v>0</v>
      </c>
      <c r="M706">
        <f ca="1">'Fuel Costs'!$D186*M382</f>
        <v>0</v>
      </c>
      <c r="N706">
        <f ca="1">'Fuel Costs'!$D186*N382</f>
        <v>0</v>
      </c>
      <c r="O706">
        <f ca="1">'Fuel Costs'!$D186*O382</f>
        <v>0</v>
      </c>
      <c r="P706">
        <f ca="1">'Fuel Costs'!$D186*P382</f>
        <v>0</v>
      </c>
      <c r="Q706">
        <f ca="1">'Fuel Costs'!$D186*Q382</f>
        <v>0</v>
      </c>
      <c r="R706">
        <f ca="1">'Fuel Costs'!$D186*R382</f>
        <v>0</v>
      </c>
      <c r="S706">
        <f ca="1">'Fuel Costs'!$D186*S382</f>
        <v>0</v>
      </c>
      <c r="T706">
        <f ca="1">'Fuel Costs'!$D186*T382</f>
        <v>0</v>
      </c>
      <c r="U706">
        <f ca="1">'Fuel Costs'!$D186*U382</f>
        <v>0</v>
      </c>
      <c r="V706">
        <f ca="1">'Fuel Costs'!$D186*V382</f>
        <v>0</v>
      </c>
      <c r="W706">
        <f ca="1">'Fuel Costs'!$D186*W382</f>
        <v>0</v>
      </c>
      <c r="X706">
        <f ca="1">'Fuel Costs'!$D186*X382</f>
        <v>0</v>
      </c>
      <c r="Y706">
        <f ca="1">'Fuel Costs'!$D186*Y382</f>
        <v>0</v>
      </c>
      <c r="Z706">
        <f ca="1">'Fuel Costs'!$D186*Z382</f>
        <v>0</v>
      </c>
      <c r="AA706">
        <f ca="1">'Fuel Costs'!$D186*AA382</f>
        <v>0</v>
      </c>
      <c r="AB706">
        <f ca="1">'Fuel Costs'!$D186*AB382</f>
        <v>3.6756642705239573</v>
      </c>
      <c r="AC706">
        <f ca="1">'Fuel Costs'!$D186*AC382</f>
        <v>7.3513285410479146</v>
      </c>
    </row>
    <row r="707" spans="3:29">
      <c r="C707" t="str">
        <f t="shared" si="175"/>
        <v>-</v>
      </c>
      <c r="D707">
        <f>'Fuel Costs'!$D187*D383</f>
        <v>0</v>
      </c>
      <c r="E707">
        <f>'Fuel Costs'!$D187*E383</f>
        <v>0</v>
      </c>
      <c r="F707">
        <f>'Fuel Costs'!$D187*F383</f>
        <v>0</v>
      </c>
      <c r="G707">
        <f>'Fuel Costs'!$D187*G383</f>
        <v>0</v>
      </c>
      <c r="H707">
        <f>'Fuel Costs'!$D187*H383</f>
        <v>0</v>
      </c>
      <c r="I707">
        <f ca="1">'Fuel Costs'!$D187*I383</f>
        <v>0</v>
      </c>
      <c r="J707">
        <f ca="1">'Fuel Costs'!$D187*J383</f>
        <v>0</v>
      </c>
      <c r="K707">
        <f ca="1">'Fuel Costs'!$D187*K383</f>
        <v>0</v>
      </c>
      <c r="L707">
        <f ca="1">'Fuel Costs'!$D187*L383</f>
        <v>0</v>
      </c>
      <c r="M707">
        <f ca="1">'Fuel Costs'!$D187*M383</f>
        <v>0</v>
      </c>
      <c r="N707">
        <f ca="1">'Fuel Costs'!$D187*N383</f>
        <v>0</v>
      </c>
      <c r="O707">
        <f ca="1">'Fuel Costs'!$D187*O383</f>
        <v>0</v>
      </c>
      <c r="P707">
        <f ca="1">'Fuel Costs'!$D187*P383</f>
        <v>0</v>
      </c>
      <c r="Q707">
        <f ca="1">'Fuel Costs'!$D187*Q383</f>
        <v>0</v>
      </c>
      <c r="R707">
        <f ca="1">'Fuel Costs'!$D187*R383</f>
        <v>0</v>
      </c>
      <c r="S707">
        <f ca="1">'Fuel Costs'!$D187*S383</f>
        <v>0</v>
      </c>
      <c r="T707">
        <f ca="1">'Fuel Costs'!$D187*T383</f>
        <v>0</v>
      </c>
      <c r="U707">
        <f ca="1">'Fuel Costs'!$D187*U383</f>
        <v>0</v>
      </c>
      <c r="V707">
        <f ca="1">'Fuel Costs'!$D187*V383</f>
        <v>0</v>
      </c>
      <c r="W707">
        <f ca="1">'Fuel Costs'!$D187*W383</f>
        <v>0</v>
      </c>
      <c r="X707">
        <f ca="1">'Fuel Costs'!$D187*X383</f>
        <v>0</v>
      </c>
      <c r="Y707">
        <f ca="1">'Fuel Costs'!$D187*Y383</f>
        <v>0</v>
      </c>
      <c r="Z707">
        <f ca="1">'Fuel Costs'!$D187*Z383</f>
        <v>0</v>
      </c>
      <c r="AA707">
        <f ca="1">'Fuel Costs'!$D187*AA383</f>
        <v>0</v>
      </c>
      <c r="AB707">
        <f ca="1">'Fuel Costs'!$D187*AB383</f>
        <v>0</v>
      </c>
      <c r="AC707">
        <f ca="1">'Fuel Costs'!$D187*AC383</f>
        <v>0</v>
      </c>
    </row>
    <row r="708" spans="3:29">
      <c r="C708" t="str">
        <f t="shared" si="175"/>
        <v>-</v>
      </c>
      <c r="D708">
        <f>'Fuel Costs'!$D188*D384</f>
        <v>0</v>
      </c>
      <c r="E708">
        <f>'Fuel Costs'!$D188*E384</f>
        <v>0</v>
      </c>
      <c r="F708">
        <f>'Fuel Costs'!$D188*F384</f>
        <v>0</v>
      </c>
      <c r="G708">
        <f>'Fuel Costs'!$D188*G384</f>
        <v>0</v>
      </c>
      <c r="H708">
        <f>'Fuel Costs'!$D188*H384</f>
        <v>0</v>
      </c>
      <c r="I708">
        <f ca="1">'Fuel Costs'!$D188*I384</f>
        <v>0</v>
      </c>
      <c r="J708">
        <f ca="1">'Fuel Costs'!$D188*J384</f>
        <v>0</v>
      </c>
      <c r="K708">
        <f ca="1">'Fuel Costs'!$D188*K384</f>
        <v>0</v>
      </c>
      <c r="L708">
        <f ca="1">'Fuel Costs'!$D188*L384</f>
        <v>0</v>
      </c>
      <c r="M708">
        <f ca="1">'Fuel Costs'!$D188*M384</f>
        <v>0</v>
      </c>
      <c r="N708">
        <f ca="1">'Fuel Costs'!$D188*N384</f>
        <v>0</v>
      </c>
      <c r="O708">
        <f ca="1">'Fuel Costs'!$D188*O384</f>
        <v>0</v>
      </c>
      <c r="P708">
        <f ca="1">'Fuel Costs'!$D188*P384</f>
        <v>0</v>
      </c>
      <c r="Q708">
        <f ca="1">'Fuel Costs'!$D188*Q384</f>
        <v>0</v>
      </c>
      <c r="R708">
        <f ca="1">'Fuel Costs'!$D188*R384</f>
        <v>0</v>
      </c>
      <c r="S708">
        <f ca="1">'Fuel Costs'!$D188*S384</f>
        <v>0</v>
      </c>
      <c r="T708">
        <f ca="1">'Fuel Costs'!$D188*T384</f>
        <v>0</v>
      </c>
      <c r="U708">
        <f ca="1">'Fuel Costs'!$D188*U384</f>
        <v>0</v>
      </c>
      <c r="V708">
        <f ca="1">'Fuel Costs'!$D188*V384</f>
        <v>0</v>
      </c>
      <c r="W708">
        <f ca="1">'Fuel Costs'!$D188*W384</f>
        <v>0</v>
      </c>
      <c r="X708">
        <f ca="1">'Fuel Costs'!$D188*X384</f>
        <v>0</v>
      </c>
      <c r="Y708">
        <f ca="1">'Fuel Costs'!$D188*Y384</f>
        <v>0</v>
      </c>
      <c r="Z708">
        <f ca="1">'Fuel Costs'!$D188*Z384</f>
        <v>0</v>
      </c>
      <c r="AA708">
        <f ca="1">'Fuel Costs'!$D188*AA384</f>
        <v>0</v>
      </c>
      <c r="AB708">
        <f ca="1">'Fuel Costs'!$D188*AB384</f>
        <v>0</v>
      </c>
      <c r="AC708">
        <f ca="1">'Fuel Costs'!$D188*AC384</f>
        <v>0</v>
      </c>
    </row>
    <row r="709" spans="3:29">
      <c r="C709" t="str">
        <f t="shared" si="175"/>
        <v>-</v>
      </c>
      <c r="D709">
        <f>'Fuel Costs'!$D189*D385</f>
        <v>0</v>
      </c>
      <c r="E709">
        <f>'Fuel Costs'!$D189*E385</f>
        <v>0</v>
      </c>
      <c r="F709">
        <f>'Fuel Costs'!$D189*F385</f>
        <v>0</v>
      </c>
      <c r="G709">
        <f>'Fuel Costs'!$D189*G385</f>
        <v>0</v>
      </c>
      <c r="H709">
        <f>'Fuel Costs'!$D189*H385</f>
        <v>0</v>
      </c>
      <c r="I709">
        <f ca="1">'Fuel Costs'!$D189*I385</f>
        <v>0</v>
      </c>
      <c r="J709">
        <f ca="1">'Fuel Costs'!$D189*J385</f>
        <v>0</v>
      </c>
      <c r="K709">
        <f ca="1">'Fuel Costs'!$D189*K385</f>
        <v>0</v>
      </c>
      <c r="L709">
        <f ca="1">'Fuel Costs'!$D189*L385</f>
        <v>0</v>
      </c>
      <c r="M709">
        <f ca="1">'Fuel Costs'!$D189*M385</f>
        <v>0</v>
      </c>
      <c r="N709">
        <f ca="1">'Fuel Costs'!$D189*N385</f>
        <v>0</v>
      </c>
      <c r="O709">
        <f ca="1">'Fuel Costs'!$D189*O385</f>
        <v>0</v>
      </c>
      <c r="P709">
        <f ca="1">'Fuel Costs'!$D189*P385</f>
        <v>0</v>
      </c>
      <c r="Q709">
        <f ca="1">'Fuel Costs'!$D189*Q385</f>
        <v>0</v>
      </c>
      <c r="R709">
        <f ca="1">'Fuel Costs'!$D189*R385</f>
        <v>0</v>
      </c>
      <c r="S709">
        <f ca="1">'Fuel Costs'!$D189*S385</f>
        <v>0</v>
      </c>
      <c r="T709">
        <f ca="1">'Fuel Costs'!$D189*T385</f>
        <v>0</v>
      </c>
      <c r="U709">
        <f ca="1">'Fuel Costs'!$D189*U385</f>
        <v>0</v>
      </c>
      <c r="V709">
        <f ca="1">'Fuel Costs'!$D189*V385</f>
        <v>0</v>
      </c>
      <c r="W709">
        <f ca="1">'Fuel Costs'!$D189*W385</f>
        <v>0</v>
      </c>
      <c r="X709">
        <f ca="1">'Fuel Costs'!$D189*X385</f>
        <v>0</v>
      </c>
      <c r="Y709">
        <f ca="1">'Fuel Costs'!$D189*Y385</f>
        <v>0</v>
      </c>
      <c r="Z709">
        <f ca="1">'Fuel Costs'!$D189*Z385</f>
        <v>0</v>
      </c>
      <c r="AA709">
        <f ca="1">'Fuel Costs'!$D189*AA385</f>
        <v>0</v>
      </c>
      <c r="AB709">
        <f ca="1">'Fuel Costs'!$D189*AB385</f>
        <v>0</v>
      </c>
      <c r="AC709">
        <f ca="1">'Fuel Costs'!$D189*AC385</f>
        <v>0</v>
      </c>
    </row>
    <row r="710" spans="3:29">
      <c r="C710" t="str">
        <f t="shared" si="175"/>
        <v>Pumped storage</v>
      </c>
      <c r="D710">
        <f>'Fuel Costs'!$D190*D386</f>
        <v>0</v>
      </c>
      <c r="E710">
        <f>'Fuel Costs'!$D190*E386</f>
        <v>0</v>
      </c>
      <c r="F710">
        <f>'Fuel Costs'!$D190*F386</f>
        <v>0</v>
      </c>
      <c r="G710">
        <f>'Fuel Costs'!$D190*G386</f>
        <v>0</v>
      </c>
      <c r="H710">
        <f>'Fuel Costs'!$D190*H386</f>
        <v>0</v>
      </c>
      <c r="I710">
        <f ca="1">'Fuel Costs'!$D190*I386</f>
        <v>0</v>
      </c>
      <c r="J710">
        <f ca="1">'Fuel Costs'!$D190*J386</f>
        <v>0</v>
      </c>
      <c r="K710">
        <f ca="1">'Fuel Costs'!$D190*K386</f>
        <v>0</v>
      </c>
      <c r="L710">
        <f ca="1">'Fuel Costs'!$D190*L386</f>
        <v>0</v>
      </c>
      <c r="M710">
        <f ca="1">'Fuel Costs'!$D190*M386</f>
        <v>0</v>
      </c>
      <c r="N710">
        <f ca="1">'Fuel Costs'!$D190*N386</f>
        <v>0</v>
      </c>
      <c r="O710">
        <f ca="1">'Fuel Costs'!$D190*O386</f>
        <v>0</v>
      </c>
      <c r="P710">
        <f ca="1">'Fuel Costs'!$D190*P386</f>
        <v>0</v>
      </c>
      <c r="Q710">
        <f ca="1">'Fuel Costs'!$D190*Q386</f>
        <v>0</v>
      </c>
      <c r="R710">
        <f ca="1">'Fuel Costs'!$D190*R386</f>
        <v>0</v>
      </c>
      <c r="S710">
        <f ca="1">'Fuel Costs'!$D190*S386</f>
        <v>0</v>
      </c>
      <c r="T710">
        <f ca="1">'Fuel Costs'!$D190*T386</f>
        <v>0</v>
      </c>
      <c r="U710">
        <f ca="1">'Fuel Costs'!$D190*U386</f>
        <v>0</v>
      </c>
      <c r="V710">
        <f ca="1">'Fuel Costs'!$D190*V386</f>
        <v>0</v>
      </c>
      <c r="W710">
        <f ca="1">'Fuel Costs'!$D190*W386</f>
        <v>0</v>
      </c>
      <c r="X710">
        <f ca="1">'Fuel Costs'!$D190*X386</f>
        <v>0</v>
      </c>
      <c r="Y710">
        <f ca="1">'Fuel Costs'!$D190*Y386</f>
        <v>0</v>
      </c>
      <c r="Z710">
        <f ca="1">'Fuel Costs'!$D190*Z386</f>
        <v>0</v>
      </c>
      <c r="AA710">
        <f ca="1">'Fuel Costs'!$D190*AA386</f>
        <v>0</v>
      </c>
      <c r="AB710">
        <f ca="1">'Fuel Costs'!$D190*AB386</f>
        <v>0</v>
      </c>
      <c r="AC710">
        <f ca="1">'Fuel Costs'!$D190*AC386</f>
        <v>0</v>
      </c>
    </row>
    <row r="711" spans="3:29">
      <c r="C711" s="4" t="s">
        <v>5</v>
      </c>
      <c r="D711">
        <f>SUM(D691:D710)</f>
        <v>219.00027625561438</v>
      </c>
      <c r="E711">
        <f t="shared" ref="E711:AC711" si="176">SUM(E691:E710)</f>
        <v>219.00027625561441</v>
      </c>
      <c r="F711">
        <f t="shared" si="176"/>
        <v>225.73213083698576</v>
      </c>
      <c r="G711">
        <f t="shared" si="176"/>
        <v>228.07712785326217</v>
      </c>
      <c r="H711">
        <f t="shared" si="176"/>
        <v>228.07712785326217</v>
      </c>
      <c r="I711">
        <f t="shared" ca="1" si="176"/>
        <v>234.88756773846495</v>
      </c>
      <c r="J711">
        <f t="shared" ca="1" si="176"/>
        <v>239.4812296565913</v>
      </c>
      <c r="K711">
        <f t="shared" ca="1" si="176"/>
        <v>244.78761458211844</v>
      </c>
      <c r="L711">
        <f t="shared" ca="1" si="176"/>
        <v>250.85250445959304</v>
      </c>
      <c r="M711">
        <f t="shared" ca="1" si="176"/>
        <v>258.32544570616744</v>
      </c>
      <c r="N711">
        <f t="shared" ca="1" si="176"/>
        <v>264.09578736324454</v>
      </c>
      <c r="O711">
        <f t="shared" ca="1" si="176"/>
        <v>269.78412704511379</v>
      </c>
      <c r="P711">
        <f t="shared" ca="1" si="176"/>
        <v>273.41351775055881</v>
      </c>
      <c r="Q711">
        <f t="shared" ca="1" si="176"/>
        <v>275.51336284912014</v>
      </c>
      <c r="R711">
        <f t="shared" ca="1" si="176"/>
        <v>274.82139755620415</v>
      </c>
      <c r="S711">
        <f t="shared" ca="1" si="176"/>
        <v>271.65278125784926</v>
      </c>
      <c r="T711">
        <f t="shared" ca="1" si="176"/>
        <v>265.76231939818365</v>
      </c>
      <c r="U711">
        <f t="shared" ca="1" si="176"/>
        <v>263.46550405811922</v>
      </c>
      <c r="V711">
        <f t="shared" ca="1" si="176"/>
        <v>256.60308264044488</v>
      </c>
      <c r="W711">
        <f t="shared" ca="1" si="176"/>
        <v>250.02569903598763</v>
      </c>
      <c r="X711">
        <f t="shared" ca="1" si="176"/>
        <v>243.71978390149033</v>
      </c>
      <c r="Y711">
        <f t="shared" ca="1" si="176"/>
        <v>237.95714807522512</v>
      </c>
      <c r="Z711">
        <f t="shared" ca="1" si="176"/>
        <v>231.1612104292428</v>
      </c>
      <c r="AA711">
        <f t="shared" ca="1" si="176"/>
        <v>223.70649396790495</v>
      </c>
      <c r="AB711">
        <f t="shared" ca="1" si="176"/>
        <v>215.5492603452457</v>
      </c>
      <c r="AC711">
        <f t="shared" ca="1" si="176"/>
        <v>207.59207389098924</v>
      </c>
    </row>
    <row r="713" spans="3:29">
      <c r="C713" s="4" t="s">
        <v>153</v>
      </c>
    </row>
    <row r="714" spans="3:29">
      <c r="C714" t="str">
        <f>C8</f>
        <v>Existing coal Large</v>
      </c>
      <c r="D714">
        <f>'Fuel Costs'!$E171*D367</f>
        <v>2.1231387654263283E-3</v>
      </c>
      <c r="E714">
        <f>'Fuel Costs'!$E171*E367</f>
        <v>2.1231387654263283E-3</v>
      </c>
      <c r="F714">
        <f>'Fuel Costs'!$E171*F367</f>
        <v>2.1930801117262906E-3</v>
      </c>
      <c r="G714">
        <f>'Fuel Costs'!$E171*G367</f>
        <v>2.217443717090201E-3</v>
      </c>
      <c r="H714">
        <f>'Fuel Costs'!$E171*H367</f>
        <v>2.217443717090201E-3</v>
      </c>
      <c r="I714">
        <f ca="1">'Fuel Costs'!$E171*I367</f>
        <v>2.2697933629295332E-3</v>
      </c>
      <c r="J714">
        <f ca="1">'Fuel Costs'!$E171*J367</f>
        <v>2.3040571434233717E-3</v>
      </c>
      <c r="K714">
        <f ca="1">'Fuel Costs'!$E171*K367</f>
        <v>2.3427490081023026E-3</v>
      </c>
      <c r="L714">
        <f ca="1">'Fuel Costs'!$E171*L367</f>
        <v>2.3728820364359595E-3</v>
      </c>
      <c r="M714">
        <f ca="1">'Fuel Costs'!$E171*M367</f>
        <v>2.3966252922263571E-3</v>
      </c>
      <c r="N714">
        <f ca="1">'Fuel Costs'!$E171*N367</f>
        <v>2.3966252922263571E-3</v>
      </c>
      <c r="O714">
        <f ca="1">'Fuel Costs'!$E171*O367</f>
        <v>2.3966252922263571E-3</v>
      </c>
      <c r="P714">
        <f ca="1">'Fuel Costs'!$E171*P367</f>
        <v>2.3966252922263571E-3</v>
      </c>
      <c r="Q714">
        <f ca="1">'Fuel Costs'!$E171*Q367</f>
        <v>2.3966252922263571E-3</v>
      </c>
      <c r="R714">
        <f ca="1">'Fuel Costs'!$E171*R367</f>
        <v>2.3966252922263571E-3</v>
      </c>
      <c r="S714">
        <f ca="1">'Fuel Costs'!$E171*S367</f>
        <v>2.3966252922263571E-3</v>
      </c>
      <c r="T714">
        <f ca="1">'Fuel Costs'!$E171*T367</f>
        <v>2.3966252922263571E-3</v>
      </c>
      <c r="U714">
        <f ca="1">'Fuel Costs'!$E171*U367</f>
        <v>2.3966252922263571E-3</v>
      </c>
      <c r="V714">
        <f ca="1">'Fuel Costs'!$E171*V367</f>
        <v>2.3405989015206578E-3</v>
      </c>
      <c r="W714">
        <f ca="1">'Fuel Costs'!$E171*W367</f>
        <v>2.2722624484873351E-3</v>
      </c>
      <c r="X714">
        <f ca="1">'Fuel Costs'!$E171*X367</f>
        <v>2.2172972207394979E-3</v>
      </c>
      <c r="Y714">
        <f ca="1">'Fuel Costs'!$E171*Y367</f>
        <v>2.1052171760602111E-3</v>
      </c>
      <c r="Z714">
        <f ca="1">'Fuel Costs'!$E171*Z367</f>
        <v>1.9931371313809234E-3</v>
      </c>
      <c r="AA714">
        <f ca="1">'Fuel Costs'!$E171*AA367</f>
        <v>1.8574612878217865E-3</v>
      </c>
      <c r="AB714">
        <f ca="1">'Fuel Costs'!$E171*AB367</f>
        <v>1.5861096007035124E-3</v>
      </c>
      <c r="AC714">
        <f ca="1">'Fuel Costs'!$E171*AC367</f>
        <v>1.4504337571443749E-3</v>
      </c>
    </row>
    <row r="715" spans="3:29">
      <c r="C715" t="str">
        <f t="shared" ref="C715:C733" si="177">C9</f>
        <v>Existing coal Small</v>
      </c>
      <c r="D715">
        <f>'Fuel Costs'!$E172*D368</f>
        <v>1.4646878980577983E-4</v>
      </c>
      <c r="E715">
        <f>'Fuel Costs'!$E172*E368</f>
        <v>1.4646878980577983E-4</v>
      </c>
      <c r="F715">
        <f>'Fuel Costs'!$E172*F368</f>
        <v>1.4646878980577983E-4</v>
      </c>
      <c r="G715">
        <f>'Fuel Costs'!$E172*G368</f>
        <v>1.4646878980577983E-4</v>
      </c>
      <c r="H715">
        <f>'Fuel Costs'!$E172*H368</f>
        <v>1.4646878980577983E-4</v>
      </c>
      <c r="I715">
        <f ca="1">'Fuel Costs'!$E172*I368</f>
        <v>1.6487696095556775E-4</v>
      </c>
      <c r="J715">
        <f ca="1">'Fuel Costs'!$E172*J368</f>
        <v>1.7576554242630614E-4</v>
      </c>
      <c r="K715">
        <f ca="1">'Fuel Costs'!$E172*K368</f>
        <v>1.7576554242630614E-4</v>
      </c>
      <c r="L715">
        <f ca="1">'Fuel Costs'!$E172*L368</f>
        <v>1.7576554242630614E-4</v>
      </c>
      <c r="M715">
        <f ca="1">'Fuel Costs'!$E172*M368</f>
        <v>1.7576554242630614E-4</v>
      </c>
      <c r="N715">
        <f ca="1">'Fuel Costs'!$E172*N368</f>
        <v>1.7576554242630614E-4</v>
      </c>
      <c r="O715">
        <f ca="1">'Fuel Costs'!$E172*O368</f>
        <v>1.7475484488879952E-4</v>
      </c>
      <c r="P715">
        <f ca="1">'Fuel Costs'!$E172*P368</f>
        <v>1.7374414735129285E-4</v>
      </c>
      <c r="Q715">
        <f ca="1">'Fuel Costs'!$E172*Q368</f>
        <v>1.7239655063461734E-4</v>
      </c>
      <c r="R715">
        <f ca="1">'Fuel Costs'!$E172*R368</f>
        <v>1.7104895391794177E-4</v>
      </c>
      <c r="S715">
        <f ca="1">'Fuel Costs'!$E172*S368</f>
        <v>1.4544461630110642E-4</v>
      </c>
      <c r="T715">
        <f ca="1">'Fuel Costs'!$E172*T368</f>
        <v>1.1984027868427106E-4</v>
      </c>
      <c r="U715">
        <f ca="1">'Fuel Costs'!$E172*U368</f>
        <v>1.1984027868427106E-4</v>
      </c>
      <c r="V715">
        <f ca="1">'Fuel Costs'!$E172*V368</f>
        <v>1.1984027868427106E-4</v>
      </c>
      <c r="W715">
        <f ca="1">'Fuel Costs'!$E172*W368</f>
        <v>1.1984027868427106E-4</v>
      </c>
      <c r="X715">
        <f ca="1">'Fuel Costs'!$E172*X368</f>
        <v>1.0804281809461925E-4</v>
      </c>
      <c r="Y715">
        <f ca="1">'Fuel Costs'!$E172*Y368</f>
        <v>9.6245357504967454E-5</v>
      </c>
      <c r="Z715">
        <f ca="1">'Fuel Costs'!$E172*Z368</f>
        <v>9.6245357504967454E-5</v>
      </c>
      <c r="AA715">
        <f ca="1">'Fuel Costs'!$E172*AA368</f>
        <v>9.6245357504967454E-5</v>
      </c>
      <c r="AB715">
        <f ca="1">'Fuel Costs'!$E172*AB368</f>
        <v>9.6245357504967454E-5</v>
      </c>
      <c r="AC715">
        <f ca="1">'Fuel Costs'!$E172*AC368</f>
        <v>9.6245357504967454E-5</v>
      </c>
    </row>
    <row r="716" spans="3:29">
      <c r="C716" t="str">
        <f t="shared" si="177"/>
        <v>OCGT liquid fuels</v>
      </c>
      <c r="D716">
        <f>'Fuel Costs'!$E173*D369</f>
        <v>2.2299457024170141E-5</v>
      </c>
      <c r="E716">
        <f>'Fuel Costs'!$E173*E369</f>
        <v>2.2299457024170141E-5</v>
      </c>
      <c r="F716">
        <f>'Fuel Costs'!$E173*F369</f>
        <v>2.2299457024170141E-5</v>
      </c>
      <c r="G716">
        <f>'Fuel Costs'!$E173*G369</f>
        <v>2.2299457024170141E-5</v>
      </c>
      <c r="H716">
        <f>'Fuel Costs'!$E173*H369</f>
        <v>2.2299457024170141E-5</v>
      </c>
      <c r="I716">
        <f ca="1">'Fuel Costs'!$E173*I369</f>
        <v>2.2299457024170141E-5</v>
      </c>
      <c r="J716">
        <f ca="1">'Fuel Costs'!$E173*J369</f>
        <v>3.2334212685046704E-5</v>
      </c>
      <c r="K716">
        <f ca="1">'Fuel Costs'!$E173*K369</f>
        <v>3.2334212685046704E-5</v>
      </c>
      <c r="L716">
        <f ca="1">'Fuel Costs'!$E173*L369</f>
        <v>3.2334212685046704E-5</v>
      </c>
      <c r="M716">
        <f ca="1">'Fuel Costs'!$E173*M369</f>
        <v>3.2334212685046704E-5</v>
      </c>
      <c r="N716">
        <f ca="1">'Fuel Costs'!$E173*N369</f>
        <v>3.2334212685046704E-5</v>
      </c>
      <c r="O716">
        <f ca="1">'Fuel Costs'!$E173*O369</f>
        <v>3.2334212685046704E-5</v>
      </c>
      <c r="P716">
        <f ca="1">'Fuel Costs'!$E173*P369</f>
        <v>3.2334212685046704E-5</v>
      </c>
      <c r="Q716">
        <f ca="1">'Fuel Costs'!$E173*Q369</f>
        <v>3.2334212685046704E-5</v>
      </c>
      <c r="R716">
        <f ca="1">'Fuel Costs'!$E173*R369</f>
        <v>3.2334212685046704E-5</v>
      </c>
      <c r="S716">
        <f ca="1">'Fuel Costs'!$E173*S369</f>
        <v>3.2334212685046704E-5</v>
      </c>
      <c r="T716">
        <f ca="1">'Fuel Costs'!$E173*T369</f>
        <v>3.2334212685046704E-5</v>
      </c>
      <c r="U716">
        <f ca="1">'Fuel Costs'!$E173*U369</f>
        <v>3.2334212685046704E-5</v>
      </c>
      <c r="V716">
        <f ca="1">'Fuel Costs'!$E173*V369</f>
        <v>3.2334212685046704E-5</v>
      </c>
      <c r="W716">
        <f ca="1">'Fuel Costs'!$E173*W369</f>
        <v>3.2334212685046704E-5</v>
      </c>
      <c r="X716">
        <f ca="1">'Fuel Costs'!$E173*X369</f>
        <v>3.2334212685046704E-5</v>
      </c>
      <c r="Y716">
        <f ca="1">'Fuel Costs'!$E173*Y369</f>
        <v>3.9024049792297758E-5</v>
      </c>
      <c r="Z716">
        <f ca="1">'Fuel Costs'!$E173*Z369</f>
        <v>3.9024049792297758E-5</v>
      </c>
      <c r="AA716">
        <f ca="1">'Fuel Costs'!$E173*AA369</f>
        <v>3.9024049792297758E-5</v>
      </c>
      <c r="AB716">
        <f ca="1">'Fuel Costs'!$E173*AB369</f>
        <v>4.7943832601965811E-5</v>
      </c>
      <c r="AC716">
        <f ca="1">'Fuel Costs'!$E173*AC369</f>
        <v>5.5274779098661744E-5</v>
      </c>
    </row>
    <row r="717" spans="3:29">
      <c r="C717" t="str">
        <f t="shared" si="177"/>
        <v>PWR nuclear</v>
      </c>
      <c r="D717">
        <f>'Fuel Costs'!$E174*D370</f>
        <v>0</v>
      </c>
      <c r="E717">
        <f>'Fuel Costs'!$E174*E370</f>
        <v>0</v>
      </c>
      <c r="F717">
        <f>'Fuel Costs'!$E174*F370</f>
        <v>0</v>
      </c>
      <c r="G717">
        <f>'Fuel Costs'!$E174*G370</f>
        <v>0</v>
      </c>
      <c r="H717">
        <f>'Fuel Costs'!$E174*H370</f>
        <v>0</v>
      </c>
      <c r="I717">
        <f ca="1">'Fuel Costs'!$E174*I370</f>
        <v>0</v>
      </c>
      <c r="J717">
        <f ca="1">'Fuel Costs'!$E174*J370</f>
        <v>0</v>
      </c>
      <c r="K717">
        <f ca="1">'Fuel Costs'!$E174*K370</f>
        <v>0</v>
      </c>
      <c r="L717">
        <f ca="1">'Fuel Costs'!$E174*L370</f>
        <v>0</v>
      </c>
      <c r="M717">
        <f ca="1">'Fuel Costs'!$E174*M370</f>
        <v>0</v>
      </c>
      <c r="N717">
        <f ca="1">'Fuel Costs'!$E174*N370</f>
        <v>0</v>
      </c>
      <c r="O717">
        <f ca="1">'Fuel Costs'!$E174*O370</f>
        <v>0</v>
      </c>
      <c r="P717">
        <f ca="1">'Fuel Costs'!$E174*P370</f>
        <v>0</v>
      </c>
      <c r="Q717">
        <f ca="1">'Fuel Costs'!$E174*Q370</f>
        <v>0</v>
      </c>
      <c r="R717">
        <f ca="1">'Fuel Costs'!$E174*R370</f>
        <v>0</v>
      </c>
      <c r="S717">
        <f ca="1">'Fuel Costs'!$E174*S370</f>
        <v>0</v>
      </c>
      <c r="T717">
        <f ca="1">'Fuel Costs'!$E174*T370</f>
        <v>0</v>
      </c>
      <c r="U717">
        <f ca="1">'Fuel Costs'!$E174*U370</f>
        <v>0</v>
      </c>
      <c r="V717">
        <f ca="1">'Fuel Costs'!$E174*V370</f>
        <v>0</v>
      </c>
      <c r="W717">
        <f ca="1">'Fuel Costs'!$E174*W370</f>
        <v>0</v>
      </c>
      <c r="X717">
        <f ca="1">'Fuel Costs'!$E174*X370</f>
        <v>0</v>
      </c>
      <c r="Y717">
        <f ca="1">'Fuel Costs'!$E174*Y370</f>
        <v>0</v>
      </c>
      <c r="Z717">
        <f ca="1">'Fuel Costs'!$E174*Z370</f>
        <v>0</v>
      </c>
      <c r="AA717">
        <f ca="1">'Fuel Costs'!$E174*AA370</f>
        <v>0</v>
      </c>
      <c r="AB717">
        <f ca="1">'Fuel Costs'!$E174*AB370</f>
        <v>0</v>
      </c>
      <c r="AC717">
        <f ca="1">'Fuel Costs'!$E174*AC370</f>
        <v>0</v>
      </c>
    </row>
    <row r="718" spans="3:29">
      <c r="C718" t="str">
        <f t="shared" si="177"/>
        <v>Hydro</v>
      </c>
      <c r="D718">
        <f>'Fuel Costs'!$E175*D371</f>
        <v>0</v>
      </c>
      <c r="E718">
        <f>'Fuel Costs'!$E175*E371</f>
        <v>0</v>
      </c>
      <c r="F718">
        <f>'Fuel Costs'!$E175*F371</f>
        <v>0</v>
      </c>
      <c r="G718">
        <f>'Fuel Costs'!$E175*G371</f>
        <v>0</v>
      </c>
      <c r="H718">
        <f>'Fuel Costs'!$E175*H371</f>
        <v>0</v>
      </c>
      <c r="I718">
        <f ca="1">'Fuel Costs'!$E175*I371</f>
        <v>0</v>
      </c>
      <c r="J718">
        <f ca="1">'Fuel Costs'!$E175*J371</f>
        <v>0</v>
      </c>
      <c r="K718">
        <f ca="1">'Fuel Costs'!$E175*K371</f>
        <v>0</v>
      </c>
      <c r="L718">
        <f ca="1">'Fuel Costs'!$E175*L371</f>
        <v>0</v>
      </c>
      <c r="M718">
        <f ca="1">'Fuel Costs'!$E175*M371</f>
        <v>0</v>
      </c>
      <c r="N718">
        <f ca="1">'Fuel Costs'!$E175*N371</f>
        <v>0</v>
      </c>
      <c r="O718">
        <f ca="1">'Fuel Costs'!$E175*O371</f>
        <v>0</v>
      </c>
      <c r="P718">
        <f ca="1">'Fuel Costs'!$E175*P371</f>
        <v>0</v>
      </c>
      <c r="Q718">
        <f ca="1">'Fuel Costs'!$E175*Q371</f>
        <v>0</v>
      </c>
      <c r="R718">
        <f ca="1">'Fuel Costs'!$E175*R371</f>
        <v>0</v>
      </c>
      <c r="S718">
        <f ca="1">'Fuel Costs'!$E175*S371</f>
        <v>0</v>
      </c>
      <c r="T718">
        <f ca="1">'Fuel Costs'!$E175*T371</f>
        <v>0</v>
      </c>
      <c r="U718">
        <f ca="1">'Fuel Costs'!$E175*U371</f>
        <v>0</v>
      </c>
      <c r="V718">
        <f ca="1">'Fuel Costs'!$E175*V371</f>
        <v>0</v>
      </c>
      <c r="W718">
        <f ca="1">'Fuel Costs'!$E175*W371</f>
        <v>0</v>
      </c>
      <c r="X718">
        <f ca="1">'Fuel Costs'!$E175*X371</f>
        <v>0</v>
      </c>
      <c r="Y718">
        <f ca="1">'Fuel Costs'!$E175*Y371</f>
        <v>0</v>
      </c>
      <c r="Z718">
        <f ca="1">'Fuel Costs'!$E175*Z371</f>
        <v>0</v>
      </c>
      <c r="AA718">
        <f ca="1">'Fuel Costs'!$E175*AA371</f>
        <v>0</v>
      </c>
      <c r="AB718">
        <f ca="1">'Fuel Costs'!$E175*AB371</f>
        <v>0</v>
      </c>
      <c r="AC718">
        <f ca="1">'Fuel Costs'!$E175*AC371</f>
        <v>0</v>
      </c>
    </row>
    <row r="719" spans="3:29">
      <c r="C719" t="str">
        <f t="shared" si="177"/>
        <v>Landfill gas</v>
      </c>
      <c r="D719">
        <f>'Fuel Costs'!$E176*D372</f>
        <v>0</v>
      </c>
      <c r="E719">
        <f>'Fuel Costs'!$E176*E372</f>
        <v>0</v>
      </c>
      <c r="F719">
        <f>'Fuel Costs'!$E176*F372</f>
        <v>0</v>
      </c>
      <c r="G719">
        <f>'Fuel Costs'!$E176*G372</f>
        <v>0</v>
      </c>
      <c r="H719">
        <f>'Fuel Costs'!$E176*H372</f>
        <v>0</v>
      </c>
      <c r="I719">
        <f ca="1">'Fuel Costs'!$E176*I372</f>
        <v>0</v>
      </c>
      <c r="J719">
        <f ca="1">'Fuel Costs'!$E176*J372</f>
        <v>0</v>
      </c>
      <c r="K719">
        <f ca="1">'Fuel Costs'!$E176*K372</f>
        <v>0</v>
      </c>
      <c r="L719">
        <f ca="1">'Fuel Costs'!$E176*L372</f>
        <v>0</v>
      </c>
      <c r="M719">
        <f ca="1">'Fuel Costs'!$E176*M372</f>
        <v>0</v>
      </c>
      <c r="N719">
        <f ca="1">'Fuel Costs'!$E176*N372</f>
        <v>0</v>
      </c>
      <c r="O719">
        <f ca="1">'Fuel Costs'!$E176*O372</f>
        <v>0</v>
      </c>
      <c r="P719">
        <f ca="1">'Fuel Costs'!$E176*P372</f>
        <v>0</v>
      </c>
      <c r="Q719">
        <f ca="1">'Fuel Costs'!$E176*Q372</f>
        <v>0</v>
      </c>
      <c r="R719">
        <f ca="1">'Fuel Costs'!$E176*R372</f>
        <v>0</v>
      </c>
      <c r="S719">
        <f ca="1">'Fuel Costs'!$E176*S372</f>
        <v>0</v>
      </c>
      <c r="T719">
        <f ca="1">'Fuel Costs'!$E176*T372</f>
        <v>0</v>
      </c>
      <c r="U719">
        <f ca="1">'Fuel Costs'!$E176*U372</f>
        <v>0</v>
      </c>
      <c r="V719">
        <f ca="1">'Fuel Costs'!$E176*V372</f>
        <v>0</v>
      </c>
      <c r="W719">
        <f ca="1">'Fuel Costs'!$E176*W372</f>
        <v>0</v>
      </c>
      <c r="X719">
        <f ca="1">'Fuel Costs'!$E176*X372</f>
        <v>0</v>
      </c>
      <c r="Y719">
        <f ca="1">'Fuel Costs'!$E176*Y372</f>
        <v>0</v>
      </c>
      <c r="Z719">
        <f ca="1">'Fuel Costs'!$E176*Z372</f>
        <v>0</v>
      </c>
      <c r="AA719">
        <f ca="1">'Fuel Costs'!$E176*AA372</f>
        <v>0</v>
      </c>
      <c r="AB719">
        <f ca="1">'Fuel Costs'!$E176*AB372</f>
        <v>0</v>
      </c>
      <c r="AC719">
        <f ca="1">'Fuel Costs'!$E176*AC372</f>
        <v>0</v>
      </c>
    </row>
    <row r="720" spans="3:29">
      <c r="C720" t="str">
        <f t="shared" si="177"/>
        <v>Biomass</v>
      </c>
      <c r="D720">
        <f>'Fuel Costs'!$E177*D373</f>
        <v>0</v>
      </c>
      <c r="E720">
        <f>'Fuel Costs'!$E177*E373</f>
        <v>0</v>
      </c>
      <c r="F720">
        <f>'Fuel Costs'!$E177*F373</f>
        <v>0</v>
      </c>
      <c r="G720">
        <f>'Fuel Costs'!$E177*G373</f>
        <v>0</v>
      </c>
      <c r="H720">
        <f>'Fuel Costs'!$E177*H373</f>
        <v>0</v>
      </c>
      <c r="I720">
        <f ca="1">'Fuel Costs'!$E177*I373</f>
        <v>0</v>
      </c>
      <c r="J720">
        <f ca="1">'Fuel Costs'!$E177*J373</f>
        <v>0</v>
      </c>
      <c r="K720">
        <f ca="1">'Fuel Costs'!$E177*K373</f>
        <v>0</v>
      </c>
      <c r="L720">
        <f ca="1">'Fuel Costs'!$E177*L373</f>
        <v>0</v>
      </c>
      <c r="M720">
        <f ca="1">'Fuel Costs'!$E177*M373</f>
        <v>0</v>
      </c>
      <c r="N720">
        <f ca="1">'Fuel Costs'!$E177*N373</f>
        <v>0</v>
      </c>
      <c r="O720">
        <f ca="1">'Fuel Costs'!$E177*O373</f>
        <v>0</v>
      </c>
      <c r="P720">
        <f ca="1">'Fuel Costs'!$E177*P373</f>
        <v>0</v>
      </c>
      <c r="Q720">
        <f ca="1">'Fuel Costs'!$E177*Q373</f>
        <v>0</v>
      </c>
      <c r="R720">
        <f ca="1">'Fuel Costs'!$E177*R373</f>
        <v>0</v>
      </c>
      <c r="S720">
        <f ca="1">'Fuel Costs'!$E177*S373</f>
        <v>0</v>
      </c>
      <c r="T720">
        <f ca="1">'Fuel Costs'!$E177*T373</f>
        <v>0</v>
      </c>
      <c r="U720">
        <f ca="1">'Fuel Costs'!$E177*U373</f>
        <v>0</v>
      </c>
      <c r="V720">
        <f ca="1">'Fuel Costs'!$E177*V373</f>
        <v>0</v>
      </c>
      <c r="W720">
        <f ca="1">'Fuel Costs'!$E177*W373</f>
        <v>0</v>
      </c>
      <c r="X720">
        <f ca="1">'Fuel Costs'!$E177*X373</f>
        <v>0</v>
      </c>
      <c r="Y720">
        <f ca="1">'Fuel Costs'!$E177*Y373</f>
        <v>0</v>
      </c>
      <c r="Z720">
        <f ca="1">'Fuel Costs'!$E177*Z373</f>
        <v>0</v>
      </c>
      <c r="AA720">
        <f ca="1">'Fuel Costs'!$E177*AA373</f>
        <v>0</v>
      </c>
      <c r="AB720">
        <f ca="1">'Fuel Costs'!$E177*AB373</f>
        <v>0</v>
      </c>
      <c r="AC720">
        <f ca="1">'Fuel Costs'!$E177*AC373</f>
        <v>0</v>
      </c>
    </row>
    <row r="721" spans="3:29">
      <c r="C721" t="str">
        <f t="shared" si="177"/>
        <v>Supercritical coal</v>
      </c>
      <c r="D721">
        <f>'Fuel Costs'!$E178*D374</f>
        <v>0</v>
      </c>
      <c r="E721">
        <f>'Fuel Costs'!$E178*E374</f>
        <v>0</v>
      </c>
      <c r="F721">
        <f>'Fuel Costs'!$E178*F374</f>
        <v>0</v>
      </c>
      <c r="G721">
        <f>'Fuel Costs'!$E178*G374</f>
        <v>0</v>
      </c>
      <c r="H721">
        <f>'Fuel Costs'!$E178*H374</f>
        <v>0</v>
      </c>
      <c r="I721">
        <f ca="1">'Fuel Costs'!$E178*I374</f>
        <v>0</v>
      </c>
      <c r="J721">
        <f ca="1">'Fuel Costs'!$E178*J374</f>
        <v>0</v>
      </c>
      <c r="K721">
        <f ca="1">'Fuel Costs'!$E178*K374</f>
        <v>1.6439407274598001E-5</v>
      </c>
      <c r="L721">
        <f ca="1">'Fuel Costs'!$E178*L374</f>
        <v>4.9318221823794011E-5</v>
      </c>
      <c r="M721">
        <f ca="1">'Fuel Costs'!$E178*M374</f>
        <v>1.0321591404975347E-4</v>
      </c>
      <c r="N721">
        <f ca="1">'Fuel Costs'!$E178*N374</f>
        <v>1.6316751568172335E-4</v>
      </c>
      <c r="O721">
        <f ca="1">'Fuel Costs'!$E178*O374</f>
        <v>2.2327784627761225E-4</v>
      </c>
      <c r="P721">
        <f ca="1">'Fuel Costs'!$E178*P374</f>
        <v>2.6199649919636536E-4</v>
      </c>
      <c r="Q721">
        <f ca="1">'Fuel Costs'!$E178*Q374</f>
        <v>2.8516066836562648E-4</v>
      </c>
      <c r="R721">
        <f ca="1">'Fuel Costs'!$E178*R374</f>
        <v>2.7931901528577231E-4</v>
      </c>
      <c r="S721">
        <f ca="1">'Fuel Costs'!$E178*S374</f>
        <v>2.7200266408853099E-4</v>
      </c>
      <c r="T721">
        <f ca="1">'Fuel Costs'!$E178*T374</f>
        <v>2.3640739796858054E-4</v>
      </c>
      <c r="U721">
        <f ca="1">'Fuel Costs'!$E178*U374</f>
        <v>2.1254438144843084E-4</v>
      </c>
      <c r="V721">
        <f ca="1">'Fuel Costs'!$E178*V374</f>
        <v>1.9727288729517607E-4</v>
      </c>
      <c r="W721">
        <f ca="1">'Fuel Costs'!$E178*W374</f>
        <v>1.9727288729517607E-4</v>
      </c>
      <c r="X721">
        <f ca="1">'Fuel Costs'!$E178*X374</f>
        <v>1.9851957423529078E-4</v>
      </c>
      <c r="Y721">
        <f ca="1">'Fuel Costs'!$E178*Y374</f>
        <v>2.6080954136789255E-4</v>
      </c>
      <c r="Z721">
        <f ca="1">'Fuel Costs'!$E178*Z374</f>
        <v>2.8635488740686457E-4</v>
      </c>
      <c r="AA721">
        <f ca="1">'Fuel Costs'!$E178*AA374</f>
        <v>3.2068779996797549E-4</v>
      </c>
      <c r="AB721">
        <f ca="1">'Fuel Costs'!$E178*AB374</f>
        <v>4.4292096068401657E-4</v>
      </c>
      <c r="AC721">
        <f ca="1">'Fuel Costs'!$E178*AC374</f>
        <v>4.5585557068738604E-4</v>
      </c>
    </row>
    <row r="722" spans="3:29">
      <c r="C722" t="str">
        <f t="shared" si="177"/>
        <v xml:space="preserve">Wind 30% </v>
      </c>
      <c r="D722">
        <f>'Fuel Costs'!$E179*D375</f>
        <v>0</v>
      </c>
      <c r="E722">
        <f>'Fuel Costs'!$E179*E375</f>
        <v>0</v>
      </c>
      <c r="F722">
        <f>'Fuel Costs'!$E179*F375</f>
        <v>0</v>
      </c>
      <c r="G722">
        <f>'Fuel Costs'!$E179*G375</f>
        <v>0</v>
      </c>
      <c r="H722">
        <f>'Fuel Costs'!$E179*H375</f>
        <v>0</v>
      </c>
      <c r="I722">
        <f ca="1">'Fuel Costs'!$E179*I375</f>
        <v>0</v>
      </c>
      <c r="J722">
        <f ca="1">'Fuel Costs'!$E179*J375</f>
        <v>0</v>
      </c>
      <c r="K722">
        <f ca="1">'Fuel Costs'!$E179*K375</f>
        <v>0</v>
      </c>
      <c r="L722">
        <f ca="1">'Fuel Costs'!$E179*L375</f>
        <v>0</v>
      </c>
      <c r="M722">
        <f ca="1">'Fuel Costs'!$E179*M375</f>
        <v>0</v>
      </c>
      <c r="N722">
        <f ca="1">'Fuel Costs'!$E179*N375</f>
        <v>0</v>
      </c>
      <c r="O722">
        <f ca="1">'Fuel Costs'!$E179*O375</f>
        <v>0</v>
      </c>
      <c r="P722">
        <f ca="1">'Fuel Costs'!$E179*P375</f>
        <v>0</v>
      </c>
      <c r="Q722">
        <f ca="1">'Fuel Costs'!$E179*Q375</f>
        <v>0</v>
      </c>
      <c r="R722">
        <f ca="1">'Fuel Costs'!$E179*R375</f>
        <v>0</v>
      </c>
      <c r="S722">
        <f ca="1">'Fuel Costs'!$E179*S375</f>
        <v>0</v>
      </c>
      <c r="T722">
        <f ca="1">'Fuel Costs'!$E179*T375</f>
        <v>0</v>
      </c>
      <c r="U722">
        <f ca="1">'Fuel Costs'!$E179*U375</f>
        <v>0</v>
      </c>
      <c r="V722">
        <f ca="1">'Fuel Costs'!$E179*V375</f>
        <v>0</v>
      </c>
      <c r="W722">
        <f ca="1">'Fuel Costs'!$E179*W375</f>
        <v>0</v>
      </c>
      <c r="X722">
        <f ca="1">'Fuel Costs'!$E179*X375</f>
        <v>0</v>
      </c>
      <c r="Y722">
        <f ca="1">'Fuel Costs'!$E179*Y375</f>
        <v>0</v>
      </c>
      <c r="Z722">
        <f ca="1">'Fuel Costs'!$E179*Z375</f>
        <v>0</v>
      </c>
      <c r="AA722">
        <f ca="1">'Fuel Costs'!$E179*AA375</f>
        <v>0</v>
      </c>
      <c r="AB722">
        <f ca="1">'Fuel Costs'!$E179*AB375</f>
        <v>0</v>
      </c>
      <c r="AC722">
        <f ca="1">'Fuel Costs'!$E179*AC375</f>
        <v>0</v>
      </c>
    </row>
    <row r="723" spans="3:29">
      <c r="C723" t="str">
        <f t="shared" si="177"/>
        <v>Wind 25%</v>
      </c>
      <c r="D723">
        <f>'Fuel Costs'!$E180*D376</f>
        <v>0</v>
      </c>
      <c r="E723">
        <f>'Fuel Costs'!$E180*E376</f>
        <v>0</v>
      </c>
      <c r="F723">
        <f>'Fuel Costs'!$E180*F376</f>
        <v>0</v>
      </c>
      <c r="G723">
        <f>'Fuel Costs'!$E180*G376</f>
        <v>0</v>
      </c>
      <c r="H723">
        <f>'Fuel Costs'!$E180*H376</f>
        <v>0</v>
      </c>
      <c r="I723">
        <f ca="1">'Fuel Costs'!$E180*I376</f>
        <v>0</v>
      </c>
      <c r="J723">
        <f ca="1">'Fuel Costs'!$E180*J376</f>
        <v>0</v>
      </c>
      <c r="K723">
        <f ca="1">'Fuel Costs'!$E180*K376</f>
        <v>0</v>
      </c>
      <c r="L723">
        <f ca="1">'Fuel Costs'!$E180*L376</f>
        <v>0</v>
      </c>
      <c r="M723">
        <f ca="1">'Fuel Costs'!$E180*M376</f>
        <v>0</v>
      </c>
      <c r="N723">
        <f ca="1">'Fuel Costs'!$E180*N376</f>
        <v>0</v>
      </c>
      <c r="O723">
        <f ca="1">'Fuel Costs'!$E180*O376</f>
        <v>0</v>
      </c>
      <c r="P723">
        <f ca="1">'Fuel Costs'!$E180*P376</f>
        <v>0</v>
      </c>
      <c r="Q723">
        <f ca="1">'Fuel Costs'!$E180*Q376</f>
        <v>0</v>
      </c>
      <c r="R723">
        <f ca="1">'Fuel Costs'!$E180*R376</f>
        <v>0</v>
      </c>
      <c r="S723">
        <f ca="1">'Fuel Costs'!$E180*S376</f>
        <v>0</v>
      </c>
      <c r="T723">
        <f ca="1">'Fuel Costs'!$E180*T376</f>
        <v>0</v>
      </c>
      <c r="U723">
        <f ca="1">'Fuel Costs'!$E180*U376</f>
        <v>0</v>
      </c>
      <c r="V723">
        <f ca="1">'Fuel Costs'!$E180*V376</f>
        <v>0</v>
      </c>
      <c r="W723">
        <f ca="1">'Fuel Costs'!$E180*W376</f>
        <v>0</v>
      </c>
      <c r="X723">
        <f ca="1">'Fuel Costs'!$E180*X376</f>
        <v>0</v>
      </c>
      <c r="Y723">
        <f ca="1">'Fuel Costs'!$E180*Y376</f>
        <v>0</v>
      </c>
      <c r="Z723">
        <f ca="1">'Fuel Costs'!$E180*Z376</f>
        <v>0</v>
      </c>
      <c r="AA723">
        <f ca="1">'Fuel Costs'!$E180*AA376</f>
        <v>0</v>
      </c>
      <c r="AB723">
        <f ca="1">'Fuel Costs'!$E180*AB376</f>
        <v>0</v>
      </c>
      <c r="AC723">
        <f ca="1">'Fuel Costs'!$E180*AC376</f>
        <v>0</v>
      </c>
    </row>
    <row r="724" spans="3:29">
      <c r="C724" t="str">
        <f t="shared" si="177"/>
        <v>solar thermal central reciever</v>
      </c>
      <c r="D724">
        <f>'Fuel Costs'!$E181*D377</f>
        <v>0</v>
      </c>
      <c r="E724">
        <f>'Fuel Costs'!$E181*E377</f>
        <v>0</v>
      </c>
      <c r="F724">
        <f>'Fuel Costs'!$E181*F377</f>
        <v>0</v>
      </c>
      <c r="G724">
        <f>'Fuel Costs'!$E181*G377</f>
        <v>0</v>
      </c>
      <c r="H724">
        <f>'Fuel Costs'!$E181*H377</f>
        <v>0</v>
      </c>
      <c r="I724">
        <f ca="1">'Fuel Costs'!$E181*I377</f>
        <v>0</v>
      </c>
      <c r="J724">
        <f ca="1">'Fuel Costs'!$E181*J377</f>
        <v>0</v>
      </c>
      <c r="K724">
        <f ca="1">'Fuel Costs'!$E181*K377</f>
        <v>0</v>
      </c>
      <c r="L724">
        <f ca="1">'Fuel Costs'!$E181*L377</f>
        <v>0</v>
      </c>
      <c r="M724">
        <f ca="1">'Fuel Costs'!$E181*M377</f>
        <v>0</v>
      </c>
      <c r="N724">
        <f ca="1">'Fuel Costs'!$E181*N377</f>
        <v>0</v>
      </c>
      <c r="O724">
        <f ca="1">'Fuel Costs'!$E181*O377</f>
        <v>0</v>
      </c>
      <c r="P724">
        <f ca="1">'Fuel Costs'!$E181*P377</f>
        <v>0</v>
      </c>
      <c r="Q724">
        <f ca="1">'Fuel Costs'!$E181*Q377</f>
        <v>0</v>
      </c>
      <c r="R724">
        <f ca="1">'Fuel Costs'!$E181*R377</f>
        <v>0</v>
      </c>
      <c r="S724">
        <f ca="1">'Fuel Costs'!$E181*S377</f>
        <v>0</v>
      </c>
      <c r="T724">
        <f ca="1">'Fuel Costs'!$E181*T377</f>
        <v>0</v>
      </c>
      <c r="U724">
        <f ca="1">'Fuel Costs'!$E181*U377</f>
        <v>0</v>
      </c>
      <c r="V724">
        <f ca="1">'Fuel Costs'!$E181*V377</f>
        <v>0</v>
      </c>
      <c r="W724">
        <f ca="1">'Fuel Costs'!$E181*W377</f>
        <v>0</v>
      </c>
      <c r="X724">
        <f ca="1">'Fuel Costs'!$E181*X377</f>
        <v>0</v>
      </c>
      <c r="Y724">
        <f ca="1">'Fuel Costs'!$E181*Y377</f>
        <v>0</v>
      </c>
      <c r="Z724">
        <f ca="1">'Fuel Costs'!$E181*Z377</f>
        <v>0</v>
      </c>
      <c r="AA724">
        <f ca="1">'Fuel Costs'!$E181*AA377</f>
        <v>0</v>
      </c>
      <c r="AB724">
        <f ca="1">'Fuel Costs'!$E181*AB377</f>
        <v>0</v>
      </c>
      <c r="AC724">
        <f ca="1">'Fuel Costs'!$E181*AC377</f>
        <v>0</v>
      </c>
    </row>
    <row r="725" spans="3:29">
      <c r="C725" t="str">
        <f t="shared" si="177"/>
        <v>solar thermal trough</v>
      </c>
      <c r="D725">
        <f>'Fuel Costs'!$E182*D378</f>
        <v>0</v>
      </c>
      <c r="E725">
        <f>'Fuel Costs'!$E182*E378</f>
        <v>0</v>
      </c>
      <c r="F725">
        <f>'Fuel Costs'!$E182*F378</f>
        <v>0</v>
      </c>
      <c r="G725">
        <f>'Fuel Costs'!$E182*G378</f>
        <v>0</v>
      </c>
      <c r="H725">
        <f>'Fuel Costs'!$E182*H378</f>
        <v>0</v>
      </c>
      <c r="I725">
        <f ca="1">'Fuel Costs'!$E182*I378</f>
        <v>0</v>
      </c>
      <c r="J725">
        <f ca="1">'Fuel Costs'!$E182*J378</f>
        <v>0</v>
      </c>
      <c r="K725">
        <f ca="1">'Fuel Costs'!$E182*K378</f>
        <v>0</v>
      </c>
      <c r="L725">
        <f ca="1">'Fuel Costs'!$E182*L378</f>
        <v>0</v>
      </c>
      <c r="M725">
        <f ca="1">'Fuel Costs'!$E182*M378</f>
        <v>0</v>
      </c>
      <c r="N725">
        <f ca="1">'Fuel Costs'!$E182*N378</f>
        <v>0</v>
      </c>
      <c r="O725">
        <f ca="1">'Fuel Costs'!$E182*O378</f>
        <v>0</v>
      </c>
      <c r="P725">
        <f ca="1">'Fuel Costs'!$E182*P378</f>
        <v>0</v>
      </c>
      <c r="Q725">
        <f ca="1">'Fuel Costs'!$E182*Q378</f>
        <v>0</v>
      </c>
      <c r="R725">
        <f ca="1">'Fuel Costs'!$E182*R378</f>
        <v>0</v>
      </c>
      <c r="S725">
        <f ca="1">'Fuel Costs'!$E182*S378</f>
        <v>0</v>
      </c>
      <c r="T725">
        <f ca="1">'Fuel Costs'!$E182*T378</f>
        <v>0</v>
      </c>
      <c r="U725">
        <f ca="1">'Fuel Costs'!$E182*U378</f>
        <v>0</v>
      </c>
      <c r="V725">
        <f ca="1">'Fuel Costs'!$E182*V378</f>
        <v>0</v>
      </c>
      <c r="W725">
        <f ca="1">'Fuel Costs'!$E182*W378</f>
        <v>0</v>
      </c>
      <c r="X725">
        <f ca="1">'Fuel Costs'!$E182*X378</f>
        <v>0</v>
      </c>
      <c r="Y725">
        <f ca="1">'Fuel Costs'!$E182*Y378</f>
        <v>0</v>
      </c>
      <c r="Z725">
        <f ca="1">'Fuel Costs'!$E182*Z378</f>
        <v>0</v>
      </c>
      <c r="AA725">
        <f ca="1">'Fuel Costs'!$E182*AA378</f>
        <v>0</v>
      </c>
      <c r="AB725">
        <f ca="1">'Fuel Costs'!$E182*AB378</f>
        <v>0</v>
      </c>
      <c r="AC725">
        <f ca="1">'Fuel Costs'!$E182*AC378</f>
        <v>0</v>
      </c>
    </row>
    <row r="726" spans="3:29">
      <c r="C726" t="str">
        <f t="shared" si="177"/>
        <v>solar PV</v>
      </c>
      <c r="D726">
        <f>'Fuel Costs'!$E183*D379</f>
        <v>0</v>
      </c>
      <c r="E726">
        <f>'Fuel Costs'!$E183*E379</f>
        <v>0</v>
      </c>
      <c r="F726">
        <f>'Fuel Costs'!$E183*F379</f>
        <v>0</v>
      </c>
      <c r="G726">
        <f>'Fuel Costs'!$E183*G379</f>
        <v>0</v>
      </c>
      <c r="H726">
        <f>'Fuel Costs'!$E183*H379</f>
        <v>0</v>
      </c>
      <c r="I726">
        <f ca="1">'Fuel Costs'!$E183*I379</f>
        <v>0</v>
      </c>
      <c r="J726">
        <f ca="1">'Fuel Costs'!$E183*J379</f>
        <v>0</v>
      </c>
      <c r="K726">
        <f ca="1">'Fuel Costs'!$E183*K379</f>
        <v>0</v>
      </c>
      <c r="L726">
        <f ca="1">'Fuel Costs'!$E183*L379</f>
        <v>0</v>
      </c>
      <c r="M726">
        <f ca="1">'Fuel Costs'!$E183*M379</f>
        <v>0</v>
      </c>
      <c r="N726">
        <f ca="1">'Fuel Costs'!$E183*N379</f>
        <v>0</v>
      </c>
      <c r="O726">
        <f ca="1">'Fuel Costs'!$E183*O379</f>
        <v>0</v>
      </c>
      <c r="P726">
        <f ca="1">'Fuel Costs'!$E183*P379</f>
        <v>0</v>
      </c>
      <c r="Q726">
        <f ca="1">'Fuel Costs'!$E183*Q379</f>
        <v>0</v>
      </c>
      <c r="R726">
        <f ca="1">'Fuel Costs'!$E183*R379</f>
        <v>0</v>
      </c>
      <c r="S726">
        <f ca="1">'Fuel Costs'!$E183*S379</f>
        <v>0</v>
      </c>
      <c r="T726">
        <f ca="1">'Fuel Costs'!$E183*T379</f>
        <v>0</v>
      </c>
      <c r="U726">
        <f ca="1">'Fuel Costs'!$E183*U379</f>
        <v>0</v>
      </c>
      <c r="V726">
        <f ca="1">'Fuel Costs'!$E183*V379</f>
        <v>0</v>
      </c>
      <c r="W726">
        <f ca="1">'Fuel Costs'!$E183*W379</f>
        <v>0</v>
      </c>
      <c r="X726">
        <f ca="1">'Fuel Costs'!$E183*X379</f>
        <v>0</v>
      </c>
      <c r="Y726">
        <f ca="1">'Fuel Costs'!$E183*Y379</f>
        <v>0</v>
      </c>
      <c r="Z726">
        <f ca="1">'Fuel Costs'!$E183*Z379</f>
        <v>0</v>
      </c>
      <c r="AA726">
        <f ca="1">'Fuel Costs'!$E183*AA379</f>
        <v>0</v>
      </c>
      <c r="AB726">
        <f ca="1">'Fuel Costs'!$E183*AB379</f>
        <v>0</v>
      </c>
      <c r="AC726">
        <f ca="1">'Fuel Costs'!$E183*AC379</f>
        <v>0</v>
      </c>
    </row>
    <row r="727" spans="3:29">
      <c r="C727" t="str">
        <f t="shared" si="177"/>
        <v>combined cycle gas</v>
      </c>
      <c r="D727">
        <f>'Fuel Costs'!$E184*D380</f>
        <v>0</v>
      </c>
      <c r="E727">
        <f>'Fuel Costs'!$E184*E380</f>
        <v>0</v>
      </c>
      <c r="F727">
        <f>'Fuel Costs'!$E184*F380</f>
        <v>0</v>
      </c>
      <c r="G727">
        <f>'Fuel Costs'!$E184*G380</f>
        <v>0</v>
      </c>
      <c r="H727">
        <f>'Fuel Costs'!$E184*H380</f>
        <v>0</v>
      </c>
      <c r="I727">
        <f ca="1">'Fuel Costs'!$E184*I380</f>
        <v>0</v>
      </c>
      <c r="J727">
        <f ca="1">'Fuel Costs'!$E184*J380</f>
        <v>0</v>
      </c>
      <c r="K727">
        <f ca="1">'Fuel Costs'!$E184*K380</f>
        <v>0</v>
      </c>
      <c r="L727">
        <f ca="1">'Fuel Costs'!$E184*L380</f>
        <v>0</v>
      </c>
      <c r="M727">
        <f ca="1">'Fuel Costs'!$E184*M380</f>
        <v>0</v>
      </c>
      <c r="N727">
        <f ca="1">'Fuel Costs'!$E184*N380</f>
        <v>0</v>
      </c>
      <c r="O727">
        <f ca="1">'Fuel Costs'!$E184*O380</f>
        <v>0</v>
      </c>
      <c r="P727">
        <f ca="1">'Fuel Costs'!$E184*P380</f>
        <v>0</v>
      </c>
      <c r="Q727">
        <f ca="1">'Fuel Costs'!$E184*Q380</f>
        <v>0</v>
      </c>
      <c r="R727">
        <f ca="1">'Fuel Costs'!$E184*R380</f>
        <v>0</v>
      </c>
      <c r="S727">
        <f ca="1">'Fuel Costs'!$E184*S380</f>
        <v>0</v>
      </c>
      <c r="T727">
        <f ca="1">'Fuel Costs'!$E184*T380</f>
        <v>0</v>
      </c>
      <c r="U727">
        <f ca="1">'Fuel Costs'!$E184*U380</f>
        <v>0</v>
      </c>
      <c r="V727">
        <f ca="1">'Fuel Costs'!$E184*V380</f>
        <v>0</v>
      </c>
      <c r="W727">
        <f ca="1">'Fuel Costs'!$E184*W380</f>
        <v>0</v>
      </c>
      <c r="X727">
        <f ca="1">'Fuel Costs'!$E184*X380</f>
        <v>0</v>
      </c>
      <c r="Y727">
        <f ca="1">'Fuel Costs'!$E184*Y380</f>
        <v>0</v>
      </c>
      <c r="Z727">
        <f ca="1">'Fuel Costs'!$E184*Z380</f>
        <v>2.7326686241498819E-5</v>
      </c>
      <c r="AA727">
        <f ca="1">'Fuel Costs'!$E184*AA380</f>
        <v>6.8316715603747064E-5</v>
      </c>
      <c r="AB727">
        <f ca="1">'Fuel Costs'!$E184*AB380</f>
        <v>1.0930674496599528E-4</v>
      </c>
      <c r="AC727">
        <f ca="1">'Fuel Costs'!$E184*AC380</f>
        <v>1.0930674496599528E-4</v>
      </c>
    </row>
    <row r="728" spans="3:29">
      <c r="C728" t="str">
        <f t="shared" si="177"/>
        <v>PBMR</v>
      </c>
      <c r="D728">
        <f>'Fuel Costs'!$E185*D381</f>
        <v>0</v>
      </c>
      <c r="E728">
        <f>'Fuel Costs'!$E185*E381</f>
        <v>0</v>
      </c>
      <c r="F728">
        <f>'Fuel Costs'!$E185*F381</f>
        <v>0</v>
      </c>
      <c r="G728">
        <f>'Fuel Costs'!$E185*G381</f>
        <v>0</v>
      </c>
      <c r="H728">
        <f>'Fuel Costs'!$E185*H381</f>
        <v>0</v>
      </c>
      <c r="I728">
        <f ca="1">'Fuel Costs'!$E185*I381</f>
        <v>0</v>
      </c>
      <c r="J728">
        <f ca="1">'Fuel Costs'!$E185*J381</f>
        <v>0</v>
      </c>
      <c r="K728">
        <f ca="1">'Fuel Costs'!$E185*K381</f>
        <v>0</v>
      </c>
      <c r="L728">
        <f ca="1">'Fuel Costs'!$E185*L381</f>
        <v>0</v>
      </c>
      <c r="M728">
        <f ca="1">'Fuel Costs'!$E185*M381</f>
        <v>0</v>
      </c>
      <c r="N728">
        <f ca="1">'Fuel Costs'!$E185*N381</f>
        <v>0</v>
      </c>
      <c r="O728">
        <f ca="1">'Fuel Costs'!$E185*O381</f>
        <v>0</v>
      </c>
      <c r="P728">
        <f ca="1">'Fuel Costs'!$E185*P381</f>
        <v>0</v>
      </c>
      <c r="Q728">
        <f ca="1">'Fuel Costs'!$E185*Q381</f>
        <v>0</v>
      </c>
      <c r="R728">
        <f ca="1">'Fuel Costs'!$E185*R381</f>
        <v>0</v>
      </c>
      <c r="S728">
        <f ca="1">'Fuel Costs'!$E185*S381</f>
        <v>0</v>
      </c>
      <c r="T728">
        <f ca="1">'Fuel Costs'!$E185*T381</f>
        <v>0</v>
      </c>
      <c r="U728">
        <f ca="1">'Fuel Costs'!$E185*U381</f>
        <v>0</v>
      </c>
      <c r="V728">
        <f ca="1">'Fuel Costs'!$E185*V381</f>
        <v>0</v>
      </c>
      <c r="W728">
        <f ca="1">'Fuel Costs'!$E185*W381</f>
        <v>0</v>
      </c>
      <c r="X728">
        <f ca="1">'Fuel Costs'!$E185*X381</f>
        <v>0</v>
      </c>
      <c r="Y728">
        <f ca="1">'Fuel Costs'!$E185*Y381</f>
        <v>0</v>
      </c>
      <c r="Z728">
        <f ca="1">'Fuel Costs'!$E185*Z381</f>
        <v>0</v>
      </c>
      <c r="AA728">
        <f ca="1">'Fuel Costs'!$E185*AA381</f>
        <v>0</v>
      </c>
      <c r="AB728">
        <f ca="1">'Fuel Costs'!$E185*AB381</f>
        <v>0</v>
      </c>
      <c r="AC728">
        <f ca="1">'Fuel Costs'!$E185*AC381</f>
        <v>0</v>
      </c>
    </row>
    <row r="729" spans="3:29">
      <c r="C729" t="str">
        <f t="shared" si="177"/>
        <v>IGCC</v>
      </c>
      <c r="D729">
        <f>'Fuel Costs'!$E186*D382</f>
        <v>0</v>
      </c>
      <c r="E729">
        <f>'Fuel Costs'!$E186*E382</f>
        <v>2.6912530302070079E-19</v>
      </c>
      <c r="F729">
        <f>'Fuel Costs'!$E186*F382</f>
        <v>0</v>
      </c>
      <c r="G729">
        <f>'Fuel Costs'!$E186*G382</f>
        <v>2.6912530302070079E-19</v>
      </c>
      <c r="H729">
        <f>'Fuel Costs'!$E186*H382</f>
        <v>2.6912530302070079E-19</v>
      </c>
      <c r="I729">
        <f ca="1">'Fuel Costs'!$E186*I382</f>
        <v>0</v>
      </c>
      <c r="J729">
        <f ca="1">'Fuel Costs'!$E186*J382</f>
        <v>0</v>
      </c>
      <c r="K729">
        <f ca="1">'Fuel Costs'!$E186*K382</f>
        <v>0</v>
      </c>
      <c r="L729">
        <f ca="1">'Fuel Costs'!$E186*L382</f>
        <v>0</v>
      </c>
      <c r="M729">
        <f ca="1">'Fuel Costs'!$E186*M382</f>
        <v>0</v>
      </c>
      <c r="N729">
        <f ca="1">'Fuel Costs'!$E186*N382</f>
        <v>0</v>
      </c>
      <c r="O729">
        <f ca="1">'Fuel Costs'!$E186*O382</f>
        <v>0</v>
      </c>
      <c r="P729">
        <f ca="1">'Fuel Costs'!$E186*P382</f>
        <v>0</v>
      </c>
      <c r="Q729">
        <f ca="1">'Fuel Costs'!$E186*Q382</f>
        <v>0</v>
      </c>
      <c r="R729">
        <f ca="1">'Fuel Costs'!$E186*R382</f>
        <v>0</v>
      </c>
      <c r="S729">
        <f ca="1">'Fuel Costs'!$E186*S382</f>
        <v>0</v>
      </c>
      <c r="T729">
        <f ca="1">'Fuel Costs'!$E186*T382</f>
        <v>0</v>
      </c>
      <c r="U729">
        <f ca="1">'Fuel Costs'!$E186*U382</f>
        <v>0</v>
      </c>
      <c r="V729">
        <f ca="1">'Fuel Costs'!$E186*V382</f>
        <v>0</v>
      </c>
      <c r="W729">
        <f ca="1">'Fuel Costs'!$E186*W382</f>
        <v>0</v>
      </c>
      <c r="X729">
        <f ca="1">'Fuel Costs'!$E186*X382</f>
        <v>0</v>
      </c>
      <c r="Y729">
        <f ca="1">'Fuel Costs'!$E186*Y382</f>
        <v>0</v>
      </c>
      <c r="Z729">
        <f ca="1">'Fuel Costs'!$E186*Z382</f>
        <v>0</v>
      </c>
      <c r="AA729">
        <f ca="1">'Fuel Costs'!$E186*AA382</f>
        <v>0</v>
      </c>
      <c r="AB729">
        <f ca="1">'Fuel Costs'!$E186*AB382</f>
        <v>3.8188719693755398E-5</v>
      </c>
      <c r="AC729">
        <f ca="1">'Fuel Costs'!$E186*AC382</f>
        <v>7.6377439387510795E-5</v>
      </c>
    </row>
    <row r="730" spans="3:29">
      <c r="C730" t="str">
        <f t="shared" si="177"/>
        <v>-</v>
      </c>
      <c r="D730">
        <f>'Fuel Costs'!$E187*D383</f>
        <v>0</v>
      </c>
      <c r="E730">
        <f>'Fuel Costs'!$E187*E383</f>
        <v>0</v>
      </c>
      <c r="F730">
        <f>'Fuel Costs'!$E187*F383</f>
        <v>0</v>
      </c>
      <c r="G730">
        <f>'Fuel Costs'!$E187*G383</f>
        <v>0</v>
      </c>
      <c r="H730">
        <f>'Fuel Costs'!$E187*H383</f>
        <v>0</v>
      </c>
      <c r="I730">
        <f ca="1">'Fuel Costs'!$E187*I383</f>
        <v>0</v>
      </c>
      <c r="J730">
        <f ca="1">'Fuel Costs'!$E187*J383</f>
        <v>0</v>
      </c>
      <c r="K730">
        <f ca="1">'Fuel Costs'!$E187*K383</f>
        <v>0</v>
      </c>
      <c r="L730">
        <f ca="1">'Fuel Costs'!$E187*L383</f>
        <v>0</v>
      </c>
      <c r="M730">
        <f ca="1">'Fuel Costs'!$E187*M383</f>
        <v>0</v>
      </c>
      <c r="N730">
        <f ca="1">'Fuel Costs'!$E187*N383</f>
        <v>0</v>
      </c>
      <c r="O730">
        <f ca="1">'Fuel Costs'!$E187*O383</f>
        <v>0</v>
      </c>
      <c r="P730">
        <f ca="1">'Fuel Costs'!$E187*P383</f>
        <v>0</v>
      </c>
      <c r="Q730">
        <f ca="1">'Fuel Costs'!$E187*Q383</f>
        <v>0</v>
      </c>
      <c r="R730">
        <f ca="1">'Fuel Costs'!$E187*R383</f>
        <v>0</v>
      </c>
      <c r="S730">
        <f ca="1">'Fuel Costs'!$E187*S383</f>
        <v>0</v>
      </c>
      <c r="T730">
        <f ca="1">'Fuel Costs'!$E187*T383</f>
        <v>0</v>
      </c>
      <c r="U730">
        <f ca="1">'Fuel Costs'!$E187*U383</f>
        <v>0</v>
      </c>
      <c r="V730">
        <f ca="1">'Fuel Costs'!$E187*V383</f>
        <v>0</v>
      </c>
      <c r="W730">
        <f ca="1">'Fuel Costs'!$E187*W383</f>
        <v>0</v>
      </c>
      <c r="X730">
        <f ca="1">'Fuel Costs'!$E187*X383</f>
        <v>0</v>
      </c>
      <c r="Y730">
        <f ca="1">'Fuel Costs'!$E187*Y383</f>
        <v>0</v>
      </c>
      <c r="Z730">
        <f ca="1">'Fuel Costs'!$E187*Z383</f>
        <v>0</v>
      </c>
      <c r="AA730">
        <f ca="1">'Fuel Costs'!$E187*AA383</f>
        <v>0</v>
      </c>
      <c r="AB730">
        <f ca="1">'Fuel Costs'!$E187*AB383</f>
        <v>0</v>
      </c>
      <c r="AC730">
        <f ca="1">'Fuel Costs'!$E187*AC383</f>
        <v>0</v>
      </c>
    </row>
    <row r="731" spans="3:29">
      <c r="C731" t="str">
        <f t="shared" si="177"/>
        <v>-</v>
      </c>
      <c r="D731">
        <f>'Fuel Costs'!$E188*D384</f>
        <v>0</v>
      </c>
      <c r="E731">
        <f>'Fuel Costs'!$E188*E384</f>
        <v>0</v>
      </c>
      <c r="F731">
        <f>'Fuel Costs'!$E188*F384</f>
        <v>0</v>
      </c>
      <c r="G731">
        <f>'Fuel Costs'!$E188*G384</f>
        <v>0</v>
      </c>
      <c r="H731">
        <f>'Fuel Costs'!$E188*H384</f>
        <v>0</v>
      </c>
      <c r="I731">
        <f ca="1">'Fuel Costs'!$E188*I384</f>
        <v>0</v>
      </c>
      <c r="J731">
        <f ca="1">'Fuel Costs'!$E188*J384</f>
        <v>0</v>
      </c>
      <c r="K731">
        <f ca="1">'Fuel Costs'!$E188*K384</f>
        <v>0</v>
      </c>
      <c r="L731">
        <f ca="1">'Fuel Costs'!$E188*L384</f>
        <v>0</v>
      </c>
      <c r="M731">
        <f ca="1">'Fuel Costs'!$E188*M384</f>
        <v>0</v>
      </c>
      <c r="N731">
        <f ca="1">'Fuel Costs'!$E188*N384</f>
        <v>0</v>
      </c>
      <c r="O731">
        <f ca="1">'Fuel Costs'!$E188*O384</f>
        <v>0</v>
      </c>
      <c r="P731">
        <f ca="1">'Fuel Costs'!$E188*P384</f>
        <v>0</v>
      </c>
      <c r="Q731">
        <f ca="1">'Fuel Costs'!$E188*Q384</f>
        <v>0</v>
      </c>
      <c r="R731">
        <f ca="1">'Fuel Costs'!$E188*R384</f>
        <v>0</v>
      </c>
      <c r="S731">
        <f ca="1">'Fuel Costs'!$E188*S384</f>
        <v>0</v>
      </c>
      <c r="T731">
        <f ca="1">'Fuel Costs'!$E188*T384</f>
        <v>0</v>
      </c>
      <c r="U731">
        <f ca="1">'Fuel Costs'!$E188*U384</f>
        <v>0</v>
      </c>
      <c r="V731">
        <f ca="1">'Fuel Costs'!$E188*V384</f>
        <v>0</v>
      </c>
      <c r="W731">
        <f ca="1">'Fuel Costs'!$E188*W384</f>
        <v>0</v>
      </c>
      <c r="X731">
        <f ca="1">'Fuel Costs'!$E188*X384</f>
        <v>0</v>
      </c>
      <c r="Y731">
        <f ca="1">'Fuel Costs'!$E188*Y384</f>
        <v>0</v>
      </c>
      <c r="Z731">
        <f ca="1">'Fuel Costs'!$E188*Z384</f>
        <v>0</v>
      </c>
      <c r="AA731">
        <f ca="1">'Fuel Costs'!$E188*AA384</f>
        <v>0</v>
      </c>
      <c r="AB731">
        <f ca="1">'Fuel Costs'!$E188*AB384</f>
        <v>0</v>
      </c>
      <c r="AC731">
        <f ca="1">'Fuel Costs'!$E188*AC384</f>
        <v>0</v>
      </c>
    </row>
    <row r="732" spans="3:29">
      <c r="C732" t="str">
        <f t="shared" si="177"/>
        <v>-</v>
      </c>
      <c r="D732">
        <f>'Fuel Costs'!$E189*D385</f>
        <v>0</v>
      </c>
      <c r="E732">
        <f>'Fuel Costs'!$E189*E385</f>
        <v>0</v>
      </c>
      <c r="F732">
        <f>'Fuel Costs'!$E189*F385</f>
        <v>0</v>
      </c>
      <c r="G732">
        <f>'Fuel Costs'!$E189*G385</f>
        <v>0</v>
      </c>
      <c r="H732">
        <f>'Fuel Costs'!$E189*H385</f>
        <v>0</v>
      </c>
      <c r="I732">
        <f ca="1">'Fuel Costs'!$E189*I385</f>
        <v>0</v>
      </c>
      <c r="J732">
        <f ca="1">'Fuel Costs'!$E189*J385</f>
        <v>0</v>
      </c>
      <c r="K732">
        <f ca="1">'Fuel Costs'!$E189*K385</f>
        <v>0</v>
      </c>
      <c r="L732">
        <f ca="1">'Fuel Costs'!$E189*L385</f>
        <v>0</v>
      </c>
      <c r="M732">
        <f ca="1">'Fuel Costs'!$E189*M385</f>
        <v>0</v>
      </c>
      <c r="N732">
        <f ca="1">'Fuel Costs'!$E189*N385</f>
        <v>0</v>
      </c>
      <c r="O732">
        <f ca="1">'Fuel Costs'!$E189*O385</f>
        <v>0</v>
      </c>
      <c r="P732">
        <f ca="1">'Fuel Costs'!$E189*P385</f>
        <v>0</v>
      </c>
      <c r="Q732">
        <f ca="1">'Fuel Costs'!$E189*Q385</f>
        <v>0</v>
      </c>
      <c r="R732">
        <f ca="1">'Fuel Costs'!$E189*R385</f>
        <v>0</v>
      </c>
      <c r="S732">
        <f ca="1">'Fuel Costs'!$E189*S385</f>
        <v>0</v>
      </c>
      <c r="T732">
        <f ca="1">'Fuel Costs'!$E189*T385</f>
        <v>0</v>
      </c>
      <c r="U732">
        <f ca="1">'Fuel Costs'!$E189*U385</f>
        <v>0</v>
      </c>
      <c r="V732">
        <f ca="1">'Fuel Costs'!$E189*V385</f>
        <v>0</v>
      </c>
      <c r="W732">
        <f ca="1">'Fuel Costs'!$E189*W385</f>
        <v>0</v>
      </c>
      <c r="X732">
        <f ca="1">'Fuel Costs'!$E189*X385</f>
        <v>0</v>
      </c>
      <c r="Y732">
        <f ca="1">'Fuel Costs'!$E189*Y385</f>
        <v>0</v>
      </c>
      <c r="Z732">
        <f ca="1">'Fuel Costs'!$E189*Z385</f>
        <v>0</v>
      </c>
      <c r="AA732">
        <f ca="1">'Fuel Costs'!$E189*AA385</f>
        <v>0</v>
      </c>
      <c r="AB732">
        <f ca="1">'Fuel Costs'!$E189*AB385</f>
        <v>0</v>
      </c>
      <c r="AC732">
        <f ca="1">'Fuel Costs'!$E189*AC385</f>
        <v>0</v>
      </c>
    </row>
    <row r="733" spans="3:29">
      <c r="C733" t="str">
        <f t="shared" si="177"/>
        <v>Pumped storage</v>
      </c>
      <c r="D733">
        <f>'Fuel Costs'!$E190*D386</f>
        <v>0</v>
      </c>
      <c r="E733">
        <f>'Fuel Costs'!$E190*E386</f>
        <v>0</v>
      </c>
      <c r="F733">
        <f>'Fuel Costs'!$E190*F386</f>
        <v>0</v>
      </c>
      <c r="G733">
        <f>'Fuel Costs'!$E190*G386</f>
        <v>0</v>
      </c>
      <c r="H733">
        <f>'Fuel Costs'!$E190*H386</f>
        <v>0</v>
      </c>
      <c r="I733">
        <f ca="1">'Fuel Costs'!$E190*I386</f>
        <v>0</v>
      </c>
      <c r="J733">
        <f ca="1">'Fuel Costs'!$E190*J386</f>
        <v>0</v>
      </c>
      <c r="K733">
        <f ca="1">'Fuel Costs'!$E190*K386</f>
        <v>0</v>
      </c>
      <c r="L733">
        <f ca="1">'Fuel Costs'!$E190*L386</f>
        <v>0</v>
      </c>
      <c r="M733">
        <f ca="1">'Fuel Costs'!$E190*M386</f>
        <v>0</v>
      </c>
      <c r="N733">
        <f ca="1">'Fuel Costs'!$E190*N386</f>
        <v>0</v>
      </c>
      <c r="O733">
        <f ca="1">'Fuel Costs'!$E190*O386</f>
        <v>0</v>
      </c>
      <c r="P733">
        <f ca="1">'Fuel Costs'!$E190*P386</f>
        <v>0</v>
      </c>
      <c r="Q733">
        <f ca="1">'Fuel Costs'!$E190*Q386</f>
        <v>0</v>
      </c>
      <c r="R733">
        <f ca="1">'Fuel Costs'!$E190*R386</f>
        <v>0</v>
      </c>
      <c r="S733">
        <f ca="1">'Fuel Costs'!$E190*S386</f>
        <v>0</v>
      </c>
      <c r="T733">
        <f ca="1">'Fuel Costs'!$E190*T386</f>
        <v>0</v>
      </c>
      <c r="U733">
        <f ca="1">'Fuel Costs'!$E190*U386</f>
        <v>0</v>
      </c>
      <c r="V733">
        <f ca="1">'Fuel Costs'!$E190*V386</f>
        <v>0</v>
      </c>
      <c r="W733">
        <f ca="1">'Fuel Costs'!$E190*W386</f>
        <v>0</v>
      </c>
      <c r="X733">
        <f ca="1">'Fuel Costs'!$E190*X386</f>
        <v>0</v>
      </c>
      <c r="Y733">
        <f ca="1">'Fuel Costs'!$E190*Y386</f>
        <v>0</v>
      </c>
      <c r="Z733">
        <f ca="1">'Fuel Costs'!$E190*Z386</f>
        <v>0</v>
      </c>
      <c r="AA733">
        <f ca="1">'Fuel Costs'!$E190*AA386</f>
        <v>0</v>
      </c>
      <c r="AB733">
        <f ca="1">'Fuel Costs'!$E190*AB386</f>
        <v>0</v>
      </c>
      <c r="AC733">
        <f ca="1">'Fuel Costs'!$E190*AC386</f>
        <v>0</v>
      </c>
    </row>
    <row r="734" spans="3:29">
      <c r="C734" s="4" t="s">
        <v>5</v>
      </c>
      <c r="D734">
        <f>SUM(D714:D733)</f>
        <v>2.2919070122562782E-3</v>
      </c>
      <c r="E734">
        <f t="shared" ref="E734:AC734" si="178">SUM(E714:E733)</f>
        <v>2.2919070122562786E-3</v>
      </c>
      <c r="F734">
        <f t="shared" si="178"/>
        <v>2.3618483585562404E-3</v>
      </c>
      <c r="G734">
        <f t="shared" si="178"/>
        <v>2.3862119639201512E-3</v>
      </c>
      <c r="H734">
        <f t="shared" si="178"/>
        <v>2.3862119639201512E-3</v>
      </c>
      <c r="I734">
        <f t="shared" ca="1" si="178"/>
        <v>2.4569697809092711E-3</v>
      </c>
      <c r="J734">
        <f t="shared" ca="1" si="178"/>
        <v>2.5121568985347247E-3</v>
      </c>
      <c r="K734">
        <f t="shared" ca="1" si="178"/>
        <v>2.5672881704882538E-3</v>
      </c>
      <c r="L734">
        <f t="shared" ca="1" si="178"/>
        <v>2.6303000133711067E-3</v>
      </c>
      <c r="M734">
        <f t="shared" ca="1" si="178"/>
        <v>2.7079409613874638E-3</v>
      </c>
      <c r="N734">
        <f t="shared" ca="1" si="178"/>
        <v>2.7678925630194337E-3</v>
      </c>
      <c r="O734">
        <f t="shared" ca="1" si="178"/>
        <v>2.8269921960778158E-3</v>
      </c>
      <c r="P734">
        <f t="shared" ca="1" si="178"/>
        <v>2.8647001514590623E-3</v>
      </c>
      <c r="Q734">
        <f t="shared" ca="1" si="178"/>
        <v>2.8865167239116476E-3</v>
      </c>
      <c r="R734">
        <f t="shared" ca="1" si="178"/>
        <v>2.8793274741151179E-3</v>
      </c>
      <c r="S734">
        <f t="shared" ca="1" si="178"/>
        <v>2.8464067853010413E-3</v>
      </c>
      <c r="T734">
        <f t="shared" ca="1" si="178"/>
        <v>2.7852071815642554E-3</v>
      </c>
      <c r="U734">
        <f t="shared" ca="1" si="178"/>
        <v>2.7613441650441058E-3</v>
      </c>
      <c r="V734">
        <f t="shared" ca="1" si="178"/>
        <v>2.6900462801851517E-3</v>
      </c>
      <c r="W734">
        <f t="shared" ca="1" si="178"/>
        <v>2.6217098271518291E-3</v>
      </c>
      <c r="X734">
        <f t="shared" ca="1" si="178"/>
        <v>2.5561938257544548E-3</v>
      </c>
      <c r="Y734">
        <f t="shared" ca="1" si="178"/>
        <v>2.501296124725369E-3</v>
      </c>
      <c r="Z734">
        <f t="shared" ca="1" si="178"/>
        <v>2.442088112326552E-3</v>
      </c>
      <c r="AA734">
        <f t="shared" ca="1" si="178"/>
        <v>2.3817352106907741E-3</v>
      </c>
      <c r="AB734">
        <f t="shared" ca="1" si="178"/>
        <v>2.3207152161542127E-3</v>
      </c>
      <c r="AC734">
        <f t="shared" ca="1" si="178"/>
        <v>2.2434936487888959E-3</v>
      </c>
    </row>
    <row r="736" spans="3:29">
      <c r="C736" s="4" t="s">
        <v>152</v>
      </c>
    </row>
    <row r="737" spans="3:29">
      <c r="C737" t="str">
        <f>C8</f>
        <v>Existing coal Large</v>
      </c>
      <c r="D737">
        <f>'Fuel Costs'!$F171*D367</f>
        <v>2.9723942715968593E-3</v>
      </c>
      <c r="E737">
        <f>'Fuel Costs'!$F171*E367</f>
        <v>2.9723942715968593E-3</v>
      </c>
      <c r="F737">
        <f>'Fuel Costs'!$F171*F367</f>
        <v>3.0703121564168061E-3</v>
      </c>
      <c r="G737">
        <f>'Fuel Costs'!$F171*G367</f>
        <v>3.1044212039262808E-3</v>
      </c>
      <c r="H737">
        <f>'Fuel Costs'!$F171*H367</f>
        <v>3.1044212039262808E-3</v>
      </c>
      <c r="I737">
        <f ca="1">'Fuel Costs'!$F171*I367</f>
        <v>3.177710708101346E-3</v>
      </c>
      <c r="J737">
        <f ca="1">'Fuel Costs'!$F171*J367</f>
        <v>3.2256800007927204E-3</v>
      </c>
      <c r="K737">
        <f ca="1">'Fuel Costs'!$F171*K367</f>
        <v>3.2798486113432231E-3</v>
      </c>
      <c r="L737">
        <f ca="1">'Fuel Costs'!$F171*L367</f>
        <v>3.3220348510103427E-3</v>
      </c>
      <c r="M737">
        <f ca="1">'Fuel Costs'!$F171*M367</f>
        <v>3.3552754091168997E-3</v>
      </c>
      <c r="N737">
        <f ca="1">'Fuel Costs'!$F171*N367</f>
        <v>3.3552754091168997E-3</v>
      </c>
      <c r="O737">
        <f ca="1">'Fuel Costs'!$F171*O367</f>
        <v>3.3552754091168997E-3</v>
      </c>
      <c r="P737">
        <f ca="1">'Fuel Costs'!$F171*P367</f>
        <v>3.3552754091168997E-3</v>
      </c>
      <c r="Q737">
        <f ca="1">'Fuel Costs'!$F171*Q367</f>
        <v>3.3552754091168997E-3</v>
      </c>
      <c r="R737">
        <f ca="1">'Fuel Costs'!$F171*R367</f>
        <v>3.3552754091168997E-3</v>
      </c>
      <c r="S737">
        <f ca="1">'Fuel Costs'!$F171*S367</f>
        <v>3.3552754091168997E-3</v>
      </c>
      <c r="T737">
        <f ca="1">'Fuel Costs'!$F171*T367</f>
        <v>3.3552754091168997E-3</v>
      </c>
      <c r="U737">
        <f ca="1">'Fuel Costs'!$F171*U367</f>
        <v>3.3552754091168997E-3</v>
      </c>
      <c r="V737">
        <f ca="1">'Fuel Costs'!$F171*V367</f>
        <v>3.27683846212892E-3</v>
      </c>
      <c r="W737">
        <f ca="1">'Fuel Costs'!$F171*W367</f>
        <v>3.181167427882269E-3</v>
      </c>
      <c r="X737">
        <f ca="1">'Fuel Costs'!$F171*X367</f>
        <v>3.1042161090352968E-3</v>
      </c>
      <c r="Y737">
        <f ca="1">'Fuel Costs'!$F171*Y367</f>
        <v>2.9473040464842951E-3</v>
      </c>
      <c r="Z737">
        <f ca="1">'Fuel Costs'!$F171*Z367</f>
        <v>2.7903919839332922E-3</v>
      </c>
      <c r="AA737">
        <f ca="1">'Fuel Costs'!$F171*AA367</f>
        <v>2.6004458029505006E-3</v>
      </c>
      <c r="AB737">
        <f ca="1">'Fuel Costs'!$F171*AB367</f>
        <v>2.2205534409849171E-3</v>
      </c>
      <c r="AC737">
        <f ca="1">'Fuel Costs'!$F171*AC367</f>
        <v>2.0306072600021242E-3</v>
      </c>
    </row>
    <row r="738" spans="3:29">
      <c r="C738" t="str">
        <f t="shared" ref="C738:C756" si="179">C9</f>
        <v>Existing coal Small</v>
      </c>
      <c r="D738">
        <f>'Fuel Costs'!$F172*D368</f>
        <v>2.0505630572809178E-4</v>
      </c>
      <c r="E738">
        <f>'Fuel Costs'!$F172*E368</f>
        <v>2.0505630572809178E-4</v>
      </c>
      <c r="F738">
        <f>'Fuel Costs'!$F172*F368</f>
        <v>2.0505630572809178E-4</v>
      </c>
      <c r="G738">
        <f>'Fuel Costs'!$F172*G368</f>
        <v>2.0505630572809178E-4</v>
      </c>
      <c r="H738">
        <f>'Fuel Costs'!$F172*H368</f>
        <v>2.0505630572809178E-4</v>
      </c>
      <c r="I738">
        <f ca="1">'Fuel Costs'!$F172*I368</f>
        <v>2.3082774533779489E-4</v>
      </c>
      <c r="J738">
        <f ca="1">'Fuel Costs'!$F172*J368</f>
        <v>2.4607175939682862E-4</v>
      </c>
      <c r="K738">
        <f ca="1">'Fuel Costs'!$F172*K368</f>
        <v>2.4607175939682862E-4</v>
      </c>
      <c r="L738">
        <f ca="1">'Fuel Costs'!$F172*L368</f>
        <v>2.4607175939682862E-4</v>
      </c>
      <c r="M738">
        <f ca="1">'Fuel Costs'!$F172*M368</f>
        <v>2.4607175939682862E-4</v>
      </c>
      <c r="N738">
        <f ca="1">'Fuel Costs'!$F172*N368</f>
        <v>2.4607175939682862E-4</v>
      </c>
      <c r="O738">
        <f ca="1">'Fuel Costs'!$F172*O368</f>
        <v>2.4465678284431931E-4</v>
      </c>
      <c r="P738">
        <f ca="1">'Fuel Costs'!$F172*P368</f>
        <v>2.4324180629181004E-4</v>
      </c>
      <c r="Q738">
        <f ca="1">'Fuel Costs'!$F172*Q368</f>
        <v>2.413551708884643E-4</v>
      </c>
      <c r="R738">
        <f ca="1">'Fuel Costs'!$F172*R368</f>
        <v>2.3946853548511849E-4</v>
      </c>
      <c r="S738">
        <f ca="1">'Fuel Costs'!$F172*S368</f>
        <v>2.03622462821549E-4</v>
      </c>
      <c r="T738">
        <f ca="1">'Fuel Costs'!$F172*T368</f>
        <v>1.6777639015797951E-4</v>
      </c>
      <c r="U738">
        <f ca="1">'Fuel Costs'!$F172*U368</f>
        <v>1.6777639015797951E-4</v>
      </c>
      <c r="V738">
        <f ca="1">'Fuel Costs'!$F172*V368</f>
        <v>1.6777639015797951E-4</v>
      </c>
      <c r="W738">
        <f ca="1">'Fuel Costs'!$F172*W368</f>
        <v>1.6777639015797951E-4</v>
      </c>
      <c r="X738">
        <f ca="1">'Fuel Costs'!$F172*X368</f>
        <v>1.5125994533246695E-4</v>
      </c>
      <c r="Y738">
        <f ca="1">'Fuel Costs'!$F172*Y368</f>
        <v>1.3474350050695445E-4</v>
      </c>
      <c r="Z738">
        <f ca="1">'Fuel Costs'!$F172*Z368</f>
        <v>1.3474350050695445E-4</v>
      </c>
      <c r="AA738">
        <f ca="1">'Fuel Costs'!$F172*AA368</f>
        <v>1.3474350050695445E-4</v>
      </c>
      <c r="AB738">
        <f ca="1">'Fuel Costs'!$F172*AB368</f>
        <v>1.3474350050695445E-4</v>
      </c>
      <c r="AC738">
        <f ca="1">'Fuel Costs'!$F172*AC368</f>
        <v>1.3474350050695445E-4</v>
      </c>
    </row>
    <row r="739" spans="3:29">
      <c r="C739" t="str">
        <f t="shared" si="179"/>
        <v>OCGT liquid fuels</v>
      </c>
      <c r="D739">
        <f>'Fuel Costs'!$F173*D369</f>
        <v>4.4598914048340276E-6</v>
      </c>
      <c r="E739">
        <f>'Fuel Costs'!$F173*E369</f>
        <v>4.4598914048340276E-6</v>
      </c>
      <c r="F739">
        <f>'Fuel Costs'!$F173*F369</f>
        <v>4.4598914048340276E-6</v>
      </c>
      <c r="G739">
        <f>'Fuel Costs'!$F173*G369</f>
        <v>4.4598914048340276E-6</v>
      </c>
      <c r="H739">
        <f>'Fuel Costs'!$F173*H369</f>
        <v>4.4598914048340276E-6</v>
      </c>
      <c r="I739">
        <f ca="1">'Fuel Costs'!$F173*I369</f>
        <v>4.4598914048340276E-6</v>
      </c>
      <c r="J739">
        <f ca="1">'Fuel Costs'!$F173*J369</f>
        <v>6.4668425370093403E-6</v>
      </c>
      <c r="K739">
        <f ca="1">'Fuel Costs'!$F173*K369</f>
        <v>6.4668425370093403E-6</v>
      </c>
      <c r="L739">
        <f ca="1">'Fuel Costs'!$F173*L369</f>
        <v>6.4668425370093403E-6</v>
      </c>
      <c r="M739">
        <f ca="1">'Fuel Costs'!$F173*M369</f>
        <v>6.4668425370093403E-6</v>
      </c>
      <c r="N739">
        <f ca="1">'Fuel Costs'!$F173*N369</f>
        <v>6.4668425370093403E-6</v>
      </c>
      <c r="O739">
        <f ca="1">'Fuel Costs'!$F173*O369</f>
        <v>6.4668425370093403E-6</v>
      </c>
      <c r="P739">
        <f ca="1">'Fuel Costs'!$F173*P369</f>
        <v>6.4668425370093403E-6</v>
      </c>
      <c r="Q739">
        <f ca="1">'Fuel Costs'!$F173*Q369</f>
        <v>6.4668425370093403E-6</v>
      </c>
      <c r="R739">
        <f ca="1">'Fuel Costs'!$F173*R369</f>
        <v>6.4668425370093403E-6</v>
      </c>
      <c r="S739">
        <f ca="1">'Fuel Costs'!$F173*S369</f>
        <v>6.4668425370093403E-6</v>
      </c>
      <c r="T739">
        <f ca="1">'Fuel Costs'!$F173*T369</f>
        <v>6.4668425370093403E-6</v>
      </c>
      <c r="U739">
        <f ca="1">'Fuel Costs'!$F173*U369</f>
        <v>6.4668425370093403E-6</v>
      </c>
      <c r="V739">
        <f ca="1">'Fuel Costs'!$F173*V369</f>
        <v>6.4668425370093403E-6</v>
      </c>
      <c r="W739">
        <f ca="1">'Fuel Costs'!$F173*W369</f>
        <v>6.4668425370093403E-6</v>
      </c>
      <c r="X739">
        <f ca="1">'Fuel Costs'!$F173*X369</f>
        <v>6.4668425370093403E-6</v>
      </c>
      <c r="Y739">
        <f ca="1">'Fuel Costs'!$F173*Y369</f>
        <v>7.8048099584595502E-6</v>
      </c>
      <c r="Z739">
        <f ca="1">'Fuel Costs'!$F173*Z369</f>
        <v>7.8048099584595502E-6</v>
      </c>
      <c r="AA739">
        <f ca="1">'Fuel Costs'!$F173*AA369</f>
        <v>7.8048099584595502E-6</v>
      </c>
      <c r="AB739">
        <f ca="1">'Fuel Costs'!$F173*AB369</f>
        <v>9.5887665203931606E-6</v>
      </c>
      <c r="AC739">
        <f ca="1">'Fuel Costs'!$F173*AC369</f>
        <v>1.1054955819732345E-5</v>
      </c>
    </row>
    <row r="740" spans="3:29">
      <c r="C740" t="str">
        <f t="shared" si="179"/>
        <v>PWR nuclear</v>
      </c>
      <c r="D740">
        <f>'Fuel Costs'!$F174*D370</f>
        <v>0</v>
      </c>
      <c r="E740">
        <f>'Fuel Costs'!$F174*E370</f>
        <v>0</v>
      </c>
      <c r="F740">
        <f>'Fuel Costs'!$F174*F370</f>
        <v>0</v>
      </c>
      <c r="G740">
        <f>'Fuel Costs'!$F174*G370</f>
        <v>0</v>
      </c>
      <c r="H740">
        <f>'Fuel Costs'!$F174*H370</f>
        <v>0</v>
      </c>
      <c r="I740">
        <f ca="1">'Fuel Costs'!$F174*I370</f>
        <v>0</v>
      </c>
      <c r="J740">
        <f ca="1">'Fuel Costs'!$F174*J370</f>
        <v>0</v>
      </c>
      <c r="K740">
        <f ca="1">'Fuel Costs'!$F174*K370</f>
        <v>0</v>
      </c>
      <c r="L740">
        <f ca="1">'Fuel Costs'!$F174*L370</f>
        <v>0</v>
      </c>
      <c r="M740">
        <f ca="1">'Fuel Costs'!$F174*M370</f>
        <v>0</v>
      </c>
      <c r="N740">
        <f ca="1">'Fuel Costs'!$F174*N370</f>
        <v>0</v>
      </c>
      <c r="O740">
        <f ca="1">'Fuel Costs'!$F174*O370</f>
        <v>0</v>
      </c>
      <c r="P740">
        <f ca="1">'Fuel Costs'!$F174*P370</f>
        <v>0</v>
      </c>
      <c r="Q740">
        <f ca="1">'Fuel Costs'!$F174*Q370</f>
        <v>0</v>
      </c>
      <c r="R740">
        <f ca="1">'Fuel Costs'!$F174*R370</f>
        <v>0</v>
      </c>
      <c r="S740">
        <f ca="1">'Fuel Costs'!$F174*S370</f>
        <v>0</v>
      </c>
      <c r="T740">
        <f ca="1">'Fuel Costs'!$F174*T370</f>
        <v>0</v>
      </c>
      <c r="U740">
        <f ca="1">'Fuel Costs'!$F174*U370</f>
        <v>0</v>
      </c>
      <c r="V740">
        <f ca="1">'Fuel Costs'!$F174*V370</f>
        <v>0</v>
      </c>
      <c r="W740">
        <f ca="1">'Fuel Costs'!$F174*W370</f>
        <v>0</v>
      </c>
      <c r="X740">
        <f ca="1">'Fuel Costs'!$F174*X370</f>
        <v>0</v>
      </c>
      <c r="Y740">
        <f ca="1">'Fuel Costs'!$F174*Y370</f>
        <v>0</v>
      </c>
      <c r="Z740">
        <f ca="1">'Fuel Costs'!$F174*Z370</f>
        <v>0</v>
      </c>
      <c r="AA740">
        <f ca="1">'Fuel Costs'!$F174*AA370</f>
        <v>0</v>
      </c>
      <c r="AB740">
        <f ca="1">'Fuel Costs'!$F174*AB370</f>
        <v>0</v>
      </c>
      <c r="AC740">
        <f ca="1">'Fuel Costs'!$F174*AC370</f>
        <v>0</v>
      </c>
    </row>
    <row r="741" spans="3:29">
      <c r="C741" t="str">
        <f t="shared" si="179"/>
        <v>Hydro</v>
      </c>
      <c r="D741">
        <f>'Fuel Costs'!$F175*D371</f>
        <v>0</v>
      </c>
      <c r="E741">
        <f>'Fuel Costs'!$F175*E371</f>
        <v>0</v>
      </c>
      <c r="F741">
        <f>'Fuel Costs'!$F175*F371</f>
        <v>0</v>
      </c>
      <c r="G741">
        <f>'Fuel Costs'!$F175*G371</f>
        <v>0</v>
      </c>
      <c r="H741">
        <f>'Fuel Costs'!$F175*H371</f>
        <v>0</v>
      </c>
      <c r="I741">
        <f ca="1">'Fuel Costs'!$F175*I371</f>
        <v>0</v>
      </c>
      <c r="J741">
        <f ca="1">'Fuel Costs'!$F175*J371</f>
        <v>0</v>
      </c>
      <c r="K741">
        <f ca="1">'Fuel Costs'!$F175*K371</f>
        <v>0</v>
      </c>
      <c r="L741">
        <f ca="1">'Fuel Costs'!$F175*L371</f>
        <v>0</v>
      </c>
      <c r="M741">
        <f ca="1">'Fuel Costs'!$F175*M371</f>
        <v>0</v>
      </c>
      <c r="N741">
        <f ca="1">'Fuel Costs'!$F175*N371</f>
        <v>0</v>
      </c>
      <c r="O741">
        <f ca="1">'Fuel Costs'!$F175*O371</f>
        <v>0</v>
      </c>
      <c r="P741">
        <f ca="1">'Fuel Costs'!$F175*P371</f>
        <v>0</v>
      </c>
      <c r="Q741">
        <f ca="1">'Fuel Costs'!$F175*Q371</f>
        <v>0</v>
      </c>
      <c r="R741">
        <f ca="1">'Fuel Costs'!$F175*R371</f>
        <v>0</v>
      </c>
      <c r="S741">
        <f ca="1">'Fuel Costs'!$F175*S371</f>
        <v>0</v>
      </c>
      <c r="T741">
        <f ca="1">'Fuel Costs'!$F175*T371</f>
        <v>0</v>
      </c>
      <c r="U741">
        <f ca="1">'Fuel Costs'!$F175*U371</f>
        <v>0</v>
      </c>
      <c r="V741">
        <f ca="1">'Fuel Costs'!$F175*V371</f>
        <v>0</v>
      </c>
      <c r="W741">
        <f ca="1">'Fuel Costs'!$F175*W371</f>
        <v>0</v>
      </c>
      <c r="X741">
        <f ca="1">'Fuel Costs'!$F175*X371</f>
        <v>0</v>
      </c>
      <c r="Y741">
        <f ca="1">'Fuel Costs'!$F175*Y371</f>
        <v>0</v>
      </c>
      <c r="Z741">
        <f ca="1">'Fuel Costs'!$F175*Z371</f>
        <v>0</v>
      </c>
      <c r="AA741">
        <f ca="1">'Fuel Costs'!$F175*AA371</f>
        <v>0</v>
      </c>
      <c r="AB741">
        <f ca="1">'Fuel Costs'!$F175*AB371</f>
        <v>0</v>
      </c>
      <c r="AC741">
        <f ca="1">'Fuel Costs'!$F175*AC371</f>
        <v>0</v>
      </c>
    </row>
    <row r="742" spans="3:29">
      <c r="C742" t="str">
        <f t="shared" si="179"/>
        <v>Landfill gas</v>
      </c>
      <c r="D742">
        <f>'Fuel Costs'!$F176*D372</f>
        <v>0</v>
      </c>
      <c r="E742">
        <f>'Fuel Costs'!$F176*E372</f>
        <v>0</v>
      </c>
      <c r="F742">
        <f>'Fuel Costs'!$F176*F372</f>
        <v>0</v>
      </c>
      <c r="G742">
        <f>'Fuel Costs'!$F176*G372</f>
        <v>0</v>
      </c>
      <c r="H742">
        <f>'Fuel Costs'!$F176*H372</f>
        <v>0</v>
      </c>
      <c r="I742">
        <f ca="1">'Fuel Costs'!$F176*I372</f>
        <v>0</v>
      </c>
      <c r="J742">
        <f ca="1">'Fuel Costs'!$F176*J372</f>
        <v>0</v>
      </c>
      <c r="K742">
        <f ca="1">'Fuel Costs'!$F176*K372</f>
        <v>0</v>
      </c>
      <c r="L742">
        <f ca="1">'Fuel Costs'!$F176*L372</f>
        <v>0</v>
      </c>
      <c r="M742">
        <f ca="1">'Fuel Costs'!$F176*M372</f>
        <v>0</v>
      </c>
      <c r="N742">
        <f ca="1">'Fuel Costs'!$F176*N372</f>
        <v>0</v>
      </c>
      <c r="O742">
        <f ca="1">'Fuel Costs'!$F176*O372</f>
        <v>0</v>
      </c>
      <c r="P742">
        <f ca="1">'Fuel Costs'!$F176*P372</f>
        <v>0</v>
      </c>
      <c r="Q742">
        <f ca="1">'Fuel Costs'!$F176*Q372</f>
        <v>0</v>
      </c>
      <c r="R742">
        <f ca="1">'Fuel Costs'!$F176*R372</f>
        <v>0</v>
      </c>
      <c r="S742">
        <f ca="1">'Fuel Costs'!$F176*S372</f>
        <v>0</v>
      </c>
      <c r="T742">
        <f ca="1">'Fuel Costs'!$F176*T372</f>
        <v>0</v>
      </c>
      <c r="U742">
        <f ca="1">'Fuel Costs'!$F176*U372</f>
        <v>0</v>
      </c>
      <c r="V742">
        <f ca="1">'Fuel Costs'!$F176*V372</f>
        <v>0</v>
      </c>
      <c r="W742">
        <f ca="1">'Fuel Costs'!$F176*W372</f>
        <v>0</v>
      </c>
      <c r="X742">
        <f ca="1">'Fuel Costs'!$F176*X372</f>
        <v>0</v>
      </c>
      <c r="Y742">
        <f ca="1">'Fuel Costs'!$F176*Y372</f>
        <v>0</v>
      </c>
      <c r="Z742">
        <f ca="1">'Fuel Costs'!$F176*Z372</f>
        <v>0</v>
      </c>
      <c r="AA742">
        <f ca="1">'Fuel Costs'!$F176*AA372</f>
        <v>0</v>
      </c>
      <c r="AB742">
        <f ca="1">'Fuel Costs'!$F176*AB372</f>
        <v>0</v>
      </c>
      <c r="AC742">
        <f ca="1">'Fuel Costs'!$F176*AC372</f>
        <v>0</v>
      </c>
    </row>
    <row r="743" spans="3:29">
      <c r="C743" t="str">
        <f t="shared" si="179"/>
        <v>Biomass</v>
      </c>
      <c r="D743">
        <f>'Fuel Costs'!$F177*D373</f>
        <v>0</v>
      </c>
      <c r="E743">
        <f>'Fuel Costs'!$F177*E373</f>
        <v>0</v>
      </c>
      <c r="F743">
        <f>'Fuel Costs'!$F177*F373</f>
        <v>0</v>
      </c>
      <c r="G743">
        <f>'Fuel Costs'!$F177*G373</f>
        <v>0</v>
      </c>
      <c r="H743">
        <f>'Fuel Costs'!$F177*H373</f>
        <v>0</v>
      </c>
      <c r="I743">
        <f ca="1">'Fuel Costs'!$F177*I373</f>
        <v>0</v>
      </c>
      <c r="J743">
        <f ca="1">'Fuel Costs'!$F177*J373</f>
        <v>0</v>
      </c>
      <c r="K743">
        <f ca="1">'Fuel Costs'!$F177*K373</f>
        <v>0</v>
      </c>
      <c r="L743">
        <f ca="1">'Fuel Costs'!$F177*L373</f>
        <v>0</v>
      </c>
      <c r="M743">
        <f ca="1">'Fuel Costs'!$F177*M373</f>
        <v>0</v>
      </c>
      <c r="N743">
        <f ca="1">'Fuel Costs'!$F177*N373</f>
        <v>0</v>
      </c>
      <c r="O743">
        <f ca="1">'Fuel Costs'!$F177*O373</f>
        <v>0</v>
      </c>
      <c r="P743">
        <f ca="1">'Fuel Costs'!$F177*P373</f>
        <v>0</v>
      </c>
      <c r="Q743">
        <f ca="1">'Fuel Costs'!$F177*Q373</f>
        <v>0</v>
      </c>
      <c r="R743">
        <f ca="1">'Fuel Costs'!$F177*R373</f>
        <v>0</v>
      </c>
      <c r="S743">
        <f ca="1">'Fuel Costs'!$F177*S373</f>
        <v>0</v>
      </c>
      <c r="T743">
        <f ca="1">'Fuel Costs'!$F177*T373</f>
        <v>0</v>
      </c>
      <c r="U743">
        <f ca="1">'Fuel Costs'!$F177*U373</f>
        <v>0</v>
      </c>
      <c r="V743">
        <f ca="1">'Fuel Costs'!$F177*V373</f>
        <v>0</v>
      </c>
      <c r="W743">
        <f ca="1">'Fuel Costs'!$F177*W373</f>
        <v>0</v>
      </c>
      <c r="X743">
        <f ca="1">'Fuel Costs'!$F177*X373</f>
        <v>0</v>
      </c>
      <c r="Y743">
        <f ca="1">'Fuel Costs'!$F177*Y373</f>
        <v>0</v>
      </c>
      <c r="Z743">
        <f ca="1">'Fuel Costs'!$F177*Z373</f>
        <v>0</v>
      </c>
      <c r="AA743">
        <f ca="1">'Fuel Costs'!$F177*AA373</f>
        <v>0</v>
      </c>
      <c r="AB743">
        <f ca="1">'Fuel Costs'!$F177*AB373</f>
        <v>0</v>
      </c>
      <c r="AC743">
        <f ca="1">'Fuel Costs'!$F177*AC373</f>
        <v>0</v>
      </c>
    </row>
    <row r="744" spans="3:29">
      <c r="C744" t="str">
        <f t="shared" si="179"/>
        <v>Supercritical coal</v>
      </c>
      <c r="D744">
        <f>'Fuel Costs'!$F178*D374</f>
        <v>0</v>
      </c>
      <c r="E744">
        <f>'Fuel Costs'!$F178*E374</f>
        <v>0</v>
      </c>
      <c r="F744">
        <f>'Fuel Costs'!$F178*F374</f>
        <v>0</v>
      </c>
      <c r="G744">
        <f>'Fuel Costs'!$F178*G374</f>
        <v>0</v>
      </c>
      <c r="H744">
        <f>'Fuel Costs'!$F178*H374</f>
        <v>0</v>
      </c>
      <c r="I744">
        <f ca="1">'Fuel Costs'!$F178*I374</f>
        <v>0</v>
      </c>
      <c r="J744">
        <f ca="1">'Fuel Costs'!$F178*J374</f>
        <v>0</v>
      </c>
      <c r="K744">
        <f ca="1">'Fuel Costs'!$F178*K374</f>
        <v>2.3015170184437203E-5</v>
      </c>
      <c r="L744">
        <f ca="1">'Fuel Costs'!$F178*L374</f>
        <v>6.904551055331161E-5</v>
      </c>
      <c r="M744">
        <f ca="1">'Fuel Costs'!$F178*M374</f>
        <v>1.4450227966965486E-4</v>
      </c>
      <c r="N744">
        <f ca="1">'Fuel Costs'!$F178*N374</f>
        <v>2.2843452195441268E-4</v>
      </c>
      <c r="O744">
        <f ca="1">'Fuel Costs'!$F178*O374</f>
        <v>3.1258898478865713E-4</v>
      </c>
      <c r="P744">
        <f ca="1">'Fuel Costs'!$F178*P374</f>
        <v>3.6679509887491151E-4</v>
      </c>
      <c r="Q744">
        <f ca="1">'Fuel Costs'!$F178*Q374</f>
        <v>3.9922493571187707E-4</v>
      </c>
      <c r="R744">
        <f ca="1">'Fuel Costs'!$F178*R374</f>
        <v>3.9104662140008128E-4</v>
      </c>
      <c r="S744">
        <f ca="1">'Fuel Costs'!$F178*S374</f>
        <v>3.8080372972394341E-4</v>
      </c>
      <c r="T744">
        <f ca="1">'Fuel Costs'!$F178*T374</f>
        <v>3.3097035715601276E-4</v>
      </c>
      <c r="U744">
        <f ca="1">'Fuel Costs'!$F178*U374</f>
        <v>2.9756213402780315E-4</v>
      </c>
      <c r="V744">
        <f ca="1">'Fuel Costs'!$F178*V374</f>
        <v>2.761820422132465E-4</v>
      </c>
      <c r="W744">
        <f ca="1">'Fuel Costs'!$F178*W374</f>
        <v>2.761820422132465E-4</v>
      </c>
      <c r="X744">
        <f ca="1">'Fuel Costs'!$F178*X374</f>
        <v>2.7792740392940709E-4</v>
      </c>
      <c r="Y744">
        <f ca="1">'Fuel Costs'!$F178*Y374</f>
        <v>3.6513335791504956E-4</v>
      </c>
      <c r="Z744">
        <f ca="1">'Fuel Costs'!$F178*Z374</f>
        <v>4.008968423696104E-4</v>
      </c>
      <c r="AA744">
        <f ca="1">'Fuel Costs'!$F178*AA374</f>
        <v>4.4896291995516566E-4</v>
      </c>
      <c r="AB744">
        <f ca="1">'Fuel Costs'!$F178*AB374</f>
        <v>6.2008934495762322E-4</v>
      </c>
      <c r="AC744">
        <f ca="1">'Fuel Costs'!$F178*AC374</f>
        <v>6.3819779896234048E-4</v>
      </c>
    </row>
    <row r="745" spans="3:29">
      <c r="C745" t="str">
        <f t="shared" si="179"/>
        <v xml:space="preserve">Wind 30% </v>
      </c>
      <c r="D745">
        <f>'Fuel Costs'!$F179*D375</f>
        <v>0</v>
      </c>
      <c r="E745">
        <f>'Fuel Costs'!$F179*E375</f>
        <v>0</v>
      </c>
      <c r="F745">
        <f>'Fuel Costs'!$F179*F375</f>
        <v>0</v>
      </c>
      <c r="G745">
        <f>'Fuel Costs'!$F179*G375</f>
        <v>0</v>
      </c>
      <c r="H745">
        <f>'Fuel Costs'!$F179*H375</f>
        <v>0</v>
      </c>
      <c r="I745">
        <f ca="1">'Fuel Costs'!$F179*I375</f>
        <v>0</v>
      </c>
      <c r="J745">
        <f ca="1">'Fuel Costs'!$F179*J375</f>
        <v>0</v>
      </c>
      <c r="K745">
        <f ca="1">'Fuel Costs'!$F179*K375</f>
        <v>0</v>
      </c>
      <c r="L745">
        <f ca="1">'Fuel Costs'!$F179*L375</f>
        <v>0</v>
      </c>
      <c r="M745">
        <f ca="1">'Fuel Costs'!$F179*M375</f>
        <v>0</v>
      </c>
      <c r="N745">
        <f ca="1">'Fuel Costs'!$F179*N375</f>
        <v>0</v>
      </c>
      <c r="O745">
        <f ca="1">'Fuel Costs'!$F179*O375</f>
        <v>0</v>
      </c>
      <c r="P745">
        <f ca="1">'Fuel Costs'!$F179*P375</f>
        <v>0</v>
      </c>
      <c r="Q745">
        <f ca="1">'Fuel Costs'!$F179*Q375</f>
        <v>0</v>
      </c>
      <c r="R745">
        <f ca="1">'Fuel Costs'!$F179*R375</f>
        <v>0</v>
      </c>
      <c r="S745">
        <f ca="1">'Fuel Costs'!$F179*S375</f>
        <v>0</v>
      </c>
      <c r="T745">
        <f ca="1">'Fuel Costs'!$F179*T375</f>
        <v>0</v>
      </c>
      <c r="U745">
        <f ca="1">'Fuel Costs'!$F179*U375</f>
        <v>0</v>
      </c>
      <c r="V745">
        <f ca="1">'Fuel Costs'!$F179*V375</f>
        <v>0</v>
      </c>
      <c r="W745">
        <f ca="1">'Fuel Costs'!$F179*W375</f>
        <v>0</v>
      </c>
      <c r="X745">
        <f ca="1">'Fuel Costs'!$F179*X375</f>
        <v>0</v>
      </c>
      <c r="Y745">
        <f ca="1">'Fuel Costs'!$F179*Y375</f>
        <v>0</v>
      </c>
      <c r="Z745">
        <f ca="1">'Fuel Costs'!$F179*Z375</f>
        <v>0</v>
      </c>
      <c r="AA745">
        <f ca="1">'Fuel Costs'!$F179*AA375</f>
        <v>0</v>
      </c>
      <c r="AB745">
        <f ca="1">'Fuel Costs'!$F179*AB375</f>
        <v>0</v>
      </c>
      <c r="AC745">
        <f ca="1">'Fuel Costs'!$F179*AC375</f>
        <v>0</v>
      </c>
    </row>
    <row r="746" spans="3:29">
      <c r="C746" t="str">
        <f t="shared" si="179"/>
        <v>Wind 25%</v>
      </c>
      <c r="D746">
        <f>'Fuel Costs'!$F180*D376</f>
        <v>0</v>
      </c>
      <c r="E746">
        <f>'Fuel Costs'!$F180*E376</f>
        <v>0</v>
      </c>
      <c r="F746">
        <f>'Fuel Costs'!$F180*F376</f>
        <v>0</v>
      </c>
      <c r="G746">
        <f>'Fuel Costs'!$F180*G376</f>
        <v>0</v>
      </c>
      <c r="H746">
        <f>'Fuel Costs'!$F180*H376</f>
        <v>0</v>
      </c>
      <c r="I746">
        <f ca="1">'Fuel Costs'!$F180*I376</f>
        <v>0</v>
      </c>
      <c r="J746">
        <f ca="1">'Fuel Costs'!$F180*J376</f>
        <v>0</v>
      </c>
      <c r="K746">
        <f ca="1">'Fuel Costs'!$F180*K376</f>
        <v>0</v>
      </c>
      <c r="L746">
        <f ca="1">'Fuel Costs'!$F180*L376</f>
        <v>0</v>
      </c>
      <c r="M746">
        <f ca="1">'Fuel Costs'!$F180*M376</f>
        <v>0</v>
      </c>
      <c r="N746">
        <f ca="1">'Fuel Costs'!$F180*N376</f>
        <v>0</v>
      </c>
      <c r="O746">
        <f ca="1">'Fuel Costs'!$F180*O376</f>
        <v>0</v>
      </c>
      <c r="P746">
        <f ca="1">'Fuel Costs'!$F180*P376</f>
        <v>0</v>
      </c>
      <c r="Q746">
        <f ca="1">'Fuel Costs'!$F180*Q376</f>
        <v>0</v>
      </c>
      <c r="R746">
        <f ca="1">'Fuel Costs'!$F180*R376</f>
        <v>0</v>
      </c>
      <c r="S746">
        <f ca="1">'Fuel Costs'!$F180*S376</f>
        <v>0</v>
      </c>
      <c r="T746">
        <f ca="1">'Fuel Costs'!$F180*T376</f>
        <v>0</v>
      </c>
      <c r="U746">
        <f ca="1">'Fuel Costs'!$F180*U376</f>
        <v>0</v>
      </c>
      <c r="V746">
        <f ca="1">'Fuel Costs'!$F180*V376</f>
        <v>0</v>
      </c>
      <c r="W746">
        <f ca="1">'Fuel Costs'!$F180*W376</f>
        <v>0</v>
      </c>
      <c r="X746">
        <f ca="1">'Fuel Costs'!$F180*X376</f>
        <v>0</v>
      </c>
      <c r="Y746">
        <f ca="1">'Fuel Costs'!$F180*Y376</f>
        <v>0</v>
      </c>
      <c r="Z746">
        <f ca="1">'Fuel Costs'!$F180*Z376</f>
        <v>0</v>
      </c>
      <c r="AA746">
        <f ca="1">'Fuel Costs'!$F180*AA376</f>
        <v>0</v>
      </c>
      <c r="AB746">
        <f ca="1">'Fuel Costs'!$F180*AB376</f>
        <v>0</v>
      </c>
      <c r="AC746">
        <f ca="1">'Fuel Costs'!$F180*AC376</f>
        <v>0</v>
      </c>
    </row>
    <row r="747" spans="3:29">
      <c r="C747" t="str">
        <f t="shared" si="179"/>
        <v>solar thermal central reciever</v>
      </c>
      <c r="D747">
        <f>'Fuel Costs'!$F181*D377</f>
        <v>0</v>
      </c>
      <c r="E747">
        <f>'Fuel Costs'!$F181*E377</f>
        <v>0</v>
      </c>
      <c r="F747">
        <f>'Fuel Costs'!$F181*F377</f>
        <v>0</v>
      </c>
      <c r="G747">
        <f>'Fuel Costs'!$F181*G377</f>
        <v>0</v>
      </c>
      <c r="H747">
        <f>'Fuel Costs'!$F181*H377</f>
        <v>0</v>
      </c>
      <c r="I747">
        <f ca="1">'Fuel Costs'!$F181*I377</f>
        <v>0</v>
      </c>
      <c r="J747">
        <f ca="1">'Fuel Costs'!$F181*J377</f>
        <v>0</v>
      </c>
      <c r="K747">
        <f ca="1">'Fuel Costs'!$F181*K377</f>
        <v>0</v>
      </c>
      <c r="L747">
        <f ca="1">'Fuel Costs'!$F181*L377</f>
        <v>0</v>
      </c>
      <c r="M747">
        <f ca="1">'Fuel Costs'!$F181*M377</f>
        <v>0</v>
      </c>
      <c r="N747">
        <f ca="1">'Fuel Costs'!$F181*N377</f>
        <v>0</v>
      </c>
      <c r="O747">
        <f ca="1">'Fuel Costs'!$F181*O377</f>
        <v>0</v>
      </c>
      <c r="P747">
        <f ca="1">'Fuel Costs'!$F181*P377</f>
        <v>0</v>
      </c>
      <c r="Q747">
        <f ca="1">'Fuel Costs'!$F181*Q377</f>
        <v>0</v>
      </c>
      <c r="R747">
        <f ca="1">'Fuel Costs'!$F181*R377</f>
        <v>0</v>
      </c>
      <c r="S747">
        <f ca="1">'Fuel Costs'!$F181*S377</f>
        <v>0</v>
      </c>
      <c r="T747">
        <f ca="1">'Fuel Costs'!$F181*T377</f>
        <v>0</v>
      </c>
      <c r="U747">
        <f ca="1">'Fuel Costs'!$F181*U377</f>
        <v>0</v>
      </c>
      <c r="V747">
        <f ca="1">'Fuel Costs'!$F181*V377</f>
        <v>0</v>
      </c>
      <c r="W747">
        <f ca="1">'Fuel Costs'!$F181*W377</f>
        <v>0</v>
      </c>
      <c r="X747">
        <f ca="1">'Fuel Costs'!$F181*X377</f>
        <v>0</v>
      </c>
      <c r="Y747">
        <f ca="1">'Fuel Costs'!$F181*Y377</f>
        <v>0</v>
      </c>
      <c r="Z747">
        <f ca="1">'Fuel Costs'!$F181*Z377</f>
        <v>0</v>
      </c>
      <c r="AA747">
        <f ca="1">'Fuel Costs'!$F181*AA377</f>
        <v>0</v>
      </c>
      <c r="AB747">
        <f ca="1">'Fuel Costs'!$F181*AB377</f>
        <v>0</v>
      </c>
      <c r="AC747">
        <f ca="1">'Fuel Costs'!$F181*AC377</f>
        <v>0</v>
      </c>
    </row>
    <row r="748" spans="3:29">
      <c r="C748" t="str">
        <f t="shared" si="179"/>
        <v>solar thermal trough</v>
      </c>
      <c r="D748">
        <f>'Fuel Costs'!$F182*D378</f>
        <v>0</v>
      </c>
      <c r="E748">
        <f>'Fuel Costs'!$F182*E378</f>
        <v>0</v>
      </c>
      <c r="F748">
        <f>'Fuel Costs'!$F182*F378</f>
        <v>0</v>
      </c>
      <c r="G748">
        <f>'Fuel Costs'!$F182*G378</f>
        <v>0</v>
      </c>
      <c r="H748">
        <f>'Fuel Costs'!$F182*H378</f>
        <v>0</v>
      </c>
      <c r="I748">
        <f ca="1">'Fuel Costs'!$F182*I378</f>
        <v>0</v>
      </c>
      <c r="J748">
        <f ca="1">'Fuel Costs'!$F182*J378</f>
        <v>0</v>
      </c>
      <c r="K748">
        <f ca="1">'Fuel Costs'!$F182*K378</f>
        <v>0</v>
      </c>
      <c r="L748">
        <f ca="1">'Fuel Costs'!$F182*L378</f>
        <v>0</v>
      </c>
      <c r="M748">
        <f ca="1">'Fuel Costs'!$F182*M378</f>
        <v>0</v>
      </c>
      <c r="N748">
        <f ca="1">'Fuel Costs'!$F182*N378</f>
        <v>0</v>
      </c>
      <c r="O748">
        <f ca="1">'Fuel Costs'!$F182*O378</f>
        <v>0</v>
      </c>
      <c r="P748">
        <f ca="1">'Fuel Costs'!$F182*P378</f>
        <v>0</v>
      </c>
      <c r="Q748">
        <f ca="1">'Fuel Costs'!$F182*Q378</f>
        <v>0</v>
      </c>
      <c r="R748">
        <f ca="1">'Fuel Costs'!$F182*R378</f>
        <v>0</v>
      </c>
      <c r="S748">
        <f ca="1">'Fuel Costs'!$F182*S378</f>
        <v>0</v>
      </c>
      <c r="T748">
        <f ca="1">'Fuel Costs'!$F182*T378</f>
        <v>0</v>
      </c>
      <c r="U748">
        <f ca="1">'Fuel Costs'!$F182*U378</f>
        <v>0</v>
      </c>
      <c r="V748">
        <f ca="1">'Fuel Costs'!$F182*V378</f>
        <v>0</v>
      </c>
      <c r="W748">
        <f ca="1">'Fuel Costs'!$F182*W378</f>
        <v>0</v>
      </c>
      <c r="X748">
        <f ca="1">'Fuel Costs'!$F182*X378</f>
        <v>0</v>
      </c>
      <c r="Y748">
        <f ca="1">'Fuel Costs'!$F182*Y378</f>
        <v>0</v>
      </c>
      <c r="Z748">
        <f ca="1">'Fuel Costs'!$F182*Z378</f>
        <v>0</v>
      </c>
      <c r="AA748">
        <f ca="1">'Fuel Costs'!$F182*AA378</f>
        <v>0</v>
      </c>
      <c r="AB748">
        <f ca="1">'Fuel Costs'!$F182*AB378</f>
        <v>0</v>
      </c>
      <c r="AC748">
        <f ca="1">'Fuel Costs'!$F182*AC378</f>
        <v>0</v>
      </c>
    </row>
    <row r="749" spans="3:29">
      <c r="C749" t="str">
        <f t="shared" si="179"/>
        <v>solar PV</v>
      </c>
      <c r="D749">
        <f>'Fuel Costs'!$F183*D379</f>
        <v>0</v>
      </c>
      <c r="E749">
        <f>'Fuel Costs'!$F183*E379</f>
        <v>0</v>
      </c>
      <c r="F749">
        <f>'Fuel Costs'!$F183*F379</f>
        <v>0</v>
      </c>
      <c r="G749">
        <f>'Fuel Costs'!$F183*G379</f>
        <v>0</v>
      </c>
      <c r="H749">
        <f>'Fuel Costs'!$F183*H379</f>
        <v>0</v>
      </c>
      <c r="I749">
        <f ca="1">'Fuel Costs'!$F183*I379</f>
        <v>0</v>
      </c>
      <c r="J749">
        <f ca="1">'Fuel Costs'!$F183*J379</f>
        <v>0</v>
      </c>
      <c r="K749">
        <f ca="1">'Fuel Costs'!$F183*K379</f>
        <v>0</v>
      </c>
      <c r="L749">
        <f ca="1">'Fuel Costs'!$F183*L379</f>
        <v>0</v>
      </c>
      <c r="M749">
        <f ca="1">'Fuel Costs'!$F183*M379</f>
        <v>0</v>
      </c>
      <c r="N749">
        <f ca="1">'Fuel Costs'!$F183*N379</f>
        <v>0</v>
      </c>
      <c r="O749">
        <f ca="1">'Fuel Costs'!$F183*O379</f>
        <v>0</v>
      </c>
      <c r="P749">
        <f ca="1">'Fuel Costs'!$F183*P379</f>
        <v>0</v>
      </c>
      <c r="Q749">
        <f ca="1">'Fuel Costs'!$F183*Q379</f>
        <v>0</v>
      </c>
      <c r="R749">
        <f ca="1">'Fuel Costs'!$F183*R379</f>
        <v>0</v>
      </c>
      <c r="S749">
        <f ca="1">'Fuel Costs'!$F183*S379</f>
        <v>0</v>
      </c>
      <c r="T749">
        <f ca="1">'Fuel Costs'!$F183*T379</f>
        <v>0</v>
      </c>
      <c r="U749">
        <f ca="1">'Fuel Costs'!$F183*U379</f>
        <v>0</v>
      </c>
      <c r="V749">
        <f ca="1">'Fuel Costs'!$F183*V379</f>
        <v>0</v>
      </c>
      <c r="W749">
        <f ca="1">'Fuel Costs'!$F183*W379</f>
        <v>0</v>
      </c>
      <c r="X749">
        <f ca="1">'Fuel Costs'!$F183*X379</f>
        <v>0</v>
      </c>
      <c r="Y749">
        <f ca="1">'Fuel Costs'!$F183*Y379</f>
        <v>0</v>
      </c>
      <c r="Z749">
        <f ca="1">'Fuel Costs'!$F183*Z379</f>
        <v>0</v>
      </c>
      <c r="AA749">
        <f ca="1">'Fuel Costs'!$F183*AA379</f>
        <v>0</v>
      </c>
      <c r="AB749">
        <f ca="1">'Fuel Costs'!$F183*AB379</f>
        <v>0</v>
      </c>
      <c r="AC749">
        <f ca="1">'Fuel Costs'!$F183*AC379</f>
        <v>0</v>
      </c>
    </row>
    <row r="750" spans="3:29">
      <c r="C750" t="str">
        <f t="shared" si="179"/>
        <v>combined cycle gas</v>
      </c>
      <c r="D750">
        <f>'Fuel Costs'!$F184*D380</f>
        <v>0</v>
      </c>
      <c r="E750">
        <f>'Fuel Costs'!$F184*E380</f>
        <v>0</v>
      </c>
      <c r="F750">
        <f>'Fuel Costs'!$F184*F380</f>
        <v>0</v>
      </c>
      <c r="G750">
        <f>'Fuel Costs'!$F184*G380</f>
        <v>0</v>
      </c>
      <c r="H750">
        <f>'Fuel Costs'!$F184*H380</f>
        <v>0</v>
      </c>
      <c r="I750">
        <f ca="1">'Fuel Costs'!$F184*I380</f>
        <v>0</v>
      </c>
      <c r="J750">
        <f ca="1">'Fuel Costs'!$F184*J380</f>
        <v>0</v>
      </c>
      <c r="K750">
        <f ca="1">'Fuel Costs'!$F184*K380</f>
        <v>0</v>
      </c>
      <c r="L750">
        <f ca="1">'Fuel Costs'!$F184*L380</f>
        <v>0</v>
      </c>
      <c r="M750">
        <f ca="1">'Fuel Costs'!$F184*M380</f>
        <v>0</v>
      </c>
      <c r="N750">
        <f ca="1">'Fuel Costs'!$F184*N380</f>
        <v>0</v>
      </c>
      <c r="O750">
        <f ca="1">'Fuel Costs'!$F184*O380</f>
        <v>0</v>
      </c>
      <c r="P750">
        <f ca="1">'Fuel Costs'!$F184*P380</f>
        <v>0</v>
      </c>
      <c r="Q750">
        <f ca="1">'Fuel Costs'!$F184*Q380</f>
        <v>0</v>
      </c>
      <c r="R750">
        <f ca="1">'Fuel Costs'!$F184*R380</f>
        <v>0</v>
      </c>
      <c r="S750">
        <f ca="1">'Fuel Costs'!$F184*S380</f>
        <v>0</v>
      </c>
      <c r="T750">
        <f ca="1">'Fuel Costs'!$F184*T380</f>
        <v>0</v>
      </c>
      <c r="U750">
        <f ca="1">'Fuel Costs'!$F184*U380</f>
        <v>0</v>
      </c>
      <c r="V750">
        <f ca="1">'Fuel Costs'!$F184*V380</f>
        <v>0</v>
      </c>
      <c r="W750">
        <f ca="1">'Fuel Costs'!$F184*W380</f>
        <v>0</v>
      </c>
      <c r="X750">
        <f ca="1">'Fuel Costs'!$F184*X380</f>
        <v>0</v>
      </c>
      <c r="Y750">
        <f ca="1">'Fuel Costs'!$F184*Y380</f>
        <v>0</v>
      </c>
      <c r="Z750">
        <f ca="1">'Fuel Costs'!$F184*Z380</f>
        <v>2.7326686241498823E-6</v>
      </c>
      <c r="AA750">
        <f ca="1">'Fuel Costs'!$F184*AA380</f>
        <v>6.8316715603747065E-6</v>
      </c>
      <c r="AB750">
        <f ca="1">'Fuel Costs'!$F184*AB380</f>
        <v>1.0930674496599529E-5</v>
      </c>
      <c r="AC750">
        <f ca="1">'Fuel Costs'!$F184*AC380</f>
        <v>1.0930674496599529E-5</v>
      </c>
    </row>
    <row r="751" spans="3:29">
      <c r="C751" t="str">
        <f t="shared" si="179"/>
        <v>PBMR</v>
      </c>
      <c r="D751">
        <f>'Fuel Costs'!$F185*D381</f>
        <v>0</v>
      </c>
      <c r="E751">
        <f>'Fuel Costs'!$F185*E381</f>
        <v>0</v>
      </c>
      <c r="F751">
        <f>'Fuel Costs'!$F185*F381</f>
        <v>0</v>
      </c>
      <c r="G751">
        <f>'Fuel Costs'!$F185*G381</f>
        <v>0</v>
      </c>
      <c r="H751">
        <f>'Fuel Costs'!$F185*H381</f>
        <v>0</v>
      </c>
      <c r="I751">
        <f ca="1">'Fuel Costs'!$F185*I381</f>
        <v>0</v>
      </c>
      <c r="J751">
        <f ca="1">'Fuel Costs'!$F185*J381</f>
        <v>0</v>
      </c>
      <c r="K751">
        <f ca="1">'Fuel Costs'!$F185*K381</f>
        <v>0</v>
      </c>
      <c r="L751">
        <f ca="1">'Fuel Costs'!$F185*L381</f>
        <v>0</v>
      </c>
      <c r="M751">
        <f ca="1">'Fuel Costs'!$F185*M381</f>
        <v>0</v>
      </c>
      <c r="N751">
        <f ca="1">'Fuel Costs'!$F185*N381</f>
        <v>0</v>
      </c>
      <c r="O751">
        <f ca="1">'Fuel Costs'!$F185*O381</f>
        <v>0</v>
      </c>
      <c r="P751">
        <f ca="1">'Fuel Costs'!$F185*P381</f>
        <v>0</v>
      </c>
      <c r="Q751">
        <f ca="1">'Fuel Costs'!$F185*Q381</f>
        <v>0</v>
      </c>
      <c r="R751">
        <f ca="1">'Fuel Costs'!$F185*R381</f>
        <v>0</v>
      </c>
      <c r="S751">
        <f ca="1">'Fuel Costs'!$F185*S381</f>
        <v>0</v>
      </c>
      <c r="T751">
        <f ca="1">'Fuel Costs'!$F185*T381</f>
        <v>0</v>
      </c>
      <c r="U751">
        <f ca="1">'Fuel Costs'!$F185*U381</f>
        <v>0</v>
      </c>
      <c r="V751">
        <f ca="1">'Fuel Costs'!$F185*V381</f>
        <v>0</v>
      </c>
      <c r="W751">
        <f ca="1">'Fuel Costs'!$F185*W381</f>
        <v>0</v>
      </c>
      <c r="X751">
        <f ca="1">'Fuel Costs'!$F185*X381</f>
        <v>0</v>
      </c>
      <c r="Y751">
        <f ca="1">'Fuel Costs'!$F185*Y381</f>
        <v>0</v>
      </c>
      <c r="Z751">
        <f ca="1">'Fuel Costs'!$F185*Z381</f>
        <v>0</v>
      </c>
      <c r="AA751">
        <f ca="1">'Fuel Costs'!$F185*AA381</f>
        <v>0</v>
      </c>
      <c r="AB751">
        <f ca="1">'Fuel Costs'!$F185*AB381</f>
        <v>0</v>
      </c>
      <c r="AC751">
        <f ca="1">'Fuel Costs'!$F185*AC381</f>
        <v>0</v>
      </c>
    </row>
    <row r="752" spans="3:29">
      <c r="C752" t="str">
        <f t="shared" si="179"/>
        <v>IGCC</v>
      </c>
      <c r="D752">
        <f>'Fuel Costs'!$F186*D382</f>
        <v>0</v>
      </c>
      <c r="E752">
        <f>'Fuel Costs'!$F186*E382</f>
        <v>3.7677542422898109E-19</v>
      </c>
      <c r="F752">
        <f>'Fuel Costs'!$F186*F382</f>
        <v>0</v>
      </c>
      <c r="G752">
        <f>'Fuel Costs'!$F186*G382</f>
        <v>3.7677542422898109E-19</v>
      </c>
      <c r="H752">
        <f>'Fuel Costs'!$F186*H382</f>
        <v>3.7677542422898109E-19</v>
      </c>
      <c r="I752">
        <f ca="1">'Fuel Costs'!$F186*I382</f>
        <v>0</v>
      </c>
      <c r="J752">
        <f ca="1">'Fuel Costs'!$F186*J382</f>
        <v>0</v>
      </c>
      <c r="K752">
        <f ca="1">'Fuel Costs'!$F186*K382</f>
        <v>0</v>
      </c>
      <c r="L752">
        <f ca="1">'Fuel Costs'!$F186*L382</f>
        <v>0</v>
      </c>
      <c r="M752">
        <f ca="1">'Fuel Costs'!$F186*M382</f>
        <v>0</v>
      </c>
      <c r="N752">
        <f ca="1">'Fuel Costs'!$F186*N382</f>
        <v>0</v>
      </c>
      <c r="O752">
        <f ca="1">'Fuel Costs'!$F186*O382</f>
        <v>0</v>
      </c>
      <c r="P752">
        <f ca="1">'Fuel Costs'!$F186*P382</f>
        <v>0</v>
      </c>
      <c r="Q752">
        <f ca="1">'Fuel Costs'!$F186*Q382</f>
        <v>0</v>
      </c>
      <c r="R752">
        <f ca="1">'Fuel Costs'!$F186*R382</f>
        <v>0</v>
      </c>
      <c r="S752">
        <f ca="1">'Fuel Costs'!$F186*S382</f>
        <v>0</v>
      </c>
      <c r="T752">
        <f ca="1">'Fuel Costs'!$F186*T382</f>
        <v>0</v>
      </c>
      <c r="U752">
        <f ca="1">'Fuel Costs'!$F186*U382</f>
        <v>0</v>
      </c>
      <c r="V752">
        <f ca="1">'Fuel Costs'!$F186*V382</f>
        <v>0</v>
      </c>
      <c r="W752">
        <f ca="1">'Fuel Costs'!$F186*W382</f>
        <v>0</v>
      </c>
      <c r="X752">
        <f ca="1">'Fuel Costs'!$F186*X382</f>
        <v>0</v>
      </c>
      <c r="Y752">
        <f ca="1">'Fuel Costs'!$F186*Y382</f>
        <v>0</v>
      </c>
      <c r="Z752">
        <f ca="1">'Fuel Costs'!$F186*Z382</f>
        <v>0</v>
      </c>
      <c r="AA752">
        <f ca="1">'Fuel Costs'!$F186*AA382</f>
        <v>0</v>
      </c>
      <c r="AB752">
        <f ca="1">'Fuel Costs'!$F186*AB382</f>
        <v>5.3464207571257561E-5</v>
      </c>
      <c r="AC752">
        <f ca="1">'Fuel Costs'!$F186*AC382</f>
        <v>1.0692841514251512E-4</v>
      </c>
    </row>
    <row r="753" spans="3:29">
      <c r="C753" t="str">
        <f t="shared" si="179"/>
        <v>-</v>
      </c>
      <c r="D753">
        <f>'Fuel Costs'!$F187*D383</f>
        <v>0</v>
      </c>
      <c r="E753">
        <f>'Fuel Costs'!$F187*E383</f>
        <v>0</v>
      </c>
      <c r="F753">
        <f>'Fuel Costs'!$F187*F383</f>
        <v>0</v>
      </c>
      <c r="G753">
        <f>'Fuel Costs'!$F187*G383</f>
        <v>0</v>
      </c>
      <c r="H753">
        <f>'Fuel Costs'!$F187*H383</f>
        <v>0</v>
      </c>
      <c r="I753">
        <f ca="1">'Fuel Costs'!$F187*I383</f>
        <v>0</v>
      </c>
      <c r="J753">
        <f ca="1">'Fuel Costs'!$F187*J383</f>
        <v>0</v>
      </c>
      <c r="K753">
        <f ca="1">'Fuel Costs'!$F187*K383</f>
        <v>0</v>
      </c>
      <c r="L753">
        <f ca="1">'Fuel Costs'!$F187*L383</f>
        <v>0</v>
      </c>
      <c r="M753">
        <f ca="1">'Fuel Costs'!$F187*M383</f>
        <v>0</v>
      </c>
      <c r="N753">
        <f ca="1">'Fuel Costs'!$F187*N383</f>
        <v>0</v>
      </c>
      <c r="O753">
        <f ca="1">'Fuel Costs'!$F187*O383</f>
        <v>0</v>
      </c>
      <c r="P753">
        <f ca="1">'Fuel Costs'!$F187*P383</f>
        <v>0</v>
      </c>
      <c r="Q753">
        <f ca="1">'Fuel Costs'!$F187*Q383</f>
        <v>0</v>
      </c>
      <c r="R753">
        <f ca="1">'Fuel Costs'!$F187*R383</f>
        <v>0</v>
      </c>
      <c r="S753">
        <f ca="1">'Fuel Costs'!$F187*S383</f>
        <v>0</v>
      </c>
      <c r="T753">
        <f ca="1">'Fuel Costs'!$F187*T383</f>
        <v>0</v>
      </c>
      <c r="U753">
        <f ca="1">'Fuel Costs'!$F187*U383</f>
        <v>0</v>
      </c>
      <c r="V753">
        <f ca="1">'Fuel Costs'!$F187*V383</f>
        <v>0</v>
      </c>
      <c r="W753">
        <f ca="1">'Fuel Costs'!$F187*W383</f>
        <v>0</v>
      </c>
      <c r="X753">
        <f ca="1">'Fuel Costs'!$F187*X383</f>
        <v>0</v>
      </c>
      <c r="Y753">
        <f ca="1">'Fuel Costs'!$F187*Y383</f>
        <v>0</v>
      </c>
      <c r="Z753">
        <f ca="1">'Fuel Costs'!$F187*Z383</f>
        <v>0</v>
      </c>
      <c r="AA753">
        <f ca="1">'Fuel Costs'!$F187*AA383</f>
        <v>0</v>
      </c>
      <c r="AB753">
        <f ca="1">'Fuel Costs'!$F187*AB383</f>
        <v>0</v>
      </c>
      <c r="AC753">
        <f ca="1">'Fuel Costs'!$F187*AC383</f>
        <v>0</v>
      </c>
    </row>
    <row r="754" spans="3:29">
      <c r="C754" t="str">
        <f t="shared" si="179"/>
        <v>-</v>
      </c>
      <c r="D754">
        <f>'Fuel Costs'!$F188*D384</f>
        <v>0</v>
      </c>
      <c r="E754">
        <f>'Fuel Costs'!$F188*E384</f>
        <v>0</v>
      </c>
      <c r="F754">
        <f>'Fuel Costs'!$F188*F384</f>
        <v>0</v>
      </c>
      <c r="G754">
        <f>'Fuel Costs'!$F188*G384</f>
        <v>0</v>
      </c>
      <c r="H754">
        <f>'Fuel Costs'!$F188*H384</f>
        <v>0</v>
      </c>
      <c r="I754">
        <f ca="1">'Fuel Costs'!$F188*I384</f>
        <v>0</v>
      </c>
      <c r="J754">
        <f ca="1">'Fuel Costs'!$F188*J384</f>
        <v>0</v>
      </c>
      <c r="K754">
        <f ca="1">'Fuel Costs'!$F188*K384</f>
        <v>0</v>
      </c>
      <c r="L754">
        <f ca="1">'Fuel Costs'!$F188*L384</f>
        <v>0</v>
      </c>
      <c r="M754">
        <f ca="1">'Fuel Costs'!$F188*M384</f>
        <v>0</v>
      </c>
      <c r="N754">
        <f ca="1">'Fuel Costs'!$F188*N384</f>
        <v>0</v>
      </c>
      <c r="O754">
        <f ca="1">'Fuel Costs'!$F188*O384</f>
        <v>0</v>
      </c>
      <c r="P754">
        <f ca="1">'Fuel Costs'!$F188*P384</f>
        <v>0</v>
      </c>
      <c r="Q754">
        <f ca="1">'Fuel Costs'!$F188*Q384</f>
        <v>0</v>
      </c>
      <c r="R754">
        <f ca="1">'Fuel Costs'!$F188*R384</f>
        <v>0</v>
      </c>
      <c r="S754">
        <f ca="1">'Fuel Costs'!$F188*S384</f>
        <v>0</v>
      </c>
      <c r="T754">
        <f ca="1">'Fuel Costs'!$F188*T384</f>
        <v>0</v>
      </c>
      <c r="U754">
        <f ca="1">'Fuel Costs'!$F188*U384</f>
        <v>0</v>
      </c>
      <c r="V754">
        <f ca="1">'Fuel Costs'!$F188*V384</f>
        <v>0</v>
      </c>
      <c r="W754">
        <f ca="1">'Fuel Costs'!$F188*W384</f>
        <v>0</v>
      </c>
      <c r="X754">
        <f ca="1">'Fuel Costs'!$F188*X384</f>
        <v>0</v>
      </c>
      <c r="Y754">
        <f ca="1">'Fuel Costs'!$F188*Y384</f>
        <v>0</v>
      </c>
      <c r="Z754">
        <f ca="1">'Fuel Costs'!$F188*Z384</f>
        <v>0</v>
      </c>
      <c r="AA754">
        <f ca="1">'Fuel Costs'!$F188*AA384</f>
        <v>0</v>
      </c>
      <c r="AB754">
        <f ca="1">'Fuel Costs'!$F188*AB384</f>
        <v>0</v>
      </c>
      <c r="AC754">
        <f ca="1">'Fuel Costs'!$F188*AC384</f>
        <v>0</v>
      </c>
    </row>
    <row r="755" spans="3:29">
      <c r="C755" t="str">
        <f t="shared" si="179"/>
        <v>-</v>
      </c>
      <c r="D755">
        <f>'Fuel Costs'!$F189*D385</f>
        <v>0</v>
      </c>
      <c r="E755">
        <f>'Fuel Costs'!$F189*E385</f>
        <v>0</v>
      </c>
      <c r="F755">
        <f>'Fuel Costs'!$F189*F385</f>
        <v>0</v>
      </c>
      <c r="G755">
        <f>'Fuel Costs'!$F189*G385</f>
        <v>0</v>
      </c>
      <c r="H755">
        <f>'Fuel Costs'!$F189*H385</f>
        <v>0</v>
      </c>
      <c r="I755">
        <f ca="1">'Fuel Costs'!$F189*I385</f>
        <v>0</v>
      </c>
      <c r="J755">
        <f ca="1">'Fuel Costs'!$F189*J385</f>
        <v>0</v>
      </c>
      <c r="K755">
        <f ca="1">'Fuel Costs'!$F189*K385</f>
        <v>0</v>
      </c>
      <c r="L755">
        <f ca="1">'Fuel Costs'!$F189*L385</f>
        <v>0</v>
      </c>
      <c r="M755">
        <f ca="1">'Fuel Costs'!$F189*M385</f>
        <v>0</v>
      </c>
      <c r="N755">
        <f ca="1">'Fuel Costs'!$F189*N385</f>
        <v>0</v>
      </c>
      <c r="O755">
        <f ca="1">'Fuel Costs'!$F189*O385</f>
        <v>0</v>
      </c>
      <c r="P755">
        <f ca="1">'Fuel Costs'!$F189*P385</f>
        <v>0</v>
      </c>
      <c r="Q755">
        <f ca="1">'Fuel Costs'!$F189*Q385</f>
        <v>0</v>
      </c>
      <c r="R755">
        <f ca="1">'Fuel Costs'!$F189*R385</f>
        <v>0</v>
      </c>
      <c r="S755">
        <f ca="1">'Fuel Costs'!$F189*S385</f>
        <v>0</v>
      </c>
      <c r="T755">
        <f ca="1">'Fuel Costs'!$F189*T385</f>
        <v>0</v>
      </c>
      <c r="U755">
        <f ca="1">'Fuel Costs'!$F189*U385</f>
        <v>0</v>
      </c>
      <c r="V755">
        <f ca="1">'Fuel Costs'!$F189*V385</f>
        <v>0</v>
      </c>
      <c r="W755">
        <f ca="1">'Fuel Costs'!$F189*W385</f>
        <v>0</v>
      </c>
      <c r="X755">
        <f ca="1">'Fuel Costs'!$F189*X385</f>
        <v>0</v>
      </c>
      <c r="Y755">
        <f ca="1">'Fuel Costs'!$F189*Y385</f>
        <v>0</v>
      </c>
      <c r="Z755">
        <f ca="1">'Fuel Costs'!$F189*Z385</f>
        <v>0</v>
      </c>
      <c r="AA755">
        <f ca="1">'Fuel Costs'!$F189*AA385</f>
        <v>0</v>
      </c>
      <c r="AB755">
        <f ca="1">'Fuel Costs'!$F189*AB385</f>
        <v>0</v>
      </c>
      <c r="AC755">
        <f ca="1">'Fuel Costs'!$F189*AC385</f>
        <v>0</v>
      </c>
    </row>
    <row r="756" spans="3:29">
      <c r="C756" t="str">
        <f t="shared" si="179"/>
        <v>Pumped storage</v>
      </c>
      <c r="D756">
        <f>'Fuel Costs'!$F190*D386</f>
        <v>0</v>
      </c>
      <c r="E756">
        <f>'Fuel Costs'!$F190*E386</f>
        <v>0</v>
      </c>
      <c r="F756">
        <f>'Fuel Costs'!$F190*F386</f>
        <v>0</v>
      </c>
      <c r="G756">
        <f>'Fuel Costs'!$F190*G386</f>
        <v>0</v>
      </c>
      <c r="H756">
        <f>'Fuel Costs'!$F190*H386</f>
        <v>0</v>
      </c>
      <c r="I756">
        <f ca="1">'Fuel Costs'!$F190*I386</f>
        <v>0</v>
      </c>
      <c r="J756">
        <f ca="1">'Fuel Costs'!$F190*J386</f>
        <v>0</v>
      </c>
      <c r="K756">
        <f ca="1">'Fuel Costs'!$F190*K386</f>
        <v>0</v>
      </c>
      <c r="L756">
        <f ca="1">'Fuel Costs'!$F190*L386</f>
        <v>0</v>
      </c>
      <c r="M756">
        <f ca="1">'Fuel Costs'!$F190*M386</f>
        <v>0</v>
      </c>
      <c r="N756">
        <f ca="1">'Fuel Costs'!$F190*N386</f>
        <v>0</v>
      </c>
      <c r="O756">
        <f ca="1">'Fuel Costs'!$F190*O386</f>
        <v>0</v>
      </c>
      <c r="P756">
        <f ca="1">'Fuel Costs'!$F190*P386</f>
        <v>0</v>
      </c>
      <c r="Q756">
        <f ca="1">'Fuel Costs'!$F190*Q386</f>
        <v>0</v>
      </c>
      <c r="R756">
        <f ca="1">'Fuel Costs'!$F190*R386</f>
        <v>0</v>
      </c>
      <c r="S756">
        <f ca="1">'Fuel Costs'!$F190*S386</f>
        <v>0</v>
      </c>
      <c r="T756">
        <f ca="1">'Fuel Costs'!$F190*T386</f>
        <v>0</v>
      </c>
      <c r="U756">
        <f ca="1">'Fuel Costs'!$F190*U386</f>
        <v>0</v>
      </c>
      <c r="V756">
        <f ca="1">'Fuel Costs'!$F190*V386</f>
        <v>0</v>
      </c>
      <c r="W756">
        <f ca="1">'Fuel Costs'!$F190*W386</f>
        <v>0</v>
      </c>
      <c r="X756">
        <f ca="1">'Fuel Costs'!$F190*X386</f>
        <v>0</v>
      </c>
      <c r="Y756">
        <f ca="1">'Fuel Costs'!$F190*Y386</f>
        <v>0</v>
      </c>
      <c r="Z756">
        <f ca="1">'Fuel Costs'!$F190*Z386</f>
        <v>0</v>
      </c>
      <c r="AA756">
        <f ca="1">'Fuel Costs'!$F190*AA386</f>
        <v>0</v>
      </c>
      <c r="AB756">
        <f ca="1">'Fuel Costs'!$F190*AB386</f>
        <v>0</v>
      </c>
      <c r="AC756">
        <f ca="1">'Fuel Costs'!$F190*AC386</f>
        <v>0</v>
      </c>
    </row>
    <row r="757" spans="3:29">
      <c r="C757" s="4" t="s">
        <v>5</v>
      </c>
      <c r="D757">
        <f t="shared" ref="D757:AC757" si="180">SUM(D737:D756)</f>
        <v>3.1819104687297851E-3</v>
      </c>
      <c r="E757">
        <f t="shared" si="180"/>
        <v>3.1819104687297855E-3</v>
      </c>
      <c r="F757">
        <f t="shared" si="180"/>
        <v>3.2798283535497318E-3</v>
      </c>
      <c r="G757">
        <f t="shared" si="180"/>
        <v>3.313937401059207E-3</v>
      </c>
      <c r="H757">
        <f t="shared" si="180"/>
        <v>3.313937401059207E-3</v>
      </c>
      <c r="I757">
        <f t="shared" ca="1" si="180"/>
        <v>3.412998344843975E-3</v>
      </c>
      <c r="J757">
        <f t="shared" ca="1" si="180"/>
        <v>3.4782186027265583E-3</v>
      </c>
      <c r="K757">
        <f t="shared" ca="1" si="180"/>
        <v>3.5554023834614983E-3</v>
      </c>
      <c r="L757">
        <f t="shared" ca="1" si="180"/>
        <v>3.6436189634974922E-3</v>
      </c>
      <c r="M757">
        <f t="shared" ca="1" si="180"/>
        <v>3.7523162907203925E-3</v>
      </c>
      <c r="N757">
        <f t="shared" ca="1" si="180"/>
        <v>3.8362485330051504E-3</v>
      </c>
      <c r="O757">
        <f t="shared" ca="1" si="180"/>
        <v>3.9189880192868854E-3</v>
      </c>
      <c r="P757">
        <f t="shared" ca="1" si="180"/>
        <v>3.9717791568206311E-3</v>
      </c>
      <c r="Q757">
        <f t="shared" ca="1" si="180"/>
        <v>4.0023223582542509E-3</v>
      </c>
      <c r="R757">
        <f t="shared" ca="1" si="180"/>
        <v>3.9922574085391087E-3</v>
      </c>
      <c r="S757">
        <f t="shared" ca="1" si="180"/>
        <v>3.9461684441994011E-3</v>
      </c>
      <c r="T757">
        <f t="shared" ca="1" si="180"/>
        <v>3.860488998967901E-3</v>
      </c>
      <c r="U757">
        <f t="shared" ca="1" si="180"/>
        <v>3.8270807758396916E-3</v>
      </c>
      <c r="V757">
        <f t="shared" ca="1" si="180"/>
        <v>3.7272637370371555E-3</v>
      </c>
      <c r="W757">
        <f t="shared" ca="1" si="180"/>
        <v>3.6315927027905045E-3</v>
      </c>
      <c r="X757">
        <f t="shared" ca="1" si="180"/>
        <v>3.5398703008341801E-3</v>
      </c>
      <c r="Y757">
        <f t="shared" ca="1" si="180"/>
        <v>3.4549857148647588E-3</v>
      </c>
      <c r="Z757">
        <f t="shared" ca="1" si="180"/>
        <v>3.3365698053924664E-3</v>
      </c>
      <c r="AA757">
        <f t="shared" ca="1" si="180"/>
        <v>3.1987887049314549E-3</v>
      </c>
      <c r="AB757">
        <f t="shared" ca="1" si="180"/>
        <v>3.0493699350377448E-3</v>
      </c>
      <c r="AC757">
        <f t="shared" ca="1" si="180"/>
        <v>2.9324626049302659E-3</v>
      </c>
    </row>
    <row r="759" spans="3:29">
      <c r="C759" s="4" t="s">
        <v>151</v>
      </c>
    </row>
    <row r="760" spans="3:29">
      <c r="C760" t="str">
        <f>C8</f>
        <v>Existing coal Large</v>
      </c>
      <c r="D760">
        <f t="shared" ref="D760:AC769" si="181">D691+21*D714+310*D737</f>
        <v>205.31813431055303</v>
      </c>
      <c r="E760">
        <f t="shared" si="181"/>
        <v>205.31813431055303</v>
      </c>
      <c r="F760">
        <f t="shared" si="181"/>
        <v>212.08181220449086</v>
      </c>
      <c r="G760">
        <f t="shared" si="181"/>
        <v>214.43789466120785</v>
      </c>
      <c r="H760">
        <f t="shared" si="181"/>
        <v>214.43789466120785</v>
      </c>
      <c r="I760">
        <f t="shared" ca="1" si="181"/>
        <v>219.50036716210047</v>
      </c>
      <c r="J760">
        <f t="shared" ca="1" si="181"/>
        <v>222.81384605475711</v>
      </c>
      <c r="K760">
        <f t="shared" ca="1" si="181"/>
        <v>226.55554282853311</v>
      </c>
      <c r="L760">
        <f t="shared" ca="1" si="181"/>
        <v>229.4695573335394</v>
      </c>
      <c r="M760">
        <f t="shared" ca="1" si="181"/>
        <v>231.76564888474982</v>
      </c>
      <c r="N760">
        <f t="shared" ca="1" si="181"/>
        <v>231.76564888474982</v>
      </c>
      <c r="O760">
        <f t="shared" ca="1" si="181"/>
        <v>231.76564888474982</v>
      </c>
      <c r="P760">
        <f t="shared" ca="1" si="181"/>
        <v>231.76564888474982</v>
      </c>
      <c r="Q760">
        <f t="shared" ca="1" si="181"/>
        <v>231.76564888474982</v>
      </c>
      <c r="R760">
        <f t="shared" ca="1" si="181"/>
        <v>231.76564888474982</v>
      </c>
      <c r="S760">
        <f t="shared" ca="1" si="181"/>
        <v>231.76564888474982</v>
      </c>
      <c r="T760">
        <f t="shared" ca="1" si="181"/>
        <v>231.76564888474982</v>
      </c>
      <c r="U760">
        <f t="shared" ca="1" si="181"/>
        <v>231.76564888474982</v>
      </c>
      <c r="V760">
        <f t="shared" ca="1" si="181"/>
        <v>226.34761677155512</v>
      </c>
      <c r="W760">
        <f t="shared" ca="1" si="181"/>
        <v>219.73914008096773</v>
      </c>
      <c r="X760">
        <f t="shared" ca="1" si="181"/>
        <v>214.42372773161313</v>
      </c>
      <c r="Y760">
        <f t="shared" ca="1" si="181"/>
        <v>203.58502701090265</v>
      </c>
      <c r="Z760">
        <f t="shared" ca="1" si="181"/>
        <v>192.74632629019214</v>
      </c>
      <c r="AA760">
        <f t="shared" ca="1" si="181"/>
        <v>179.62579383880583</v>
      </c>
      <c r="AB760">
        <f t="shared" ca="1" si="181"/>
        <v>153.3847289360331</v>
      </c>
      <c r="AC760">
        <f t="shared" ca="1" si="181"/>
        <v>140.26419648464673</v>
      </c>
    </row>
    <row r="761" spans="3:29">
      <c r="C761" t="str">
        <f t="shared" ref="C761:C779" si="182">C9</f>
        <v>Existing coal Small</v>
      </c>
      <c r="D761">
        <f t="shared" si="181"/>
        <v>14.164264318167939</v>
      </c>
      <c r="E761">
        <f t="shared" si="181"/>
        <v>14.164264318167939</v>
      </c>
      <c r="F761">
        <f t="shared" si="181"/>
        <v>14.164264318167939</v>
      </c>
      <c r="G761">
        <f t="shared" si="181"/>
        <v>14.164264318167939</v>
      </c>
      <c r="H761">
        <f t="shared" si="181"/>
        <v>14.164264318167939</v>
      </c>
      <c r="I761">
        <f t="shared" ca="1" si="181"/>
        <v>15.944426509208181</v>
      </c>
      <c r="J761">
        <f t="shared" ca="1" si="181"/>
        <v>16.997406780335936</v>
      </c>
      <c r="K761">
        <f t="shared" ca="1" si="181"/>
        <v>16.997406780335936</v>
      </c>
      <c r="L761">
        <f t="shared" ca="1" si="181"/>
        <v>16.997406780335936</v>
      </c>
      <c r="M761">
        <f t="shared" ca="1" si="181"/>
        <v>16.997406780335936</v>
      </c>
      <c r="N761">
        <f t="shared" ca="1" si="181"/>
        <v>16.997406780335936</v>
      </c>
      <c r="O761">
        <f t="shared" ca="1" si="181"/>
        <v>16.899667274971357</v>
      </c>
      <c r="P761">
        <f t="shared" ca="1" si="181"/>
        <v>16.801927769606777</v>
      </c>
      <c r="Q761">
        <f t="shared" ca="1" si="181"/>
        <v>16.671608429120667</v>
      </c>
      <c r="R761">
        <f t="shared" ca="1" si="181"/>
        <v>16.54128908863456</v>
      </c>
      <c r="S761">
        <f t="shared" ca="1" si="181"/>
        <v>14.065221619398496</v>
      </c>
      <c r="T761">
        <f t="shared" ca="1" si="181"/>
        <v>11.589154150162432</v>
      </c>
      <c r="U761">
        <f t="shared" ca="1" si="181"/>
        <v>11.589154150162432</v>
      </c>
      <c r="V761">
        <f t="shared" ca="1" si="181"/>
        <v>11.589154150162432</v>
      </c>
      <c r="W761">
        <f t="shared" ca="1" si="181"/>
        <v>11.589154150162432</v>
      </c>
      <c r="X761">
        <f t="shared" ca="1" si="181"/>
        <v>10.448280723840154</v>
      </c>
      <c r="Y761">
        <f t="shared" ca="1" si="181"/>
        <v>9.3074072975178783</v>
      </c>
      <c r="Z761">
        <f t="shared" ca="1" si="181"/>
        <v>9.3074072975178783</v>
      </c>
      <c r="AA761">
        <f t="shared" ca="1" si="181"/>
        <v>9.3074072975178783</v>
      </c>
      <c r="AB761">
        <f t="shared" ca="1" si="181"/>
        <v>9.3074072975178783</v>
      </c>
      <c r="AC761">
        <f t="shared" ca="1" si="181"/>
        <v>9.3074072975178783</v>
      </c>
    </row>
    <row r="762" spans="3:29">
      <c r="C762" t="str">
        <f t="shared" si="182"/>
        <v>OCGT liquid fuels</v>
      </c>
      <c r="D762">
        <f t="shared" si="181"/>
        <v>0.55239991945704037</v>
      </c>
      <c r="E762">
        <f t="shared" si="181"/>
        <v>0.55239991945704037</v>
      </c>
      <c r="F762">
        <f t="shared" si="181"/>
        <v>0.55239991945704037</v>
      </c>
      <c r="G762">
        <f t="shared" si="181"/>
        <v>0.55239991945704037</v>
      </c>
      <c r="H762">
        <f t="shared" si="181"/>
        <v>0.55239991945704037</v>
      </c>
      <c r="I762">
        <f t="shared" ca="1" si="181"/>
        <v>0.55239991945704037</v>
      </c>
      <c r="J762">
        <f t="shared" ca="1" si="181"/>
        <v>0.80097988321270841</v>
      </c>
      <c r="K762">
        <f t="shared" ca="1" si="181"/>
        <v>0.80097988321270841</v>
      </c>
      <c r="L762">
        <f t="shared" ca="1" si="181"/>
        <v>0.80097988321270841</v>
      </c>
      <c r="M762">
        <f t="shared" ca="1" si="181"/>
        <v>0.80097988321270841</v>
      </c>
      <c r="N762">
        <f t="shared" ca="1" si="181"/>
        <v>0.80097988321270841</v>
      </c>
      <c r="O762">
        <f t="shared" ca="1" si="181"/>
        <v>0.80097988321270841</v>
      </c>
      <c r="P762">
        <f t="shared" ca="1" si="181"/>
        <v>0.80097988321270841</v>
      </c>
      <c r="Q762">
        <f t="shared" ca="1" si="181"/>
        <v>0.80097988321270841</v>
      </c>
      <c r="R762">
        <f t="shared" ca="1" si="181"/>
        <v>0.80097988321270841</v>
      </c>
      <c r="S762">
        <f t="shared" ca="1" si="181"/>
        <v>0.80097988321270841</v>
      </c>
      <c r="T762">
        <f t="shared" ca="1" si="181"/>
        <v>0.80097988321270841</v>
      </c>
      <c r="U762">
        <f t="shared" ca="1" si="181"/>
        <v>0.80097988321270841</v>
      </c>
      <c r="V762">
        <f t="shared" ca="1" si="181"/>
        <v>0.80097988321270841</v>
      </c>
      <c r="W762">
        <f t="shared" ca="1" si="181"/>
        <v>0.80097988321270841</v>
      </c>
      <c r="X762">
        <f t="shared" ca="1" si="181"/>
        <v>0.80097988321270841</v>
      </c>
      <c r="Y762">
        <f t="shared" ca="1" si="181"/>
        <v>0.96669985904982081</v>
      </c>
      <c r="Z762">
        <f t="shared" ca="1" si="181"/>
        <v>0.96669985904982081</v>
      </c>
      <c r="AA762">
        <f t="shared" ca="1" si="181"/>
        <v>0.96669985904982081</v>
      </c>
      <c r="AB762">
        <f t="shared" ca="1" si="181"/>
        <v>1.1876598268326366</v>
      </c>
      <c r="AC762">
        <f t="shared" ca="1" si="181"/>
        <v>1.3692613003541387</v>
      </c>
    </row>
    <row r="763" spans="3:29">
      <c r="C763" t="str">
        <f t="shared" si="182"/>
        <v>PWR nuclear</v>
      </c>
      <c r="D763">
        <f t="shared" si="181"/>
        <v>0</v>
      </c>
      <c r="E763">
        <f t="shared" si="181"/>
        <v>0</v>
      </c>
      <c r="F763">
        <f t="shared" si="181"/>
        <v>0</v>
      </c>
      <c r="G763">
        <f t="shared" si="181"/>
        <v>0</v>
      </c>
      <c r="H763">
        <f t="shared" si="181"/>
        <v>0</v>
      </c>
      <c r="I763">
        <f t="shared" ca="1" si="181"/>
        <v>0</v>
      </c>
      <c r="J763">
        <f t="shared" ca="1" si="181"/>
        <v>0</v>
      </c>
      <c r="K763">
        <f t="shared" ca="1" si="181"/>
        <v>0</v>
      </c>
      <c r="L763">
        <f t="shared" ca="1" si="181"/>
        <v>0</v>
      </c>
      <c r="M763">
        <f t="shared" ca="1" si="181"/>
        <v>0</v>
      </c>
      <c r="N763">
        <f t="shared" ca="1" si="181"/>
        <v>0</v>
      </c>
      <c r="O763">
        <f t="shared" ca="1" si="181"/>
        <v>0</v>
      </c>
      <c r="P763">
        <f t="shared" ca="1" si="181"/>
        <v>0</v>
      </c>
      <c r="Q763">
        <f t="shared" ca="1" si="181"/>
        <v>0</v>
      </c>
      <c r="R763">
        <f t="shared" ca="1" si="181"/>
        <v>0</v>
      </c>
      <c r="S763">
        <f t="shared" ca="1" si="181"/>
        <v>0</v>
      </c>
      <c r="T763">
        <f t="shared" ca="1" si="181"/>
        <v>0</v>
      </c>
      <c r="U763">
        <f t="shared" ca="1" si="181"/>
        <v>0</v>
      </c>
      <c r="V763">
        <f t="shared" ca="1" si="181"/>
        <v>0</v>
      </c>
      <c r="W763">
        <f t="shared" ca="1" si="181"/>
        <v>0</v>
      </c>
      <c r="X763">
        <f t="shared" ca="1" si="181"/>
        <v>0</v>
      </c>
      <c r="Y763">
        <f t="shared" ca="1" si="181"/>
        <v>0</v>
      </c>
      <c r="Z763">
        <f t="shared" ca="1" si="181"/>
        <v>0</v>
      </c>
      <c r="AA763">
        <f t="shared" ca="1" si="181"/>
        <v>0</v>
      </c>
      <c r="AB763">
        <f t="shared" ca="1" si="181"/>
        <v>0</v>
      </c>
      <c r="AC763">
        <f t="shared" ca="1" si="181"/>
        <v>0</v>
      </c>
    </row>
    <row r="764" spans="3:29">
      <c r="C764" t="str">
        <f t="shared" si="182"/>
        <v>Hydro</v>
      </c>
      <c r="D764">
        <f t="shared" si="181"/>
        <v>0</v>
      </c>
      <c r="E764">
        <f t="shared" si="181"/>
        <v>0</v>
      </c>
      <c r="F764">
        <f t="shared" si="181"/>
        <v>0</v>
      </c>
      <c r="G764">
        <f t="shared" si="181"/>
        <v>0</v>
      </c>
      <c r="H764">
        <f t="shared" si="181"/>
        <v>0</v>
      </c>
      <c r="I764">
        <f t="shared" ca="1" si="181"/>
        <v>0</v>
      </c>
      <c r="J764">
        <f t="shared" ca="1" si="181"/>
        <v>0</v>
      </c>
      <c r="K764">
        <f t="shared" ca="1" si="181"/>
        <v>0</v>
      </c>
      <c r="L764">
        <f t="shared" ca="1" si="181"/>
        <v>0</v>
      </c>
      <c r="M764">
        <f t="shared" ca="1" si="181"/>
        <v>0</v>
      </c>
      <c r="N764">
        <f t="shared" ca="1" si="181"/>
        <v>0</v>
      </c>
      <c r="O764">
        <f t="shared" ca="1" si="181"/>
        <v>0</v>
      </c>
      <c r="P764">
        <f t="shared" ca="1" si="181"/>
        <v>0</v>
      </c>
      <c r="Q764">
        <f t="shared" ca="1" si="181"/>
        <v>0</v>
      </c>
      <c r="R764">
        <f t="shared" ca="1" si="181"/>
        <v>0</v>
      </c>
      <c r="S764">
        <f t="shared" ca="1" si="181"/>
        <v>0</v>
      </c>
      <c r="T764">
        <f t="shared" ca="1" si="181"/>
        <v>0</v>
      </c>
      <c r="U764">
        <f t="shared" ca="1" si="181"/>
        <v>0</v>
      </c>
      <c r="V764">
        <f t="shared" ca="1" si="181"/>
        <v>0</v>
      </c>
      <c r="W764">
        <f t="shared" ca="1" si="181"/>
        <v>0</v>
      </c>
      <c r="X764">
        <f t="shared" ca="1" si="181"/>
        <v>0</v>
      </c>
      <c r="Y764">
        <f t="shared" ca="1" si="181"/>
        <v>0</v>
      </c>
      <c r="Z764">
        <f t="shared" ca="1" si="181"/>
        <v>0</v>
      </c>
      <c r="AA764">
        <f t="shared" ca="1" si="181"/>
        <v>0</v>
      </c>
      <c r="AB764">
        <f t="shared" ca="1" si="181"/>
        <v>0</v>
      </c>
      <c r="AC764">
        <f t="shared" ca="1" si="181"/>
        <v>0</v>
      </c>
    </row>
    <row r="765" spans="3:29">
      <c r="C765" t="str">
        <f t="shared" si="182"/>
        <v>Landfill gas</v>
      </c>
      <c r="D765">
        <f t="shared" si="181"/>
        <v>0</v>
      </c>
      <c r="E765">
        <f t="shared" si="181"/>
        <v>0</v>
      </c>
      <c r="F765">
        <f t="shared" si="181"/>
        <v>0</v>
      </c>
      <c r="G765">
        <f t="shared" si="181"/>
        <v>0</v>
      </c>
      <c r="H765">
        <f t="shared" si="181"/>
        <v>0</v>
      </c>
      <c r="I765">
        <f t="shared" ca="1" si="181"/>
        <v>0</v>
      </c>
      <c r="J765">
        <f t="shared" ca="1" si="181"/>
        <v>0</v>
      </c>
      <c r="K765">
        <f t="shared" ca="1" si="181"/>
        <v>0</v>
      </c>
      <c r="L765">
        <f t="shared" ca="1" si="181"/>
        <v>0</v>
      </c>
      <c r="M765">
        <f t="shared" ca="1" si="181"/>
        <v>0</v>
      </c>
      <c r="N765">
        <f t="shared" ca="1" si="181"/>
        <v>0</v>
      </c>
      <c r="O765">
        <f t="shared" ca="1" si="181"/>
        <v>0</v>
      </c>
      <c r="P765">
        <f t="shared" ca="1" si="181"/>
        <v>0</v>
      </c>
      <c r="Q765">
        <f t="shared" ca="1" si="181"/>
        <v>0</v>
      </c>
      <c r="R765">
        <f t="shared" ca="1" si="181"/>
        <v>0</v>
      </c>
      <c r="S765">
        <f t="shared" ca="1" si="181"/>
        <v>0</v>
      </c>
      <c r="T765">
        <f t="shared" ca="1" si="181"/>
        <v>0</v>
      </c>
      <c r="U765">
        <f t="shared" ca="1" si="181"/>
        <v>0</v>
      </c>
      <c r="V765">
        <f t="shared" ca="1" si="181"/>
        <v>0</v>
      </c>
      <c r="W765">
        <f t="shared" ca="1" si="181"/>
        <v>0</v>
      </c>
      <c r="X765">
        <f t="shared" ca="1" si="181"/>
        <v>0</v>
      </c>
      <c r="Y765">
        <f t="shared" ca="1" si="181"/>
        <v>0</v>
      </c>
      <c r="Z765">
        <f t="shared" ca="1" si="181"/>
        <v>0</v>
      </c>
      <c r="AA765">
        <f t="shared" ca="1" si="181"/>
        <v>0</v>
      </c>
      <c r="AB765">
        <f t="shared" ca="1" si="181"/>
        <v>0</v>
      </c>
      <c r="AC765">
        <f t="shared" ca="1" si="181"/>
        <v>0</v>
      </c>
    </row>
    <row r="766" spans="3:29">
      <c r="C766" t="str">
        <f t="shared" si="182"/>
        <v>Biomass</v>
      </c>
      <c r="D766">
        <f t="shared" si="181"/>
        <v>0</v>
      </c>
      <c r="E766">
        <f t="shared" si="181"/>
        <v>0</v>
      </c>
      <c r="F766">
        <f t="shared" si="181"/>
        <v>0</v>
      </c>
      <c r="G766">
        <f t="shared" si="181"/>
        <v>0</v>
      </c>
      <c r="H766">
        <f t="shared" si="181"/>
        <v>0</v>
      </c>
      <c r="I766">
        <f t="shared" ca="1" si="181"/>
        <v>0</v>
      </c>
      <c r="J766">
        <f t="shared" ca="1" si="181"/>
        <v>0</v>
      </c>
      <c r="K766">
        <f t="shared" ca="1" si="181"/>
        <v>0</v>
      </c>
      <c r="L766">
        <f t="shared" ca="1" si="181"/>
        <v>0</v>
      </c>
      <c r="M766">
        <f t="shared" ca="1" si="181"/>
        <v>0</v>
      </c>
      <c r="N766">
        <f t="shared" ca="1" si="181"/>
        <v>0</v>
      </c>
      <c r="O766">
        <f t="shared" ca="1" si="181"/>
        <v>0</v>
      </c>
      <c r="P766">
        <f t="shared" ca="1" si="181"/>
        <v>0</v>
      </c>
      <c r="Q766">
        <f t="shared" ca="1" si="181"/>
        <v>0</v>
      </c>
      <c r="R766">
        <f t="shared" ca="1" si="181"/>
        <v>0</v>
      </c>
      <c r="S766">
        <f t="shared" ca="1" si="181"/>
        <v>0</v>
      </c>
      <c r="T766">
        <f t="shared" ca="1" si="181"/>
        <v>0</v>
      </c>
      <c r="U766">
        <f t="shared" ca="1" si="181"/>
        <v>0</v>
      </c>
      <c r="V766">
        <f t="shared" ca="1" si="181"/>
        <v>0</v>
      </c>
      <c r="W766">
        <f t="shared" ca="1" si="181"/>
        <v>0</v>
      </c>
      <c r="X766">
        <f t="shared" ca="1" si="181"/>
        <v>0</v>
      </c>
      <c r="Y766">
        <f t="shared" ca="1" si="181"/>
        <v>0</v>
      </c>
      <c r="Z766">
        <f t="shared" ca="1" si="181"/>
        <v>0</v>
      </c>
      <c r="AA766">
        <f t="shared" ca="1" si="181"/>
        <v>0</v>
      </c>
      <c r="AB766">
        <f t="shared" ca="1" si="181"/>
        <v>0</v>
      </c>
      <c r="AC766">
        <f t="shared" ca="1" si="181"/>
        <v>0</v>
      </c>
    </row>
    <row r="767" spans="3:29">
      <c r="C767" t="str">
        <f t="shared" si="182"/>
        <v>Supercritical coal</v>
      </c>
      <c r="D767">
        <f t="shared" si="181"/>
        <v>0</v>
      </c>
      <c r="E767">
        <f t="shared" si="181"/>
        <v>0</v>
      </c>
      <c r="F767">
        <f t="shared" si="181"/>
        <v>0</v>
      </c>
      <c r="G767">
        <f t="shared" si="181"/>
        <v>0</v>
      </c>
      <c r="H767">
        <f t="shared" si="181"/>
        <v>0</v>
      </c>
      <c r="I767">
        <f t="shared" ca="1" si="181"/>
        <v>0</v>
      </c>
      <c r="J767">
        <f t="shared" ca="1" si="181"/>
        <v>0</v>
      </c>
      <c r="K767">
        <f t="shared" ca="1" si="181"/>
        <v>1.5897728804899998</v>
      </c>
      <c r="L767">
        <f t="shared" ca="1" si="181"/>
        <v>4.76931864147</v>
      </c>
      <c r="M767">
        <f t="shared" ca="1" si="181"/>
        <v>9.981494968181412</v>
      </c>
      <c r="N767">
        <f t="shared" ca="1" si="181"/>
        <v>15.779114604001057</v>
      </c>
      <c r="O767">
        <f t="shared" ca="1" si="181"/>
        <v>21.592084124276493</v>
      </c>
      <c r="P767">
        <f t="shared" ca="1" si="181"/>
        <v>25.336371454784519</v>
      </c>
      <c r="Q767">
        <f t="shared" ca="1" si="181"/>
        <v>27.576462434297909</v>
      </c>
      <c r="R767">
        <f t="shared" ca="1" si="181"/>
        <v>27.011545373210616</v>
      </c>
      <c r="S767">
        <f t="shared" ca="1" si="181"/>
        <v>26.304017630681393</v>
      </c>
      <c r="T767">
        <f t="shared" ca="1" si="181"/>
        <v>22.861777420551583</v>
      </c>
      <c r="U767">
        <f t="shared" ca="1" si="181"/>
        <v>20.554104407970506</v>
      </c>
      <c r="V767">
        <f t="shared" ca="1" si="181"/>
        <v>19.077274565880003</v>
      </c>
      <c r="W767">
        <f t="shared" ca="1" si="181"/>
        <v>19.077274565880003</v>
      </c>
      <c r="X767">
        <f t="shared" ca="1" si="181"/>
        <v>19.197835426423797</v>
      </c>
      <c r="Y767">
        <f t="shared" ca="1" si="181"/>
        <v>25.221586697982048</v>
      </c>
      <c r="Z767">
        <f t="shared" ca="1" si="181"/>
        <v>27.691949386680839</v>
      </c>
      <c r="AA767">
        <f t="shared" ca="1" si="181"/>
        <v>31.012113695903075</v>
      </c>
      <c r="AB767">
        <f t="shared" ca="1" si="181"/>
        <v>42.832671502947825</v>
      </c>
      <c r="AC767">
        <f t="shared" ca="1" si="181"/>
        <v>44.08351296332367</v>
      </c>
    </row>
    <row r="768" spans="3:29">
      <c r="C768" t="str">
        <f t="shared" si="182"/>
        <v xml:space="preserve">Wind 30% </v>
      </c>
      <c r="D768">
        <f t="shared" si="181"/>
        <v>0</v>
      </c>
      <c r="E768">
        <f t="shared" si="181"/>
        <v>0</v>
      </c>
      <c r="F768">
        <f t="shared" si="181"/>
        <v>0</v>
      </c>
      <c r="G768">
        <f t="shared" si="181"/>
        <v>0</v>
      </c>
      <c r="H768">
        <f t="shared" si="181"/>
        <v>0</v>
      </c>
      <c r="I768">
        <f t="shared" ca="1" si="181"/>
        <v>0</v>
      </c>
      <c r="J768">
        <f t="shared" ca="1" si="181"/>
        <v>0</v>
      </c>
      <c r="K768">
        <f t="shared" ca="1" si="181"/>
        <v>0</v>
      </c>
      <c r="L768">
        <f t="shared" ca="1" si="181"/>
        <v>0</v>
      </c>
      <c r="M768">
        <f t="shared" ca="1" si="181"/>
        <v>0</v>
      </c>
      <c r="N768">
        <f t="shared" ca="1" si="181"/>
        <v>0</v>
      </c>
      <c r="O768">
        <f t="shared" ca="1" si="181"/>
        <v>0</v>
      </c>
      <c r="P768">
        <f t="shared" ca="1" si="181"/>
        <v>0</v>
      </c>
      <c r="Q768">
        <f t="shared" ca="1" si="181"/>
        <v>0</v>
      </c>
      <c r="R768">
        <f t="shared" ca="1" si="181"/>
        <v>0</v>
      </c>
      <c r="S768">
        <f t="shared" ca="1" si="181"/>
        <v>0</v>
      </c>
      <c r="T768">
        <f t="shared" ca="1" si="181"/>
        <v>0</v>
      </c>
      <c r="U768">
        <f t="shared" ca="1" si="181"/>
        <v>0</v>
      </c>
      <c r="V768">
        <f t="shared" ca="1" si="181"/>
        <v>0</v>
      </c>
      <c r="W768">
        <f t="shared" ca="1" si="181"/>
        <v>0</v>
      </c>
      <c r="X768">
        <f t="shared" ca="1" si="181"/>
        <v>0</v>
      </c>
      <c r="Y768">
        <f t="shared" ca="1" si="181"/>
        <v>0</v>
      </c>
      <c r="Z768">
        <f t="shared" ca="1" si="181"/>
        <v>0</v>
      </c>
      <c r="AA768">
        <f t="shared" ca="1" si="181"/>
        <v>0</v>
      </c>
      <c r="AB768">
        <f t="shared" ca="1" si="181"/>
        <v>0</v>
      </c>
      <c r="AC768">
        <f t="shared" ca="1" si="181"/>
        <v>0</v>
      </c>
    </row>
    <row r="769" spans="3:29">
      <c r="C769" t="str">
        <f t="shared" si="182"/>
        <v>Wind 25%</v>
      </c>
      <c r="D769">
        <f t="shared" si="181"/>
        <v>0</v>
      </c>
      <c r="E769">
        <f t="shared" si="181"/>
        <v>0</v>
      </c>
      <c r="F769">
        <f t="shared" si="181"/>
        <v>0</v>
      </c>
      <c r="G769">
        <f t="shared" si="181"/>
        <v>0</v>
      </c>
      <c r="H769">
        <f t="shared" si="181"/>
        <v>0</v>
      </c>
      <c r="I769">
        <f t="shared" ca="1" si="181"/>
        <v>0</v>
      </c>
      <c r="J769">
        <f t="shared" ca="1" si="181"/>
        <v>0</v>
      </c>
      <c r="K769">
        <f t="shared" ca="1" si="181"/>
        <v>0</v>
      </c>
      <c r="L769">
        <f t="shared" ca="1" si="181"/>
        <v>0</v>
      </c>
      <c r="M769">
        <f t="shared" ca="1" si="181"/>
        <v>0</v>
      </c>
      <c r="N769">
        <f t="shared" ca="1" si="181"/>
        <v>0</v>
      </c>
      <c r="O769">
        <f t="shared" ca="1" si="181"/>
        <v>0</v>
      </c>
      <c r="P769">
        <f t="shared" ca="1" si="181"/>
        <v>0</v>
      </c>
      <c r="Q769">
        <f t="shared" ca="1" si="181"/>
        <v>0</v>
      </c>
      <c r="R769">
        <f t="shared" ca="1" si="181"/>
        <v>0</v>
      </c>
      <c r="S769">
        <f t="shared" ca="1" si="181"/>
        <v>0</v>
      </c>
      <c r="T769">
        <f t="shared" ca="1" si="181"/>
        <v>0</v>
      </c>
      <c r="U769">
        <f t="shared" ca="1" si="181"/>
        <v>0</v>
      </c>
      <c r="V769">
        <f t="shared" ca="1" si="181"/>
        <v>0</v>
      </c>
      <c r="W769">
        <f t="shared" ca="1" si="181"/>
        <v>0</v>
      </c>
      <c r="X769">
        <f t="shared" ca="1" si="181"/>
        <v>0</v>
      </c>
      <c r="Y769">
        <f t="shared" ref="E769:AC779" ca="1" si="183">Y700+21*Y723+310*Y746</f>
        <v>0</v>
      </c>
      <c r="Z769">
        <f t="shared" ca="1" si="183"/>
        <v>0</v>
      </c>
      <c r="AA769">
        <f t="shared" ca="1" si="183"/>
        <v>0</v>
      </c>
      <c r="AB769">
        <f t="shared" ca="1" si="183"/>
        <v>0</v>
      </c>
      <c r="AC769">
        <f t="shared" ca="1" si="183"/>
        <v>0</v>
      </c>
    </row>
    <row r="770" spans="3:29">
      <c r="C770" t="str">
        <f t="shared" si="182"/>
        <v>solar thermal central reciever</v>
      </c>
      <c r="D770">
        <f t="shared" ref="D770:D779" si="184">D701+21*D724+310*D747</f>
        <v>0</v>
      </c>
      <c r="E770">
        <f t="shared" si="183"/>
        <v>0</v>
      </c>
      <c r="F770">
        <f t="shared" si="183"/>
        <v>0</v>
      </c>
      <c r="G770">
        <f t="shared" si="183"/>
        <v>0</v>
      </c>
      <c r="H770">
        <f t="shared" si="183"/>
        <v>0</v>
      </c>
      <c r="I770">
        <f t="shared" ca="1" si="183"/>
        <v>0</v>
      </c>
      <c r="J770">
        <f t="shared" ca="1" si="183"/>
        <v>0</v>
      </c>
      <c r="K770">
        <f t="shared" ca="1" si="183"/>
        <v>0</v>
      </c>
      <c r="L770">
        <f t="shared" ca="1" si="183"/>
        <v>0</v>
      </c>
      <c r="M770">
        <f t="shared" ca="1" si="183"/>
        <v>0</v>
      </c>
      <c r="N770">
        <f t="shared" ca="1" si="183"/>
        <v>0</v>
      </c>
      <c r="O770">
        <f t="shared" ca="1" si="183"/>
        <v>0</v>
      </c>
      <c r="P770">
        <f t="shared" ca="1" si="183"/>
        <v>0</v>
      </c>
      <c r="Q770">
        <f t="shared" ca="1" si="183"/>
        <v>0</v>
      </c>
      <c r="R770">
        <f t="shared" ca="1" si="183"/>
        <v>0</v>
      </c>
      <c r="S770">
        <f t="shared" ca="1" si="183"/>
        <v>0</v>
      </c>
      <c r="T770">
        <f t="shared" ca="1" si="183"/>
        <v>0</v>
      </c>
      <c r="U770">
        <f t="shared" ca="1" si="183"/>
        <v>0</v>
      </c>
      <c r="V770">
        <f t="shared" ca="1" si="183"/>
        <v>0</v>
      </c>
      <c r="W770">
        <f t="shared" ca="1" si="183"/>
        <v>0</v>
      </c>
      <c r="X770">
        <f t="shared" ca="1" si="183"/>
        <v>0</v>
      </c>
      <c r="Y770">
        <f t="shared" ca="1" si="183"/>
        <v>0</v>
      </c>
      <c r="Z770">
        <f t="shared" ca="1" si="183"/>
        <v>0</v>
      </c>
      <c r="AA770">
        <f t="shared" ca="1" si="183"/>
        <v>0</v>
      </c>
      <c r="AB770">
        <f t="shared" ca="1" si="183"/>
        <v>0</v>
      </c>
      <c r="AC770">
        <f t="shared" ca="1" si="183"/>
        <v>0</v>
      </c>
    </row>
    <row r="771" spans="3:29">
      <c r="C771" t="str">
        <f t="shared" si="182"/>
        <v>solar thermal trough</v>
      </c>
      <c r="D771">
        <f t="shared" si="184"/>
        <v>0</v>
      </c>
      <c r="E771">
        <f t="shared" si="183"/>
        <v>0</v>
      </c>
      <c r="F771">
        <f t="shared" si="183"/>
        <v>0</v>
      </c>
      <c r="G771">
        <f t="shared" si="183"/>
        <v>0</v>
      </c>
      <c r="H771">
        <f t="shared" si="183"/>
        <v>0</v>
      </c>
      <c r="I771">
        <f t="shared" ca="1" si="183"/>
        <v>0</v>
      </c>
      <c r="J771">
        <f t="shared" ca="1" si="183"/>
        <v>0</v>
      </c>
      <c r="K771">
        <f t="shared" ca="1" si="183"/>
        <v>0</v>
      </c>
      <c r="L771">
        <f t="shared" ca="1" si="183"/>
        <v>0</v>
      </c>
      <c r="M771">
        <f t="shared" ca="1" si="183"/>
        <v>0</v>
      </c>
      <c r="N771">
        <f t="shared" ca="1" si="183"/>
        <v>0</v>
      </c>
      <c r="O771">
        <f t="shared" ca="1" si="183"/>
        <v>0</v>
      </c>
      <c r="P771">
        <f t="shared" ca="1" si="183"/>
        <v>0</v>
      </c>
      <c r="Q771">
        <f t="shared" ca="1" si="183"/>
        <v>0</v>
      </c>
      <c r="R771">
        <f t="shared" ca="1" si="183"/>
        <v>0</v>
      </c>
      <c r="S771">
        <f t="shared" ca="1" si="183"/>
        <v>0</v>
      </c>
      <c r="T771">
        <f t="shared" ca="1" si="183"/>
        <v>0</v>
      </c>
      <c r="U771">
        <f t="shared" ca="1" si="183"/>
        <v>0</v>
      </c>
      <c r="V771">
        <f t="shared" ca="1" si="183"/>
        <v>0</v>
      </c>
      <c r="W771">
        <f t="shared" ca="1" si="183"/>
        <v>0</v>
      </c>
      <c r="X771">
        <f t="shared" ca="1" si="183"/>
        <v>0</v>
      </c>
      <c r="Y771">
        <f t="shared" ca="1" si="183"/>
        <v>0</v>
      </c>
      <c r="Z771">
        <f t="shared" ca="1" si="183"/>
        <v>0</v>
      </c>
      <c r="AA771">
        <f t="shared" ca="1" si="183"/>
        <v>0</v>
      </c>
      <c r="AB771">
        <f t="shared" ca="1" si="183"/>
        <v>0</v>
      </c>
      <c r="AC771">
        <f t="shared" ca="1" si="183"/>
        <v>0</v>
      </c>
    </row>
    <row r="772" spans="3:29">
      <c r="C772" t="str">
        <f t="shared" si="182"/>
        <v>solar PV</v>
      </c>
      <c r="D772">
        <f t="shared" si="184"/>
        <v>0</v>
      </c>
      <c r="E772">
        <f t="shared" si="183"/>
        <v>0</v>
      </c>
      <c r="F772">
        <f t="shared" si="183"/>
        <v>0</v>
      </c>
      <c r="G772">
        <f t="shared" si="183"/>
        <v>0</v>
      </c>
      <c r="H772">
        <f t="shared" si="183"/>
        <v>0</v>
      </c>
      <c r="I772">
        <f t="shared" ca="1" si="183"/>
        <v>0</v>
      </c>
      <c r="J772">
        <f t="shared" ca="1" si="183"/>
        <v>0</v>
      </c>
      <c r="K772">
        <f t="shared" ca="1" si="183"/>
        <v>0</v>
      </c>
      <c r="L772">
        <f t="shared" ca="1" si="183"/>
        <v>0</v>
      </c>
      <c r="M772">
        <f t="shared" ca="1" si="183"/>
        <v>0</v>
      </c>
      <c r="N772">
        <f t="shared" ca="1" si="183"/>
        <v>0</v>
      </c>
      <c r="O772">
        <f t="shared" ca="1" si="183"/>
        <v>0</v>
      </c>
      <c r="P772">
        <f t="shared" ca="1" si="183"/>
        <v>0</v>
      </c>
      <c r="Q772">
        <f t="shared" ca="1" si="183"/>
        <v>0</v>
      </c>
      <c r="R772">
        <f t="shared" ca="1" si="183"/>
        <v>0</v>
      </c>
      <c r="S772">
        <f t="shared" ca="1" si="183"/>
        <v>0</v>
      </c>
      <c r="T772">
        <f t="shared" ca="1" si="183"/>
        <v>0</v>
      </c>
      <c r="U772">
        <f t="shared" ca="1" si="183"/>
        <v>0</v>
      </c>
      <c r="V772">
        <f t="shared" ca="1" si="183"/>
        <v>0</v>
      </c>
      <c r="W772">
        <f t="shared" ca="1" si="183"/>
        <v>0</v>
      </c>
      <c r="X772">
        <f t="shared" ca="1" si="183"/>
        <v>0</v>
      </c>
      <c r="Y772">
        <f t="shared" ca="1" si="183"/>
        <v>0</v>
      </c>
      <c r="Z772">
        <f t="shared" ca="1" si="183"/>
        <v>0</v>
      </c>
      <c r="AA772">
        <f t="shared" ca="1" si="183"/>
        <v>0</v>
      </c>
      <c r="AB772">
        <f t="shared" ca="1" si="183"/>
        <v>0</v>
      </c>
      <c r="AC772">
        <f t="shared" ca="1" si="183"/>
        <v>0</v>
      </c>
    </row>
    <row r="773" spans="3:29">
      <c r="C773" t="str">
        <f t="shared" si="182"/>
        <v>combined cycle gas</v>
      </c>
      <c r="D773">
        <f t="shared" si="184"/>
        <v>0</v>
      </c>
      <c r="E773">
        <f t="shared" si="183"/>
        <v>0</v>
      </c>
      <c r="F773">
        <f t="shared" si="183"/>
        <v>0</v>
      </c>
      <c r="G773">
        <f t="shared" si="183"/>
        <v>0</v>
      </c>
      <c r="H773">
        <f t="shared" si="183"/>
        <v>0</v>
      </c>
      <c r="I773">
        <f t="shared" ca="1" si="183"/>
        <v>0</v>
      </c>
      <c r="J773">
        <f t="shared" ca="1" si="183"/>
        <v>0</v>
      </c>
      <c r="K773">
        <f t="shared" ca="1" si="183"/>
        <v>0</v>
      </c>
      <c r="L773">
        <f t="shared" ca="1" si="183"/>
        <v>0</v>
      </c>
      <c r="M773">
        <f t="shared" ca="1" si="183"/>
        <v>0</v>
      </c>
      <c r="N773">
        <f t="shared" ca="1" si="183"/>
        <v>0</v>
      </c>
      <c r="O773">
        <f t="shared" ca="1" si="183"/>
        <v>0</v>
      </c>
      <c r="P773">
        <f t="shared" ca="1" si="183"/>
        <v>0</v>
      </c>
      <c r="Q773">
        <f t="shared" ca="1" si="183"/>
        <v>0</v>
      </c>
      <c r="R773">
        <f t="shared" ca="1" si="183"/>
        <v>0</v>
      </c>
      <c r="S773">
        <f t="shared" ca="1" si="183"/>
        <v>0</v>
      </c>
      <c r="T773">
        <f t="shared" ca="1" si="183"/>
        <v>0</v>
      </c>
      <c r="U773">
        <f t="shared" ca="1" si="183"/>
        <v>0</v>
      </c>
      <c r="V773">
        <f t="shared" ca="1" si="183"/>
        <v>0</v>
      </c>
      <c r="W773">
        <f t="shared" ca="1" si="183"/>
        <v>0</v>
      </c>
      <c r="X773">
        <f t="shared" ca="1" si="183"/>
        <v>0</v>
      </c>
      <c r="Y773">
        <f t="shared" ca="1" si="183"/>
        <v>0</v>
      </c>
      <c r="Z773">
        <f t="shared" ca="1" si="183"/>
        <v>1.5344480858326417</v>
      </c>
      <c r="AA773">
        <f t="shared" ca="1" si="183"/>
        <v>3.8361202145816047</v>
      </c>
      <c r="AB773">
        <f t="shared" ca="1" si="183"/>
        <v>6.1377923433305668</v>
      </c>
      <c r="AC773">
        <f t="shared" ca="1" si="183"/>
        <v>6.1377923433305668</v>
      </c>
    </row>
    <row r="774" spans="3:29">
      <c r="C774" t="str">
        <f t="shared" si="182"/>
        <v>PBMR</v>
      </c>
      <c r="D774">
        <f t="shared" si="184"/>
        <v>0</v>
      </c>
      <c r="E774">
        <f t="shared" si="183"/>
        <v>0</v>
      </c>
      <c r="F774">
        <f t="shared" si="183"/>
        <v>0</v>
      </c>
      <c r="G774">
        <f t="shared" si="183"/>
        <v>0</v>
      </c>
      <c r="H774">
        <f t="shared" si="183"/>
        <v>0</v>
      </c>
      <c r="I774">
        <f t="shared" ca="1" si="183"/>
        <v>0</v>
      </c>
      <c r="J774">
        <f t="shared" ca="1" si="183"/>
        <v>0</v>
      </c>
      <c r="K774">
        <f t="shared" ca="1" si="183"/>
        <v>0</v>
      </c>
      <c r="L774">
        <f t="shared" ca="1" si="183"/>
        <v>0</v>
      </c>
      <c r="M774">
        <f t="shared" ca="1" si="183"/>
        <v>0</v>
      </c>
      <c r="N774">
        <f t="shared" ca="1" si="183"/>
        <v>0</v>
      </c>
      <c r="O774">
        <f t="shared" ca="1" si="183"/>
        <v>0</v>
      </c>
      <c r="P774">
        <f t="shared" ca="1" si="183"/>
        <v>0</v>
      </c>
      <c r="Q774">
        <f t="shared" ca="1" si="183"/>
        <v>0</v>
      </c>
      <c r="R774">
        <f t="shared" ca="1" si="183"/>
        <v>0</v>
      </c>
      <c r="S774">
        <f t="shared" ca="1" si="183"/>
        <v>0</v>
      </c>
      <c r="T774">
        <f t="shared" ca="1" si="183"/>
        <v>0</v>
      </c>
      <c r="U774">
        <f t="shared" ca="1" si="183"/>
        <v>0</v>
      </c>
      <c r="V774">
        <f t="shared" ca="1" si="183"/>
        <v>0</v>
      </c>
      <c r="W774">
        <f t="shared" ca="1" si="183"/>
        <v>0</v>
      </c>
      <c r="X774">
        <f t="shared" ca="1" si="183"/>
        <v>0</v>
      </c>
      <c r="Y774">
        <f t="shared" ca="1" si="183"/>
        <v>0</v>
      </c>
      <c r="Z774">
        <f t="shared" ca="1" si="183"/>
        <v>0</v>
      </c>
      <c r="AA774">
        <f t="shared" ca="1" si="183"/>
        <v>0</v>
      </c>
      <c r="AB774">
        <f t="shared" ca="1" si="183"/>
        <v>0</v>
      </c>
      <c r="AC774">
        <f t="shared" ca="1" si="183"/>
        <v>0</v>
      </c>
    </row>
    <row r="775" spans="3:29">
      <c r="C775" t="str">
        <f t="shared" si="182"/>
        <v>IGCC</v>
      </c>
      <c r="D775">
        <f t="shared" si="184"/>
        <v>0</v>
      </c>
      <c r="E775">
        <f t="shared" si="183"/>
        <v>2.602576242861687E-14</v>
      </c>
      <c r="F775">
        <f t="shared" si="183"/>
        <v>0</v>
      </c>
      <c r="G775">
        <f t="shared" si="183"/>
        <v>2.602576242861687E-14</v>
      </c>
      <c r="H775">
        <f t="shared" si="183"/>
        <v>2.602576242861687E-14</v>
      </c>
      <c r="I775">
        <f t="shared" ca="1" si="183"/>
        <v>0</v>
      </c>
      <c r="J775">
        <f t="shared" ca="1" si="183"/>
        <v>0</v>
      </c>
      <c r="K775">
        <f t="shared" ca="1" si="183"/>
        <v>0</v>
      </c>
      <c r="L775">
        <f t="shared" ca="1" si="183"/>
        <v>0</v>
      </c>
      <c r="M775">
        <f t="shared" ca="1" si="183"/>
        <v>0</v>
      </c>
      <c r="N775">
        <f t="shared" ca="1" si="183"/>
        <v>0</v>
      </c>
      <c r="O775">
        <f t="shared" ca="1" si="183"/>
        <v>0</v>
      </c>
      <c r="P775">
        <f t="shared" ca="1" si="183"/>
        <v>0</v>
      </c>
      <c r="Q775">
        <f t="shared" ca="1" si="183"/>
        <v>0</v>
      </c>
      <c r="R775">
        <f t="shared" ca="1" si="183"/>
        <v>0</v>
      </c>
      <c r="S775">
        <f t="shared" ca="1" si="183"/>
        <v>0</v>
      </c>
      <c r="T775">
        <f t="shared" ca="1" si="183"/>
        <v>0</v>
      </c>
      <c r="U775">
        <f t="shared" ca="1" si="183"/>
        <v>0</v>
      </c>
      <c r="V775">
        <f t="shared" ca="1" si="183"/>
        <v>0</v>
      </c>
      <c r="W775">
        <f t="shared" ca="1" si="183"/>
        <v>0</v>
      </c>
      <c r="X775">
        <f t="shared" ca="1" si="183"/>
        <v>0</v>
      </c>
      <c r="Y775">
        <f t="shared" ca="1" si="183"/>
        <v>0</v>
      </c>
      <c r="Z775">
        <f t="shared" ca="1" si="183"/>
        <v>0</v>
      </c>
      <c r="AA775">
        <f t="shared" ca="1" si="183"/>
        <v>0</v>
      </c>
      <c r="AB775">
        <f t="shared" ca="1" si="183"/>
        <v>3.6930401379846161</v>
      </c>
      <c r="AC775">
        <f t="shared" ca="1" si="183"/>
        <v>7.3860802759692321</v>
      </c>
    </row>
    <row r="776" spans="3:29">
      <c r="C776" t="str">
        <f t="shared" si="182"/>
        <v>-</v>
      </c>
      <c r="D776">
        <f t="shared" si="184"/>
        <v>0</v>
      </c>
      <c r="E776">
        <f t="shared" si="183"/>
        <v>0</v>
      </c>
      <c r="F776">
        <f t="shared" si="183"/>
        <v>0</v>
      </c>
      <c r="G776">
        <f t="shared" si="183"/>
        <v>0</v>
      </c>
      <c r="H776">
        <f t="shared" si="183"/>
        <v>0</v>
      </c>
      <c r="I776">
        <f t="shared" ca="1" si="183"/>
        <v>0</v>
      </c>
      <c r="J776">
        <f t="shared" ca="1" si="183"/>
        <v>0</v>
      </c>
      <c r="K776">
        <f t="shared" ca="1" si="183"/>
        <v>0</v>
      </c>
      <c r="L776">
        <f t="shared" ca="1" si="183"/>
        <v>0</v>
      </c>
      <c r="M776">
        <f t="shared" ca="1" si="183"/>
        <v>0</v>
      </c>
      <c r="N776">
        <f t="shared" ca="1" si="183"/>
        <v>0</v>
      </c>
      <c r="O776">
        <f t="shared" ca="1" si="183"/>
        <v>0</v>
      </c>
      <c r="P776">
        <f t="shared" ca="1" si="183"/>
        <v>0</v>
      </c>
      <c r="Q776">
        <f t="shared" ca="1" si="183"/>
        <v>0</v>
      </c>
      <c r="R776">
        <f t="shared" ca="1" si="183"/>
        <v>0</v>
      </c>
      <c r="S776">
        <f t="shared" ca="1" si="183"/>
        <v>0</v>
      </c>
      <c r="T776">
        <f t="shared" ca="1" si="183"/>
        <v>0</v>
      </c>
      <c r="U776">
        <f t="shared" ca="1" si="183"/>
        <v>0</v>
      </c>
      <c r="V776">
        <f t="shared" ca="1" si="183"/>
        <v>0</v>
      </c>
      <c r="W776">
        <f t="shared" ca="1" si="183"/>
        <v>0</v>
      </c>
      <c r="X776">
        <f t="shared" ca="1" si="183"/>
        <v>0</v>
      </c>
      <c r="Y776">
        <f t="shared" ca="1" si="183"/>
        <v>0</v>
      </c>
      <c r="Z776">
        <f t="shared" ca="1" si="183"/>
        <v>0</v>
      </c>
      <c r="AA776">
        <f t="shared" ca="1" si="183"/>
        <v>0</v>
      </c>
      <c r="AB776">
        <f t="shared" ca="1" si="183"/>
        <v>0</v>
      </c>
      <c r="AC776">
        <f t="shared" ca="1" si="183"/>
        <v>0</v>
      </c>
    </row>
    <row r="777" spans="3:29">
      <c r="C777" t="str">
        <f t="shared" si="182"/>
        <v>-</v>
      </c>
      <c r="D777">
        <f t="shared" si="184"/>
        <v>0</v>
      </c>
      <c r="E777">
        <f t="shared" si="183"/>
        <v>0</v>
      </c>
      <c r="F777">
        <f t="shared" si="183"/>
        <v>0</v>
      </c>
      <c r="G777">
        <f t="shared" si="183"/>
        <v>0</v>
      </c>
      <c r="H777">
        <f t="shared" si="183"/>
        <v>0</v>
      </c>
      <c r="I777">
        <f t="shared" ca="1" si="183"/>
        <v>0</v>
      </c>
      <c r="J777">
        <f t="shared" ca="1" si="183"/>
        <v>0</v>
      </c>
      <c r="K777">
        <f t="shared" ca="1" si="183"/>
        <v>0</v>
      </c>
      <c r="L777">
        <f t="shared" ca="1" si="183"/>
        <v>0</v>
      </c>
      <c r="M777">
        <f t="shared" ca="1" si="183"/>
        <v>0</v>
      </c>
      <c r="N777">
        <f t="shared" ca="1" si="183"/>
        <v>0</v>
      </c>
      <c r="O777">
        <f t="shared" ca="1" si="183"/>
        <v>0</v>
      </c>
      <c r="P777">
        <f t="shared" ca="1" si="183"/>
        <v>0</v>
      </c>
      <c r="Q777">
        <f t="shared" ca="1" si="183"/>
        <v>0</v>
      </c>
      <c r="R777">
        <f t="shared" ca="1" si="183"/>
        <v>0</v>
      </c>
      <c r="S777">
        <f t="shared" ca="1" si="183"/>
        <v>0</v>
      </c>
      <c r="T777">
        <f t="shared" ca="1" si="183"/>
        <v>0</v>
      </c>
      <c r="U777">
        <f t="shared" ca="1" si="183"/>
        <v>0</v>
      </c>
      <c r="V777">
        <f t="shared" ca="1" si="183"/>
        <v>0</v>
      </c>
      <c r="W777">
        <f t="shared" ca="1" si="183"/>
        <v>0</v>
      </c>
      <c r="X777">
        <f t="shared" ca="1" si="183"/>
        <v>0</v>
      </c>
      <c r="Y777">
        <f t="shared" ca="1" si="183"/>
        <v>0</v>
      </c>
      <c r="Z777">
        <f t="shared" ca="1" si="183"/>
        <v>0</v>
      </c>
      <c r="AA777">
        <f t="shared" ca="1" si="183"/>
        <v>0</v>
      </c>
      <c r="AB777">
        <f t="shared" ca="1" si="183"/>
        <v>0</v>
      </c>
      <c r="AC777">
        <f t="shared" ca="1" si="183"/>
        <v>0</v>
      </c>
    </row>
    <row r="778" spans="3:29">
      <c r="C778" t="str">
        <f t="shared" si="182"/>
        <v>-</v>
      </c>
      <c r="D778">
        <f t="shared" si="184"/>
        <v>0</v>
      </c>
      <c r="E778">
        <f t="shared" si="183"/>
        <v>0</v>
      </c>
      <c r="F778">
        <f t="shared" si="183"/>
        <v>0</v>
      </c>
      <c r="G778">
        <f t="shared" si="183"/>
        <v>0</v>
      </c>
      <c r="H778">
        <f t="shared" si="183"/>
        <v>0</v>
      </c>
      <c r="I778">
        <f t="shared" ca="1" si="183"/>
        <v>0</v>
      </c>
      <c r="J778">
        <f t="shared" ca="1" si="183"/>
        <v>0</v>
      </c>
      <c r="K778">
        <f t="shared" ca="1" si="183"/>
        <v>0</v>
      </c>
      <c r="L778">
        <f t="shared" ca="1" si="183"/>
        <v>0</v>
      </c>
      <c r="M778">
        <f t="shared" ca="1" si="183"/>
        <v>0</v>
      </c>
      <c r="N778">
        <f t="shared" ca="1" si="183"/>
        <v>0</v>
      </c>
      <c r="O778">
        <f t="shared" ca="1" si="183"/>
        <v>0</v>
      </c>
      <c r="P778">
        <f t="shared" ca="1" si="183"/>
        <v>0</v>
      </c>
      <c r="Q778">
        <f t="shared" ca="1" si="183"/>
        <v>0</v>
      </c>
      <c r="R778">
        <f t="shared" ca="1" si="183"/>
        <v>0</v>
      </c>
      <c r="S778">
        <f t="shared" ca="1" si="183"/>
        <v>0</v>
      </c>
      <c r="T778">
        <f t="shared" ca="1" si="183"/>
        <v>0</v>
      </c>
      <c r="U778">
        <f t="shared" ca="1" si="183"/>
        <v>0</v>
      </c>
      <c r="V778">
        <f t="shared" ca="1" si="183"/>
        <v>0</v>
      </c>
      <c r="W778">
        <f t="shared" ca="1" si="183"/>
        <v>0</v>
      </c>
      <c r="X778">
        <f t="shared" ca="1" si="183"/>
        <v>0</v>
      </c>
      <c r="Y778">
        <f t="shared" ca="1" si="183"/>
        <v>0</v>
      </c>
      <c r="Z778">
        <f t="shared" ca="1" si="183"/>
        <v>0</v>
      </c>
      <c r="AA778">
        <f t="shared" ca="1" si="183"/>
        <v>0</v>
      </c>
      <c r="AB778">
        <f t="shared" ca="1" si="183"/>
        <v>0</v>
      </c>
      <c r="AC778">
        <f t="shared" ca="1" si="183"/>
        <v>0</v>
      </c>
    </row>
    <row r="779" spans="3:29">
      <c r="C779" t="str">
        <f t="shared" si="182"/>
        <v>Pumped storage</v>
      </c>
      <c r="D779">
        <f t="shared" si="184"/>
        <v>0</v>
      </c>
      <c r="E779">
        <f t="shared" si="183"/>
        <v>0</v>
      </c>
      <c r="F779">
        <f t="shared" si="183"/>
        <v>0</v>
      </c>
      <c r="G779">
        <f t="shared" si="183"/>
        <v>0</v>
      </c>
      <c r="H779">
        <f t="shared" si="183"/>
        <v>0</v>
      </c>
      <c r="I779">
        <f t="shared" ca="1" si="183"/>
        <v>0</v>
      </c>
      <c r="J779">
        <f t="shared" ca="1" si="183"/>
        <v>0</v>
      </c>
      <c r="K779">
        <f t="shared" ca="1" si="183"/>
        <v>0</v>
      </c>
      <c r="L779">
        <f t="shared" ca="1" si="183"/>
        <v>0</v>
      </c>
      <c r="M779">
        <f t="shared" ca="1" si="183"/>
        <v>0</v>
      </c>
      <c r="N779">
        <f t="shared" ca="1" si="183"/>
        <v>0</v>
      </c>
      <c r="O779">
        <f t="shared" ca="1" si="183"/>
        <v>0</v>
      </c>
      <c r="P779">
        <f t="shared" ca="1" si="183"/>
        <v>0</v>
      </c>
      <c r="Q779">
        <f t="shared" ca="1" si="183"/>
        <v>0</v>
      </c>
      <c r="R779">
        <f t="shared" ca="1" si="183"/>
        <v>0</v>
      </c>
      <c r="S779">
        <f t="shared" ca="1" si="183"/>
        <v>0</v>
      </c>
      <c r="T779">
        <f t="shared" ca="1" si="183"/>
        <v>0</v>
      </c>
      <c r="U779">
        <f t="shared" ca="1" si="183"/>
        <v>0</v>
      </c>
      <c r="V779">
        <f t="shared" ca="1" si="183"/>
        <v>0</v>
      </c>
      <c r="W779">
        <f t="shared" ca="1" si="183"/>
        <v>0</v>
      </c>
      <c r="X779">
        <f t="shared" ca="1" si="183"/>
        <v>0</v>
      </c>
      <c r="Y779">
        <f t="shared" ca="1" si="183"/>
        <v>0</v>
      </c>
      <c r="Z779">
        <f t="shared" ca="1" si="183"/>
        <v>0</v>
      </c>
      <c r="AA779">
        <f t="shared" ca="1" si="183"/>
        <v>0</v>
      </c>
      <c r="AB779">
        <f t="shared" ca="1" si="183"/>
        <v>0</v>
      </c>
      <c r="AC779">
        <f t="shared" ca="1" si="183"/>
        <v>0</v>
      </c>
    </row>
    <row r="780" spans="3:29">
      <c r="C780" s="4" t="s">
        <v>5</v>
      </c>
      <c r="D780">
        <f t="shared" ref="D780:AC780" si="185">SUM(D760:D779)</f>
        <v>220.034798548178</v>
      </c>
      <c r="E780">
        <f t="shared" si="185"/>
        <v>220.03479854817803</v>
      </c>
      <c r="F780">
        <f t="shared" si="185"/>
        <v>226.79847644211583</v>
      </c>
      <c r="G780">
        <f t="shared" si="185"/>
        <v>229.15455889883285</v>
      </c>
      <c r="H780">
        <f t="shared" si="185"/>
        <v>229.15455889883285</v>
      </c>
      <c r="I780">
        <f t="shared" ca="1" si="185"/>
        <v>235.99719359076568</v>
      </c>
      <c r="J780">
        <f t="shared" ca="1" si="185"/>
        <v>240.61223271830576</v>
      </c>
      <c r="K780">
        <f t="shared" ca="1" si="185"/>
        <v>245.94370237257172</v>
      </c>
      <c r="L780">
        <f t="shared" ca="1" si="185"/>
        <v>252.03726263855805</v>
      </c>
      <c r="M780">
        <f t="shared" ca="1" si="185"/>
        <v>259.54553051647986</v>
      </c>
      <c r="N780">
        <f t="shared" ca="1" si="185"/>
        <v>265.34315015229953</v>
      </c>
      <c r="O780">
        <f t="shared" ca="1" si="185"/>
        <v>271.05838016721037</v>
      </c>
      <c r="P780">
        <f t="shared" ca="1" si="185"/>
        <v>274.70492799235382</v>
      </c>
      <c r="Q780">
        <f t="shared" ca="1" si="185"/>
        <v>276.81469963138107</v>
      </c>
      <c r="R780">
        <f t="shared" ca="1" si="185"/>
        <v>276.11946322980771</v>
      </c>
      <c r="S780">
        <f t="shared" ca="1" si="185"/>
        <v>272.93586801804241</v>
      </c>
      <c r="T780">
        <f t="shared" ca="1" si="185"/>
        <v>267.01756033867656</v>
      </c>
      <c r="U780">
        <f t="shared" ca="1" si="185"/>
        <v>264.7098873260955</v>
      </c>
      <c r="V780">
        <f t="shared" ca="1" si="185"/>
        <v>257.8150253708103</v>
      </c>
      <c r="W780">
        <f t="shared" ca="1" si="185"/>
        <v>251.20654868022288</v>
      </c>
      <c r="X780">
        <f t="shared" ca="1" si="185"/>
        <v>244.8708237650898</v>
      </c>
      <c r="Y780">
        <f t="shared" ca="1" si="185"/>
        <v>239.08072086545238</v>
      </c>
      <c r="Z780">
        <f t="shared" ca="1" si="185"/>
        <v>232.24683091927332</v>
      </c>
      <c r="AA780">
        <f t="shared" ca="1" si="185"/>
        <v>224.74813490585819</v>
      </c>
      <c r="AB780">
        <f t="shared" ca="1" si="185"/>
        <v>216.5433000446466</v>
      </c>
      <c r="AC780">
        <f t="shared" ca="1" si="185"/>
        <v>208.54825066514221</v>
      </c>
    </row>
    <row r="782" spans="3:29">
      <c r="C782" s="4" t="s">
        <v>154</v>
      </c>
    </row>
    <row r="783" spans="3:29">
      <c r="C783" t="str">
        <f>C8</f>
        <v>Existing coal Large</v>
      </c>
      <c r="D783">
        <f>'Fuel Costs'!$G171*D367</f>
        <v>1.3295094949099666</v>
      </c>
      <c r="E783">
        <f>'Fuel Costs'!$G171*E367</f>
        <v>1.3295094949099666</v>
      </c>
      <c r="F783">
        <f>'Fuel Costs'!$G171*F367</f>
        <v>1.3733067659630029</v>
      </c>
      <c r="G783">
        <f>'Fuel Costs'!$G171*G367</f>
        <v>1.3885632556418837</v>
      </c>
      <c r="H783">
        <f>'Fuel Costs'!$G171*H367</f>
        <v>1.3885632556418837</v>
      </c>
      <c r="I783">
        <f ca="1">'Fuel Costs'!$G171*I367</f>
        <v>1.4213446038664734</v>
      </c>
      <c r="J783">
        <f ca="1">'Fuel Costs'!$G171*J367</f>
        <v>1.4428005832117152</v>
      </c>
      <c r="K783">
        <f ca="1">'Fuel Costs'!$G171*K367</f>
        <v>1.4670294288736616</v>
      </c>
      <c r="L783">
        <f ca="1">'Fuel Costs'!$G171*L367</f>
        <v>1.4858987312161975</v>
      </c>
      <c r="M783">
        <f ca="1">'Fuel Costs'!$G171*M367</f>
        <v>1.5007667579921447</v>
      </c>
      <c r="N783">
        <f ca="1">'Fuel Costs'!$G171*N367</f>
        <v>1.5007667579921447</v>
      </c>
      <c r="O783">
        <f ca="1">'Fuel Costs'!$G171*O367</f>
        <v>1.5007667579921447</v>
      </c>
      <c r="P783">
        <f ca="1">'Fuel Costs'!$G171*P367</f>
        <v>1.5007667579921447</v>
      </c>
      <c r="Q783">
        <f ca="1">'Fuel Costs'!$G171*Q367</f>
        <v>1.5007667579921447</v>
      </c>
      <c r="R783">
        <f ca="1">'Fuel Costs'!$G171*R367</f>
        <v>1.5007667579921447</v>
      </c>
      <c r="S783">
        <f ca="1">'Fuel Costs'!$G171*S367</f>
        <v>1.5007667579921447</v>
      </c>
      <c r="T783">
        <f ca="1">'Fuel Costs'!$G171*T367</f>
        <v>1.5007667579921447</v>
      </c>
      <c r="U783">
        <f ca="1">'Fuel Costs'!$G171*U367</f>
        <v>1.5007667579921447</v>
      </c>
      <c r="V783">
        <f ca="1">'Fuel Costs'!$G171*V367</f>
        <v>1.4656830321322356</v>
      </c>
      <c r="W783">
        <f ca="1">'Fuel Costs'!$G171*W367</f>
        <v>1.4228907452427693</v>
      </c>
      <c r="X783">
        <f ca="1">'Fuel Costs'!$G171*X367</f>
        <v>1.3884715196270734</v>
      </c>
      <c r="Y783">
        <f ca="1">'Fuel Costs'!$G171*Y367</f>
        <v>1.3182869956489038</v>
      </c>
      <c r="Z783">
        <f ca="1">'Fuel Costs'!$G171*Z367</f>
        <v>1.2481024716707341</v>
      </c>
      <c r="AA783">
        <f ca="1">'Fuel Costs'!$G171*AA367</f>
        <v>1.1631422584340025</v>
      </c>
      <c r="AB783">
        <f ca="1">'Fuel Costs'!$G171*AB367</f>
        <v>0.99322183196053926</v>
      </c>
      <c r="AC783">
        <f ca="1">'Fuel Costs'!$G171*AC367</f>
        <v>0.9082616187238074</v>
      </c>
    </row>
    <row r="784" spans="3:29">
      <c r="C784" t="str">
        <f t="shared" ref="C784:C801" si="186">C9</f>
        <v>Existing coal Small</v>
      </c>
      <c r="D784">
        <f>'Fuel Costs'!$G172*D368</f>
        <v>0</v>
      </c>
      <c r="E784">
        <f>'Fuel Costs'!$G172*E368</f>
        <v>0</v>
      </c>
      <c r="F784">
        <f>'Fuel Costs'!$G172*F368</f>
        <v>0</v>
      </c>
      <c r="G784">
        <f>'Fuel Costs'!$G172*G368</f>
        <v>0</v>
      </c>
      <c r="H784">
        <f>'Fuel Costs'!$G172*H368</f>
        <v>0</v>
      </c>
      <c r="I784">
        <f ca="1">'Fuel Costs'!$G172*I368</f>
        <v>0</v>
      </c>
      <c r="J784">
        <f ca="1">'Fuel Costs'!$G172*J368</f>
        <v>0</v>
      </c>
      <c r="K784">
        <f ca="1">'Fuel Costs'!$G172*K368</f>
        <v>0</v>
      </c>
      <c r="L784">
        <f ca="1">'Fuel Costs'!$G172*L368</f>
        <v>0</v>
      </c>
      <c r="M784">
        <f ca="1">'Fuel Costs'!$G172*M368</f>
        <v>0</v>
      </c>
      <c r="N784">
        <f ca="1">'Fuel Costs'!$G172*N368</f>
        <v>0</v>
      </c>
      <c r="O784">
        <f ca="1">'Fuel Costs'!$G172*O368</f>
        <v>0</v>
      </c>
      <c r="P784">
        <f ca="1">'Fuel Costs'!$G172*P368</f>
        <v>0</v>
      </c>
      <c r="Q784">
        <f ca="1">'Fuel Costs'!$G172*Q368</f>
        <v>0</v>
      </c>
      <c r="R784">
        <f ca="1">'Fuel Costs'!$G172*R368</f>
        <v>0</v>
      </c>
      <c r="S784">
        <f ca="1">'Fuel Costs'!$G172*S368</f>
        <v>0</v>
      </c>
      <c r="T784">
        <f ca="1">'Fuel Costs'!$G172*T368</f>
        <v>0</v>
      </c>
      <c r="U784">
        <f ca="1">'Fuel Costs'!$G172*U368</f>
        <v>0</v>
      </c>
      <c r="V784">
        <f ca="1">'Fuel Costs'!$G172*V368</f>
        <v>0</v>
      </c>
      <c r="W784">
        <f ca="1">'Fuel Costs'!$G172*W368</f>
        <v>0</v>
      </c>
      <c r="X784">
        <f ca="1">'Fuel Costs'!$G172*X368</f>
        <v>0</v>
      </c>
      <c r="Y784">
        <f ca="1">'Fuel Costs'!$G172*Y368</f>
        <v>0</v>
      </c>
      <c r="Z784">
        <f ca="1">'Fuel Costs'!$G172*Z368</f>
        <v>0</v>
      </c>
      <c r="AA784">
        <f ca="1">'Fuel Costs'!$G172*AA368</f>
        <v>0</v>
      </c>
      <c r="AB784">
        <f ca="1">'Fuel Costs'!$G172*AB368</f>
        <v>0</v>
      </c>
      <c r="AC784">
        <f ca="1">'Fuel Costs'!$G172*AC368</f>
        <v>0</v>
      </c>
    </row>
    <row r="785" spans="3:29">
      <c r="C785" t="str">
        <f t="shared" si="186"/>
        <v>OCGT liquid fuels</v>
      </c>
      <c r="D785">
        <f>'Fuel Costs'!$G173*D369</f>
        <v>1.8798442271375428E-3</v>
      </c>
      <c r="E785">
        <f>'Fuel Costs'!$G173*E369</f>
        <v>1.8798442271375428E-3</v>
      </c>
      <c r="F785">
        <f>'Fuel Costs'!$G173*F369</f>
        <v>1.8798442271375428E-3</v>
      </c>
      <c r="G785">
        <f>'Fuel Costs'!$G173*G369</f>
        <v>1.8798442271375428E-3</v>
      </c>
      <c r="H785">
        <f>'Fuel Costs'!$G173*H369</f>
        <v>1.8798442271375428E-3</v>
      </c>
      <c r="I785">
        <f ca="1">'Fuel Costs'!$G173*I369</f>
        <v>1.8798442271375428E-3</v>
      </c>
      <c r="J785">
        <f ca="1">'Fuel Costs'!$G173*J369</f>
        <v>2.7257741293494372E-3</v>
      </c>
      <c r="K785">
        <f ca="1">'Fuel Costs'!$G173*K369</f>
        <v>2.7257741293494372E-3</v>
      </c>
      <c r="L785">
        <f ca="1">'Fuel Costs'!$G173*L369</f>
        <v>2.7257741293494372E-3</v>
      </c>
      <c r="M785">
        <f ca="1">'Fuel Costs'!$G173*M369</f>
        <v>2.7257741293494372E-3</v>
      </c>
      <c r="N785">
        <f ca="1">'Fuel Costs'!$G173*N369</f>
        <v>2.7257741293494372E-3</v>
      </c>
      <c r="O785">
        <f ca="1">'Fuel Costs'!$G173*O369</f>
        <v>2.7257741293494372E-3</v>
      </c>
      <c r="P785">
        <f ca="1">'Fuel Costs'!$G173*P369</f>
        <v>2.7257741293494372E-3</v>
      </c>
      <c r="Q785">
        <f ca="1">'Fuel Costs'!$G173*Q369</f>
        <v>2.7257741293494372E-3</v>
      </c>
      <c r="R785">
        <f ca="1">'Fuel Costs'!$G173*R369</f>
        <v>2.7257741293494372E-3</v>
      </c>
      <c r="S785">
        <f ca="1">'Fuel Costs'!$G173*S369</f>
        <v>2.7257741293494372E-3</v>
      </c>
      <c r="T785">
        <f ca="1">'Fuel Costs'!$G173*T369</f>
        <v>2.7257741293494372E-3</v>
      </c>
      <c r="U785">
        <f ca="1">'Fuel Costs'!$G173*U369</f>
        <v>2.7257741293494372E-3</v>
      </c>
      <c r="V785">
        <f ca="1">'Fuel Costs'!$G173*V369</f>
        <v>2.7257741293494372E-3</v>
      </c>
      <c r="W785">
        <f ca="1">'Fuel Costs'!$G173*W369</f>
        <v>2.7257741293494372E-3</v>
      </c>
      <c r="X785">
        <f ca="1">'Fuel Costs'!$G173*X369</f>
        <v>2.7257741293494372E-3</v>
      </c>
      <c r="Y785">
        <f ca="1">'Fuel Costs'!$G173*Y369</f>
        <v>3.2897273974907006E-3</v>
      </c>
      <c r="Z785">
        <f ca="1">'Fuel Costs'!$G173*Z369</f>
        <v>3.2897273974907006E-3</v>
      </c>
      <c r="AA785">
        <f ca="1">'Fuel Costs'!$G173*AA369</f>
        <v>3.2897273974907006E-3</v>
      </c>
      <c r="AB785">
        <f ca="1">'Fuel Costs'!$G173*AB369</f>
        <v>4.0416650883457177E-3</v>
      </c>
      <c r="AC785">
        <f ca="1">'Fuel Costs'!$G173*AC369</f>
        <v>4.6596638780171847E-3</v>
      </c>
    </row>
    <row r="786" spans="3:29">
      <c r="C786" t="str">
        <f t="shared" si="186"/>
        <v>PWR nuclear</v>
      </c>
      <c r="D786">
        <f>'Fuel Costs'!$G174*D370</f>
        <v>0</v>
      </c>
      <c r="E786">
        <f>'Fuel Costs'!$G174*E370</f>
        <v>0</v>
      </c>
      <c r="F786">
        <f>'Fuel Costs'!$G174*F370</f>
        <v>0</v>
      </c>
      <c r="G786">
        <f>'Fuel Costs'!$G174*G370</f>
        <v>0</v>
      </c>
      <c r="H786">
        <f>'Fuel Costs'!$G174*H370</f>
        <v>0</v>
      </c>
      <c r="I786">
        <f ca="1">'Fuel Costs'!$G174*I370</f>
        <v>0</v>
      </c>
      <c r="J786">
        <f ca="1">'Fuel Costs'!$G174*J370</f>
        <v>0</v>
      </c>
      <c r="K786">
        <f ca="1">'Fuel Costs'!$G174*K370</f>
        <v>0</v>
      </c>
      <c r="L786">
        <f ca="1">'Fuel Costs'!$G174*L370</f>
        <v>0</v>
      </c>
      <c r="M786">
        <f ca="1">'Fuel Costs'!$G174*M370</f>
        <v>0</v>
      </c>
      <c r="N786">
        <f ca="1">'Fuel Costs'!$G174*N370</f>
        <v>0</v>
      </c>
      <c r="O786">
        <f ca="1">'Fuel Costs'!$G174*O370</f>
        <v>0</v>
      </c>
      <c r="P786">
        <f ca="1">'Fuel Costs'!$G174*P370</f>
        <v>0</v>
      </c>
      <c r="Q786">
        <f ca="1">'Fuel Costs'!$G174*Q370</f>
        <v>0</v>
      </c>
      <c r="R786">
        <f ca="1">'Fuel Costs'!$G174*R370</f>
        <v>0</v>
      </c>
      <c r="S786">
        <f ca="1">'Fuel Costs'!$G174*S370</f>
        <v>0</v>
      </c>
      <c r="T786">
        <f ca="1">'Fuel Costs'!$G174*T370</f>
        <v>0</v>
      </c>
      <c r="U786">
        <f ca="1">'Fuel Costs'!$G174*U370</f>
        <v>0</v>
      </c>
      <c r="V786">
        <f ca="1">'Fuel Costs'!$G174*V370</f>
        <v>0</v>
      </c>
      <c r="W786">
        <f ca="1">'Fuel Costs'!$G174*W370</f>
        <v>0</v>
      </c>
      <c r="X786">
        <f ca="1">'Fuel Costs'!$G174*X370</f>
        <v>0</v>
      </c>
      <c r="Y786">
        <f ca="1">'Fuel Costs'!$G174*Y370</f>
        <v>0</v>
      </c>
      <c r="Z786">
        <f ca="1">'Fuel Costs'!$G174*Z370</f>
        <v>0</v>
      </c>
      <c r="AA786">
        <f ca="1">'Fuel Costs'!$G174*AA370</f>
        <v>0</v>
      </c>
      <c r="AB786">
        <f ca="1">'Fuel Costs'!$G174*AB370</f>
        <v>0</v>
      </c>
      <c r="AC786">
        <f ca="1">'Fuel Costs'!$G174*AC370</f>
        <v>0</v>
      </c>
    </row>
    <row r="787" spans="3:29">
      <c r="C787" t="str">
        <f t="shared" si="186"/>
        <v>Hydro</v>
      </c>
      <c r="D787">
        <f>'Fuel Costs'!$G175*D371</f>
        <v>0</v>
      </c>
      <c r="E787">
        <f>'Fuel Costs'!$G175*E371</f>
        <v>0</v>
      </c>
      <c r="F787">
        <f>'Fuel Costs'!$G175*F371</f>
        <v>0</v>
      </c>
      <c r="G787">
        <f>'Fuel Costs'!$G175*G371</f>
        <v>0</v>
      </c>
      <c r="H787">
        <f>'Fuel Costs'!$G175*H371</f>
        <v>0</v>
      </c>
      <c r="I787">
        <f ca="1">'Fuel Costs'!$G175*I371</f>
        <v>0</v>
      </c>
      <c r="J787">
        <f ca="1">'Fuel Costs'!$G175*J371</f>
        <v>0</v>
      </c>
      <c r="K787">
        <f ca="1">'Fuel Costs'!$G175*K371</f>
        <v>0</v>
      </c>
      <c r="L787">
        <f ca="1">'Fuel Costs'!$G175*L371</f>
        <v>0</v>
      </c>
      <c r="M787">
        <f ca="1">'Fuel Costs'!$G175*M371</f>
        <v>0</v>
      </c>
      <c r="N787">
        <f ca="1">'Fuel Costs'!$G175*N371</f>
        <v>0</v>
      </c>
      <c r="O787">
        <f ca="1">'Fuel Costs'!$G175*O371</f>
        <v>0</v>
      </c>
      <c r="P787">
        <f ca="1">'Fuel Costs'!$G175*P371</f>
        <v>0</v>
      </c>
      <c r="Q787">
        <f ca="1">'Fuel Costs'!$G175*Q371</f>
        <v>0</v>
      </c>
      <c r="R787">
        <f ca="1">'Fuel Costs'!$G175*R371</f>
        <v>0</v>
      </c>
      <c r="S787">
        <f ca="1">'Fuel Costs'!$G175*S371</f>
        <v>0</v>
      </c>
      <c r="T787">
        <f ca="1">'Fuel Costs'!$G175*T371</f>
        <v>0</v>
      </c>
      <c r="U787">
        <f ca="1">'Fuel Costs'!$G175*U371</f>
        <v>0</v>
      </c>
      <c r="V787">
        <f ca="1">'Fuel Costs'!$G175*V371</f>
        <v>0</v>
      </c>
      <c r="W787">
        <f ca="1">'Fuel Costs'!$G175*W371</f>
        <v>0</v>
      </c>
      <c r="X787">
        <f ca="1">'Fuel Costs'!$G175*X371</f>
        <v>0</v>
      </c>
      <c r="Y787">
        <f ca="1">'Fuel Costs'!$G175*Y371</f>
        <v>0</v>
      </c>
      <c r="Z787">
        <f ca="1">'Fuel Costs'!$G175*Z371</f>
        <v>0</v>
      </c>
      <c r="AA787">
        <f ca="1">'Fuel Costs'!$G175*AA371</f>
        <v>0</v>
      </c>
      <c r="AB787">
        <f ca="1">'Fuel Costs'!$G175*AB371</f>
        <v>0</v>
      </c>
      <c r="AC787">
        <f ca="1">'Fuel Costs'!$G175*AC371</f>
        <v>0</v>
      </c>
    </row>
    <row r="788" spans="3:29">
      <c r="C788" t="str">
        <f t="shared" si="186"/>
        <v>Landfill gas</v>
      </c>
      <c r="D788">
        <f>'Fuel Costs'!$G176*D372</f>
        <v>0</v>
      </c>
      <c r="E788">
        <f>'Fuel Costs'!$G176*E372</f>
        <v>0</v>
      </c>
      <c r="F788">
        <f>'Fuel Costs'!$G176*F372</f>
        <v>0</v>
      </c>
      <c r="G788">
        <f>'Fuel Costs'!$G176*G372</f>
        <v>0</v>
      </c>
      <c r="H788">
        <f>'Fuel Costs'!$G176*H372</f>
        <v>0</v>
      </c>
      <c r="I788">
        <f ca="1">'Fuel Costs'!$G176*I372</f>
        <v>0</v>
      </c>
      <c r="J788">
        <f ca="1">'Fuel Costs'!$G176*J372</f>
        <v>0</v>
      </c>
      <c r="K788">
        <f ca="1">'Fuel Costs'!$G176*K372</f>
        <v>0</v>
      </c>
      <c r="L788">
        <f ca="1">'Fuel Costs'!$G176*L372</f>
        <v>0</v>
      </c>
      <c r="M788">
        <f ca="1">'Fuel Costs'!$G176*M372</f>
        <v>0</v>
      </c>
      <c r="N788">
        <f ca="1">'Fuel Costs'!$G176*N372</f>
        <v>0</v>
      </c>
      <c r="O788">
        <f ca="1">'Fuel Costs'!$G176*O372</f>
        <v>0</v>
      </c>
      <c r="P788">
        <f ca="1">'Fuel Costs'!$G176*P372</f>
        <v>0</v>
      </c>
      <c r="Q788">
        <f ca="1">'Fuel Costs'!$G176*Q372</f>
        <v>0</v>
      </c>
      <c r="R788">
        <f ca="1">'Fuel Costs'!$G176*R372</f>
        <v>0</v>
      </c>
      <c r="S788">
        <f ca="1">'Fuel Costs'!$G176*S372</f>
        <v>0</v>
      </c>
      <c r="T788">
        <f ca="1">'Fuel Costs'!$G176*T372</f>
        <v>0</v>
      </c>
      <c r="U788">
        <f ca="1">'Fuel Costs'!$G176*U372</f>
        <v>0</v>
      </c>
      <c r="V788">
        <f ca="1">'Fuel Costs'!$G176*V372</f>
        <v>0</v>
      </c>
      <c r="W788">
        <f ca="1">'Fuel Costs'!$G176*W372</f>
        <v>0</v>
      </c>
      <c r="X788">
        <f ca="1">'Fuel Costs'!$G176*X372</f>
        <v>0</v>
      </c>
      <c r="Y788">
        <f ca="1">'Fuel Costs'!$G176*Y372</f>
        <v>0</v>
      </c>
      <c r="Z788">
        <f ca="1">'Fuel Costs'!$G176*Z372</f>
        <v>0</v>
      </c>
      <c r="AA788">
        <f ca="1">'Fuel Costs'!$G176*AA372</f>
        <v>0</v>
      </c>
      <c r="AB788">
        <f ca="1">'Fuel Costs'!$G176*AB372</f>
        <v>0</v>
      </c>
      <c r="AC788">
        <f ca="1">'Fuel Costs'!$G176*AC372</f>
        <v>0</v>
      </c>
    </row>
    <row r="789" spans="3:29">
      <c r="C789" t="str">
        <f t="shared" si="186"/>
        <v>Biomass</v>
      </c>
      <c r="D789">
        <f>'Fuel Costs'!$G177*D373</f>
        <v>0</v>
      </c>
      <c r="E789">
        <f>'Fuel Costs'!$G177*E373</f>
        <v>0</v>
      </c>
      <c r="F789">
        <f>'Fuel Costs'!$G177*F373</f>
        <v>0</v>
      </c>
      <c r="G789">
        <f>'Fuel Costs'!$G177*G373</f>
        <v>0</v>
      </c>
      <c r="H789">
        <f>'Fuel Costs'!$G177*H373</f>
        <v>0</v>
      </c>
      <c r="I789">
        <f ca="1">'Fuel Costs'!$G177*I373</f>
        <v>0</v>
      </c>
      <c r="J789">
        <f ca="1">'Fuel Costs'!$G177*J373</f>
        <v>0</v>
      </c>
      <c r="K789">
        <f ca="1">'Fuel Costs'!$G177*K373</f>
        <v>0</v>
      </c>
      <c r="L789">
        <f ca="1">'Fuel Costs'!$G177*L373</f>
        <v>0</v>
      </c>
      <c r="M789">
        <f ca="1">'Fuel Costs'!$G177*M373</f>
        <v>0</v>
      </c>
      <c r="N789">
        <f ca="1">'Fuel Costs'!$G177*N373</f>
        <v>0</v>
      </c>
      <c r="O789">
        <f ca="1">'Fuel Costs'!$G177*O373</f>
        <v>0</v>
      </c>
      <c r="P789">
        <f ca="1">'Fuel Costs'!$G177*P373</f>
        <v>0</v>
      </c>
      <c r="Q789">
        <f ca="1">'Fuel Costs'!$G177*Q373</f>
        <v>0</v>
      </c>
      <c r="R789">
        <f ca="1">'Fuel Costs'!$G177*R373</f>
        <v>0</v>
      </c>
      <c r="S789">
        <f ca="1">'Fuel Costs'!$G177*S373</f>
        <v>0</v>
      </c>
      <c r="T789">
        <f ca="1">'Fuel Costs'!$G177*T373</f>
        <v>0</v>
      </c>
      <c r="U789">
        <f ca="1">'Fuel Costs'!$G177*U373</f>
        <v>0</v>
      </c>
      <c r="V789">
        <f ca="1">'Fuel Costs'!$G177*V373</f>
        <v>0</v>
      </c>
      <c r="W789">
        <f ca="1">'Fuel Costs'!$G177*W373</f>
        <v>0</v>
      </c>
      <c r="X789">
        <f ca="1">'Fuel Costs'!$G177*X373</f>
        <v>0</v>
      </c>
      <c r="Y789">
        <f ca="1">'Fuel Costs'!$G177*Y373</f>
        <v>0</v>
      </c>
      <c r="Z789">
        <f ca="1">'Fuel Costs'!$G177*Z373</f>
        <v>0</v>
      </c>
      <c r="AA789">
        <f ca="1">'Fuel Costs'!$G177*AA373</f>
        <v>0</v>
      </c>
      <c r="AB789">
        <f ca="1">'Fuel Costs'!$G177*AB373</f>
        <v>0</v>
      </c>
      <c r="AC789">
        <f ca="1">'Fuel Costs'!$G177*AC373</f>
        <v>0</v>
      </c>
    </row>
    <row r="790" spans="3:29">
      <c r="C790" t="str">
        <f t="shared" si="186"/>
        <v>Supercritical coal</v>
      </c>
      <c r="D790">
        <f>'Fuel Costs'!$G178*D374</f>
        <v>0</v>
      </c>
      <c r="E790">
        <f>'Fuel Costs'!$G178*E374</f>
        <v>0</v>
      </c>
      <c r="F790">
        <f>'Fuel Costs'!$G178*F374</f>
        <v>0</v>
      </c>
      <c r="G790">
        <f>'Fuel Costs'!$G178*G374</f>
        <v>0</v>
      </c>
      <c r="H790">
        <f>'Fuel Costs'!$G178*H374</f>
        <v>0</v>
      </c>
      <c r="I790">
        <f ca="1">'Fuel Costs'!$G178*I374</f>
        <v>0</v>
      </c>
      <c r="J790">
        <f ca="1">'Fuel Costs'!$G178*J374</f>
        <v>0</v>
      </c>
      <c r="K790">
        <f ca="1">'Fuel Costs'!$G178*K374</f>
        <v>0</v>
      </c>
      <c r="L790">
        <f ca="1">'Fuel Costs'!$G178*L374</f>
        <v>0</v>
      </c>
      <c r="M790">
        <f ca="1">'Fuel Costs'!$G178*M374</f>
        <v>0</v>
      </c>
      <c r="N790">
        <f ca="1">'Fuel Costs'!$G178*N374</f>
        <v>0</v>
      </c>
      <c r="O790">
        <f ca="1">'Fuel Costs'!$G178*O374</f>
        <v>0</v>
      </c>
      <c r="P790">
        <f ca="1">'Fuel Costs'!$G178*P374</f>
        <v>0</v>
      </c>
      <c r="Q790">
        <f ca="1">'Fuel Costs'!$G178*Q374</f>
        <v>0</v>
      </c>
      <c r="R790">
        <f ca="1">'Fuel Costs'!$G178*R374</f>
        <v>0</v>
      </c>
      <c r="S790">
        <f ca="1">'Fuel Costs'!$G178*S374</f>
        <v>0</v>
      </c>
      <c r="T790">
        <f ca="1">'Fuel Costs'!$G178*T374</f>
        <v>0</v>
      </c>
      <c r="U790">
        <f ca="1">'Fuel Costs'!$G178*U374</f>
        <v>0</v>
      </c>
      <c r="V790">
        <f ca="1">'Fuel Costs'!$G178*V374</f>
        <v>0</v>
      </c>
      <c r="W790">
        <f ca="1">'Fuel Costs'!$G178*W374</f>
        <v>0</v>
      </c>
      <c r="X790">
        <f ca="1">'Fuel Costs'!$G178*X374</f>
        <v>0</v>
      </c>
      <c r="Y790">
        <f ca="1">'Fuel Costs'!$G178*Y374</f>
        <v>0</v>
      </c>
      <c r="Z790">
        <f ca="1">'Fuel Costs'!$G178*Z374</f>
        <v>0</v>
      </c>
      <c r="AA790">
        <f ca="1">'Fuel Costs'!$G178*AA374</f>
        <v>0</v>
      </c>
      <c r="AB790">
        <f ca="1">'Fuel Costs'!$G178*AB374</f>
        <v>0</v>
      </c>
      <c r="AC790">
        <f ca="1">'Fuel Costs'!$G178*AC374</f>
        <v>0</v>
      </c>
    </row>
    <row r="791" spans="3:29">
      <c r="C791" t="str">
        <f t="shared" si="186"/>
        <v xml:space="preserve">Wind 30% </v>
      </c>
      <c r="D791">
        <f>'Fuel Costs'!$G179*D375</f>
        <v>0</v>
      </c>
      <c r="E791">
        <f>'Fuel Costs'!$G179*E375</f>
        <v>0</v>
      </c>
      <c r="F791">
        <f>'Fuel Costs'!$G179*F375</f>
        <v>0</v>
      </c>
      <c r="G791">
        <f>'Fuel Costs'!$G179*G375</f>
        <v>0</v>
      </c>
      <c r="H791">
        <f>'Fuel Costs'!$G179*H375</f>
        <v>0</v>
      </c>
      <c r="I791">
        <f ca="1">'Fuel Costs'!$G179*I375</f>
        <v>0</v>
      </c>
      <c r="J791">
        <f ca="1">'Fuel Costs'!$G179*J375</f>
        <v>0</v>
      </c>
      <c r="K791">
        <f ca="1">'Fuel Costs'!$G179*K375</f>
        <v>0</v>
      </c>
      <c r="L791">
        <f ca="1">'Fuel Costs'!$G179*L375</f>
        <v>0</v>
      </c>
      <c r="M791">
        <f ca="1">'Fuel Costs'!$G179*M375</f>
        <v>0</v>
      </c>
      <c r="N791">
        <f ca="1">'Fuel Costs'!$G179*N375</f>
        <v>0</v>
      </c>
      <c r="O791">
        <f ca="1">'Fuel Costs'!$G179*O375</f>
        <v>0</v>
      </c>
      <c r="P791">
        <f ca="1">'Fuel Costs'!$G179*P375</f>
        <v>0</v>
      </c>
      <c r="Q791">
        <f ca="1">'Fuel Costs'!$G179*Q375</f>
        <v>0</v>
      </c>
      <c r="R791">
        <f ca="1">'Fuel Costs'!$G179*R375</f>
        <v>0</v>
      </c>
      <c r="S791">
        <f ca="1">'Fuel Costs'!$G179*S375</f>
        <v>0</v>
      </c>
      <c r="T791">
        <f ca="1">'Fuel Costs'!$G179*T375</f>
        <v>0</v>
      </c>
      <c r="U791">
        <f ca="1">'Fuel Costs'!$G179*U375</f>
        <v>0</v>
      </c>
      <c r="V791">
        <f ca="1">'Fuel Costs'!$G179*V375</f>
        <v>0</v>
      </c>
      <c r="W791">
        <f ca="1">'Fuel Costs'!$G179*W375</f>
        <v>0</v>
      </c>
      <c r="X791">
        <f ca="1">'Fuel Costs'!$G179*X375</f>
        <v>0</v>
      </c>
      <c r="Y791">
        <f ca="1">'Fuel Costs'!$G179*Y375</f>
        <v>0</v>
      </c>
      <c r="Z791">
        <f ca="1">'Fuel Costs'!$G179*Z375</f>
        <v>0</v>
      </c>
      <c r="AA791">
        <f ca="1">'Fuel Costs'!$G179*AA375</f>
        <v>0</v>
      </c>
      <c r="AB791">
        <f ca="1">'Fuel Costs'!$G179*AB375</f>
        <v>0</v>
      </c>
      <c r="AC791">
        <f ca="1">'Fuel Costs'!$G179*AC375</f>
        <v>0</v>
      </c>
    </row>
    <row r="792" spans="3:29">
      <c r="C792" t="str">
        <f t="shared" si="186"/>
        <v>Wind 25%</v>
      </c>
      <c r="D792">
        <f>'Fuel Costs'!$G180*D376</f>
        <v>0</v>
      </c>
      <c r="E792">
        <f>'Fuel Costs'!$G180*E376</f>
        <v>0</v>
      </c>
      <c r="F792">
        <f>'Fuel Costs'!$G180*F376</f>
        <v>0</v>
      </c>
      <c r="G792">
        <f>'Fuel Costs'!$G180*G376</f>
        <v>0</v>
      </c>
      <c r="H792">
        <f>'Fuel Costs'!$G180*H376</f>
        <v>0</v>
      </c>
      <c r="I792">
        <f ca="1">'Fuel Costs'!$G180*I376</f>
        <v>0</v>
      </c>
      <c r="J792">
        <f ca="1">'Fuel Costs'!$G180*J376</f>
        <v>0</v>
      </c>
      <c r="K792">
        <f ca="1">'Fuel Costs'!$G180*K376</f>
        <v>0</v>
      </c>
      <c r="L792">
        <f ca="1">'Fuel Costs'!$G180*L376</f>
        <v>0</v>
      </c>
      <c r="M792">
        <f ca="1">'Fuel Costs'!$G180*M376</f>
        <v>0</v>
      </c>
      <c r="N792">
        <f ca="1">'Fuel Costs'!$G180*N376</f>
        <v>0</v>
      </c>
      <c r="O792">
        <f ca="1">'Fuel Costs'!$G180*O376</f>
        <v>0</v>
      </c>
      <c r="P792">
        <f ca="1">'Fuel Costs'!$G180*P376</f>
        <v>0</v>
      </c>
      <c r="Q792">
        <f ca="1">'Fuel Costs'!$G180*Q376</f>
        <v>0</v>
      </c>
      <c r="R792">
        <f ca="1">'Fuel Costs'!$G180*R376</f>
        <v>0</v>
      </c>
      <c r="S792">
        <f ca="1">'Fuel Costs'!$G180*S376</f>
        <v>0</v>
      </c>
      <c r="T792">
        <f ca="1">'Fuel Costs'!$G180*T376</f>
        <v>0</v>
      </c>
      <c r="U792">
        <f ca="1">'Fuel Costs'!$G180*U376</f>
        <v>0</v>
      </c>
      <c r="V792">
        <f ca="1">'Fuel Costs'!$G180*V376</f>
        <v>0</v>
      </c>
      <c r="W792">
        <f ca="1">'Fuel Costs'!$G180*W376</f>
        <v>0</v>
      </c>
      <c r="X792">
        <f ca="1">'Fuel Costs'!$G180*X376</f>
        <v>0</v>
      </c>
      <c r="Y792">
        <f ca="1">'Fuel Costs'!$G180*Y376</f>
        <v>0</v>
      </c>
      <c r="Z792">
        <f ca="1">'Fuel Costs'!$G180*Z376</f>
        <v>0</v>
      </c>
      <c r="AA792">
        <f ca="1">'Fuel Costs'!$G180*AA376</f>
        <v>0</v>
      </c>
      <c r="AB792">
        <f ca="1">'Fuel Costs'!$G180*AB376</f>
        <v>0</v>
      </c>
      <c r="AC792">
        <f ca="1">'Fuel Costs'!$G180*AC376</f>
        <v>0</v>
      </c>
    </row>
    <row r="793" spans="3:29">
      <c r="C793" t="str">
        <f t="shared" si="186"/>
        <v>solar thermal central reciever</v>
      </c>
      <c r="D793">
        <f>'Fuel Costs'!$G181*D377</f>
        <v>0</v>
      </c>
      <c r="E793">
        <f>'Fuel Costs'!$G181*E377</f>
        <v>0</v>
      </c>
      <c r="F793">
        <f>'Fuel Costs'!$G181*F377</f>
        <v>0</v>
      </c>
      <c r="G793">
        <f>'Fuel Costs'!$G181*G377</f>
        <v>0</v>
      </c>
      <c r="H793">
        <f>'Fuel Costs'!$G181*H377</f>
        <v>0</v>
      </c>
      <c r="I793">
        <f ca="1">'Fuel Costs'!$G181*I377</f>
        <v>0</v>
      </c>
      <c r="J793">
        <f ca="1">'Fuel Costs'!$G181*J377</f>
        <v>0</v>
      </c>
      <c r="K793">
        <f ca="1">'Fuel Costs'!$G181*K377</f>
        <v>0</v>
      </c>
      <c r="L793">
        <f ca="1">'Fuel Costs'!$G181*L377</f>
        <v>0</v>
      </c>
      <c r="M793">
        <f ca="1">'Fuel Costs'!$G181*M377</f>
        <v>0</v>
      </c>
      <c r="N793">
        <f ca="1">'Fuel Costs'!$G181*N377</f>
        <v>0</v>
      </c>
      <c r="O793">
        <f ca="1">'Fuel Costs'!$G181*O377</f>
        <v>0</v>
      </c>
      <c r="P793">
        <f ca="1">'Fuel Costs'!$G181*P377</f>
        <v>0</v>
      </c>
      <c r="Q793">
        <f ca="1">'Fuel Costs'!$G181*Q377</f>
        <v>0</v>
      </c>
      <c r="R793">
        <f ca="1">'Fuel Costs'!$G181*R377</f>
        <v>0</v>
      </c>
      <c r="S793">
        <f ca="1">'Fuel Costs'!$G181*S377</f>
        <v>0</v>
      </c>
      <c r="T793">
        <f ca="1">'Fuel Costs'!$G181*T377</f>
        <v>0</v>
      </c>
      <c r="U793">
        <f ca="1">'Fuel Costs'!$G181*U377</f>
        <v>0</v>
      </c>
      <c r="V793">
        <f ca="1">'Fuel Costs'!$G181*V377</f>
        <v>0</v>
      </c>
      <c r="W793">
        <f ca="1">'Fuel Costs'!$G181*W377</f>
        <v>0</v>
      </c>
      <c r="X793">
        <f ca="1">'Fuel Costs'!$G181*X377</f>
        <v>0</v>
      </c>
      <c r="Y793">
        <f ca="1">'Fuel Costs'!$G181*Y377</f>
        <v>0</v>
      </c>
      <c r="Z793">
        <f ca="1">'Fuel Costs'!$G181*Z377</f>
        <v>0</v>
      </c>
      <c r="AA793">
        <f ca="1">'Fuel Costs'!$G181*AA377</f>
        <v>0</v>
      </c>
      <c r="AB793">
        <f ca="1">'Fuel Costs'!$G181*AB377</f>
        <v>0</v>
      </c>
      <c r="AC793">
        <f ca="1">'Fuel Costs'!$G181*AC377</f>
        <v>0</v>
      </c>
    </row>
    <row r="794" spans="3:29">
      <c r="C794" t="str">
        <f t="shared" si="186"/>
        <v>solar thermal trough</v>
      </c>
      <c r="D794">
        <f>'Fuel Costs'!$G182*D378</f>
        <v>0</v>
      </c>
      <c r="E794">
        <f>'Fuel Costs'!$G182*E378</f>
        <v>0</v>
      </c>
      <c r="F794">
        <f>'Fuel Costs'!$G182*F378</f>
        <v>0</v>
      </c>
      <c r="G794">
        <f>'Fuel Costs'!$G182*G378</f>
        <v>0</v>
      </c>
      <c r="H794">
        <f>'Fuel Costs'!$G182*H378</f>
        <v>0</v>
      </c>
      <c r="I794">
        <f ca="1">'Fuel Costs'!$G182*I378</f>
        <v>0</v>
      </c>
      <c r="J794">
        <f ca="1">'Fuel Costs'!$G182*J378</f>
        <v>0</v>
      </c>
      <c r="K794">
        <f ca="1">'Fuel Costs'!$G182*K378</f>
        <v>0</v>
      </c>
      <c r="L794">
        <f ca="1">'Fuel Costs'!$G182*L378</f>
        <v>0</v>
      </c>
      <c r="M794">
        <f ca="1">'Fuel Costs'!$G182*M378</f>
        <v>0</v>
      </c>
      <c r="N794">
        <f ca="1">'Fuel Costs'!$G182*N378</f>
        <v>0</v>
      </c>
      <c r="O794">
        <f ca="1">'Fuel Costs'!$G182*O378</f>
        <v>0</v>
      </c>
      <c r="P794">
        <f ca="1">'Fuel Costs'!$G182*P378</f>
        <v>0</v>
      </c>
      <c r="Q794">
        <f ca="1">'Fuel Costs'!$G182*Q378</f>
        <v>0</v>
      </c>
      <c r="R794">
        <f ca="1">'Fuel Costs'!$G182*R378</f>
        <v>0</v>
      </c>
      <c r="S794">
        <f ca="1">'Fuel Costs'!$G182*S378</f>
        <v>0</v>
      </c>
      <c r="T794">
        <f ca="1">'Fuel Costs'!$G182*T378</f>
        <v>0</v>
      </c>
      <c r="U794">
        <f ca="1">'Fuel Costs'!$G182*U378</f>
        <v>0</v>
      </c>
      <c r="V794">
        <f ca="1">'Fuel Costs'!$G182*V378</f>
        <v>0</v>
      </c>
      <c r="W794">
        <f ca="1">'Fuel Costs'!$G182*W378</f>
        <v>0</v>
      </c>
      <c r="X794">
        <f ca="1">'Fuel Costs'!$G182*X378</f>
        <v>0</v>
      </c>
      <c r="Y794">
        <f ca="1">'Fuel Costs'!$G182*Y378</f>
        <v>0</v>
      </c>
      <c r="Z794">
        <f ca="1">'Fuel Costs'!$G182*Z378</f>
        <v>0</v>
      </c>
      <c r="AA794">
        <f ca="1">'Fuel Costs'!$G182*AA378</f>
        <v>0</v>
      </c>
      <c r="AB794">
        <f ca="1">'Fuel Costs'!$G182*AB378</f>
        <v>0</v>
      </c>
      <c r="AC794">
        <f ca="1">'Fuel Costs'!$G182*AC378</f>
        <v>0</v>
      </c>
    </row>
    <row r="795" spans="3:29">
      <c r="C795" t="str">
        <f t="shared" si="186"/>
        <v>solar PV</v>
      </c>
      <c r="D795">
        <f>'Fuel Costs'!$G183*D379</f>
        <v>0</v>
      </c>
      <c r="E795">
        <f>'Fuel Costs'!$G183*E379</f>
        <v>0</v>
      </c>
      <c r="F795">
        <f>'Fuel Costs'!$G183*F379</f>
        <v>0</v>
      </c>
      <c r="G795">
        <f>'Fuel Costs'!$G183*G379</f>
        <v>0</v>
      </c>
      <c r="H795">
        <f>'Fuel Costs'!$G183*H379</f>
        <v>0</v>
      </c>
      <c r="I795">
        <f ca="1">'Fuel Costs'!$G183*I379</f>
        <v>0</v>
      </c>
      <c r="J795">
        <f ca="1">'Fuel Costs'!$G183*J379</f>
        <v>0</v>
      </c>
      <c r="K795">
        <f ca="1">'Fuel Costs'!$G183*K379</f>
        <v>0</v>
      </c>
      <c r="L795">
        <f ca="1">'Fuel Costs'!$G183*L379</f>
        <v>0</v>
      </c>
      <c r="M795">
        <f ca="1">'Fuel Costs'!$G183*M379</f>
        <v>0</v>
      </c>
      <c r="N795">
        <f ca="1">'Fuel Costs'!$G183*N379</f>
        <v>0</v>
      </c>
      <c r="O795">
        <f ca="1">'Fuel Costs'!$G183*O379</f>
        <v>0</v>
      </c>
      <c r="P795">
        <f ca="1">'Fuel Costs'!$G183*P379</f>
        <v>0</v>
      </c>
      <c r="Q795">
        <f ca="1">'Fuel Costs'!$G183*Q379</f>
        <v>0</v>
      </c>
      <c r="R795">
        <f ca="1">'Fuel Costs'!$G183*R379</f>
        <v>0</v>
      </c>
      <c r="S795">
        <f ca="1">'Fuel Costs'!$G183*S379</f>
        <v>0</v>
      </c>
      <c r="T795">
        <f ca="1">'Fuel Costs'!$G183*T379</f>
        <v>0</v>
      </c>
      <c r="U795">
        <f ca="1">'Fuel Costs'!$G183*U379</f>
        <v>0</v>
      </c>
      <c r="V795">
        <f ca="1">'Fuel Costs'!$G183*V379</f>
        <v>0</v>
      </c>
      <c r="W795">
        <f ca="1">'Fuel Costs'!$G183*W379</f>
        <v>0</v>
      </c>
      <c r="X795">
        <f ca="1">'Fuel Costs'!$G183*X379</f>
        <v>0</v>
      </c>
      <c r="Y795">
        <f ca="1">'Fuel Costs'!$G183*Y379</f>
        <v>0</v>
      </c>
      <c r="Z795">
        <f ca="1">'Fuel Costs'!$G183*Z379</f>
        <v>0</v>
      </c>
      <c r="AA795">
        <f ca="1">'Fuel Costs'!$G183*AA379</f>
        <v>0</v>
      </c>
      <c r="AB795">
        <f ca="1">'Fuel Costs'!$G183*AB379</f>
        <v>0</v>
      </c>
      <c r="AC795">
        <f ca="1">'Fuel Costs'!$G183*AC379</f>
        <v>0</v>
      </c>
    </row>
    <row r="796" spans="3:29">
      <c r="C796" t="str">
        <f t="shared" si="186"/>
        <v>combined cycle gas</v>
      </c>
      <c r="D796">
        <f>'Fuel Costs'!$G184*D380</f>
        <v>0</v>
      </c>
      <c r="E796">
        <f>'Fuel Costs'!$G184*E380</f>
        <v>0</v>
      </c>
      <c r="F796">
        <f>'Fuel Costs'!$G184*F380</f>
        <v>0</v>
      </c>
      <c r="G796">
        <f>'Fuel Costs'!$G184*G380</f>
        <v>0</v>
      </c>
      <c r="H796">
        <f>'Fuel Costs'!$G184*H380</f>
        <v>0</v>
      </c>
      <c r="I796">
        <f ca="1">'Fuel Costs'!$G184*I380</f>
        <v>0</v>
      </c>
      <c r="J796">
        <f ca="1">'Fuel Costs'!$G184*J380</f>
        <v>0</v>
      </c>
      <c r="K796">
        <f ca="1">'Fuel Costs'!$G184*K380</f>
        <v>0</v>
      </c>
      <c r="L796">
        <f ca="1">'Fuel Costs'!$G184*L380</f>
        <v>0</v>
      </c>
      <c r="M796">
        <f ca="1">'Fuel Costs'!$G184*M380</f>
        <v>0</v>
      </c>
      <c r="N796">
        <f ca="1">'Fuel Costs'!$G184*N380</f>
        <v>0</v>
      </c>
      <c r="O796">
        <f ca="1">'Fuel Costs'!$G184*O380</f>
        <v>0</v>
      </c>
      <c r="P796">
        <f ca="1">'Fuel Costs'!$G184*P380</f>
        <v>0</v>
      </c>
      <c r="Q796">
        <f ca="1">'Fuel Costs'!$G184*Q380</f>
        <v>0</v>
      </c>
      <c r="R796">
        <f ca="1">'Fuel Costs'!$G184*R380</f>
        <v>0</v>
      </c>
      <c r="S796">
        <f ca="1">'Fuel Costs'!$G184*S380</f>
        <v>0</v>
      </c>
      <c r="T796">
        <f ca="1">'Fuel Costs'!$G184*T380</f>
        <v>0</v>
      </c>
      <c r="U796">
        <f ca="1">'Fuel Costs'!$G184*U380</f>
        <v>0</v>
      </c>
      <c r="V796">
        <f ca="1">'Fuel Costs'!$G184*V380</f>
        <v>0</v>
      </c>
      <c r="W796">
        <f ca="1">'Fuel Costs'!$G184*W380</f>
        <v>0</v>
      </c>
      <c r="X796">
        <f ca="1">'Fuel Costs'!$G184*X380</f>
        <v>0</v>
      </c>
      <c r="Y796">
        <f ca="1">'Fuel Costs'!$G184*Y380</f>
        <v>0</v>
      </c>
      <c r="Z796">
        <f ca="1">'Fuel Costs'!$G184*Z380</f>
        <v>0</v>
      </c>
      <c r="AA796">
        <f ca="1">'Fuel Costs'!$G184*AA380</f>
        <v>0</v>
      </c>
      <c r="AB796">
        <f ca="1">'Fuel Costs'!$G184*AB380</f>
        <v>0</v>
      </c>
      <c r="AC796">
        <f ca="1">'Fuel Costs'!$G184*AC380</f>
        <v>0</v>
      </c>
    </row>
    <row r="797" spans="3:29">
      <c r="C797" t="str">
        <f t="shared" si="186"/>
        <v>PBMR</v>
      </c>
      <c r="D797">
        <f>'Fuel Costs'!$G185*D381</f>
        <v>0</v>
      </c>
      <c r="E797">
        <f>'Fuel Costs'!$G185*E381</f>
        <v>0</v>
      </c>
      <c r="F797">
        <f>'Fuel Costs'!$G185*F381</f>
        <v>0</v>
      </c>
      <c r="G797">
        <f>'Fuel Costs'!$G185*G381</f>
        <v>0</v>
      </c>
      <c r="H797">
        <f>'Fuel Costs'!$G185*H381</f>
        <v>0</v>
      </c>
      <c r="I797">
        <f ca="1">'Fuel Costs'!$G185*I381</f>
        <v>0</v>
      </c>
      <c r="J797">
        <f ca="1">'Fuel Costs'!$G185*J381</f>
        <v>0</v>
      </c>
      <c r="K797">
        <f ca="1">'Fuel Costs'!$G185*K381</f>
        <v>0</v>
      </c>
      <c r="L797">
        <f ca="1">'Fuel Costs'!$G185*L381</f>
        <v>0</v>
      </c>
      <c r="M797">
        <f ca="1">'Fuel Costs'!$G185*M381</f>
        <v>0</v>
      </c>
      <c r="N797">
        <f ca="1">'Fuel Costs'!$G185*N381</f>
        <v>0</v>
      </c>
      <c r="O797">
        <f ca="1">'Fuel Costs'!$G185*O381</f>
        <v>0</v>
      </c>
      <c r="P797">
        <f ca="1">'Fuel Costs'!$G185*P381</f>
        <v>0</v>
      </c>
      <c r="Q797">
        <f ca="1">'Fuel Costs'!$G185*Q381</f>
        <v>0</v>
      </c>
      <c r="R797">
        <f ca="1">'Fuel Costs'!$G185*R381</f>
        <v>0</v>
      </c>
      <c r="S797">
        <f ca="1">'Fuel Costs'!$G185*S381</f>
        <v>0</v>
      </c>
      <c r="T797">
        <f ca="1">'Fuel Costs'!$G185*T381</f>
        <v>0</v>
      </c>
      <c r="U797">
        <f ca="1">'Fuel Costs'!$G185*U381</f>
        <v>0</v>
      </c>
      <c r="V797">
        <f ca="1">'Fuel Costs'!$G185*V381</f>
        <v>0</v>
      </c>
      <c r="W797">
        <f ca="1">'Fuel Costs'!$G185*W381</f>
        <v>0</v>
      </c>
      <c r="X797">
        <f ca="1">'Fuel Costs'!$G185*X381</f>
        <v>0</v>
      </c>
      <c r="Y797">
        <f ca="1">'Fuel Costs'!$G185*Y381</f>
        <v>0</v>
      </c>
      <c r="Z797">
        <f ca="1">'Fuel Costs'!$G185*Z381</f>
        <v>0</v>
      </c>
      <c r="AA797">
        <f ca="1">'Fuel Costs'!$G185*AA381</f>
        <v>0</v>
      </c>
      <c r="AB797">
        <f ca="1">'Fuel Costs'!$G185*AB381</f>
        <v>0</v>
      </c>
      <c r="AC797">
        <f ca="1">'Fuel Costs'!$G185*AC381</f>
        <v>0</v>
      </c>
    </row>
    <row r="798" spans="3:29">
      <c r="C798" t="str">
        <f>C23</f>
        <v>IGCC</v>
      </c>
      <c r="D798">
        <f>'Fuel Costs'!$G186*D382</f>
        <v>0</v>
      </c>
      <c r="E798">
        <f>'Fuel Costs'!$G186*E382</f>
        <v>0</v>
      </c>
      <c r="F798">
        <f>'Fuel Costs'!$G186*F382</f>
        <v>0</v>
      </c>
      <c r="G798">
        <f>'Fuel Costs'!$G186*G382</f>
        <v>0</v>
      </c>
      <c r="H798">
        <f>'Fuel Costs'!$G186*H382</f>
        <v>0</v>
      </c>
      <c r="I798">
        <f ca="1">'Fuel Costs'!$G186*I382</f>
        <v>0</v>
      </c>
      <c r="J798">
        <f ca="1">'Fuel Costs'!$G186*J382</f>
        <v>0</v>
      </c>
      <c r="K798">
        <f ca="1">'Fuel Costs'!$G186*K382</f>
        <v>0</v>
      </c>
      <c r="L798">
        <f ca="1">'Fuel Costs'!$G186*L382</f>
        <v>0</v>
      </c>
      <c r="M798">
        <f ca="1">'Fuel Costs'!$G186*M382</f>
        <v>0</v>
      </c>
      <c r="N798">
        <f ca="1">'Fuel Costs'!$G186*N382</f>
        <v>0</v>
      </c>
      <c r="O798">
        <f ca="1">'Fuel Costs'!$G186*O382</f>
        <v>0</v>
      </c>
      <c r="P798">
        <f ca="1">'Fuel Costs'!$G186*P382</f>
        <v>0</v>
      </c>
      <c r="Q798">
        <f ca="1">'Fuel Costs'!$G186*Q382</f>
        <v>0</v>
      </c>
      <c r="R798">
        <f ca="1">'Fuel Costs'!$G186*R382</f>
        <v>0</v>
      </c>
      <c r="S798">
        <f ca="1">'Fuel Costs'!$G186*S382</f>
        <v>0</v>
      </c>
      <c r="T798">
        <f ca="1">'Fuel Costs'!$G186*T382</f>
        <v>0</v>
      </c>
      <c r="U798">
        <f ca="1">'Fuel Costs'!$G186*U382</f>
        <v>0</v>
      </c>
      <c r="V798">
        <f ca="1">'Fuel Costs'!$G186*V382</f>
        <v>0</v>
      </c>
      <c r="W798">
        <f ca="1">'Fuel Costs'!$G186*W382</f>
        <v>0</v>
      </c>
      <c r="X798">
        <f ca="1">'Fuel Costs'!$G186*X382</f>
        <v>0</v>
      </c>
      <c r="Y798">
        <f ca="1">'Fuel Costs'!$G186*Y382</f>
        <v>0</v>
      </c>
      <c r="Z798">
        <f ca="1">'Fuel Costs'!$G186*Z382</f>
        <v>0</v>
      </c>
      <c r="AA798">
        <f ca="1">'Fuel Costs'!$G186*AA382</f>
        <v>0</v>
      </c>
      <c r="AB798">
        <f ca="1">'Fuel Costs'!$G186*AB382</f>
        <v>0</v>
      </c>
      <c r="AC798">
        <f ca="1">'Fuel Costs'!$G186*AC382</f>
        <v>0</v>
      </c>
    </row>
    <row r="799" spans="3:29">
      <c r="C799" t="str">
        <f t="shared" si="186"/>
        <v>-</v>
      </c>
      <c r="D799">
        <f>'Fuel Costs'!$G187*D383</f>
        <v>0</v>
      </c>
      <c r="E799">
        <f>'Fuel Costs'!$G187*E383</f>
        <v>0</v>
      </c>
      <c r="F799">
        <f>'Fuel Costs'!$G187*F383</f>
        <v>0</v>
      </c>
      <c r="G799">
        <f>'Fuel Costs'!$G187*G383</f>
        <v>0</v>
      </c>
      <c r="H799">
        <f>'Fuel Costs'!$G187*H383</f>
        <v>0</v>
      </c>
      <c r="I799">
        <f ca="1">'Fuel Costs'!$G187*I383</f>
        <v>0</v>
      </c>
      <c r="J799">
        <f ca="1">'Fuel Costs'!$G187*J383</f>
        <v>0</v>
      </c>
      <c r="K799">
        <f ca="1">'Fuel Costs'!$G187*K383</f>
        <v>0</v>
      </c>
      <c r="L799">
        <f ca="1">'Fuel Costs'!$G187*L383</f>
        <v>0</v>
      </c>
      <c r="M799">
        <f ca="1">'Fuel Costs'!$G187*M383</f>
        <v>0</v>
      </c>
      <c r="N799">
        <f ca="1">'Fuel Costs'!$G187*N383</f>
        <v>0</v>
      </c>
      <c r="O799">
        <f ca="1">'Fuel Costs'!$G187*O383</f>
        <v>0</v>
      </c>
      <c r="P799">
        <f ca="1">'Fuel Costs'!$G187*P383</f>
        <v>0</v>
      </c>
      <c r="Q799">
        <f ca="1">'Fuel Costs'!$G187*Q383</f>
        <v>0</v>
      </c>
      <c r="R799">
        <f ca="1">'Fuel Costs'!$G187*R383</f>
        <v>0</v>
      </c>
      <c r="S799">
        <f ca="1">'Fuel Costs'!$G187*S383</f>
        <v>0</v>
      </c>
      <c r="T799">
        <f ca="1">'Fuel Costs'!$G187*T383</f>
        <v>0</v>
      </c>
      <c r="U799">
        <f ca="1">'Fuel Costs'!$G187*U383</f>
        <v>0</v>
      </c>
      <c r="V799">
        <f ca="1">'Fuel Costs'!$G187*V383</f>
        <v>0</v>
      </c>
      <c r="W799">
        <f ca="1">'Fuel Costs'!$G187*W383</f>
        <v>0</v>
      </c>
      <c r="X799">
        <f ca="1">'Fuel Costs'!$G187*X383</f>
        <v>0</v>
      </c>
      <c r="Y799">
        <f ca="1">'Fuel Costs'!$G187*Y383</f>
        <v>0</v>
      </c>
      <c r="Z799">
        <f ca="1">'Fuel Costs'!$G187*Z383</f>
        <v>0</v>
      </c>
      <c r="AA799">
        <f ca="1">'Fuel Costs'!$G187*AA383</f>
        <v>0</v>
      </c>
      <c r="AB799">
        <f ca="1">'Fuel Costs'!$G187*AB383</f>
        <v>0</v>
      </c>
      <c r="AC799">
        <f ca="1">'Fuel Costs'!$G187*AC383</f>
        <v>0</v>
      </c>
    </row>
    <row r="800" spans="3:29">
      <c r="C800" t="str">
        <f t="shared" si="186"/>
        <v>-</v>
      </c>
      <c r="D800">
        <f>'Fuel Costs'!$G188*D384</f>
        <v>0</v>
      </c>
      <c r="E800">
        <f>'Fuel Costs'!$G188*E384</f>
        <v>0</v>
      </c>
      <c r="F800">
        <f>'Fuel Costs'!$G188*F384</f>
        <v>0</v>
      </c>
      <c r="G800">
        <f>'Fuel Costs'!$G188*G384</f>
        <v>0</v>
      </c>
      <c r="H800">
        <f>'Fuel Costs'!$G188*H384</f>
        <v>0</v>
      </c>
      <c r="I800">
        <f ca="1">'Fuel Costs'!$G188*I384</f>
        <v>0</v>
      </c>
      <c r="J800">
        <f ca="1">'Fuel Costs'!$G188*J384</f>
        <v>0</v>
      </c>
      <c r="K800">
        <f ca="1">'Fuel Costs'!$G188*K384</f>
        <v>0</v>
      </c>
      <c r="L800">
        <f ca="1">'Fuel Costs'!$G188*L384</f>
        <v>0</v>
      </c>
      <c r="M800">
        <f ca="1">'Fuel Costs'!$G188*M384</f>
        <v>0</v>
      </c>
      <c r="N800">
        <f ca="1">'Fuel Costs'!$G188*N384</f>
        <v>0</v>
      </c>
      <c r="O800">
        <f ca="1">'Fuel Costs'!$G188*O384</f>
        <v>0</v>
      </c>
      <c r="P800">
        <f ca="1">'Fuel Costs'!$G188*P384</f>
        <v>0</v>
      </c>
      <c r="Q800">
        <f ca="1">'Fuel Costs'!$G188*Q384</f>
        <v>0</v>
      </c>
      <c r="R800">
        <f ca="1">'Fuel Costs'!$G188*R384</f>
        <v>0</v>
      </c>
      <c r="S800">
        <f ca="1">'Fuel Costs'!$G188*S384</f>
        <v>0</v>
      </c>
      <c r="T800">
        <f ca="1">'Fuel Costs'!$G188*T384</f>
        <v>0</v>
      </c>
      <c r="U800">
        <f ca="1">'Fuel Costs'!$G188*U384</f>
        <v>0</v>
      </c>
      <c r="V800">
        <f ca="1">'Fuel Costs'!$G188*V384</f>
        <v>0</v>
      </c>
      <c r="W800">
        <f ca="1">'Fuel Costs'!$G188*W384</f>
        <v>0</v>
      </c>
      <c r="X800">
        <f ca="1">'Fuel Costs'!$G188*X384</f>
        <v>0</v>
      </c>
      <c r="Y800">
        <f ca="1">'Fuel Costs'!$G188*Y384</f>
        <v>0</v>
      </c>
      <c r="Z800">
        <f ca="1">'Fuel Costs'!$G188*Z384</f>
        <v>0</v>
      </c>
      <c r="AA800">
        <f ca="1">'Fuel Costs'!$G188*AA384</f>
        <v>0</v>
      </c>
      <c r="AB800">
        <f ca="1">'Fuel Costs'!$G188*AB384</f>
        <v>0</v>
      </c>
      <c r="AC800">
        <f ca="1">'Fuel Costs'!$G188*AC384</f>
        <v>0</v>
      </c>
    </row>
    <row r="801" spans="3:29">
      <c r="C801" t="str">
        <f t="shared" si="186"/>
        <v>-</v>
      </c>
      <c r="D801">
        <f>'Fuel Costs'!$G189*D385</f>
        <v>0</v>
      </c>
      <c r="E801">
        <f>'Fuel Costs'!$G189*E385</f>
        <v>0</v>
      </c>
      <c r="F801">
        <f>'Fuel Costs'!$G189*F385</f>
        <v>0</v>
      </c>
      <c r="G801">
        <f>'Fuel Costs'!$G189*G385</f>
        <v>0</v>
      </c>
      <c r="H801">
        <f>'Fuel Costs'!$G189*H385</f>
        <v>0</v>
      </c>
      <c r="I801">
        <f ca="1">'Fuel Costs'!$G189*I385</f>
        <v>0</v>
      </c>
      <c r="J801">
        <f ca="1">'Fuel Costs'!$G189*J385</f>
        <v>0</v>
      </c>
      <c r="K801">
        <f ca="1">'Fuel Costs'!$G189*K385</f>
        <v>0</v>
      </c>
      <c r="L801">
        <f ca="1">'Fuel Costs'!$G189*L385</f>
        <v>0</v>
      </c>
      <c r="M801">
        <f ca="1">'Fuel Costs'!$G189*M385</f>
        <v>0</v>
      </c>
      <c r="N801">
        <f ca="1">'Fuel Costs'!$G189*N385</f>
        <v>0</v>
      </c>
      <c r="O801">
        <f ca="1">'Fuel Costs'!$G189*O385</f>
        <v>0</v>
      </c>
      <c r="P801">
        <f ca="1">'Fuel Costs'!$G189*P385</f>
        <v>0</v>
      </c>
      <c r="Q801">
        <f ca="1">'Fuel Costs'!$G189*Q385</f>
        <v>0</v>
      </c>
      <c r="R801">
        <f ca="1">'Fuel Costs'!$G189*R385</f>
        <v>0</v>
      </c>
      <c r="S801">
        <f ca="1">'Fuel Costs'!$G189*S385</f>
        <v>0</v>
      </c>
      <c r="T801">
        <f ca="1">'Fuel Costs'!$G189*T385</f>
        <v>0</v>
      </c>
      <c r="U801">
        <f ca="1">'Fuel Costs'!$G189*U385</f>
        <v>0</v>
      </c>
      <c r="V801">
        <f ca="1">'Fuel Costs'!$G189*V385</f>
        <v>0</v>
      </c>
      <c r="W801">
        <f ca="1">'Fuel Costs'!$G189*W385</f>
        <v>0</v>
      </c>
      <c r="X801">
        <f ca="1">'Fuel Costs'!$G189*X385</f>
        <v>0</v>
      </c>
      <c r="Y801">
        <f ca="1">'Fuel Costs'!$G189*Y385</f>
        <v>0</v>
      </c>
      <c r="Z801">
        <f ca="1">'Fuel Costs'!$G189*Z385</f>
        <v>0</v>
      </c>
      <c r="AA801">
        <f ca="1">'Fuel Costs'!$G189*AA385</f>
        <v>0</v>
      </c>
      <c r="AB801">
        <f ca="1">'Fuel Costs'!$G189*AB385</f>
        <v>0</v>
      </c>
      <c r="AC801">
        <f ca="1">'Fuel Costs'!$G189*AC385</f>
        <v>0</v>
      </c>
    </row>
    <row r="802" spans="3:29">
      <c r="C802" t="str">
        <f>C27</f>
        <v>Pumped storage</v>
      </c>
      <c r="D802">
        <f>'Fuel Costs'!$G190*D386</f>
        <v>0</v>
      </c>
      <c r="E802">
        <f>'Fuel Costs'!$G190*E386</f>
        <v>0</v>
      </c>
      <c r="F802">
        <f>'Fuel Costs'!$G190*F386</f>
        <v>0</v>
      </c>
      <c r="G802">
        <f>'Fuel Costs'!$G190*G386</f>
        <v>0</v>
      </c>
      <c r="H802">
        <f>'Fuel Costs'!$G190*H386</f>
        <v>0</v>
      </c>
      <c r="I802">
        <f ca="1">'Fuel Costs'!$G190*I386</f>
        <v>0</v>
      </c>
      <c r="J802">
        <f ca="1">'Fuel Costs'!$G190*J386</f>
        <v>0</v>
      </c>
      <c r="K802">
        <f ca="1">'Fuel Costs'!$G190*K386</f>
        <v>0</v>
      </c>
      <c r="L802">
        <f ca="1">'Fuel Costs'!$G190*L386</f>
        <v>0</v>
      </c>
      <c r="M802">
        <f ca="1">'Fuel Costs'!$G190*M386</f>
        <v>0</v>
      </c>
      <c r="N802">
        <f ca="1">'Fuel Costs'!$G190*N386</f>
        <v>0</v>
      </c>
      <c r="O802">
        <f ca="1">'Fuel Costs'!$G190*O386</f>
        <v>0</v>
      </c>
      <c r="P802">
        <f ca="1">'Fuel Costs'!$G190*P386</f>
        <v>0</v>
      </c>
      <c r="Q802">
        <f ca="1">'Fuel Costs'!$G190*Q386</f>
        <v>0</v>
      </c>
      <c r="R802">
        <f ca="1">'Fuel Costs'!$G190*R386</f>
        <v>0</v>
      </c>
      <c r="S802">
        <f ca="1">'Fuel Costs'!$G190*S386</f>
        <v>0</v>
      </c>
      <c r="T802">
        <f ca="1">'Fuel Costs'!$G190*T386</f>
        <v>0</v>
      </c>
      <c r="U802">
        <f ca="1">'Fuel Costs'!$G190*U386</f>
        <v>0</v>
      </c>
      <c r="V802">
        <f ca="1">'Fuel Costs'!$G190*V386</f>
        <v>0</v>
      </c>
      <c r="W802">
        <f ca="1">'Fuel Costs'!$G190*W386</f>
        <v>0</v>
      </c>
      <c r="X802">
        <f ca="1">'Fuel Costs'!$G190*X386</f>
        <v>0</v>
      </c>
      <c r="Y802">
        <f ca="1">'Fuel Costs'!$G190*Y386</f>
        <v>0</v>
      </c>
      <c r="Z802">
        <f ca="1">'Fuel Costs'!$G190*Z386</f>
        <v>0</v>
      </c>
      <c r="AA802">
        <f ca="1">'Fuel Costs'!$G190*AA386</f>
        <v>0</v>
      </c>
      <c r="AB802">
        <f ca="1">'Fuel Costs'!$G190*AB386</f>
        <v>0</v>
      </c>
      <c r="AC802">
        <f ca="1">'Fuel Costs'!$G190*AC386</f>
        <v>0</v>
      </c>
    </row>
    <row r="803" spans="3:29">
      <c r="C803" s="4" t="s">
        <v>5</v>
      </c>
      <c r="D803">
        <f>SUM(D783:D802)</f>
        <v>1.3313893391371041</v>
      </c>
      <c r="E803">
        <f t="shared" ref="E803:AC803" si="187">SUM(E783:E802)</f>
        <v>1.3313893391371041</v>
      </c>
      <c r="F803">
        <f t="shared" si="187"/>
        <v>1.3751866101901404</v>
      </c>
      <c r="G803">
        <f t="shared" si="187"/>
        <v>1.3904430998690211</v>
      </c>
      <c r="H803">
        <f t="shared" si="187"/>
        <v>1.3904430998690211</v>
      </c>
      <c r="I803">
        <f t="shared" ca="1" si="187"/>
        <v>1.4232244480936109</v>
      </c>
      <c r="J803">
        <f t="shared" ca="1" si="187"/>
        <v>1.4455263573410646</v>
      </c>
      <c r="K803">
        <f t="shared" ca="1" si="187"/>
        <v>1.469755203003011</v>
      </c>
      <c r="L803">
        <f t="shared" ca="1" si="187"/>
        <v>1.4886245053455469</v>
      </c>
      <c r="M803">
        <f t="shared" ca="1" si="187"/>
        <v>1.503492532121494</v>
      </c>
      <c r="N803">
        <f t="shared" ca="1" si="187"/>
        <v>1.503492532121494</v>
      </c>
      <c r="O803">
        <f t="shared" ca="1" si="187"/>
        <v>1.503492532121494</v>
      </c>
      <c r="P803">
        <f t="shared" ca="1" si="187"/>
        <v>1.503492532121494</v>
      </c>
      <c r="Q803">
        <f t="shared" ca="1" si="187"/>
        <v>1.503492532121494</v>
      </c>
      <c r="R803">
        <f t="shared" ca="1" si="187"/>
        <v>1.503492532121494</v>
      </c>
      <c r="S803">
        <f t="shared" ca="1" si="187"/>
        <v>1.503492532121494</v>
      </c>
      <c r="T803">
        <f t="shared" ca="1" si="187"/>
        <v>1.503492532121494</v>
      </c>
      <c r="U803">
        <f t="shared" ca="1" si="187"/>
        <v>1.503492532121494</v>
      </c>
      <c r="V803">
        <f t="shared" ca="1" si="187"/>
        <v>1.468408806261585</v>
      </c>
      <c r="W803">
        <f t="shared" ca="1" si="187"/>
        <v>1.4256165193721186</v>
      </c>
      <c r="X803">
        <f t="shared" ca="1" si="187"/>
        <v>1.3911972937564228</v>
      </c>
      <c r="Y803">
        <f t="shared" ca="1" si="187"/>
        <v>1.3215767230463946</v>
      </c>
      <c r="Z803">
        <f t="shared" ca="1" si="187"/>
        <v>1.2513921990682249</v>
      </c>
      <c r="AA803">
        <f t="shared" ca="1" si="187"/>
        <v>1.1664319858314933</v>
      </c>
      <c r="AB803">
        <f t="shared" ca="1" si="187"/>
        <v>0.99726349704888495</v>
      </c>
      <c r="AC803">
        <f t="shared" ca="1" si="187"/>
        <v>0.91292128260182459</v>
      </c>
    </row>
    <row r="804" spans="3:29">
      <c r="C804" s="4"/>
    </row>
    <row r="805" spans="3:29">
      <c r="C805" s="4" t="s">
        <v>164</v>
      </c>
    </row>
    <row r="806" spans="3:29">
      <c r="C806" t="str">
        <f t="shared" ref="C806:C825" si="188">C8</f>
        <v>Existing coal Large</v>
      </c>
      <c r="D806">
        <f>'Fuel Costs'!$H171*D367</f>
        <v>0.63694162962789846</v>
      </c>
      <c r="E806">
        <f>'Fuel Costs'!$H171*E367</f>
        <v>0.63694162962789846</v>
      </c>
      <c r="F806">
        <f>'Fuel Costs'!$H171*F367</f>
        <v>0.65792403351788709</v>
      </c>
      <c r="G806">
        <f>'Fuel Costs'!$H171*G367</f>
        <v>0.66523311512706018</v>
      </c>
      <c r="H806">
        <f>'Fuel Costs'!$H171*H367</f>
        <v>0.66523311512706018</v>
      </c>
      <c r="I806">
        <f ca="1">'Fuel Costs'!$H171*I367</f>
        <v>0.68093800887885991</v>
      </c>
      <c r="J806">
        <f ca="1">'Fuel Costs'!$H171*J367</f>
        <v>0.69121714302701154</v>
      </c>
      <c r="K806">
        <f ca="1">'Fuel Costs'!$H171*K367</f>
        <v>0.70282470243069073</v>
      </c>
      <c r="L806">
        <f ca="1">'Fuel Costs'!$H171*L367</f>
        <v>0.71186461093078779</v>
      </c>
      <c r="M806">
        <f ca="1">'Fuel Costs'!$H171*M367</f>
        <v>0.71898758766790716</v>
      </c>
      <c r="N806">
        <f ca="1">'Fuel Costs'!$H171*N367</f>
        <v>0.71898758766790716</v>
      </c>
      <c r="O806">
        <f ca="1">'Fuel Costs'!$H171*O367</f>
        <v>0.71898758766790716</v>
      </c>
      <c r="P806">
        <f ca="1">'Fuel Costs'!$H171*P367</f>
        <v>0.71898758766790716</v>
      </c>
      <c r="Q806">
        <f ca="1">'Fuel Costs'!$H171*Q367</f>
        <v>0.71898758766790716</v>
      </c>
      <c r="R806">
        <f ca="1">'Fuel Costs'!$H171*R367</f>
        <v>0.71898758766790716</v>
      </c>
      <c r="S806">
        <f ca="1">'Fuel Costs'!$H171*S367</f>
        <v>0.71898758766790716</v>
      </c>
      <c r="T806">
        <f ca="1">'Fuel Costs'!$H171*T367</f>
        <v>0.71898758766790716</v>
      </c>
      <c r="U806">
        <f ca="1">'Fuel Costs'!$H171*U367</f>
        <v>0.71898758766790716</v>
      </c>
      <c r="V806">
        <f ca="1">'Fuel Costs'!$H171*V367</f>
        <v>0.70217967045619722</v>
      </c>
      <c r="W806">
        <f ca="1">'Fuel Costs'!$H171*W367</f>
        <v>0.68167873454620054</v>
      </c>
      <c r="X806">
        <f ca="1">'Fuel Costs'!$H171*X367</f>
        <v>0.66518916622184932</v>
      </c>
      <c r="Y806">
        <f ca="1">'Fuel Costs'!$H171*Y367</f>
        <v>0.63156515281806325</v>
      </c>
      <c r="Z806">
        <f ca="1">'Fuel Costs'!$H171*Z367</f>
        <v>0.59794113941427696</v>
      </c>
      <c r="AA806">
        <f ca="1">'Fuel Costs'!$H171*AA367</f>
        <v>0.55723838634653589</v>
      </c>
      <c r="AB806">
        <f ca="1">'Fuel Costs'!$H171*AB367</f>
        <v>0.47583288021105363</v>
      </c>
      <c r="AC806">
        <f ca="1">'Fuel Costs'!$H171*AC367</f>
        <v>0.4351301271433124</v>
      </c>
    </row>
    <row r="807" spans="3:29">
      <c r="C807" t="str">
        <f t="shared" si="188"/>
        <v>Existing coal Small</v>
      </c>
      <c r="D807">
        <f>'Fuel Costs'!$H172*D368</f>
        <v>4.3940636941733946E-2</v>
      </c>
      <c r="E807">
        <f>'Fuel Costs'!$H172*E368</f>
        <v>4.3940636941733946E-2</v>
      </c>
      <c r="F807">
        <f>'Fuel Costs'!$H172*F368</f>
        <v>4.3940636941733946E-2</v>
      </c>
      <c r="G807">
        <f>'Fuel Costs'!$H172*G368</f>
        <v>4.3940636941733946E-2</v>
      </c>
      <c r="H807">
        <f>'Fuel Costs'!$H172*H368</f>
        <v>4.3940636941733946E-2</v>
      </c>
      <c r="I807">
        <f ca="1">'Fuel Costs'!$H172*I368</f>
        <v>4.9463088286670329E-2</v>
      </c>
      <c r="J807">
        <f ca="1">'Fuel Costs'!$H172*J368</f>
        <v>5.2729662727891848E-2</v>
      </c>
      <c r="K807">
        <f ca="1">'Fuel Costs'!$H172*K368</f>
        <v>5.2729662727891848E-2</v>
      </c>
      <c r="L807">
        <f ca="1">'Fuel Costs'!$H172*L368</f>
        <v>5.2729662727891848E-2</v>
      </c>
      <c r="M807">
        <f ca="1">'Fuel Costs'!$H172*M368</f>
        <v>5.2729662727891848E-2</v>
      </c>
      <c r="N807">
        <f ca="1">'Fuel Costs'!$H172*N368</f>
        <v>5.2729662727891848E-2</v>
      </c>
      <c r="O807">
        <f ca="1">'Fuel Costs'!$H172*O368</f>
        <v>5.2426453466639857E-2</v>
      </c>
      <c r="P807">
        <f ca="1">'Fuel Costs'!$H172*P368</f>
        <v>5.2123244205387859E-2</v>
      </c>
      <c r="Q807">
        <f ca="1">'Fuel Costs'!$H172*Q368</f>
        <v>5.1718965190385199E-2</v>
      </c>
      <c r="R807">
        <f ca="1">'Fuel Costs'!$H172*R368</f>
        <v>5.1314686175382533E-2</v>
      </c>
      <c r="S807">
        <f ca="1">'Fuel Costs'!$H172*S368</f>
        <v>4.3633384890331924E-2</v>
      </c>
      <c r="T807">
        <f ca="1">'Fuel Costs'!$H172*T368</f>
        <v>3.5952083605281321E-2</v>
      </c>
      <c r="U807">
        <f ca="1">'Fuel Costs'!$H172*U368</f>
        <v>3.5952083605281321E-2</v>
      </c>
      <c r="V807">
        <f ca="1">'Fuel Costs'!$H172*V368</f>
        <v>3.5952083605281321E-2</v>
      </c>
      <c r="W807">
        <f ca="1">'Fuel Costs'!$H172*W368</f>
        <v>3.5952083605281321E-2</v>
      </c>
      <c r="X807">
        <f ca="1">'Fuel Costs'!$H172*X368</f>
        <v>3.2412845428385774E-2</v>
      </c>
      <c r="Y807">
        <f ca="1">'Fuel Costs'!$H172*Y368</f>
        <v>2.8873607251490237E-2</v>
      </c>
      <c r="Z807">
        <f ca="1">'Fuel Costs'!$H172*Z368</f>
        <v>2.8873607251490237E-2</v>
      </c>
      <c r="AA807">
        <f ca="1">'Fuel Costs'!$H172*AA368</f>
        <v>2.8873607251490237E-2</v>
      </c>
      <c r="AB807">
        <f ca="1">'Fuel Costs'!$H172*AB368</f>
        <v>2.8873607251490237E-2</v>
      </c>
      <c r="AC807">
        <f ca="1">'Fuel Costs'!$H172*AC368</f>
        <v>2.8873607251490237E-2</v>
      </c>
    </row>
    <row r="808" spans="3:29">
      <c r="C808" t="str">
        <f t="shared" si="188"/>
        <v>OCGT liquid fuels</v>
      </c>
      <c r="D808">
        <f>'Fuel Costs'!$H173*D369</f>
        <v>1.4866304682780091E-3</v>
      </c>
      <c r="E808">
        <f>'Fuel Costs'!$H173*E369</f>
        <v>1.4866304682780091E-3</v>
      </c>
      <c r="F808">
        <f>'Fuel Costs'!$H173*F369</f>
        <v>1.4866304682780091E-3</v>
      </c>
      <c r="G808">
        <f>'Fuel Costs'!$H173*G369</f>
        <v>1.4866304682780091E-3</v>
      </c>
      <c r="H808">
        <f>'Fuel Costs'!$H173*H369</f>
        <v>1.4866304682780091E-3</v>
      </c>
      <c r="I808">
        <f ca="1">'Fuel Costs'!$H173*I369</f>
        <v>1.4866304682780091E-3</v>
      </c>
      <c r="J808">
        <f ca="1">'Fuel Costs'!$H173*J369</f>
        <v>2.1556141790031133E-3</v>
      </c>
      <c r="K808">
        <f ca="1">'Fuel Costs'!$H173*K369</f>
        <v>2.1556141790031133E-3</v>
      </c>
      <c r="L808">
        <f ca="1">'Fuel Costs'!$H173*L369</f>
        <v>2.1556141790031133E-3</v>
      </c>
      <c r="M808">
        <f ca="1">'Fuel Costs'!$H173*M369</f>
        <v>2.1556141790031133E-3</v>
      </c>
      <c r="N808">
        <f ca="1">'Fuel Costs'!$H173*N369</f>
        <v>2.1556141790031133E-3</v>
      </c>
      <c r="O808">
        <f ca="1">'Fuel Costs'!$H173*O369</f>
        <v>2.1556141790031133E-3</v>
      </c>
      <c r="P808">
        <f ca="1">'Fuel Costs'!$H173*P369</f>
        <v>2.1556141790031133E-3</v>
      </c>
      <c r="Q808">
        <f ca="1">'Fuel Costs'!$H173*Q369</f>
        <v>2.1556141790031133E-3</v>
      </c>
      <c r="R808">
        <f ca="1">'Fuel Costs'!$H173*R369</f>
        <v>2.1556141790031133E-3</v>
      </c>
      <c r="S808">
        <f ca="1">'Fuel Costs'!$H173*S369</f>
        <v>2.1556141790031133E-3</v>
      </c>
      <c r="T808">
        <f ca="1">'Fuel Costs'!$H173*T369</f>
        <v>2.1556141790031133E-3</v>
      </c>
      <c r="U808">
        <f ca="1">'Fuel Costs'!$H173*U369</f>
        <v>2.1556141790031133E-3</v>
      </c>
      <c r="V808">
        <f ca="1">'Fuel Costs'!$H173*V369</f>
        <v>2.1556141790031133E-3</v>
      </c>
      <c r="W808">
        <f ca="1">'Fuel Costs'!$H173*W369</f>
        <v>2.1556141790031133E-3</v>
      </c>
      <c r="X808">
        <f ca="1">'Fuel Costs'!$H173*X369</f>
        <v>2.1556141790031133E-3</v>
      </c>
      <c r="Y808">
        <f ca="1">'Fuel Costs'!$H173*Y369</f>
        <v>2.6016033194865167E-3</v>
      </c>
      <c r="Z808">
        <f ca="1">'Fuel Costs'!$H173*Z369</f>
        <v>2.6016033194865167E-3</v>
      </c>
      <c r="AA808">
        <f ca="1">'Fuel Costs'!$H173*AA369</f>
        <v>2.6016033194865167E-3</v>
      </c>
      <c r="AB808">
        <f ca="1">'Fuel Costs'!$H173*AB369</f>
        <v>3.1962555067977204E-3</v>
      </c>
      <c r="AC808">
        <f ca="1">'Fuel Costs'!$H173*AC369</f>
        <v>3.6849852732441153E-3</v>
      </c>
    </row>
    <row r="809" spans="3:29">
      <c r="C809" t="str">
        <f t="shared" si="188"/>
        <v>PWR nuclear</v>
      </c>
      <c r="D809">
        <f>'Fuel Costs'!$H174*D370</f>
        <v>0</v>
      </c>
      <c r="E809">
        <f>'Fuel Costs'!$H174*E370</f>
        <v>0</v>
      </c>
      <c r="F809">
        <f>'Fuel Costs'!$H174*F370</f>
        <v>0</v>
      </c>
      <c r="G809">
        <f>'Fuel Costs'!$H174*G370</f>
        <v>0</v>
      </c>
      <c r="H809">
        <f>'Fuel Costs'!$H174*H370</f>
        <v>0</v>
      </c>
      <c r="I809">
        <f ca="1">'Fuel Costs'!$H174*I370</f>
        <v>0</v>
      </c>
      <c r="J809">
        <f ca="1">'Fuel Costs'!$H174*J370</f>
        <v>0</v>
      </c>
      <c r="K809">
        <f ca="1">'Fuel Costs'!$H174*K370</f>
        <v>0</v>
      </c>
      <c r="L809">
        <f ca="1">'Fuel Costs'!$H174*L370</f>
        <v>0</v>
      </c>
      <c r="M809">
        <f ca="1">'Fuel Costs'!$H174*M370</f>
        <v>0</v>
      </c>
      <c r="N809">
        <f ca="1">'Fuel Costs'!$H174*N370</f>
        <v>0</v>
      </c>
      <c r="O809">
        <f ca="1">'Fuel Costs'!$H174*O370</f>
        <v>0</v>
      </c>
      <c r="P809">
        <f ca="1">'Fuel Costs'!$H174*P370</f>
        <v>0</v>
      </c>
      <c r="Q809">
        <f ca="1">'Fuel Costs'!$H174*Q370</f>
        <v>0</v>
      </c>
      <c r="R809">
        <f ca="1">'Fuel Costs'!$H174*R370</f>
        <v>0</v>
      </c>
      <c r="S809">
        <f ca="1">'Fuel Costs'!$H174*S370</f>
        <v>0</v>
      </c>
      <c r="T809">
        <f ca="1">'Fuel Costs'!$H174*T370</f>
        <v>0</v>
      </c>
      <c r="U809">
        <f ca="1">'Fuel Costs'!$H174*U370</f>
        <v>0</v>
      </c>
      <c r="V809">
        <f ca="1">'Fuel Costs'!$H174*V370</f>
        <v>0</v>
      </c>
      <c r="W809">
        <f ca="1">'Fuel Costs'!$H174*W370</f>
        <v>0</v>
      </c>
      <c r="X809">
        <f ca="1">'Fuel Costs'!$H174*X370</f>
        <v>0</v>
      </c>
      <c r="Y809">
        <f ca="1">'Fuel Costs'!$H174*Y370</f>
        <v>0</v>
      </c>
      <c r="Z809">
        <f ca="1">'Fuel Costs'!$H174*Z370</f>
        <v>0</v>
      </c>
      <c r="AA809">
        <f ca="1">'Fuel Costs'!$H174*AA370</f>
        <v>0</v>
      </c>
      <c r="AB809">
        <f ca="1">'Fuel Costs'!$H174*AB370</f>
        <v>0</v>
      </c>
      <c r="AC809">
        <f ca="1">'Fuel Costs'!$H174*AC370</f>
        <v>0</v>
      </c>
    </row>
    <row r="810" spans="3:29">
      <c r="C810" t="str">
        <f t="shared" si="188"/>
        <v>Hydro</v>
      </c>
      <c r="D810">
        <f>'Fuel Costs'!$H175*D371</f>
        <v>0</v>
      </c>
      <c r="E810">
        <f>'Fuel Costs'!$H175*E371</f>
        <v>0</v>
      </c>
      <c r="F810">
        <f>'Fuel Costs'!$H175*F371</f>
        <v>0</v>
      </c>
      <c r="G810">
        <f>'Fuel Costs'!$H175*G371</f>
        <v>0</v>
      </c>
      <c r="H810">
        <f>'Fuel Costs'!$H175*H371</f>
        <v>0</v>
      </c>
      <c r="I810">
        <f ca="1">'Fuel Costs'!$H175*I371</f>
        <v>0</v>
      </c>
      <c r="J810">
        <f ca="1">'Fuel Costs'!$H175*J371</f>
        <v>0</v>
      </c>
      <c r="K810">
        <f ca="1">'Fuel Costs'!$H175*K371</f>
        <v>0</v>
      </c>
      <c r="L810">
        <f ca="1">'Fuel Costs'!$H175*L371</f>
        <v>0</v>
      </c>
      <c r="M810">
        <f ca="1">'Fuel Costs'!$H175*M371</f>
        <v>0</v>
      </c>
      <c r="N810">
        <f ca="1">'Fuel Costs'!$H175*N371</f>
        <v>0</v>
      </c>
      <c r="O810">
        <f ca="1">'Fuel Costs'!$H175*O371</f>
        <v>0</v>
      </c>
      <c r="P810">
        <f ca="1">'Fuel Costs'!$H175*P371</f>
        <v>0</v>
      </c>
      <c r="Q810">
        <f ca="1">'Fuel Costs'!$H175*Q371</f>
        <v>0</v>
      </c>
      <c r="R810">
        <f ca="1">'Fuel Costs'!$H175*R371</f>
        <v>0</v>
      </c>
      <c r="S810">
        <f ca="1">'Fuel Costs'!$H175*S371</f>
        <v>0</v>
      </c>
      <c r="T810">
        <f ca="1">'Fuel Costs'!$H175*T371</f>
        <v>0</v>
      </c>
      <c r="U810">
        <f ca="1">'Fuel Costs'!$H175*U371</f>
        <v>0</v>
      </c>
      <c r="V810">
        <f ca="1">'Fuel Costs'!$H175*V371</f>
        <v>0</v>
      </c>
      <c r="W810">
        <f ca="1">'Fuel Costs'!$H175*W371</f>
        <v>0</v>
      </c>
      <c r="X810">
        <f ca="1">'Fuel Costs'!$H175*X371</f>
        <v>0</v>
      </c>
      <c r="Y810">
        <f ca="1">'Fuel Costs'!$H175*Y371</f>
        <v>0</v>
      </c>
      <c r="Z810">
        <f ca="1">'Fuel Costs'!$H175*Z371</f>
        <v>0</v>
      </c>
      <c r="AA810">
        <f ca="1">'Fuel Costs'!$H175*AA371</f>
        <v>0</v>
      </c>
      <c r="AB810">
        <f ca="1">'Fuel Costs'!$H175*AB371</f>
        <v>0</v>
      </c>
      <c r="AC810">
        <f ca="1">'Fuel Costs'!$H175*AC371</f>
        <v>0</v>
      </c>
    </row>
    <row r="811" spans="3:29">
      <c r="C811" t="str">
        <f t="shared" si="188"/>
        <v>Landfill gas</v>
      </c>
      <c r="D811">
        <f>'Fuel Costs'!$H176*D372</f>
        <v>0</v>
      </c>
      <c r="E811">
        <f>'Fuel Costs'!$H176*E372</f>
        <v>0</v>
      </c>
      <c r="F811">
        <f>'Fuel Costs'!$H176*F372</f>
        <v>0</v>
      </c>
      <c r="G811">
        <f>'Fuel Costs'!$H176*G372</f>
        <v>0</v>
      </c>
      <c r="H811">
        <f>'Fuel Costs'!$H176*H372</f>
        <v>0</v>
      </c>
      <c r="I811">
        <f ca="1">'Fuel Costs'!$H176*I372</f>
        <v>0</v>
      </c>
      <c r="J811">
        <f ca="1">'Fuel Costs'!$H176*J372</f>
        <v>0</v>
      </c>
      <c r="K811">
        <f ca="1">'Fuel Costs'!$H176*K372</f>
        <v>0</v>
      </c>
      <c r="L811">
        <f ca="1">'Fuel Costs'!$H176*L372</f>
        <v>0</v>
      </c>
      <c r="M811">
        <f ca="1">'Fuel Costs'!$H176*M372</f>
        <v>0</v>
      </c>
      <c r="N811">
        <f ca="1">'Fuel Costs'!$H176*N372</f>
        <v>0</v>
      </c>
      <c r="O811">
        <f ca="1">'Fuel Costs'!$H176*O372</f>
        <v>0</v>
      </c>
      <c r="P811">
        <f ca="1">'Fuel Costs'!$H176*P372</f>
        <v>0</v>
      </c>
      <c r="Q811">
        <f ca="1">'Fuel Costs'!$H176*Q372</f>
        <v>0</v>
      </c>
      <c r="R811">
        <f ca="1">'Fuel Costs'!$H176*R372</f>
        <v>0</v>
      </c>
      <c r="S811">
        <f ca="1">'Fuel Costs'!$H176*S372</f>
        <v>0</v>
      </c>
      <c r="T811">
        <f ca="1">'Fuel Costs'!$H176*T372</f>
        <v>0</v>
      </c>
      <c r="U811">
        <f ca="1">'Fuel Costs'!$H176*U372</f>
        <v>0</v>
      </c>
      <c r="V811">
        <f ca="1">'Fuel Costs'!$H176*V372</f>
        <v>0</v>
      </c>
      <c r="W811">
        <f ca="1">'Fuel Costs'!$H176*W372</f>
        <v>0</v>
      </c>
      <c r="X811">
        <f ca="1">'Fuel Costs'!$H176*X372</f>
        <v>0</v>
      </c>
      <c r="Y811">
        <f ca="1">'Fuel Costs'!$H176*Y372</f>
        <v>0</v>
      </c>
      <c r="Z811">
        <f ca="1">'Fuel Costs'!$H176*Z372</f>
        <v>0</v>
      </c>
      <c r="AA811">
        <f ca="1">'Fuel Costs'!$H176*AA372</f>
        <v>0</v>
      </c>
      <c r="AB811">
        <f ca="1">'Fuel Costs'!$H176*AB372</f>
        <v>0</v>
      </c>
      <c r="AC811">
        <f ca="1">'Fuel Costs'!$H176*AC372</f>
        <v>0</v>
      </c>
    </row>
    <row r="812" spans="3:29">
      <c r="C812" t="str">
        <f t="shared" si="188"/>
        <v>Biomass</v>
      </c>
      <c r="D812">
        <f>'Fuel Costs'!$H177*D373</f>
        <v>0</v>
      </c>
      <c r="E812">
        <f>'Fuel Costs'!$H177*E373</f>
        <v>0</v>
      </c>
      <c r="F812">
        <f>'Fuel Costs'!$H177*F373</f>
        <v>0</v>
      </c>
      <c r="G812">
        <f>'Fuel Costs'!$H177*G373</f>
        <v>0</v>
      </c>
      <c r="H812">
        <f>'Fuel Costs'!$H177*H373</f>
        <v>0</v>
      </c>
      <c r="I812">
        <f ca="1">'Fuel Costs'!$H177*I373</f>
        <v>0</v>
      </c>
      <c r="J812">
        <f ca="1">'Fuel Costs'!$H177*J373</f>
        <v>0</v>
      </c>
      <c r="K812">
        <f ca="1">'Fuel Costs'!$H177*K373</f>
        <v>0</v>
      </c>
      <c r="L812">
        <f ca="1">'Fuel Costs'!$H177*L373</f>
        <v>0</v>
      </c>
      <c r="M812">
        <f ca="1">'Fuel Costs'!$H177*M373</f>
        <v>0</v>
      </c>
      <c r="N812">
        <f ca="1">'Fuel Costs'!$H177*N373</f>
        <v>0</v>
      </c>
      <c r="O812">
        <f ca="1">'Fuel Costs'!$H177*O373</f>
        <v>0</v>
      </c>
      <c r="P812">
        <f ca="1">'Fuel Costs'!$H177*P373</f>
        <v>0</v>
      </c>
      <c r="Q812">
        <f ca="1">'Fuel Costs'!$H177*Q373</f>
        <v>0</v>
      </c>
      <c r="R812">
        <f ca="1">'Fuel Costs'!$H177*R373</f>
        <v>0</v>
      </c>
      <c r="S812">
        <f ca="1">'Fuel Costs'!$H177*S373</f>
        <v>0</v>
      </c>
      <c r="T812">
        <f ca="1">'Fuel Costs'!$H177*T373</f>
        <v>0</v>
      </c>
      <c r="U812">
        <f ca="1">'Fuel Costs'!$H177*U373</f>
        <v>0</v>
      </c>
      <c r="V812">
        <f ca="1">'Fuel Costs'!$H177*V373</f>
        <v>0</v>
      </c>
      <c r="W812">
        <f ca="1">'Fuel Costs'!$H177*W373</f>
        <v>0</v>
      </c>
      <c r="X812">
        <f ca="1">'Fuel Costs'!$H177*X373</f>
        <v>0</v>
      </c>
      <c r="Y812">
        <f ca="1">'Fuel Costs'!$H177*Y373</f>
        <v>0</v>
      </c>
      <c r="Z812">
        <f ca="1">'Fuel Costs'!$H177*Z373</f>
        <v>0</v>
      </c>
      <c r="AA812">
        <f ca="1">'Fuel Costs'!$H177*AA373</f>
        <v>0</v>
      </c>
      <c r="AB812">
        <f ca="1">'Fuel Costs'!$H177*AB373</f>
        <v>0</v>
      </c>
      <c r="AC812">
        <f ca="1">'Fuel Costs'!$H177*AC373</f>
        <v>0</v>
      </c>
    </row>
    <row r="813" spans="3:29">
      <c r="C813" t="str">
        <f t="shared" si="188"/>
        <v>Supercritical coal</v>
      </c>
      <c r="D813">
        <f>'Fuel Costs'!$H178*D374</f>
        <v>0</v>
      </c>
      <c r="E813">
        <f>'Fuel Costs'!$H178*E374</f>
        <v>0</v>
      </c>
      <c r="F813">
        <f>'Fuel Costs'!$H178*F374</f>
        <v>0</v>
      </c>
      <c r="G813">
        <f>'Fuel Costs'!$H178*G374</f>
        <v>0</v>
      </c>
      <c r="H813">
        <f>'Fuel Costs'!$H178*H374</f>
        <v>0</v>
      </c>
      <c r="I813">
        <f ca="1">'Fuel Costs'!$H178*I374</f>
        <v>0</v>
      </c>
      <c r="J813">
        <f ca="1">'Fuel Costs'!$H178*J374</f>
        <v>0</v>
      </c>
      <c r="K813">
        <f ca="1">'Fuel Costs'!$H178*K374</f>
        <v>4.9318221823794004E-3</v>
      </c>
      <c r="L813">
        <f ca="1">'Fuel Costs'!$H178*L374</f>
        <v>1.4795466547138203E-2</v>
      </c>
      <c r="M813">
        <f ca="1">'Fuel Costs'!$H178*M374</f>
        <v>3.0964774214926039E-2</v>
      </c>
      <c r="N813">
        <f ca="1">'Fuel Costs'!$H178*N374</f>
        <v>4.8950254704516999E-2</v>
      </c>
      <c r="O813">
        <f ca="1">'Fuel Costs'!$H178*O374</f>
        <v>6.6983353883283664E-2</v>
      </c>
      <c r="P813">
        <f ca="1">'Fuel Costs'!$H178*P374</f>
        <v>7.8598949758909617E-2</v>
      </c>
      <c r="Q813">
        <f ca="1">'Fuel Costs'!$H178*Q374</f>
        <v>8.5548200509687936E-2</v>
      </c>
      <c r="R813">
        <f ca="1">'Fuel Costs'!$H178*R374</f>
        <v>8.3795704585731698E-2</v>
      </c>
      <c r="S813">
        <f ca="1">'Fuel Costs'!$H178*S374</f>
        <v>8.1600799226559301E-2</v>
      </c>
      <c r="T813">
        <f ca="1">'Fuel Costs'!$H178*T374</f>
        <v>7.0922219390574165E-2</v>
      </c>
      <c r="U813">
        <f ca="1">'Fuel Costs'!$H178*U374</f>
        <v>6.3763314434529247E-2</v>
      </c>
      <c r="V813">
        <f ca="1">'Fuel Costs'!$H178*V374</f>
        <v>5.9181866188552826E-2</v>
      </c>
      <c r="W813">
        <f ca="1">'Fuel Costs'!$H178*W374</f>
        <v>5.9181866188552826E-2</v>
      </c>
      <c r="X813">
        <f ca="1">'Fuel Costs'!$H178*X374</f>
        <v>5.9555872270587236E-2</v>
      </c>
      <c r="Y813">
        <f ca="1">'Fuel Costs'!$H178*Y374</f>
        <v>7.824286241036775E-2</v>
      </c>
      <c r="Z813">
        <f ca="1">'Fuel Costs'!$H178*Z374</f>
        <v>8.5906466222059372E-2</v>
      </c>
      <c r="AA813">
        <f ca="1">'Fuel Costs'!$H178*AA374</f>
        <v>9.6206339990392645E-2</v>
      </c>
      <c r="AB813">
        <f ca="1">'Fuel Costs'!$H178*AB374</f>
        <v>0.13287628820520497</v>
      </c>
      <c r="AC813">
        <f ca="1">'Fuel Costs'!$H178*AC374</f>
        <v>0.13675667120621582</v>
      </c>
    </row>
    <row r="814" spans="3:29">
      <c r="C814" t="str">
        <f t="shared" si="188"/>
        <v xml:space="preserve">Wind 30% </v>
      </c>
      <c r="D814">
        <f>'Fuel Costs'!$H179*D375</f>
        <v>0</v>
      </c>
      <c r="E814">
        <f>'Fuel Costs'!$H179*E375</f>
        <v>0</v>
      </c>
      <c r="F814">
        <f>'Fuel Costs'!$H179*F375</f>
        <v>0</v>
      </c>
      <c r="G814">
        <f>'Fuel Costs'!$H179*G375</f>
        <v>0</v>
      </c>
      <c r="H814">
        <f>'Fuel Costs'!$H179*H375</f>
        <v>0</v>
      </c>
      <c r="I814">
        <f ca="1">'Fuel Costs'!$H179*I375</f>
        <v>0</v>
      </c>
      <c r="J814">
        <f ca="1">'Fuel Costs'!$H179*J375</f>
        <v>0</v>
      </c>
      <c r="K814">
        <f ca="1">'Fuel Costs'!$H179*K375</f>
        <v>0</v>
      </c>
      <c r="L814">
        <f ca="1">'Fuel Costs'!$H179*L375</f>
        <v>0</v>
      </c>
      <c r="M814">
        <f ca="1">'Fuel Costs'!$H179*M375</f>
        <v>0</v>
      </c>
      <c r="N814">
        <f ca="1">'Fuel Costs'!$H179*N375</f>
        <v>0</v>
      </c>
      <c r="O814">
        <f ca="1">'Fuel Costs'!$H179*O375</f>
        <v>0</v>
      </c>
      <c r="P814">
        <f ca="1">'Fuel Costs'!$H179*P375</f>
        <v>0</v>
      </c>
      <c r="Q814">
        <f ca="1">'Fuel Costs'!$H179*Q375</f>
        <v>0</v>
      </c>
      <c r="R814">
        <f ca="1">'Fuel Costs'!$H179*R375</f>
        <v>0</v>
      </c>
      <c r="S814">
        <f ca="1">'Fuel Costs'!$H179*S375</f>
        <v>0</v>
      </c>
      <c r="T814">
        <f ca="1">'Fuel Costs'!$H179*T375</f>
        <v>0</v>
      </c>
      <c r="U814">
        <f ca="1">'Fuel Costs'!$H179*U375</f>
        <v>0</v>
      </c>
      <c r="V814">
        <f ca="1">'Fuel Costs'!$H179*V375</f>
        <v>0</v>
      </c>
      <c r="W814">
        <f ca="1">'Fuel Costs'!$H179*W375</f>
        <v>0</v>
      </c>
      <c r="X814">
        <f ca="1">'Fuel Costs'!$H179*X375</f>
        <v>0</v>
      </c>
      <c r="Y814">
        <f ca="1">'Fuel Costs'!$H179*Y375</f>
        <v>0</v>
      </c>
      <c r="Z814">
        <f ca="1">'Fuel Costs'!$H179*Z375</f>
        <v>0</v>
      </c>
      <c r="AA814">
        <f ca="1">'Fuel Costs'!$H179*AA375</f>
        <v>0</v>
      </c>
      <c r="AB814">
        <f ca="1">'Fuel Costs'!$H179*AB375</f>
        <v>0</v>
      </c>
      <c r="AC814">
        <f ca="1">'Fuel Costs'!$H179*AC375</f>
        <v>0</v>
      </c>
    </row>
    <row r="815" spans="3:29">
      <c r="C815" t="str">
        <f t="shared" si="188"/>
        <v>Wind 25%</v>
      </c>
      <c r="D815">
        <f>'Fuel Costs'!$H180*D376</f>
        <v>0</v>
      </c>
      <c r="E815">
        <f>'Fuel Costs'!$H180*E376</f>
        <v>0</v>
      </c>
      <c r="F815">
        <f>'Fuel Costs'!$H180*F376</f>
        <v>0</v>
      </c>
      <c r="G815">
        <f>'Fuel Costs'!$H180*G376</f>
        <v>0</v>
      </c>
      <c r="H815">
        <f>'Fuel Costs'!$H180*H376</f>
        <v>0</v>
      </c>
      <c r="I815">
        <f ca="1">'Fuel Costs'!$H180*I376</f>
        <v>0</v>
      </c>
      <c r="J815">
        <f ca="1">'Fuel Costs'!$H180*J376</f>
        <v>0</v>
      </c>
      <c r="K815">
        <f ca="1">'Fuel Costs'!$H180*K376</f>
        <v>0</v>
      </c>
      <c r="L815">
        <f ca="1">'Fuel Costs'!$H180*L376</f>
        <v>0</v>
      </c>
      <c r="M815">
        <f ca="1">'Fuel Costs'!$H180*M376</f>
        <v>0</v>
      </c>
      <c r="N815">
        <f ca="1">'Fuel Costs'!$H180*N376</f>
        <v>0</v>
      </c>
      <c r="O815">
        <f ca="1">'Fuel Costs'!$H180*O376</f>
        <v>0</v>
      </c>
      <c r="P815">
        <f ca="1">'Fuel Costs'!$H180*P376</f>
        <v>0</v>
      </c>
      <c r="Q815">
        <f ca="1">'Fuel Costs'!$H180*Q376</f>
        <v>0</v>
      </c>
      <c r="R815">
        <f ca="1">'Fuel Costs'!$H180*R376</f>
        <v>0</v>
      </c>
      <c r="S815">
        <f ca="1">'Fuel Costs'!$H180*S376</f>
        <v>0</v>
      </c>
      <c r="T815">
        <f ca="1">'Fuel Costs'!$H180*T376</f>
        <v>0</v>
      </c>
      <c r="U815">
        <f ca="1">'Fuel Costs'!$H180*U376</f>
        <v>0</v>
      </c>
      <c r="V815">
        <f ca="1">'Fuel Costs'!$H180*V376</f>
        <v>0</v>
      </c>
      <c r="W815">
        <f ca="1">'Fuel Costs'!$H180*W376</f>
        <v>0</v>
      </c>
      <c r="X815">
        <f ca="1">'Fuel Costs'!$H180*X376</f>
        <v>0</v>
      </c>
      <c r="Y815">
        <f ca="1">'Fuel Costs'!$H180*Y376</f>
        <v>0</v>
      </c>
      <c r="Z815">
        <f ca="1">'Fuel Costs'!$H180*Z376</f>
        <v>0</v>
      </c>
      <c r="AA815">
        <f ca="1">'Fuel Costs'!$H180*AA376</f>
        <v>0</v>
      </c>
      <c r="AB815">
        <f ca="1">'Fuel Costs'!$H180*AB376</f>
        <v>0</v>
      </c>
      <c r="AC815">
        <f ca="1">'Fuel Costs'!$H180*AC376</f>
        <v>0</v>
      </c>
    </row>
    <row r="816" spans="3:29">
      <c r="C816" t="str">
        <f t="shared" si="188"/>
        <v>solar thermal central reciever</v>
      </c>
      <c r="D816">
        <f>'Fuel Costs'!$H181*D377</f>
        <v>0</v>
      </c>
      <c r="E816">
        <f>'Fuel Costs'!$H181*E377</f>
        <v>0</v>
      </c>
      <c r="F816">
        <f>'Fuel Costs'!$H181*F377</f>
        <v>0</v>
      </c>
      <c r="G816">
        <f>'Fuel Costs'!$H181*G377</f>
        <v>0</v>
      </c>
      <c r="H816">
        <f>'Fuel Costs'!$H181*H377</f>
        <v>0</v>
      </c>
      <c r="I816">
        <f ca="1">'Fuel Costs'!$H181*I377</f>
        <v>0</v>
      </c>
      <c r="J816">
        <f ca="1">'Fuel Costs'!$H181*J377</f>
        <v>0</v>
      </c>
      <c r="K816">
        <f ca="1">'Fuel Costs'!$H181*K377</f>
        <v>0</v>
      </c>
      <c r="L816">
        <f ca="1">'Fuel Costs'!$H181*L377</f>
        <v>0</v>
      </c>
      <c r="M816">
        <f ca="1">'Fuel Costs'!$H181*M377</f>
        <v>0</v>
      </c>
      <c r="N816">
        <f ca="1">'Fuel Costs'!$H181*N377</f>
        <v>0</v>
      </c>
      <c r="O816">
        <f ca="1">'Fuel Costs'!$H181*O377</f>
        <v>0</v>
      </c>
      <c r="P816">
        <f ca="1">'Fuel Costs'!$H181*P377</f>
        <v>0</v>
      </c>
      <c r="Q816">
        <f ca="1">'Fuel Costs'!$H181*Q377</f>
        <v>0</v>
      </c>
      <c r="R816">
        <f ca="1">'Fuel Costs'!$H181*R377</f>
        <v>0</v>
      </c>
      <c r="S816">
        <f ca="1">'Fuel Costs'!$H181*S377</f>
        <v>0</v>
      </c>
      <c r="T816">
        <f ca="1">'Fuel Costs'!$H181*T377</f>
        <v>0</v>
      </c>
      <c r="U816">
        <f ca="1">'Fuel Costs'!$H181*U377</f>
        <v>0</v>
      </c>
      <c r="V816">
        <f ca="1">'Fuel Costs'!$H181*V377</f>
        <v>0</v>
      </c>
      <c r="W816">
        <f ca="1">'Fuel Costs'!$H181*W377</f>
        <v>0</v>
      </c>
      <c r="X816">
        <f ca="1">'Fuel Costs'!$H181*X377</f>
        <v>0</v>
      </c>
      <c r="Y816">
        <f ca="1">'Fuel Costs'!$H181*Y377</f>
        <v>0</v>
      </c>
      <c r="Z816">
        <f ca="1">'Fuel Costs'!$H181*Z377</f>
        <v>0</v>
      </c>
      <c r="AA816">
        <f ca="1">'Fuel Costs'!$H181*AA377</f>
        <v>0</v>
      </c>
      <c r="AB816">
        <f ca="1">'Fuel Costs'!$H181*AB377</f>
        <v>0</v>
      </c>
      <c r="AC816">
        <f ca="1">'Fuel Costs'!$H181*AC377</f>
        <v>0</v>
      </c>
    </row>
    <row r="817" spans="3:29">
      <c r="C817" t="str">
        <f t="shared" si="188"/>
        <v>solar thermal trough</v>
      </c>
      <c r="D817">
        <f>'Fuel Costs'!$H182*D378</f>
        <v>0</v>
      </c>
      <c r="E817">
        <f>'Fuel Costs'!$H182*E378</f>
        <v>0</v>
      </c>
      <c r="F817">
        <f>'Fuel Costs'!$H182*F378</f>
        <v>0</v>
      </c>
      <c r="G817">
        <f>'Fuel Costs'!$H182*G378</f>
        <v>0</v>
      </c>
      <c r="H817">
        <f>'Fuel Costs'!$H182*H378</f>
        <v>0</v>
      </c>
      <c r="I817">
        <f ca="1">'Fuel Costs'!$H182*I378</f>
        <v>0</v>
      </c>
      <c r="J817">
        <f ca="1">'Fuel Costs'!$H182*J378</f>
        <v>0</v>
      </c>
      <c r="K817">
        <f ca="1">'Fuel Costs'!$H182*K378</f>
        <v>0</v>
      </c>
      <c r="L817">
        <f ca="1">'Fuel Costs'!$H182*L378</f>
        <v>0</v>
      </c>
      <c r="M817">
        <f ca="1">'Fuel Costs'!$H182*M378</f>
        <v>0</v>
      </c>
      <c r="N817">
        <f ca="1">'Fuel Costs'!$H182*N378</f>
        <v>0</v>
      </c>
      <c r="O817">
        <f ca="1">'Fuel Costs'!$H182*O378</f>
        <v>0</v>
      </c>
      <c r="P817">
        <f ca="1">'Fuel Costs'!$H182*P378</f>
        <v>0</v>
      </c>
      <c r="Q817">
        <f ca="1">'Fuel Costs'!$H182*Q378</f>
        <v>0</v>
      </c>
      <c r="R817">
        <f ca="1">'Fuel Costs'!$H182*R378</f>
        <v>0</v>
      </c>
      <c r="S817">
        <f ca="1">'Fuel Costs'!$H182*S378</f>
        <v>0</v>
      </c>
      <c r="T817">
        <f ca="1">'Fuel Costs'!$H182*T378</f>
        <v>0</v>
      </c>
      <c r="U817">
        <f ca="1">'Fuel Costs'!$H182*U378</f>
        <v>0</v>
      </c>
      <c r="V817">
        <f ca="1">'Fuel Costs'!$H182*V378</f>
        <v>0</v>
      </c>
      <c r="W817">
        <f ca="1">'Fuel Costs'!$H182*W378</f>
        <v>0</v>
      </c>
      <c r="X817">
        <f ca="1">'Fuel Costs'!$H182*X378</f>
        <v>0</v>
      </c>
      <c r="Y817">
        <f ca="1">'Fuel Costs'!$H182*Y378</f>
        <v>0</v>
      </c>
      <c r="Z817">
        <f ca="1">'Fuel Costs'!$H182*Z378</f>
        <v>0</v>
      </c>
      <c r="AA817">
        <f ca="1">'Fuel Costs'!$H182*AA378</f>
        <v>0</v>
      </c>
      <c r="AB817">
        <f ca="1">'Fuel Costs'!$H182*AB378</f>
        <v>0</v>
      </c>
      <c r="AC817">
        <f ca="1">'Fuel Costs'!$H182*AC378</f>
        <v>0</v>
      </c>
    </row>
    <row r="818" spans="3:29">
      <c r="C818" t="str">
        <f t="shared" si="188"/>
        <v>solar PV</v>
      </c>
      <c r="D818">
        <f>'Fuel Costs'!$H183*D379</f>
        <v>0</v>
      </c>
      <c r="E818">
        <f>'Fuel Costs'!$H183*E379</f>
        <v>0</v>
      </c>
      <c r="F818">
        <f>'Fuel Costs'!$H183*F379</f>
        <v>0</v>
      </c>
      <c r="G818">
        <f>'Fuel Costs'!$H183*G379</f>
        <v>0</v>
      </c>
      <c r="H818">
        <f>'Fuel Costs'!$H183*H379</f>
        <v>0</v>
      </c>
      <c r="I818">
        <f ca="1">'Fuel Costs'!$H183*I379</f>
        <v>0</v>
      </c>
      <c r="J818">
        <f ca="1">'Fuel Costs'!$H183*J379</f>
        <v>0</v>
      </c>
      <c r="K818">
        <f ca="1">'Fuel Costs'!$H183*K379</f>
        <v>0</v>
      </c>
      <c r="L818">
        <f ca="1">'Fuel Costs'!$H183*L379</f>
        <v>0</v>
      </c>
      <c r="M818">
        <f ca="1">'Fuel Costs'!$H183*M379</f>
        <v>0</v>
      </c>
      <c r="N818">
        <f ca="1">'Fuel Costs'!$H183*N379</f>
        <v>0</v>
      </c>
      <c r="O818">
        <f ca="1">'Fuel Costs'!$H183*O379</f>
        <v>0</v>
      </c>
      <c r="P818">
        <f ca="1">'Fuel Costs'!$H183*P379</f>
        <v>0</v>
      </c>
      <c r="Q818">
        <f ca="1">'Fuel Costs'!$H183*Q379</f>
        <v>0</v>
      </c>
      <c r="R818">
        <f ca="1">'Fuel Costs'!$H183*R379</f>
        <v>0</v>
      </c>
      <c r="S818">
        <f ca="1">'Fuel Costs'!$H183*S379</f>
        <v>0</v>
      </c>
      <c r="T818">
        <f ca="1">'Fuel Costs'!$H183*T379</f>
        <v>0</v>
      </c>
      <c r="U818">
        <f ca="1">'Fuel Costs'!$H183*U379</f>
        <v>0</v>
      </c>
      <c r="V818">
        <f ca="1">'Fuel Costs'!$H183*V379</f>
        <v>0</v>
      </c>
      <c r="W818">
        <f ca="1">'Fuel Costs'!$H183*W379</f>
        <v>0</v>
      </c>
      <c r="X818">
        <f ca="1">'Fuel Costs'!$H183*X379</f>
        <v>0</v>
      </c>
      <c r="Y818">
        <f ca="1">'Fuel Costs'!$H183*Y379</f>
        <v>0</v>
      </c>
      <c r="Z818">
        <f ca="1">'Fuel Costs'!$H183*Z379</f>
        <v>0</v>
      </c>
      <c r="AA818">
        <f ca="1">'Fuel Costs'!$H183*AA379</f>
        <v>0</v>
      </c>
      <c r="AB818">
        <f ca="1">'Fuel Costs'!$H183*AB379</f>
        <v>0</v>
      </c>
      <c r="AC818">
        <f ca="1">'Fuel Costs'!$H183*AC379</f>
        <v>0</v>
      </c>
    </row>
    <row r="819" spans="3:29">
      <c r="C819" t="str">
        <f t="shared" si="188"/>
        <v>combined cycle gas</v>
      </c>
      <c r="D819">
        <f>'Fuel Costs'!$H184*D380</f>
        <v>0</v>
      </c>
      <c r="E819">
        <f>'Fuel Costs'!$H184*E380</f>
        <v>0</v>
      </c>
      <c r="F819">
        <f>'Fuel Costs'!$H184*F380</f>
        <v>0</v>
      </c>
      <c r="G819">
        <f>'Fuel Costs'!$H184*G380</f>
        <v>0</v>
      </c>
      <c r="H819">
        <f>'Fuel Costs'!$H184*H380</f>
        <v>0</v>
      </c>
      <c r="I819">
        <f ca="1">'Fuel Costs'!$H184*I380</f>
        <v>0</v>
      </c>
      <c r="J819">
        <f ca="1">'Fuel Costs'!$H184*J380</f>
        <v>0</v>
      </c>
      <c r="K819">
        <f ca="1">'Fuel Costs'!$H184*K380</f>
        <v>0</v>
      </c>
      <c r="L819">
        <f ca="1">'Fuel Costs'!$H184*L380</f>
        <v>0</v>
      </c>
      <c r="M819">
        <f ca="1">'Fuel Costs'!$H184*M380</f>
        <v>0</v>
      </c>
      <c r="N819">
        <f ca="1">'Fuel Costs'!$H184*N380</f>
        <v>0</v>
      </c>
      <c r="O819">
        <f ca="1">'Fuel Costs'!$H184*O380</f>
        <v>0</v>
      </c>
      <c r="P819">
        <f ca="1">'Fuel Costs'!$H184*P380</f>
        <v>0</v>
      </c>
      <c r="Q819">
        <f ca="1">'Fuel Costs'!$H184*Q380</f>
        <v>0</v>
      </c>
      <c r="R819">
        <f ca="1">'Fuel Costs'!$H184*R380</f>
        <v>0</v>
      </c>
      <c r="S819">
        <f ca="1">'Fuel Costs'!$H184*S380</f>
        <v>0</v>
      </c>
      <c r="T819">
        <f ca="1">'Fuel Costs'!$H184*T380</f>
        <v>0</v>
      </c>
      <c r="U819">
        <f ca="1">'Fuel Costs'!$H184*U380</f>
        <v>0</v>
      </c>
      <c r="V819">
        <f ca="1">'Fuel Costs'!$H184*V380</f>
        <v>0</v>
      </c>
      <c r="W819">
        <f ca="1">'Fuel Costs'!$H184*W380</f>
        <v>0</v>
      </c>
      <c r="X819">
        <f ca="1">'Fuel Costs'!$H184*X380</f>
        <v>0</v>
      </c>
      <c r="Y819">
        <f ca="1">'Fuel Costs'!$H184*Y380</f>
        <v>0</v>
      </c>
      <c r="Z819">
        <f ca="1">'Fuel Costs'!$H184*Z380</f>
        <v>4.0990029362248234E-3</v>
      </c>
      <c r="AA819">
        <f ca="1">'Fuel Costs'!$H184*AA380</f>
        <v>1.0247507340562059E-2</v>
      </c>
      <c r="AB819">
        <f ca="1">'Fuel Costs'!$H184*AB380</f>
        <v>1.6396011744899294E-2</v>
      </c>
      <c r="AC819">
        <f ca="1">'Fuel Costs'!$H184*AC380</f>
        <v>1.6396011744899294E-2</v>
      </c>
    </row>
    <row r="820" spans="3:29">
      <c r="C820" t="str">
        <f t="shared" si="188"/>
        <v>PBMR</v>
      </c>
      <c r="D820">
        <f>'Fuel Costs'!$H185*D381</f>
        <v>0</v>
      </c>
      <c r="E820">
        <f>'Fuel Costs'!$H185*E381</f>
        <v>0</v>
      </c>
      <c r="F820">
        <f>'Fuel Costs'!$H185*F381</f>
        <v>0</v>
      </c>
      <c r="G820">
        <f>'Fuel Costs'!$H185*G381</f>
        <v>0</v>
      </c>
      <c r="H820">
        <f>'Fuel Costs'!$H185*H381</f>
        <v>0</v>
      </c>
      <c r="I820">
        <f ca="1">'Fuel Costs'!$H185*I381</f>
        <v>0</v>
      </c>
      <c r="J820">
        <f ca="1">'Fuel Costs'!$H185*J381</f>
        <v>0</v>
      </c>
      <c r="K820">
        <f ca="1">'Fuel Costs'!$H185*K381</f>
        <v>0</v>
      </c>
      <c r="L820">
        <f ca="1">'Fuel Costs'!$H185*L381</f>
        <v>0</v>
      </c>
      <c r="M820">
        <f ca="1">'Fuel Costs'!$H185*M381</f>
        <v>0</v>
      </c>
      <c r="N820">
        <f ca="1">'Fuel Costs'!$H185*N381</f>
        <v>0</v>
      </c>
      <c r="O820">
        <f ca="1">'Fuel Costs'!$H185*O381</f>
        <v>0</v>
      </c>
      <c r="P820">
        <f ca="1">'Fuel Costs'!$H185*P381</f>
        <v>0</v>
      </c>
      <c r="Q820">
        <f ca="1">'Fuel Costs'!$H185*Q381</f>
        <v>0</v>
      </c>
      <c r="R820">
        <f ca="1">'Fuel Costs'!$H185*R381</f>
        <v>0</v>
      </c>
      <c r="S820">
        <f ca="1">'Fuel Costs'!$H185*S381</f>
        <v>0</v>
      </c>
      <c r="T820">
        <f ca="1">'Fuel Costs'!$H185*T381</f>
        <v>0</v>
      </c>
      <c r="U820">
        <f ca="1">'Fuel Costs'!$H185*U381</f>
        <v>0</v>
      </c>
      <c r="V820">
        <f ca="1">'Fuel Costs'!$H185*V381</f>
        <v>0</v>
      </c>
      <c r="W820">
        <f ca="1">'Fuel Costs'!$H185*W381</f>
        <v>0</v>
      </c>
      <c r="X820">
        <f ca="1">'Fuel Costs'!$H185*X381</f>
        <v>0</v>
      </c>
      <c r="Y820">
        <f ca="1">'Fuel Costs'!$H185*Y381</f>
        <v>0</v>
      </c>
      <c r="Z820">
        <f ca="1">'Fuel Costs'!$H185*Z381</f>
        <v>0</v>
      </c>
      <c r="AA820">
        <f ca="1">'Fuel Costs'!$H185*AA381</f>
        <v>0</v>
      </c>
      <c r="AB820">
        <f ca="1">'Fuel Costs'!$H185*AB381</f>
        <v>0</v>
      </c>
      <c r="AC820">
        <f ca="1">'Fuel Costs'!$H185*AC381</f>
        <v>0</v>
      </c>
    </row>
    <row r="821" spans="3:29">
      <c r="C821" t="str">
        <f t="shared" si="188"/>
        <v>IGCC</v>
      </c>
      <c r="D821">
        <f>'Fuel Costs'!$H186*D382</f>
        <v>0</v>
      </c>
      <c r="E821">
        <f>'Fuel Costs'!$H186*E382</f>
        <v>8.0737590906210223E-17</v>
      </c>
      <c r="F821">
        <f>'Fuel Costs'!$H186*F382</f>
        <v>0</v>
      </c>
      <c r="G821">
        <f>'Fuel Costs'!$H186*G382</f>
        <v>8.0737590906210223E-17</v>
      </c>
      <c r="H821">
        <f>'Fuel Costs'!$H186*H382</f>
        <v>8.0737590906210223E-17</v>
      </c>
      <c r="I821">
        <f ca="1">'Fuel Costs'!$H186*I382</f>
        <v>0</v>
      </c>
      <c r="J821">
        <f ca="1">'Fuel Costs'!$H186*J382</f>
        <v>0</v>
      </c>
      <c r="K821">
        <f ca="1">'Fuel Costs'!$H186*K382</f>
        <v>0</v>
      </c>
      <c r="L821">
        <f ca="1">'Fuel Costs'!$H186*L382</f>
        <v>0</v>
      </c>
      <c r="M821">
        <f ca="1">'Fuel Costs'!$H186*M382</f>
        <v>0</v>
      </c>
      <c r="N821">
        <f ca="1">'Fuel Costs'!$H186*N382</f>
        <v>0</v>
      </c>
      <c r="O821">
        <f ca="1">'Fuel Costs'!$H186*O382</f>
        <v>0</v>
      </c>
      <c r="P821">
        <f ca="1">'Fuel Costs'!$H186*P382</f>
        <v>0</v>
      </c>
      <c r="Q821">
        <f ca="1">'Fuel Costs'!$H186*Q382</f>
        <v>0</v>
      </c>
      <c r="R821">
        <f ca="1">'Fuel Costs'!$H186*R382</f>
        <v>0</v>
      </c>
      <c r="S821">
        <f ca="1">'Fuel Costs'!$H186*S382</f>
        <v>0</v>
      </c>
      <c r="T821">
        <f ca="1">'Fuel Costs'!$H186*T382</f>
        <v>0</v>
      </c>
      <c r="U821">
        <f ca="1">'Fuel Costs'!$H186*U382</f>
        <v>0</v>
      </c>
      <c r="V821">
        <f ca="1">'Fuel Costs'!$H186*V382</f>
        <v>0</v>
      </c>
      <c r="W821">
        <f ca="1">'Fuel Costs'!$H186*W382</f>
        <v>0</v>
      </c>
      <c r="X821">
        <f ca="1">'Fuel Costs'!$H186*X382</f>
        <v>0</v>
      </c>
      <c r="Y821">
        <f ca="1">'Fuel Costs'!$H186*Y382</f>
        <v>0</v>
      </c>
      <c r="Z821">
        <f ca="1">'Fuel Costs'!$H186*Z382</f>
        <v>0</v>
      </c>
      <c r="AA821">
        <f ca="1">'Fuel Costs'!$H186*AA382</f>
        <v>0</v>
      </c>
      <c r="AB821">
        <f ca="1">'Fuel Costs'!$H186*AB382</f>
        <v>1.1456615908126617E-2</v>
      </c>
      <c r="AC821">
        <f ca="1">'Fuel Costs'!$H186*AC382</f>
        <v>2.2913231816253234E-2</v>
      </c>
    </row>
    <row r="822" spans="3:29">
      <c r="C822" t="str">
        <f t="shared" si="188"/>
        <v>-</v>
      </c>
      <c r="D822">
        <f>'Fuel Costs'!$H187*D383</f>
        <v>0</v>
      </c>
      <c r="E822">
        <f>'Fuel Costs'!$H187*E383</f>
        <v>0</v>
      </c>
      <c r="F822">
        <f>'Fuel Costs'!$H187*F383</f>
        <v>0</v>
      </c>
      <c r="G822">
        <f>'Fuel Costs'!$H187*G383</f>
        <v>0</v>
      </c>
      <c r="H822">
        <f>'Fuel Costs'!$H187*H383</f>
        <v>0</v>
      </c>
      <c r="I822">
        <f ca="1">'Fuel Costs'!$H187*I383</f>
        <v>0</v>
      </c>
      <c r="J822">
        <f ca="1">'Fuel Costs'!$H187*J383</f>
        <v>0</v>
      </c>
      <c r="K822">
        <f ca="1">'Fuel Costs'!$H187*K383</f>
        <v>0</v>
      </c>
      <c r="L822">
        <f ca="1">'Fuel Costs'!$H187*L383</f>
        <v>0</v>
      </c>
      <c r="M822">
        <f ca="1">'Fuel Costs'!$H187*M383</f>
        <v>0</v>
      </c>
      <c r="N822">
        <f ca="1">'Fuel Costs'!$H187*N383</f>
        <v>0</v>
      </c>
      <c r="O822">
        <f ca="1">'Fuel Costs'!$H187*O383</f>
        <v>0</v>
      </c>
      <c r="P822">
        <f ca="1">'Fuel Costs'!$H187*P383</f>
        <v>0</v>
      </c>
      <c r="Q822">
        <f ca="1">'Fuel Costs'!$H187*Q383</f>
        <v>0</v>
      </c>
      <c r="R822">
        <f ca="1">'Fuel Costs'!$H187*R383</f>
        <v>0</v>
      </c>
      <c r="S822">
        <f ca="1">'Fuel Costs'!$H187*S383</f>
        <v>0</v>
      </c>
      <c r="T822">
        <f ca="1">'Fuel Costs'!$H187*T383</f>
        <v>0</v>
      </c>
      <c r="U822">
        <f ca="1">'Fuel Costs'!$H187*U383</f>
        <v>0</v>
      </c>
      <c r="V822">
        <f ca="1">'Fuel Costs'!$H187*V383</f>
        <v>0</v>
      </c>
      <c r="W822">
        <f ca="1">'Fuel Costs'!$H187*W383</f>
        <v>0</v>
      </c>
      <c r="X822">
        <f ca="1">'Fuel Costs'!$H187*X383</f>
        <v>0</v>
      </c>
      <c r="Y822">
        <f ca="1">'Fuel Costs'!$H187*Y383</f>
        <v>0</v>
      </c>
      <c r="Z822">
        <f ca="1">'Fuel Costs'!$H187*Z383</f>
        <v>0</v>
      </c>
      <c r="AA822">
        <f ca="1">'Fuel Costs'!$H187*AA383</f>
        <v>0</v>
      </c>
      <c r="AB822">
        <f ca="1">'Fuel Costs'!$H187*AB383</f>
        <v>0</v>
      </c>
      <c r="AC822">
        <f ca="1">'Fuel Costs'!$H187*AC383</f>
        <v>0</v>
      </c>
    </row>
    <row r="823" spans="3:29">
      <c r="C823" t="str">
        <f t="shared" si="188"/>
        <v>-</v>
      </c>
      <c r="D823">
        <f>'Fuel Costs'!$H188*D384</f>
        <v>0</v>
      </c>
      <c r="E823">
        <f>'Fuel Costs'!$H188*E384</f>
        <v>0</v>
      </c>
      <c r="F823">
        <f>'Fuel Costs'!$H188*F384</f>
        <v>0</v>
      </c>
      <c r="G823">
        <f>'Fuel Costs'!$H188*G384</f>
        <v>0</v>
      </c>
      <c r="H823">
        <f>'Fuel Costs'!$H188*H384</f>
        <v>0</v>
      </c>
      <c r="I823">
        <f ca="1">'Fuel Costs'!$H188*I384</f>
        <v>0</v>
      </c>
      <c r="J823">
        <f ca="1">'Fuel Costs'!$H188*J384</f>
        <v>0</v>
      </c>
      <c r="K823">
        <f ca="1">'Fuel Costs'!$H188*K384</f>
        <v>0</v>
      </c>
      <c r="L823">
        <f ca="1">'Fuel Costs'!$H188*L384</f>
        <v>0</v>
      </c>
      <c r="M823">
        <f ca="1">'Fuel Costs'!$H188*M384</f>
        <v>0</v>
      </c>
      <c r="N823">
        <f ca="1">'Fuel Costs'!$H188*N384</f>
        <v>0</v>
      </c>
      <c r="O823">
        <f ca="1">'Fuel Costs'!$H188*O384</f>
        <v>0</v>
      </c>
      <c r="P823">
        <f ca="1">'Fuel Costs'!$H188*P384</f>
        <v>0</v>
      </c>
      <c r="Q823">
        <f ca="1">'Fuel Costs'!$H188*Q384</f>
        <v>0</v>
      </c>
      <c r="R823">
        <f ca="1">'Fuel Costs'!$H188*R384</f>
        <v>0</v>
      </c>
      <c r="S823">
        <f ca="1">'Fuel Costs'!$H188*S384</f>
        <v>0</v>
      </c>
      <c r="T823">
        <f ca="1">'Fuel Costs'!$H188*T384</f>
        <v>0</v>
      </c>
      <c r="U823">
        <f ca="1">'Fuel Costs'!$H188*U384</f>
        <v>0</v>
      </c>
      <c r="V823">
        <f ca="1">'Fuel Costs'!$H188*V384</f>
        <v>0</v>
      </c>
      <c r="W823">
        <f ca="1">'Fuel Costs'!$H188*W384</f>
        <v>0</v>
      </c>
      <c r="X823">
        <f ca="1">'Fuel Costs'!$H188*X384</f>
        <v>0</v>
      </c>
      <c r="Y823">
        <f ca="1">'Fuel Costs'!$H188*Y384</f>
        <v>0</v>
      </c>
      <c r="Z823">
        <f ca="1">'Fuel Costs'!$H188*Z384</f>
        <v>0</v>
      </c>
      <c r="AA823">
        <f ca="1">'Fuel Costs'!$H188*AA384</f>
        <v>0</v>
      </c>
      <c r="AB823">
        <f ca="1">'Fuel Costs'!$H188*AB384</f>
        <v>0</v>
      </c>
      <c r="AC823">
        <f ca="1">'Fuel Costs'!$H188*AC384</f>
        <v>0</v>
      </c>
    </row>
    <row r="824" spans="3:29">
      <c r="C824" t="str">
        <f t="shared" si="188"/>
        <v>-</v>
      </c>
      <c r="D824">
        <f>'Fuel Costs'!$H189*D385</f>
        <v>0</v>
      </c>
      <c r="E824">
        <f>'Fuel Costs'!$H189*E385</f>
        <v>0</v>
      </c>
      <c r="F824">
        <f>'Fuel Costs'!$H189*F385</f>
        <v>0</v>
      </c>
      <c r="G824">
        <f>'Fuel Costs'!$H189*G385</f>
        <v>0</v>
      </c>
      <c r="H824">
        <f>'Fuel Costs'!$H189*H385</f>
        <v>0</v>
      </c>
      <c r="I824">
        <f ca="1">'Fuel Costs'!$H189*I385</f>
        <v>0</v>
      </c>
      <c r="J824">
        <f ca="1">'Fuel Costs'!$H189*J385</f>
        <v>0</v>
      </c>
      <c r="K824">
        <f ca="1">'Fuel Costs'!$H189*K385</f>
        <v>0</v>
      </c>
      <c r="L824">
        <f ca="1">'Fuel Costs'!$H189*L385</f>
        <v>0</v>
      </c>
      <c r="M824">
        <f ca="1">'Fuel Costs'!$H189*M385</f>
        <v>0</v>
      </c>
      <c r="N824">
        <f ca="1">'Fuel Costs'!$H189*N385</f>
        <v>0</v>
      </c>
      <c r="O824">
        <f ca="1">'Fuel Costs'!$H189*O385</f>
        <v>0</v>
      </c>
      <c r="P824">
        <f ca="1">'Fuel Costs'!$H189*P385</f>
        <v>0</v>
      </c>
      <c r="Q824">
        <f ca="1">'Fuel Costs'!$H189*Q385</f>
        <v>0</v>
      </c>
      <c r="R824">
        <f ca="1">'Fuel Costs'!$H189*R385</f>
        <v>0</v>
      </c>
      <c r="S824">
        <f ca="1">'Fuel Costs'!$H189*S385</f>
        <v>0</v>
      </c>
      <c r="T824">
        <f ca="1">'Fuel Costs'!$H189*T385</f>
        <v>0</v>
      </c>
      <c r="U824">
        <f ca="1">'Fuel Costs'!$H189*U385</f>
        <v>0</v>
      </c>
      <c r="V824">
        <f ca="1">'Fuel Costs'!$H189*V385</f>
        <v>0</v>
      </c>
      <c r="W824">
        <f ca="1">'Fuel Costs'!$H189*W385</f>
        <v>0</v>
      </c>
      <c r="X824">
        <f ca="1">'Fuel Costs'!$H189*X385</f>
        <v>0</v>
      </c>
      <c r="Y824">
        <f ca="1">'Fuel Costs'!$H189*Y385</f>
        <v>0</v>
      </c>
      <c r="Z824">
        <f ca="1">'Fuel Costs'!$H189*Z385</f>
        <v>0</v>
      </c>
      <c r="AA824">
        <f ca="1">'Fuel Costs'!$H189*AA385</f>
        <v>0</v>
      </c>
      <c r="AB824">
        <f ca="1">'Fuel Costs'!$H189*AB385</f>
        <v>0</v>
      </c>
      <c r="AC824">
        <f ca="1">'Fuel Costs'!$H189*AC385</f>
        <v>0</v>
      </c>
    </row>
    <row r="825" spans="3:29">
      <c r="C825" t="str">
        <f t="shared" si="188"/>
        <v>Pumped storage</v>
      </c>
      <c r="D825">
        <f>'Fuel Costs'!$H190*D386</f>
        <v>0</v>
      </c>
      <c r="E825">
        <f>'Fuel Costs'!$H190*E386</f>
        <v>0</v>
      </c>
      <c r="F825">
        <f>'Fuel Costs'!$H190*F386</f>
        <v>0</v>
      </c>
      <c r="G825">
        <f>'Fuel Costs'!$H190*G386</f>
        <v>0</v>
      </c>
      <c r="H825">
        <f>'Fuel Costs'!$H190*H386</f>
        <v>0</v>
      </c>
      <c r="I825">
        <f ca="1">'Fuel Costs'!$H190*I386</f>
        <v>0</v>
      </c>
      <c r="J825">
        <f ca="1">'Fuel Costs'!$H190*J386</f>
        <v>0</v>
      </c>
      <c r="K825">
        <f ca="1">'Fuel Costs'!$H190*K386</f>
        <v>0</v>
      </c>
      <c r="L825">
        <f ca="1">'Fuel Costs'!$H190*L386</f>
        <v>0</v>
      </c>
      <c r="M825">
        <f ca="1">'Fuel Costs'!$H190*M386</f>
        <v>0</v>
      </c>
      <c r="N825">
        <f ca="1">'Fuel Costs'!$H190*N386</f>
        <v>0</v>
      </c>
      <c r="O825">
        <f ca="1">'Fuel Costs'!$H190*O386</f>
        <v>0</v>
      </c>
      <c r="P825">
        <f ca="1">'Fuel Costs'!$H190*P386</f>
        <v>0</v>
      </c>
      <c r="Q825">
        <f ca="1">'Fuel Costs'!$H190*Q386</f>
        <v>0</v>
      </c>
      <c r="R825">
        <f ca="1">'Fuel Costs'!$H190*R386</f>
        <v>0</v>
      </c>
      <c r="S825">
        <f ca="1">'Fuel Costs'!$H190*S386</f>
        <v>0</v>
      </c>
      <c r="T825">
        <f ca="1">'Fuel Costs'!$H190*T386</f>
        <v>0</v>
      </c>
      <c r="U825">
        <f ca="1">'Fuel Costs'!$H190*U386</f>
        <v>0</v>
      </c>
      <c r="V825">
        <f ca="1">'Fuel Costs'!$H190*V386</f>
        <v>0</v>
      </c>
      <c r="W825">
        <f ca="1">'Fuel Costs'!$H190*W386</f>
        <v>0</v>
      </c>
      <c r="X825">
        <f ca="1">'Fuel Costs'!$H190*X386</f>
        <v>0</v>
      </c>
      <c r="Y825">
        <f ca="1">'Fuel Costs'!$H190*Y386</f>
        <v>0</v>
      </c>
      <c r="Z825">
        <f ca="1">'Fuel Costs'!$H190*Z386</f>
        <v>0</v>
      </c>
      <c r="AA825">
        <f ca="1">'Fuel Costs'!$H190*AA386</f>
        <v>0</v>
      </c>
      <c r="AB825">
        <f ca="1">'Fuel Costs'!$H190*AB386</f>
        <v>0</v>
      </c>
      <c r="AC825">
        <f ca="1">'Fuel Costs'!$H190*AC386</f>
        <v>0</v>
      </c>
    </row>
    <row r="826" spans="3:29">
      <c r="C826" s="4" t="s">
        <v>5</v>
      </c>
      <c r="D826">
        <f>SUM(D806:D825)</f>
        <v>0.68236889703791037</v>
      </c>
      <c r="E826">
        <f t="shared" ref="E826:AC826" si="189">SUM(E806:E825)</f>
        <v>0.68236889703791048</v>
      </c>
      <c r="F826">
        <f t="shared" si="189"/>
        <v>0.70335130092789899</v>
      </c>
      <c r="G826">
        <f t="shared" si="189"/>
        <v>0.71066038253707231</v>
      </c>
      <c r="H826">
        <f t="shared" si="189"/>
        <v>0.71066038253707231</v>
      </c>
      <c r="I826">
        <f t="shared" ca="1" si="189"/>
        <v>0.73188772763380827</v>
      </c>
      <c r="J826">
        <f t="shared" ca="1" si="189"/>
        <v>0.74610241993390647</v>
      </c>
      <c r="K826">
        <f t="shared" ca="1" si="189"/>
        <v>0.76264180151996508</v>
      </c>
      <c r="L826">
        <f t="shared" ca="1" si="189"/>
        <v>0.78154535438482098</v>
      </c>
      <c r="M826">
        <f t="shared" ca="1" si="189"/>
        <v>0.80483763878972814</v>
      </c>
      <c r="N826">
        <f t="shared" ca="1" si="189"/>
        <v>0.82282311927931906</v>
      </c>
      <c r="O826">
        <f t="shared" ca="1" si="189"/>
        <v>0.84055300919683384</v>
      </c>
      <c r="P826">
        <f t="shared" ca="1" si="189"/>
        <v>0.85186539581120768</v>
      </c>
      <c r="Q826">
        <f t="shared" ca="1" si="189"/>
        <v>0.85841036754698341</v>
      </c>
      <c r="R826">
        <f t="shared" ca="1" si="189"/>
        <v>0.85625359260802447</v>
      </c>
      <c r="S826">
        <f t="shared" ca="1" si="189"/>
        <v>0.84637738596380152</v>
      </c>
      <c r="T826">
        <f t="shared" ca="1" si="189"/>
        <v>0.82801750484276582</v>
      </c>
      <c r="U826">
        <f t="shared" ca="1" si="189"/>
        <v>0.82085859988672083</v>
      </c>
      <c r="V826">
        <f t="shared" ca="1" si="189"/>
        <v>0.7994692344290345</v>
      </c>
      <c r="W826">
        <f t="shared" ca="1" si="189"/>
        <v>0.77896829851903782</v>
      </c>
      <c r="X826">
        <f t="shared" ca="1" si="189"/>
        <v>0.7593134980998254</v>
      </c>
      <c r="Y826">
        <f t="shared" ca="1" si="189"/>
        <v>0.74128322579940775</v>
      </c>
      <c r="Z826">
        <f t="shared" ca="1" si="189"/>
        <v>0.71942181914353787</v>
      </c>
      <c r="AA826">
        <f t="shared" ca="1" si="189"/>
        <v>0.69516744424846733</v>
      </c>
      <c r="AB826">
        <f t="shared" ca="1" si="189"/>
        <v>0.66863165882757236</v>
      </c>
      <c r="AC826">
        <f t="shared" ca="1" si="189"/>
        <v>0.64375463443541514</v>
      </c>
    </row>
    <row r="828" spans="3:29">
      <c r="C828" s="4" t="s">
        <v>165</v>
      </c>
    </row>
    <row r="829" spans="3:29">
      <c r="C829" t="str">
        <f>C8</f>
        <v>Existing coal Large</v>
      </c>
      <c r="D829">
        <f>'Fuel Costs'!$I171*D367</f>
        <v>4.246277530852656E-2</v>
      </c>
      <c r="E829">
        <f>'Fuel Costs'!$I171*E367</f>
        <v>4.246277530852656E-2</v>
      </c>
      <c r="F829">
        <f>'Fuel Costs'!$I171*F367</f>
        <v>4.3861602234525808E-2</v>
      </c>
      <c r="G829">
        <f>'Fuel Costs'!$I171*G367</f>
        <v>4.4348874341804019E-2</v>
      </c>
      <c r="H829">
        <f>'Fuel Costs'!$I171*H367</f>
        <v>4.4348874341804019E-2</v>
      </c>
      <c r="I829">
        <f ca="1">'Fuel Costs'!$I171*I367</f>
        <v>4.5395867258590662E-2</v>
      </c>
      <c r="J829">
        <f ca="1">'Fuel Costs'!$I171*J367</f>
        <v>4.6081142868467435E-2</v>
      </c>
      <c r="K829">
        <f ca="1">'Fuel Costs'!$I171*K367</f>
        <v>4.6854980162046048E-2</v>
      </c>
      <c r="L829">
        <f ca="1">'Fuel Costs'!$I171*L367</f>
        <v>4.7457640728719185E-2</v>
      </c>
      <c r="M829">
        <f ca="1">'Fuel Costs'!$I171*M367</f>
        <v>4.7932505844527143E-2</v>
      </c>
      <c r="N829">
        <f ca="1">'Fuel Costs'!$I171*N367</f>
        <v>4.7932505844527143E-2</v>
      </c>
      <c r="O829">
        <f ca="1">'Fuel Costs'!$I171*O367</f>
        <v>4.7932505844527143E-2</v>
      </c>
      <c r="P829">
        <f ca="1">'Fuel Costs'!$I171*P367</f>
        <v>4.7932505844527143E-2</v>
      </c>
      <c r="Q829">
        <f ca="1">'Fuel Costs'!$I171*Q367</f>
        <v>4.7932505844527143E-2</v>
      </c>
      <c r="R829">
        <f ca="1">'Fuel Costs'!$I171*R367</f>
        <v>4.7932505844527143E-2</v>
      </c>
      <c r="S829">
        <f ca="1">'Fuel Costs'!$I171*S367</f>
        <v>4.7932505844527143E-2</v>
      </c>
      <c r="T829">
        <f ca="1">'Fuel Costs'!$I171*T367</f>
        <v>4.7932505844527143E-2</v>
      </c>
      <c r="U829">
        <f ca="1">'Fuel Costs'!$I171*U367</f>
        <v>4.7932505844527143E-2</v>
      </c>
      <c r="V829">
        <f ca="1">'Fuel Costs'!$I171*V367</f>
        <v>4.6811978030413148E-2</v>
      </c>
      <c r="W829">
        <f ca="1">'Fuel Costs'!$I171*W367</f>
        <v>4.54452489697467E-2</v>
      </c>
      <c r="X829">
        <f ca="1">'Fuel Costs'!$I171*X367</f>
        <v>4.4345944414789958E-2</v>
      </c>
      <c r="Y829">
        <f ca="1">'Fuel Costs'!$I171*Y367</f>
        <v>4.2104343521204214E-2</v>
      </c>
      <c r="Z829">
        <f ca="1">'Fuel Costs'!$I171*Z367</f>
        <v>3.9862742627618464E-2</v>
      </c>
      <c r="AA829">
        <f ca="1">'Fuel Costs'!$I171*AA367</f>
        <v>3.7149225756435728E-2</v>
      </c>
      <c r="AB829">
        <f ca="1">'Fuel Costs'!$I171*AB367</f>
        <v>3.1722192014070241E-2</v>
      </c>
      <c r="AC829">
        <f ca="1">'Fuel Costs'!$I171*AC367</f>
        <v>2.9008675142887495E-2</v>
      </c>
    </row>
    <row r="830" spans="3:29">
      <c r="C830" t="str">
        <f t="shared" ref="C830:C848" si="190">C9</f>
        <v>Existing coal Small</v>
      </c>
      <c r="D830">
        <f>'Fuel Costs'!$I172*D368</f>
        <v>2.9293757961155967E-3</v>
      </c>
      <c r="E830">
        <f>'Fuel Costs'!$I172*E368</f>
        <v>2.9293757961155967E-3</v>
      </c>
      <c r="F830">
        <f>'Fuel Costs'!$I172*F368</f>
        <v>2.9293757961155967E-3</v>
      </c>
      <c r="G830">
        <f>'Fuel Costs'!$I172*G368</f>
        <v>2.9293757961155967E-3</v>
      </c>
      <c r="H830">
        <f>'Fuel Costs'!$I172*H368</f>
        <v>2.9293757961155967E-3</v>
      </c>
      <c r="I830">
        <f ca="1">'Fuel Costs'!$I172*I368</f>
        <v>3.2975392191113557E-3</v>
      </c>
      <c r="J830">
        <f ca="1">'Fuel Costs'!$I172*J368</f>
        <v>3.5153108485261233E-3</v>
      </c>
      <c r="K830">
        <f ca="1">'Fuel Costs'!$I172*K368</f>
        <v>3.5153108485261233E-3</v>
      </c>
      <c r="L830">
        <f ca="1">'Fuel Costs'!$I172*L368</f>
        <v>3.5153108485261233E-3</v>
      </c>
      <c r="M830">
        <f ca="1">'Fuel Costs'!$I172*M368</f>
        <v>3.5153108485261233E-3</v>
      </c>
      <c r="N830">
        <f ca="1">'Fuel Costs'!$I172*N368</f>
        <v>3.5153108485261233E-3</v>
      </c>
      <c r="O830">
        <f ca="1">'Fuel Costs'!$I172*O368</f>
        <v>3.4950968977759908E-3</v>
      </c>
      <c r="P830">
        <f ca="1">'Fuel Costs'!$I172*P368</f>
        <v>3.4748829470258578E-3</v>
      </c>
      <c r="Q830">
        <f ca="1">'Fuel Costs'!$I172*Q368</f>
        <v>3.4479310126923472E-3</v>
      </c>
      <c r="R830">
        <f ca="1">'Fuel Costs'!$I172*R368</f>
        <v>3.4209790783588357E-3</v>
      </c>
      <c r="S830">
        <f ca="1">'Fuel Costs'!$I172*S368</f>
        <v>2.9088923260221287E-3</v>
      </c>
      <c r="T830">
        <f ca="1">'Fuel Costs'!$I172*T368</f>
        <v>2.3968055736854213E-3</v>
      </c>
      <c r="U830">
        <f ca="1">'Fuel Costs'!$I172*U368</f>
        <v>2.3968055736854213E-3</v>
      </c>
      <c r="V830">
        <f ca="1">'Fuel Costs'!$I172*V368</f>
        <v>2.3968055736854213E-3</v>
      </c>
      <c r="W830">
        <f ca="1">'Fuel Costs'!$I172*W368</f>
        <v>2.3968055736854213E-3</v>
      </c>
      <c r="X830">
        <f ca="1">'Fuel Costs'!$I172*X368</f>
        <v>2.160856361892385E-3</v>
      </c>
      <c r="Y830">
        <f ca="1">'Fuel Costs'!$I172*Y368</f>
        <v>1.9249071500993492E-3</v>
      </c>
      <c r="Z830">
        <f ca="1">'Fuel Costs'!$I172*Z368</f>
        <v>1.9249071500993492E-3</v>
      </c>
      <c r="AA830">
        <f ca="1">'Fuel Costs'!$I172*AA368</f>
        <v>1.9249071500993492E-3</v>
      </c>
      <c r="AB830">
        <f ca="1">'Fuel Costs'!$I172*AB368</f>
        <v>1.9249071500993492E-3</v>
      </c>
      <c r="AC830">
        <f ca="1">'Fuel Costs'!$I172*AC368</f>
        <v>1.9249071500993492E-3</v>
      </c>
    </row>
    <row r="831" spans="3:29">
      <c r="C831" t="str">
        <f t="shared" si="190"/>
        <v>OCGT liquid fuels</v>
      </c>
      <c r="D831">
        <f>'Fuel Costs'!$I173*D369</f>
        <v>1.114972851208507E-4</v>
      </c>
      <c r="E831">
        <f>'Fuel Costs'!$I173*E369</f>
        <v>1.114972851208507E-4</v>
      </c>
      <c r="F831">
        <f>'Fuel Costs'!$I173*F369</f>
        <v>1.114972851208507E-4</v>
      </c>
      <c r="G831">
        <f>'Fuel Costs'!$I173*G369</f>
        <v>1.114972851208507E-4</v>
      </c>
      <c r="H831">
        <f>'Fuel Costs'!$I173*H369</f>
        <v>1.114972851208507E-4</v>
      </c>
      <c r="I831">
        <f ca="1">'Fuel Costs'!$I173*I369</f>
        <v>1.114972851208507E-4</v>
      </c>
      <c r="J831">
        <f ca="1">'Fuel Costs'!$I173*J369</f>
        <v>1.6167106342523352E-4</v>
      </c>
      <c r="K831">
        <f ca="1">'Fuel Costs'!$I173*K369</f>
        <v>1.6167106342523352E-4</v>
      </c>
      <c r="L831">
        <f ca="1">'Fuel Costs'!$I173*L369</f>
        <v>1.6167106342523352E-4</v>
      </c>
      <c r="M831">
        <f ca="1">'Fuel Costs'!$I173*M369</f>
        <v>1.6167106342523352E-4</v>
      </c>
      <c r="N831">
        <f ca="1">'Fuel Costs'!$I173*N369</f>
        <v>1.6167106342523352E-4</v>
      </c>
      <c r="O831">
        <f ca="1">'Fuel Costs'!$I173*O369</f>
        <v>1.6167106342523352E-4</v>
      </c>
      <c r="P831">
        <f ca="1">'Fuel Costs'!$I173*P369</f>
        <v>1.6167106342523352E-4</v>
      </c>
      <c r="Q831">
        <f ca="1">'Fuel Costs'!$I173*Q369</f>
        <v>1.6167106342523352E-4</v>
      </c>
      <c r="R831">
        <f ca="1">'Fuel Costs'!$I173*R369</f>
        <v>1.6167106342523352E-4</v>
      </c>
      <c r="S831">
        <f ca="1">'Fuel Costs'!$I173*S369</f>
        <v>1.6167106342523352E-4</v>
      </c>
      <c r="T831">
        <f ca="1">'Fuel Costs'!$I173*T369</f>
        <v>1.6167106342523352E-4</v>
      </c>
      <c r="U831">
        <f ca="1">'Fuel Costs'!$I173*U369</f>
        <v>1.6167106342523352E-4</v>
      </c>
      <c r="V831">
        <f ca="1">'Fuel Costs'!$I173*V369</f>
        <v>1.6167106342523352E-4</v>
      </c>
      <c r="W831">
        <f ca="1">'Fuel Costs'!$I173*W369</f>
        <v>1.6167106342523352E-4</v>
      </c>
      <c r="X831">
        <f ca="1">'Fuel Costs'!$I173*X369</f>
        <v>1.6167106342523352E-4</v>
      </c>
      <c r="Y831">
        <f ca="1">'Fuel Costs'!$I173*Y369</f>
        <v>1.9512024896148878E-4</v>
      </c>
      <c r="Z831">
        <f ca="1">'Fuel Costs'!$I173*Z369</f>
        <v>1.9512024896148878E-4</v>
      </c>
      <c r="AA831">
        <f ca="1">'Fuel Costs'!$I173*AA369</f>
        <v>1.9512024896148878E-4</v>
      </c>
      <c r="AB831">
        <f ca="1">'Fuel Costs'!$I173*AB369</f>
        <v>2.3971916300982905E-4</v>
      </c>
      <c r="AC831">
        <f ca="1">'Fuel Costs'!$I173*AC369</f>
        <v>2.7637389549330869E-4</v>
      </c>
    </row>
    <row r="832" spans="3:29">
      <c r="C832" t="str">
        <f t="shared" si="190"/>
        <v>PWR nuclear</v>
      </c>
      <c r="D832">
        <f>'Fuel Costs'!$I174*D370</f>
        <v>0</v>
      </c>
      <c r="E832">
        <f>'Fuel Costs'!$I174*E370</f>
        <v>0</v>
      </c>
      <c r="F832">
        <f>'Fuel Costs'!$I174*F370</f>
        <v>0</v>
      </c>
      <c r="G832">
        <f>'Fuel Costs'!$I174*G370</f>
        <v>0</v>
      </c>
      <c r="H832">
        <f>'Fuel Costs'!$I174*H370</f>
        <v>0</v>
      </c>
      <c r="I832">
        <f ca="1">'Fuel Costs'!$I174*I370</f>
        <v>0</v>
      </c>
      <c r="J832">
        <f ca="1">'Fuel Costs'!$I174*J370</f>
        <v>0</v>
      </c>
      <c r="K832">
        <f ca="1">'Fuel Costs'!$I174*K370</f>
        <v>0</v>
      </c>
      <c r="L832">
        <f ca="1">'Fuel Costs'!$I174*L370</f>
        <v>0</v>
      </c>
      <c r="M832">
        <f ca="1">'Fuel Costs'!$I174*M370</f>
        <v>0</v>
      </c>
      <c r="N832">
        <f ca="1">'Fuel Costs'!$I174*N370</f>
        <v>0</v>
      </c>
      <c r="O832">
        <f ca="1">'Fuel Costs'!$I174*O370</f>
        <v>0</v>
      </c>
      <c r="P832">
        <f ca="1">'Fuel Costs'!$I174*P370</f>
        <v>0</v>
      </c>
      <c r="Q832">
        <f ca="1">'Fuel Costs'!$I174*Q370</f>
        <v>0</v>
      </c>
      <c r="R832">
        <f ca="1">'Fuel Costs'!$I174*R370</f>
        <v>0</v>
      </c>
      <c r="S832">
        <f ca="1">'Fuel Costs'!$I174*S370</f>
        <v>0</v>
      </c>
      <c r="T832">
        <f ca="1">'Fuel Costs'!$I174*T370</f>
        <v>0</v>
      </c>
      <c r="U832">
        <f ca="1">'Fuel Costs'!$I174*U370</f>
        <v>0</v>
      </c>
      <c r="V832">
        <f ca="1">'Fuel Costs'!$I174*V370</f>
        <v>0</v>
      </c>
      <c r="W832">
        <f ca="1">'Fuel Costs'!$I174*W370</f>
        <v>0</v>
      </c>
      <c r="X832">
        <f ca="1">'Fuel Costs'!$I174*X370</f>
        <v>0</v>
      </c>
      <c r="Y832">
        <f ca="1">'Fuel Costs'!$I174*Y370</f>
        <v>0</v>
      </c>
      <c r="Z832">
        <f ca="1">'Fuel Costs'!$I174*Z370</f>
        <v>0</v>
      </c>
      <c r="AA832">
        <f ca="1">'Fuel Costs'!$I174*AA370</f>
        <v>0</v>
      </c>
      <c r="AB832">
        <f ca="1">'Fuel Costs'!$I174*AB370</f>
        <v>0</v>
      </c>
      <c r="AC832">
        <f ca="1">'Fuel Costs'!$I174*AC370</f>
        <v>0</v>
      </c>
    </row>
    <row r="833" spans="3:29">
      <c r="C833" t="str">
        <f t="shared" si="190"/>
        <v>Hydro</v>
      </c>
      <c r="D833">
        <f>'Fuel Costs'!$I175*D371</f>
        <v>0</v>
      </c>
      <c r="E833">
        <f>'Fuel Costs'!$I175*E371</f>
        <v>0</v>
      </c>
      <c r="F833">
        <f>'Fuel Costs'!$I175*F371</f>
        <v>0</v>
      </c>
      <c r="G833">
        <f>'Fuel Costs'!$I175*G371</f>
        <v>0</v>
      </c>
      <c r="H833">
        <f>'Fuel Costs'!$I175*H371</f>
        <v>0</v>
      </c>
      <c r="I833">
        <f ca="1">'Fuel Costs'!$I175*I371</f>
        <v>0</v>
      </c>
      <c r="J833">
        <f ca="1">'Fuel Costs'!$I175*J371</f>
        <v>0</v>
      </c>
      <c r="K833">
        <f ca="1">'Fuel Costs'!$I175*K371</f>
        <v>0</v>
      </c>
      <c r="L833">
        <f ca="1">'Fuel Costs'!$I175*L371</f>
        <v>0</v>
      </c>
      <c r="M833">
        <f ca="1">'Fuel Costs'!$I175*M371</f>
        <v>0</v>
      </c>
      <c r="N833">
        <f ca="1">'Fuel Costs'!$I175*N371</f>
        <v>0</v>
      </c>
      <c r="O833">
        <f ca="1">'Fuel Costs'!$I175*O371</f>
        <v>0</v>
      </c>
      <c r="P833">
        <f ca="1">'Fuel Costs'!$I175*P371</f>
        <v>0</v>
      </c>
      <c r="Q833">
        <f ca="1">'Fuel Costs'!$I175*Q371</f>
        <v>0</v>
      </c>
      <c r="R833">
        <f ca="1">'Fuel Costs'!$I175*R371</f>
        <v>0</v>
      </c>
      <c r="S833">
        <f ca="1">'Fuel Costs'!$I175*S371</f>
        <v>0</v>
      </c>
      <c r="T833">
        <f ca="1">'Fuel Costs'!$I175*T371</f>
        <v>0</v>
      </c>
      <c r="U833">
        <f ca="1">'Fuel Costs'!$I175*U371</f>
        <v>0</v>
      </c>
      <c r="V833">
        <f ca="1">'Fuel Costs'!$I175*V371</f>
        <v>0</v>
      </c>
      <c r="W833">
        <f ca="1">'Fuel Costs'!$I175*W371</f>
        <v>0</v>
      </c>
      <c r="X833">
        <f ca="1">'Fuel Costs'!$I175*X371</f>
        <v>0</v>
      </c>
      <c r="Y833">
        <f ca="1">'Fuel Costs'!$I175*Y371</f>
        <v>0</v>
      </c>
      <c r="Z833">
        <f ca="1">'Fuel Costs'!$I175*Z371</f>
        <v>0</v>
      </c>
      <c r="AA833">
        <f ca="1">'Fuel Costs'!$I175*AA371</f>
        <v>0</v>
      </c>
      <c r="AB833">
        <f ca="1">'Fuel Costs'!$I175*AB371</f>
        <v>0</v>
      </c>
      <c r="AC833">
        <f ca="1">'Fuel Costs'!$I175*AC371</f>
        <v>0</v>
      </c>
    </row>
    <row r="834" spans="3:29">
      <c r="C834" t="str">
        <f t="shared" si="190"/>
        <v>Landfill gas</v>
      </c>
      <c r="D834">
        <f>'Fuel Costs'!$I176*D372</f>
        <v>0</v>
      </c>
      <c r="E834">
        <f>'Fuel Costs'!$I176*E372</f>
        <v>0</v>
      </c>
      <c r="F834">
        <f>'Fuel Costs'!$I176*F372</f>
        <v>0</v>
      </c>
      <c r="G834">
        <f>'Fuel Costs'!$I176*G372</f>
        <v>0</v>
      </c>
      <c r="H834">
        <f>'Fuel Costs'!$I176*H372</f>
        <v>0</v>
      </c>
      <c r="I834">
        <f ca="1">'Fuel Costs'!$I176*I372</f>
        <v>0</v>
      </c>
      <c r="J834">
        <f ca="1">'Fuel Costs'!$I176*J372</f>
        <v>0</v>
      </c>
      <c r="K834">
        <f ca="1">'Fuel Costs'!$I176*K372</f>
        <v>0</v>
      </c>
      <c r="L834">
        <f ca="1">'Fuel Costs'!$I176*L372</f>
        <v>0</v>
      </c>
      <c r="M834">
        <f ca="1">'Fuel Costs'!$I176*M372</f>
        <v>0</v>
      </c>
      <c r="N834">
        <f ca="1">'Fuel Costs'!$I176*N372</f>
        <v>0</v>
      </c>
      <c r="O834">
        <f ca="1">'Fuel Costs'!$I176*O372</f>
        <v>0</v>
      </c>
      <c r="P834">
        <f ca="1">'Fuel Costs'!$I176*P372</f>
        <v>0</v>
      </c>
      <c r="Q834">
        <f ca="1">'Fuel Costs'!$I176*Q372</f>
        <v>0</v>
      </c>
      <c r="R834">
        <f ca="1">'Fuel Costs'!$I176*R372</f>
        <v>0</v>
      </c>
      <c r="S834">
        <f ca="1">'Fuel Costs'!$I176*S372</f>
        <v>0</v>
      </c>
      <c r="T834">
        <f ca="1">'Fuel Costs'!$I176*T372</f>
        <v>0</v>
      </c>
      <c r="U834">
        <f ca="1">'Fuel Costs'!$I176*U372</f>
        <v>0</v>
      </c>
      <c r="V834">
        <f ca="1">'Fuel Costs'!$I176*V372</f>
        <v>0</v>
      </c>
      <c r="W834">
        <f ca="1">'Fuel Costs'!$I176*W372</f>
        <v>0</v>
      </c>
      <c r="X834">
        <f ca="1">'Fuel Costs'!$I176*X372</f>
        <v>0</v>
      </c>
      <c r="Y834">
        <f ca="1">'Fuel Costs'!$I176*Y372</f>
        <v>0</v>
      </c>
      <c r="Z834">
        <f ca="1">'Fuel Costs'!$I176*Z372</f>
        <v>0</v>
      </c>
      <c r="AA834">
        <f ca="1">'Fuel Costs'!$I176*AA372</f>
        <v>0</v>
      </c>
      <c r="AB834">
        <f ca="1">'Fuel Costs'!$I176*AB372</f>
        <v>0</v>
      </c>
      <c r="AC834">
        <f ca="1">'Fuel Costs'!$I176*AC372</f>
        <v>0</v>
      </c>
    </row>
    <row r="835" spans="3:29">
      <c r="C835" t="str">
        <f t="shared" si="190"/>
        <v>Biomass</v>
      </c>
      <c r="D835">
        <f>'Fuel Costs'!$I177*D373</f>
        <v>0</v>
      </c>
      <c r="E835">
        <f>'Fuel Costs'!$I177*E373</f>
        <v>0</v>
      </c>
      <c r="F835">
        <f>'Fuel Costs'!$I177*F373</f>
        <v>0</v>
      </c>
      <c r="G835">
        <f>'Fuel Costs'!$I177*G373</f>
        <v>0</v>
      </c>
      <c r="H835">
        <f>'Fuel Costs'!$I177*H373</f>
        <v>0</v>
      </c>
      <c r="I835">
        <f ca="1">'Fuel Costs'!$I177*I373</f>
        <v>0</v>
      </c>
      <c r="J835">
        <f ca="1">'Fuel Costs'!$I177*J373</f>
        <v>0</v>
      </c>
      <c r="K835">
        <f ca="1">'Fuel Costs'!$I177*K373</f>
        <v>0</v>
      </c>
      <c r="L835">
        <f ca="1">'Fuel Costs'!$I177*L373</f>
        <v>0</v>
      </c>
      <c r="M835">
        <f ca="1">'Fuel Costs'!$I177*M373</f>
        <v>0</v>
      </c>
      <c r="N835">
        <f ca="1">'Fuel Costs'!$I177*N373</f>
        <v>0</v>
      </c>
      <c r="O835">
        <f ca="1">'Fuel Costs'!$I177*O373</f>
        <v>0</v>
      </c>
      <c r="P835">
        <f ca="1">'Fuel Costs'!$I177*P373</f>
        <v>0</v>
      </c>
      <c r="Q835">
        <f ca="1">'Fuel Costs'!$I177*Q373</f>
        <v>0</v>
      </c>
      <c r="R835">
        <f ca="1">'Fuel Costs'!$I177*R373</f>
        <v>0</v>
      </c>
      <c r="S835">
        <f ca="1">'Fuel Costs'!$I177*S373</f>
        <v>0</v>
      </c>
      <c r="T835">
        <f ca="1">'Fuel Costs'!$I177*T373</f>
        <v>0</v>
      </c>
      <c r="U835">
        <f ca="1">'Fuel Costs'!$I177*U373</f>
        <v>0</v>
      </c>
      <c r="V835">
        <f ca="1">'Fuel Costs'!$I177*V373</f>
        <v>0</v>
      </c>
      <c r="W835">
        <f ca="1">'Fuel Costs'!$I177*W373</f>
        <v>0</v>
      </c>
      <c r="X835">
        <f ca="1">'Fuel Costs'!$I177*X373</f>
        <v>0</v>
      </c>
      <c r="Y835">
        <f ca="1">'Fuel Costs'!$I177*Y373</f>
        <v>0</v>
      </c>
      <c r="Z835">
        <f ca="1">'Fuel Costs'!$I177*Z373</f>
        <v>0</v>
      </c>
      <c r="AA835">
        <f ca="1">'Fuel Costs'!$I177*AA373</f>
        <v>0</v>
      </c>
      <c r="AB835">
        <f ca="1">'Fuel Costs'!$I177*AB373</f>
        <v>0</v>
      </c>
      <c r="AC835">
        <f ca="1">'Fuel Costs'!$I177*AC373</f>
        <v>0</v>
      </c>
    </row>
    <row r="836" spans="3:29">
      <c r="C836" t="str">
        <f t="shared" si="190"/>
        <v>Supercritical coal</v>
      </c>
      <c r="D836">
        <f>'Fuel Costs'!$I178*D374</f>
        <v>0</v>
      </c>
      <c r="E836">
        <f>'Fuel Costs'!$I178*E374</f>
        <v>0</v>
      </c>
      <c r="F836">
        <f>'Fuel Costs'!$I178*F374</f>
        <v>0</v>
      </c>
      <c r="G836">
        <f>'Fuel Costs'!$I178*G374</f>
        <v>0</v>
      </c>
      <c r="H836">
        <f>'Fuel Costs'!$I178*H374</f>
        <v>0</v>
      </c>
      <c r="I836">
        <f ca="1">'Fuel Costs'!$I178*I374</f>
        <v>0</v>
      </c>
      <c r="J836">
        <f ca="1">'Fuel Costs'!$I178*J374</f>
        <v>0</v>
      </c>
      <c r="K836">
        <f ca="1">'Fuel Costs'!$I178*K374</f>
        <v>3.2878814549196006E-4</v>
      </c>
      <c r="L836">
        <f ca="1">'Fuel Costs'!$I178*L374</f>
        <v>9.8636443647588017E-4</v>
      </c>
      <c r="M836">
        <f ca="1">'Fuel Costs'!$I178*M374</f>
        <v>2.0643182809950695E-3</v>
      </c>
      <c r="N836">
        <f ca="1">'Fuel Costs'!$I178*N374</f>
        <v>3.2633503136344669E-3</v>
      </c>
      <c r="O836">
        <f ca="1">'Fuel Costs'!$I178*O374</f>
        <v>4.465556925552245E-3</v>
      </c>
      <c r="P836">
        <f ca="1">'Fuel Costs'!$I178*P374</f>
        <v>5.2399299839273076E-3</v>
      </c>
      <c r="Q836">
        <f ca="1">'Fuel Costs'!$I178*Q374</f>
        <v>5.7032133673125297E-3</v>
      </c>
      <c r="R836">
        <f ca="1">'Fuel Costs'!$I178*R374</f>
        <v>5.586380305715447E-3</v>
      </c>
      <c r="S836">
        <f ca="1">'Fuel Costs'!$I178*S374</f>
        <v>5.4400532817706201E-3</v>
      </c>
      <c r="T836">
        <f ca="1">'Fuel Costs'!$I178*T374</f>
        <v>4.7281479593716111E-3</v>
      </c>
      <c r="U836">
        <f ca="1">'Fuel Costs'!$I178*U374</f>
        <v>4.2508876289686168E-3</v>
      </c>
      <c r="V836">
        <f ca="1">'Fuel Costs'!$I178*V374</f>
        <v>3.9454577459035215E-3</v>
      </c>
      <c r="W836">
        <f ca="1">'Fuel Costs'!$I178*W374</f>
        <v>3.9454577459035215E-3</v>
      </c>
      <c r="X836">
        <f ca="1">'Fuel Costs'!$I178*X374</f>
        <v>3.9703914847058156E-3</v>
      </c>
      <c r="Y836">
        <f ca="1">'Fuel Costs'!$I178*Y374</f>
        <v>5.2161908273578505E-3</v>
      </c>
      <c r="Z836">
        <f ca="1">'Fuel Costs'!$I178*Z374</f>
        <v>5.7270977481372913E-3</v>
      </c>
      <c r="AA836">
        <f ca="1">'Fuel Costs'!$I178*AA374</f>
        <v>6.4137559993595102E-3</v>
      </c>
      <c r="AB836">
        <f ca="1">'Fuel Costs'!$I178*AB374</f>
        <v>8.8584192136803314E-3</v>
      </c>
      <c r="AC836">
        <f ca="1">'Fuel Costs'!$I178*AC374</f>
        <v>9.1171114137477208E-3</v>
      </c>
    </row>
    <row r="837" spans="3:29">
      <c r="C837" t="str">
        <f t="shared" si="190"/>
        <v xml:space="preserve">Wind 30% </v>
      </c>
      <c r="D837">
        <f>'Fuel Costs'!$I179*D375</f>
        <v>0</v>
      </c>
      <c r="E837">
        <f>'Fuel Costs'!$I179*E375</f>
        <v>0</v>
      </c>
      <c r="F837">
        <f>'Fuel Costs'!$I179*F375</f>
        <v>0</v>
      </c>
      <c r="G837">
        <f>'Fuel Costs'!$I179*G375</f>
        <v>0</v>
      </c>
      <c r="H837">
        <f>'Fuel Costs'!$I179*H375</f>
        <v>0</v>
      </c>
      <c r="I837">
        <f ca="1">'Fuel Costs'!$I179*I375</f>
        <v>0</v>
      </c>
      <c r="J837">
        <f ca="1">'Fuel Costs'!$I179*J375</f>
        <v>0</v>
      </c>
      <c r="K837">
        <f ca="1">'Fuel Costs'!$I179*K375</f>
        <v>0</v>
      </c>
      <c r="L837">
        <f ca="1">'Fuel Costs'!$I179*L375</f>
        <v>0</v>
      </c>
      <c r="M837">
        <f ca="1">'Fuel Costs'!$I179*M375</f>
        <v>0</v>
      </c>
      <c r="N837">
        <f ca="1">'Fuel Costs'!$I179*N375</f>
        <v>0</v>
      </c>
      <c r="O837">
        <f ca="1">'Fuel Costs'!$I179*O375</f>
        <v>0</v>
      </c>
      <c r="P837">
        <f ca="1">'Fuel Costs'!$I179*P375</f>
        <v>0</v>
      </c>
      <c r="Q837">
        <f ca="1">'Fuel Costs'!$I179*Q375</f>
        <v>0</v>
      </c>
      <c r="R837">
        <f ca="1">'Fuel Costs'!$I179*R375</f>
        <v>0</v>
      </c>
      <c r="S837">
        <f ca="1">'Fuel Costs'!$I179*S375</f>
        <v>0</v>
      </c>
      <c r="T837">
        <f ca="1">'Fuel Costs'!$I179*T375</f>
        <v>0</v>
      </c>
      <c r="U837">
        <f ca="1">'Fuel Costs'!$I179*U375</f>
        <v>0</v>
      </c>
      <c r="V837">
        <f ca="1">'Fuel Costs'!$I179*V375</f>
        <v>0</v>
      </c>
      <c r="W837">
        <f ca="1">'Fuel Costs'!$I179*W375</f>
        <v>0</v>
      </c>
      <c r="X837">
        <f ca="1">'Fuel Costs'!$I179*X375</f>
        <v>0</v>
      </c>
      <c r="Y837">
        <f ca="1">'Fuel Costs'!$I179*Y375</f>
        <v>0</v>
      </c>
      <c r="Z837">
        <f ca="1">'Fuel Costs'!$I179*Z375</f>
        <v>0</v>
      </c>
      <c r="AA837">
        <f ca="1">'Fuel Costs'!$I179*AA375</f>
        <v>0</v>
      </c>
      <c r="AB837">
        <f ca="1">'Fuel Costs'!$I179*AB375</f>
        <v>0</v>
      </c>
      <c r="AC837">
        <f ca="1">'Fuel Costs'!$I179*AC375</f>
        <v>0</v>
      </c>
    </row>
    <row r="838" spans="3:29">
      <c r="C838" t="str">
        <f t="shared" si="190"/>
        <v>Wind 25%</v>
      </c>
      <c r="D838">
        <f>'Fuel Costs'!$I180*D376</f>
        <v>0</v>
      </c>
      <c r="E838">
        <f>'Fuel Costs'!$I180*E376</f>
        <v>0</v>
      </c>
      <c r="F838">
        <f>'Fuel Costs'!$I180*F376</f>
        <v>0</v>
      </c>
      <c r="G838">
        <f>'Fuel Costs'!$I180*G376</f>
        <v>0</v>
      </c>
      <c r="H838">
        <f>'Fuel Costs'!$I180*H376</f>
        <v>0</v>
      </c>
      <c r="I838">
        <f ca="1">'Fuel Costs'!$I180*I376</f>
        <v>0</v>
      </c>
      <c r="J838">
        <f ca="1">'Fuel Costs'!$I180*J376</f>
        <v>0</v>
      </c>
      <c r="K838">
        <f ca="1">'Fuel Costs'!$I180*K376</f>
        <v>0</v>
      </c>
      <c r="L838">
        <f ca="1">'Fuel Costs'!$I180*L376</f>
        <v>0</v>
      </c>
      <c r="M838">
        <f ca="1">'Fuel Costs'!$I180*M376</f>
        <v>0</v>
      </c>
      <c r="N838">
        <f ca="1">'Fuel Costs'!$I180*N376</f>
        <v>0</v>
      </c>
      <c r="O838">
        <f ca="1">'Fuel Costs'!$I180*O376</f>
        <v>0</v>
      </c>
      <c r="P838">
        <f ca="1">'Fuel Costs'!$I180*P376</f>
        <v>0</v>
      </c>
      <c r="Q838">
        <f ca="1">'Fuel Costs'!$I180*Q376</f>
        <v>0</v>
      </c>
      <c r="R838">
        <f ca="1">'Fuel Costs'!$I180*R376</f>
        <v>0</v>
      </c>
      <c r="S838">
        <f ca="1">'Fuel Costs'!$I180*S376</f>
        <v>0</v>
      </c>
      <c r="T838">
        <f ca="1">'Fuel Costs'!$I180*T376</f>
        <v>0</v>
      </c>
      <c r="U838">
        <f ca="1">'Fuel Costs'!$I180*U376</f>
        <v>0</v>
      </c>
      <c r="V838">
        <f ca="1">'Fuel Costs'!$I180*V376</f>
        <v>0</v>
      </c>
      <c r="W838">
        <f ca="1">'Fuel Costs'!$I180*W376</f>
        <v>0</v>
      </c>
      <c r="X838">
        <f ca="1">'Fuel Costs'!$I180*X376</f>
        <v>0</v>
      </c>
      <c r="Y838">
        <f ca="1">'Fuel Costs'!$I180*Y376</f>
        <v>0</v>
      </c>
      <c r="Z838">
        <f ca="1">'Fuel Costs'!$I180*Z376</f>
        <v>0</v>
      </c>
      <c r="AA838">
        <f ca="1">'Fuel Costs'!$I180*AA376</f>
        <v>0</v>
      </c>
      <c r="AB838">
        <f ca="1">'Fuel Costs'!$I180*AB376</f>
        <v>0</v>
      </c>
      <c r="AC838">
        <f ca="1">'Fuel Costs'!$I180*AC376</f>
        <v>0</v>
      </c>
    </row>
    <row r="839" spans="3:29">
      <c r="C839" t="str">
        <f t="shared" si="190"/>
        <v>solar thermal central reciever</v>
      </c>
      <c r="D839">
        <f>'Fuel Costs'!$I181*D377</f>
        <v>0</v>
      </c>
      <c r="E839">
        <f>'Fuel Costs'!$I181*E377</f>
        <v>0</v>
      </c>
      <c r="F839">
        <f>'Fuel Costs'!$I181*F377</f>
        <v>0</v>
      </c>
      <c r="G839">
        <f>'Fuel Costs'!$I181*G377</f>
        <v>0</v>
      </c>
      <c r="H839">
        <f>'Fuel Costs'!$I181*H377</f>
        <v>0</v>
      </c>
      <c r="I839">
        <f ca="1">'Fuel Costs'!$I181*I377</f>
        <v>0</v>
      </c>
      <c r="J839">
        <f ca="1">'Fuel Costs'!$I181*J377</f>
        <v>0</v>
      </c>
      <c r="K839">
        <f ca="1">'Fuel Costs'!$I181*K377</f>
        <v>0</v>
      </c>
      <c r="L839">
        <f ca="1">'Fuel Costs'!$I181*L377</f>
        <v>0</v>
      </c>
      <c r="M839">
        <f ca="1">'Fuel Costs'!$I181*M377</f>
        <v>0</v>
      </c>
      <c r="N839">
        <f ca="1">'Fuel Costs'!$I181*N377</f>
        <v>0</v>
      </c>
      <c r="O839">
        <f ca="1">'Fuel Costs'!$I181*O377</f>
        <v>0</v>
      </c>
      <c r="P839">
        <f ca="1">'Fuel Costs'!$I181*P377</f>
        <v>0</v>
      </c>
      <c r="Q839">
        <f ca="1">'Fuel Costs'!$I181*Q377</f>
        <v>0</v>
      </c>
      <c r="R839">
        <f ca="1">'Fuel Costs'!$I181*R377</f>
        <v>0</v>
      </c>
      <c r="S839">
        <f ca="1">'Fuel Costs'!$I181*S377</f>
        <v>0</v>
      </c>
      <c r="T839">
        <f ca="1">'Fuel Costs'!$I181*T377</f>
        <v>0</v>
      </c>
      <c r="U839">
        <f ca="1">'Fuel Costs'!$I181*U377</f>
        <v>0</v>
      </c>
      <c r="V839">
        <f ca="1">'Fuel Costs'!$I181*V377</f>
        <v>0</v>
      </c>
      <c r="W839">
        <f ca="1">'Fuel Costs'!$I181*W377</f>
        <v>0</v>
      </c>
      <c r="X839">
        <f ca="1">'Fuel Costs'!$I181*X377</f>
        <v>0</v>
      </c>
      <c r="Y839">
        <f ca="1">'Fuel Costs'!$I181*Y377</f>
        <v>0</v>
      </c>
      <c r="Z839">
        <f ca="1">'Fuel Costs'!$I181*Z377</f>
        <v>0</v>
      </c>
      <c r="AA839">
        <f ca="1">'Fuel Costs'!$I181*AA377</f>
        <v>0</v>
      </c>
      <c r="AB839">
        <f ca="1">'Fuel Costs'!$I181*AB377</f>
        <v>0</v>
      </c>
      <c r="AC839">
        <f ca="1">'Fuel Costs'!$I181*AC377</f>
        <v>0</v>
      </c>
    </row>
    <row r="840" spans="3:29">
      <c r="C840" t="str">
        <f t="shared" si="190"/>
        <v>solar thermal trough</v>
      </c>
      <c r="D840">
        <f>'Fuel Costs'!$I182*D378</f>
        <v>0</v>
      </c>
      <c r="E840">
        <f>'Fuel Costs'!$I182*E378</f>
        <v>0</v>
      </c>
      <c r="F840">
        <f>'Fuel Costs'!$I182*F378</f>
        <v>0</v>
      </c>
      <c r="G840">
        <f>'Fuel Costs'!$I182*G378</f>
        <v>0</v>
      </c>
      <c r="H840">
        <f>'Fuel Costs'!$I182*H378</f>
        <v>0</v>
      </c>
      <c r="I840">
        <f ca="1">'Fuel Costs'!$I182*I378</f>
        <v>0</v>
      </c>
      <c r="J840">
        <f ca="1">'Fuel Costs'!$I182*J378</f>
        <v>0</v>
      </c>
      <c r="K840">
        <f ca="1">'Fuel Costs'!$I182*K378</f>
        <v>0</v>
      </c>
      <c r="L840">
        <f ca="1">'Fuel Costs'!$I182*L378</f>
        <v>0</v>
      </c>
      <c r="M840">
        <f ca="1">'Fuel Costs'!$I182*M378</f>
        <v>0</v>
      </c>
      <c r="N840">
        <f ca="1">'Fuel Costs'!$I182*N378</f>
        <v>0</v>
      </c>
      <c r="O840">
        <f ca="1">'Fuel Costs'!$I182*O378</f>
        <v>0</v>
      </c>
      <c r="P840">
        <f ca="1">'Fuel Costs'!$I182*P378</f>
        <v>0</v>
      </c>
      <c r="Q840">
        <f ca="1">'Fuel Costs'!$I182*Q378</f>
        <v>0</v>
      </c>
      <c r="R840">
        <f ca="1">'Fuel Costs'!$I182*R378</f>
        <v>0</v>
      </c>
      <c r="S840">
        <f ca="1">'Fuel Costs'!$I182*S378</f>
        <v>0</v>
      </c>
      <c r="T840">
        <f ca="1">'Fuel Costs'!$I182*T378</f>
        <v>0</v>
      </c>
      <c r="U840">
        <f ca="1">'Fuel Costs'!$I182*U378</f>
        <v>0</v>
      </c>
      <c r="V840">
        <f ca="1">'Fuel Costs'!$I182*V378</f>
        <v>0</v>
      </c>
      <c r="W840">
        <f ca="1">'Fuel Costs'!$I182*W378</f>
        <v>0</v>
      </c>
      <c r="X840">
        <f ca="1">'Fuel Costs'!$I182*X378</f>
        <v>0</v>
      </c>
      <c r="Y840">
        <f ca="1">'Fuel Costs'!$I182*Y378</f>
        <v>0</v>
      </c>
      <c r="Z840">
        <f ca="1">'Fuel Costs'!$I182*Z378</f>
        <v>0</v>
      </c>
      <c r="AA840">
        <f ca="1">'Fuel Costs'!$I182*AA378</f>
        <v>0</v>
      </c>
      <c r="AB840">
        <f ca="1">'Fuel Costs'!$I182*AB378</f>
        <v>0</v>
      </c>
      <c r="AC840">
        <f ca="1">'Fuel Costs'!$I182*AC378</f>
        <v>0</v>
      </c>
    </row>
    <row r="841" spans="3:29">
      <c r="C841" t="str">
        <f t="shared" si="190"/>
        <v>solar PV</v>
      </c>
      <c r="D841">
        <f>'Fuel Costs'!$I183*D379</f>
        <v>0</v>
      </c>
      <c r="E841">
        <f>'Fuel Costs'!$I183*E379</f>
        <v>0</v>
      </c>
      <c r="F841">
        <f>'Fuel Costs'!$I183*F379</f>
        <v>0</v>
      </c>
      <c r="G841">
        <f>'Fuel Costs'!$I183*G379</f>
        <v>0</v>
      </c>
      <c r="H841">
        <f>'Fuel Costs'!$I183*H379</f>
        <v>0</v>
      </c>
      <c r="I841">
        <f ca="1">'Fuel Costs'!$I183*I379</f>
        <v>0</v>
      </c>
      <c r="J841">
        <f ca="1">'Fuel Costs'!$I183*J379</f>
        <v>0</v>
      </c>
      <c r="K841">
        <f ca="1">'Fuel Costs'!$I183*K379</f>
        <v>0</v>
      </c>
      <c r="L841">
        <f ca="1">'Fuel Costs'!$I183*L379</f>
        <v>0</v>
      </c>
      <c r="M841">
        <f ca="1">'Fuel Costs'!$I183*M379</f>
        <v>0</v>
      </c>
      <c r="N841">
        <f ca="1">'Fuel Costs'!$I183*N379</f>
        <v>0</v>
      </c>
      <c r="O841">
        <f ca="1">'Fuel Costs'!$I183*O379</f>
        <v>0</v>
      </c>
      <c r="P841">
        <f ca="1">'Fuel Costs'!$I183*P379</f>
        <v>0</v>
      </c>
      <c r="Q841">
        <f ca="1">'Fuel Costs'!$I183*Q379</f>
        <v>0</v>
      </c>
      <c r="R841">
        <f ca="1">'Fuel Costs'!$I183*R379</f>
        <v>0</v>
      </c>
      <c r="S841">
        <f ca="1">'Fuel Costs'!$I183*S379</f>
        <v>0</v>
      </c>
      <c r="T841">
        <f ca="1">'Fuel Costs'!$I183*T379</f>
        <v>0</v>
      </c>
      <c r="U841">
        <f ca="1">'Fuel Costs'!$I183*U379</f>
        <v>0</v>
      </c>
      <c r="V841">
        <f ca="1">'Fuel Costs'!$I183*V379</f>
        <v>0</v>
      </c>
      <c r="W841">
        <f ca="1">'Fuel Costs'!$I183*W379</f>
        <v>0</v>
      </c>
      <c r="X841">
        <f ca="1">'Fuel Costs'!$I183*X379</f>
        <v>0</v>
      </c>
      <c r="Y841">
        <f ca="1">'Fuel Costs'!$I183*Y379</f>
        <v>0</v>
      </c>
      <c r="Z841">
        <f ca="1">'Fuel Costs'!$I183*Z379</f>
        <v>0</v>
      </c>
      <c r="AA841">
        <f ca="1">'Fuel Costs'!$I183*AA379</f>
        <v>0</v>
      </c>
      <c r="AB841">
        <f ca="1">'Fuel Costs'!$I183*AB379</f>
        <v>0</v>
      </c>
      <c r="AC841">
        <f ca="1">'Fuel Costs'!$I183*AC379</f>
        <v>0</v>
      </c>
    </row>
    <row r="842" spans="3:29">
      <c r="C842" t="str">
        <f t="shared" si="190"/>
        <v>combined cycle gas</v>
      </c>
      <c r="D842">
        <f>'Fuel Costs'!$I184*D380</f>
        <v>0</v>
      </c>
      <c r="E842">
        <f>'Fuel Costs'!$I184*E380</f>
        <v>0</v>
      </c>
      <c r="F842">
        <f>'Fuel Costs'!$I184*F380</f>
        <v>0</v>
      </c>
      <c r="G842">
        <f>'Fuel Costs'!$I184*G380</f>
        <v>0</v>
      </c>
      <c r="H842">
        <f>'Fuel Costs'!$I184*H380</f>
        <v>0</v>
      </c>
      <c r="I842">
        <f ca="1">'Fuel Costs'!$I184*I380</f>
        <v>0</v>
      </c>
      <c r="J842">
        <f ca="1">'Fuel Costs'!$I184*J380</f>
        <v>0</v>
      </c>
      <c r="K842">
        <f ca="1">'Fuel Costs'!$I184*K380</f>
        <v>0</v>
      </c>
      <c r="L842">
        <f ca="1">'Fuel Costs'!$I184*L380</f>
        <v>0</v>
      </c>
      <c r="M842">
        <f ca="1">'Fuel Costs'!$I184*M380</f>
        <v>0</v>
      </c>
      <c r="N842">
        <f ca="1">'Fuel Costs'!$I184*N380</f>
        <v>0</v>
      </c>
      <c r="O842">
        <f ca="1">'Fuel Costs'!$I184*O380</f>
        <v>0</v>
      </c>
      <c r="P842">
        <f ca="1">'Fuel Costs'!$I184*P380</f>
        <v>0</v>
      </c>
      <c r="Q842">
        <f ca="1">'Fuel Costs'!$I184*Q380</f>
        <v>0</v>
      </c>
      <c r="R842">
        <f ca="1">'Fuel Costs'!$I184*R380</f>
        <v>0</v>
      </c>
      <c r="S842">
        <f ca="1">'Fuel Costs'!$I184*S380</f>
        <v>0</v>
      </c>
      <c r="T842">
        <f ca="1">'Fuel Costs'!$I184*T380</f>
        <v>0</v>
      </c>
      <c r="U842">
        <f ca="1">'Fuel Costs'!$I184*U380</f>
        <v>0</v>
      </c>
      <c r="V842">
        <f ca="1">'Fuel Costs'!$I184*V380</f>
        <v>0</v>
      </c>
      <c r="W842">
        <f ca="1">'Fuel Costs'!$I184*W380</f>
        <v>0</v>
      </c>
      <c r="X842">
        <f ca="1">'Fuel Costs'!$I184*X380</f>
        <v>0</v>
      </c>
      <c r="Y842">
        <f ca="1">'Fuel Costs'!$I184*Y380</f>
        <v>0</v>
      </c>
      <c r="Z842">
        <f ca="1">'Fuel Costs'!$I184*Z380</f>
        <v>5.465337248299764E-4</v>
      </c>
      <c r="AA842">
        <f ca="1">'Fuel Costs'!$I184*AA380</f>
        <v>1.3663343120749413E-3</v>
      </c>
      <c r="AB842">
        <f ca="1">'Fuel Costs'!$I184*AB380</f>
        <v>2.1861348993199056E-3</v>
      </c>
      <c r="AC842">
        <f ca="1">'Fuel Costs'!$I184*AC380</f>
        <v>2.1861348993199056E-3</v>
      </c>
    </row>
    <row r="843" spans="3:29">
      <c r="C843" t="str">
        <f t="shared" si="190"/>
        <v>PBMR</v>
      </c>
      <c r="D843">
        <f>'Fuel Costs'!$I185*D381</f>
        <v>0</v>
      </c>
      <c r="E843">
        <f>'Fuel Costs'!$I185*E381</f>
        <v>0</v>
      </c>
      <c r="F843">
        <f>'Fuel Costs'!$I185*F381</f>
        <v>0</v>
      </c>
      <c r="G843">
        <f>'Fuel Costs'!$I185*G381</f>
        <v>0</v>
      </c>
      <c r="H843">
        <f>'Fuel Costs'!$I185*H381</f>
        <v>0</v>
      </c>
      <c r="I843">
        <f ca="1">'Fuel Costs'!$I185*I381</f>
        <v>0</v>
      </c>
      <c r="J843">
        <f ca="1">'Fuel Costs'!$I185*J381</f>
        <v>0</v>
      </c>
      <c r="K843">
        <f ca="1">'Fuel Costs'!$I185*K381</f>
        <v>0</v>
      </c>
      <c r="L843">
        <f ca="1">'Fuel Costs'!$I185*L381</f>
        <v>0</v>
      </c>
      <c r="M843">
        <f ca="1">'Fuel Costs'!$I185*M381</f>
        <v>0</v>
      </c>
      <c r="N843">
        <f ca="1">'Fuel Costs'!$I185*N381</f>
        <v>0</v>
      </c>
      <c r="O843">
        <f ca="1">'Fuel Costs'!$I185*O381</f>
        <v>0</v>
      </c>
      <c r="P843">
        <f ca="1">'Fuel Costs'!$I185*P381</f>
        <v>0</v>
      </c>
      <c r="Q843">
        <f ca="1">'Fuel Costs'!$I185*Q381</f>
        <v>0</v>
      </c>
      <c r="R843">
        <f ca="1">'Fuel Costs'!$I185*R381</f>
        <v>0</v>
      </c>
      <c r="S843">
        <f ca="1">'Fuel Costs'!$I185*S381</f>
        <v>0</v>
      </c>
      <c r="T843">
        <f ca="1">'Fuel Costs'!$I185*T381</f>
        <v>0</v>
      </c>
      <c r="U843">
        <f ca="1">'Fuel Costs'!$I185*U381</f>
        <v>0</v>
      </c>
      <c r="V843">
        <f ca="1">'Fuel Costs'!$I185*V381</f>
        <v>0</v>
      </c>
      <c r="W843">
        <f ca="1">'Fuel Costs'!$I185*W381</f>
        <v>0</v>
      </c>
      <c r="X843">
        <f ca="1">'Fuel Costs'!$I185*X381</f>
        <v>0</v>
      </c>
      <c r="Y843">
        <f ca="1">'Fuel Costs'!$I185*Y381</f>
        <v>0</v>
      </c>
      <c r="Z843">
        <f ca="1">'Fuel Costs'!$I185*Z381</f>
        <v>0</v>
      </c>
      <c r="AA843">
        <f ca="1">'Fuel Costs'!$I185*AA381</f>
        <v>0</v>
      </c>
      <c r="AB843">
        <f ca="1">'Fuel Costs'!$I185*AB381</f>
        <v>0</v>
      </c>
      <c r="AC843">
        <f ca="1">'Fuel Costs'!$I185*AC381</f>
        <v>0</v>
      </c>
    </row>
    <row r="844" spans="3:29">
      <c r="C844" t="str">
        <f t="shared" si="190"/>
        <v>IGCC</v>
      </c>
      <c r="D844">
        <f>'Fuel Costs'!$I186*D382</f>
        <v>0</v>
      </c>
      <c r="E844">
        <f>'Fuel Costs'!$I186*E382</f>
        <v>5.3825060604140155E-18</v>
      </c>
      <c r="F844">
        <f>'Fuel Costs'!$I186*F382</f>
        <v>0</v>
      </c>
      <c r="G844">
        <f>'Fuel Costs'!$I186*G382</f>
        <v>5.3825060604140155E-18</v>
      </c>
      <c r="H844">
        <f>'Fuel Costs'!$I186*H382</f>
        <v>5.3825060604140155E-18</v>
      </c>
      <c r="I844">
        <f ca="1">'Fuel Costs'!$I186*I382</f>
        <v>0</v>
      </c>
      <c r="J844">
        <f ca="1">'Fuel Costs'!$I186*J382</f>
        <v>0</v>
      </c>
      <c r="K844">
        <f ca="1">'Fuel Costs'!$I186*K382</f>
        <v>0</v>
      </c>
      <c r="L844">
        <f ca="1">'Fuel Costs'!$I186*L382</f>
        <v>0</v>
      </c>
      <c r="M844">
        <f ca="1">'Fuel Costs'!$I186*M382</f>
        <v>0</v>
      </c>
      <c r="N844">
        <f ca="1">'Fuel Costs'!$I186*N382</f>
        <v>0</v>
      </c>
      <c r="O844">
        <f ca="1">'Fuel Costs'!$I186*O382</f>
        <v>0</v>
      </c>
      <c r="P844">
        <f ca="1">'Fuel Costs'!$I186*P382</f>
        <v>0</v>
      </c>
      <c r="Q844">
        <f ca="1">'Fuel Costs'!$I186*Q382</f>
        <v>0</v>
      </c>
      <c r="R844">
        <f ca="1">'Fuel Costs'!$I186*R382</f>
        <v>0</v>
      </c>
      <c r="S844">
        <f ca="1">'Fuel Costs'!$I186*S382</f>
        <v>0</v>
      </c>
      <c r="T844">
        <f ca="1">'Fuel Costs'!$I186*T382</f>
        <v>0</v>
      </c>
      <c r="U844">
        <f ca="1">'Fuel Costs'!$I186*U382</f>
        <v>0</v>
      </c>
      <c r="V844">
        <f ca="1">'Fuel Costs'!$I186*V382</f>
        <v>0</v>
      </c>
      <c r="W844">
        <f ca="1">'Fuel Costs'!$I186*W382</f>
        <v>0</v>
      </c>
      <c r="X844">
        <f ca="1">'Fuel Costs'!$I186*X382</f>
        <v>0</v>
      </c>
      <c r="Y844">
        <f ca="1">'Fuel Costs'!$I186*Y382</f>
        <v>0</v>
      </c>
      <c r="Z844">
        <f ca="1">'Fuel Costs'!$I186*Z382</f>
        <v>0</v>
      </c>
      <c r="AA844">
        <f ca="1">'Fuel Costs'!$I186*AA382</f>
        <v>0</v>
      </c>
      <c r="AB844">
        <f ca="1">'Fuel Costs'!$I186*AB382</f>
        <v>7.6377439387510793E-4</v>
      </c>
      <c r="AC844">
        <f ca="1">'Fuel Costs'!$I186*AC382</f>
        <v>1.5275487877502159E-3</v>
      </c>
    </row>
    <row r="845" spans="3:29">
      <c r="C845" t="str">
        <f t="shared" si="190"/>
        <v>-</v>
      </c>
      <c r="D845">
        <f>'Fuel Costs'!$I187*D383</f>
        <v>0</v>
      </c>
      <c r="E845">
        <f>'Fuel Costs'!$I187*E383</f>
        <v>0</v>
      </c>
      <c r="F845">
        <f>'Fuel Costs'!$I187*F383</f>
        <v>0</v>
      </c>
      <c r="G845">
        <f>'Fuel Costs'!$I187*G383</f>
        <v>0</v>
      </c>
      <c r="H845">
        <f>'Fuel Costs'!$I187*H383</f>
        <v>0</v>
      </c>
      <c r="I845">
        <f ca="1">'Fuel Costs'!$I187*I383</f>
        <v>0</v>
      </c>
      <c r="J845">
        <f ca="1">'Fuel Costs'!$I187*J383</f>
        <v>0</v>
      </c>
      <c r="K845">
        <f ca="1">'Fuel Costs'!$I187*K383</f>
        <v>0</v>
      </c>
      <c r="L845">
        <f ca="1">'Fuel Costs'!$I187*L383</f>
        <v>0</v>
      </c>
      <c r="M845">
        <f ca="1">'Fuel Costs'!$I187*M383</f>
        <v>0</v>
      </c>
      <c r="N845">
        <f ca="1">'Fuel Costs'!$I187*N383</f>
        <v>0</v>
      </c>
      <c r="O845">
        <f ca="1">'Fuel Costs'!$I187*O383</f>
        <v>0</v>
      </c>
      <c r="P845">
        <f ca="1">'Fuel Costs'!$I187*P383</f>
        <v>0</v>
      </c>
      <c r="Q845">
        <f ca="1">'Fuel Costs'!$I187*Q383</f>
        <v>0</v>
      </c>
      <c r="R845">
        <f ca="1">'Fuel Costs'!$I187*R383</f>
        <v>0</v>
      </c>
      <c r="S845">
        <f ca="1">'Fuel Costs'!$I187*S383</f>
        <v>0</v>
      </c>
      <c r="T845">
        <f ca="1">'Fuel Costs'!$I187*T383</f>
        <v>0</v>
      </c>
      <c r="U845">
        <f ca="1">'Fuel Costs'!$I187*U383</f>
        <v>0</v>
      </c>
      <c r="V845">
        <f ca="1">'Fuel Costs'!$I187*V383</f>
        <v>0</v>
      </c>
      <c r="W845">
        <f ca="1">'Fuel Costs'!$I187*W383</f>
        <v>0</v>
      </c>
      <c r="X845">
        <f ca="1">'Fuel Costs'!$I187*X383</f>
        <v>0</v>
      </c>
      <c r="Y845">
        <f ca="1">'Fuel Costs'!$I187*Y383</f>
        <v>0</v>
      </c>
      <c r="Z845">
        <f ca="1">'Fuel Costs'!$I187*Z383</f>
        <v>0</v>
      </c>
      <c r="AA845">
        <f ca="1">'Fuel Costs'!$I187*AA383</f>
        <v>0</v>
      </c>
      <c r="AB845">
        <f ca="1">'Fuel Costs'!$I187*AB383</f>
        <v>0</v>
      </c>
      <c r="AC845">
        <f ca="1">'Fuel Costs'!$I187*AC383</f>
        <v>0</v>
      </c>
    </row>
    <row r="846" spans="3:29">
      <c r="C846" t="str">
        <f t="shared" si="190"/>
        <v>-</v>
      </c>
      <c r="D846">
        <f>'Fuel Costs'!$I188*D384</f>
        <v>0</v>
      </c>
      <c r="E846">
        <f>'Fuel Costs'!$I188*E384</f>
        <v>0</v>
      </c>
      <c r="F846">
        <f>'Fuel Costs'!$I188*F384</f>
        <v>0</v>
      </c>
      <c r="G846">
        <f>'Fuel Costs'!$I188*G384</f>
        <v>0</v>
      </c>
      <c r="H846">
        <f>'Fuel Costs'!$I188*H384</f>
        <v>0</v>
      </c>
      <c r="I846">
        <f ca="1">'Fuel Costs'!$I188*I384</f>
        <v>0</v>
      </c>
      <c r="J846">
        <f ca="1">'Fuel Costs'!$I188*J384</f>
        <v>0</v>
      </c>
      <c r="K846">
        <f ca="1">'Fuel Costs'!$I188*K384</f>
        <v>0</v>
      </c>
      <c r="L846">
        <f ca="1">'Fuel Costs'!$I188*L384</f>
        <v>0</v>
      </c>
      <c r="M846">
        <f ca="1">'Fuel Costs'!$I188*M384</f>
        <v>0</v>
      </c>
      <c r="N846">
        <f ca="1">'Fuel Costs'!$I188*N384</f>
        <v>0</v>
      </c>
      <c r="O846">
        <f ca="1">'Fuel Costs'!$I188*O384</f>
        <v>0</v>
      </c>
      <c r="P846">
        <f ca="1">'Fuel Costs'!$I188*P384</f>
        <v>0</v>
      </c>
      <c r="Q846">
        <f ca="1">'Fuel Costs'!$I188*Q384</f>
        <v>0</v>
      </c>
      <c r="R846">
        <f ca="1">'Fuel Costs'!$I188*R384</f>
        <v>0</v>
      </c>
      <c r="S846">
        <f ca="1">'Fuel Costs'!$I188*S384</f>
        <v>0</v>
      </c>
      <c r="T846">
        <f ca="1">'Fuel Costs'!$I188*T384</f>
        <v>0</v>
      </c>
      <c r="U846">
        <f ca="1">'Fuel Costs'!$I188*U384</f>
        <v>0</v>
      </c>
      <c r="V846">
        <f ca="1">'Fuel Costs'!$I188*V384</f>
        <v>0</v>
      </c>
      <c r="W846">
        <f ca="1">'Fuel Costs'!$I188*W384</f>
        <v>0</v>
      </c>
      <c r="X846">
        <f ca="1">'Fuel Costs'!$I188*X384</f>
        <v>0</v>
      </c>
      <c r="Y846">
        <f ca="1">'Fuel Costs'!$I188*Y384</f>
        <v>0</v>
      </c>
      <c r="Z846">
        <f ca="1">'Fuel Costs'!$I188*Z384</f>
        <v>0</v>
      </c>
      <c r="AA846">
        <f ca="1">'Fuel Costs'!$I188*AA384</f>
        <v>0</v>
      </c>
      <c r="AB846">
        <f ca="1">'Fuel Costs'!$I188*AB384</f>
        <v>0</v>
      </c>
      <c r="AC846">
        <f ca="1">'Fuel Costs'!$I188*AC384</f>
        <v>0</v>
      </c>
    </row>
    <row r="847" spans="3:29">
      <c r="C847" t="str">
        <f t="shared" si="190"/>
        <v>-</v>
      </c>
      <c r="D847">
        <f>'Fuel Costs'!$I189*D385</f>
        <v>0</v>
      </c>
      <c r="E847">
        <f>'Fuel Costs'!$I189*E385</f>
        <v>0</v>
      </c>
      <c r="F847">
        <f>'Fuel Costs'!$I189*F385</f>
        <v>0</v>
      </c>
      <c r="G847">
        <f>'Fuel Costs'!$I189*G385</f>
        <v>0</v>
      </c>
      <c r="H847">
        <f>'Fuel Costs'!$I189*H385</f>
        <v>0</v>
      </c>
      <c r="I847">
        <f ca="1">'Fuel Costs'!$I189*I385</f>
        <v>0</v>
      </c>
      <c r="J847">
        <f ca="1">'Fuel Costs'!$I189*J385</f>
        <v>0</v>
      </c>
      <c r="K847">
        <f ca="1">'Fuel Costs'!$I189*K385</f>
        <v>0</v>
      </c>
      <c r="L847">
        <f ca="1">'Fuel Costs'!$I189*L385</f>
        <v>0</v>
      </c>
      <c r="M847">
        <f ca="1">'Fuel Costs'!$I189*M385</f>
        <v>0</v>
      </c>
      <c r="N847">
        <f ca="1">'Fuel Costs'!$I189*N385</f>
        <v>0</v>
      </c>
      <c r="O847">
        <f ca="1">'Fuel Costs'!$I189*O385</f>
        <v>0</v>
      </c>
      <c r="P847">
        <f ca="1">'Fuel Costs'!$I189*P385</f>
        <v>0</v>
      </c>
      <c r="Q847">
        <f ca="1">'Fuel Costs'!$I189*Q385</f>
        <v>0</v>
      </c>
      <c r="R847">
        <f ca="1">'Fuel Costs'!$I189*R385</f>
        <v>0</v>
      </c>
      <c r="S847">
        <f ca="1">'Fuel Costs'!$I189*S385</f>
        <v>0</v>
      </c>
      <c r="T847">
        <f ca="1">'Fuel Costs'!$I189*T385</f>
        <v>0</v>
      </c>
      <c r="U847">
        <f ca="1">'Fuel Costs'!$I189*U385</f>
        <v>0</v>
      </c>
      <c r="V847">
        <f ca="1">'Fuel Costs'!$I189*V385</f>
        <v>0</v>
      </c>
      <c r="W847">
        <f ca="1">'Fuel Costs'!$I189*W385</f>
        <v>0</v>
      </c>
      <c r="X847">
        <f ca="1">'Fuel Costs'!$I189*X385</f>
        <v>0</v>
      </c>
      <c r="Y847">
        <f ca="1">'Fuel Costs'!$I189*Y385</f>
        <v>0</v>
      </c>
      <c r="Z847">
        <f ca="1">'Fuel Costs'!$I189*Z385</f>
        <v>0</v>
      </c>
      <c r="AA847">
        <f ca="1">'Fuel Costs'!$I189*AA385</f>
        <v>0</v>
      </c>
      <c r="AB847">
        <f ca="1">'Fuel Costs'!$I189*AB385</f>
        <v>0</v>
      </c>
      <c r="AC847">
        <f ca="1">'Fuel Costs'!$I189*AC385</f>
        <v>0</v>
      </c>
    </row>
    <row r="848" spans="3:29">
      <c r="C848" t="str">
        <f t="shared" si="190"/>
        <v>Pumped storage</v>
      </c>
      <c r="D848">
        <f>'Fuel Costs'!$I190*D386</f>
        <v>0</v>
      </c>
      <c r="E848">
        <f>'Fuel Costs'!$I190*E386</f>
        <v>0</v>
      </c>
      <c r="F848">
        <f>'Fuel Costs'!$I190*F386</f>
        <v>0</v>
      </c>
      <c r="G848">
        <f>'Fuel Costs'!$I190*G386</f>
        <v>0</v>
      </c>
      <c r="H848">
        <f>'Fuel Costs'!$I190*H386</f>
        <v>0</v>
      </c>
      <c r="I848">
        <f ca="1">'Fuel Costs'!$I190*I386</f>
        <v>0</v>
      </c>
      <c r="J848">
        <f ca="1">'Fuel Costs'!$I190*J386</f>
        <v>0</v>
      </c>
      <c r="K848">
        <f ca="1">'Fuel Costs'!$I190*K386</f>
        <v>0</v>
      </c>
      <c r="L848">
        <f ca="1">'Fuel Costs'!$I190*L386</f>
        <v>0</v>
      </c>
      <c r="M848">
        <f ca="1">'Fuel Costs'!$I190*M386</f>
        <v>0</v>
      </c>
      <c r="N848">
        <f ca="1">'Fuel Costs'!$I190*N386</f>
        <v>0</v>
      </c>
      <c r="O848">
        <f ca="1">'Fuel Costs'!$I190*O386</f>
        <v>0</v>
      </c>
      <c r="P848">
        <f ca="1">'Fuel Costs'!$I190*P386</f>
        <v>0</v>
      </c>
      <c r="Q848">
        <f ca="1">'Fuel Costs'!$I190*Q386</f>
        <v>0</v>
      </c>
      <c r="R848">
        <f ca="1">'Fuel Costs'!$I190*R386</f>
        <v>0</v>
      </c>
      <c r="S848">
        <f ca="1">'Fuel Costs'!$I190*S386</f>
        <v>0</v>
      </c>
      <c r="T848">
        <f ca="1">'Fuel Costs'!$I190*T386</f>
        <v>0</v>
      </c>
      <c r="U848">
        <f ca="1">'Fuel Costs'!$I190*U386</f>
        <v>0</v>
      </c>
      <c r="V848">
        <f ca="1">'Fuel Costs'!$I190*V386</f>
        <v>0</v>
      </c>
      <c r="W848">
        <f ca="1">'Fuel Costs'!$I190*W386</f>
        <v>0</v>
      </c>
      <c r="X848">
        <f ca="1">'Fuel Costs'!$I190*X386</f>
        <v>0</v>
      </c>
      <c r="Y848">
        <f ca="1">'Fuel Costs'!$I190*Y386</f>
        <v>0</v>
      </c>
      <c r="Z848">
        <f ca="1">'Fuel Costs'!$I190*Z386</f>
        <v>0</v>
      </c>
      <c r="AA848">
        <f ca="1">'Fuel Costs'!$I190*AA386</f>
        <v>0</v>
      </c>
      <c r="AB848">
        <f ca="1">'Fuel Costs'!$I190*AB386</f>
        <v>0</v>
      </c>
      <c r="AC848">
        <f ca="1">'Fuel Costs'!$I190*AC386</f>
        <v>0</v>
      </c>
    </row>
    <row r="849" spans="3:29">
      <c r="C849" s="4" t="s">
        <v>5</v>
      </c>
      <c r="D849">
        <f>SUM(D829:D848)</f>
        <v>4.5503648389763007E-2</v>
      </c>
      <c r="E849">
        <f t="shared" ref="E849:AC849" si="191">SUM(E829:E848)</f>
        <v>4.5503648389763014E-2</v>
      </c>
      <c r="F849">
        <f t="shared" si="191"/>
        <v>4.6902475315762256E-2</v>
      </c>
      <c r="G849">
        <f t="shared" si="191"/>
        <v>4.7389747423040474E-2</v>
      </c>
      <c r="H849">
        <f t="shared" si="191"/>
        <v>4.7389747423040474E-2</v>
      </c>
      <c r="I849">
        <f t="shared" ca="1" si="191"/>
        <v>4.8804903762822871E-2</v>
      </c>
      <c r="J849">
        <f t="shared" ca="1" si="191"/>
        <v>4.9758124780418793E-2</v>
      </c>
      <c r="K849">
        <f t="shared" ca="1" si="191"/>
        <v>5.0860750219489367E-2</v>
      </c>
      <c r="L849">
        <f t="shared" ca="1" si="191"/>
        <v>5.2120987077146422E-2</v>
      </c>
      <c r="M849">
        <f t="shared" ca="1" si="191"/>
        <v>5.367380603747357E-2</v>
      </c>
      <c r="N849">
        <f t="shared" ca="1" si="191"/>
        <v>5.4872838070112964E-2</v>
      </c>
      <c r="O849">
        <f t="shared" ca="1" si="191"/>
        <v>5.6054830731280605E-2</v>
      </c>
      <c r="P849">
        <f t="shared" ca="1" si="191"/>
        <v>5.6808989838905539E-2</v>
      </c>
      <c r="Q849">
        <f t="shared" ca="1" si="191"/>
        <v>5.7245321287957257E-2</v>
      </c>
      <c r="R849">
        <f t="shared" ca="1" si="191"/>
        <v>5.7101536292026661E-2</v>
      </c>
      <c r="S849">
        <f t="shared" ca="1" si="191"/>
        <v>5.6443122515745126E-2</v>
      </c>
      <c r="T849">
        <f t="shared" ca="1" si="191"/>
        <v>5.5219130441009408E-2</v>
      </c>
      <c r="U849">
        <f t="shared" ca="1" si="191"/>
        <v>5.4741870110606411E-2</v>
      </c>
      <c r="V849">
        <f t="shared" ca="1" si="191"/>
        <v>5.331591241342732E-2</v>
      </c>
      <c r="W849">
        <f t="shared" ca="1" si="191"/>
        <v>5.1949183352760872E-2</v>
      </c>
      <c r="X849">
        <f t="shared" ca="1" si="191"/>
        <v>5.0638863324813391E-2</v>
      </c>
      <c r="Y849">
        <f t="shared" ca="1" si="191"/>
        <v>4.9440561747622902E-2</v>
      </c>
      <c r="Z849">
        <f t="shared" ca="1" si="191"/>
        <v>4.8256401499646565E-2</v>
      </c>
      <c r="AA849">
        <f t="shared" ca="1" si="191"/>
        <v>4.7049343466931015E-2</v>
      </c>
      <c r="AB849">
        <f t="shared" ca="1" si="191"/>
        <v>4.5695146834054755E-2</v>
      </c>
      <c r="AC849">
        <f t="shared" ca="1" si="191"/>
        <v>4.4040751289297991E-2</v>
      </c>
    </row>
    <row r="851" spans="3:29">
      <c r="C851" s="4" t="s">
        <v>166</v>
      </c>
    </row>
    <row r="852" spans="3:29">
      <c r="C852" t="str">
        <f>C8</f>
        <v>Existing coal Large</v>
      </c>
      <c r="D852">
        <f>'Fuel Costs'!$J171*D367</f>
        <v>1.061569382713164E-2</v>
      </c>
      <c r="E852">
        <f>'Fuel Costs'!$J171*E367</f>
        <v>1.061569382713164E-2</v>
      </c>
      <c r="F852">
        <f>'Fuel Costs'!$J171*F367</f>
        <v>1.0965400558631452E-2</v>
      </c>
      <c r="G852">
        <f>'Fuel Costs'!$J171*G367</f>
        <v>1.1087218585451005E-2</v>
      </c>
      <c r="H852">
        <f>'Fuel Costs'!$J171*H367</f>
        <v>1.1087218585451005E-2</v>
      </c>
      <c r="I852">
        <f ca="1">'Fuel Costs'!$J171*I367</f>
        <v>1.1348966814647666E-2</v>
      </c>
      <c r="J852">
        <f ca="1">'Fuel Costs'!$J171*J367</f>
        <v>1.1520285717116859E-2</v>
      </c>
      <c r="K852">
        <f ca="1">'Fuel Costs'!$J171*K367</f>
        <v>1.1713745040511512E-2</v>
      </c>
      <c r="L852">
        <f ca="1">'Fuel Costs'!$J171*L367</f>
        <v>1.1864410182179796E-2</v>
      </c>
      <c r="M852">
        <f ca="1">'Fuel Costs'!$J171*M367</f>
        <v>1.1983126461131786E-2</v>
      </c>
      <c r="N852">
        <f ca="1">'Fuel Costs'!$J171*N367</f>
        <v>1.1983126461131786E-2</v>
      </c>
      <c r="O852">
        <f ca="1">'Fuel Costs'!$J171*O367</f>
        <v>1.1983126461131786E-2</v>
      </c>
      <c r="P852">
        <f ca="1">'Fuel Costs'!$J171*P367</f>
        <v>1.1983126461131786E-2</v>
      </c>
      <c r="Q852">
        <f ca="1">'Fuel Costs'!$J171*Q367</f>
        <v>1.1983126461131786E-2</v>
      </c>
      <c r="R852">
        <f ca="1">'Fuel Costs'!$J171*R367</f>
        <v>1.1983126461131786E-2</v>
      </c>
      <c r="S852">
        <f ca="1">'Fuel Costs'!$J171*S367</f>
        <v>1.1983126461131786E-2</v>
      </c>
      <c r="T852">
        <f ca="1">'Fuel Costs'!$J171*T367</f>
        <v>1.1983126461131786E-2</v>
      </c>
      <c r="U852">
        <f ca="1">'Fuel Costs'!$J171*U367</f>
        <v>1.1983126461131786E-2</v>
      </c>
      <c r="V852">
        <f ca="1">'Fuel Costs'!$J171*V367</f>
        <v>1.1702994507603287E-2</v>
      </c>
      <c r="W852">
        <f ca="1">'Fuel Costs'!$J171*W367</f>
        <v>1.1361312242436675E-2</v>
      </c>
      <c r="X852">
        <f ca="1">'Fuel Costs'!$J171*X367</f>
        <v>1.1086486103697489E-2</v>
      </c>
      <c r="Y852">
        <f ca="1">'Fuel Costs'!$J171*Y367</f>
        <v>1.0526085880301054E-2</v>
      </c>
      <c r="Z852">
        <f ca="1">'Fuel Costs'!$J171*Z367</f>
        <v>9.9656856569046159E-3</v>
      </c>
      <c r="AA852">
        <f ca="1">'Fuel Costs'!$J171*AA367</f>
        <v>9.2873064391089319E-3</v>
      </c>
      <c r="AB852">
        <f ca="1">'Fuel Costs'!$J171*AB367</f>
        <v>7.9305480035175603E-3</v>
      </c>
      <c r="AC852">
        <f ca="1">'Fuel Costs'!$J171*AC367</f>
        <v>7.2521687857218737E-3</v>
      </c>
    </row>
    <row r="853" spans="3:29">
      <c r="C853" t="str">
        <f t="shared" ref="C853:C871" si="192">C9</f>
        <v>Existing coal Small</v>
      </c>
      <c r="D853">
        <f>'Fuel Costs'!$J172*D368</f>
        <v>7.3234394902889919E-4</v>
      </c>
      <c r="E853">
        <f>'Fuel Costs'!$J172*E368</f>
        <v>7.3234394902889919E-4</v>
      </c>
      <c r="F853">
        <f>'Fuel Costs'!$J172*F368</f>
        <v>7.3234394902889919E-4</v>
      </c>
      <c r="G853">
        <f>'Fuel Costs'!$J172*G368</f>
        <v>7.3234394902889919E-4</v>
      </c>
      <c r="H853">
        <f>'Fuel Costs'!$J172*H368</f>
        <v>7.3234394902889919E-4</v>
      </c>
      <c r="I853">
        <f ca="1">'Fuel Costs'!$J172*I368</f>
        <v>8.2438480477783893E-4</v>
      </c>
      <c r="J853">
        <f ca="1">'Fuel Costs'!$J172*J368</f>
        <v>8.7882771213153082E-4</v>
      </c>
      <c r="K853">
        <f ca="1">'Fuel Costs'!$J172*K368</f>
        <v>8.7882771213153082E-4</v>
      </c>
      <c r="L853">
        <f ca="1">'Fuel Costs'!$J172*L368</f>
        <v>8.7882771213153082E-4</v>
      </c>
      <c r="M853">
        <f ca="1">'Fuel Costs'!$J172*M368</f>
        <v>8.7882771213153082E-4</v>
      </c>
      <c r="N853">
        <f ca="1">'Fuel Costs'!$J172*N368</f>
        <v>8.7882771213153082E-4</v>
      </c>
      <c r="O853">
        <f ca="1">'Fuel Costs'!$J172*O368</f>
        <v>8.7377422444399769E-4</v>
      </c>
      <c r="P853">
        <f ca="1">'Fuel Costs'!$J172*P368</f>
        <v>8.6872073675646445E-4</v>
      </c>
      <c r="Q853">
        <f ca="1">'Fuel Costs'!$J172*Q368</f>
        <v>8.6198275317308679E-4</v>
      </c>
      <c r="R853">
        <f ca="1">'Fuel Costs'!$J172*R368</f>
        <v>8.5524476958970892E-4</v>
      </c>
      <c r="S853">
        <f ca="1">'Fuel Costs'!$J172*S368</f>
        <v>7.2722308150553218E-4</v>
      </c>
      <c r="T853">
        <f ca="1">'Fuel Costs'!$J172*T368</f>
        <v>5.9920139342135533E-4</v>
      </c>
      <c r="U853">
        <f ca="1">'Fuel Costs'!$J172*U368</f>
        <v>5.9920139342135533E-4</v>
      </c>
      <c r="V853">
        <f ca="1">'Fuel Costs'!$J172*V368</f>
        <v>5.9920139342135533E-4</v>
      </c>
      <c r="W853">
        <f ca="1">'Fuel Costs'!$J172*W368</f>
        <v>5.9920139342135533E-4</v>
      </c>
      <c r="X853">
        <f ca="1">'Fuel Costs'!$J172*X368</f>
        <v>5.4021409047309626E-4</v>
      </c>
      <c r="Y853">
        <f ca="1">'Fuel Costs'!$J172*Y368</f>
        <v>4.812267875248373E-4</v>
      </c>
      <c r="Z853">
        <f ca="1">'Fuel Costs'!$J172*Z368</f>
        <v>4.812267875248373E-4</v>
      </c>
      <c r="AA853">
        <f ca="1">'Fuel Costs'!$J172*AA368</f>
        <v>4.812267875248373E-4</v>
      </c>
      <c r="AB853">
        <f ca="1">'Fuel Costs'!$J172*AB368</f>
        <v>4.812267875248373E-4</v>
      </c>
      <c r="AC853">
        <f ca="1">'Fuel Costs'!$J172*AC368</f>
        <v>4.812267875248373E-4</v>
      </c>
    </row>
    <row r="854" spans="3:29">
      <c r="C854" t="str">
        <f t="shared" si="192"/>
        <v>OCGT liquid fuels</v>
      </c>
      <c r="D854">
        <f>'Fuel Costs'!$J173*D369</f>
        <v>3.7165761706950234E-5</v>
      </c>
      <c r="E854">
        <f>'Fuel Costs'!$J173*E369</f>
        <v>3.7165761706950234E-5</v>
      </c>
      <c r="F854">
        <f>'Fuel Costs'!$J173*F369</f>
        <v>3.7165761706950234E-5</v>
      </c>
      <c r="G854">
        <f>'Fuel Costs'!$J173*G369</f>
        <v>3.7165761706950234E-5</v>
      </c>
      <c r="H854">
        <f>'Fuel Costs'!$J173*H369</f>
        <v>3.7165761706950234E-5</v>
      </c>
      <c r="I854">
        <f ca="1">'Fuel Costs'!$J173*I369</f>
        <v>3.7165761706950234E-5</v>
      </c>
      <c r="J854">
        <f ca="1">'Fuel Costs'!$J173*J369</f>
        <v>5.3890354475077845E-5</v>
      </c>
      <c r="K854">
        <f ca="1">'Fuel Costs'!$J173*K369</f>
        <v>5.3890354475077845E-5</v>
      </c>
      <c r="L854">
        <f ca="1">'Fuel Costs'!$J173*L369</f>
        <v>5.3890354475077845E-5</v>
      </c>
      <c r="M854">
        <f ca="1">'Fuel Costs'!$J173*M369</f>
        <v>5.3890354475077845E-5</v>
      </c>
      <c r="N854">
        <f ca="1">'Fuel Costs'!$J173*N369</f>
        <v>5.3890354475077845E-5</v>
      </c>
      <c r="O854">
        <f ca="1">'Fuel Costs'!$J173*O369</f>
        <v>5.3890354475077845E-5</v>
      </c>
      <c r="P854">
        <f ca="1">'Fuel Costs'!$J173*P369</f>
        <v>5.3890354475077845E-5</v>
      </c>
      <c r="Q854">
        <f ca="1">'Fuel Costs'!$J173*Q369</f>
        <v>5.3890354475077845E-5</v>
      </c>
      <c r="R854">
        <f ca="1">'Fuel Costs'!$J173*R369</f>
        <v>5.3890354475077845E-5</v>
      </c>
      <c r="S854">
        <f ca="1">'Fuel Costs'!$J173*S369</f>
        <v>5.3890354475077845E-5</v>
      </c>
      <c r="T854">
        <f ca="1">'Fuel Costs'!$J173*T369</f>
        <v>5.3890354475077845E-5</v>
      </c>
      <c r="U854">
        <f ca="1">'Fuel Costs'!$J173*U369</f>
        <v>5.3890354475077845E-5</v>
      </c>
      <c r="V854">
        <f ca="1">'Fuel Costs'!$J173*V369</f>
        <v>5.3890354475077845E-5</v>
      </c>
      <c r="W854">
        <f ca="1">'Fuel Costs'!$J173*W369</f>
        <v>5.3890354475077845E-5</v>
      </c>
      <c r="X854">
        <f ca="1">'Fuel Costs'!$J173*X369</f>
        <v>5.3890354475077845E-5</v>
      </c>
      <c r="Y854">
        <f ca="1">'Fuel Costs'!$J173*Y369</f>
        <v>6.5040082987162932E-5</v>
      </c>
      <c r="Z854">
        <f ca="1">'Fuel Costs'!$J173*Z369</f>
        <v>6.5040082987162932E-5</v>
      </c>
      <c r="AA854">
        <f ca="1">'Fuel Costs'!$J173*AA369</f>
        <v>6.5040082987162932E-5</v>
      </c>
      <c r="AB854">
        <f ca="1">'Fuel Costs'!$J173*AB369</f>
        <v>7.9906387669943026E-5</v>
      </c>
      <c r="AC854">
        <f ca="1">'Fuel Costs'!$J173*AC369</f>
        <v>9.2124631831102901E-5</v>
      </c>
    </row>
    <row r="855" spans="3:29">
      <c r="C855" t="str">
        <f t="shared" si="192"/>
        <v>PWR nuclear</v>
      </c>
      <c r="D855">
        <f>'Fuel Costs'!$J174*D370</f>
        <v>0</v>
      </c>
      <c r="E855">
        <f>'Fuel Costs'!$J174*E370</f>
        <v>0</v>
      </c>
      <c r="F855">
        <f>'Fuel Costs'!$J174*F370</f>
        <v>0</v>
      </c>
      <c r="G855">
        <f>'Fuel Costs'!$J174*G370</f>
        <v>0</v>
      </c>
      <c r="H855">
        <f>'Fuel Costs'!$J174*H370</f>
        <v>0</v>
      </c>
      <c r="I855">
        <f ca="1">'Fuel Costs'!$J174*I370</f>
        <v>0</v>
      </c>
      <c r="J855">
        <f ca="1">'Fuel Costs'!$J174*J370</f>
        <v>0</v>
      </c>
      <c r="K855">
        <f ca="1">'Fuel Costs'!$J174*K370</f>
        <v>0</v>
      </c>
      <c r="L855">
        <f ca="1">'Fuel Costs'!$J174*L370</f>
        <v>0</v>
      </c>
      <c r="M855">
        <f ca="1">'Fuel Costs'!$J174*M370</f>
        <v>0</v>
      </c>
      <c r="N855">
        <f ca="1">'Fuel Costs'!$J174*N370</f>
        <v>0</v>
      </c>
      <c r="O855">
        <f ca="1">'Fuel Costs'!$J174*O370</f>
        <v>0</v>
      </c>
      <c r="P855">
        <f ca="1">'Fuel Costs'!$J174*P370</f>
        <v>0</v>
      </c>
      <c r="Q855">
        <f ca="1">'Fuel Costs'!$J174*Q370</f>
        <v>0</v>
      </c>
      <c r="R855">
        <f ca="1">'Fuel Costs'!$J174*R370</f>
        <v>0</v>
      </c>
      <c r="S855">
        <f ca="1">'Fuel Costs'!$J174*S370</f>
        <v>0</v>
      </c>
      <c r="T855">
        <f ca="1">'Fuel Costs'!$J174*T370</f>
        <v>0</v>
      </c>
      <c r="U855">
        <f ca="1">'Fuel Costs'!$J174*U370</f>
        <v>0</v>
      </c>
      <c r="V855">
        <f ca="1">'Fuel Costs'!$J174*V370</f>
        <v>0</v>
      </c>
      <c r="W855">
        <f ca="1">'Fuel Costs'!$J174*W370</f>
        <v>0</v>
      </c>
      <c r="X855">
        <f ca="1">'Fuel Costs'!$J174*X370</f>
        <v>0</v>
      </c>
      <c r="Y855">
        <f ca="1">'Fuel Costs'!$J174*Y370</f>
        <v>0</v>
      </c>
      <c r="Z855">
        <f ca="1">'Fuel Costs'!$J174*Z370</f>
        <v>0</v>
      </c>
      <c r="AA855">
        <f ca="1">'Fuel Costs'!$J174*AA370</f>
        <v>0</v>
      </c>
      <c r="AB855">
        <f ca="1">'Fuel Costs'!$J174*AB370</f>
        <v>0</v>
      </c>
      <c r="AC855">
        <f ca="1">'Fuel Costs'!$J174*AC370</f>
        <v>0</v>
      </c>
    </row>
    <row r="856" spans="3:29">
      <c r="C856" t="str">
        <f t="shared" si="192"/>
        <v>Hydro</v>
      </c>
      <c r="D856">
        <f>'Fuel Costs'!$J175*D371</f>
        <v>0</v>
      </c>
      <c r="E856">
        <f>'Fuel Costs'!$J175*E371</f>
        <v>0</v>
      </c>
      <c r="F856">
        <f>'Fuel Costs'!$J175*F371</f>
        <v>0</v>
      </c>
      <c r="G856">
        <f>'Fuel Costs'!$J175*G371</f>
        <v>0</v>
      </c>
      <c r="H856">
        <f>'Fuel Costs'!$J175*H371</f>
        <v>0</v>
      </c>
      <c r="I856">
        <f ca="1">'Fuel Costs'!$J175*I371</f>
        <v>0</v>
      </c>
      <c r="J856">
        <f ca="1">'Fuel Costs'!$J175*J371</f>
        <v>0</v>
      </c>
      <c r="K856">
        <f ca="1">'Fuel Costs'!$J175*K371</f>
        <v>0</v>
      </c>
      <c r="L856">
        <f ca="1">'Fuel Costs'!$J175*L371</f>
        <v>0</v>
      </c>
      <c r="M856">
        <f ca="1">'Fuel Costs'!$J175*M371</f>
        <v>0</v>
      </c>
      <c r="N856">
        <f ca="1">'Fuel Costs'!$J175*N371</f>
        <v>0</v>
      </c>
      <c r="O856">
        <f ca="1">'Fuel Costs'!$J175*O371</f>
        <v>0</v>
      </c>
      <c r="P856">
        <f ca="1">'Fuel Costs'!$J175*P371</f>
        <v>0</v>
      </c>
      <c r="Q856">
        <f ca="1">'Fuel Costs'!$J175*Q371</f>
        <v>0</v>
      </c>
      <c r="R856">
        <f ca="1">'Fuel Costs'!$J175*R371</f>
        <v>0</v>
      </c>
      <c r="S856">
        <f ca="1">'Fuel Costs'!$J175*S371</f>
        <v>0</v>
      </c>
      <c r="T856">
        <f ca="1">'Fuel Costs'!$J175*T371</f>
        <v>0</v>
      </c>
      <c r="U856">
        <f ca="1">'Fuel Costs'!$J175*U371</f>
        <v>0</v>
      </c>
      <c r="V856">
        <f ca="1">'Fuel Costs'!$J175*V371</f>
        <v>0</v>
      </c>
      <c r="W856">
        <f ca="1">'Fuel Costs'!$J175*W371</f>
        <v>0</v>
      </c>
      <c r="X856">
        <f ca="1">'Fuel Costs'!$J175*X371</f>
        <v>0</v>
      </c>
      <c r="Y856">
        <f ca="1">'Fuel Costs'!$J175*Y371</f>
        <v>0</v>
      </c>
      <c r="Z856">
        <f ca="1">'Fuel Costs'!$J175*Z371</f>
        <v>0</v>
      </c>
      <c r="AA856">
        <f ca="1">'Fuel Costs'!$J175*AA371</f>
        <v>0</v>
      </c>
      <c r="AB856">
        <f ca="1">'Fuel Costs'!$J175*AB371</f>
        <v>0</v>
      </c>
      <c r="AC856">
        <f ca="1">'Fuel Costs'!$J175*AC371</f>
        <v>0</v>
      </c>
    </row>
    <row r="857" spans="3:29">
      <c r="C857" t="str">
        <f t="shared" si="192"/>
        <v>Landfill gas</v>
      </c>
      <c r="D857">
        <f>'Fuel Costs'!$J176*D372</f>
        <v>0</v>
      </c>
      <c r="E857">
        <f>'Fuel Costs'!$J176*E372</f>
        <v>0</v>
      </c>
      <c r="F857">
        <f>'Fuel Costs'!$J176*F372</f>
        <v>0</v>
      </c>
      <c r="G857">
        <f>'Fuel Costs'!$J176*G372</f>
        <v>0</v>
      </c>
      <c r="H857">
        <f>'Fuel Costs'!$J176*H372</f>
        <v>0</v>
      </c>
      <c r="I857">
        <f ca="1">'Fuel Costs'!$J176*I372</f>
        <v>0</v>
      </c>
      <c r="J857">
        <f ca="1">'Fuel Costs'!$J176*J372</f>
        <v>0</v>
      </c>
      <c r="K857">
        <f ca="1">'Fuel Costs'!$J176*K372</f>
        <v>0</v>
      </c>
      <c r="L857">
        <f ca="1">'Fuel Costs'!$J176*L372</f>
        <v>0</v>
      </c>
      <c r="M857">
        <f ca="1">'Fuel Costs'!$J176*M372</f>
        <v>0</v>
      </c>
      <c r="N857">
        <f ca="1">'Fuel Costs'!$J176*N372</f>
        <v>0</v>
      </c>
      <c r="O857">
        <f ca="1">'Fuel Costs'!$J176*O372</f>
        <v>0</v>
      </c>
      <c r="P857">
        <f ca="1">'Fuel Costs'!$J176*P372</f>
        <v>0</v>
      </c>
      <c r="Q857">
        <f ca="1">'Fuel Costs'!$J176*Q372</f>
        <v>0</v>
      </c>
      <c r="R857">
        <f ca="1">'Fuel Costs'!$J176*R372</f>
        <v>0</v>
      </c>
      <c r="S857">
        <f ca="1">'Fuel Costs'!$J176*S372</f>
        <v>0</v>
      </c>
      <c r="T857">
        <f ca="1">'Fuel Costs'!$J176*T372</f>
        <v>0</v>
      </c>
      <c r="U857">
        <f ca="1">'Fuel Costs'!$J176*U372</f>
        <v>0</v>
      </c>
      <c r="V857">
        <f ca="1">'Fuel Costs'!$J176*V372</f>
        <v>0</v>
      </c>
      <c r="W857">
        <f ca="1">'Fuel Costs'!$J176*W372</f>
        <v>0</v>
      </c>
      <c r="X857">
        <f ca="1">'Fuel Costs'!$J176*X372</f>
        <v>0</v>
      </c>
      <c r="Y857">
        <f ca="1">'Fuel Costs'!$J176*Y372</f>
        <v>0</v>
      </c>
      <c r="Z857">
        <f ca="1">'Fuel Costs'!$J176*Z372</f>
        <v>0</v>
      </c>
      <c r="AA857">
        <f ca="1">'Fuel Costs'!$J176*AA372</f>
        <v>0</v>
      </c>
      <c r="AB857">
        <f ca="1">'Fuel Costs'!$J176*AB372</f>
        <v>0</v>
      </c>
      <c r="AC857">
        <f ca="1">'Fuel Costs'!$J176*AC372</f>
        <v>0</v>
      </c>
    </row>
    <row r="858" spans="3:29">
      <c r="C858" t="str">
        <f t="shared" si="192"/>
        <v>Biomass</v>
      </c>
      <c r="D858">
        <f>'Fuel Costs'!$J177*D373</f>
        <v>0</v>
      </c>
      <c r="E858">
        <f>'Fuel Costs'!$J177*E373</f>
        <v>0</v>
      </c>
      <c r="F858">
        <f>'Fuel Costs'!$J177*F373</f>
        <v>0</v>
      </c>
      <c r="G858">
        <f>'Fuel Costs'!$J177*G373</f>
        <v>0</v>
      </c>
      <c r="H858">
        <f>'Fuel Costs'!$J177*H373</f>
        <v>0</v>
      </c>
      <c r="I858">
        <f ca="1">'Fuel Costs'!$J177*I373</f>
        <v>0</v>
      </c>
      <c r="J858">
        <f ca="1">'Fuel Costs'!$J177*J373</f>
        <v>0</v>
      </c>
      <c r="K858">
        <f ca="1">'Fuel Costs'!$J177*K373</f>
        <v>0</v>
      </c>
      <c r="L858">
        <f ca="1">'Fuel Costs'!$J177*L373</f>
        <v>0</v>
      </c>
      <c r="M858">
        <f ca="1">'Fuel Costs'!$J177*M373</f>
        <v>0</v>
      </c>
      <c r="N858">
        <f ca="1">'Fuel Costs'!$J177*N373</f>
        <v>0</v>
      </c>
      <c r="O858">
        <f ca="1">'Fuel Costs'!$J177*O373</f>
        <v>0</v>
      </c>
      <c r="P858">
        <f ca="1">'Fuel Costs'!$J177*P373</f>
        <v>0</v>
      </c>
      <c r="Q858">
        <f ca="1">'Fuel Costs'!$J177*Q373</f>
        <v>0</v>
      </c>
      <c r="R858">
        <f ca="1">'Fuel Costs'!$J177*R373</f>
        <v>0</v>
      </c>
      <c r="S858">
        <f ca="1">'Fuel Costs'!$J177*S373</f>
        <v>0</v>
      </c>
      <c r="T858">
        <f ca="1">'Fuel Costs'!$J177*T373</f>
        <v>0</v>
      </c>
      <c r="U858">
        <f ca="1">'Fuel Costs'!$J177*U373</f>
        <v>0</v>
      </c>
      <c r="V858">
        <f ca="1">'Fuel Costs'!$J177*V373</f>
        <v>0</v>
      </c>
      <c r="W858">
        <f ca="1">'Fuel Costs'!$J177*W373</f>
        <v>0</v>
      </c>
      <c r="X858">
        <f ca="1">'Fuel Costs'!$J177*X373</f>
        <v>0</v>
      </c>
      <c r="Y858">
        <f ca="1">'Fuel Costs'!$J177*Y373</f>
        <v>0</v>
      </c>
      <c r="Z858">
        <f ca="1">'Fuel Costs'!$J177*Z373</f>
        <v>0</v>
      </c>
      <c r="AA858">
        <f ca="1">'Fuel Costs'!$J177*AA373</f>
        <v>0</v>
      </c>
      <c r="AB858">
        <f ca="1">'Fuel Costs'!$J177*AB373</f>
        <v>0</v>
      </c>
      <c r="AC858">
        <f ca="1">'Fuel Costs'!$J177*AC373</f>
        <v>0</v>
      </c>
    </row>
    <row r="859" spans="3:29">
      <c r="C859" t="str">
        <f t="shared" si="192"/>
        <v>Supercritical coal</v>
      </c>
      <c r="D859">
        <f>'Fuel Costs'!$J178*D374</f>
        <v>0</v>
      </c>
      <c r="E859">
        <f>'Fuel Costs'!$J178*E374</f>
        <v>0</v>
      </c>
      <c r="F859">
        <f>'Fuel Costs'!$J178*F374</f>
        <v>0</v>
      </c>
      <c r="G859">
        <f>'Fuel Costs'!$J178*G374</f>
        <v>0</v>
      </c>
      <c r="H859">
        <f>'Fuel Costs'!$J178*H374</f>
        <v>0</v>
      </c>
      <c r="I859">
        <f ca="1">'Fuel Costs'!$J178*I374</f>
        <v>0</v>
      </c>
      <c r="J859">
        <f ca="1">'Fuel Costs'!$J178*J374</f>
        <v>0</v>
      </c>
      <c r="K859">
        <f ca="1">'Fuel Costs'!$J178*K374</f>
        <v>8.2197036372990014E-5</v>
      </c>
      <c r="L859">
        <f ca="1">'Fuel Costs'!$J178*L374</f>
        <v>2.4659110911897004E-4</v>
      </c>
      <c r="M859">
        <f ca="1">'Fuel Costs'!$J178*M374</f>
        <v>5.1607957024876739E-4</v>
      </c>
      <c r="N859">
        <f ca="1">'Fuel Costs'!$J178*N374</f>
        <v>8.1583757840861671E-4</v>
      </c>
      <c r="O859">
        <f ca="1">'Fuel Costs'!$J178*O374</f>
        <v>1.1163892313880612E-3</v>
      </c>
      <c r="P859">
        <f ca="1">'Fuel Costs'!$J178*P374</f>
        <v>1.3099824959818269E-3</v>
      </c>
      <c r="Q859">
        <f ca="1">'Fuel Costs'!$J178*Q374</f>
        <v>1.4258033418281324E-3</v>
      </c>
      <c r="R859">
        <f ca="1">'Fuel Costs'!$J178*R374</f>
        <v>1.3965950764288618E-3</v>
      </c>
      <c r="S859">
        <f ca="1">'Fuel Costs'!$J178*S374</f>
        <v>1.360013320442655E-3</v>
      </c>
      <c r="T859">
        <f ca="1">'Fuel Costs'!$J178*T374</f>
        <v>1.1820369898429028E-3</v>
      </c>
      <c r="U859">
        <f ca="1">'Fuel Costs'!$J178*U374</f>
        <v>1.0627219072421542E-3</v>
      </c>
      <c r="V859">
        <f ca="1">'Fuel Costs'!$J178*V374</f>
        <v>9.8636443647588039E-4</v>
      </c>
      <c r="W859">
        <f ca="1">'Fuel Costs'!$J178*W374</f>
        <v>9.8636443647588039E-4</v>
      </c>
      <c r="X859">
        <f ca="1">'Fuel Costs'!$J178*X374</f>
        <v>9.925978711764539E-4</v>
      </c>
      <c r="Y859">
        <f ca="1">'Fuel Costs'!$J178*Y374</f>
        <v>1.3040477068394626E-3</v>
      </c>
      <c r="Z859">
        <f ca="1">'Fuel Costs'!$J178*Z374</f>
        <v>1.4317744370343228E-3</v>
      </c>
      <c r="AA859">
        <f ca="1">'Fuel Costs'!$J178*AA374</f>
        <v>1.6034389998398776E-3</v>
      </c>
      <c r="AB859">
        <f ca="1">'Fuel Costs'!$J178*AB374</f>
        <v>2.2146048034200829E-3</v>
      </c>
      <c r="AC859">
        <f ca="1">'Fuel Costs'!$J178*AC374</f>
        <v>2.2792778534369302E-3</v>
      </c>
    </row>
    <row r="860" spans="3:29">
      <c r="C860" t="str">
        <f t="shared" si="192"/>
        <v xml:space="preserve">Wind 30% </v>
      </c>
      <c r="D860">
        <f>'Fuel Costs'!$J179*D375</f>
        <v>0</v>
      </c>
      <c r="E860">
        <f>'Fuel Costs'!$J179*E375</f>
        <v>0</v>
      </c>
      <c r="F860">
        <f>'Fuel Costs'!$J179*F375</f>
        <v>0</v>
      </c>
      <c r="G860">
        <f>'Fuel Costs'!$J179*G375</f>
        <v>0</v>
      </c>
      <c r="H860">
        <f>'Fuel Costs'!$J179*H375</f>
        <v>0</v>
      </c>
      <c r="I860">
        <f ca="1">'Fuel Costs'!$J179*I375</f>
        <v>0</v>
      </c>
      <c r="J860">
        <f ca="1">'Fuel Costs'!$J179*J375</f>
        <v>0</v>
      </c>
      <c r="K860">
        <f ca="1">'Fuel Costs'!$J179*K375</f>
        <v>0</v>
      </c>
      <c r="L860">
        <f ca="1">'Fuel Costs'!$J179*L375</f>
        <v>0</v>
      </c>
      <c r="M860">
        <f ca="1">'Fuel Costs'!$J179*M375</f>
        <v>0</v>
      </c>
      <c r="N860">
        <f ca="1">'Fuel Costs'!$J179*N375</f>
        <v>0</v>
      </c>
      <c r="O860">
        <f ca="1">'Fuel Costs'!$J179*O375</f>
        <v>0</v>
      </c>
      <c r="P860">
        <f ca="1">'Fuel Costs'!$J179*P375</f>
        <v>0</v>
      </c>
      <c r="Q860">
        <f ca="1">'Fuel Costs'!$J179*Q375</f>
        <v>0</v>
      </c>
      <c r="R860">
        <f ca="1">'Fuel Costs'!$J179*R375</f>
        <v>0</v>
      </c>
      <c r="S860">
        <f ca="1">'Fuel Costs'!$J179*S375</f>
        <v>0</v>
      </c>
      <c r="T860">
        <f ca="1">'Fuel Costs'!$J179*T375</f>
        <v>0</v>
      </c>
      <c r="U860">
        <f ca="1">'Fuel Costs'!$J179*U375</f>
        <v>0</v>
      </c>
      <c r="V860">
        <f ca="1">'Fuel Costs'!$J179*V375</f>
        <v>0</v>
      </c>
      <c r="W860">
        <f ca="1">'Fuel Costs'!$J179*W375</f>
        <v>0</v>
      </c>
      <c r="X860">
        <f ca="1">'Fuel Costs'!$J179*X375</f>
        <v>0</v>
      </c>
      <c r="Y860">
        <f ca="1">'Fuel Costs'!$J179*Y375</f>
        <v>0</v>
      </c>
      <c r="Z860">
        <f ca="1">'Fuel Costs'!$J179*Z375</f>
        <v>0</v>
      </c>
      <c r="AA860">
        <f ca="1">'Fuel Costs'!$J179*AA375</f>
        <v>0</v>
      </c>
      <c r="AB860">
        <f ca="1">'Fuel Costs'!$J179*AB375</f>
        <v>0</v>
      </c>
      <c r="AC860">
        <f ca="1">'Fuel Costs'!$J179*AC375</f>
        <v>0</v>
      </c>
    </row>
    <row r="861" spans="3:29">
      <c r="C861" t="str">
        <f t="shared" si="192"/>
        <v>Wind 25%</v>
      </c>
      <c r="D861">
        <f>'Fuel Costs'!$J180*D376</f>
        <v>0</v>
      </c>
      <c r="E861">
        <f>'Fuel Costs'!$J180*E376</f>
        <v>0</v>
      </c>
      <c r="F861">
        <f>'Fuel Costs'!$J180*F376</f>
        <v>0</v>
      </c>
      <c r="G861">
        <f>'Fuel Costs'!$J180*G376</f>
        <v>0</v>
      </c>
      <c r="H861">
        <f>'Fuel Costs'!$J180*H376</f>
        <v>0</v>
      </c>
      <c r="I861">
        <f ca="1">'Fuel Costs'!$J180*I376</f>
        <v>0</v>
      </c>
      <c r="J861">
        <f ca="1">'Fuel Costs'!$J180*J376</f>
        <v>0</v>
      </c>
      <c r="K861">
        <f ca="1">'Fuel Costs'!$J180*K376</f>
        <v>0</v>
      </c>
      <c r="L861">
        <f ca="1">'Fuel Costs'!$J180*L376</f>
        <v>0</v>
      </c>
      <c r="M861">
        <f ca="1">'Fuel Costs'!$J180*M376</f>
        <v>0</v>
      </c>
      <c r="N861">
        <f ca="1">'Fuel Costs'!$J180*N376</f>
        <v>0</v>
      </c>
      <c r="O861">
        <f ca="1">'Fuel Costs'!$J180*O376</f>
        <v>0</v>
      </c>
      <c r="P861">
        <f ca="1">'Fuel Costs'!$J180*P376</f>
        <v>0</v>
      </c>
      <c r="Q861">
        <f ca="1">'Fuel Costs'!$J180*Q376</f>
        <v>0</v>
      </c>
      <c r="R861">
        <f ca="1">'Fuel Costs'!$J180*R376</f>
        <v>0</v>
      </c>
      <c r="S861">
        <f ca="1">'Fuel Costs'!$J180*S376</f>
        <v>0</v>
      </c>
      <c r="T861">
        <f ca="1">'Fuel Costs'!$J180*T376</f>
        <v>0</v>
      </c>
      <c r="U861">
        <f ca="1">'Fuel Costs'!$J180*U376</f>
        <v>0</v>
      </c>
      <c r="V861">
        <f ca="1">'Fuel Costs'!$J180*V376</f>
        <v>0</v>
      </c>
      <c r="W861">
        <f ca="1">'Fuel Costs'!$J180*W376</f>
        <v>0</v>
      </c>
      <c r="X861">
        <f ca="1">'Fuel Costs'!$J180*X376</f>
        <v>0</v>
      </c>
      <c r="Y861">
        <f ca="1">'Fuel Costs'!$J180*Y376</f>
        <v>0</v>
      </c>
      <c r="Z861">
        <f ca="1">'Fuel Costs'!$J180*Z376</f>
        <v>0</v>
      </c>
      <c r="AA861">
        <f ca="1">'Fuel Costs'!$J180*AA376</f>
        <v>0</v>
      </c>
      <c r="AB861">
        <f ca="1">'Fuel Costs'!$J180*AB376</f>
        <v>0</v>
      </c>
      <c r="AC861">
        <f ca="1">'Fuel Costs'!$J180*AC376</f>
        <v>0</v>
      </c>
    </row>
    <row r="862" spans="3:29">
      <c r="C862" t="str">
        <f t="shared" si="192"/>
        <v>solar thermal central reciever</v>
      </c>
      <c r="D862">
        <f>'Fuel Costs'!$J181*D377</f>
        <v>0</v>
      </c>
      <c r="E862">
        <f>'Fuel Costs'!$J181*E377</f>
        <v>0</v>
      </c>
      <c r="F862">
        <f>'Fuel Costs'!$J181*F377</f>
        <v>0</v>
      </c>
      <c r="G862">
        <f>'Fuel Costs'!$J181*G377</f>
        <v>0</v>
      </c>
      <c r="H862">
        <f>'Fuel Costs'!$J181*H377</f>
        <v>0</v>
      </c>
      <c r="I862">
        <f ca="1">'Fuel Costs'!$J181*I377</f>
        <v>0</v>
      </c>
      <c r="J862">
        <f ca="1">'Fuel Costs'!$J181*J377</f>
        <v>0</v>
      </c>
      <c r="K862">
        <f ca="1">'Fuel Costs'!$J181*K377</f>
        <v>0</v>
      </c>
      <c r="L862">
        <f ca="1">'Fuel Costs'!$J181*L377</f>
        <v>0</v>
      </c>
      <c r="M862">
        <f ca="1">'Fuel Costs'!$J181*M377</f>
        <v>0</v>
      </c>
      <c r="N862">
        <f ca="1">'Fuel Costs'!$J181*N377</f>
        <v>0</v>
      </c>
      <c r="O862">
        <f ca="1">'Fuel Costs'!$J181*O377</f>
        <v>0</v>
      </c>
      <c r="P862">
        <f ca="1">'Fuel Costs'!$J181*P377</f>
        <v>0</v>
      </c>
      <c r="Q862">
        <f ca="1">'Fuel Costs'!$J181*Q377</f>
        <v>0</v>
      </c>
      <c r="R862">
        <f ca="1">'Fuel Costs'!$J181*R377</f>
        <v>0</v>
      </c>
      <c r="S862">
        <f ca="1">'Fuel Costs'!$J181*S377</f>
        <v>0</v>
      </c>
      <c r="T862">
        <f ca="1">'Fuel Costs'!$J181*T377</f>
        <v>0</v>
      </c>
      <c r="U862">
        <f ca="1">'Fuel Costs'!$J181*U377</f>
        <v>0</v>
      </c>
      <c r="V862">
        <f ca="1">'Fuel Costs'!$J181*V377</f>
        <v>0</v>
      </c>
      <c r="W862">
        <f ca="1">'Fuel Costs'!$J181*W377</f>
        <v>0</v>
      </c>
      <c r="X862">
        <f ca="1">'Fuel Costs'!$J181*X377</f>
        <v>0</v>
      </c>
      <c r="Y862">
        <f ca="1">'Fuel Costs'!$J181*Y377</f>
        <v>0</v>
      </c>
      <c r="Z862">
        <f ca="1">'Fuel Costs'!$J181*Z377</f>
        <v>0</v>
      </c>
      <c r="AA862">
        <f ca="1">'Fuel Costs'!$J181*AA377</f>
        <v>0</v>
      </c>
      <c r="AB862">
        <f ca="1">'Fuel Costs'!$J181*AB377</f>
        <v>0</v>
      </c>
      <c r="AC862">
        <f ca="1">'Fuel Costs'!$J181*AC377</f>
        <v>0</v>
      </c>
    </row>
    <row r="863" spans="3:29">
      <c r="C863" t="str">
        <f t="shared" si="192"/>
        <v>solar thermal trough</v>
      </c>
      <c r="D863">
        <f>'Fuel Costs'!$J182*D378</f>
        <v>0</v>
      </c>
      <c r="E863">
        <f>'Fuel Costs'!$J182*E378</f>
        <v>0</v>
      </c>
      <c r="F863">
        <f>'Fuel Costs'!$J182*F378</f>
        <v>0</v>
      </c>
      <c r="G863">
        <f>'Fuel Costs'!$J182*G378</f>
        <v>0</v>
      </c>
      <c r="H863">
        <f>'Fuel Costs'!$J182*H378</f>
        <v>0</v>
      </c>
      <c r="I863">
        <f ca="1">'Fuel Costs'!$J182*I378</f>
        <v>0</v>
      </c>
      <c r="J863">
        <f ca="1">'Fuel Costs'!$J182*J378</f>
        <v>0</v>
      </c>
      <c r="K863">
        <f ca="1">'Fuel Costs'!$J182*K378</f>
        <v>0</v>
      </c>
      <c r="L863">
        <f ca="1">'Fuel Costs'!$J182*L378</f>
        <v>0</v>
      </c>
      <c r="M863">
        <f ca="1">'Fuel Costs'!$J182*M378</f>
        <v>0</v>
      </c>
      <c r="N863">
        <f ca="1">'Fuel Costs'!$J182*N378</f>
        <v>0</v>
      </c>
      <c r="O863">
        <f ca="1">'Fuel Costs'!$J182*O378</f>
        <v>0</v>
      </c>
      <c r="P863">
        <f ca="1">'Fuel Costs'!$J182*P378</f>
        <v>0</v>
      </c>
      <c r="Q863">
        <f ca="1">'Fuel Costs'!$J182*Q378</f>
        <v>0</v>
      </c>
      <c r="R863">
        <f ca="1">'Fuel Costs'!$J182*R378</f>
        <v>0</v>
      </c>
      <c r="S863">
        <f ca="1">'Fuel Costs'!$J182*S378</f>
        <v>0</v>
      </c>
      <c r="T863">
        <f ca="1">'Fuel Costs'!$J182*T378</f>
        <v>0</v>
      </c>
      <c r="U863">
        <f ca="1">'Fuel Costs'!$J182*U378</f>
        <v>0</v>
      </c>
      <c r="V863">
        <f ca="1">'Fuel Costs'!$J182*V378</f>
        <v>0</v>
      </c>
      <c r="W863">
        <f ca="1">'Fuel Costs'!$J182*W378</f>
        <v>0</v>
      </c>
      <c r="X863">
        <f ca="1">'Fuel Costs'!$J182*X378</f>
        <v>0</v>
      </c>
      <c r="Y863">
        <f ca="1">'Fuel Costs'!$J182*Y378</f>
        <v>0</v>
      </c>
      <c r="Z863">
        <f ca="1">'Fuel Costs'!$J182*Z378</f>
        <v>0</v>
      </c>
      <c r="AA863">
        <f ca="1">'Fuel Costs'!$J182*AA378</f>
        <v>0</v>
      </c>
      <c r="AB863">
        <f ca="1">'Fuel Costs'!$J182*AB378</f>
        <v>0</v>
      </c>
      <c r="AC863">
        <f ca="1">'Fuel Costs'!$J182*AC378</f>
        <v>0</v>
      </c>
    </row>
    <row r="864" spans="3:29">
      <c r="C864" t="str">
        <f t="shared" si="192"/>
        <v>solar PV</v>
      </c>
      <c r="D864">
        <f>'Fuel Costs'!$J183*D379</f>
        <v>0</v>
      </c>
      <c r="E864">
        <f>'Fuel Costs'!$J183*E379</f>
        <v>0</v>
      </c>
      <c r="F864">
        <f>'Fuel Costs'!$J183*F379</f>
        <v>0</v>
      </c>
      <c r="G864">
        <f>'Fuel Costs'!$J183*G379</f>
        <v>0</v>
      </c>
      <c r="H864">
        <f>'Fuel Costs'!$J183*H379</f>
        <v>0</v>
      </c>
      <c r="I864">
        <f ca="1">'Fuel Costs'!$J183*I379</f>
        <v>0</v>
      </c>
      <c r="J864">
        <f ca="1">'Fuel Costs'!$J183*J379</f>
        <v>0</v>
      </c>
      <c r="K864">
        <f ca="1">'Fuel Costs'!$J183*K379</f>
        <v>0</v>
      </c>
      <c r="L864">
        <f ca="1">'Fuel Costs'!$J183*L379</f>
        <v>0</v>
      </c>
      <c r="M864">
        <f ca="1">'Fuel Costs'!$J183*M379</f>
        <v>0</v>
      </c>
      <c r="N864">
        <f ca="1">'Fuel Costs'!$J183*N379</f>
        <v>0</v>
      </c>
      <c r="O864">
        <f ca="1">'Fuel Costs'!$J183*O379</f>
        <v>0</v>
      </c>
      <c r="P864">
        <f ca="1">'Fuel Costs'!$J183*P379</f>
        <v>0</v>
      </c>
      <c r="Q864">
        <f ca="1">'Fuel Costs'!$J183*Q379</f>
        <v>0</v>
      </c>
      <c r="R864">
        <f ca="1">'Fuel Costs'!$J183*R379</f>
        <v>0</v>
      </c>
      <c r="S864">
        <f ca="1">'Fuel Costs'!$J183*S379</f>
        <v>0</v>
      </c>
      <c r="T864">
        <f ca="1">'Fuel Costs'!$J183*T379</f>
        <v>0</v>
      </c>
      <c r="U864">
        <f ca="1">'Fuel Costs'!$J183*U379</f>
        <v>0</v>
      </c>
      <c r="V864">
        <f ca="1">'Fuel Costs'!$J183*V379</f>
        <v>0</v>
      </c>
      <c r="W864">
        <f ca="1">'Fuel Costs'!$J183*W379</f>
        <v>0</v>
      </c>
      <c r="X864">
        <f ca="1">'Fuel Costs'!$J183*X379</f>
        <v>0</v>
      </c>
      <c r="Y864">
        <f ca="1">'Fuel Costs'!$J183*Y379</f>
        <v>0</v>
      </c>
      <c r="Z864">
        <f ca="1">'Fuel Costs'!$J183*Z379</f>
        <v>0</v>
      </c>
      <c r="AA864">
        <f ca="1">'Fuel Costs'!$J183*AA379</f>
        <v>0</v>
      </c>
      <c r="AB864">
        <f ca="1">'Fuel Costs'!$J183*AB379</f>
        <v>0</v>
      </c>
      <c r="AC864">
        <f ca="1">'Fuel Costs'!$J183*AC379</f>
        <v>0</v>
      </c>
    </row>
    <row r="865" spans="3:29">
      <c r="C865" t="str">
        <f t="shared" si="192"/>
        <v>combined cycle gas</v>
      </c>
      <c r="D865">
        <f>'Fuel Costs'!$J184*D380</f>
        <v>0</v>
      </c>
      <c r="E865">
        <f>'Fuel Costs'!$J184*E380</f>
        <v>0</v>
      </c>
      <c r="F865">
        <f>'Fuel Costs'!$J184*F380</f>
        <v>0</v>
      </c>
      <c r="G865">
        <f>'Fuel Costs'!$J184*G380</f>
        <v>0</v>
      </c>
      <c r="H865">
        <f>'Fuel Costs'!$J184*H380</f>
        <v>0</v>
      </c>
      <c r="I865">
        <f ca="1">'Fuel Costs'!$J184*I380</f>
        <v>0</v>
      </c>
      <c r="J865">
        <f ca="1">'Fuel Costs'!$J184*J380</f>
        <v>0</v>
      </c>
      <c r="K865">
        <f ca="1">'Fuel Costs'!$J184*K380</f>
        <v>0</v>
      </c>
      <c r="L865">
        <f ca="1">'Fuel Costs'!$J184*L380</f>
        <v>0</v>
      </c>
      <c r="M865">
        <f ca="1">'Fuel Costs'!$J184*M380</f>
        <v>0</v>
      </c>
      <c r="N865">
        <f ca="1">'Fuel Costs'!$J184*N380</f>
        <v>0</v>
      </c>
      <c r="O865">
        <f ca="1">'Fuel Costs'!$J184*O380</f>
        <v>0</v>
      </c>
      <c r="P865">
        <f ca="1">'Fuel Costs'!$J184*P380</f>
        <v>0</v>
      </c>
      <c r="Q865">
        <f ca="1">'Fuel Costs'!$J184*Q380</f>
        <v>0</v>
      </c>
      <c r="R865">
        <f ca="1">'Fuel Costs'!$J184*R380</f>
        <v>0</v>
      </c>
      <c r="S865">
        <f ca="1">'Fuel Costs'!$J184*S380</f>
        <v>0</v>
      </c>
      <c r="T865">
        <f ca="1">'Fuel Costs'!$J184*T380</f>
        <v>0</v>
      </c>
      <c r="U865">
        <f ca="1">'Fuel Costs'!$J184*U380</f>
        <v>0</v>
      </c>
      <c r="V865">
        <f ca="1">'Fuel Costs'!$J184*V380</f>
        <v>0</v>
      </c>
      <c r="W865">
        <f ca="1">'Fuel Costs'!$J184*W380</f>
        <v>0</v>
      </c>
      <c r="X865">
        <f ca="1">'Fuel Costs'!$J184*X380</f>
        <v>0</v>
      </c>
      <c r="Y865">
        <f ca="1">'Fuel Costs'!$J184*Y380</f>
        <v>0</v>
      </c>
      <c r="Z865">
        <f ca="1">'Fuel Costs'!$J184*Z380</f>
        <v>1.366334312074941E-4</v>
      </c>
      <c r="AA865">
        <f ca="1">'Fuel Costs'!$J184*AA380</f>
        <v>3.4158357801873532E-4</v>
      </c>
      <c r="AB865">
        <f ca="1">'Fuel Costs'!$J184*AB380</f>
        <v>5.465337248299764E-4</v>
      </c>
      <c r="AC865">
        <f ca="1">'Fuel Costs'!$J184*AC380</f>
        <v>5.465337248299764E-4</v>
      </c>
    </row>
    <row r="866" spans="3:29">
      <c r="C866" t="str">
        <f t="shared" si="192"/>
        <v>PBMR</v>
      </c>
      <c r="D866">
        <f>'Fuel Costs'!$J185*D381</f>
        <v>0</v>
      </c>
      <c r="E866">
        <f>'Fuel Costs'!$J185*E381</f>
        <v>0</v>
      </c>
      <c r="F866">
        <f>'Fuel Costs'!$J185*F381</f>
        <v>0</v>
      </c>
      <c r="G866">
        <f>'Fuel Costs'!$J185*G381</f>
        <v>0</v>
      </c>
      <c r="H866">
        <f>'Fuel Costs'!$J185*H381</f>
        <v>0</v>
      </c>
      <c r="I866">
        <f ca="1">'Fuel Costs'!$J185*I381</f>
        <v>0</v>
      </c>
      <c r="J866">
        <f ca="1">'Fuel Costs'!$J185*J381</f>
        <v>0</v>
      </c>
      <c r="K866">
        <f ca="1">'Fuel Costs'!$J185*K381</f>
        <v>0</v>
      </c>
      <c r="L866">
        <f ca="1">'Fuel Costs'!$J185*L381</f>
        <v>0</v>
      </c>
      <c r="M866">
        <f ca="1">'Fuel Costs'!$J185*M381</f>
        <v>0</v>
      </c>
      <c r="N866">
        <f ca="1">'Fuel Costs'!$J185*N381</f>
        <v>0</v>
      </c>
      <c r="O866">
        <f ca="1">'Fuel Costs'!$J185*O381</f>
        <v>0</v>
      </c>
      <c r="P866">
        <f ca="1">'Fuel Costs'!$J185*P381</f>
        <v>0</v>
      </c>
      <c r="Q866">
        <f ca="1">'Fuel Costs'!$J185*Q381</f>
        <v>0</v>
      </c>
      <c r="R866">
        <f ca="1">'Fuel Costs'!$J185*R381</f>
        <v>0</v>
      </c>
      <c r="S866">
        <f ca="1">'Fuel Costs'!$J185*S381</f>
        <v>0</v>
      </c>
      <c r="T866">
        <f ca="1">'Fuel Costs'!$J185*T381</f>
        <v>0</v>
      </c>
      <c r="U866">
        <f ca="1">'Fuel Costs'!$J185*U381</f>
        <v>0</v>
      </c>
      <c r="V866">
        <f ca="1">'Fuel Costs'!$J185*V381</f>
        <v>0</v>
      </c>
      <c r="W866">
        <f ca="1">'Fuel Costs'!$J185*W381</f>
        <v>0</v>
      </c>
      <c r="X866">
        <f ca="1">'Fuel Costs'!$J185*X381</f>
        <v>0</v>
      </c>
      <c r="Y866">
        <f ca="1">'Fuel Costs'!$J185*Y381</f>
        <v>0</v>
      </c>
      <c r="Z866">
        <f ca="1">'Fuel Costs'!$J185*Z381</f>
        <v>0</v>
      </c>
      <c r="AA866">
        <f ca="1">'Fuel Costs'!$J185*AA381</f>
        <v>0</v>
      </c>
      <c r="AB866">
        <f ca="1">'Fuel Costs'!$J185*AB381</f>
        <v>0</v>
      </c>
      <c r="AC866">
        <f ca="1">'Fuel Costs'!$J185*AC381</f>
        <v>0</v>
      </c>
    </row>
    <row r="867" spans="3:29">
      <c r="C867" t="str">
        <f t="shared" si="192"/>
        <v>IGCC</v>
      </c>
      <c r="D867">
        <f>'Fuel Costs'!$J186*D382</f>
        <v>0</v>
      </c>
      <c r="E867">
        <f>'Fuel Costs'!$J186*E382</f>
        <v>1.3456265151035039E-18</v>
      </c>
      <c r="F867">
        <f>'Fuel Costs'!$J186*F382</f>
        <v>0</v>
      </c>
      <c r="G867">
        <f>'Fuel Costs'!$J186*G382</f>
        <v>1.3456265151035039E-18</v>
      </c>
      <c r="H867">
        <f>'Fuel Costs'!$J186*H382</f>
        <v>1.3456265151035039E-18</v>
      </c>
      <c r="I867">
        <f ca="1">'Fuel Costs'!$J186*I382</f>
        <v>0</v>
      </c>
      <c r="J867">
        <f ca="1">'Fuel Costs'!$J186*J382</f>
        <v>0</v>
      </c>
      <c r="K867">
        <f ca="1">'Fuel Costs'!$J186*K382</f>
        <v>0</v>
      </c>
      <c r="L867">
        <f ca="1">'Fuel Costs'!$J186*L382</f>
        <v>0</v>
      </c>
      <c r="M867">
        <f ca="1">'Fuel Costs'!$J186*M382</f>
        <v>0</v>
      </c>
      <c r="N867">
        <f ca="1">'Fuel Costs'!$J186*N382</f>
        <v>0</v>
      </c>
      <c r="O867">
        <f ca="1">'Fuel Costs'!$J186*O382</f>
        <v>0</v>
      </c>
      <c r="P867">
        <f ca="1">'Fuel Costs'!$J186*P382</f>
        <v>0</v>
      </c>
      <c r="Q867">
        <f ca="1">'Fuel Costs'!$J186*Q382</f>
        <v>0</v>
      </c>
      <c r="R867">
        <f ca="1">'Fuel Costs'!$J186*R382</f>
        <v>0</v>
      </c>
      <c r="S867">
        <f ca="1">'Fuel Costs'!$J186*S382</f>
        <v>0</v>
      </c>
      <c r="T867">
        <f ca="1">'Fuel Costs'!$J186*T382</f>
        <v>0</v>
      </c>
      <c r="U867">
        <f ca="1">'Fuel Costs'!$J186*U382</f>
        <v>0</v>
      </c>
      <c r="V867">
        <f ca="1">'Fuel Costs'!$J186*V382</f>
        <v>0</v>
      </c>
      <c r="W867">
        <f ca="1">'Fuel Costs'!$J186*W382</f>
        <v>0</v>
      </c>
      <c r="X867">
        <f ca="1">'Fuel Costs'!$J186*X382</f>
        <v>0</v>
      </c>
      <c r="Y867">
        <f ca="1">'Fuel Costs'!$J186*Y382</f>
        <v>0</v>
      </c>
      <c r="Z867">
        <f ca="1">'Fuel Costs'!$J186*Z382</f>
        <v>0</v>
      </c>
      <c r="AA867">
        <f ca="1">'Fuel Costs'!$J186*AA382</f>
        <v>0</v>
      </c>
      <c r="AB867">
        <f ca="1">'Fuel Costs'!$J186*AB382</f>
        <v>1.9094359846877698E-4</v>
      </c>
      <c r="AC867">
        <f ca="1">'Fuel Costs'!$J186*AC382</f>
        <v>3.8188719693755396E-4</v>
      </c>
    </row>
    <row r="868" spans="3:29">
      <c r="C868" t="str">
        <f t="shared" si="192"/>
        <v>-</v>
      </c>
      <c r="D868">
        <f>'Fuel Costs'!$J187*D383</f>
        <v>0</v>
      </c>
      <c r="E868">
        <f>'Fuel Costs'!$J187*E383</f>
        <v>0</v>
      </c>
      <c r="F868">
        <f>'Fuel Costs'!$J187*F383</f>
        <v>0</v>
      </c>
      <c r="G868">
        <f>'Fuel Costs'!$J187*G383</f>
        <v>0</v>
      </c>
      <c r="H868">
        <f>'Fuel Costs'!$J187*H383</f>
        <v>0</v>
      </c>
      <c r="I868">
        <f ca="1">'Fuel Costs'!$J187*I383</f>
        <v>0</v>
      </c>
      <c r="J868">
        <f ca="1">'Fuel Costs'!$J187*J383</f>
        <v>0</v>
      </c>
      <c r="K868">
        <f ca="1">'Fuel Costs'!$J187*K383</f>
        <v>0</v>
      </c>
      <c r="L868">
        <f ca="1">'Fuel Costs'!$J187*L383</f>
        <v>0</v>
      </c>
      <c r="M868">
        <f ca="1">'Fuel Costs'!$J187*M383</f>
        <v>0</v>
      </c>
      <c r="N868">
        <f ca="1">'Fuel Costs'!$J187*N383</f>
        <v>0</v>
      </c>
      <c r="O868">
        <f ca="1">'Fuel Costs'!$J187*O383</f>
        <v>0</v>
      </c>
      <c r="P868">
        <f ca="1">'Fuel Costs'!$J187*P383</f>
        <v>0</v>
      </c>
      <c r="Q868">
        <f ca="1">'Fuel Costs'!$J187*Q383</f>
        <v>0</v>
      </c>
      <c r="R868">
        <f ca="1">'Fuel Costs'!$J187*R383</f>
        <v>0</v>
      </c>
      <c r="S868">
        <f ca="1">'Fuel Costs'!$J187*S383</f>
        <v>0</v>
      </c>
      <c r="T868">
        <f ca="1">'Fuel Costs'!$J187*T383</f>
        <v>0</v>
      </c>
      <c r="U868">
        <f ca="1">'Fuel Costs'!$J187*U383</f>
        <v>0</v>
      </c>
      <c r="V868">
        <f ca="1">'Fuel Costs'!$J187*V383</f>
        <v>0</v>
      </c>
      <c r="W868">
        <f ca="1">'Fuel Costs'!$J187*W383</f>
        <v>0</v>
      </c>
      <c r="X868">
        <f ca="1">'Fuel Costs'!$J187*X383</f>
        <v>0</v>
      </c>
      <c r="Y868">
        <f ca="1">'Fuel Costs'!$J187*Y383</f>
        <v>0</v>
      </c>
      <c r="Z868">
        <f ca="1">'Fuel Costs'!$J187*Z383</f>
        <v>0</v>
      </c>
      <c r="AA868">
        <f ca="1">'Fuel Costs'!$J187*AA383</f>
        <v>0</v>
      </c>
      <c r="AB868">
        <f ca="1">'Fuel Costs'!$J187*AB383</f>
        <v>0</v>
      </c>
      <c r="AC868">
        <f ca="1">'Fuel Costs'!$J187*AC383</f>
        <v>0</v>
      </c>
    </row>
    <row r="869" spans="3:29">
      <c r="C869" t="str">
        <f t="shared" si="192"/>
        <v>-</v>
      </c>
      <c r="D869">
        <f>'Fuel Costs'!$J188*D384</f>
        <v>0</v>
      </c>
      <c r="E869">
        <f>'Fuel Costs'!$J188*E384</f>
        <v>0</v>
      </c>
      <c r="F869">
        <f>'Fuel Costs'!$J188*F384</f>
        <v>0</v>
      </c>
      <c r="G869">
        <f>'Fuel Costs'!$J188*G384</f>
        <v>0</v>
      </c>
      <c r="H869">
        <f>'Fuel Costs'!$J188*H384</f>
        <v>0</v>
      </c>
      <c r="I869">
        <f ca="1">'Fuel Costs'!$J188*I384</f>
        <v>0</v>
      </c>
      <c r="J869">
        <f ca="1">'Fuel Costs'!$J188*J384</f>
        <v>0</v>
      </c>
      <c r="K869">
        <f ca="1">'Fuel Costs'!$J188*K384</f>
        <v>0</v>
      </c>
      <c r="L869">
        <f ca="1">'Fuel Costs'!$J188*L384</f>
        <v>0</v>
      </c>
      <c r="M869">
        <f ca="1">'Fuel Costs'!$J188*M384</f>
        <v>0</v>
      </c>
      <c r="N869">
        <f ca="1">'Fuel Costs'!$J188*N384</f>
        <v>0</v>
      </c>
      <c r="O869">
        <f ca="1">'Fuel Costs'!$J188*O384</f>
        <v>0</v>
      </c>
      <c r="P869">
        <f ca="1">'Fuel Costs'!$J188*P384</f>
        <v>0</v>
      </c>
      <c r="Q869">
        <f ca="1">'Fuel Costs'!$J188*Q384</f>
        <v>0</v>
      </c>
      <c r="R869">
        <f ca="1">'Fuel Costs'!$J188*R384</f>
        <v>0</v>
      </c>
      <c r="S869">
        <f ca="1">'Fuel Costs'!$J188*S384</f>
        <v>0</v>
      </c>
      <c r="T869">
        <f ca="1">'Fuel Costs'!$J188*T384</f>
        <v>0</v>
      </c>
      <c r="U869">
        <f ca="1">'Fuel Costs'!$J188*U384</f>
        <v>0</v>
      </c>
      <c r="V869">
        <f ca="1">'Fuel Costs'!$J188*V384</f>
        <v>0</v>
      </c>
      <c r="W869">
        <f ca="1">'Fuel Costs'!$J188*W384</f>
        <v>0</v>
      </c>
      <c r="X869">
        <f ca="1">'Fuel Costs'!$J188*X384</f>
        <v>0</v>
      </c>
      <c r="Y869">
        <f ca="1">'Fuel Costs'!$J188*Y384</f>
        <v>0</v>
      </c>
      <c r="Z869">
        <f ca="1">'Fuel Costs'!$J188*Z384</f>
        <v>0</v>
      </c>
      <c r="AA869">
        <f ca="1">'Fuel Costs'!$J188*AA384</f>
        <v>0</v>
      </c>
      <c r="AB869">
        <f ca="1">'Fuel Costs'!$J188*AB384</f>
        <v>0</v>
      </c>
      <c r="AC869">
        <f ca="1">'Fuel Costs'!$J188*AC384</f>
        <v>0</v>
      </c>
    </row>
    <row r="870" spans="3:29">
      <c r="C870" t="str">
        <f t="shared" si="192"/>
        <v>-</v>
      </c>
      <c r="D870">
        <f>'Fuel Costs'!$J189*D385</f>
        <v>0</v>
      </c>
      <c r="E870">
        <f>'Fuel Costs'!$J189*E385</f>
        <v>0</v>
      </c>
      <c r="F870">
        <f>'Fuel Costs'!$J189*F385</f>
        <v>0</v>
      </c>
      <c r="G870">
        <f>'Fuel Costs'!$J189*G385</f>
        <v>0</v>
      </c>
      <c r="H870">
        <f>'Fuel Costs'!$J189*H385</f>
        <v>0</v>
      </c>
      <c r="I870">
        <f ca="1">'Fuel Costs'!$J189*I385</f>
        <v>0</v>
      </c>
      <c r="J870">
        <f ca="1">'Fuel Costs'!$J189*J385</f>
        <v>0</v>
      </c>
      <c r="K870">
        <f ca="1">'Fuel Costs'!$J189*K385</f>
        <v>0</v>
      </c>
      <c r="L870">
        <f ca="1">'Fuel Costs'!$J189*L385</f>
        <v>0</v>
      </c>
      <c r="M870">
        <f ca="1">'Fuel Costs'!$J189*M385</f>
        <v>0</v>
      </c>
      <c r="N870">
        <f ca="1">'Fuel Costs'!$J189*N385</f>
        <v>0</v>
      </c>
      <c r="O870">
        <f ca="1">'Fuel Costs'!$J189*O385</f>
        <v>0</v>
      </c>
      <c r="P870">
        <f ca="1">'Fuel Costs'!$J189*P385</f>
        <v>0</v>
      </c>
      <c r="Q870">
        <f ca="1">'Fuel Costs'!$J189*Q385</f>
        <v>0</v>
      </c>
      <c r="R870">
        <f ca="1">'Fuel Costs'!$J189*R385</f>
        <v>0</v>
      </c>
      <c r="S870">
        <f ca="1">'Fuel Costs'!$J189*S385</f>
        <v>0</v>
      </c>
      <c r="T870">
        <f ca="1">'Fuel Costs'!$J189*T385</f>
        <v>0</v>
      </c>
      <c r="U870">
        <f ca="1">'Fuel Costs'!$J189*U385</f>
        <v>0</v>
      </c>
      <c r="V870">
        <f ca="1">'Fuel Costs'!$J189*V385</f>
        <v>0</v>
      </c>
      <c r="W870">
        <f ca="1">'Fuel Costs'!$J189*W385</f>
        <v>0</v>
      </c>
      <c r="X870">
        <f ca="1">'Fuel Costs'!$J189*X385</f>
        <v>0</v>
      </c>
      <c r="Y870">
        <f ca="1">'Fuel Costs'!$J189*Y385</f>
        <v>0</v>
      </c>
      <c r="Z870">
        <f ca="1">'Fuel Costs'!$J189*Z385</f>
        <v>0</v>
      </c>
      <c r="AA870">
        <f ca="1">'Fuel Costs'!$J189*AA385</f>
        <v>0</v>
      </c>
      <c r="AB870">
        <f ca="1">'Fuel Costs'!$J189*AB385</f>
        <v>0</v>
      </c>
      <c r="AC870">
        <f ca="1">'Fuel Costs'!$J189*AC385</f>
        <v>0</v>
      </c>
    </row>
    <row r="871" spans="3:29">
      <c r="C871" t="str">
        <f t="shared" si="192"/>
        <v>Pumped storage</v>
      </c>
      <c r="D871">
        <f>'Fuel Costs'!$J190*D386</f>
        <v>0</v>
      </c>
      <c r="E871">
        <f>'Fuel Costs'!$J190*E386</f>
        <v>0</v>
      </c>
      <c r="F871">
        <f>'Fuel Costs'!$J190*F386</f>
        <v>0</v>
      </c>
      <c r="G871">
        <f>'Fuel Costs'!$J190*G386</f>
        <v>0</v>
      </c>
      <c r="H871">
        <f>'Fuel Costs'!$J190*H386</f>
        <v>0</v>
      </c>
      <c r="I871">
        <f ca="1">'Fuel Costs'!$J190*I386</f>
        <v>0</v>
      </c>
      <c r="J871">
        <f ca="1">'Fuel Costs'!$J190*J386</f>
        <v>0</v>
      </c>
      <c r="K871">
        <f ca="1">'Fuel Costs'!$J190*K386</f>
        <v>0</v>
      </c>
      <c r="L871">
        <f ca="1">'Fuel Costs'!$J190*L386</f>
        <v>0</v>
      </c>
      <c r="M871">
        <f ca="1">'Fuel Costs'!$J190*M386</f>
        <v>0</v>
      </c>
      <c r="N871">
        <f ca="1">'Fuel Costs'!$J190*N386</f>
        <v>0</v>
      </c>
      <c r="O871">
        <f ca="1">'Fuel Costs'!$J190*O386</f>
        <v>0</v>
      </c>
      <c r="P871">
        <f ca="1">'Fuel Costs'!$J190*P386</f>
        <v>0</v>
      </c>
      <c r="Q871">
        <f ca="1">'Fuel Costs'!$J190*Q386</f>
        <v>0</v>
      </c>
      <c r="R871">
        <f ca="1">'Fuel Costs'!$J190*R386</f>
        <v>0</v>
      </c>
      <c r="S871">
        <f ca="1">'Fuel Costs'!$J190*S386</f>
        <v>0</v>
      </c>
      <c r="T871">
        <f ca="1">'Fuel Costs'!$J190*T386</f>
        <v>0</v>
      </c>
      <c r="U871">
        <f ca="1">'Fuel Costs'!$J190*U386</f>
        <v>0</v>
      </c>
      <c r="V871">
        <f ca="1">'Fuel Costs'!$J190*V386</f>
        <v>0</v>
      </c>
      <c r="W871">
        <f ca="1">'Fuel Costs'!$J190*W386</f>
        <v>0</v>
      </c>
      <c r="X871">
        <f ca="1">'Fuel Costs'!$J190*X386</f>
        <v>0</v>
      </c>
      <c r="Y871">
        <f ca="1">'Fuel Costs'!$J190*Y386</f>
        <v>0</v>
      </c>
      <c r="Z871">
        <f ca="1">'Fuel Costs'!$J190*Z386</f>
        <v>0</v>
      </c>
      <c r="AA871">
        <f ca="1">'Fuel Costs'!$J190*AA386</f>
        <v>0</v>
      </c>
      <c r="AB871">
        <f ca="1">'Fuel Costs'!$J190*AB386</f>
        <v>0</v>
      </c>
      <c r="AC871">
        <f ca="1">'Fuel Costs'!$J190*AC386</f>
        <v>0</v>
      </c>
    </row>
    <row r="872" spans="3:29">
      <c r="C872" s="4" t="s">
        <v>5</v>
      </c>
      <c r="D872">
        <f>SUM(D852:D871)</f>
        <v>1.1385203537867488E-2</v>
      </c>
      <c r="E872">
        <f t="shared" ref="E872:AC872" si="193">SUM(E852:E871)</f>
        <v>1.138520353786749E-2</v>
      </c>
      <c r="F872">
        <f t="shared" si="193"/>
        <v>1.17349102693673E-2</v>
      </c>
      <c r="G872">
        <f t="shared" si="193"/>
        <v>1.1856728296186855E-2</v>
      </c>
      <c r="H872">
        <f t="shared" si="193"/>
        <v>1.1856728296186855E-2</v>
      </c>
      <c r="I872">
        <f t="shared" ca="1" si="193"/>
        <v>1.2210517381132454E-2</v>
      </c>
      <c r="J872">
        <f t="shared" ca="1" si="193"/>
        <v>1.2453003783723469E-2</v>
      </c>
      <c r="K872">
        <f t="shared" ca="1" si="193"/>
        <v>1.2728660143491112E-2</v>
      </c>
      <c r="L872">
        <f t="shared" ca="1" si="193"/>
        <v>1.3043719357905376E-2</v>
      </c>
      <c r="M872">
        <f t="shared" ca="1" si="193"/>
        <v>1.3431924097987163E-2</v>
      </c>
      <c r="N872">
        <f t="shared" ca="1" si="193"/>
        <v>1.3731682106147012E-2</v>
      </c>
      <c r="O872">
        <f t="shared" ca="1" si="193"/>
        <v>1.4027180271438924E-2</v>
      </c>
      <c r="P872">
        <f t="shared" ca="1" si="193"/>
        <v>1.4215720048345155E-2</v>
      </c>
      <c r="Q872">
        <f t="shared" ca="1" si="193"/>
        <v>1.4324802910608083E-2</v>
      </c>
      <c r="R872">
        <f t="shared" ca="1" si="193"/>
        <v>1.4288856661625436E-2</v>
      </c>
      <c r="S872">
        <f t="shared" ca="1" si="193"/>
        <v>1.4124253217555052E-2</v>
      </c>
      <c r="T872">
        <f t="shared" ca="1" si="193"/>
        <v>1.3818255198871122E-2</v>
      </c>
      <c r="U872">
        <f t="shared" ca="1" si="193"/>
        <v>1.3698940116270373E-2</v>
      </c>
      <c r="V872">
        <f t="shared" ca="1" si="193"/>
        <v>1.3342450691975601E-2</v>
      </c>
      <c r="W872">
        <f t="shared" ca="1" si="193"/>
        <v>1.3000768426808989E-2</v>
      </c>
      <c r="X872">
        <f t="shared" ca="1" si="193"/>
        <v>1.2673188419822118E-2</v>
      </c>
      <c r="Y872">
        <f t="shared" ca="1" si="193"/>
        <v>1.2376400457652516E-2</v>
      </c>
      <c r="Z872">
        <f t="shared" ca="1" si="193"/>
        <v>1.2080360395658431E-2</v>
      </c>
      <c r="AA872">
        <f t="shared" ca="1" si="193"/>
        <v>1.1778595887479544E-2</v>
      </c>
      <c r="AB872">
        <f t="shared" ca="1" si="193"/>
        <v>1.1443763305431174E-2</v>
      </c>
      <c r="AC872">
        <f t="shared" ca="1" si="193"/>
        <v>1.1033218980282273E-2</v>
      </c>
    </row>
    <row r="874" spans="3:29">
      <c r="C874" s="4" t="s">
        <v>167</v>
      </c>
    </row>
    <row r="875" spans="3:29">
      <c r="C875" t="str">
        <f>C8</f>
        <v>Existing coal Large</v>
      </c>
    </row>
    <row r="876" spans="3:29">
      <c r="C876" t="str">
        <f t="shared" ref="C876:C894" si="194">C9</f>
        <v>Existing coal Small</v>
      </c>
    </row>
    <row r="877" spans="3:29">
      <c r="C877" t="str">
        <f t="shared" si="194"/>
        <v>OCGT liquid fuels</v>
      </c>
    </row>
    <row r="878" spans="3:29">
      <c r="C878" t="str">
        <f t="shared" si="194"/>
        <v>PWR nuclear</v>
      </c>
    </row>
    <row r="879" spans="3:29">
      <c r="C879" t="str">
        <f t="shared" si="194"/>
        <v>Hydro</v>
      </c>
    </row>
    <row r="880" spans="3:29">
      <c r="C880" t="str">
        <f t="shared" si="194"/>
        <v>Landfill gas</v>
      </c>
    </row>
    <row r="881" spans="3:29">
      <c r="C881" t="str">
        <f t="shared" si="194"/>
        <v>Biomass</v>
      </c>
    </row>
    <row r="882" spans="3:29">
      <c r="C882" t="str">
        <f t="shared" si="194"/>
        <v>Supercritical coal</v>
      </c>
    </row>
    <row r="883" spans="3:29">
      <c r="C883" t="str">
        <f t="shared" si="194"/>
        <v xml:space="preserve">Wind 30% </v>
      </c>
    </row>
    <row r="884" spans="3:29">
      <c r="C884" t="str">
        <f t="shared" si="194"/>
        <v>Wind 25%</v>
      </c>
    </row>
    <row r="885" spans="3:29">
      <c r="C885" t="str">
        <f t="shared" si="194"/>
        <v>solar thermal central reciever</v>
      </c>
    </row>
    <row r="886" spans="3:29">
      <c r="C886" t="str">
        <f t="shared" si="194"/>
        <v>solar thermal trough</v>
      </c>
    </row>
    <row r="887" spans="3:29">
      <c r="C887" t="str">
        <f t="shared" si="194"/>
        <v>solar PV</v>
      </c>
    </row>
    <row r="888" spans="3:29">
      <c r="C888" t="str">
        <f t="shared" si="194"/>
        <v>combined cycle gas</v>
      </c>
    </row>
    <row r="889" spans="3:29">
      <c r="C889" t="str">
        <f t="shared" si="194"/>
        <v>PBMR</v>
      </c>
    </row>
    <row r="890" spans="3:29">
      <c r="C890" t="str">
        <f t="shared" si="194"/>
        <v>IGCC</v>
      </c>
    </row>
    <row r="891" spans="3:29">
      <c r="C891" t="str">
        <f t="shared" si="194"/>
        <v>-</v>
      </c>
    </row>
    <row r="892" spans="3:29">
      <c r="C892" t="str">
        <f t="shared" si="194"/>
        <v>-</v>
      </c>
    </row>
    <row r="893" spans="3:29">
      <c r="C893" t="str">
        <f t="shared" si="194"/>
        <v>-</v>
      </c>
    </row>
    <row r="894" spans="3:29">
      <c r="C894" t="str">
        <f t="shared" si="194"/>
        <v>Pumped storage</v>
      </c>
    </row>
    <row r="895" spans="3:29">
      <c r="C895" s="4" t="s">
        <v>5</v>
      </c>
      <c r="D895">
        <f t="shared" ref="D895:AC895" si="195">SUM(D875:D894)</f>
        <v>0</v>
      </c>
      <c r="E895">
        <f t="shared" si="195"/>
        <v>0</v>
      </c>
      <c r="F895">
        <f t="shared" si="195"/>
        <v>0</v>
      </c>
      <c r="G895">
        <f t="shared" si="195"/>
        <v>0</v>
      </c>
      <c r="H895">
        <f t="shared" si="195"/>
        <v>0</v>
      </c>
      <c r="I895">
        <f t="shared" si="195"/>
        <v>0</v>
      </c>
      <c r="J895">
        <f t="shared" si="195"/>
        <v>0</v>
      </c>
      <c r="K895">
        <f t="shared" si="195"/>
        <v>0</v>
      </c>
      <c r="L895">
        <f t="shared" si="195"/>
        <v>0</v>
      </c>
      <c r="M895">
        <f t="shared" si="195"/>
        <v>0</v>
      </c>
      <c r="N895">
        <f t="shared" si="195"/>
        <v>0</v>
      </c>
      <c r="O895">
        <f t="shared" si="195"/>
        <v>0</v>
      </c>
      <c r="P895">
        <f t="shared" si="195"/>
        <v>0</v>
      </c>
      <c r="Q895">
        <f t="shared" si="195"/>
        <v>0</v>
      </c>
      <c r="R895">
        <f t="shared" si="195"/>
        <v>0</v>
      </c>
      <c r="S895">
        <f t="shared" si="195"/>
        <v>0</v>
      </c>
      <c r="T895">
        <f t="shared" si="195"/>
        <v>0</v>
      </c>
      <c r="U895">
        <f t="shared" si="195"/>
        <v>0</v>
      </c>
      <c r="V895">
        <f t="shared" si="195"/>
        <v>0</v>
      </c>
      <c r="W895">
        <f t="shared" si="195"/>
        <v>0</v>
      </c>
      <c r="X895">
        <f t="shared" si="195"/>
        <v>0</v>
      </c>
      <c r="Y895">
        <f t="shared" si="195"/>
        <v>0</v>
      </c>
      <c r="Z895">
        <f t="shared" si="195"/>
        <v>0</v>
      </c>
      <c r="AA895">
        <f t="shared" si="195"/>
        <v>0</v>
      </c>
      <c r="AB895">
        <f t="shared" si="195"/>
        <v>0</v>
      </c>
      <c r="AC895">
        <f t="shared" si="195"/>
        <v>0</v>
      </c>
    </row>
    <row r="897" spans="3:3">
      <c r="C897" s="4" t="s">
        <v>168</v>
      </c>
    </row>
    <row r="898" spans="3:3">
      <c r="C898" t="str">
        <f>C8</f>
        <v>Existing coal Large</v>
      </c>
    </row>
    <row r="899" spans="3:3">
      <c r="C899" t="str">
        <f t="shared" ref="C899:C917" si="196">C9</f>
        <v>Existing coal Small</v>
      </c>
    </row>
    <row r="900" spans="3:3">
      <c r="C900" t="str">
        <f t="shared" si="196"/>
        <v>OCGT liquid fuels</v>
      </c>
    </row>
    <row r="901" spans="3:3">
      <c r="C901" t="str">
        <f t="shared" si="196"/>
        <v>PWR nuclear</v>
      </c>
    </row>
    <row r="902" spans="3:3">
      <c r="C902" t="str">
        <f t="shared" si="196"/>
        <v>Hydro</v>
      </c>
    </row>
    <row r="903" spans="3:3">
      <c r="C903" t="str">
        <f t="shared" si="196"/>
        <v>Landfill gas</v>
      </c>
    </row>
    <row r="904" spans="3:3">
      <c r="C904" t="str">
        <f t="shared" si="196"/>
        <v>Biomass</v>
      </c>
    </row>
    <row r="905" spans="3:3">
      <c r="C905" t="str">
        <f t="shared" si="196"/>
        <v>Supercritical coal</v>
      </c>
    </row>
    <row r="906" spans="3:3">
      <c r="C906" t="str">
        <f t="shared" si="196"/>
        <v xml:space="preserve">Wind 30% </v>
      </c>
    </row>
    <row r="907" spans="3:3">
      <c r="C907" t="str">
        <f t="shared" si="196"/>
        <v>Wind 25%</v>
      </c>
    </row>
    <row r="908" spans="3:3">
      <c r="C908" t="str">
        <f t="shared" si="196"/>
        <v>solar thermal central reciever</v>
      </c>
    </row>
    <row r="909" spans="3:3">
      <c r="C909" t="str">
        <f t="shared" si="196"/>
        <v>solar thermal trough</v>
      </c>
    </row>
    <row r="910" spans="3:3">
      <c r="C910" t="str">
        <f t="shared" si="196"/>
        <v>solar PV</v>
      </c>
    </row>
    <row r="911" spans="3:3">
      <c r="C911" t="str">
        <f t="shared" si="196"/>
        <v>combined cycle gas</v>
      </c>
    </row>
    <row r="912" spans="3:3">
      <c r="C912" t="str">
        <f t="shared" si="196"/>
        <v>PBMR</v>
      </c>
    </row>
    <row r="913" spans="2:29">
      <c r="C913" t="str">
        <f t="shared" si="196"/>
        <v>IGCC</v>
      </c>
    </row>
    <row r="914" spans="2:29">
      <c r="C914" t="str">
        <f t="shared" si="196"/>
        <v>-</v>
      </c>
    </row>
    <row r="915" spans="2:29">
      <c r="C915" t="str">
        <f t="shared" si="196"/>
        <v>-</v>
      </c>
    </row>
    <row r="916" spans="2:29">
      <c r="C916" t="str">
        <f t="shared" si="196"/>
        <v>-</v>
      </c>
    </row>
    <row r="917" spans="2:29">
      <c r="C917" t="str">
        <f t="shared" si="196"/>
        <v>Pumped storage</v>
      </c>
    </row>
    <row r="918" spans="2:29">
      <c r="C918" s="4" t="s">
        <v>5</v>
      </c>
      <c r="D918">
        <f t="shared" ref="D918:AC918" si="197">SUM(D898:D917)</f>
        <v>0</v>
      </c>
      <c r="E918">
        <f t="shared" si="197"/>
        <v>0</v>
      </c>
      <c r="F918">
        <f t="shared" si="197"/>
        <v>0</v>
      </c>
      <c r="G918">
        <f t="shared" si="197"/>
        <v>0</v>
      </c>
      <c r="H918">
        <f t="shared" si="197"/>
        <v>0</v>
      </c>
      <c r="I918">
        <f t="shared" si="197"/>
        <v>0</v>
      </c>
      <c r="J918">
        <f t="shared" si="197"/>
        <v>0</v>
      </c>
      <c r="K918">
        <f t="shared" si="197"/>
        <v>0</v>
      </c>
      <c r="L918">
        <f t="shared" si="197"/>
        <v>0</v>
      </c>
      <c r="M918">
        <f t="shared" si="197"/>
        <v>0</v>
      </c>
      <c r="N918">
        <f t="shared" si="197"/>
        <v>0</v>
      </c>
      <c r="O918">
        <f t="shared" si="197"/>
        <v>0</v>
      </c>
      <c r="P918">
        <f t="shared" si="197"/>
        <v>0</v>
      </c>
      <c r="Q918">
        <f t="shared" si="197"/>
        <v>0</v>
      </c>
      <c r="R918">
        <f t="shared" si="197"/>
        <v>0</v>
      </c>
      <c r="S918">
        <f t="shared" si="197"/>
        <v>0</v>
      </c>
      <c r="T918">
        <f t="shared" si="197"/>
        <v>0</v>
      </c>
      <c r="U918">
        <f t="shared" si="197"/>
        <v>0</v>
      </c>
      <c r="V918">
        <f t="shared" si="197"/>
        <v>0</v>
      </c>
      <c r="W918">
        <f t="shared" si="197"/>
        <v>0</v>
      </c>
      <c r="X918">
        <f t="shared" si="197"/>
        <v>0</v>
      </c>
      <c r="Y918">
        <f t="shared" si="197"/>
        <v>0</v>
      </c>
      <c r="Z918">
        <f t="shared" si="197"/>
        <v>0</v>
      </c>
      <c r="AA918">
        <f t="shared" si="197"/>
        <v>0</v>
      </c>
      <c r="AB918">
        <f t="shared" si="197"/>
        <v>0</v>
      </c>
      <c r="AC918">
        <f t="shared" si="197"/>
        <v>0</v>
      </c>
    </row>
    <row r="921" spans="2:29">
      <c r="G921" s="11" t="s">
        <v>272</v>
      </c>
      <c r="I921" t="str">
        <f>'Environmental Impacts'!$X$62</f>
        <v>Existing coal Small</v>
      </c>
    </row>
    <row r="922" spans="2:29">
      <c r="C922" s="4" t="s">
        <v>287</v>
      </c>
      <c r="G922" s="11" t="s">
        <v>273</v>
      </c>
      <c r="I922" t="str">
        <f>'Environmental Impacts'!$X$63</f>
        <v xml:space="preserve">Wind 30% </v>
      </c>
    </row>
    <row r="924" spans="2:29">
      <c r="B924" s="11" t="s">
        <v>275</v>
      </c>
      <c r="C924" s="11" t="s">
        <v>289</v>
      </c>
      <c r="D924">
        <f>SUMIF($C$634:$C$653,$I$921,D$760:D$779)</f>
        <v>14.164264318167939</v>
      </c>
      <c r="E924">
        <f t="shared" ref="E924:AC924" si="198">SUMIF($C$634:$C$653,$I$921,E$760:E$779)</f>
        <v>14.164264318167939</v>
      </c>
      <c r="F924">
        <f t="shared" si="198"/>
        <v>14.164264318167939</v>
      </c>
      <c r="G924">
        <f t="shared" si="198"/>
        <v>14.164264318167939</v>
      </c>
      <c r="H924">
        <f t="shared" si="198"/>
        <v>14.164264318167939</v>
      </c>
      <c r="I924">
        <f t="shared" ca="1" si="198"/>
        <v>15.944426509208181</v>
      </c>
      <c r="J924">
        <f t="shared" ca="1" si="198"/>
        <v>16.997406780335936</v>
      </c>
      <c r="K924">
        <f t="shared" ca="1" si="198"/>
        <v>16.997406780335936</v>
      </c>
      <c r="L924">
        <f t="shared" ca="1" si="198"/>
        <v>16.997406780335936</v>
      </c>
      <c r="M924">
        <f t="shared" ca="1" si="198"/>
        <v>16.997406780335936</v>
      </c>
      <c r="N924">
        <f t="shared" ca="1" si="198"/>
        <v>16.997406780335936</v>
      </c>
      <c r="O924">
        <f t="shared" ca="1" si="198"/>
        <v>16.899667274971357</v>
      </c>
      <c r="P924">
        <f t="shared" ca="1" si="198"/>
        <v>16.801927769606777</v>
      </c>
      <c r="Q924">
        <f t="shared" ca="1" si="198"/>
        <v>16.671608429120667</v>
      </c>
      <c r="R924">
        <f t="shared" ca="1" si="198"/>
        <v>16.54128908863456</v>
      </c>
      <c r="S924">
        <f t="shared" ca="1" si="198"/>
        <v>14.065221619398496</v>
      </c>
      <c r="T924">
        <f t="shared" ca="1" si="198"/>
        <v>11.589154150162432</v>
      </c>
      <c r="U924">
        <f t="shared" ca="1" si="198"/>
        <v>11.589154150162432</v>
      </c>
      <c r="V924">
        <f t="shared" ca="1" si="198"/>
        <v>11.589154150162432</v>
      </c>
      <c r="W924">
        <f t="shared" ca="1" si="198"/>
        <v>11.589154150162432</v>
      </c>
      <c r="X924">
        <f t="shared" ca="1" si="198"/>
        <v>10.448280723840154</v>
      </c>
      <c r="Y924">
        <f t="shared" ca="1" si="198"/>
        <v>9.3074072975178783</v>
      </c>
      <c r="Z924">
        <f t="shared" ca="1" si="198"/>
        <v>9.3074072975178783</v>
      </c>
      <c r="AA924">
        <f t="shared" ca="1" si="198"/>
        <v>9.3074072975178783</v>
      </c>
      <c r="AB924">
        <f t="shared" ca="1" si="198"/>
        <v>9.3074072975178783</v>
      </c>
      <c r="AC924">
        <f t="shared" ca="1" si="198"/>
        <v>9.3074072975178783</v>
      </c>
    </row>
    <row r="925" spans="2:29">
      <c r="C925" s="11" t="s">
        <v>284</v>
      </c>
      <c r="D925">
        <f>SUMIF($C$634:$C$653,$I$921,D$783:D$802)</f>
        <v>0</v>
      </c>
      <c r="E925">
        <f t="shared" ref="E925:AC925" si="199">SUMIF($C$634:$C$653,$I$921,E$783:E$802)</f>
        <v>0</v>
      </c>
      <c r="F925">
        <f t="shared" si="199"/>
        <v>0</v>
      </c>
      <c r="G925">
        <f t="shared" si="199"/>
        <v>0</v>
      </c>
      <c r="H925">
        <f t="shared" si="199"/>
        <v>0</v>
      </c>
      <c r="I925">
        <f t="shared" ca="1" si="199"/>
        <v>0</v>
      </c>
      <c r="J925">
        <f t="shared" ca="1" si="199"/>
        <v>0</v>
      </c>
      <c r="K925">
        <f t="shared" ca="1" si="199"/>
        <v>0</v>
      </c>
      <c r="L925">
        <f t="shared" ca="1" si="199"/>
        <v>0</v>
      </c>
      <c r="M925">
        <f t="shared" ca="1" si="199"/>
        <v>0</v>
      </c>
      <c r="N925">
        <f t="shared" ca="1" si="199"/>
        <v>0</v>
      </c>
      <c r="O925">
        <f t="shared" ca="1" si="199"/>
        <v>0</v>
      </c>
      <c r="P925">
        <f t="shared" ca="1" si="199"/>
        <v>0</v>
      </c>
      <c r="Q925">
        <f t="shared" ca="1" si="199"/>
        <v>0</v>
      </c>
      <c r="R925">
        <f t="shared" ca="1" si="199"/>
        <v>0</v>
      </c>
      <c r="S925">
        <f t="shared" ca="1" si="199"/>
        <v>0</v>
      </c>
      <c r="T925">
        <f t="shared" ca="1" si="199"/>
        <v>0</v>
      </c>
      <c r="U925">
        <f t="shared" ca="1" si="199"/>
        <v>0</v>
      </c>
      <c r="V925">
        <f t="shared" ca="1" si="199"/>
        <v>0</v>
      </c>
      <c r="W925">
        <f t="shared" ca="1" si="199"/>
        <v>0</v>
      </c>
      <c r="X925">
        <f t="shared" ca="1" si="199"/>
        <v>0</v>
      </c>
      <c r="Y925">
        <f t="shared" ca="1" si="199"/>
        <v>0</v>
      </c>
      <c r="Z925">
        <f t="shared" ca="1" si="199"/>
        <v>0</v>
      </c>
      <c r="AA925">
        <f t="shared" ca="1" si="199"/>
        <v>0</v>
      </c>
      <c r="AB925">
        <f t="shared" ca="1" si="199"/>
        <v>0</v>
      </c>
      <c r="AC925">
        <f t="shared" ca="1" si="199"/>
        <v>0</v>
      </c>
    </row>
    <row r="926" spans="2:29">
      <c r="C926" s="11" t="s">
        <v>285</v>
      </c>
      <c r="D926">
        <f>SUMIF($C$634:$C$653,$I$921,D$806:D$825)</f>
        <v>4.3940636941733946E-2</v>
      </c>
      <c r="E926">
        <f t="shared" ref="E926:AC926" si="200">SUMIF($C$634:$C$653,$I$921,E$806:E$825)</f>
        <v>4.3940636941733946E-2</v>
      </c>
      <c r="F926">
        <f t="shared" si="200"/>
        <v>4.3940636941733946E-2</v>
      </c>
      <c r="G926">
        <f t="shared" si="200"/>
        <v>4.3940636941733946E-2</v>
      </c>
      <c r="H926">
        <f t="shared" si="200"/>
        <v>4.3940636941733946E-2</v>
      </c>
      <c r="I926">
        <f t="shared" ca="1" si="200"/>
        <v>4.9463088286670329E-2</v>
      </c>
      <c r="J926">
        <f t="shared" ca="1" si="200"/>
        <v>5.2729662727891848E-2</v>
      </c>
      <c r="K926">
        <f t="shared" ca="1" si="200"/>
        <v>5.2729662727891848E-2</v>
      </c>
      <c r="L926">
        <f t="shared" ca="1" si="200"/>
        <v>5.2729662727891848E-2</v>
      </c>
      <c r="M926">
        <f t="shared" ca="1" si="200"/>
        <v>5.2729662727891848E-2</v>
      </c>
      <c r="N926">
        <f t="shared" ca="1" si="200"/>
        <v>5.2729662727891848E-2</v>
      </c>
      <c r="O926">
        <f t="shared" ca="1" si="200"/>
        <v>5.2426453466639857E-2</v>
      </c>
      <c r="P926">
        <f t="shared" ca="1" si="200"/>
        <v>5.2123244205387859E-2</v>
      </c>
      <c r="Q926">
        <f t="shared" ca="1" si="200"/>
        <v>5.1718965190385199E-2</v>
      </c>
      <c r="R926">
        <f t="shared" ca="1" si="200"/>
        <v>5.1314686175382533E-2</v>
      </c>
      <c r="S926">
        <f t="shared" ca="1" si="200"/>
        <v>4.3633384890331924E-2</v>
      </c>
      <c r="T926">
        <f t="shared" ca="1" si="200"/>
        <v>3.5952083605281321E-2</v>
      </c>
      <c r="U926">
        <f t="shared" ca="1" si="200"/>
        <v>3.5952083605281321E-2</v>
      </c>
      <c r="V926">
        <f t="shared" ca="1" si="200"/>
        <v>3.5952083605281321E-2</v>
      </c>
      <c r="W926">
        <f t="shared" ca="1" si="200"/>
        <v>3.5952083605281321E-2</v>
      </c>
      <c r="X926">
        <f t="shared" ca="1" si="200"/>
        <v>3.2412845428385774E-2</v>
      </c>
      <c r="Y926">
        <f t="shared" ca="1" si="200"/>
        <v>2.8873607251490237E-2</v>
      </c>
      <c r="Z926">
        <f t="shared" ca="1" si="200"/>
        <v>2.8873607251490237E-2</v>
      </c>
      <c r="AA926">
        <f t="shared" ca="1" si="200"/>
        <v>2.8873607251490237E-2</v>
      </c>
      <c r="AB926">
        <f t="shared" ca="1" si="200"/>
        <v>2.8873607251490237E-2</v>
      </c>
      <c r="AC926">
        <f t="shared" ca="1" si="200"/>
        <v>2.8873607251490237E-2</v>
      </c>
    </row>
    <row r="927" spans="2:29">
      <c r="C927" s="11" t="s">
        <v>282</v>
      </c>
      <c r="D927">
        <f>SUMIF($C$634:$C$653,$I$921,D$829:D$848)</f>
        <v>2.9293757961155967E-3</v>
      </c>
      <c r="E927">
        <f t="shared" ref="E927:AC927" si="201">SUMIF($C$634:$C$653,$I$921,E$829:E$848)</f>
        <v>2.9293757961155967E-3</v>
      </c>
      <c r="F927">
        <f t="shared" si="201"/>
        <v>2.9293757961155967E-3</v>
      </c>
      <c r="G927">
        <f t="shared" si="201"/>
        <v>2.9293757961155967E-3</v>
      </c>
      <c r="H927">
        <f t="shared" si="201"/>
        <v>2.9293757961155967E-3</v>
      </c>
      <c r="I927">
        <f t="shared" ca="1" si="201"/>
        <v>3.2975392191113557E-3</v>
      </c>
      <c r="J927">
        <f t="shared" ca="1" si="201"/>
        <v>3.5153108485261233E-3</v>
      </c>
      <c r="K927">
        <f t="shared" ca="1" si="201"/>
        <v>3.5153108485261233E-3</v>
      </c>
      <c r="L927">
        <f t="shared" ca="1" si="201"/>
        <v>3.5153108485261233E-3</v>
      </c>
      <c r="M927">
        <f t="shared" ca="1" si="201"/>
        <v>3.5153108485261233E-3</v>
      </c>
      <c r="N927">
        <f t="shared" ca="1" si="201"/>
        <v>3.5153108485261233E-3</v>
      </c>
      <c r="O927">
        <f t="shared" ca="1" si="201"/>
        <v>3.4950968977759908E-3</v>
      </c>
      <c r="P927">
        <f t="shared" ca="1" si="201"/>
        <v>3.4748829470258578E-3</v>
      </c>
      <c r="Q927">
        <f t="shared" ca="1" si="201"/>
        <v>3.4479310126923472E-3</v>
      </c>
      <c r="R927">
        <f t="shared" ca="1" si="201"/>
        <v>3.4209790783588357E-3</v>
      </c>
      <c r="S927">
        <f t="shared" ca="1" si="201"/>
        <v>2.9088923260221287E-3</v>
      </c>
      <c r="T927">
        <f t="shared" ca="1" si="201"/>
        <v>2.3968055736854213E-3</v>
      </c>
      <c r="U927">
        <f t="shared" ca="1" si="201"/>
        <v>2.3968055736854213E-3</v>
      </c>
      <c r="V927">
        <f t="shared" ca="1" si="201"/>
        <v>2.3968055736854213E-3</v>
      </c>
      <c r="W927">
        <f t="shared" ca="1" si="201"/>
        <v>2.3968055736854213E-3</v>
      </c>
      <c r="X927">
        <f t="shared" ca="1" si="201"/>
        <v>2.160856361892385E-3</v>
      </c>
      <c r="Y927">
        <f t="shared" ca="1" si="201"/>
        <v>1.9249071500993492E-3</v>
      </c>
      <c r="Z927">
        <f t="shared" ca="1" si="201"/>
        <v>1.9249071500993492E-3</v>
      </c>
      <c r="AA927">
        <f t="shared" ca="1" si="201"/>
        <v>1.9249071500993492E-3</v>
      </c>
      <c r="AB927">
        <f t="shared" ca="1" si="201"/>
        <v>1.9249071500993492E-3</v>
      </c>
      <c r="AC927">
        <f t="shared" ca="1" si="201"/>
        <v>1.9249071500993492E-3</v>
      </c>
    </row>
    <row r="928" spans="2:29">
      <c r="C928" s="11" t="s">
        <v>283</v>
      </c>
      <c r="D928">
        <f>SUMIF($C$634:$C$653,$I$921,D$852:D$871)</f>
        <v>7.3234394902889919E-4</v>
      </c>
      <c r="E928">
        <f t="shared" ref="E928:AC928" si="202">SUMIF($C$634:$C$653,$I$921,E$852:E$871)</f>
        <v>7.3234394902889919E-4</v>
      </c>
      <c r="F928">
        <f t="shared" si="202"/>
        <v>7.3234394902889919E-4</v>
      </c>
      <c r="G928">
        <f t="shared" si="202"/>
        <v>7.3234394902889919E-4</v>
      </c>
      <c r="H928">
        <f t="shared" si="202"/>
        <v>7.3234394902889919E-4</v>
      </c>
      <c r="I928">
        <f t="shared" ca="1" si="202"/>
        <v>8.2438480477783893E-4</v>
      </c>
      <c r="J928">
        <f t="shared" ca="1" si="202"/>
        <v>8.7882771213153082E-4</v>
      </c>
      <c r="K928">
        <f t="shared" ca="1" si="202"/>
        <v>8.7882771213153082E-4</v>
      </c>
      <c r="L928">
        <f t="shared" ca="1" si="202"/>
        <v>8.7882771213153082E-4</v>
      </c>
      <c r="M928">
        <f t="shared" ca="1" si="202"/>
        <v>8.7882771213153082E-4</v>
      </c>
      <c r="N928">
        <f t="shared" ca="1" si="202"/>
        <v>8.7882771213153082E-4</v>
      </c>
      <c r="O928">
        <f t="shared" ca="1" si="202"/>
        <v>8.7377422444399769E-4</v>
      </c>
      <c r="P928">
        <f t="shared" ca="1" si="202"/>
        <v>8.6872073675646445E-4</v>
      </c>
      <c r="Q928">
        <f t="shared" ca="1" si="202"/>
        <v>8.6198275317308679E-4</v>
      </c>
      <c r="R928">
        <f t="shared" ca="1" si="202"/>
        <v>8.5524476958970892E-4</v>
      </c>
      <c r="S928">
        <f t="shared" ca="1" si="202"/>
        <v>7.2722308150553218E-4</v>
      </c>
      <c r="T928">
        <f t="shared" ca="1" si="202"/>
        <v>5.9920139342135533E-4</v>
      </c>
      <c r="U928">
        <f t="shared" ca="1" si="202"/>
        <v>5.9920139342135533E-4</v>
      </c>
      <c r="V928">
        <f t="shared" ca="1" si="202"/>
        <v>5.9920139342135533E-4</v>
      </c>
      <c r="W928">
        <f t="shared" ca="1" si="202"/>
        <v>5.9920139342135533E-4</v>
      </c>
      <c r="X928">
        <f t="shared" ca="1" si="202"/>
        <v>5.4021409047309626E-4</v>
      </c>
      <c r="Y928">
        <f t="shared" ca="1" si="202"/>
        <v>4.812267875248373E-4</v>
      </c>
      <c r="Z928">
        <f t="shared" ca="1" si="202"/>
        <v>4.812267875248373E-4</v>
      </c>
      <c r="AA928">
        <f t="shared" ca="1" si="202"/>
        <v>4.812267875248373E-4</v>
      </c>
      <c r="AB928">
        <f t="shared" ca="1" si="202"/>
        <v>4.812267875248373E-4</v>
      </c>
      <c r="AC928">
        <f t="shared" ca="1" si="202"/>
        <v>4.812267875248373E-4</v>
      </c>
    </row>
    <row r="930" spans="2:29">
      <c r="B930" s="11" t="s">
        <v>276</v>
      </c>
      <c r="C930" s="11" t="s">
        <v>289</v>
      </c>
      <c r="D930">
        <f>SUMIF($C$634:$C$653,$I$922,D$760:D$779)</f>
        <v>0</v>
      </c>
      <c r="E930">
        <f t="shared" ref="E930:AC930" si="203">SUMIF($C$634:$C$653,$I$922,E$760:E$779)</f>
        <v>0</v>
      </c>
      <c r="F930">
        <f t="shared" si="203"/>
        <v>0</v>
      </c>
      <c r="G930">
        <f t="shared" si="203"/>
        <v>0</v>
      </c>
      <c r="H930">
        <f t="shared" si="203"/>
        <v>0</v>
      </c>
      <c r="I930">
        <f t="shared" ca="1" si="203"/>
        <v>0</v>
      </c>
      <c r="J930">
        <f t="shared" ca="1" si="203"/>
        <v>0</v>
      </c>
      <c r="K930">
        <f t="shared" ca="1" si="203"/>
        <v>0</v>
      </c>
      <c r="L930">
        <f t="shared" ca="1" si="203"/>
        <v>0</v>
      </c>
      <c r="M930">
        <f t="shared" ca="1" si="203"/>
        <v>0</v>
      </c>
      <c r="N930">
        <f t="shared" ca="1" si="203"/>
        <v>0</v>
      </c>
      <c r="O930">
        <f t="shared" ca="1" si="203"/>
        <v>0</v>
      </c>
      <c r="P930">
        <f t="shared" ca="1" si="203"/>
        <v>0</v>
      </c>
      <c r="Q930">
        <f t="shared" ca="1" si="203"/>
        <v>0</v>
      </c>
      <c r="R930">
        <f t="shared" ca="1" si="203"/>
        <v>0</v>
      </c>
      <c r="S930">
        <f t="shared" ca="1" si="203"/>
        <v>0</v>
      </c>
      <c r="T930">
        <f t="shared" ca="1" si="203"/>
        <v>0</v>
      </c>
      <c r="U930">
        <f t="shared" ca="1" si="203"/>
        <v>0</v>
      </c>
      <c r="V930">
        <f t="shared" ca="1" si="203"/>
        <v>0</v>
      </c>
      <c r="W930">
        <f t="shared" ca="1" si="203"/>
        <v>0</v>
      </c>
      <c r="X930">
        <f t="shared" ca="1" si="203"/>
        <v>0</v>
      </c>
      <c r="Y930">
        <f t="shared" ca="1" si="203"/>
        <v>0</v>
      </c>
      <c r="Z930">
        <f t="shared" ca="1" si="203"/>
        <v>0</v>
      </c>
      <c r="AA930">
        <f t="shared" ca="1" si="203"/>
        <v>0</v>
      </c>
      <c r="AB930">
        <f t="shared" ca="1" si="203"/>
        <v>0</v>
      </c>
      <c r="AC930">
        <f t="shared" ca="1" si="203"/>
        <v>0</v>
      </c>
    </row>
    <row r="931" spans="2:29">
      <c r="C931" s="11" t="s">
        <v>284</v>
      </c>
      <c r="D931">
        <f>SUMIF($C$634:$C$653,$I$922,D$783:D$802)</f>
        <v>0</v>
      </c>
      <c r="E931">
        <f t="shared" ref="E931:AC931" si="204">SUMIF($C$634:$C$653,$I$922,E$783:E$802)</f>
        <v>0</v>
      </c>
      <c r="F931">
        <f t="shared" si="204"/>
        <v>0</v>
      </c>
      <c r="G931">
        <f t="shared" si="204"/>
        <v>0</v>
      </c>
      <c r="H931">
        <f t="shared" si="204"/>
        <v>0</v>
      </c>
      <c r="I931">
        <f t="shared" ca="1" si="204"/>
        <v>0</v>
      </c>
      <c r="J931">
        <f t="shared" ca="1" si="204"/>
        <v>0</v>
      </c>
      <c r="K931">
        <f t="shared" ca="1" si="204"/>
        <v>0</v>
      </c>
      <c r="L931">
        <f t="shared" ca="1" si="204"/>
        <v>0</v>
      </c>
      <c r="M931">
        <f t="shared" ca="1" si="204"/>
        <v>0</v>
      </c>
      <c r="N931">
        <f t="shared" ca="1" si="204"/>
        <v>0</v>
      </c>
      <c r="O931">
        <f t="shared" ca="1" si="204"/>
        <v>0</v>
      </c>
      <c r="P931">
        <f t="shared" ca="1" si="204"/>
        <v>0</v>
      </c>
      <c r="Q931">
        <f t="shared" ca="1" si="204"/>
        <v>0</v>
      </c>
      <c r="R931">
        <f t="shared" ca="1" si="204"/>
        <v>0</v>
      </c>
      <c r="S931">
        <f t="shared" ca="1" si="204"/>
        <v>0</v>
      </c>
      <c r="T931">
        <f t="shared" ca="1" si="204"/>
        <v>0</v>
      </c>
      <c r="U931">
        <f t="shared" ca="1" si="204"/>
        <v>0</v>
      </c>
      <c r="V931">
        <f t="shared" ca="1" si="204"/>
        <v>0</v>
      </c>
      <c r="W931">
        <f t="shared" ca="1" si="204"/>
        <v>0</v>
      </c>
      <c r="X931">
        <f t="shared" ca="1" si="204"/>
        <v>0</v>
      </c>
      <c r="Y931">
        <f t="shared" ca="1" si="204"/>
        <v>0</v>
      </c>
      <c r="Z931">
        <f t="shared" ca="1" si="204"/>
        <v>0</v>
      </c>
      <c r="AA931">
        <f t="shared" ca="1" si="204"/>
        <v>0</v>
      </c>
      <c r="AB931">
        <f t="shared" ca="1" si="204"/>
        <v>0</v>
      </c>
      <c r="AC931">
        <f t="shared" ca="1" si="204"/>
        <v>0</v>
      </c>
    </row>
    <row r="932" spans="2:29">
      <c r="C932" s="11" t="s">
        <v>285</v>
      </c>
      <c r="D932">
        <f>SUMIF($C$634:$C$653,$I$922,D$806:D$825)</f>
        <v>0</v>
      </c>
      <c r="E932">
        <f t="shared" ref="E932:AC932" si="205">SUMIF($C$634:$C$653,$I$922,E$806:E$825)</f>
        <v>0</v>
      </c>
      <c r="F932">
        <f t="shared" si="205"/>
        <v>0</v>
      </c>
      <c r="G932">
        <f t="shared" si="205"/>
        <v>0</v>
      </c>
      <c r="H932">
        <f t="shared" si="205"/>
        <v>0</v>
      </c>
      <c r="I932">
        <f t="shared" ca="1" si="205"/>
        <v>0</v>
      </c>
      <c r="J932">
        <f t="shared" ca="1" si="205"/>
        <v>0</v>
      </c>
      <c r="K932">
        <f t="shared" ca="1" si="205"/>
        <v>0</v>
      </c>
      <c r="L932">
        <f t="shared" ca="1" si="205"/>
        <v>0</v>
      </c>
      <c r="M932">
        <f t="shared" ca="1" si="205"/>
        <v>0</v>
      </c>
      <c r="N932">
        <f t="shared" ca="1" si="205"/>
        <v>0</v>
      </c>
      <c r="O932">
        <f t="shared" ca="1" si="205"/>
        <v>0</v>
      </c>
      <c r="P932">
        <f t="shared" ca="1" si="205"/>
        <v>0</v>
      </c>
      <c r="Q932">
        <f t="shared" ca="1" si="205"/>
        <v>0</v>
      </c>
      <c r="R932">
        <f t="shared" ca="1" si="205"/>
        <v>0</v>
      </c>
      <c r="S932">
        <f t="shared" ca="1" si="205"/>
        <v>0</v>
      </c>
      <c r="T932">
        <f t="shared" ca="1" si="205"/>
        <v>0</v>
      </c>
      <c r="U932">
        <f t="shared" ca="1" si="205"/>
        <v>0</v>
      </c>
      <c r="V932">
        <f t="shared" ca="1" si="205"/>
        <v>0</v>
      </c>
      <c r="W932">
        <f t="shared" ca="1" si="205"/>
        <v>0</v>
      </c>
      <c r="X932">
        <f t="shared" ca="1" si="205"/>
        <v>0</v>
      </c>
      <c r="Y932">
        <f t="shared" ca="1" si="205"/>
        <v>0</v>
      </c>
      <c r="Z932">
        <f t="shared" ca="1" si="205"/>
        <v>0</v>
      </c>
      <c r="AA932">
        <f t="shared" ca="1" si="205"/>
        <v>0</v>
      </c>
      <c r="AB932">
        <f t="shared" ca="1" si="205"/>
        <v>0</v>
      </c>
      <c r="AC932">
        <f t="shared" ca="1" si="205"/>
        <v>0</v>
      </c>
    </row>
    <row r="933" spans="2:29">
      <c r="C933" s="11" t="s">
        <v>282</v>
      </c>
      <c r="D933">
        <f>SUMIF($C$634:$C$653,$I$922,D$829:D$848)</f>
        <v>0</v>
      </c>
      <c r="E933">
        <f t="shared" ref="E933:AC933" si="206">SUMIF($C$634:$C$653,$I$922,E$829:E$848)</f>
        <v>0</v>
      </c>
      <c r="F933">
        <f t="shared" si="206"/>
        <v>0</v>
      </c>
      <c r="G933">
        <f t="shared" si="206"/>
        <v>0</v>
      </c>
      <c r="H933">
        <f t="shared" si="206"/>
        <v>0</v>
      </c>
      <c r="I933">
        <f t="shared" ca="1" si="206"/>
        <v>0</v>
      </c>
      <c r="J933">
        <f t="shared" ca="1" si="206"/>
        <v>0</v>
      </c>
      <c r="K933">
        <f t="shared" ca="1" si="206"/>
        <v>0</v>
      </c>
      <c r="L933">
        <f t="shared" ca="1" si="206"/>
        <v>0</v>
      </c>
      <c r="M933">
        <f t="shared" ca="1" si="206"/>
        <v>0</v>
      </c>
      <c r="N933">
        <f t="shared" ca="1" si="206"/>
        <v>0</v>
      </c>
      <c r="O933">
        <f t="shared" ca="1" si="206"/>
        <v>0</v>
      </c>
      <c r="P933">
        <f t="shared" ca="1" si="206"/>
        <v>0</v>
      </c>
      <c r="Q933">
        <f t="shared" ca="1" si="206"/>
        <v>0</v>
      </c>
      <c r="R933">
        <f t="shared" ca="1" si="206"/>
        <v>0</v>
      </c>
      <c r="S933">
        <f t="shared" ca="1" si="206"/>
        <v>0</v>
      </c>
      <c r="T933">
        <f t="shared" ca="1" si="206"/>
        <v>0</v>
      </c>
      <c r="U933">
        <f t="shared" ca="1" si="206"/>
        <v>0</v>
      </c>
      <c r="V933">
        <f t="shared" ca="1" si="206"/>
        <v>0</v>
      </c>
      <c r="W933">
        <f t="shared" ca="1" si="206"/>
        <v>0</v>
      </c>
      <c r="X933">
        <f t="shared" ca="1" si="206"/>
        <v>0</v>
      </c>
      <c r="Y933">
        <f t="shared" ca="1" si="206"/>
        <v>0</v>
      </c>
      <c r="Z933">
        <f t="shared" ca="1" si="206"/>
        <v>0</v>
      </c>
      <c r="AA933">
        <f t="shared" ca="1" si="206"/>
        <v>0</v>
      </c>
      <c r="AB933">
        <f t="shared" ca="1" si="206"/>
        <v>0</v>
      </c>
      <c r="AC933">
        <f t="shared" ca="1" si="206"/>
        <v>0</v>
      </c>
    </row>
    <row r="934" spans="2:29">
      <c r="C934" s="11" t="s">
        <v>283</v>
      </c>
      <c r="D934">
        <f>SUMIF($C$634:$C$653,$I$922,D$852:D$871)</f>
        <v>0</v>
      </c>
      <c r="E934">
        <f t="shared" ref="E934:AC934" si="207">SUMIF($C$634:$C$653,$I$922,E$852:E$871)</f>
        <v>0</v>
      </c>
      <c r="F934">
        <f t="shared" si="207"/>
        <v>0</v>
      </c>
      <c r="G934">
        <f t="shared" si="207"/>
        <v>0</v>
      </c>
      <c r="H934">
        <f t="shared" si="207"/>
        <v>0</v>
      </c>
      <c r="I934">
        <f t="shared" ca="1" si="207"/>
        <v>0</v>
      </c>
      <c r="J934">
        <f t="shared" ca="1" si="207"/>
        <v>0</v>
      </c>
      <c r="K934">
        <f t="shared" ca="1" si="207"/>
        <v>0</v>
      </c>
      <c r="L934">
        <f t="shared" ca="1" si="207"/>
        <v>0</v>
      </c>
      <c r="M934">
        <f t="shared" ca="1" si="207"/>
        <v>0</v>
      </c>
      <c r="N934">
        <f t="shared" ca="1" si="207"/>
        <v>0</v>
      </c>
      <c r="O934">
        <f t="shared" ca="1" si="207"/>
        <v>0</v>
      </c>
      <c r="P934">
        <f t="shared" ca="1" si="207"/>
        <v>0</v>
      </c>
      <c r="Q934">
        <f t="shared" ca="1" si="207"/>
        <v>0</v>
      </c>
      <c r="R934">
        <f t="shared" ca="1" si="207"/>
        <v>0</v>
      </c>
      <c r="S934">
        <f t="shared" ca="1" si="207"/>
        <v>0</v>
      </c>
      <c r="T934">
        <f t="shared" ca="1" si="207"/>
        <v>0</v>
      </c>
      <c r="U934">
        <f t="shared" ca="1" si="207"/>
        <v>0</v>
      </c>
      <c r="V934">
        <f t="shared" ca="1" si="207"/>
        <v>0</v>
      </c>
      <c r="W934">
        <f t="shared" ca="1" si="207"/>
        <v>0</v>
      </c>
      <c r="X934">
        <f t="shared" ca="1" si="207"/>
        <v>0</v>
      </c>
      <c r="Y934">
        <f t="shared" ca="1" si="207"/>
        <v>0</v>
      </c>
      <c r="Z934">
        <f t="shared" ca="1" si="207"/>
        <v>0</v>
      </c>
      <c r="AA934">
        <f t="shared" ca="1" si="207"/>
        <v>0</v>
      </c>
      <c r="AB934">
        <f t="shared" ca="1" si="207"/>
        <v>0</v>
      </c>
      <c r="AC934">
        <f t="shared" ca="1" si="207"/>
        <v>0</v>
      </c>
    </row>
    <row r="936" spans="2:29">
      <c r="C936" s="4" t="s">
        <v>299</v>
      </c>
      <c r="G936" s="11" t="s">
        <v>256</v>
      </c>
      <c r="I936" t="str">
        <f>'Environmental Impacts'!AR122</f>
        <v>Supercritical coal</v>
      </c>
    </row>
    <row r="938" spans="2:29">
      <c r="C938" s="11" t="s">
        <v>289</v>
      </c>
      <c r="D938">
        <f>SUMIF($C$634:$C$653,$I$936,D$760:D$779)</f>
        <v>0</v>
      </c>
      <c r="E938">
        <f t="shared" ref="E938:AC938" si="208">SUMIF($C$634:$C$653,$I$936,E$760:E$779)</f>
        <v>0</v>
      </c>
      <c r="F938">
        <f t="shared" si="208"/>
        <v>0</v>
      </c>
      <c r="G938">
        <f t="shared" si="208"/>
        <v>0</v>
      </c>
      <c r="H938">
        <f t="shared" si="208"/>
        <v>0</v>
      </c>
      <c r="I938">
        <f t="shared" ca="1" si="208"/>
        <v>0</v>
      </c>
      <c r="J938">
        <f t="shared" ca="1" si="208"/>
        <v>0</v>
      </c>
      <c r="K938">
        <f t="shared" ca="1" si="208"/>
        <v>1.5897728804899998</v>
      </c>
      <c r="L938">
        <f t="shared" ca="1" si="208"/>
        <v>4.76931864147</v>
      </c>
      <c r="M938">
        <f t="shared" ca="1" si="208"/>
        <v>9.981494968181412</v>
      </c>
      <c r="N938">
        <f t="shared" ca="1" si="208"/>
        <v>15.779114604001057</v>
      </c>
      <c r="O938">
        <f t="shared" ca="1" si="208"/>
        <v>21.592084124276493</v>
      </c>
      <c r="P938">
        <f t="shared" ca="1" si="208"/>
        <v>25.336371454784519</v>
      </c>
      <c r="Q938">
        <f t="shared" ca="1" si="208"/>
        <v>27.576462434297909</v>
      </c>
      <c r="R938">
        <f t="shared" ca="1" si="208"/>
        <v>27.011545373210616</v>
      </c>
      <c r="S938">
        <f t="shared" ca="1" si="208"/>
        <v>26.304017630681393</v>
      </c>
      <c r="T938">
        <f t="shared" ca="1" si="208"/>
        <v>22.861777420551583</v>
      </c>
      <c r="U938">
        <f t="shared" ca="1" si="208"/>
        <v>20.554104407970506</v>
      </c>
      <c r="V938">
        <f t="shared" ca="1" si="208"/>
        <v>19.077274565880003</v>
      </c>
      <c r="W938">
        <f t="shared" ca="1" si="208"/>
        <v>19.077274565880003</v>
      </c>
      <c r="X938">
        <f t="shared" ca="1" si="208"/>
        <v>19.197835426423797</v>
      </c>
      <c r="Y938">
        <f t="shared" ca="1" si="208"/>
        <v>25.221586697982048</v>
      </c>
      <c r="Z938">
        <f t="shared" ca="1" si="208"/>
        <v>27.691949386680839</v>
      </c>
      <c r="AA938">
        <f t="shared" ca="1" si="208"/>
        <v>31.012113695903075</v>
      </c>
      <c r="AB938">
        <f t="shared" ca="1" si="208"/>
        <v>42.832671502947825</v>
      </c>
      <c r="AC938">
        <f t="shared" ca="1" si="208"/>
        <v>44.08351296332367</v>
      </c>
    </row>
    <row r="939" spans="2:29">
      <c r="C939" s="11" t="s">
        <v>284</v>
      </c>
      <c r="D939">
        <f>SUMIF($C$634:$C$653,$I$936,D$783:D$802)</f>
        <v>0</v>
      </c>
      <c r="E939">
        <f t="shared" ref="E939:AC939" si="209">SUMIF($C$634:$C$653,$I$936,E$783:E$802)</f>
        <v>0</v>
      </c>
      <c r="F939">
        <f t="shared" si="209"/>
        <v>0</v>
      </c>
      <c r="G939">
        <f t="shared" si="209"/>
        <v>0</v>
      </c>
      <c r="H939">
        <f t="shared" si="209"/>
        <v>0</v>
      </c>
      <c r="I939">
        <f t="shared" ca="1" si="209"/>
        <v>0</v>
      </c>
      <c r="J939">
        <f t="shared" ca="1" si="209"/>
        <v>0</v>
      </c>
      <c r="K939">
        <f t="shared" ca="1" si="209"/>
        <v>0</v>
      </c>
      <c r="L939">
        <f t="shared" ca="1" si="209"/>
        <v>0</v>
      </c>
      <c r="M939">
        <f t="shared" ca="1" si="209"/>
        <v>0</v>
      </c>
      <c r="N939">
        <f t="shared" ca="1" si="209"/>
        <v>0</v>
      </c>
      <c r="O939">
        <f t="shared" ca="1" si="209"/>
        <v>0</v>
      </c>
      <c r="P939">
        <f t="shared" ca="1" si="209"/>
        <v>0</v>
      </c>
      <c r="Q939">
        <f t="shared" ca="1" si="209"/>
        <v>0</v>
      </c>
      <c r="R939">
        <f t="shared" ca="1" si="209"/>
        <v>0</v>
      </c>
      <c r="S939">
        <f t="shared" ca="1" si="209"/>
        <v>0</v>
      </c>
      <c r="T939">
        <f t="shared" ca="1" si="209"/>
        <v>0</v>
      </c>
      <c r="U939">
        <f t="shared" ca="1" si="209"/>
        <v>0</v>
      </c>
      <c r="V939">
        <f t="shared" ca="1" si="209"/>
        <v>0</v>
      </c>
      <c r="W939">
        <f t="shared" ca="1" si="209"/>
        <v>0</v>
      </c>
      <c r="X939">
        <f t="shared" ca="1" si="209"/>
        <v>0</v>
      </c>
      <c r="Y939">
        <f t="shared" ca="1" si="209"/>
        <v>0</v>
      </c>
      <c r="Z939">
        <f t="shared" ca="1" si="209"/>
        <v>0</v>
      </c>
      <c r="AA939">
        <f t="shared" ca="1" si="209"/>
        <v>0</v>
      </c>
      <c r="AB939">
        <f t="shared" ca="1" si="209"/>
        <v>0</v>
      </c>
      <c r="AC939">
        <f t="shared" ca="1" si="209"/>
        <v>0</v>
      </c>
    </row>
    <row r="940" spans="2:29">
      <c r="C940" s="11" t="s">
        <v>285</v>
      </c>
      <c r="D940">
        <f>SUMIF($C$634:$C$653,$I$936,D$806:D$825)</f>
        <v>0</v>
      </c>
      <c r="E940">
        <f t="shared" ref="E940:AC940" si="210">SUMIF($C$634:$C$653,$I$936,E$806:E$825)</f>
        <v>0</v>
      </c>
      <c r="F940">
        <f t="shared" si="210"/>
        <v>0</v>
      </c>
      <c r="G940">
        <f t="shared" si="210"/>
        <v>0</v>
      </c>
      <c r="H940">
        <f t="shared" si="210"/>
        <v>0</v>
      </c>
      <c r="I940">
        <f t="shared" ca="1" si="210"/>
        <v>0</v>
      </c>
      <c r="J940">
        <f t="shared" ca="1" si="210"/>
        <v>0</v>
      </c>
      <c r="K940">
        <f t="shared" ca="1" si="210"/>
        <v>4.9318221823794004E-3</v>
      </c>
      <c r="L940">
        <f t="shared" ca="1" si="210"/>
        <v>1.4795466547138203E-2</v>
      </c>
      <c r="M940">
        <f t="shared" ca="1" si="210"/>
        <v>3.0964774214926039E-2</v>
      </c>
      <c r="N940">
        <f t="shared" ca="1" si="210"/>
        <v>4.8950254704516999E-2</v>
      </c>
      <c r="O940">
        <f t="shared" ca="1" si="210"/>
        <v>6.6983353883283664E-2</v>
      </c>
      <c r="P940">
        <f t="shared" ca="1" si="210"/>
        <v>7.8598949758909617E-2</v>
      </c>
      <c r="Q940">
        <f t="shared" ca="1" si="210"/>
        <v>8.5548200509687936E-2</v>
      </c>
      <c r="R940">
        <f t="shared" ca="1" si="210"/>
        <v>8.3795704585731698E-2</v>
      </c>
      <c r="S940">
        <f t="shared" ca="1" si="210"/>
        <v>8.1600799226559301E-2</v>
      </c>
      <c r="T940">
        <f t="shared" ca="1" si="210"/>
        <v>7.0922219390574165E-2</v>
      </c>
      <c r="U940">
        <f t="shared" ca="1" si="210"/>
        <v>6.3763314434529247E-2</v>
      </c>
      <c r="V940">
        <f t="shared" ca="1" si="210"/>
        <v>5.9181866188552826E-2</v>
      </c>
      <c r="W940">
        <f t="shared" ca="1" si="210"/>
        <v>5.9181866188552826E-2</v>
      </c>
      <c r="X940">
        <f t="shared" ca="1" si="210"/>
        <v>5.9555872270587236E-2</v>
      </c>
      <c r="Y940">
        <f t="shared" ca="1" si="210"/>
        <v>7.824286241036775E-2</v>
      </c>
      <c r="Z940">
        <f t="shared" ca="1" si="210"/>
        <v>8.5906466222059372E-2</v>
      </c>
      <c r="AA940">
        <f t="shared" ca="1" si="210"/>
        <v>9.6206339990392645E-2</v>
      </c>
      <c r="AB940">
        <f t="shared" ca="1" si="210"/>
        <v>0.13287628820520497</v>
      </c>
      <c r="AC940">
        <f t="shared" ca="1" si="210"/>
        <v>0.13675667120621582</v>
      </c>
    </row>
    <row r="941" spans="2:29">
      <c r="C941" s="11" t="s">
        <v>282</v>
      </c>
      <c r="D941">
        <f>SUMIF($C$634:$C$653,$I$936,D$829:D$848)</f>
        <v>0</v>
      </c>
      <c r="E941">
        <f t="shared" ref="E941:AC941" si="211">SUMIF($C$634:$C$653,$I$936,E$829:E$848)</f>
        <v>0</v>
      </c>
      <c r="F941">
        <f t="shared" si="211"/>
        <v>0</v>
      </c>
      <c r="G941">
        <f t="shared" si="211"/>
        <v>0</v>
      </c>
      <c r="H941">
        <f t="shared" si="211"/>
        <v>0</v>
      </c>
      <c r="I941">
        <f t="shared" ca="1" si="211"/>
        <v>0</v>
      </c>
      <c r="J941">
        <f t="shared" ca="1" si="211"/>
        <v>0</v>
      </c>
      <c r="K941">
        <f t="shared" ca="1" si="211"/>
        <v>3.2878814549196006E-4</v>
      </c>
      <c r="L941">
        <f t="shared" ca="1" si="211"/>
        <v>9.8636443647588017E-4</v>
      </c>
      <c r="M941">
        <f t="shared" ca="1" si="211"/>
        <v>2.0643182809950695E-3</v>
      </c>
      <c r="N941">
        <f t="shared" ca="1" si="211"/>
        <v>3.2633503136344669E-3</v>
      </c>
      <c r="O941">
        <f t="shared" ca="1" si="211"/>
        <v>4.465556925552245E-3</v>
      </c>
      <c r="P941">
        <f t="shared" ca="1" si="211"/>
        <v>5.2399299839273076E-3</v>
      </c>
      <c r="Q941">
        <f t="shared" ca="1" si="211"/>
        <v>5.7032133673125297E-3</v>
      </c>
      <c r="R941">
        <f t="shared" ca="1" si="211"/>
        <v>5.586380305715447E-3</v>
      </c>
      <c r="S941">
        <f t="shared" ca="1" si="211"/>
        <v>5.4400532817706201E-3</v>
      </c>
      <c r="T941">
        <f t="shared" ca="1" si="211"/>
        <v>4.7281479593716111E-3</v>
      </c>
      <c r="U941">
        <f t="shared" ca="1" si="211"/>
        <v>4.2508876289686168E-3</v>
      </c>
      <c r="V941">
        <f t="shared" ca="1" si="211"/>
        <v>3.9454577459035215E-3</v>
      </c>
      <c r="W941">
        <f t="shared" ca="1" si="211"/>
        <v>3.9454577459035215E-3</v>
      </c>
      <c r="X941">
        <f t="shared" ca="1" si="211"/>
        <v>3.9703914847058156E-3</v>
      </c>
      <c r="Y941">
        <f t="shared" ca="1" si="211"/>
        <v>5.2161908273578505E-3</v>
      </c>
      <c r="Z941">
        <f t="shared" ca="1" si="211"/>
        <v>5.7270977481372913E-3</v>
      </c>
      <c r="AA941">
        <f t="shared" ca="1" si="211"/>
        <v>6.4137559993595102E-3</v>
      </c>
      <c r="AB941">
        <f t="shared" ca="1" si="211"/>
        <v>8.8584192136803314E-3</v>
      </c>
      <c r="AC941">
        <f t="shared" ca="1" si="211"/>
        <v>9.1171114137477208E-3</v>
      </c>
    </row>
    <row r="942" spans="2:29">
      <c r="C942" s="11" t="s">
        <v>283</v>
      </c>
      <c r="D942">
        <f>SUMIF($C$634:$C$653,$I$936,D$852:D$871)</f>
        <v>0</v>
      </c>
      <c r="E942">
        <f t="shared" ref="E942:AC942" si="212">SUMIF($C$634:$C$653,$I$936,E$852:E$871)</f>
        <v>0</v>
      </c>
      <c r="F942">
        <f t="shared" si="212"/>
        <v>0</v>
      </c>
      <c r="G942">
        <f t="shared" si="212"/>
        <v>0</v>
      </c>
      <c r="H942">
        <f t="shared" si="212"/>
        <v>0</v>
      </c>
      <c r="I942">
        <f t="shared" ca="1" si="212"/>
        <v>0</v>
      </c>
      <c r="J942">
        <f t="shared" ca="1" si="212"/>
        <v>0</v>
      </c>
      <c r="K942">
        <f t="shared" ca="1" si="212"/>
        <v>8.2197036372990014E-5</v>
      </c>
      <c r="L942">
        <f t="shared" ca="1" si="212"/>
        <v>2.4659110911897004E-4</v>
      </c>
      <c r="M942">
        <f t="shared" ca="1" si="212"/>
        <v>5.1607957024876739E-4</v>
      </c>
      <c r="N942">
        <f t="shared" ca="1" si="212"/>
        <v>8.1583757840861671E-4</v>
      </c>
      <c r="O942">
        <f t="shared" ca="1" si="212"/>
        <v>1.1163892313880612E-3</v>
      </c>
      <c r="P942">
        <f t="shared" ca="1" si="212"/>
        <v>1.3099824959818269E-3</v>
      </c>
      <c r="Q942">
        <f t="shared" ca="1" si="212"/>
        <v>1.4258033418281324E-3</v>
      </c>
      <c r="R942">
        <f t="shared" ca="1" si="212"/>
        <v>1.3965950764288618E-3</v>
      </c>
      <c r="S942">
        <f t="shared" ca="1" si="212"/>
        <v>1.360013320442655E-3</v>
      </c>
      <c r="T942">
        <f t="shared" ca="1" si="212"/>
        <v>1.1820369898429028E-3</v>
      </c>
      <c r="U942">
        <f t="shared" ca="1" si="212"/>
        <v>1.0627219072421542E-3</v>
      </c>
      <c r="V942">
        <f t="shared" ca="1" si="212"/>
        <v>9.8636443647588039E-4</v>
      </c>
      <c r="W942">
        <f t="shared" ca="1" si="212"/>
        <v>9.8636443647588039E-4</v>
      </c>
      <c r="X942">
        <f t="shared" ca="1" si="212"/>
        <v>9.925978711764539E-4</v>
      </c>
      <c r="Y942">
        <f t="shared" ca="1" si="212"/>
        <v>1.3040477068394626E-3</v>
      </c>
      <c r="Z942">
        <f t="shared" ca="1" si="212"/>
        <v>1.4317744370343228E-3</v>
      </c>
      <c r="AA942">
        <f t="shared" ca="1" si="212"/>
        <v>1.6034389998398776E-3</v>
      </c>
      <c r="AB942">
        <f t="shared" ca="1" si="212"/>
        <v>2.2146048034200829E-3</v>
      </c>
      <c r="AC942">
        <f t="shared" ca="1" si="212"/>
        <v>2.2792778534369302E-3</v>
      </c>
    </row>
    <row r="945" spans="3:57">
      <c r="C945" s="4" t="s">
        <v>641</v>
      </c>
    </row>
    <row r="946" spans="3:57">
      <c r="C946" s="4"/>
      <c r="AZ946" s="11" t="s">
        <v>646</v>
      </c>
    </row>
    <row r="947" spans="3:57">
      <c r="C947" s="11" t="s">
        <v>642</v>
      </c>
      <c r="D947">
        <v>0</v>
      </c>
      <c r="E947">
        <v>0</v>
      </c>
      <c r="F947">
        <v>0</v>
      </c>
      <c r="G947">
        <v>0</v>
      </c>
      <c r="H947">
        <v>0</v>
      </c>
      <c r="I947">
        <f>IF('Costs graphs'!$E$97="y",1,0)*'Costs graphs'!B99</f>
        <v>0</v>
      </c>
      <c r="J947">
        <f>IF('Costs graphs'!$E$97="y",1,0)*'Costs graphs'!C99</f>
        <v>0</v>
      </c>
      <c r="K947">
        <f>IF('Costs graphs'!$E$97="y",1,0)*'Costs graphs'!D99</f>
        <v>100</v>
      </c>
      <c r="L947">
        <f>IF('Costs graphs'!$E$97="y",1,0)*'Costs graphs'!E99</f>
        <v>100</v>
      </c>
      <c r="M947">
        <f>IF('Costs graphs'!$E$97="y",1,0)*'Costs graphs'!F99</f>
        <v>100</v>
      </c>
      <c r="N947">
        <f>IF('Costs graphs'!$E$97="y",1,0)*'Costs graphs'!G99</f>
        <v>100</v>
      </c>
      <c r="O947">
        <f>IF('Costs graphs'!$E$97="y",1,0)*'Costs graphs'!H99</f>
        <v>300</v>
      </c>
      <c r="P947">
        <f>IF('Costs graphs'!$E$97="y",1,0)*'Costs graphs'!I99</f>
        <v>300</v>
      </c>
      <c r="Q947">
        <f>IF('Costs graphs'!$E$97="y",1,0)*'Costs graphs'!J99</f>
        <v>300</v>
      </c>
      <c r="R947">
        <f>IF('Costs graphs'!$E$97="y",1,0)*'Costs graphs'!K99</f>
        <v>300</v>
      </c>
      <c r="S947">
        <f>IF('Costs graphs'!$E$97="y",1,0)*'Costs graphs'!L99</f>
        <v>500</v>
      </c>
      <c r="T947">
        <f>IF('Costs graphs'!$E$97="y",1,0)*'Costs graphs'!M99</f>
        <v>500</v>
      </c>
      <c r="U947">
        <f>IF('Costs graphs'!$E$97="y",1,0)*'Costs graphs'!N99</f>
        <v>500</v>
      </c>
      <c r="V947">
        <f>IF('Costs graphs'!$E$97="y",1,0)*'Costs graphs'!O99</f>
        <v>500</v>
      </c>
      <c r="W947">
        <f>IF('Costs graphs'!$E$97="y",1,0)*'Costs graphs'!P99</f>
        <v>500</v>
      </c>
      <c r="X947">
        <f>IF('Costs graphs'!$E$97="y",1,0)*'Costs graphs'!Q99</f>
        <v>500</v>
      </c>
      <c r="Y947">
        <f>IF('Costs graphs'!$E$97="y",1,0)*'Costs graphs'!R99</f>
        <v>500</v>
      </c>
      <c r="Z947">
        <f>IF('Costs graphs'!$E$97="y",1,0)*'Costs graphs'!S99</f>
        <v>500</v>
      </c>
      <c r="AA947">
        <f>IF('Costs graphs'!$E$97="y",1,0)*'Costs graphs'!T99</f>
        <v>500</v>
      </c>
      <c r="AB947">
        <f>IF('Costs graphs'!$E$97="y",1,0)*'Costs graphs'!U99</f>
        <v>500</v>
      </c>
      <c r="AC947">
        <f>IF('Costs graphs'!$E$97="y",1,0)*'Costs graphs'!V99</f>
        <v>500</v>
      </c>
    </row>
    <row r="948" spans="3:57">
      <c r="C948" s="11"/>
      <c r="BA948" s="11" t="s">
        <v>322</v>
      </c>
      <c r="BC948" s="11" t="s">
        <v>323</v>
      </c>
      <c r="BE948" s="11" t="s">
        <v>323</v>
      </c>
    </row>
    <row r="949" spans="3:57">
      <c r="C949" s="4" t="s">
        <v>643</v>
      </c>
      <c r="BA949" s="4" t="s">
        <v>321</v>
      </c>
      <c r="BC949" s="4" t="s">
        <v>324</v>
      </c>
      <c r="BE949" s="4" t="s">
        <v>325</v>
      </c>
    </row>
    <row r="950" spans="3:57">
      <c r="C950" t="str">
        <f>C8</f>
        <v>Existing coal Large</v>
      </c>
      <c r="D950">
        <f t="shared" ref="D950:D970" si="213">D$947*D691</f>
        <v>0</v>
      </c>
      <c r="E950">
        <f t="shared" ref="E950:AC960" si="214">E$947*E691</f>
        <v>0</v>
      </c>
      <c r="F950">
        <f t="shared" si="214"/>
        <v>0</v>
      </c>
      <c r="G950">
        <f t="shared" si="214"/>
        <v>0</v>
      </c>
      <c r="H950">
        <f t="shared" si="214"/>
        <v>0</v>
      </c>
      <c r="I950">
        <f t="shared" ca="1" si="214"/>
        <v>0</v>
      </c>
      <c r="J950">
        <f t="shared" ca="1" si="214"/>
        <v>0</v>
      </c>
      <c r="K950">
        <f t="shared" ca="1" si="214"/>
        <v>22548.959202984657</v>
      </c>
      <c r="L950">
        <f t="shared" ca="1" si="214"/>
        <v>22838.989600696103</v>
      </c>
      <c r="M950">
        <f t="shared" ca="1" si="214"/>
        <v>23067.518437678682</v>
      </c>
      <c r="N950">
        <f t="shared" ca="1" si="214"/>
        <v>23067.518437678682</v>
      </c>
      <c r="O950">
        <f t="shared" ca="1" si="214"/>
        <v>69202.555313036049</v>
      </c>
      <c r="P950">
        <f t="shared" ca="1" si="214"/>
        <v>69202.555313036049</v>
      </c>
      <c r="Q950">
        <f t="shared" ca="1" si="214"/>
        <v>69202.555313036049</v>
      </c>
      <c r="R950">
        <f t="shared" ca="1" si="214"/>
        <v>69202.555313036049</v>
      </c>
      <c r="S950">
        <f t="shared" ca="1" si="214"/>
        <v>115337.59218839342</v>
      </c>
      <c r="T950">
        <f t="shared" ca="1" si="214"/>
        <v>115337.59218839342</v>
      </c>
      <c r="U950">
        <f t="shared" ca="1" si="214"/>
        <v>115337.59218839342</v>
      </c>
      <c r="V950">
        <f t="shared" ca="1" si="214"/>
        <v>112641.32213568162</v>
      </c>
      <c r="W950">
        <f t="shared" ca="1" si="214"/>
        <v>109352.63033345299</v>
      </c>
      <c r="X950">
        <f t="shared" ca="1" si="214"/>
        <v>106707.42874808832</v>
      </c>
      <c r="Y950">
        <f t="shared" ca="1" si="214"/>
        <v>101313.57659789764</v>
      </c>
      <c r="Z950">
        <f t="shared" ca="1" si="214"/>
        <v>95919.724447706918</v>
      </c>
      <c r="AA950">
        <f t="shared" ca="1" si="214"/>
        <v>89390.324476423455</v>
      </c>
      <c r="AB950">
        <f t="shared" ca="1" si="214"/>
        <v>76331.524533856515</v>
      </c>
      <c r="AC950">
        <f t="shared" ca="1" si="214"/>
        <v>69802.124562573023</v>
      </c>
      <c r="AD950" s="316">
        <f t="shared" ref="AD950:AD970" ca="1" si="215">AC950</f>
        <v>69802.124562573023</v>
      </c>
      <c r="AE950" s="316">
        <f t="shared" ref="AE950:AW964" ca="1" si="216">AD950</f>
        <v>69802.124562573023</v>
      </c>
      <c r="AF950" s="316">
        <f t="shared" ca="1" si="216"/>
        <v>69802.124562573023</v>
      </c>
      <c r="AG950" s="316">
        <f t="shared" ca="1" si="216"/>
        <v>69802.124562573023</v>
      </c>
      <c r="AH950" s="316">
        <f t="shared" ca="1" si="216"/>
        <v>69802.124562573023</v>
      </c>
      <c r="AI950" s="316">
        <f t="shared" ca="1" si="216"/>
        <v>69802.124562573023</v>
      </c>
      <c r="AJ950" s="316">
        <f t="shared" ca="1" si="216"/>
        <v>69802.124562573023</v>
      </c>
      <c r="AK950" s="316">
        <f t="shared" ca="1" si="216"/>
        <v>69802.124562573023</v>
      </c>
      <c r="AL950" s="316">
        <f t="shared" ca="1" si="216"/>
        <v>69802.124562573023</v>
      </c>
      <c r="AM950" s="316">
        <f t="shared" ca="1" si="216"/>
        <v>69802.124562573023</v>
      </c>
      <c r="AN950" s="316">
        <f t="shared" ca="1" si="216"/>
        <v>69802.124562573023</v>
      </c>
      <c r="AO950" s="316">
        <f t="shared" ca="1" si="216"/>
        <v>69802.124562573023</v>
      </c>
      <c r="AP950" s="316">
        <f t="shared" ca="1" si="216"/>
        <v>69802.124562573023</v>
      </c>
      <c r="AQ950" s="316">
        <f t="shared" ca="1" si="216"/>
        <v>69802.124562573023</v>
      </c>
      <c r="AR950" s="316">
        <f t="shared" ca="1" si="216"/>
        <v>69802.124562573023</v>
      </c>
      <c r="AS950" s="316">
        <f t="shared" ca="1" si="216"/>
        <v>69802.124562573023</v>
      </c>
      <c r="AT950" s="316">
        <f t="shared" ca="1" si="216"/>
        <v>69802.124562573023</v>
      </c>
      <c r="AU950" s="316">
        <f t="shared" ca="1" si="216"/>
        <v>69802.124562573023</v>
      </c>
      <c r="AV950" s="316">
        <f t="shared" ca="1" si="216"/>
        <v>69802.124562573023</v>
      </c>
      <c r="AW950" s="316">
        <f t="shared" ca="1" si="216"/>
        <v>69802.124562573023</v>
      </c>
      <c r="BA950" s="49">
        <f ca="1">NPV(discount_rate,AD950:AW950)</f>
        <v>594264.83523798932</v>
      </c>
      <c r="BB950" s="49"/>
      <c r="BC950" s="49">
        <f ca="1">NPV(discount_rate,I950:AB950,AC950+BA950)</f>
        <v>526350.93977937184</v>
      </c>
      <c r="BD950" s="49"/>
      <c r="BE950" s="49">
        <f ca="1">NPV(discount_rate,I950:AC950)</f>
        <v>446047.59330942226</v>
      </c>
    </row>
    <row r="951" spans="3:57">
      <c r="C951" t="str">
        <f t="shared" ref="C951:C970" si="217">C9</f>
        <v>Existing coal Small</v>
      </c>
      <c r="D951">
        <f t="shared" si="213"/>
        <v>0</v>
      </c>
      <c r="E951">
        <f t="shared" ref="E951:S951" si="218">E$947*E692</f>
        <v>0</v>
      </c>
      <c r="F951">
        <f t="shared" si="218"/>
        <v>0</v>
      </c>
      <c r="G951">
        <f t="shared" si="218"/>
        <v>0</v>
      </c>
      <c r="H951">
        <f t="shared" si="218"/>
        <v>0</v>
      </c>
      <c r="I951">
        <f t="shared" ca="1" si="218"/>
        <v>0</v>
      </c>
      <c r="J951">
        <f t="shared" ca="1" si="218"/>
        <v>0</v>
      </c>
      <c r="K951">
        <f t="shared" ca="1" si="218"/>
        <v>1691.7433458531966</v>
      </c>
      <c r="L951">
        <f t="shared" ca="1" si="218"/>
        <v>1691.7433458531966</v>
      </c>
      <c r="M951">
        <f t="shared" ca="1" si="218"/>
        <v>1691.7433458531966</v>
      </c>
      <c r="N951">
        <f t="shared" ca="1" si="218"/>
        <v>1691.7433458531966</v>
      </c>
      <c r="O951">
        <f t="shared" ca="1" si="218"/>
        <v>5046.0461461640862</v>
      </c>
      <c r="P951">
        <f t="shared" ca="1" si="218"/>
        <v>5016.8622547685818</v>
      </c>
      <c r="Q951">
        <f t="shared" ca="1" si="218"/>
        <v>4977.9503995745754</v>
      </c>
      <c r="R951">
        <f t="shared" ca="1" si="218"/>
        <v>4939.038544380569</v>
      </c>
      <c r="S951">
        <f t="shared" ca="1" si="218"/>
        <v>6999.5221594907471</v>
      </c>
      <c r="T951">
        <f t="shared" ca="1" si="214"/>
        <v>5767.313411680545</v>
      </c>
      <c r="U951">
        <f t="shared" ca="1" si="214"/>
        <v>5767.313411680545</v>
      </c>
      <c r="V951">
        <f t="shared" ca="1" si="214"/>
        <v>5767.313411680545</v>
      </c>
      <c r="W951">
        <f t="shared" ca="1" si="214"/>
        <v>5767.313411680545</v>
      </c>
      <c r="X951">
        <f t="shared" ca="1" si="214"/>
        <v>5199.5606208035515</v>
      </c>
      <c r="Y951">
        <f t="shared" ca="1" si="214"/>
        <v>4631.807829926559</v>
      </c>
      <c r="Z951">
        <f t="shared" ca="1" si="214"/>
        <v>4631.807829926559</v>
      </c>
      <c r="AA951">
        <f t="shared" ca="1" si="214"/>
        <v>4631.807829926559</v>
      </c>
      <c r="AB951">
        <f t="shared" ca="1" si="214"/>
        <v>4631.807829926559</v>
      </c>
      <c r="AC951">
        <f t="shared" ca="1" si="214"/>
        <v>4631.807829926559</v>
      </c>
      <c r="AD951" s="316">
        <f t="shared" ca="1" si="215"/>
        <v>4631.807829926559</v>
      </c>
      <c r="AE951" s="316">
        <f t="shared" ref="AE951:AS951" ca="1" si="219">AD951</f>
        <v>4631.807829926559</v>
      </c>
      <c r="AF951" s="316">
        <f t="shared" ca="1" si="219"/>
        <v>4631.807829926559</v>
      </c>
      <c r="AG951" s="316">
        <f t="shared" ca="1" si="219"/>
        <v>4631.807829926559</v>
      </c>
      <c r="AH951" s="316">
        <f t="shared" ca="1" si="219"/>
        <v>4631.807829926559</v>
      </c>
      <c r="AI951" s="316">
        <f t="shared" ca="1" si="219"/>
        <v>4631.807829926559</v>
      </c>
      <c r="AJ951" s="316">
        <f t="shared" ca="1" si="219"/>
        <v>4631.807829926559</v>
      </c>
      <c r="AK951" s="316">
        <f t="shared" ca="1" si="219"/>
        <v>4631.807829926559</v>
      </c>
      <c r="AL951" s="316">
        <f t="shared" ca="1" si="219"/>
        <v>4631.807829926559</v>
      </c>
      <c r="AM951" s="316">
        <f t="shared" ca="1" si="219"/>
        <v>4631.807829926559</v>
      </c>
      <c r="AN951" s="316">
        <f t="shared" ca="1" si="219"/>
        <v>4631.807829926559</v>
      </c>
      <c r="AO951" s="316">
        <f t="shared" ca="1" si="219"/>
        <v>4631.807829926559</v>
      </c>
      <c r="AP951" s="316">
        <f t="shared" ca="1" si="219"/>
        <v>4631.807829926559</v>
      </c>
      <c r="AQ951" s="316">
        <f t="shared" ca="1" si="219"/>
        <v>4631.807829926559</v>
      </c>
      <c r="AR951" s="316">
        <f t="shared" ca="1" si="219"/>
        <v>4631.807829926559</v>
      </c>
      <c r="AS951" s="316">
        <f t="shared" ca="1" si="219"/>
        <v>4631.807829926559</v>
      </c>
      <c r="AT951" s="316">
        <f t="shared" ca="1" si="216"/>
        <v>4631.807829926559</v>
      </c>
      <c r="AU951" s="316">
        <f t="shared" ca="1" si="216"/>
        <v>4631.807829926559</v>
      </c>
      <c r="AV951" s="316">
        <f t="shared" ca="1" si="216"/>
        <v>4631.807829926559</v>
      </c>
      <c r="AW951" s="316">
        <f t="shared" ca="1" si="216"/>
        <v>4631.807829926559</v>
      </c>
      <c r="BA951" s="49">
        <f ca="1">NPV(discount_rate,AD951:AW951)</f>
        <v>39433.191097756368</v>
      </c>
      <c r="BB951" s="49"/>
      <c r="BC951" s="49">
        <f t="shared" ref="BC951:BC970" ca="1" si="220">NPV(discount_rate,I951:AB951,AC951+BA951)</f>
        <v>32519.334919161738</v>
      </c>
      <c r="BD951" s="49"/>
      <c r="BE951" s="49">
        <f t="shared" ref="BE951:BE970" ca="1" si="221">NPV(discount_rate,I951:AC951)</f>
        <v>27190.70529248914</v>
      </c>
    </row>
    <row r="952" spans="3:57">
      <c r="C952" t="str">
        <f t="shared" si="217"/>
        <v>OCGT liquid fuels</v>
      </c>
      <c r="D952">
        <f t="shared" si="213"/>
        <v>0</v>
      </c>
      <c r="E952">
        <f t="shared" si="214"/>
        <v>0</v>
      </c>
      <c r="F952">
        <f t="shared" si="214"/>
        <v>0</v>
      </c>
      <c r="G952">
        <f t="shared" si="214"/>
        <v>0</v>
      </c>
      <c r="H952">
        <f t="shared" si="214"/>
        <v>0</v>
      </c>
      <c r="I952">
        <f t="shared" ca="1" si="214"/>
        <v>0</v>
      </c>
      <c r="J952">
        <f t="shared" ca="1" si="214"/>
        <v>0</v>
      </c>
      <c r="K952">
        <f t="shared" ca="1" si="214"/>
        <v>79.829614355984958</v>
      </c>
      <c r="L952">
        <f t="shared" ca="1" si="214"/>
        <v>79.829614355984958</v>
      </c>
      <c r="M952">
        <f t="shared" ca="1" si="214"/>
        <v>79.829614355984958</v>
      </c>
      <c r="N952">
        <f t="shared" ca="1" si="214"/>
        <v>79.829614355984958</v>
      </c>
      <c r="O952">
        <f t="shared" ca="1" si="214"/>
        <v>239.48884306795486</v>
      </c>
      <c r="P952">
        <f t="shared" ca="1" si="214"/>
        <v>239.48884306795486</v>
      </c>
      <c r="Q952">
        <f t="shared" ca="1" si="214"/>
        <v>239.48884306795486</v>
      </c>
      <c r="R952">
        <f t="shared" ca="1" si="214"/>
        <v>239.48884306795486</v>
      </c>
      <c r="S952">
        <f t="shared" ca="1" si="214"/>
        <v>399.14807177992481</v>
      </c>
      <c r="T952">
        <f t="shared" ca="1" si="214"/>
        <v>399.14807177992481</v>
      </c>
      <c r="U952">
        <f t="shared" ca="1" si="214"/>
        <v>399.14807177992481</v>
      </c>
      <c r="V952">
        <f t="shared" ca="1" si="214"/>
        <v>399.14807177992481</v>
      </c>
      <c r="W952">
        <f t="shared" ca="1" si="214"/>
        <v>399.14807177992481</v>
      </c>
      <c r="X952">
        <f t="shared" ca="1" si="214"/>
        <v>399.14807177992481</v>
      </c>
      <c r="Y952">
        <f t="shared" ca="1" si="214"/>
        <v>481.73043145853006</v>
      </c>
      <c r="Z952">
        <f t="shared" ca="1" si="214"/>
        <v>481.73043145853006</v>
      </c>
      <c r="AA952">
        <f t="shared" ca="1" si="214"/>
        <v>481.73043145853006</v>
      </c>
      <c r="AB952">
        <f t="shared" ca="1" si="214"/>
        <v>591.84024436333686</v>
      </c>
      <c r="AC952">
        <f t="shared" ca="1" si="214"/>
        <v>682.33674684447487</v>
      </c>
      <c r="AD952" s="316">
        <f t="shared" ca="1" si="215"/>
        <v>682.33674684447487</v>
      </c>
      <c r="AE952" s="316">
        <f t="shared" ca="1" si="216"/>
        <v>682.33674684447487</v>
      </c>
      <c r="AF952" s="316">
        <f t="shared" ca="1" si="216"/>
        <v>682.33674684447487</v>
      </c>
      <c r="AG952" s="316">
        <f t="shared" ca="1" si="216"/>
        <v>682.33674684447487</v>
      </c>
      <c r="AH952" s="316">
        <f t="shared" ca="1" si="216"/>
        <v>682.33674684447487</v>
      </c>
      <c r="AI952" s="316">
        <f t="shared" ca="1" si="216"/>
        <v>682.33674684447487</v>
      </c>
      <c r="AJ952" s="316">
        <f t="shared" ca="1" si="216"/>
        <v>682.33674684447487</v>
      </c>
      <c r="AK952" s="316">
        <f t="shared" ca="1" si="216"/>
        <v>682.33674684447487</v>
      </c>
      <c r="AL952" s="316">
        <f t="shared" ca="1" si="216"/>
        <v>682.33674684447487</v>
      </c>
      <c r="AM952" s="316">
        <f t="shared" ca="1" si="216"/>
        <v>682.33674684447487</v>
      </c>
      <c r="AN952" s="316">
        <f t="shared" ca="1" si="216"/>
        <v>682.33674684447487</v>
      </c>
      <c r="AO952" s="316">
        <f t="shared" ca="1" si="216"/>
        <v>682.33674684447487</v>
      </c>
      <c r="AP952" s="316">
        <f t="shared" ca="1" si="216"/>
        <v>682.33674684447487</v>
      </c>
      <c r="AQ952" s="316">
        <f t="shared" ca="1" si="216"/>
        <v>682.33674684447487</v>
      </c>
      <c r="AR952" s="316">
        <f t="shared" ca="1" si="216"/>
        <v>682.33674684447487</v>
      </c>
      <c r="AS952" s="316">
        <f t="shared" ca="1" si="216"/>
        <v>682.33674684447487</v>
      </c>
      <c r="AT952" s="316">
        <f t="shared" ca="1" si="216"/>
        <v>682.33674684447487</v>
      </c>
      <c r="AU952" s="316">
        <f t="shared" ca="1" si="216"/>
        <v>682.33674684447487</v>
      </c>
      <c r="AV952" s="316">
        <f t="shared" ca="1" si="216"/>
        <v>682.33674684447487</v>
      </c>
      <c r="AW952" s="316">
        <f t="shared" ca="1" si="216"/>
        <v>682.33674684447487</v>
      </c>
      <c r="BA952" s="49">
        <f t="shared" ref="BA952:BA969" ca="1" si="222">NPV(discount_rate,AD952:AW952)</f>
        <v>5809.1173725932003</v>
      </c>
      <c r="BB952" s="49"/>
      <c r="BC952" s="49">
        <f t="shared" ca="1" si="220"/>
        <v>2533.7617527038669</v>
      </c>
      <c r="BD952" s="49"/>
      <c r="BE952" s="49">
        <f t="shared" ca="1" si="221"/>
        <v>1748.7724055399276</v>
      </c>
    </row>
    <row r="953" spans="3:57">
      <c r="C953" t="str">
        <f t="shared" si="217"/>
        <v>PWR nuclear</v>
      </c>
      <c r="D953">
        <f t="shared" si="213"/>
        <v>0</v>
      </c>
      <c r="E953">
        <f t="shared" si="214"/>
        <v>0</v>
      </c>
      <c r="F953">
        <f t="shared" si="214"/>
        <v>0</v>
      </c>
      <c r="G953">
        <f t="shared" si="214"/>
        <v>0</v>
      </c>
      <c r="H953">
        <f t="shared" si="214"/>
        <v>0</v>
      </c>
      <c r="I953">
        <f t="shared" ca="1" si="214"/>
        <v>0</v>
      </c>
      <c r="J953">
        <f t="shared" ca="1" si="214"/>
        <v>0</v>
      </c>
      <c r="K953">
        <f t="shared" ca="1" si="214"/>
        <v>0</v>
      </c>
      <c r="L953">
        <f t="shared" ca="1" si="214"/>
        <v>0</v>
      </c>
      <c r="M953">
        <f t="shared" ca="1" si="214"/>
        <v>0</v>
      </c>
      <c r="N953">
        <f t="shared" ca="1" si="214"/>
        <v>0</v>
      </c>
      <c r="O953">
        <f t="shared" ca="1" si="214"/>
        <v>0</v>
      </c>
      <c r="P953">
        <f t="shared" ca="1" si="214"/>
        <v>0</v>
      </c>
      <c r="Q953">
        <f t="shared" ca="1" si="214"/>
        <v>0</v>
      </c>
      <c r="R953">
        <f t="shared" ca="1" si="214"/>
        <v>0</v>
      </c>
      <c r="S953">
        <f t="shared" ca="1" si="214"/>
        <v>0</v>
      </c>
      <c r="T953">
        <f t="shared" ca="1" si="214"/>
        <v>0</v>
      </c>
      <c r="U953">
        <f t="shared" ca="1" si="214"/>
        <v>0</v>
      </c>
      <c r="V953">
        <f t="shared" ca="1" si="214"/>
        <v>0</v>
      </c>
      <c r="W953">
        <f t="shared" ca="1" si="214"/>
        <v>0</v>
      </c>
      <c r="X953">
        <f t="shared" ca="1" si="214"/>
        <v>0</v>
      </c>
      <c r="Y953">
        <f t="shared" ca="1" si="214"/>
        <v>0</v>
      </c>
      <c r="Z953">
        <f t="shared" ca="1" si="214"/>
        <v>0</v>
      </c>
      <c r="AA953">
        <f t="shared" ca="1" si="214"/>
        <v>0</v>
      </c>
      <c r="AB953">
        <f t="shared" ca="1" si="214"/>
        <v>0</v>
      </c>
      <c r="AC953">
        <f t="shared" ca="1" si="214"/>
        <v>0</v>
      </c>
      <c r="AD953" s="316">
        <f t="shared" ca="1" si="215"/>
        <v>0</v>
      </c>
      <c r="AE953" s="316">
        <f t="shared" ca="1" si="216"/>
        <v>0</v>
      </c>
      <c r="AF953" s="316">
        <f t="shared" ca="1" si="216"/>
        <v>0</v>
      </c>
      <c r="AG953" s="316">
        <f t="shared" ca="1" si="216"/>
        <v>0</v>
      </c>
      <c r="AH953" s="316">
        <f t="shared" ca="1" si="216"/>
        <v>0</v>
      </c>
      <c r="AI953" s="316">
        <f t="shared" ca="1" si="216"/>
        <v>0</v>
      </c>
      <c r="AJ953" s="316">
        <f t="shared" ca="1" si="216"/>
        <v>0</v>
      </c>
      <c r="AK953" s="316">
        <f t="shared" ca="1" si="216"/>
        <v>0</v>
      </c>
      <c r="AL953" s="316">
        <f t="shared" ca="1" si="216"/>
        <v>0</v>
      </c>
      <c r="AM953" s="316">
        <f t="shared" ca="1" si="216"/>
        <v>0</v>
      </c>
      <c r="AN953" s="316">
        <f t="shared" ca="1" si="216"/>
        <v>0</v>
      </c>
      <c r="AO953" s="316">
        <f t="shared" ca="1" si="216"/>
        <v>0</v>
      </c>
      <c r="AP953" s="316">
        <f t="shared" ca="1" si="216"/>
        <v>0</v>
      </c>
      <c r="AQ953" s="316">
        <f t="shared" ca="1" si="216"/>
        <v>0</v>
      </c>
      <c r="AR953" s="316">
        <f t="shared" ca="1" si="216"/>
        <v>0</v>
      </c>
      <c r="AS953" s="316">
        <f t="shared" ca="1" si="216"/>
        <v>0</v>
      </c>
      <c r="AT953" s="316">
        <f t="shared" ca="1" si="216"/>
        <v>0</v>
      </c>
      <c r="AU953" s="316">
        <f t="shared" ca="1" si="216"/>
        <v>0</v>
      </c>
      <c r="AV953" s="316">
        <f t="shared" ca="1" si="216"/>
        <v>0</v>
      </c>
      <c r="AW953" s="316">
        <f t="shared" ca="1" si="216"/>
        <v>0</v>
      </c>
      <c r="BA953" s="49">
        <f t="shared" ca="1" si="222"/>
        <v>0</v>
      </c>
      <c r="BB953" s="49"/>
      <c r="BC953" s="49">
        <f t="shared" ca="1" si="220"/>
        <v>0</v>
      </c>
      <c r="BD953" s="49"/>
      <c r="BE953" s="49">
        <f t="shared" ca="1" si="221"/>
        <v>0</v>
      </c>
    </row>
    <row r="954" spans="3:57">
      <c r="C954" t="str">
        <f t="shared" si="217"/>
        <v>Hydro</v>
      </c>
      <c r="D954">
        <f t="shared" si="213"/>
        <v>0</v>
      </c>
      <c r="E954">
        <f t="shared" si="214"/>
        <v>0</v>
      </c>
      <c r="F954">
        <f t="shared" si="214"/>
        <v>0</v>
      </c>
      <c r="G954">
        <f t="shared" si="214"/>
        <v>0</v>
      </c>
      <c r="H954">
        <f t="shared" si="214"/>
        <v>0</v>
      </c>
      <c r="I954">
        <f t="shared" ca="1" si="214"/>
        <v>0</v>
      </c>
      <c r="J954">
        <f t="shared" ca="1" si="214"/>
        <v>0</v>
      </c>
      <c r="K954">
        <f t="shared" ca="1" si="214"/>
        <v>0</v>
      </c>
      <c r="L954">
        <f t="shared" ca="1" si="214"/>
        <v>0</v>
      </c>
      <c r="M954">
        <f t="shared" ca="1" si="214"/>
        <v>0</v>
      </c>
      <c r="N954">
        <f t="shared" ca="1" si="214"/>
        <v>0</v>
      </c>
      <c r="O954">
        <f t="shared" ca="1" si="214"/>
        <v>0</v>
      </c>
      <c r="P954">
        <f t="shared" ca="1" si="214"/>
        <v>0</v>
      </c>
      <c r="Q954">
        <f t="shared" ca="1" si="214"/>
        <v>0</v>
      </c>
      <c r="R954">
        <f t="shared" ca="1" si="214"/>
        <v>0</v>
      </c>
      <c r="S954">
        <f t="shared" ca="1" si="214"/>
        <v>0</v>
      </c>
      <c r="T954">
        <f t="shared" ca="1" si="214"/>
        <v>0</v>
      </c>
      <c r="U954">
        <f t="shared" ca="1" si="214"/>
        <v>0</v>
      </c>
      <c r="V954">
        <f t="shared" ca="1" si="214"/>
        <v>0</v>
      </c>
      <c r="W954">
        <f t="shared" ca="1" si="214"/>
        <v>0</v>
      </c>
      <c r="X954">
        <f t="shared" ca="1" si="214"/>
        <v>0</v>
      </c>
      <c r="Y954">
        <f t="shared" ca="1" si="214"/>
        <v>0</v>
      </c>
      <c r="Z954">
        <f t="shared" ca="1" si="214"/>
        <v>0</v>
      </c>
      <c r="AA954">
        <f t="shared" ca="1" si="214"/>
        <v>0</v>
      </c>
      <c r="AB954">
        <f t="shared" ca="1" si="214"/>
        <v>0</v>
      </c>
      <c r="AC954">
        <f t="shared" ca="1" si="214"/>
        <v>0</v>
      </c>
      <c r="AD954" s="316">
        <f t="shared" ca="1" si="215"/>
        <v>0</v>
      </c>
      <c r="AE954" s="316">
        <f t="shared" ca="1" si="216"/>
        <v>0</v>
      </c>
      <c r="AF954" s="316">
        <f t="shared" ca="1" si="216"/>
        <v>0</v>
      </c>
      <c r="AG954" s="316">
        <f t="shared" ca="1" si="216"/>
        <v>0</v>
      </c>
      <c r="AH954" s="316">
        <f t="shared" ca="1" si="216"/>
        <v>0</v>
      </c>
      <c r="AI954" s="316">
        <f t="shared" ca="1" si="216"/>
        <v>0</v>
      </c>
      <c r="AJ954" s="316">
        <f t="shared" ca="1" si="216"/>
        <v>0</v>
      </c>
      <c r="AK954" s="316">
        <f t="shared" ca="1" si="216"/>
        <v>0</v>
      </c>
      <c r="AL954" s="316">
        <f t="shared" ca="1" si="216"/>
        <v>0</v>
      </c>
      <c r="AM954" s="316">
        <f t="shared" ca="1" si="216"/>
        <v>0</v>
      </c>
      <c r="AN954" s="316">
        <f t="shared" ca="1" si="216"/>
        <v>0</v>
      </c>
      <c r="AO954" s="316">
        <f t="shared" ca="1" si="216"/>
        <v>0</v>
      </c>
      <c r="AP954" s="316">
        <f t="shared" ca="1" si="216"/>
        <v>0</v>
      </c>
      <c r="AQ954" s="316">
        <f t="shared" ca="1" si="216"/>
        <v>0</v>
      </c>
      <c r="AR954" s="316">
        <f t="shared" ca="1" si="216"/>
        <v>0</v>
      </c>
      <c r="AS954" s="316">
        <f t="shared" ca="1" si="216"/>
        <v>0</v>
      </c>
      <c r="AT954" s="316">
        <f t="shared" ca="1" si="216"/>
        <v>0</v>
      </c>
      <c r="AU954" s="316">
        <f t="shared" ca="1" si="216"/>
        <v>0</v>
      </c>
      <c r="AV954" s="316">
        <f t="shared" ca="1" si="216"/>
        <v>0</v>
      </c>
      <c r="AW954" s="316">
        <f t="shared" ca="1" si="216"/>
        <v>0</v>
      </c>
      <c r="BA954" s="49">
        <f t="shared" ca="1" si="222"/>
        <v>0</v>
      </c>
      <c r="BB954" s="49"/>
      <c r="BC954" s="49">
        <f t="shared" ca="1" si="220"/>
        <v>0</v>
      </c>
      <c r="BD954" s="49"/>
      <c r="BE954" s="49">
        <f t="shared" ca="1" si="221"/>
        <v>0</v>
      </c>
    </row>
    <row r="955" spans="3:57">
      <c r="C955" t="str">
        <f t="shared" si="217"/>
        <v>Landfill gas</v>
      </c>
      <c r="D955">
        <f t="shared" si="213"/>
        <v>0</v>
      </c>
      <c r="E955">
        <f t="shared" si="214"/>
        <v>0</v>
      </c>
      <c r="F955">
        <f t="shared" si="214"/>
        <v>0</v>
      </c>
      <c r="G955">
        <f t="shared" si="214"/>
        <v>0</v>
      </c>
      <c r="H955">
        <f t="shared" si="214"/>
        <v>0</v>
      </c>
      <c r="I955">
        <f t="shared" ca="1" si="214"/>
        <v>0</v>
      </c>
      <c r="J955">
        <f t="shared" ca="1" si="214"/>
        <v>0</v>
      </c>
      <c r="K955">
        <f t="shared" ca="1" si="214"/>
        <v>0</v>
      </c>
      <c r="L955">
        <f t="shared" ca="1" si="214"/>
        <v>0</v>
      </c>
      <c r="M955">
        <f t="shared" ca="1" si="214"/>
        <v>0</v>
      </c>
      <c r="N955">
        <f t="shared" ca="1" si="214"/>
        <v>0</v>
      </c>
      <c r="O955">
        <f t="shared" ca="1" si="214"/>
        <v>0</v>
      </c>
      <c r="P955">
        <f t="shared" ca="1" si="214"/>
        <v>0</v>
      </c>
      <c r="Q955">
        <f t="shared" ca="1" si="214"/>
        <v>0</v>
      </c>
      <c r="R955">
        <f t="shared" ca="1" si="214"/>
        <v>0</v>
      </c>
      <c r="S955">
        <f t="shared" ca="1" si="214"/>
        <v>0</v>
      </c>
      <c r="T955">
        <f t="shared" ca="1" si="214"/>
        <v>0</v>
      </c>
      <c r="U955">
        <f t="shared" ca="1" si="214"/>
        <v>0</v>
      </c>
      <c r="V955">
        <f t="shared" ca="1" si="214"/>
        <v>0</v>
      </c>
      <c r="W955">
        <f t="shared" ca="1" si="214"/>
        <v>0</v>
      </c>
      <c r="X955">
        <f t="shared" ca="1" si="214"/>
        <v>0</v>
      </c>
      <c r="Y955">
        <f t="shared" ca="1" si="214"/>
        <v>0</v>
      </c>
      <c r="Z955">
        <f t="shared" ca="1" si="214"/>
        <v>0</v>
      </c>
      <c r="AA955">
        <f t="shared" ca="1" si="214"/>
        <v>0</v>
      </c>
      <c r="AB955">
        <f t="shared" ca="1" si="214"/>
        <v>0</v>
      </c>
      <c r="AC955">
        <f t="shared" ca="1" si="214"/>
        <v>0</v>
      </c>
      <c r="AD955" s="316">
        <f t="shared" ca="1" si="215"/>
        <v>0</v>
      </c>
      <c r="AE955" s="316">
        <f t="shared" ca="1" si="216"/>
        <v>0</v>
      </c>
      <c r="AF955" s="316">
        <f t="shared" ca="1" si="216"/>
        <v>0</v>
      </c>
      <c r="AG955" s="316">
        <f t="shared" ca="1" si="216"/>
        <v>0</v>
      </c>
      <c r="AH955" s="316">
        <f t="shared" ca="1" si="216"/>
        <v>0</v>
      </c>
      <c r="AI955" s="316">
        <f t="shared" ca="1" si="216"/>
        <v>0</v>
      </c>
      <c r="AJ955" s="316">
        <f t="shared" ca="1" si="216"/>
        <v>0</v>
      </c>
      <c r="AK955" s="316">
        <f t="shared" ca="1" si="216"/>
        <v>0</v>
      </c>
      <c r="AL955" s="316">
        <f t="shared" ca="1" si="216"/>
        <v>0</v>
      </c>
      <c r="AM955" s="316">
        <f t="shared" ca="1" si="216"/>
        <v>0</v>
      </c>
      <c r="AN955" s="316">
        <f t="shared" ca="1" si="216"/>
        <v>0</v>
      </c>
      <c r="AO955" s="316">
        <f t="shared" ca="1" si="216"/>
        <v>0</v>
      </c>
      <c r="AP955" s="316">
        <f t="shared" ca="1" si="216"/>
        <v>0</v>
      </c>
      <c r="AQ955" s="316">
        <f t="shared" ca="1" si="216"/>
        <v>0</v>
      </c>
      <c r="AR955" s="316">
        <f t="shared" ca="1" si="216"/>
        <v>0</v>
      </c>
      <c r="AS955" s="316">
        <f t="shared" ca="1" si="216"/>
        <v>0</v>
      </c>
      <c r="AT955" s="316">
        <f t="shared" ca="1" si="216"/>
        <v>0</v>
      </c>
      <c r="AU955" s="316">
        <f t="shared" ca="1" si="216"/>
        <v>0</v>
      </c>
      <c r="AV955" s="316">
        <f t="shared" ca="1" si="216"/>
        <v>0</v>
      </c>
      <c r="AW955" s="316">
        <f t="shared" ca="1" si="216"/>
        <v>0</v>
      </c>
      <c r="BA955" s="49">
        <f t="shared" ca="1" si="222"/>
        <v>0</v>
      </c>
      <c r="BB955" s="49"/>
      <c r="BC955" s="49">
        <f t="shared" ca="1" si="220"/>
        <v>0</v>
      </c>
      <c r="BD955" s="49"/>
      <c r="BE955" s="49">
        <f t="shared" ca="1" si="221"/>
        <v>0</v>
      </c>
    </row>
    <row r="956" spans="3:57">
      <c r="C956" t="str">
        <f t="shared" si="217"/>
        <v>Biomass</v>
      </c>
      <c r="D956">
        <f t="shared" si="213"/>
        <v>0</v>
      </c>
      <c r="E956">
        <f t="shared" si="214"/>
        <v>0</v>
      </c>
      <c r="F956">
        <f t="shared" si="214"/>
        <v>0</v>
      </c>
      <c r="G956">
        <f t="shared" si="214"/>
        <v>0</v>
      </c>
      <c r="H956">
        <f t="shared" si="214"/>
        <v>0</v>
      </c>
      <c r="I956">
        <f t="shared" ca="1" si="214"/>
        <v>0</v>
      </c>
      <c r="J956">
        <f t="shared" ca="1" si="214"/>
        <v>0</v>
      </c>
      <c r="K956">
        <f t="shared" ca="1" si="214"/>
        <v>0</v>
      </c>
      <c r="L956">
        <f t="shared" ca="1" si="214"/>
        <v>0</v>
      </c>
      <c r="M956">
        <f t="shared" ca="1" si="214"/>
        <v>0</v>
      </c>
      <c r="N956">
        <f t="shared" ca="1" si="214"/>
        <v>0</v>
      </c>
      <c r="O956">
        <f t="shared" ca="1" si="214"/>
        <v>0</v>
      </c>
      <c r="P956">
        <f t="shared" ca="1" si="214"/>
        <v>0</v>
      </c>
      <c r="Q956">
        <f t="shared" ca="1" si="214"/>
        <v>0</v>
      </c>
      <c r="R956">
        <f t="shared" ca="1" si="214"/>
        <v>0</v>
      </c>
      <c r="S956">
        <f t="shared" ca="1" si="214"/>
        <v>0</v>
      </c>
      <c r="T956">
        <f t="shared" ca="1" si="214"/>
        <v>0</v>
      </c>
      <c r="U956">
        <f t="shared" ca="1" si="214"/>
        <v>0</v>
      </c>
      <c r="V956">
        <f t="shared" ca="1" si="214"/>
        <v>0</v>
      </c>
      <c r="W956">
        <f t="shared" ca="1" si="214"/>
        <v>0</v>
      </c>
      <c r="X956">
        <f t="shared" ca="1" si="214"/>
        <v>0</v>
      </c>
      <c r="Y956">
        <f t="shared" ca="1" si="214"/>
        <v>0</v>
      </c>
      <c r="Z956">
        <f t="shared" ca="1" si="214"/>
        <v>0</v>
      </c>
      <c r="AA956">
        <f t="shared" ca="1" si="214"/>
        <v>0</v>
      </c>
      <c r="AB956">
        <f t="shared" ca="1" si="214"/>
        <v>0</v>
      </c>
      <c r="AC956">
        <f t="shared" ca="1" si="214"/>
        <v>0</v>
      </c>
      <c r="AD956" s="316">
        <f t="shared" ca="1" si="215"/>
        <v>0</v>
      </c>
      <c r="AE956" s="316">
        <f t="shared" ca="1" si="216"/>
        <v>0</v>
      </c>
      <c r="AF956" s="316">
        <f t="shared" ca="1" si="216"/>
        <v>0</v>
      </c>
      <c r="AG956" s="316">
        <f t="shared" ca="1" si="216"/>
        <v>0</v>
      </c>
      <c r="AH956" s="316">
        <f t="shared" ca="1" si="216"/>
        <v>0</v>
      </c>
      <c r="AI956" s="316">
        <f t="shared" ca="1" si="216"/>
        <v>0</v>
      </c>
      <c r="AJ956" s="316">
        <f t="shared" ca="1" si="216"/>
        <v>0</v>
      </c>
      <c r="AK956" s="316">
        <f t="shared" ca="1" si="216"/>
        <v>0</v>
      </c>
      <c r="AL956" s="316">
        <f t="shared" ca="1" si="216"/>
        <v>0</v>
      </c>
      <c r="AM956" s="316">
        <f t="shared" ca="1" si="216"/>
        <v>0</v>
      </c>
      <c r="AN956" s="316">
        <f t="shared" ca="1" si="216"/>
        <v>0</v>
      </c>
      <c r="AO956" s="316">
        <f t="shared" ca="1" si="216"/>
        <v>0</v>
      </c>
      <c r="AP956" s="316">
        <f t="shared" ca="1" si="216"/>
        <v>0</v>
      </c>
      <c r="AQ956" s="316">
        <f t="shared" ca="1" si="216"/>
        <v>0</v>
      </c>
      <c r="AR956" s="316">
        <f t="shared" ca="1" si="216"/>
        <v>0</v>
      </c>
      <c r="AS956" s="316">
        <f t="shared" ca="1" si="216"/>
        <v>0</v>
      </c>
      <c r="AT956" s="316">
        <f t="shared" ca="1" si="216"/>
        <v>0</v>
      </c>
      <c r="AU956" s="316">
        <f t="shared" ca="1" si="216"/>
        <v>0</v>
      </c>
      <c r="AV956" s="316">
        <f t="shared" ca="1" si="216"/>
        <v>0</v>
      </c>
      <c r="AW956" s="316">
        <f t="shared" ca="1" si="216"/>
        <v>0</v>
      </c>
      <c r="BA956" s="49">
        <f t="shared" ca="1" si="222"/>
        <v>0</v>
      </c>
      <c r="BB956" s="49"/>
      <c r="BC956" s="49">
        <f t="shared" ca="1" si="220"/>
        <v>0</v>
      </c>
      <c r="BD956" s="49"/>
      <c r="BE956" s="49">
        <f t="shared" ca="1" si="221"/>
        <v>0</v>
      </c>
    </row>
    <row r="957" spans="3:57">
      <c r="C957" t="str">
        <f t="shared" si="217"/>
        <v>Supercritical coal</v>
      </c>
      <c r="D957">
        <f t="shared" si="213"/>
        <v>0</v>
      </c>
      <c r="E957">
        <f t="shared" si="214"/>
        <v>0</v>
      </c>
      <c r="F957">
        <f t="shared" si="214"/>
        <v>0</v>
      </c>
      <c r="G957">
        <f t="shared" si="214"/>
        <v>0</v>
      </c>
      <c r="H957">
        <f t="shared" si="214"/>
        <v>0</v>
      </c>
      <c r="I957">
        <f t="shared" ca="1" si="214"/>
        <v>0</v>
      </c>
      <c r="J957">
        <f t="shared" ca="1" si="214"/>
        <v>0</v>
      </c>
      <c r="K957">
        <f t="shared" ca="1" si="214"/>
        <v>158.22929501800579</v>
      </c>
      <c r="L957">
        <f t="shared" ca="1" si="214"/>
        <v>474.68788505401739</v>
      </c>
      <c r="M957">
        <f t="shared" ca="1" si="214"/>
        <v>993.45317272887735</v>
      </c>
      <c r="N957">
        <f t="shared" ca="1" si="214"/>
        <v>1570.4873384365874</v>
      </c>
      <c r="O957">
        <f t="shared" ca="1" si="214"/>
        <v>6447.1478112660543</v>
      </c>
      <c r="P957">
        <f t="shared" ca="1" si="214"/>
        <v>7565.1489142950513</v>
      </c>
      <c r="Q957">
        <f t="shared" ca="1" si="214"/>
        <v>8234.0142990574659</v>
      </c>
      <c r="R957">
        <f t="shared" ca="1" si="214"/>
        <v>8065.3365663766763</v>
      </c>
      <c r="S957">
        <f t="shared" ca="1" si="214"/>
        <v>13090.128209260556</v>
      </c>
      <c r="T957">
        <f t="shared" ca="1" si="214"/>
        <v>11377.10602723794</v>
      </c>
      <c r="U957">
        <f t="shared" ca="1" si="214"/>
        <v>10228.698357205734</v>
      </c>
      <c r="V957">
        <f t="shared" ca="1" si="214"/>
        <v>9493.7577010803507</v>
      </c>
      <c r="W957">
        <f t="shared" ca="1" si="214"/>
        <v>9493.7577010803507</v>
      </c>
      <c r="X957">
        <f t="shared" ca="1" si="214"/>
        <v>9553.7545100733696</v>
      </c>
      <c r="Y957">
        <f t="shared" ca="1" si="214"/>
        <v>12551.459178329829</v>
      </c>
      <c r="Z957">
        <f t="shared" ca="1" si="214"/>
        <v>13780.82895645536</v>
      </c>
      <c r="AA957">
        <f t="shared" ca="1" si="214"/>
        <v>15433.100373458823</v>
      </c>
      <c r="AB957">
        <f t="shared" ca="1" si="214"/>
        <v>21315.571232918297</v>
      </c>
      <c r="AC957">
        <f t="shared" ca="1" si="214"/>
        <v>21938.049339330453</v>
      </c>
      <c r="AD957" s="316">
        <f t="shared" ca="1" si="215"/>
        <v>21938.049339330453</v>
      </c>
      <c r="AE957" s="316">
        <f t="shared" ca="1" si="216"/>
        <v>21938.049339330453</v>
      </c>
      <c r="AF957" s="316">
        <f t="shared" ca="1" si="216"/>
        <v>21938.049339330453</v>
      </c>
      <c r="AG957" s="316">
        <f t="shared" ca="1" si="216"/>
        <v>21938.049339330453</v>
      </c>
      <c r="AH957" s="316">
        <f t="shared" ca="1" si="216"/>
        <v>21938.049339330453</v>
      </c>
      <c r="AI957" s="316">
        <f t="shared" ca="1" si="216"/>
        <v>21938.049339330453</v>
      </c>
      <c r="AJ957" s="316">
        <f t="shared" ca="1" si="216"/>
        <v>21938.049339330453</v>
      </c>
      <c r="AK957" s="316">
        <f t="shared" ca="1" si="216"/>
        <v>21938.049339330453</v>
      </c>
      <c r="AL957" s="316">
        <f t="shared" ca="1" si="216"/>
        <v>21938.049339330453</v>
      </c>
      <c r="AM957" s="316">
        <f t="shared" ca="1" si="216"/>
        <v>21938.049339330453</v>
      </c>
      <c r="AN957" s="316">
        <f t="shared" ca="1" si="216"/>
        <v>21938.049339330453</v>
      </c>
      <c r="AO957" s="316">
        <f t="shared" ca="1" si="216"/>
        <v>21938.049339330453</v>
      </c>
      <c r="AP957" s="316">
        <f t="shared" ca="1" si="216"/>
        <v>21938.049339330453</v>
      </c>
      <c r="AQ957" s="316">
        <f t="shared" ca="1" si="216"/>
        <v>21938.049339330453</v>
      </c>
      <c r="AR957" s="316">
        <f t="shared" ca="1" si="216"/>
        <v>21938.049339330453</v>
      </c>
      <c r="AS957" s="316">
        <f t="shared" ca="1" si="216"/>
        <v>21938.049339330453</v>
      </c>
      <c r="AT957" s="316">
        <f t="shared" ca="1" si="216"/>
        <v>21938.049339330453</v>
      </c>
      <c r="AU957" s="316">
        <f t="shared" ca="1" si="216"/>
        <v>21938.049339330453</v>
      </c>
      <c r="AV957" s="316">
        <f t="shared" ca="1" si="216"/>
        <v>21938.049339330453</v>
      </c>
      <c r="AW957" s="316">
        <f t="shared" ca="1" si="216"/>
        <v>21938.049339330453</v>
      </c>
      <c r="BA957" s="49">
        <f t="shared" ca="1" si="222"/>
        <v>186770.98093759693</v>
      </c>
      <c r="BB957" s="49"/>
      <c r="BC957" s="49">
        <f t="shared" ca="1" si="220"/>
        <v>72270.196742899017</v>
      </c>
      <c r="BD957" s="49"/>
      <c r="BE957" s="49">
        <f t="shared" ca="1" si="221"/>
        <v>47031.727455451248</v>
      </c>
    </row>
    <row r="958" spans="3:57">
      <c r="C958" t="str">
        <f t="shared" si="217"/>
        <v xml:space="preserve">Wind 30% </v>
      </c>
      <c r="D958">
        <f t="shared" si="213"/>
        <v>0</v>
      </c>
      <c r="E958">
        <f t="shared" si="214"/>
        <v>0</v>
      </c>
      <c r="F958">
        <f t="shared" si="214"/>
        <v>0</v>
      </c>
      <c r="G958">
        <f t="shared" si="214"/>
        <v>0</v>
      </c>
      <c r="H958">
        <f t="shared" si="214"/>
        <v>0</v>
      </c>
      <c r="I958">
        <f t="shared" ca="1" si="214"/>
        <v>0</v>
      </c>
      <c r="J958">
        <f t="shared" ca="1" si="214"/>
        <v>0</v>
      </c>
      <c r="K958">
        <f t="shared" ca="1" si="214"/>
        <v>0</v>
      </c>
      <c r="L958">
        <f t="shared" ca="1" si="214"/>
        <v>0</v>
      </c>
      <c r="M958">
        <f t="shared" ca="1" si="214"/>
        <v>0</v>
      </c>
      <c r="N958">
        <f t="shared" ca="1" si="214"/>
        <v>0</v>
      </c>
      <c r="O958">
        <f t="shared" ca="1" si="214"/>
        <v>0</v>
      </c>
      <c r="P958">
        <f t="shared" ca="1" si="214"/>
        <v>0</v>
      </c>
      <c r="Q958">
        <f t="shared" ca="1" si="214"/>
        <v>0</v>
      </c>
      <c r="R958">
        <f t="shared" ca="1" si="214"/>
        <v>0</v>
      </c>
      <c r="S958">
        <f t="shared" ca="1" si="214"/>
        <v>0</v>
      </c>
      <c r="T958">
        <f t="shared" ca="1" si="214"/>
        <v>0</v>
      </c>
      <c r="U958">
        <f t="shared" ca="1" si="214"/>
        <v>0</v>
      </c>
      <c r="V958">
        <f t="shared" ca="1" si="214"/>
        <v>0</v>
      </c>
      <c r="W958">
        <f t="shared" ca="1" si="214"/>
        <v>0</v>
      </c>
      <c r="X958">
        <f t="shared" ca="1" si="214"/>
        <v>0</v>
      </c>
      <c r="Y958">
        <f t="shared" ca="1" si="214"/>
        <v>0</v>
      </c>
      <c r="Z958">
        <f t="shared" ca="1" si="214"/>
        <v>0</v>
      </c>
      <c r="AA958">
        <f t="shared" ca="1" si="214"/>
        <v>0</v>
      </c>
      <c r="AB958">
        <f t="shared" ca="1" si="214"/>
        <v>0</v>
      </c>
      <c r="AC958">
        <f t="shared" ca="1" si="214"/>
        <v>0</v>
      </c>
      <c r="AD958" s="316">
        <f t="shared" ca="1" si="215"/>
        <v>0</v>
      </c>
      <c r="AE958" s="316">
        <f t="shared" ca="1" si="216"/>
        <v>0</v>
      </c>
      <c r="AF958" s="316">
        <f t="shared" ca="1" si="216"/>
        <v>0</v>
      </c>
      <c r="AG958" s="316">
        <f t="shared" ca="1" si="216"/>
        <v>0</v>
      </c>
      <c r="AH958" s="316">
        <f t="shared" ca="1" si="216"/>
        <v>0</v>
      </c>
      <c r="AI958" s="316">
        <f t="shared" ca="1" si="216"/>
        <v>0</v>
      </c>
      <c r="AJ958" s="316">
        <f t="shared" ca="1" si="216"/>
        <v>0</v>
      </c>
      <c r="AK958" s="316">
        <f t="shared" ca="1" si="216"/>
        <v>0</v>
      </c>
      <c r="AL958" s="316">
        <f t="shared" ca="1" si="216"/>
        <v>0</v>
      </c>
      <c r="AM958" s="316">
        <f t="shared" ca="1" si="216"/>
        <v>0</v>
      </c>
      <c r="AN958" s="316">
        <f t="shared" ca="1" si="216"/>
        <v>0</v>
      </c>
      <c r="AO958" s="316">
        <f t="shared" ca="1" si="216"/>
        <v>0</v>
      </c>
      <c r="AP958" s="316">
        <f t="shared" ca="1" si="216"/>
        <v>0</v>
      </c>
      <c r="AQ958" s="316">
        <f t="shared" ca="1" si="216"/>
        <v>0</v>
      </c>
      <c r="AR958" s="316">
        <f t="shared" ca="1" si="216"/>
        <v>0</v>
      </c>
      <c r="AS958" s="316">
        <f t="shared" ca="1" si="216"/>
        <v>0</v>
      </c>
      <c r="AT958" s="316">
        <f t="shared" ca="1" si="216"/>
        <v>0</v>
      </c>
      <c r="AU958" s="316">
        <f t="shared" ca="1" si="216"/>
        <v>0</v>
      </c>
      <c r="AV958" s="316">
        <f t="shared" ca="1" si="216"/>
        <v>0</v>
      </c>
      <c r="AW958" s="316">
        <f t="shared" ca="1" si="216"/>
        <v>0</v>
      </c>
      <c r="BA958" s="49">
        <f t="shared" ca="1" si="222"/>
        <v>0</v>
      </c>
      <c r="BB958" s="49"/>
      <c r="BC958" s="49">
        <f t="shared" ca="1" si="220"/>
        <v>0</v>
      </c>
      <c r="BD958" s="49"/>
      <c r="BE958" s="49">
        <f t="shared" ca="1" si="221"/>
        <v>0</v>
      </c>
    </row>
    <row r="959" spans="3:57">
      <c r="C959" t="str">
        <f t="shared" si="217"/>
        <v>Wind 25%</v>
      </c>
      <c r="D959">
        <f t="shared" si="213"/>
        <v>0</v>
      </c>
      <c r="E959">
        <f t="shared" si="214"/>
        <v>0</v>
      </c>
      <c r="F959">
        <f t="shared" si="214"/>
        <v>0</v>
      </c>
      <c r="G959">
        <f t="shared" si="214"/>
        <v>0</v>
      </c>
      <c r="H959">
        <f t="shared" si="214"/>
        <v>0</v>
      </c>
      <c r="I959">
        <f t="shared" ca="1" si="214"/>
        <v>0</v>
      </c>
      <c r="J959">
        <f t="shared" ca="1" si="214"/>
        <v>0</v>
      </c>
      <c r="K959">
        <f t="shared" ca="1" si="214"/>
        <v>0</v>
      </c>
      <c r="L959">
        <f t="shared" ca="1" si="214"/>
        <v>0</v>
      </c>
      <c r="M959">
        <f t="shared" ca="1" si="214"/>
        <v>0</v>
      </c>
      <c r="N959">
        <f t="shared" ca="1" si="214"/>
        <v>0</v>
      </c>
      <c r="O959">
        <f t="shared" ca="1" si="214"/>
        <v>0</v>
      </c>
      <c r="P959">
        <f t="shared" ca="1" si="214"/>
        <v>0</v>
      </c>
      <c r="Q959">
        <f t="shared" ca="1" si="214"/>
        <v>0</v>
      </c>
      <c r="R959">
        <f t="shared" ca="1" si="214"/>
        <v>0</v>
      </c>
      <c r="S959">
        <f t="shared" ca="1" si="214"/>
        <v>0</v>
      </c>
      <c r="T959">
        <f t="shared" ca="1" si="214"/>
        <v>0</v>
      </c>
      <c r="U959">
        <f t="shared" ca="1" si="214"/>
        <v>0</v>
      </c>
      <c r="V959">
        <f t="shared" ca="1" si="214"/>
        <v>0</v>
      </c>
      <c r="W959">
        <f t="shared" ca="1" si="214"/>
        <v>0</v>
      </c>
      <c r="X959">
        <f t="shared" ca="1" si="214"/>
        <v>0</v>
      </c>
      <c r="Y959">
        <f t="shared" ca="1" si="214"/>
        <v>0</v>
      </c>
      <c r="Z959">
        <f t="shared" ca="1" si="214"/>
        <v>0</v>
      </c>
      <c r="AA959">
        <f t="shared" ca="1" si="214"/>
        <v>0</v>
      </c>
      <c r="AB959">
        <f t="shared" ca="1" si="214"/>
        <v>0</v>
      </c>
      <c r="AC959">
        <f t="shared" ca="1" si="214"/>
        <v>0</v>
      </c>
      <c r="AD959" s="316">
        <f t="shared" ca="1" si="215"/>
        <v>0</v>
      </c>
      <c r="AE959" s="316">
        <f t="shared" ca="1" si="216"/>
        <v>0</v>
      </c>
      <c r="AF959" s="316">
        <f t="shared" ca="1" si="216"/>
        <v>0</v>
      </c>
      <c r="AG959" s="316">
        <f t="shared" ca="1" si="216"/>
        <v>0</v>
      </c>
      <c r="AH959" s="316">
        <f t="shared" ca="1" si="216"/>
        <v>0</v>
      </c>
      <c r="AI959" s="316">
        <f t="shared" ca="1" si="216"/>
        <v>0</v>
      </c>
      <c r="AJ959" s="316">
        <f t="shared" ca="1" si="216"/>
        <v>0</v>
      </c>
      <c r="AK959" s="316">
        <f t="shared" ca="1" si="216"/>
        <v>0</v>
      </c>
      <c r="AL959" s="316">
        <f t="shared" ca="1" si="216"/>
        <v>0</v>
      </c>
      <c r="AM959" s="316">
        <f t="shared" ca="1" si="216"/>
        <v>0</v>
      </c>
      <c r="AN959" s="316">
        <f t="shared" ca="1" si="216"/>
        <v>0</v>
      </c>
      <c r="AO959" s="316">
        <f t="shared" ca="1" si="216"/>
        <v>0</v>
      </c>
      <c r="AP959" s="316">
        <f t="shared" ca="1" si="216"/>
        <v>0</v>
      </c>
      <c r="AQ959" s="316">
        <f t="shared" ca="1" si="216"/>
        <v>0</v>
      </c>
      <c r="AR959" s="316">
        <f t="shared" ca="1" si="216"/>
        <v>0</v>
      </c>
      <c r="AS959" s="316">
        <f t="shared" ca="1" si="216"/>
        <v>0</v>
      </c>
      <c r="AT959" s="316">
        <f t="shared" ca="1" si="216"/>
        <v>0</v>
      </c>
      <c r="AU959" s="316">
        <f t="shared" ca="1" si="216"/>
        <v>0</v>
      </c>
      <c r="AV959" s="316">
        <f t="shared" ca="1" si="216"/>
        <v>0</v>
      </c>
      <c r="AW959" s="316">
        <f t="shared" ca="1" si="216"/>
        <v>0</v>
      </c>
      <c r="BA959" s="49">
        <f t="shared" ca="1" si="222"/>
        <v>0</v>
      </c>
      <c r="BB959" s="49"/>
      <c r="BC959" s="49">
        <f t="shared" ca="1" si="220"/>
        <v>0</v>
      </c>
      <c r="BD959" s="49"/>
      <c r="BE959" s="49">
        <f t="shared" ca="1" si="221"/>
        <v>0</v>
      </c>
    </row>
    <row r="960" spans="3:57">
      <c r="C960" t="str">
        <f t="shared" si="217"/>
        <v>solar thermal central reciever</v>
      </c>
      <c r="D960">
        <f t="shared" si="213"/>
        <v>0</v>
      </c>
      <c r="E960">
        <f t="shared" si="214"/>
        <v>0</v>
      </c>
      <c r="F960">
        <f t="shared" si="214"/>
        <v>0</v>
      </c>
      <c r="G960">
        <f t="shared" si="214"/>
        <v>0</v>
      </c>
      <c r="H960">
        <f t="shared" si="214"/>
        <v>0</v>
      </c>
      <c r="I960">
        <f t="shared" ca="1" si="214"/>
        <v>0</v>
      </c>
      <c r="J960">
        <f t="shared" ca="1" si="214"/>
        <v>0</v>
      </c>
      <c r="K960">
        <f t="shared" ca="1" si="214"/>
        <v>0</v>
      </c>
      <c r="L960">
        <f t="shared" ca="1" si="214"/>
        <v>0</v>
      </c>
      <c r="M960">
        <f t="shared" ca="1" si="214"/>
        <v>0</v>
      </c>
      <c r="N960">
        <f t="shared" ca="1" si="214"/>
        <v>0</v>
      </c>
      <c r="O960">
        <f t="shared" ca="1" si="214"/>
        <v>0</v>
      </c>
      <c r="P960">
        <f t="shared" ca="1" si="214"/>
        <v>0</v>
      </c>
      <c r="Q960">
        <f t="shared" ca="1" si="214"/>
        <v>0</v>
      </c>
      <c r="R960">
        <f t="shared" ca="1" si="214"/>
        <v>0</v>
      </c>
      <c r="S960">
        <f t="shared" ca="1" si="214"/>
        <v>0</v>
      </c>
      <c r="T960">
        <f t="shared" ca="1" si="214"/>
        <v>0</v>
      </c>
      <c r="U960">
        <f t="shared" ca="1" si="214"/>
        <v>0</v>
      </c>
      <c r="V960">
        <f t="shared" ca="1" si="214"/>
        <v>0</v>
      </c>
      <c r="W960">
        <f t="shared" ca="1" si="214"/>
        <v>0</v>
      </c>
      <c r="X960">
        <f t="shared" ca="1" si="214"/>
        <v>0</v>
      </c>
      <c r="Y960">
        <f t="shared" ref="E960:AC970" ca="1" si="223">Y$947*Y701</f>
        <v>0</v>
      </c>
      <c r="Z960">
        <f t="shared" ca="1" si="223"/>
        <v>0</v>
      </c>
      <c r="AA960">
        <f t="shared" ca="1" si="223"/>
        <v>0</v>
      </c>
      <c r="AB960">
        <f t="shared" ca="1" si="223"/>
        <v>0</v>
      </c>
      <c r="AC960">
        <f t="shared" ca="1" si="223"/>
        <v>0</v>
      </c>
      <c r="AD960" s="316">
        <f t="shared" ca="1" si="215"/>
        <v>0</v>
      </c>
      <c r="AE960" s="316">
        <f t="shared" ca="1" si="216"/>
        <v>0</v>
      </c>
      <c r="AF960" s="316">
        <f t="shared" ca="1" si="216"/>
        <v>0</v>
      </c>
      <c r="AG960" s="316">
        <f t="shared" ca="1" si="216"/>
        <v>0</v>
      </c>
      <c r="AH960" s="316">
        <f t="shared" ca="1" si="216"/>
        <v>0</v>
      </c>
      <c r="AI960" s="316">
        <f t="shared" ca="1" si="216"/>
        <v>0</v>
      </c>
      <c r="AJ960" s="316">
        <f t="shared" ca="1" si="216"/>
        <v>0</v>
      </c>
      <c r="AK960" s="316">
        <f t="shared" ca="1" si="216"/>
        <v>0</v>
      </c>
      <c r="AL960" s="316">
        <f t="shared" ca="1" si="216"/>
        <v>0</v>
      </c>
      <c r="AM960" s="316">
        <f t="shared" ca="1" si="216"/>
        <v>0</v>
      </c>
      <c r="AN960" s="316">
        <f t="shared" ca="1" si="216"/>
        <v>0</v>
      </c>
      <c r="AO960" s="316">
        <f t="shared" ca="1" si="216"/>
        <v>0</v>
      </c>
      <c r="AP960" s="316">
        <f t="shared" ca="1" si="216"/>
        <v>0</v>
      </c>
      <c r="AQ960" s="316">
        <f t="shared" ca="1" si="216"/>
        <v>0</v>
      </c>
      <c r="AR960" s="316">
        <f t="shared" ca="1" si="216"/>
        <v>0</v>
      </c>
      <c r="AS960" s="316">
        <f t="shared" ca="1" si="216"/>
        <v>0</v>
      </c>
      <c r="AT960" s="316">
        <f t="shared" ca="1" si="216"/>
        <v>0</v>
      </c>
      <c r="AU960" s="316">
        <f t="shared" ca="1" si="216"/>
        <v>0</v>
      </c>
      <c r="AV960" s="316">
        <f t="shared" ca="1" si="216"/>
        <v>0</v>
      </c>
      <c r="AW960" s="316">
        <f t="shared" ca="1" si="216"/>
        <v>0</v>
      </c>
      <c r="BA960" s="49">
        <f t="shared" ca="1" si="222"/>
        <v>0</v>
      </c>
      <c r="BB960" s="49"/>
      <c r="BC960" s="49">
        <f t="shared" ca="1" si="220"/>
        <v>0</v>
      </c>
      <c r="BD960" s="49"/>
      <c r="BE960" s="49">
        <f t="shared" ca="1" si="221"/>
        <v>0</v>
      </c>
    </row>
    <row r="961" spans="3:57">
      <c r="C961" t="str">
        <f t="shared" si="217"/>
        <v>solar thermal trough</v>
      </c>
      <c r="D961">
        <f t="shared" si="213"/>
        <v>0</v>
      </c>
      <c r="E961">
        <f t="shared" si="223"/>
        <v>0</v>
      </c>
      <c r="F961">
        <f t="shared" si="223"/>
        <v>0</v>
      </c>
      <c r="G961">
        <f t="shared" si="223"/>
        <v>0</v>
      </c>
      <c r="H961">
        <f t="shared" si="223"/>
        <v>0</v>
      </c>
      <c r="I961">
        <f t="shared" ca="1" si="223"/>
        <v>0</v>
      </c>
      <c r="J961">
        <f t="shared" ca="1" si="223"/>
        <v>0</v>
      </c>
      <c r="K961">
        <f t="shared" ca="1" si="223"/>
        <v>0</v>
      </c>
      <c r="L961">
        <f t="shared" ca="1" si="223"/>
        <v>0</v>
      </c>
      <c r="M961">
        <f t="shared" ca="1" si="223"/>
        <v>0</v>
      </c>
      <c r="N961">
        <f t="shared" ca="1" si="223"/>
        <v>0</v>
      </c>
      <c r="O961">
        <f t="shared" ca="1" si="223"/>
        <v>0</v>
      </c>
      <c r="P961">
        <f t="shared" ca="1" si="223"/>
        <v>0</v>
      </c>
      <c r="Q961">
        <f t="shared" ca="1" si="223"/>
        <v>0</v>
      </c>
      <c r="R961">
        <f t="shared" ca="1" si="223"/>
        <v>0</v>
      </c>
      <c r="S961">
        <f t="shared" ca="1" si="223"/>
        <v>0</v>
      </c>
      <c r="T961">
        <f t="shared" ca="1" si="223"/>
        <v>0</v>
      </c>
      <c r="U961">
        <f t="shared" ca="1" si="223"/>
        <v>0</v>
      </c>
      <c r="V961">
        <f t="shared" ca="1" si="223"/>
        <v>0</v>
      </c>
      <c r="W961">
        <f t="shared" ca="1" si="223"/>
        <v>0</v>
      </c>
      <c r="X961">
        <f t="shared" ca="1" si="223"/>
        <v>0</v>
      </c>
      <c r="Y961">
        <f t="shared" ca="1" si="223"/>
        <v>0</v>
      </c>
      <c r="Z961">
        <f t="shared" ca="1" si="223"/>
        <v>0</v>
      </c>
      <c r="AA961">
        <f t="shared" ca="1" si="223"/>
        <v>0</v>
      </c>
      <c r="AB961">
        <f t="shared" ca="1" si="223"/>
        <v>0</v>
      </c>
      <c r="AC961">
        <f t="shared" ca="1" si="223"/>
        <v>0</v>
      </c>
      <c r="AD961" s="316">
        <f t="shared" ca="1" si="215"/>
        <v>0</v>
      </c>
      <c r="AE961" s="316">
        <f t="shared" ca="1" si="216"/>
        <v>0</v>
      </c>
      <c r="AF961" s="316">
        <f t="shared" ca="1" si="216"/>
        <v>0</v>
      </c>
      <c r="AG961" s="316">
        <f t="shared" ca="1" si="216"/>
        <v>0</v>
      </c>
      <c r="AH961" s="316">
        <f t="shared" ca="1" si="216"/>
        <v>0</v>
      </c>
      <c r="AI961" s="316">
        <f t="shared" ca="1" si="216"/>
        <v>0</v>
      </c>
      <c r="AJ961" s="316">
        <f t="shared" ca="1" si="216"/>
        <v>0</v>
      </c>
      <c r="AK961" s="316">
        <f t="shared" ca="1" si="216"/>
        <v>0</v>
      </c>
      <c r="AL961" s="316">
        <f t="shared" ca="1" si="216"/>
        <v>0</v>
      </c>
      <c r="AM961" s="316">
        <f t="shared" ca="1" si="216"/>
        <v>0</v>
      </c>
      <c r="AN961" s="316">
        <f t="shared" ca="1" si="216"/>
        <v>0</v>
      </c>
      <c r="AO961" s="316">
        <f t="shared" ca="1" si="216"/>
        <v>0</v>
      </c>
      <c r="AP961" s="316">
        <f t="shared" ca="1" si="216"/>
        <v>0</v>
      </c>
      <c r="AQ961" s="316">
        <f t="shared" ca="1" si="216"/>
        <v>0</v>
      </c>
      <c r="AR961" s="316">
        <f t="shared" ca="1" si="216"/>
        <v>0</v>
      </c>
      <c r="AS961" s="316">
        <f t="shared" ca="1" si="216"/>
        <v>0</v>
      </c>
      <c r="AT961" s="316">
        <f t="shared" ca="1" si="216"/>
        <v>0</v>
      </c>
      <c r="AU961" s="316">
        <f t="shared" ca="1" si="216"/>
        <v>0</v>
      </c>
      <c r="AV961" s="316">
        <f t="shared" ca="1" si="216"/>
        <v>0</v>
      </c>
      <c r="AW961" s="316">
        <f t="shared" ca="1" si="216"/>
        <v>0</v>
      </c>
      <c r="BA961" s="49">
        <f t="shared" ca="1" si="222"/>
        <v>0</v>
      </c>
      <c r="BB961" s="49"/>
      <c r="BC961" s="49">
        <f t="shared" ca="1" si="220"/>
        <v>0</v>
      </c>
      <c r="BD961" s="49"/>
      <c r="BE961" s="49">
        <f t="shared" ca="1" si="221"/>
        <v>0</v>
      </c>
    </row>
    <row r="962" spans="3:57">
      <c r="C962" t="str">
        <f t="shared" si="217"/>
        <v>solar PV</v>
      </c>
      <c r="D962">
        <f t="shared" si="213"/>
        <v>0</v>
      </c>
      <c r="E962">
        <f t="shared" si="223"/>
        <v>0</v>
      </c>
      <c r="F962">
        <f t="shared" si="223"/>
        <v>0</v>
      </c>
      <c r="G962">
        <f t="shared" si="223"/>
        <v>0</v>
      </c>
      <c r="H962">
        <f t="shared" si="223"/>
        <v>0</v>
      </c>
      <c r="I962">
        <f t="shared" ca="1" si="223"/>
        <v>0</v>
      </c>
      <c r="J962">
        <f t="shared" ca="1" si="223"/>
        <v>0</v>
      </c>
      <c r="K962">
        <f t="shared" ca="1" si="223"/>
        <v>0</v>
      </c>
      <c r="L962">
        <f t="shared" ca="1" si="223"/>
        <v>0</v>
      </c>
      <c r="M962">
        <f t="shared" ca="1" si="223"/>
        <v>0</v>
      </c>
      <c r="N962">
        <f t="shared" ca="1" si="223"/>
        <v>0</v>
      </c>
      <c r="O962">
        <f t="shared" ca="1" si="223"/>
        <v>0</v>
      </c>
      <c r="P962">
        <f t="shared" ca="1" si="223"/>
        <v>0</v>
      </c>
      <c r="Q962">
        <f t="shared" ca="1" si="223"/>
        <v>0</v>
      </c>
      <c r="R962">
        <f t="shared" ca="1" si="223"/>
        <v>0</v>
      </c>
      <c r="S962">
        <f t="shared" ca="1" si="223"/>
        <v>0</v>
      </c>
      <c r="T962">
        <f t="shared" ca="1" si="223"/>
        <v>0</v>
      </c>
      <c r="U962">
        <f t="shared" ca="1" si="223"/>
        <v>0</v>
      </c>
      <c r="V962">
        <f t="shared" ca="1" si="223"/>
        <v>0</v>
      </c>
      <c r="W962">
        <f t="shared" ca="1" si="223"/>
        <v>0</v>
      </c>
      <c r="X962">
        <f t="shared" ca="1" si="223"/>
        <v>0</v>
      </c>
      <c r="Y962">
        <f t="shared" ca="1" si="223"/>
        <v>0</v>
      </c>
      <c r="Z962">
        <f t="shared" ca="1" si="223"/>
        <v>0</v>
      </c>
      <c r="AA962">
        <f t="shared" ca="1" si="223"/>
        <v>0</v>
      </c>
      <c r="AB962">
        <f t="shared" ca="1" si="223"/>
        <v>0</v>
      </c>
      <c r="AC962">
        <f t="shared" ca="1" si="223"/>
        <v>0</v>
      </c>
      <c r="AD962" s="316">
        <f t="shared" ca="1" si="215"/>
        <v>0</v>
      </c>
      <c r="AE962" s="316">
        <f t="shared" ca="1" si="216"/>
        <v>0</v>
      </c>
      <c r="AF962" s="316">
        <f t="shared" ca="1" si="216"/>
        <v>0</v>
      </c>
      <c r="AG962" s="316">
        <f t="shared" ca="1" si="216"/>
        <v>0</v>
      </c>
      <c r="AH962" s="316">
        <f t="shared" ca="1" si="216"/>
        <v>0</v>
      </c>
      <c r="AI962" s="316">
        <f t="shared" ca="1" si="216"/>
        <v>0</v>
      </c>
      <c r="AJ962" s="316">
        <f t="shared" ca="1" si="216"/>
        <v>0</v>
      </c>
      <c r="AK962" s="316">
        <f t="shared" ca="1" si="216"/>
        <v>0</v>
      </c>
      <c r="AL962" s="316">
        <f t="shared" ca="1" si="216"/>
        <v>0</v>
      </c>
      <c r="AM962" s="316">
        <f t="shared" ca="1" si="216"/>
        <v>0</v>
      </c>
      <c r="AN962" s="316">
        <f t="shared" ca="1" si="216"/>
        <v>0</v>
      </c>
      <c r="AO962" s="316">
        <f t="shared" ca="1" si="216"/>
        <v>0</v>
      </c>
      <c r="AP962" s="316">
        <f t="shared" ca="1" si="216"/>
        <v>0</v>
      </c>
      <c r="AQ962" s="316">
        <f t="shared" ca="1" si="216"/>
        <v>0</v>
      </c>
      <c r="AR962" s="316">
        <f t="shared" ca="1" si="216"/>
        <v>0</v>
      </c>
      <c r="AS962" s="316">
        <f t="shared" ca="1" si="216"/>
        <v>0</v>
      </c>
      <c r="AT962" s="316">
        <f t="shared" ca="1" si="216"/>
        <v>0</v>
      </c>
      <c r="AU962" s="316">
        <f t="shared" ca="1" si="216"/>
        <v>0</v>
      </c>
      <c r="AV962" s="316">
        <f t="shared" ca="1" si="216"/>
        <v>0</v>
      </c>
      <c r="AW962" s="316">
        <f t="shared" ca="1" si="216"/>
        <v>0</v>
      </c>
      <c r="BA962" s="49">
        <f t="shared" ca="1" si="222"/>
        <v>0</v>
      </c>
      <c r="BB962" s="49"/>
      <c r="BC962" s="49">
        <f t="shared" ca="1" si="220"/>
        <v>0</v>
      </c>
      <c r="BD962" s="49"/>
      <c r="BE962" s="49">
        <f t="shared" ca="1" si="221"/>
        <v>0</v>
      </c>
    </row>
    <row r="963" spans="3:57">
      <c r="C963" t="str">
        <f t="shared" si="217"/>
        <v>combined cycle gas</v>
      </c>
      <c r="D963">
        <f t="shared" si="213"/>
        <v>0</v>
      </c>
      <c r="E963">
        <f t="shared" si="223"/>
        <v>0</v>
      </c>
      <c r="F963">
        <f t="shared" si="223"/>
        <v>0</v>
      </c>
      <c r="G963">
        <f t="shared" si="223"/>
        <v>0</v>
      </c>
      <c r="H963">
        <f t="shared" si="223"/>
        <v>0</v>
      </c>
      <c r="I963">
        <f t="shared" ca="1" si="223"/>
        <v>0</v>
      </c>
      <c r="J963">
        <f t="shared" ca="1" si="223"/>
        <v>0</v>
      </c>
      <c r="K963">
        <f t="shared" ca="1" si="223"/>
        <v>0</v>
      </c>
      <c r="L963">
        <f t="shared" ca="1" si="223"/>
        <v>0</v>
      </c>
      <c r="M963">
        <f t="shared" ca="1" si="223"/>
        <v>0</v>
      </c>
      <c r="N963">
        <f t="shared" ca="1" si="223"/>
        <v>0</v>
      </c>
      <c r="O963">
        <f t="shared" ca="1" si="223"/>
        <v>0</v>
      </c>
      <c r="P963">
        <f t="shared" ca="1" si="223"/>
        <v>0</v>
      </c>
      <c r="Q963">
        <f t="shared" ca="1" si="223"/>
        <v>0</v>
      </c>
      <c r="R963">
        <f t="shared" ca="1" si="223"/>
        <v>0</v>
      </c>
      <c r="S963">
        <f t="shared" ca="1" si="223"/>
        <v>0</v>
      </c>
      <c r="T963">
        <f t="shared" ca="1" si="223"/>
        <v>0</v>
      </c>
      <c r="U963">
        <f t="shared" ca="1" si="223"/>
        <v>0</v>
      </c>
      <c r="V963">
        <f t="shared" ca="1" si="223"/>
        <v>0</v>
      </c>
      <c r="W963">
        <f t="shared" ca="1" si="223"/>
        <v>0</v>
      </c>
      <c r="X963">
        <f t="shared" ca="1" si="223"/>
        <v>0</v>
      </c>
      <c r="Y963">
        <f t="shared" ca="1" si="223"/>
        <v>0</v>
      </c>
      <c r="Z963">
        <f t="shared" ca="1" si="223"/>
        <v>766.51354907404186</v>
      </c>
      <c r="AA963">
        <f t="shared" ca="1" si="223"/>
        <v>1916.2838726851051</v>
      </c>
      <c r="AB963">
        <f t="shared" ca="1" si="223"/>
        <v>3066.0541962961674</v>
      </c>
      <c r="AC963">
        <f t="shared" ca="1" si="223"/>
        <v>3066.0541962961674</v>
      </c>
      <c r="AD963" s="316">
        <f t="shared" ca="1" si="215"/>
        <v>3066.0541962961674</v>
      </c>
      <c r="AE963" s="316">
        <f t="shared" ca="1" si="216"/>
        <v>3066.0541962961674</v>
      </c>
      <c r="AF963" s="316">
        <f t="shared" ca="1" si="216"/>
        <v>3066.0541962961674</v>
      </c>
      <c r="AG963" s="316">
        <f t="shared" ca="1" si="216"/>
        <v>3066.0541962961674</v>
      </c>
      <c r="AH963" s="316">
        <f t="shared" ca="1" si="216"/>
        <v>3066.0541962961674</v>
      </c>
      <c r="AI963" s="316">
        <f t="shared" ca="1" si="216"/>
        <v>3066.0541962961674</v>
      </c>
      <c r="AJ963" s="316">
        <f t="shared" ca="1" si="216"/>
        <v>3066.0541962961674</v>
      </c>
      <c r="AK963" s="316">
        <f t="shared" ca="1" si="216"/>
        <v>3066.0541962961674</v>
      </c>
      <c r="AL963" s="316">
        <f t="shared" ca="1" si="216"/>
        <v>3066.0541962961674</v>
      </c>
      <c r="AM963" s="316">
        <f t="shared" ca="1" si="216"/>
        <v>3066.0541962961674</v>
      </c>
      <c r="AN963" s="316">
        <f t="shared" ca="1" si="216"/>
        <v>3066.0541962961674</v>
      </c>
      <c r="AO963" s="316">
        <f t="shared" ca="1" si="216"/>
        <v>3066.0541962961674</v>
      </c>
      <c r="AP963" s="316">
        <f t="shared" ca="1" si="216"/>
        <v>3066.0541962961674</v>
      </c>
      <c r="AQ963" s="316">
        <f t="shared" ca="1" si="216"/>
        <v>3066.0541962961674</v>
      </c>
      <c r="AR963" s="316">
        <f t="shared" ca="1" si="216"/>
        <v>3066.0541962961674</v>
      </c>
      <c r="AS963" s="316">
        <f t="shared" ca="1" si="216"/>
        <v>3066.0541962961674</v>
      </c>
      <c r="AT963" s="316">
        <f t="shared" ca="1" si="216"/>
        <v>3066.0541962961674</v>
      </c>
      <c r="AU963" s="316">
        <f t="shared" ca="1" si="216"/>
        <v>3066.0541962961674</v>
      </c>
      <c r="AV963" s="316">
        <f t="shared" ca="1" si="216"/>
        <v>3066.0541962961674</v>
      </c>
      <c r="AW963" s="316">
        <f t="shared" ca="1" si="216"/>
        <v>3066.0541962961674</v>
      </c>
      <c r="BA963" s="49">
        <f t="shared" ca="1" si="222"/>
        <v>26103.047768400535</v>
      </c>
      <c r="BB963" s="49"/>
      <c r="BC963" s="49">
        <f t="shared" ca="1" si="220"/>
        <v>4848.5787467528344</v>
      </c>
      <c r="BD963" s="49"/>
      <c r="BE963" s="49">
        <f t="shared" ca="1" si="221"/>
        <v>1321.2589987686731</v>
      </c>
    </row>
    <row r="964" spans="3:57">
      <c r="C964" t="str">
        <f t="shared" si="217"/>
        <v>PBMR</v>
      </c>
      <c r="D964">
        <f t="shared" si="213"/>
        <v>0</v>
      </c>
      <c r="E964">
        <f t="shared" si="223"/>
        <v>0</v>
      </c>
      <c r="F964">
        <f t="shared" si="223"/>
        <v>0</v>
      </c>
      <c r="G964">
        <f t="shared" si="223"/>
        <v>0</v>
      </c>
      <c r="H964">
        <f t="shared" si="223"/>
        <v>0</v>
      </c>
      <c r="I964">
        <f t="shared" ca="1" si="223"/>
        <v>0</v>
      </c>
      <c r="J964">
        <f t="shared" ca="1" si="223"/>
        <v>0</v>
      </c>
      <c r="K964">
        <f t="shared" ca="1" si="223"/>
        <v>0</v>
      </c>
      <c r="L964">
        <f t="shared" ca="1" si="223"/>
        <v>0</v>
      </c>
      <c r="M964">
        <f t="shared" ca="1" si="223"/>
        <v>0</v>
      </c>
      <c r="N964">
        <f t="shared" ca="1" si="223"/>
        <v>0</v>
      </c>
      <c r="O964">
        <f t="shared" ca="1" si="223"/>
        <v>0</v>
      </c>
      <c r="P964">
        <f t="shared" ca="1" si="223"/>
        <v>0</v>
      </c>
      <c r="Q964">
        <f t="shared" ca="1" si="223"/>
        <v>0</v>
      </c>
      <c r="R964">
        <f t="shared" ca="1" si="223"/>
        <v>0</v>
      </c>
      <c r="S964">
        <f t="shared" ca="1" si="223"/>
        <v>0</v>
      </c>
      <c r="T964">
        <f t="shared" ca="1" si="223"/>
        <v>0</v>
      </c>
      <c r="U964">
        <f t="shared" ca="1" si="223"/>
        <v>0</v>
      </c>
      <c r="V964">
        <f t="shared" ca="1" si="223"/>
        <v>0</v>
      </c>
      <c r="W964">
        <f t="shared" ca="1" si="223"/>
        <v>0</v>
      </c>
      <c r="X964">
        <f t="shared" ca="1" si="223"/>
        <v>0</v>
      </c>
      <c r="Y964">
        <f t="shared" ca="1" si="223"/>
        <v>0</v>
      </c>
      <c r="Z964">
        <f t="shared" ca="1" si="223"/>
        <v>0</v>
      </c>
      <c r="AA964">
        <f t="shared" ca="1" si="223"/>
        <v>0</v>
      </c>
      <c r="AB964">
        <f t="shared" ca="1" si="223"/>
        <v>0</v>
      </c>
      <c r="AC964">
        <f t="shared" ca="1" si="223"/>
        <v>0</v>
      </c>
      <c r="AD964" s="316">
        <f t="shared" ca="1" si="215"/>
        <v>0</v>
      </c>
      <c r="AE964" s="316">
        <f t="shared" ca="1" si="216"/>
        <v>0</v>
      </c>
      <c r="AF964" s="316">
        <f t="shared" ca="1" si="216"/>
        <v>0</v>
      </c>
      <c r="AG964" s="316">
        <f t="shared" ca="1" si="216"/>
        <v>0</v>
      </c>
      <c r="AH964" s="316">
        <f t="shared" ca="1" si="216"/>
        <v>0</v>
      </c>
      <c r="AI964" s="316">
        <f t="shared" ref="AE964:AW970" ca="1" si="224">AH964</f>
        <v>0</v>
      </c>
      <c r="AJ964" s="316">
        <f t="shared" ca="1" si="224"/>
        <v>0</v>
      </c>
      <c r="AK964" s="316">
        <f t="shared" ca="1" si="224"/>
        <v>0</v>
      </c>
      <c r="AL964" s="316">
        <f t="shared" ca="1" si="224"/>
        <v>0</v>
      </c>
      <c r="AM964" s="316">
        <f t="shared" ca="1" si="224"/>
        <v>0</v>
      </c>
      <c r="AN964" s="316">
        <f t="shared" ca="1" si="224"/>
        <v>0</v>
      </c>
      <c r="AO964" s="316">
        <f t="shared" ca="1" si="224"/>
        <v>0</v>
      </c>
      <c r="AP964" s="316">
        <f t="shared" ca="1" si="224"/>
        <v>0</v>
      </c>
      <c r="AQ964" s="316">
        <f t="shared" ca="1" si="224"/>
        <v>0</v>
      </c>
      <c r="AR964" s="316">
        <f t="shared" ca="1" si="224"/>
        <v>0</v>
      </c>
      <c r="AS964" s="316">
        <f t="shared" ca="1" si="224"/>
        <v>0</v>
      </c>
      <c r="AT964" s="316">
        <f t="shared" ca="1" si="224"/>
        <v>0</v>
      </c>
      <c r="AU964" s="316">
        <f t="shared" ca="1" si="224"/>
        <v>0</v>
      </c>
      <c r="AV964" s="316">
        <f t="shared" ca="1" si="224"/>
        <v>0</v>
      </c>
      <c r="AW964" s="316">
        <f t="shared" ca="1" si="224"/>
        <v>0</v>
      </c>
      <c r="BA964" s="49">
        <f t="shared" ca="1" si="222"/>
        <v>0</v>
      </c>
      <c r="BB964" s="49"/>
      <c r="BC964" s="49">
        <f t="shared" ca="1" si="220"/>
        <v>0</v>
      </c>
      <c r="BD964" s="49"/>
      <c r="BE964" s="49">
        <f t="shared" ca="1" si="221"/>
        <v>0</v>
      </c>
    </row>
    <row r="965" spans="3:57">
      <c r="C965" t="str">
        <f t="shared" si="217"/>
        <v>IGCC</v>
      </c>
      <c r="D965">
        <f t="shared" si="213"/>
        <v>0</v>
      </c>
      <c r="E965">
        <f t="shared" si="223"/>
        <v>0</v>
      </c>
      <c r="F965">
        <f t="shared" si="223"/>
        <v>0</v>
      </c>
      <c r="G965">
        <f t="shared" si="223"/>
        <v>0</v>
      </c>
      <c r="H965">
        <f t="shared" si="223"/>
        <v>0</v>
      </c>
      <c r="I965">
        <f t="shared" ca="1" si="223"/>
        <v>0</v>
      </c>
      <c r="J965">
        <f t="shared" ca="1" si="223"/>
        <v>0</v>
      </c>
      <c r="K965">
        <f t="shared" ca="1" si="223"/>
        <v>0</v>
      </c>
      <c r="L965">
        <f t="shared" ca="1" si="223"/>
        <v>0</v>
      </c>
      <c r="M965">
        <f t="shared" ca="1" si="223"/>
        <v>0</v>
      </c>
      <c r="N965">
        <f t="shared" ca="1" si="223"/>
        <v>0</v>
      </c>
      <c r="O965">
        <f t="shared" ca="1" si="223"/>
        <v>0</v>
      </c>
      <c r="P965">
        <f t="shared" ca="1" si="223"/>
        <v>0</v>
      </c>
      <c r="Q965">
        <f t="shared" ca="1" si="223"/>
        <v>0</v>
      </c>
      <c r="R965">
        <f t="shared" ca="1" si="223"/>
        <v>0</v>
      </c>
      <c r="S965">
        <f t="shared" ca="1" si="223"/>
        <v>0</v>
      </c>
      <c r="T965">
        <f t="shared" ca="1" si="223"/>
        <v>0</v>
      </c>
      <c r="U965">
        <f t="shared" ca="1" si="223"/>
        <v>0</v>
      </c>
      <c r="V965">
        <f t="shared" ca="1" si="223"/>
        <v>0</v>
      </c>
      <c r="W965">
        <f t="shared" ca="1" si="223"/>
        <v>0</v>
      </c>
      <c r="X965">
        <f t="shared" ca="1" si="223"/>
        <v>0</v>
      </c>
      <c r="Y965">
        <f t="shared" ca="1" si="223"/>
        <v>0</v>
      </c>
      <c r="Z965">
        <f t="shared" ca="1" si="223"/>
        <v>0</v>
      </c>
      <c r="AA965">
        <f t="shared" ca="1" si="223"/>
        <v>0</v>
      </c>
      <c r="AB965">
        <f t="shared" ca="1" si="223"/>
        <v>1837.8321352619787</v>
      </c>
      <c r="AC965">
        <f t="shared" ca="1" si="223"/>
        <v>3675.6642705239574</v>
      </c>
      <c r="AD965" s="316">
        <f t="shared" ca="1" si="215"/>
        <v>3675.6642705239574</v>
      </c>
      <c r="AE965" s="316">
        <f t="shared" ca="1" si="224"/>
        <v>3675.6642705239574</v>
      </c>
      <c r="AF965" s="316">
        <f t="shared" ca="1" si="224"/>
        <v>3675.6642705239574</v>
      </c>
      <c r="AG965" s="316">
        <f t="shared" ca="1" si="224"/>
        <v>3675.6642705239574</v>
      </c>
      <c r="AH965" s="316">
        <f t="shared" ca="1" si="224"/>
        <v>3675.6642705239574</v>
      </c>
      <c r="AI965" s="316">
        <f t="shared" ca="1" si="224"/>
        <v>3675.6642705239574</v>
      </c>
      <c r="AJ965" s="316">
        <f t="shared" ca="1" si="224"/>
        <v>3675.6642705239574</v>
      </c>
      <c r="AK965" s="316">
        <f t="shared" ca="1" si="224"/>
        <v>3675.6642705239574</v>
      </c>
      <c r="AL965" s="316">
        <f t="shared" ca="1" si="224"/>
        <v>3675.6642705239574</v>
      </c>
      <c r="AM965" s="316">
        <f t="shared" ca="1" si="224"/>
        <v>3675.6642705239574</v>
      </c>
      <c r="AN965" s="316">
        <f t="shared" ca="1" si="224"/>
        <v>3675.6642705239574</v>
      </c>
      <c r="AO965" s="316">
        <f t="shared" ca="1" si="224"/>
        <v>3675.6642705239574</v>
      </c>
      <c r="AP965" s="316">
        <f t="shared" ca="1" si="224"/>
        <v>3675.6642705239574</v>
      </c>
      <c r="AQ965" s="316">
        <f t="shared" ca="1" si="224"/>
        <v>3675.6642705239574</v>
      </c>
      <c r="AR965" s="316">
        <f t="shared" ca="1" si="224"/>
        <v>3675.6642705239574</v>
      </c>
      <c r="AS965" s="316">
        <f t="shared" ca="1" si="224"/>
        <v>3675.6642705239574</v>
      </c>
      <c r="AT965" s="316">
        <f t="shared" ca="1" si="224"/>
        <v>3675.6642705239574</v>
      </c>
      <c r="AU965" s="316">
        <f t="shared" ca="1" si="224"/>
        <v>3675.6642705239574</v>
      </c>
      <c r="AV965" s="316">
        <f t="shared" ca="1" si="224"/>
        <v>3675.6642705239574</v>
      </c>
      <c r="AW965" s="316">
        <f t="shared" ca="1" si="224"/>
        <v>3675.6642705239574</v>
      </c>
      <c r="BA965" s="49">
        <f t="shared" ca="1" si="222"/>
        <v>31293.001979545577</v>
      </c>
      <c r="BB965" s="49"/>
      <c r="BC965" s="49">
        <f t="shared" ca="1" si="220"/>
        <v>4998.5178713535679</v>
      </c>
      <c r="BD965" s="49"/>
      <c r="BE965" s="49">
        <f t="shared" ca="1" si="221"/>
        <v>769.87664771142408</v>
      </c>
    </row>
    <row r="966" spans="3:57">
      <c r="C966" t="str">
        <f t="shared" si="217"/>
        <v>-</v>
      </c>
      <c r="D966">
        <f t="shared" si="213"/>
        <v>0</v>
      </c>
      <c r="E966">
        <f t="shared" si="223"/>
        <v>0</v>
      </c>
      <c r="F966">
        <f t="shared" si="223"/>
        <v>0</v>
      </c>
      <c r="G966">
        <f t="shared" si="223"/>
        <v>0</v>
      </c>
      <c r="H966">
        <f t="shared" si="223"/>
        <v>0</v>
      </c>
      <c r="I966">
        <f t="shared" ca="1" si="223"/>
        <v>0</v>
      </c>
      <c r="J966">
        <f t="shared" ca="1" si="223"/>
        <v>0</v>
      </c>
      <c r="K966">
        <f t="shared" ca="1" si="223"/>
        <v>0</v>
      </c>
      <c r="L966">
        <f t="shared" ca="1" si="223"/>
        <v>0</v>
      </c>
      <c r="M966">
        <f t="shared" ca="1" si="223"/>
        <v>0</v>
      </c>
      <c r="N966">
        <f t="shared" ca="1" si="223"/>
        <v>0</v>
      </c>
      <c r="O966">
        <f t="shared" ca="1" si="223"/>
        <v>0</v>
      </c>
      <c r="P966">
        <f t="shared" ca="1" si="223"/>
        <v>0</v>
      </c>
      <c r="Q966">
        <f t="shared" ca="1" si="223"/>
        <v>0</v>
      </c>
      <c r="R966">
        <f t="shared" ca="1" si="223"/>
        <v>0</v>
      </c>
      <c r="S966">
        <f t="shared" ca="1" si="223"/>
        <v>0</v>
      </c>
      <c r="T966">
        <f t="shared" ca="1" si="223"/>
        <v>0</v>
      </c>
      <c r="U966">
        <f t="shared" ca="1" si="223"/>
        <v>0</v>
      </c>
      <c r="V966">
        <f t="shared" ca="1" si="223"/>
        <v>0</v>
      </c>
      <c r="W966">
        <f t="shared" ca="1" si="223"/>
        <v>0</v>
      </c>
      <c r="X966">
        <f t="shared" ca="1" si="223"/>
        <v>0</v>
      </c>
      <c r="Y966">
        <f t="shared" ca="1" si="223"/>
        <v>0</v>
      </c>
      <c r="Z966">
        <f t="shared" ca="1" si="223"/>
        <v>0</v>
      </c>
      <c r="AA966">
        <f t="shared" ca="1" si="223"/>
        <v>0</v>
      </c>
      <c r="AB966">
        <f t="shared" ca="1" si="223"/>
        <v>0</v>
      </c>
      <c r="AC966">
        <f t="shared" ca="1" si="223"/>
        <v>0</v>
      </c>
      <c r="AD966" s="316">
        <f t="shared" ca="1" si="215"/>
        <v>0</v>
      </c>
      <c r="AE966" s="316">
        <f t="shared" ca="1" si="224"/>
        <v>0</v>
      </c>
      <c r="AF966" s="316">
        <f t="shared" ca="1" si="224"/>
        <v>0</v>
      </c>
      <c r="AG966" s="316">
        <f t="shared" ca="1" si="224"/>
        <v>0</v>
      </c>
      <c r="AH966" s="316">
        <f t="shared" ca="1" si="224"/>
        <v>0</v>
      </c>
      <c r="AI966" s="316">
        <f t="shared" ca="1" si="224"/>
        <v>0</v>
      </c>
      <c r="AJ966" s="316">
        <f t="shared" ca="1" si="224"/>
        <v>0</v>
      </c>
      <c r="AK966" s="316">
        <f t="shared" ca="1" si="224"/>
        <v>0</v>
      </c>
      <c r="AL966" s="316">
        <f t="shared" ca="1" si="224"/>
        <v>0</v>
      </c>
      <c r="AM966" s="316">
        <f t="shared" ca="1" si="224"/>
        <v>0</v>
      </c>
      <c r="AN966" s="316">
        <f t="shared" ca="1" si="224"/>
        <v>0</v>
      </c>
      <c r="AO966" s="316">
        <f t="shared" ca="1" si="224"/>
        <v>0</v>
      </c>
      <c r="AP966" s="316">
        <f t="shared" ca="1" si="224"/>
        <v>0</v>
      </c>
      <c r="AQ966" s="316">
        <f t="shared" ca="1" si="224"/>
        <v>0</v>
      </c>
      <c r="AR966" s="316">
        <f t="shared" ca="1" si="224"/>
        <v>0</v>
      </c>
      <c r="AS966" s="316">
        <f t="shared" ca="1" si="224"/>
        <v>0</v>
      </c>
      <c r="AT966" s="316">
        <f t="shared" ca="1" si="224"/>
        <v>0</v>
      </c>
      <c r="AU966" s="316">
        <f t="shared" ca="1" si="224"/>
        <v>0</v>
      </c>
      <c r="AV966" s="316">
        <f t="shared" ca="1" si="224"/>
        <v>0</v>
      </c>
      <c r="AW966" s="316">
        <f t="shared" ca="1" si="224"/>
        <v>0</v>
      </c>
      <c r="BA966" s="49">
        <f t="shared" ca="1" si="222"/>
        <v>0</v>
      </c>
      <c r="BB966" s="49"/>
      <c r="BC966" s="49">
        <f t="shared" ca="1" si="220"/>
        <v>0</v>
      </c>
      <c r="BD966" s="49"/>
      <c r="BE966" s="49">
        <f t="shared" ca="1" si="221"/>
        <v>0</v>
      </c>
    </row>
    <row r="967" spans="3:57">
      <c r="C967" t="str">
        <f t="shared" si="217"/>
        <v>-</v>
      </c>
      <c r="D967">
        <f t="shared" si="213"/>
        <v>0</v>
      </c>
      <c r="E967">
        <f t="shared" si="223"/>
        <v>0</v>
      </c>
      <c r="F967">
        <f t="shared" si="223"/>
        <v>0</v>
      </c>
      <c r="G967">
        <f t="shared" si="223"/>
        <v>0</v>
      </c>
      <c r="H967">
        <f t="shared" si="223"/>
        <v>0</v>
      </c>
      <c r="I967">
        <f t="shared" ca="1" si="223"/>
        <v>0</v>
      </c>
      <c r="J967">
        <f t="shared" ca="1" si="223"/>
        <v>0</v>
      </c>
      <c r="K967">
        <f t="shared" ca="1" si="223"/>
        <v>0</v>
      </c>
      <c r="L967">
        <f t="shared" ca="1" si="223"/>
        <v>0</v>
      </c>
      <c r="M967">
        <f t="shared" ca="1" si="223"/>
        <v>0</v>
      </c>
      <c r="N967">
        <f t="shared" ca="1" si="223"/>
        <v>0</v>
      </c>
      <c r="O967">
        <f t="shared" ca="1" si="223"/>
        <v>0</v>
      </c>
      <c r="P967">
        <f t="shared" ca="1" si="223"/>
        <v>0</v>
      </c>
      <c r="Q967">
        <f t="shared" ca="1" si="223"/>
        <v>0</v>
      </c>
      <c r="R967">
        <f t="shared" ca="1" si="223"/>
        <v>0</v>
      </c>
      <c r="S967">
        <f t="shared" ca="1" si="223"/>
        <v>0</v>
      </c>
      <c r="T967">
        <f t="shared" ca="1" si="223"/>
        <v>0</v>
      </c>
      <c r="U967">
        <f t="shared" ca="1" si="223"/>
        <v>0</v>
      </c>
      <c r="V967">
        <f t="shared" ca="1" si="223"/>
        <v>0</v>
      </c>
      <c r="W967">
        <f t="shared" ca="1" si="223"/>
        <v>0</v>
      </c>
      <c r="X967">
        <f t="shared" ca="1" si="223"/>
        <v>0</v>
      </c>
      <c r="Y967">
        <f t="shared" ca="1" si="223"/>
        <v>0</v>
      </c>
      <c r="Z967">
        <f t="shared" ca="1" si="223"/>
        <v>0</v>
      </c>
      <c r="AA967">
        <f t="shared" ca="1" si="223"/>
        <v>0</v>
      </c>
      <c r="AB967">
        <f t="shared" ca="1" si="223"/>
        <v>0</v>
      </c>
      <c r="AC967">
        <f t="shared" ca="1" si="223"/>
        <v>0</v>
      </c>
      <c r="AD967" s="316">
        <f t="shared" ca="1" si="215"/>
        <v>0</v>
      </c>
      <c r="AE967" s="316">
        <f t="shared" ca="1" si="224"/>
        <v>0</v>
      </c>
      <c r="AF967" s="316">
        <f t="shared" ca="1" si="224"/>
        <v>0</v>
      </c>
      <c r="AG967" s="316">
        <f t="shared" ca="1" si="224"/>
        <v>0</v>
      </c>
      <c r="AH967" s="316">
        <f t="shared" ca="1" si="224"/>
        <v>0</v>
      </c>
      <c r="AI967" s="316">
        <f t="shared" ca="1" si="224"/>
        <v>0</v>
      </c>
      <c r="AJ967" s="316">
        <f t="shared" ca="1" si="224"/>
        <v>0</v>
      </c>
      <c r="AK967" s="316">
        <f t="shared" ca="1" si="224"/>
        <v>0</v>
      </c>
      <c r="AL967" s="316">
        <f t="shared" ca="1" si="224"/>
        <v>0</v>
      </c>
      <c r="AM967" s="316">
        <f t="shared" ca="1" si="224"/>
        <v>0</v>
      </c>
      <c r="AN967" s="316">
        <f t="shared" ca="1" si="224"/>
        <v>0</v>
      </c>
      <c r="AO967" s="316">
        <f t="shared" ca="1" si="224"/>
        <v>0</v>
      </c>
      <c r="AP967" s="316">
        <f t="shared" ca="1" si="224"/>
        <v>0</v>
      </c>
      <c r="AQ967" s="316">
        <f t="shared" ca="1" si="224"/>
        <v>0</v>
      </c>
      <c r="AR967" s="316">
        <f t="shared" ca="1" si="224"/>
        <v>0</v>
      </c>
      <c r="AS967" s="316">
        <f t="shared" ca="1" si="224"/>
        <v>0</v>
      </c>
      <c r="AT967" s="316">
        <f t="shared" ca="1" si="224"/>
        <v>0</v>
      </c>
      <c r="AU967" s="316">
        <f t="shared" ca="1" si="224"/>
        <v>0</v>
      </c>
      <c r="AV967" s="316">
        <f t="shared" ca="1" si="224"/>
        <v>0</v>
      </c>
      <c r="AW967" s="316">
        <f t="shared" ca="1" si="224"/>
        <v>0</v>
      </c>
      <c r="AZ967" s="21"/>
      <c r="BA967" s="49">
        <f t="shared" ca="1" si="222"/>
        <v>0</v>
      </c>
      <c r="BB967" s="78"/>
      <c r="BC967" s="49">
        <f t="shared" ca="1" si="220"/>
        <v>0</v>
      </c>
      <c r="BD967" s="78"/>
      <c r="BE967" s="49">
        <f t="shared" ca="1" si="221"/>
        <v>0</v>
      </c>
    </row>
    <row r="968" spans="3:57">
      <c r="C968" t="str">
        <f t="shared" si="217"/>
        <v>-</v>
      </c>
      <c r="D968">
        <f t="shared" si="213"/>
        <v>0</v>
      </c>
      <c r="E968">
        <f t="shared" si="223"/>
        <v>0</v>
      </c>
      <c r="F968">
        <f t="shared" si="223"/>
        <v>0</v>
      </c>
      <c r="G968">
        <f t="shared" si="223"/>
        <v>0</v>
      </c>
      <c r="H968">
        <f t="shared" si="223"/>
        <v>0</v>
      </c>
      <c r="I968">
        <f t="shared" ca="1" si="223"/>
        <v>0</v>
      </c>
      <c r="J968">
        <f t="shared" ca="1" si="223"/>
        <v>0</v>
      </c>
      <c r="K968">
        <f t="shared" ca="1" si="223"/>
        <v>0</v>
      </c>
      <c r="L968">
        <f t="shared" ca="1" si="223"/>
        <v>0</v>
      </c>
      <c r="M968">
        <f t="shared" ca="1" si="223"/>
        <v>0</v>
      </c>
      <c r="N968">
        <f t="shared" ca="1" si="223"/>
        <v>0</v>
      </c>
      <c r="O968">
        <f t="shared" ca="1" si="223"/>
        <v>0</v>
      </c>
      <c r="P968">
        <f t="shared" ca="1" si="223"/>
        <v>0</v>
      </c>
      <c r="Q968">
        <f t="shared" ca="1" si="223"/>
        <v>0</v>
      </c>
      <c r="R968">
        <f t="shared" ca="1" si="223"/>
        <v>0</v>
      </c>
      <c r="S968">
        <f t="shared" ca="1" si="223"/>
        <v>0</v>
      </c>
      <c r="T968">
        <f t="shared" ca="1" si="223"/>
        <v>0</v>
      </c>
      <c r="U968">
        <f t="shared" ca="1" si="223"/>
        <v>0</v>
      </c>
      <c r="V968">
        <f t="shared" ca="1" si="223"/>
        <v>0</v>
      </c>
      <c r="W968">
        <f t="shared" ca="1" si="223"/>
        <v>0</v>
      </c>
      <c r="X968">
        <f t="shared" ca="1" si="223"/>
        <v>0</v>
      </c>
      <c r="Y968">
        <f t="shared" ca="1" si="223"/>
        <v>0</v>
      </c>
      <c r="Z968">
        <f t="shared" ca="1" si="223"/>
        <v>0</v>
      </c>
      <c r="AA968">
        <f t="shared" ca="1" si="223"/>
        <v>0</v>
      </c>
      <c r="AB968">
        <f t="shared" ca="1" si="223"/>
        <v>0</v>
      </c>
      <c r="AC968">
        <f t="shared" ca="1" si="223"/>
        <v>0</v>
      </c>
      <c r="AD968" s="316">
        <f t="shared" ca="1" si="215"/>
        <v>0</v>
      </c>
      <c r="AE968" s="316">
        <f t="shared" ca="1" si="224"/>
        <v>0</v>
      </c>
      <c r="AF968" s="316">
        <f t="shared" ca="1" si="224"/>
        <v>0</v>
      </c>
      <c r="AG968" s="316">
        <f t="shared" ca="1" si="224"/>
        <v>0</v>
      </c>
      <c r="AH968" s="316">
        <f t="shared" ca="1" si="224"/>
        <v>0</v>
      </c>
      <c r="AI968" s="316">
        <f t="shared" ca="1" si="224"/>
        <v>0</v>
      </c>
      <c r="AJ968" s="316">
        <f t="shared" ca="1" si="224"/>
        <v>0</v>
      </c>
      <c r="AK968" s="316">
        <f t="shared" ca="1" si="224"/>
        <v>0</v>
      </c>
      <c r="AL968" s="316">
        <f t="shared" ca="1" si="224"/>
        <v>0</v>
      </c>
      <c r="AM968" s="316">
        <f t="shared" ca="1" si="224"/>
        <v>0</v>
      </c>
      <c r="AN968" s="316">
        <f t="shared" ca="1" si="224"/>
        <v>0</v>
      </c>
      <c r="AO968" s="316">
        <f t="shared" ca="1" si="224"/>
        <v>0</v>
      </c>
      <c r="AP968" s="316">
        <f t="shared" ca="1" si="224"/>
        <v>0</v>
      </c>
      <c r="AQ968" s="316">
        <f t="shared" ca="1" si="224"/>
        <v>0</v>
      </c>
      <c r="AR968" s="316">
        <f t="shared" ca="1" si="224"/>
        <v>0</v>
      </c>
      <c r="AS968" s="316">
        <f t="shared" ca="1" si="224"/>
        <v>0</v>
      </c>
      <c r="AT968" s="316">
        <f t="shared" ca="1" si="224"/>
        <v>0</v>
      </c>
      <c r="AU968" s="316">
        <f t="shared" ca="1" si="224"/>
        <v>0</v>
      </c>
      <c r="AV968" s="316">
        <f t="shared" ca="1" si="224"/>
        <v>0</v>
      </c>
      <c r="AW968" s="316">
        <f t="shared" ca="1" si="224"/>
        <v>0</v>
      </c>
      <c r="AZ968" s="21"/>
      <c r="BA968" s="49">
        <f t="shared" ca="1" si="222"/>
        <v>0</v>
      </c>
      <c r="BB968" s="78"/>
      <c r="BC968" s="49">
        <f t="shared" ca="1" si="220"/>
        <v>0</v>
      </c>
      <c r="BD968" s="78"/>
      <c r="BE968" s="49">
        <f t="shared" ca="1" si="221"/>
        <v>0</v>
      </c>
    </row>
    <row r="969" spans="3:57">
      <c r="C969" t="str">
        <f>C27</f>
        <v>Pumped storage</v>
      </c>
      <c r="D969">
        <f t="shared" si="213"/>
        <v>0</v>
      </c>
      <c r="E969">
        <f t="shared" si="223"/>
        <v>0</v>
      </c>
      <c r="F969">
        <f t="shared" si="223"/>
        <v>0</v>
      </c>
      <c r="G969">
        <f t="shared" si="223"/>
        <v>0</v>
      </c>
      <c r="H969">
        <f t="shared" si="223"/>
        <v>0</v>
      </c>
      <c r="I969">
        <f t="shared" ca="1" si="223"/>
        <v>0</v>
      </c>
      <c r="J969">
        <f t="shared" ca="1" si="223"/>
        <v>0</v>
      </c>
      <c r="K969">
        <f t="shared" ca="1" si="223"/>
        <v>0</v>
      </c>
      <c r="L969">
        <f t="shared" ca="1" si="223"/>
        <v>0</v>
      </c>
      <c r="M969">
        <f t="shared" ca="1" si="223"/>
        <v>0</v>
      </c>
      <c r="N969">
        <f t="shared" ca="1" si="223"/>
        <v>0</v>
      </c>
      <c r="O969">
        <f t="shared" ca="1" si="223"/>
        <v>0</v>
      </c>
      <c r="P969">
        <f t="shared" ca="1" si="223"/>
        <v>0</v>
      </c>
      <c r="Q969">
        <f t="shared" ca="1" si="223"/>
        <v>0</v>
      </c>
      <c r="R969">
        <f t="shared" ca="1" si="223"/>
        <v>0</v>
      </c>
      <c r="S969">
        <f t="shared" ca="1" si="223"/>
        <v>0</v>
      </c>
      <c r="T969">
        <f t="shared" ca="1" si="223"/>
        <v>0</v>
      </c>
      <c r="U969">
        <f t="shared" ca="1" si="223"/>
        <v>0</v>
      </c>
      <c r="V969">
        <f t="shared" ca="1" si="223"/>
        <v>0</v>
      </c>
      <c r="W969">
        <f t="shared" ca="1" si="223"/>
        <v>0</v>
      </c>
      <c r="X969">
        <f t="shared" ca="1" si="223"/>
        <v>0</v>
      </c>
      <c r="Y969">
        <f t="shared" ca="1" si="223"/>
        <v>0</v>
      </c>
      <c r="Z969">
        <f t="shared" ca="1" si="223"/>
        <v>0</v>
      </c>
      <c r="AA969">
        <f t="shared" ca="1" si="223"/>
        <v>0</v>
      </c>
      <c r="AB969">
        <f t="shared" ca="1" si="223"/>
        <v>0</v>
      </c>
      <c r="AC969">
        <f t="shared" ca="1" si="223"/>
        <v>0</v>
      </c>
      <c r="AD969" s="316">
        <f t="shared" ca="1" si="215"/>
        <v>0</v>
      </c>
      <c r="AE969" s="316">
        <f t="shared" ca="1" si="224"/>
        <v>0</v>
      </c>
      <c r="AF969" s="316">
        <f t="shared" ca="1" si="224"/>
        <v>0</v>
      </c>
      <c r="AG969" s="316">
        <f t="shared" ca="1" si="224"/>
        <v>0</v>
      </c>
      <c r="AH969" s="316">
        <f t="shared" ca="1" si="224"/>
        <v>0</v>
      </c>
      <c r="AI969" s="316">
        <f t="shared" ca="1" si="224"/>
        <v>0</v>
      </c>
      <c r="AJ969" s="316">
        <f t="shared" ca="1" si="224"/>
        <v>0</v>
      </c>
      <c r="AK969" s="316">
        <f t="shared" ca="1" si="224"/>
        <v>0</v>
      </c>
      <c r="AL969" s="316">
        <f t="shared" ca="1" si="224"/>
        <v>0</v>
      </c>
      <c r="AM969" s="316">
        <f t="shared" ca="1" si="224"/>
        <v>0</v>
      </c>
      <c r="AN969" s="316">
        <f t="shared" ca="1" si="224"/>
        <v>0</v>
      </c>
      <c r="AO969" s="316">
        <f t="shared" ca="1" si="224"/>
        <v>0</v>
      </c>
      <c r="AP969" s="316">
        <f t="shared" ca="1" si="224"/>
        <v>0</v>
      </c>
      <c r="AQ969" s="316">
        <f t="shared" ca="1" si="224"/>
        <v>0</v>
      </c>
      <c r="AR969" s="316">
        <f t="shared" ca="1" si="224"/>
        <v>0</v>
      </c>
      <c r="AS969" s="316">
        <f t="shared" ca="1" si="224"/>
        <v>0</v>
      </c>
      <c r="AT969" s="316">
        <f t="shared" ca="1" si="224"/>
        <v>0</v>
      </c>
      <c r="AU969" s="316">
        <f t="shared" ca="1" si="224"/>
        <v>0</v>
      </c>
      <c r="AV969" s="316">
        <f t="shared" ca="1" si="224"/>
        <v>0</v>
      </c>
      <c r="AW969" s="316">
        <f t="shared" ca="1" si="224"/>
        <v>0</v>
      </c>
      <c r="BA969" s="49">
        <f t="shared" ca="1" si="222"/>
        <v>0</v>
      </c>
      <c r="BB969" s="49"/>
      <c r="BC969" s="49">
        <f t="shared" ca="1" si="220"/>
        <v>0</v>
      </c>
      <c r="BD969" s="49"/>
      <c r="BE969" s="49">
        <f t="shared" ca="1" si="221"/>
        <v>0</v>
      </c>
    </row>
    <row r="970" spans="3:57">
      <c r="C970" t="str">
        <f t="shared" si="217"/>
        <v>TOTAL</v>
      </c>
      <c r="D970">
        <f t="shared" si="213"/>
        <v>0</v>
      </c>
      <c r="E970">
        <f t="shared" si="223"/>
        <v>0</v>
      </c>
      <c r="F970">
        <f t="shared" si="223"/>
        <v>0</v>
      </c>
      <c r="G970">
        <f t="shared" si="223"/>
        <v>0</v>
      </c>
      <c r="H970">
        <f t="shared" si="223"/>
        <v>0</v>
      </c>
      <c r="I970">
        <f t="shared" ca="1" si="223"/>
        <v>0</v>
      </c>
      <c r="J970">
        <f t="shared" ca="1" si="223"/>
        <v>0</v>
      </c>
      <c r="K970">
        <f t="shared" ca="1" si="223"/>
        <v>24478.761458211844</v>
      </c>
      <c r="L970">
        <f t="shared" ca="1" si="223"/>
        <v>25085.250445959304</v>
      </c>
      <c r="M970">
        <f t="shared" ca="1" si="223"/>
        <v>25832.544570616745</v>
      </c>
      <c r="N970">
        <f t="shared" ca="1" si="223"/>
        <v>26409.578736324453</v>
      </c>
      <c r="O970">
        <f t="shared" ca="1" si="223"/>
        <v>80935.238113534142</v>
      </c>
      <c r="P970">
        <f t="shared" ca="1" si="223"/>
        <v>82024.055325167647</v>
      </c>
      <c r="Q970">
        <f t="shared" ca="1" si="223"/>
        <v>82654.008854736036</v>
      </c>
      <c r="R970">
        <f t="shared" ca="1" si="223"/>
        <v>82446.419266861238</v>
      </c>
      <c r="S970">
        <f t="shared" ca="1" si="223"/>
        <v>135826.39062892462</v>
      </c>
      <c r="T970">
        <f t="shared" ca="1" si="223"/>
        <v>132881.15969909183</v>
      </c>
      <c r="U970">
        <f t="shared" ca="1" si="223"/>
        <v>131732.7520290596</v>
      </c>
      <c r="V970">
        <f t="shared" ca="1" si="223"/>
        <v>128301.54132022244</v>
      </c>
      <c r="W970">
        <f t="shared" ca="1" si="223"/>
        <v>125012.84951799382</v>
      </c>
      <c r="X970">
        <f t="shared" ca="1" si="223"/>
        <v>121859.89195074516</v>
      </c>
      <c r="Y970">
        <f t="shared" ca="1" si="223"/>
        <v>118978.57403761256</v>
      </c>
      <c r="Z970">
        <f t="shared" ca="1" si="223"/>
        <v>115580.60521462141</v>
      </c>
      <c r="AA970">
        <f t="shared" ca="1" si="223"/>
        <v>111853.24698395247</v>
      </c>
      <c r="AB970">
        <f t="shared" ca="1" si="223"/>
        <v>107774.63017262286</v>
      </c>
      <c r="AC970">
        <f t="shared" ca="1" si="223"/>
        <v>103796.03694549462</v>
      </c>
      <c r="AD970" s="316">
        <f t="shared" ca="1" si="215"/>
        <v>103796.03694549462</v>
      </c>
      <c r="AE970" s="316">
        <f t="shared" ca="1" si="224"/>
        <v>103796.03694549462</v>
      </c>
      <c r="AF970" s="316">
        <f t="shared" ca="1" si="224"/>
        <v>103796.03694549462</v>
      </c>
      <c r="AG970" s="316">
        <f t="shared" ca="1" si="224"/>
        <v>103796.03694549462</v>
      </c>
      <c r="AH970" s="316">
        <f t="shared" ca="1" si="224"/>
        <v>103796.03694549462</v>
      </c>
      <c r="AI970" s="316">
        <f t="shared" ca="1" si="224"/>
        <v>103796.03694549462</v>
      </c>
      <c r="AJ970" s="316">
        <f t="shared" ca="1" si="224"/>
        <v>103796.03694549462</v>
      </c>
      <c r="AK970" s="316">
        <f t="shared" ca="1" si="224"/>
        <v>103796.03694549462</v>
      </c>
      <c r="AL970" s="316">
        <f t="shared" ca="1" si="224"/>
        <v>103796.03694549462</v>
      </c>
      <c r="AM970" s="316">
        <f t="shared" ca="1" si="224"/>
        <v>103796.03694549462</v>
      </c>
      <c r="AN970" s="316">
        <f t="shared" ca="1" si="224"/>
        <v>103796.03694549462</v>
      </c>
      <c r="AO970" s="316">
        <f t="shared" ca="1" si="224"/>
        <v>103796.03694549462</v>
      </c>
      <c r="AP970" s="316">
        <f t="shared" ca="1" si="224"/>
        <v>103796.03694549462</v>
      </c>
      <c r="AQ970" s="316">
        <f t="shared" ca="1" si="224"/>
        <v>103796.03694549462</v>
      </c>
      <c r="AR970" s="316">
        <f t="shared" ca="1" si="224"/>
        <v>103796.03694549462</v>
      </c>
      <c r="AS970" s="316">
        <f t="shared" ca="1" si="224"/>
        <v>103796.03694549462</v>
      </c>
      <c r="AT970" s="316">
        <f t="shared" ca="1" si="224"/>
        <v>103796.03694549462</v>
      </c>
      <c r="AU970" s="316">
        <f t="shared" ca="1" si="224"/>
        <v>103796.03694549462</v>
      </c>
      <c r="AV970" s="316">
        <f t="shared" ca="1" si="224"/>
        <v>103796.03694549462</v>
      </c>
      <c r="AW970" s="316">
        <f t="shared" ca="1" si="224"/>
        <v>103796.03694549462</v>
      </c>
      <c r="BA970" s="79">
        <f ca="1">NPV(discount_rate,AD970:AW970)</f>
        <v>883674.17439388204</v>
      </c>
      <c r="BB970" s="49"/>
      <c r="BC970" s="79">
        <f t="shared" ca="1" si="220"/>
        <v>643521.32981224288</v>
      </c>
      <c r="BD970" s="49"/>
      <c r="BE970" s="79">
        <f t="shared" ca="1" si="221"/>
        <v>524109.93410938268</v>
      </c>
    </row>
  </sheetData>
  <conditionalFormatting sqref="J35:AI35 H33:AC35">
    <cfRule type="colorScale" priority="3">
      <colorScale>
        <cfvo type="min" val="0"/>
        <cfvo type="percentile" val="50"/>
        <cfvo type="max" val="0"/>
        <color rgb="FFF8696B"/>
        <color rgb="FFFFEB84"/>
        <color rgb="FF63BE7B"/>
      </colorScale>
    </cfRule>
  </conditionalFormatting>
  <conditionalFormatting sqref="I35:AI35">
    <cfRule type="colorScale" priority="1">
      <colorScale>
        <cfvo type="min" val="0"/>
        <cfvo type="percentile" val="50"/>
        <cfvo type="max" val="0"/>
        <color rgb="FF63BE7B"/>
        <color rgb="FFFFEB84"/>
        <color rgb="FFF8696B"/>
      </colorScale>
    </cfRule>
  </conditionalFormatting>
  <pageMargins left="0.7" right="0.7" top="0.75" bottom="0.75" header="0.3" footer="0.3"/>
  <pageSetup orientation="portrait" r:id="rId1"/>
  <drawing r:id="rId2"/>
  <legacyDrawing r:id="rId3"/>
</worksheet>
</file>

<file path=xl/worksheets/sheet12.xml><?xml version="1.0" encoding="utf-8"?>
<worksheet xmlns="http://schemas.openxmlformats.org/spreadsheetml/2006/main" xmlns:r="http://schemas.openxmlformats.org/officeDocument/2006/relationships">
  <sheetPr codeName="Sheet10">
    <tabColor theme="8" tint="-0.499984740745262"/>
  </sheetPr>
  <dimension ref="A1:AD135"/>
  <sheetViews>
    <sheetView workbookViewId="0">
      <pane xSplit="3" ySplit="9" topLeftCell="D10" activePane="bottomRight" state="frozen"/>
      <selection pane="topRight" activeCell="D1" sqref="D1"/>
      <selection pane="bottomLeft" activeCell="A7" sqref="A7"/>
      <selection pane="bottomRight" activeCell="C13" sqref="C13"/>
    </sheetView>
  </sheetViews>
  <sheetFormatPr defaultRowHeight="12.75"/>
  <cols>
    <col min="1" max="1" width="11.5703125" customWidth="1"/>
    <col min="2" max="2" width="27.85546875" customWidth="1"/>
    <col min="3" max="3" width="45.85546875" customWidth="1"/>
    <col min="4" max="4" width="9.140625" customWidth="1"/>
    <col min="6" max="6" width="15.140625" customWidth="1"/>
    <col min="7" max="7" width="9.28515625" bestFit="1" customWidth="1"/>
    <col min="13" max="13" width="9.28515625" customWidth="1"/>
    <col min="14" max="14" width="9" customWidth="1"/>
    <col min="15" max="16" width="9.28515625" bestFit="1" customWidth="1"/>
    <col min="18" max="18" width="9.140625" customWidth="1"/>
    <col min="19" max="19" width="9.85546875" customWidth="1"/>
    <col min="20" max="20" width="10" customWidth="1"/>
    <col min="21" max="21" width="8.140625" customWidth="1"/>
  </cols>
  <sheetData>
    <row r="1" spans="1:23" ht="22.5" customHeight="1"/>
    <row r="2" spans="1:23" ht="20.25" thickBot="1">
      <c r="A2" s="283" t="s">
        <v>601</v>
      </c>
      <c r="B2" s="283"/>
    </row>
    <row r="3" spans="1:23" ht="13.5" thickTop="1"/>
    <row r="4" spans="1:23">
      <c r="A4" t="s">
        <v>447</v>
      </c>
      <c r="S4">
        <f>0.7*24</f>
        <v>16.799999999999997</v>
      </c>
    </row>
    <row r="5" spans="1:23">
      <c r="A5" t="s">
        <v>448</v>
      </c>
      <c r="S5" s="307"/>
    </row>
    <row r="6" spans="1:23">
      <c r="B6" t="s">
        <v>449</v>
      </c>
      <c r="D6" s="251">
        <f>discount_rate</f>
        <v>0.1</v>
      </c>
      <c r="J6" t="s">
        <v>450</v>
      </c>
      <c r="M6" s="153">
        <v>1</v>
      </c>
    </row>
    <row r="7" spans="1:23" ht="15">
      <c r="E7" t="s">
        <v>451</v>
      </c>
      <c r="G7" s="298">
        <v>0.1</v>
      </c>
      <c r="H7" s="298">
        <v>0.5</v>
      </c>
      <c r="I7" s="298">
        <v>0.5</v>
      </c>
      <c r="M7" s="1" t="s">
        <v>452</v>
      </c>
    </row>
    <row r="8" spans="1:23" ht="51">
      <c r="F8" s="8"/>
      <c r="G8" s="8" t="s">
        <v>103</v>
      </c>
      <c r="H8" s="8" t="s">
        <v>64</v>
      </c>
      <c r="I8" s="8" t="s">
        <v>65</v>
      </c>
      <c r="J8" s="8" t="s">
        <v>453</v>
      </c>
      <c r="L8" s="158" t="s">
        <v>497</v>
      </c>
      <c r="M8" s="8" t="s">
        <v>454</v>
      </c>
      <c r="N8" s="8" t="s">
        <v>455</v>
      </c>
      <c r="O8" s="8" t="s">
        <v>64</v>
      </c>
      <c r="P8" s="8" t="s">
        <v>65</v>
      </c>
      <c r="Q8" s="158" t="s">
        <v>498</v>
      </c>
      <c r="R8" s="158" t="s">
        <v>38</v>
      </c>
      <c r="S8" s="158" t="s">
        <v>43</v>
      </c>
      <c r="T8" s="158" t="s">
        <v>385</v>
      </c>
      <c r="U8" s="158" t="s">
        <v>7</v>
      </c>
      <c r="V8" s="158" t="s">
        <v>499</v>
      </c>
      <c r="W8" s="158" t="s">
        <v>500</v>
      </c>
    </row>
    <row r="9" spans="1:23" ht="25.5">
      <c r="A9" s="162" t="s">
        <v>501</v>
      </c>
      <c r="B9" t="s">
        <v>456</v>
      </c>
      <c r="C9" s="11" t="s">
        <v>208</v>
      </c>
      <c r="D9" t="s">
        <v>457</v>
      </c>
      <c r="E9" t="s">
        <v>458</v>
      </c>
      <c r="F9" s="8" t="s">
        <v>459</v>
      </c>
      <c r="G9" s="8" t="s">
        <v>460</v>
      </c>
      <c r="H9" s="8" t="s">
        <v>460</v>
      </c>
      <c r="I9" s="8" t="s">
        <v>461</v>
      </c>
      <c r="K9" s="8" t="s">
        <v>462</v>
      </c>
      <c r="M9" s="8" t="s">
        <v>463</v>
      </c>
      <c r="N9" s="8" t="s">
        <v>463</v>
      </c>
      <c r="O9" s="8" t="s">
        <v>463</v>
      </c>
      <c r="P9" s="8" t="s">
        <v>464</v>
      </c>
    </row>
    <row r="10" spans="1:23" ht="15">
      <c r="A10" s="190">
        <v>1</v>
      </c>
      <c r="B10" s="21" t="s">
        <v>22</v>
      </c>
      <c r="C10" s="21" t="s">
        <v>489</v>
      </c>
      <c r="D10" s="21" t="s">
        <v>485</v>
      </c>
      <c r="E10" s="21">
        <v>2007</v>
      </c>
      <c r="F10" s="21" t="s">
        <v>466</v>
      </c>
      <c r="G10" s="161">
        <v>3766</v>
      </c>
      <c r="H10" s="163">
        <v>64.45</v>
      </c>
      <c r="I10" s="163">
        <v>6.71</v>
      </c>
      <c r="J10">
        <f t="shared" ref="J10:J35" si="0">W50</f>
        <v>31212.006884862854</v>
      </c>
      <c r="K10" s="15">
        <f t="shared" ref="K10:K43" si="1">SUMIF($A$89:$A$113,$B10,AC$89:AC$113)</f>
        <v>1</v>
      </c>
      <c r="L10" t="str">
        <f>A10&amp;B10</f>
        <v>1Biomass</v>
      </c>
      <c r="M10" s="9">
        <f>IF(F10="Present Value",$J10/K10,$J10)</f>
        <v>31212.006884862854</v>
      </c>
      <c r="N10" s="9">
        <f>IF(F10="Present Value",J10,$J10*K10)</f>
        <v>31212.006884862854</v>
      </c>
      <c r="O10" s="19">
        <f t="shared" ref="O10:O21" si="2">X50</f>
        <v>537.61831617101529</v>
      </c>
      <c r="P10" s="19">
        <f t="shared" ref="P10:P21" si="3">Y50</f>
        <v>55.972364647129751</v>
      </c>
      <c r="Q10" s="9">
        <v>9646</v>
      </c>
      <c r="R10" s="238">
        <f>IF(Q10,1/(Q10*1.055/3600),1)</f>
        <v>0.3537551601577355</v>
      </c>
      <c r="S10" s="239">
        <f>(1-V10)*(1-W10)</f>
        <v>0.90249999999999997</v>
      </c>
      <c r="T10" s="240">
        <f>T13</f>
        <v>25</v>
      </c>
      <c r="U10" s="21">
        <v>80</v>
      </c>
      <c r="V10" s="241">
        <f>V13</f>
        <v>0.05</v>
      </c>
      <c r="W10" s="241">
        <f>W13</f>
        <v>0.05</v>
      </c>
    </row>
    <row r="11" spans="1:23" ht="15">
      <c r="A11" s="190">
        <v>0</v>
      </c>
      <c r="B11" s="21" t="s">
        <v>22</v>
      </c>
      <c r="C11" s="21" t="s">
        <v>490</v>
      </c>
      <c r="D11" s="21" t="s">
        <v>486</v>
      </c>
      <c r="E11" s="21">
        <v>2007</v>
      </c>
      <c r="F11" s="21" t="s">
        <v>466</v>
      </c>
      <c r="G11" s="161">
        <v>4760</v>
      </c>
      <c r="H11" s="163">
        <v>77</v>
      </c>
      <c r="I11" s="163">
        <v>23.1</v>
      </c>
      <c r="J11">
        <f t="shared" si="0"/>
        <v>5361.6976473233335</v>
      </c>
      <c r="K11" s="15">
        <f t="shared" si="1"/>
        <v>1</v>
      </c>
      <c r="L11" t="str">
        <f t="shared" ref="L11:L43" si="4">A11&amp;B11</f>
        <v>0Biomass</v>
      </c>
      <c r="M11" s="9">
        <f t="shared" ref="M11:M43" si="5">IF(F11="Present Value",$J11/K11,$J11)</f>
        <v>5361.6976473233335</v>
      </c>
      <c r="N11" s="9">
        <f t="shared" ref="N11:N43" si="6">IF(F11="Present Value",J11,$J11*K11)</f>
        <v>5361.6976473233335</v>
      </c>
      <c r="O11" s="19">
        <f t="shared" si="2"/>
        <v>87.296302386075709</v>
      </c>
      <c r="P11" s="19">
        <f t="shared" si="3"/>
        <v>26.188890715822716</v>
      </c>
      <c r="Q11" s="123">
        <v>9222</v>
      </c>
      <c r="R11" s="238">
        <f t="shared" ref="R11:R18" si="7">IF(Q11,1/(Q11*1.055/3600),1)</f>
        <v>0.370019765222459</v>
      </c>
      <c r="S11" s="239">
        <f t="shared" ref="S11:S43" si="8">(1-V11)*(1-W11)</f>
        <v>0.90249999999999997</v>
      </c>
      <c r="T11" s="240">
        <f>T13</f>
        <v>25</v>
      </c>
      <c r="U11" s="21">
        <v>100</v>
      </c>
      <c r="V11" s="241">
        <f>V13</f>
        <v>0.05</v>
      </c>
      <c r="W11" s="241">
        <f>W13</f>
        <v>0.05</v>
      </c>
    </row>
    <row r="12" spans="1:23" ht="15">
      <c r="A12" s="190">
        <v>1</v>
      </c>
      <c r="B12" s="21" t="s">
        <v>72</v>
      </c>
      <c r="C12" s="21" t="s">
        <v>489</v>
      </c>
      <c r="D12" s="21" t="s">
        <v>485</v>
      </c>
      <c r="E12" s="21">
        <v>2007</v>
      </c>
      <c r="F12" s="21" t="s">
        <v>466</v>
      </c>
      <c r="G12" s="161">
        <v>962</v>
      </c>
      <c r="H12" s="163">
        <v>12.48</v>
      </c>
      <c r="I12" s="163">
        <v>2.0699999999999998</v>
      </c>
      <c r="J12">
        <f t="shared" si="0"/>
        <v>7972.9024490807424</v>
      </c>
      <c r="K12" s="15">
        <f t="shared" si="1"/>
        <v>1.0991550000000001</v>
      </c>
      <c r="L12" t="str">
        <f t="shared" si="4"/>
        <v>1Combined Cycle Gas Turbine</v>
      </c>
      <c r="M12" s="9">
        <f t="shared" si="5"/>
        <v>7972.9024490807424</v>
      </c>
      <c r="N12" s="9">
        <f t="shared" si="6"/>
        <v>8763.4555914193443</v>
      </c>
      <c r="O12" s="19">
        <f t="shared" si="2"/>
        <v>104.10359326321597</v>
      </c>
      <c r="P12" s="19">
        <f t="shared" si="3"/>
        <v>17.267182536446882</v>
      </c>
      <c r="Q12" s="9">
        <v>7196</v>
      </c>
      <c r="R12" s="238">
        <f t="shared" si="7"/>
        <v>0.47419709211805405</v>
      </c>
      <c r="S12" s="239">
        <f t="shared" si="8"/>
        <v>0.90249999999999997</v>
      </c>
      <c r="T12" s="240">
        <f>T13</f>
        <v>25</v>
      </c>
      <c r="U12" s="21">
        <v>387</v>
      </c>
      <c r="V12" s="241">
        <f>V13</f>
        <v>0.05</v>
      </c>
      <c r="W12" s="241">
        <f>W13</f>
        <v>0.05</v>
      </c>
    </row>
    <row r="13" spans="1:23" ht="15">
      <c r="A13" s="190">
        <v>0</v>
      </c>
      <c r="B13" s="21" t="s">
        <v>72</v>
      </c>
      <c r="C13" s="21" t="s">
        <v>490</v>
      </c>
      <c r="D13" s="21" t="s">
        <v>486</v>
      </c>
      <c r="E13" s="21">
        <v>2007</v>
      </c>
      <c r="F13" s="21" t="s">
        <v>466</v>
      </c>
      <c r="G13" s="161">
        <v>4760</v>
      </c>
      <c r="H13" s="163">
        <v>77</v>
      </c>
      <c r="I13" s="163">
        <v>22.75</v>
      </c>
      <c r="J13">
        <f t="shared" si="0"/>
        <v>5361.6976473233335</v>
      </c>
      <c r="K13" s="15">
        <f t="shared" si="1"/>
        <v>1.0991550000000001</v>
      </c>
      <c r="L13" t="str">
        <f t="shared" si="4"/>
        <v>0Combined Cycle Gas Turbine</v>
      </c>
      <c r="M13" s="9">
        <f t="shared" si="5"/>
        <v>5361.6976473233335</v>
      </c>
      <c r="N13" s="9">
        <f t="shared" si="6"/>
        <v>5893.3367775436791</v>
      </c>
      <c r="O13" s="19">
        <f t="shared" si="2"/>
        <v>87.296302386075709</v>
      </c>
      <c r="P13" s="19">
        <f t="shared" si="3"/>
        <v>25.792089341340549</v>
      </c>
      <c r="Q13" s="123">
        <v>10432</v>
      </c>
      <c r="R13" s="238">
        <f t="shared" si="7"/>
        <v>0.32710144506149508</v>
      </c>
      <c r="S13" s="239">
        <f t="shared" si="8"/>
        <v>0.90249999999999997</v>
      </c>
      <c r="T13" s="21">
        <v>25</v>
      </c>
      <c r="U13" s="21">
        <v>387</v>
      </c>
      <c r="V13" s="61">
        <v>0.05</v>
      </c>
      <c r="W13" s="62">
        <v>0.05</v>
      </c>
    </row>
    <row r="14" spans="1:23" ht="15">
      <c r="A14" s="190">
        <v>0</v>
      </c>
      <c r="B14" s="21" t="s">
        <v>72</v>
      </c>
      <c r="C14" s="21"/>
      <c r="D14" s="21" t="s">
        <v>465</v>
      </c>
      <c r="E14" s="21">
        <v>2008</v>
      </c>
      <c r="F14" s="21" t="s">
        <v>466</v>
      </c>
      <c r="G14" s="232">
        <v>2</v>
      </c>
      <c r="H14" s="21">
        <v>2</v>
      </c>
      <c r="I14" s="21">
        <v>2</v>
      </c>
      <c r="J14">
        <f t="shared" si="0"/>
        <v>21.740000000000002</v>
      </c>
      <c r="K14" s="15">
        <f t="shared" si="1"/>
        <v>1.0991550000000001</v>
      </c>
      <c r="L14" t="str">
        <f t="shared" si="4"/>
        <v>0Combined Cycle Gas Turbine</v>
      </c>
      <c r="M14" s="9">
        <f t="shared" si="5"/>
        <v>21.740000000000002</v>
      </c>
      <c r="N14" s="9">
        <f t="shared" si="6"/>
        <v>23.895629700000004</v>
      </c>
      <c r="O14" s="19">
        <f t="shared" si="2"/>
        <v>21.74</v>
      </c>
      <c r="P14" s="19">
        <f t="shared" si="3"/>
        <v>21.74</v>
      </c>
      <c r="Q14" s="9"/>
      <c r="R14" s="238">
        <f t="shared" si="7"/>
        <v>1</v>
      </c>
      <c r="S14" s="239">
        <f t="shared" si="8"/>
        <v>1</v>
      </c>
      <c r="T14" s="21"/>
      <c r="U14" s="21"/>
      <c r="V14" s="21"/>
      <c r="W14" s="21"/>
    </row>
    <row r="15" spans="1:23" ht="15">
      <c r="A15" s="190">
        <v>0</v>
      </c>
      <c r="B15" s="21" t="s">
        <v>72</v>
      </c>
      <c r="C15" s="21"/>
      <c r="D15" s="21" t="s">
        <v>465</v>
      </c>
      <c r="E15" s="21">
        <v>2008</v>
      </c>
      <c r="F15" s="21" t="s">
        <v>466</v>
      </c>
      <c r="G15" s="232">
        <v>2</v>
      </c>
      <c r="H15" s="21">
        <v>2</v>
      </c>
      <c r="I15" s="21">
        <v>2</v>
      </c>
      <c r="J15">
        <f t="shared" si="0"/>
        <v>21.740000000000002</v>
      </c>
      <c r="K15" s="15">
        <f t="shared" si="1"/>
        <v>1.0991550000000001</v>
      </c>
      <c r="L15" t="str">
        <f t="shared" si="4"/>
        <v>0Combined Cycle Gas Turbine</v>
      </c>
      <c r="M15" s="9">
        <f t="shared" si="5"/>
        <v>21.740000000000002</v>
      </c>
      <c r="N15" s="9">
        <f t="shared" si="6"/>
        <v>23.895629700000004</v>
      </c>
      <c r="O15" s="19">
        <f t="shared" si="2"/>
        <v>21.74</v>
      </c>
      <c r="P15" s="19">
        <f t="shared" si="3"/>
        <v>21.74</v>
      </c>
      <c r="Q15" s="9"/>
      <c r="R15" s="238">
        <f t="shared" si="7"/>
        <v>1</v>
      </c>
      <c r="S15" s="239">
        <f t="shared" si="8"/>
        <v>1</v>
      </c>
      <c r="T15" s="21"/>
      <c r="U15" s="21"/>
      <c r="V15" s="21"/>
      <c r="W15" s="21"/>
    </row>
    <row r="16" spans="1:23" ht="15">
      <c r="A16" s="190">
        <v>0</v>
      </c>
      <c r="B16" s="21" t="s">
        <v>72</v>
      </c>
      <c r="C16" s="21"/>
      <c r="D16" s="21" t="s">
        <v>465</v>
      </c>
      <c r="E16" s="21">
        <v>2008</v>
      </c>
      <c r="F16" s="21" t="s">
        <v>466</v>
      </c>
      <c r="G16" s="232">
        <v>2</v>
      </c>
      <c r="H16" s="21">
        <v>2</v>
      </c>
      <c r="I16" s="21">
        <v>2</v>
      </c>
      <c r="J16">
        <f t="shared" si="0"/>
        <v>21.740000000000002</v>
      </c>
      <c r="K16" s="15">
        <f t="shared" si="1"/>
        <v>1.0991550000000001</v>
      </c>
      <c r="L16" t="str">
        <f t="shared" si="4"/>
        <v>0Combined Cycle Gas Turbine</v>
      </c>
      <c r="M16" s="9">
        <f t="shared" si="5"/>
        <v>21.740000000000002</v>
      </c>
      <c r="N16" s="9">
        <f t="shared" si="6"/>
        <v>23.895629700000004</v>
      </c>
      <c r="O16" s="19">
        <f t="shared" si="2"/>
        <v>21.74</v>
      </c>
      <c r="P16" s="19">
        <f t="shared" si="3"/>
        <v>21.74</v>
      </c>
      <c r="Q16" s="9"/>
      <c r="R16" s="238">
        <f t="shared" si="7"/>
        <v>1</v>
      </c>
      <c r="S16" s="239">
        <f t="shared" si="8"/>
        <v>1</v>
      </c>
      <c r="T16" s="21"/>
      <c r="U16" s="21"/>
      <c r="V16" s="21"/>
      <c r="W16" s="21"/>
    </row>
    <row r="17" spans="1:23" ht="15">
      <c r="A17" s="190">
        <v>0</v>
      </c>
      <c r="B17" s="21" t="s">
        <v>72</v>
      </c>
      <c r="C17" s="21"/>
      <c r="D17" s="21" t="s">
        <v>465</v>
      </c>
      <c r="E17" s="21">
        <v>2008</v>
      </c>
      <c r="F17" s="21" t="s">
        <v>466</v>
      </c>
      <c r="G17" s="232">
        <v>2</v>
      </c>
      <c r="H17" s="21">
        <v>2</v>
      </c>
      <c r="I17" s="21">
        <v>2</v>
      </c>
      <c r="J17">
        <f t="shared" si="0"/>
        <v>21.740000000000002</v>
      </c>
      <c r="K17" s="15">
        <f t="shared" si="1"/>
        <v>1.0991550000000001</v>
      </c>
      <c r="L17" t="str">
        <f t="shared" si="4"/>
        <v>0Combined Cycle Gas Turbine</v>
      </c>
      <c r="M17" s="9">
        <f t="shared" si="5"/>
        <v>21.740000000000002</v>
      </c>
      <c r="N17" s="9">
        <f t="shared" si="6"/>
        <v>23.895629700000004</v>
      </c>
      <c r="O17" s="19">
        <f t="shared" si="2"/>
        <v>21.74</v>
      </c>
      <c r="P17" s="19">
        <f t="shared" si="3"/>
        <v>21.74</v>
      </c>
      <c r="Q17" s="9"/>
      <c r="R17" s="238">
        <f t="shared" si="7"/>
        <v>1</v>
      </c>
      <c r="S17" s="239">
        <f t="shared" si="8"/>
        <v>1</v>
      </c>
      <c r="T17" s="21"/>
      <c r="U17" s="21"/>
      <c r="V17" s="21"/>
      <c r="W17" s="21"/>
    </row>
    <row r="18" spans="1:23" ht="15">
      <c r="A18" s="190">
        <v>0</v>
      </c>
      <c r="B18" s="21" t="s">
        <v>72</v>
      </c>
      <c r="C18" s="21"/>
      <c r="D18" s="21" t="s">
        <v>465</v>
      </c>
      <c r="E18" s="21">
        <v>2008</v>
      </c>
      <c r="F18" s="21" t="s">
        <v>466</v>
      </c>
      <c r="G18" s="232">
        <v>2</v>
      </c>
      <c r="H18" s="21">
        <v>2</v>
      </c>
      <c r="I18" s="21">
        <v>2</v>
      </c>
      <c r="J18">
        <f t="shared" si="0"/>
        <v>21.740000000000002</v>
      </c>
      <c r="K18" s="15">
        <f t="shared" si="1"/>
        <v>1.0991550000000001</v>
      </c>
      <c r="L18" t="str">
        <f t="shared" si="4"/>
        <v>0Combined Cycle Gas Turbine</v>
      </c>
      <c r="M18" s="9">
        <f t="shared" si="5"/>
        <v>21.740000000000002</v>
      </c>
      <c r="N18" s="9">
        <f t="shared" si="6"/>
        <v>23.895629700000004</v>
      </c>
      <c r="O18" s="19">
        <f t="shared" si="2"/>
        <v>21.74</v>
      </c>
      <c r="P18" s="19">
        <f t="shared" si="3"/>
        <v>21.74</v>
      </c>
      <c r="Q18" s="123">
        <v>6825</v>
      </c>
      <c r="R18" s="238">
        <f t="shared" si="7"/>
        <v>0.49997395968959951</v>
      </c>
      <c r="S18" s="239">
        <f t="shared" si="8"/>
        <v>1</v>
      </c>
      <c r="T18" s="21"/>
      <c r="U18" s="21"/>
      <c r="V18" s="242"/>
      <c r="W18" s="21"/>
    </row>
    <row r="19" spans="1:23" ht="15">
      <c r="A19" s="190">
        <v>1</v>
      </c>
      <c r="B19" s="21" t="s">
        <v>106</v>
      </c>
      <c r="C19" s="21" t="s">
        <v>502</v>
      </c>
      <c r="D19" s="21" t="s">
        <v>486</v>
      </c>
      <c r="E19" s="21">
        <v>2007</v>
      </c>
      <c r="F19" s="21" t="s">
        <v>466</v>
      </c>
      <c r="G19" s="161">
        <v>6272</v>
      </c>
      <c r="H19" s="234">
        <f>ExistingCapacity!F30</f>
        <v>242.43363320384378</v>
      </c>
      <c r="I19" s="235">
        <f>ExistingCapacity!D30</f>
        <v>8.5316683704763854</v>
      </c>
      <c r="J19">
        <f t="shared" si="0"/>
        <v>7064.8251352966272</v>
      </c>
      <c r="K19" s="15">
        <f t="shared" si="1"/>
        <v>1</v>
      </c>
      <c r="L19" t="str">
        <f t="shared" si="4"/>
        <v>1Existing coal small</v>
      </c>
      <c r="M19" s="9">
        <f t="shared" si="5"/>
        <v>7064.8251352966272</v>
      </c>
      <c r="N19" s="9">
        <f t="shared" si="6"/>
        <v>7064.8251352966272</v>
      </c>
      <c r="O19" s="19">
        <f t="shared" si="2"/>
        <v>274.85142535997028</v>
      </c>
      <c r="P19" s="19">
        <f t="shared" si="3"/>
        <v>9.6725078172314873</v>
      </c>
      <c r="Q19" s="9"/>
      <c r="R19" s="248">
        <f>ExistingCapacity!B30</f>
        <v>0.28218973503210287</v>
      </c>
      <c r="S19" s="239">
        <f t="shared" si="8"/>
        <v>0.80390233470489603</v>
      </c>
      <c r="T19" s="21">
        <v>50</v>
      </c>
      <c r="U19" s="249">
        <f>ExistingCapacity!H30</f>
        <v>114.43859649122807</v>
      </c>
      <c r="V19" s="250">
        <f>ExistingCapacity!L30</f>
        <v>0.1256244162747904</v>
      </c>
      <c r="W19" s="250">
        <f>ExistingCapacity!K30</f>
        <v>8.0598372520956862E-2</v>
      </c>
    </row>
    <row r="20" spans="1:23" ht="15">
      <c r="A20" s="190">
        <v>1</v>
      </c>
      <c r="B20" s="21" t="s">
        <v>105</v>
      </c>
      <c r="C20" s="21" t="s">
        <v>502</v>
      </c>
      <c r="D20" s="21" t="s">
        <v>486</v>
      </c>
      <c r="E20" s="21">
        <v>2007</v>
      </c>
      <c r="F20" s="21" t="s">
        <v>466</v>
      </c>
      <c r="G20" s="233">
        <f>G19</f>
        <v>6272</v>
      </c>
      <c r="H20" s="234">
        <f>ExistingCapacity!F29</f>
        <v>175.09815890518854</v>
      </c>
      <c r="I20" s="235">
        <f>ExistingCapacity!D29</f>
        <v>7.2146303042236877</v>
      </c>
      <c r="J20">
        <f t="shared" si="0"/>
        <v>7064.8251352966272</v>
      </c>
      <c r="K20" s="15">
        <f t="shared" si="1"/>
        <v>1</v>
      </c>
      <c r="L20" t="str">
        <f>A20&amp;B20</f>
        <v>1Existing coal large</v>
      </c>
      <c r="M20" s="9">
        <f>IF(F20="Present Value",$J20/K20,$J20)</f>
        <v>7064.8251352966272</v>
      </c>
      <c r="N20" s="9">
        <f>IF(F20="Present Value",J20,$J20*K20)</f>
        <v>7064.8251352966272</v>
      </c>
      <c r="O20" s="19">
        <f t="shared" si="2"/>
        <v>198.51197177964252</v>
      </c>
      <c r="P20" s="19">
        <f t="shared" si="3"/>
        <v>8.1793577745617725</v>
      </c>
      <c r="Q20" s="9"/>
      <c r="R20" s="248">
        <f>ExistingCapacity!B29</f>
        <v>0.34905939650497231</v>
      </c>
      <c r="S20" s="239">
        <f>(1-V20)*(1-W20)</f>
        <v>0.87057493204096037</v>
      </c>
      <c r="T20" s="21">
        <v>50</v>
      </c>
      <c r="U20" s="249">
        <f>ExistingCapacity!H29</f>
        <v>564.27777777777783</v>
      </c>
      <c r="V20" s="250">
        <f>ExistingCapacity!L29</f>
        <v>5.8421522102983153E-2</v>
      </c>
      <c r="W20" s="250">
        <f>ExistingCapacity!K29</f>
        <v>7.5409057792655318E-2</v>
      </c>
    </row>
    <row r="21" spans="1:23" ht="15">
      <c r="A21" s="190">
        <v>1</v>
      </c>
      <c r="B21" s="21" t="s">
        <v>107</v>
      </c>
      <c r="C21" s="21" t="s">
        <v>502</v>
      </c>
      <c r="D21" s="21" t="s">
        <v>486</v>
      </c>
      <c r="E21" s="21">
        <v>2007</v>
      </c>
      <c r="F21" s="21" t="s">
        <v>466</v>
      </c>
      <c r="G21" s="236"/>
      <c r="H21" s="234">
        <f>ExistingCapacity!F40</f>
        <v>114.90225563909775</v>
      </c>
      <c r="I21" s="237">
        <f>ExistingCapacity!D40</f>
        <v>0</v>
      </c>
      <c r="J21">
        <f t="shared" si="0"/>
        <v>0</v>
      </c>
      <c r="K21" s="15">
        <f t="shared" si="1"/>
        <v>1</v>
      </c>
      <c r="L21" t="str">
        <f>A21&amp;B21</f>
        <v>1Hydro existing</v>
      </c>
      <c r="M21" s="9">
        <f>IF(F21="Present Value",$J21/K21,$J21)</f>
        <v>0</v>
      </c>
      <c r="N21" s="9">
        <f>IF(F21="Present Value",J21,$J21*K21)</f>
        <v>0</v>
      </c>
      <c r="O21" s="19">
        <f t="shared" si="2"/>
        <v>130.26677991055652</v>
      </c>
      <c r="P21" s="19">
        <f t="shared" si="3"/>
        <v>0</v>
      </c>
      <c r="Q21" s="9"/>
      <c r="R21" s="248">
        <v>1</v>
      </c>
      <c r="S21" s="248">
        <f>ExistingCapacity!M40</f>
        <v>0.15079248120300753</v>
      </c>
      <c r="T21" s="21">
        <v>100</v>
      </c>
      <c r="U21" s="249">
        <f>ExistingCapacity!H40</f>
        <v>95</v>
      </c>
      <c r="V21" s="250">
        <f>ExistingCapacity!L40</f>
        <v>6.5998496240601501E-2</v>
      </c>
      <c r="W21" s="21"/>
    </row>
    <row r="22" spans="1:23" ht="15">
      <c r="A22" s="190">
        <v>1</v>
      </c>
      <c r="B22" s="21" t="s">
        <v>74</v>
      </c>
      <c r="C22" s="21" t="s">
        <v>490</v>
      </c>
      <c r="D22" s="21" t="s">
        <v>486</v>
      </c>
      <c r="E22" s="21">
        <v>2007</v>
      </c>
      <c r="F22" s="21" t="s">
        <v>466</v>
      </c>
      <c r="G22" s="161">
        <v>9030</v>
      </c>
      <c r="H22" s="163">
        <v>179</v>
      </c>
      <c r="I22" s="163">
        <v>23.44</v>
      </c>
      <c r="J22">
        <f t="shared" si="0"/>
        <v>10171.455830951618</v>
      </c>
      <c r="K22" s="15">
        <f t="shared" si="1"/>
        <v>1.1810985000000003</v>
      </c>
      <c r="L22" t="str">
        <f t="shared" si="4"/>
        <v>1Fluidised Bed Combustion Coal</v>
      </c>
      <c r="M22" s="9">
        <f t="shared" si="5"/>
        <v>10171.455830951618</v>
      </c>
      <c r="N22" s="9">
        <f t="shared" si="6"/>
        <v>12013.491224753212</v>
      </c>
      <c r="O22" s="19">
        <f t="shared" ref="O22:P28" si="9">X62</f>
        <v>202.93556009230588</v>
      </c>
      <c r="P22" s="19">
        <f t="shared" si="9"/>
        <v>26.574354908176815</v>
      </c>
      <c r="Q22" s="123">
        <v>8980</v>
      </c>
      <c r="R22" s="238">
        <f t="shared" ref="R22:R43" si="10">IF(Q22,1/(Q22*1.055/3600),1)</f>
        <v>0.37999134464159429</v>
      </c>
      <c r="S22" s="239">
        <f t="shared" si="8"/>
        <v>0.87360000000000004</v>
      </c>
      <c r="T22" s="21">
        <v>30</v>
      </c>
      <c r="U22" s="21">
        <v>150</v>
      </c>
      <c r="V22" s="61">
        <v>0.04</v>
      </c>
      <c r="W22" s="62">
        <v>0.09</v>
      </c>
    </row>
    <row r="23" spans="1:23" ht="15">
      <c r="A23" s="190">
        <v>1</v>
      </c>
      <c r="B23" s="21" t="s">
        <v>75</v>
      </c>
      <c r="C23" s="21" t="s">
        <v>489</v>
      </c>
      <c r="D23" s="21" t="s">
        <v>485</v>
      </c>
      <c r="E23" s="21">
        <v>2007</v>
      </c>
      <c r="F23" s="21" t="s">
        <v>466</v>
      </c>
      <c r="G23" s="161">
        <v>2378</v>
      </c>
      <c r="H23" s="163">
        <v>38.67</v>
      </c>
      <c r="I23" s="163">
        <v>2.92</v>
      </c>
      <c r="J23">
        <f t="shared" si="0"/>
        <v>19708.484432343041</v>
      </c>
      <c r="K23" s="15">
        <f t="shared" si="1"/>
        <v>1.1876470500000003</v>
      </c>
      <c r="L23" t="str">
        <f t="shared" si="4"/>
        <v>1Integrated Gasification Combined Cycle Coal</v>
      </c>
      <c r="M23" s="9">
        <f t="shared" si="5"/>
        <v>19708.484432343041</v>
      </c>
      <c r="N23" s="9">
        <f t="shared" si="6"/>
        <v>23406.72339604314</v>
      </c>
      <c r="O23" s="19">
        <f t="shared" si="9"/>
        <v>322.57098970260915</v>
      </c>
      <c r="P23" s="19">
        <f t="shared" si="9"/>
        <v>24.357571500688351</v>
      </c>
      <c r="Q23" s="9">
        <v>8765</v>
      </c>
      <c r="R23" s="238">
        <f t="shared" si="10"/>
        <v>0.38931229605037271</v>
      </c>
      <c r="S23" s="239">
        <f t="shared" si="8"/>
        <v>0.85716400000000004</v>
      </c>
      <c r="T23" s="240">
        <f>T40</f>
        <v>30</v>
      </c>
      <c r="U23" s="21">
        <v>550</v>
      </c>
      <c r="V23" s="243">
        <f>V40</f>
        <v>6.83E-2</v>
      </c>
      <c r="W23" s="243">
        <f>W40</f>
        <v>0.08</v>
      </c>
    </row>
    <row r="24" spans="1:23" ht="15">
      <c r="A24" s="190">
        <v>1</v>
      </c>
      <c r="B24" s="21" t="s">
        <v>8</v>
      </c>
      <c r="C24" s="21" t="s">
        <v>489</v>
      </c>
      <c r="D24" s="21" t="s">
        <v>485</v>
      </c>
      <c r="E24" s="21">
        <v>2007</v>
      </c>
      <c r="F24" s="21" t="s">
        <v>466</v>
      </c>
      <c r="G24" s="161">
        <v>2543</v>
      </c>
      <c r="H24" s="163">
        <v>114.25</v>
      </c>
      <c r="I24" s="163">
        <v>0.01</v>
      </c>
      <c r="J24">
        <f t="shared" si="0"/>
        <v>21075.978095646908</v>
      </c>
      <c r="K24" s="15">
        <f t="shared" si="1"/>
        <v>1</v>
      </c>
      <c r="L24" t="str">
        <f t="shared" si="4"/>
        <v>1Landfill gas</v>
      </c>
      <c r="M24" s="9">
        <f t="shared" si="5"/>
        <v>21075.978095646908</v>
      </c>
      <c r="N24" s="9">
        <f t="shared" si="6"/>
        <v>21075.978095646908</v>
      </c>
      <c r="O24" s="19">
        <f t="shared" si="9"/>
        <v>953.03169313480976</v>
      </c>
      <c r="P24" s="19">
        <f t="shared" si="9"/>
        <v>8.341634075578204E-2</v>
      </c>
      <c r="Q24" s="9">
        <v>13648</v>
      </c>
      <c r="R24" s="238">
        <f t="shared" si="10"/>
        <v>0.25002361334126</v>
      </c>
      <c r="S24" s="239">
        <f t="shared" si="8"/>
        <v>0.85562500000000008</v>
      </c>
      <c r="T24" s="240">
        <f>T13</f>
        <v>25</v>
      </c>
      <c r="U24" s="21">
        <v>30</v>
      </c>
      <c r="V24" s="243">
        <f>V13*1.5</f>
        <v>7.5000000000000011E-2</v>
      </c>
      <c r="W24" s="243">
        <f>W13*1.5</f>
        <v>7.5000000000000011E-2</v>
      </c>
    </row>
    <row r="25" spans="1:23" ht="15">
      <c r="A25" s="190">
        <v>1</v>
      </c>
      <c r="B25" s="21" t="s">
        <v>76</v>
      </c>
      <c r="C25" s="21" t="s">
        <v>489</v>
      </c>
      <c r="D25" s="21" t="s">
        <v>485</v>
      </c>
      <c r="E25" s="21">
        <v>2007</v>
      </c>
      <c r="F25" s="21" t="s">
        <v>466</v>
      </c>
      <c r="G25" s="161">
        <v>3318</v>
      </c>
      <c r="H25" s="163">
        <v>90.02</v>
      </c>
      <c r="I25" s="163">
        <v>0.49</v>
      </c>
      <c r="J25">
        <f t="shared" si="0"/>
        <v>27499.054392983264</v>
      </c>
      <c r="K25" s="15">
        <f t="shared" si="1"/>
        <v>1.3616795300500004</v>
      </c>
      <c r="L25" t="str">
        <f t="shared" si="4"/>
        <v>1Nuclear Pressurised Water Reactor</v>
      </c>
      <c r="M25" s="9">
        <f t="shared" si="5"/>
        <v>27499.054392983264</v>
      </c>
      <c r="N25" s="9">
        <f t="shared" si="6"/>
        <v>37444.899462656853</v>
      </c>
      <c r="O25" s="19">
        <f t="shared" si="9"/>
        <v>750.91389948354981</v>
      </c>
      <c r="P25" s="19">
        <f t="shared" si="9"/>
        <v>4.0874006970333197</v>
      </c>
      <c r="Q25" s="9">
        <v>10434</v>
      </c>
      <c r="R25" s="238">
        <f t="shared" si="10"/>
        <v>0.32703874591542237</v>
      </c>
      <c r="S25" s="239">
        <f t="shared" si="8"/>
        <v>0.83699999999999997</v>
      </c>
      <c r="T25" s="240">
        <f>T26</f>
        <v>40</v>
      </c>
      <c r="U25" s="21">
        <v>1350</v>
      </c>
      <c r="V25" s="241">
        <f>V26</f>
        <v>7.0000000000000007E-2</v>
      </c>
      <c r="W25" s="241">
        <f>W26</f>
        <v>0.1</v>
      </c>
    </row>
    <row r="26" spans="1:23" ht="15">
      <c r="A26" s="190">
        <v>0</v>
      </c>
      <c r="B26" s="21" t="s">
        <v>76</v>
      </c>
      <c r="C26" s="21" t="s">
        <v>490</v>
      </c>
      <c r="D26" s="21" t="s">
        <v>486</v>
      </c>
      <c r="E26" s="21">
        <v>2007</v>
      </c>
      <c r="F26" s="21" t="s">
        <v>466</v>
      </c>
      <c r="G26" s="161">
        <v>15859</v>
      </c>
      <c r="H26" s="163">
        <v>434</v>
      </c>
      <c r="I26" s="163">
        <v>9.66</v>
      </c>
      <c r="J26">
        <f t="shared" si="0"/>
        <v>17863.689703550575</v>
      </c>
      <c r="K26" s="15">
        <f t="shared" si="1"/>
        <v>1.3616795300500004</v>
      </c>
      <c r="L26" t="str">
        <f t="shared" si="4"/>
        <v>0Nuclear Pressurised Water Reactor</v>
      </c>
      <c r="M26" s="9">
        <f t="shared" si="5"/>
        <v>17863.689703550575</v>
      </c>
      <c r="N26" s="9">
        <f t="shared" si="6"/>
        <v>24324.620600489779</v>
      </c>
      <c r="O26" s="19">
        <f t="shared" si="9"/>
        <v>492.03370435788133</v>
      </c>
      <c r="P26" s="19">
        <f t="shared" si="9"/>
        <v>10.951717935707681</v>
      </c>
      <c r="Q26" s="123">
        <v>10036</v>
      </c>
      <c r="R26" s="238">
        <f t="shared" si="10"/>
        <v>0.34000819797544007</v>
      </c>
      <c r="S26" s="239">
        <f t="shared" si="8"/>
        <v>0.83699999999999997</v>
      </c>
      <c r="T26" s="21">
        <v>40</v>
      </c>
      <c r="U26" s="21">
        <v>800</v>
      </c>
      <c r="V26" s="61">
        <v>7.0000000000000007E-2</v>
      </c>
      <c r="W26" s="62">
        <v>0.1</v>
      </c>
    </row>
    <row r="27" spans="1:23" ht="15">
      <c r="A27" s="190">
        <v>0</v>
      </c>
      <c r="B27" s="21" t="s">
        <v>76</v>
      </c>
      <c r="C27" s="21"/>
      <c r="D27" s="21" t="s">
        <v>465</v>
      </c>
      <c r="E27" s="21">
        <v>2008</v>
      </c>
      <c r="F27" s="21" t="s">
        <v>467</v>
      </c>
      <c r="G27" s="232">
        <v>2</v>
      </c>
      <c r="H27" s="21">
        <v>2</v>
      </c>
      <c r="I27" s="21">
        <v>2</v>
      </c>
      <c r="J27">
        <f t="shared" si="0"/>
        <v>21.740000000000002</v>
      </c>
      <c r="K27" s="15">
        <f t="shared" si="1"/>
        <v>1.3616795300500004</v>
      </c>
      <c r="L27" t="str">
        <f t="shared" si="4"/>
        <v>0Nuclear Pressurised Water Reactor</v>
      </c>
      <c r="M27" s="9">
        <f t="shared" si="5"/>
        <v>15.965577450666176</v>
      </c>
      <c r="N27" s="9">
        <f t="shared" si="6"/>
        <v>21.740000000000002</v>
      </c>
      <c r="O27" s="19">
        <f t="shared" si="9"/>
        <v>21.74</v>
      </c>
      <c r="P27" s="19">
        <f t="shared" si="9"/>
        <v>21.74</v>
      </c>
      <c r="Q27" s="9"/>
      <c r="R27" s="238">
        <f t="shared" si="10"/>
        <v>1</v>
      </c>
      <c r="S27" s="239">
        <f t="shared" si="8"/>
        <v>1</v>
      </c>
      <c r="T27" s="21"/>
      <c r="U27" s="21"/>
      <c r="V27" s="21"/>
      <c r="W27" s="21"/>
    </row>
    <row r="28" spans="1:23" ht="15">
      <c r="A28" s="190">
        <v>0</v>
      </c>
      <c r="B28" s="21" t="s">
        <v>76</v>
      </c>
      <c r="C28" s="21"/>
      <c r="D28" s="21" t="s">
        <v>465</v>
      </c>
      <c r="E28" s="21">
        <v>2008</v>
      </c>
      <c r="F28" s="21" t="s">
        <v>466</v>
      </c>
      <c r="G28" s="232">
        <v>2</v>
      </c>
      <c r="H28" s="21">
        <v>2</v>
      </c>
      <c r="I28" s="21">
        <v>2</v>
      </c>
      <c r="J28">
        <f t="shared" si="0"/>
        <v>21.740000000000002</v>
      </c>
      <c r="K28" s="15">
        <f t="shared" si="1"/>
        <v>1.3616795300500004</v>
      </c>
      <c r="L28" t="str">
        <f t="shared" si="4"/>
        <v>0Nuclear Pressurised Water Reactor</v>
      </c>
      <c r="M28" s="9">
        <f t="shared" si="5"/>
        <v>21.740000000000002</v>
      </c>
      <c r="N28" s="9">
        <f t="shared" si="6"/>
        <v>29.602912983287013</v>
      </c>
      <c r="O28" s="19">
        <f t="shared" si="9"/>
        <v>21.74</v>
      </c>
      <c r="P28" s="19">
        <f t="shared" si="9"/>
        <v>21.74</v>
      </c>
      <c r="Q28" s="9"/>
      <c r="R28" s="238">
        <f t="shared" si="10"/>
        <v>1</v>
      </c>
      <c r="S28" s="239">
        <f t="shared" si="8"/>
        <v>1</v>
      </c>
      <c r="T28" s="21"/>
      <c r="U28" s="21"/>
      <c r="V28" s="21"/>
      <c r="W28" s="21"/>
    </row>
    <row r="29" spans="1:23" ht="15">
      <c r="A29" s="190">
        <v>1</v>
      </c>
      <c r="B29" s="21" t="s">
        <v>77</v>
      </c>
      <c r="C29" s="21"/>
      <c r="D29" s="21" t="s">
        <v>486</v>
      </c>
      <c r="E29" s="21">
        <v>2007</v>
      </c>
      <c r="F29" s="21" t="s">
        <v>466</v>
      </c>
      <c r="G29" s="161">
        <v>25200</v>
      </c>
      <c r="H29" s="163">
        <v>135.71</v>
      </c>
      <c r="I29" s="163">
        <v>23</v>
      </c>
      <c r="J29">
        <f t="shared" si="0"/>
        <v>28385.458132888234</v>
      </c>
      <c r="K29" s="15">
        <f t="shared" si="1"/>
        <v>1.2503444050000001</v>
      </c>
      <c r="L29" t="str">
        <f t="shared" si="4"/>
        <v>1Nuclear Pebble-Bed Modular Reactor</v>
      </c>
      <c r="M29" s="9">
        <f>IF(F29="Present Value",$J29/K29,$J29)</f>
        <v>28385.458132888234</v>
      </c>
      <c r="N29" s="9">
        <f>IF(F29="Present Value",J29,$J29*K29)</f>
        <v>35491.598759818553</v>
      </c>
      <c r="O29" s="19">
        <f t="shared" ref="O29:P35" si="11">X69</f>
        <v>153.85689865992643</v>
      </c>
      <c r="P29" s="19">
        <f t="shared" si="11"/>
        <v>26.0755188945421</v>
      </c>
      <c r="Q29" s="9"/>
      <c r="R29" s="238">
        <f t="shared" si="10"/>
        <v>1</v>
      </c>
      <c r="S29" s="239">
        <f t="shared" si="8"/>
        <v>0.83699999999999997</v>
      </c>
      <c r="T29" s="21">
        <v>50</v>
      </c>
      <c r="U29" s="21">
        <v>165</v>
      </c>
      <c r="V29" s="62">
        <v>7.0000000000000007E-2</v>
      </c>
      <c r="W29" s="62">
        <v>0.1</v>
      </c>
    </row>
    <row r="30" spans="1:23" ht="15">
      <c r="A30" s="190">
        <v>1</v>
      </c>
      <c r="B30" s="21" t="s">
        <v>80</v>
      </c>
      <c r="C30" s="21" t="s">
        <v>489</v>
      </c>
      <c r="D30" s="21" t="s">
        <v>485</v>
      </c>
      <c r="E30" s="21">
        <v>2007</v>
      </c>
      <c r="F30" s="21" t="s">
        <v>466</v>
      </c>
      <c r="G30" s="161">
        <v>670</v>
      </c>
      <c r="H30" s="163">
        <v>12.11</v>
      </c>
      <c r="I30" s="163">
        <v>3.57</v>
      </c>
      <c r="J30">
        <f t="shared" si="0"/>
        <v>5552.8530570520752</v>
      </c>
      <c r="K30" s="15">
        <f t="shared" si="1"/>
        <v>1.0305</v>
      </c>
      <c r="L30" t="str">
        <f t="shared" si="4"/>
        <v>1Open-Cycle Gas Turbine diesel</v>
      </c>
      <c r="M30" s="9">
        <f t="shared" si="5"/>
        <v>5552.8530570520752</v>
      </c>
      <c r="N30" s="9">
        <f t="shared" si="6"/>
        <v>5722.2150752921634</v>
      </c>
      <c r="O30" s="19">
        <f t="shared" si="11"/>
        <v>101.01718865525203</v>
      </c>
      <c r="P30" s="19">
        <f t="shared" si="11"/>
        <v>29.779633649814187</v>
      </c>
      <c r="Q30" s="157">
        <v>10810</v>
      </c>
      <c r="R30" s="238">
        <f t="shared" si="10"/>
        <v>0.31566348518792936</v>
      </c>
      <c r="S30" s="239">
        <f t="shared" si="8"/>
        <v>0.93003819999999993</v>
      </c>
      <c r="T30" s="240">
        <f>T31</f>
        <v>25</v>
      </c>
      <c r="U30" s="21">
        <v>120</v>
      </c>
      <c r="V30" s="244">
        <f>V31</f>
        <v>3.0200000000000001E-2</v>
      </c>
      <c r="W30" s="244">
        <f>W31</f>
        <v>4.1000000000000002E-2</v>
      </c>
    </row>
    <row r="31" spans="1:23" ht="15">
      <c r="A31" s="190">
        <v>0</v>
      </c>
      <c r="B31" s="21" t="s">
        <v>80</v>
      </c>
      <c r="C31" s="21" t="s">
        <v>490</v>
      </c>
      <c r="D31" s="21" t="s">
        <v>486</v>
      </c>
      <c r="E31" s="21">
        <v>2007</v>
      </c>
      <c r="F31" s="21" t="s">
        <v>466</v>
      </c>
      <c r="G31" s="161">
        <v>3220</v>
      </c>
      <c r="H31" s="163">
        <v>105</v>
      </c>
      <c r="I31" s="163">
        <v>15.4</v>
      </c>
      <c r="J31">
        <f t="shared" si="0"/>
        <v>3627.030761424608</v>
      </c>
      <c r="K31" s="15">
        <f t="shared" si="1"/>
        <v>1.0305</v>
      </c>
      <c r="L31" t="str">
        <f t="shared" si="4"/>
        <v>0Open-Cycle Gas Turbine diesel</v>
      </c>
      <c r="M31" s="9">
        <f t="shared" si="5"/>
        <v>3627.030761424608</v>
      </c>
      <c r="N31" s="9">
        <f t="shared" si="6"/>
        <v>3737.6551996480584</v>
      </c>
      <c r="O31" s="19">
        <f t="shared" si="11"/>
        <v>119.0404123446487</v>
      </c>
      <c r="P31" s="19">
        <f t="shared" si="11"/>
        <v>17.459260477215139</v>
      </c>
      <c r="Q31" s="157"/>
      <c r="R31" s="238">
        <f t="shared" si="10"/>
        <v>1</v>
      </c>
      <c r="S31" s="239">
        <f t="shared" si="8"/>
        <v>0.93003819999999993</v>
      </c>
      <c r="T31" s="21">
        <v>25</v>
      </c>
      <c r="U31" s="21">
        <v>120</v>
      </c>
      <c r="V31" s="245">
        <v>3.0200000000000001E-2</v>
      </c>
      <c r="W31" s="245">
        <v>4.1000000000000002E-2</v>
      </c>
    </row>
    <row r="32" spans="1:23" ht="15">
      <c r="A32" s="190">
        <v>1</v>
      </c>
      <c r="B32" s="21" t="s">
        <v>113</v>
      </c>
      <c r="C32" s="21" t="s">
        <v>502</v>
      </c>
      <c r="D32" s="21" t="s">
        <v>486</v>
      </c>
      <c r="E32" s="21">
        <v>2007</v>
      </c>
      <c r="F32" s="21" t="s">
        <v>466</v>
      </c>
      <c r="G32" s="161">
        <v>7840</v>
      </c>
      <c r="H32" s="163">
        <v>51</v>
      </c>
      <c r="I32" s="163">
        <v>0</v>
      </c>
      <c r="J32">
        <f t="shared" si="0"/>
        <v>8831.0314191207854</v>
      </c>
      <c r="K32" s="15">
        <f t="shared" si="1"/>
        <v>1.4731674449333338</v>
      </c>
      <c r="L32" t="str">
        <f t="shared" si="4"/>
        <v>1Pumped Storage</v>
      </c>
      <c r="M32" s="9">
        <f t="shared" si="5"/>
        <v>8831.0314191207854</v>
      </c>
      <c r="N32" s="9">
        <f t="shared" si="6"/>
        <v>13009.587991832161</v>
      </c>
      <c r="O32" s="19">
        <f t="shared" si="11"/>
        <v>57.819628853115084</v>
      </c>
      <c r="P32" s="19">
        <f t="shared" si="11"/>
        <v>0</v>
      </c>
      <c r="Q32" s="157"/>
      <c r="R32" s="248">
        <f>ExistingCapacity!C44</f>
        <v>0.72998000000000007</v>
      </c>
      <c r="S32" s="248">
        <f>ExistingCapacity!M44</f>
        <v>0.22368649211028269</v>
      </c>
      <c r="T32" s="21">
        <v>50</v>
      </c>
      <c r="U32" s="21">
        <v>333</v>
      </c>
      <c r="V32" s="245">
        <v>2.9000000000000001E-2</v>
      </c>
      <c r="W32" s="245">
        <v>2.9000000000000001E-2</v>
      </c>
    </row>
    <row r="33" spans="1:27" ht="15">
      <c r="A33" s="190">
        <v>0</v>
      </c>
      <c r="B33" s="21" t="s">
        <v>81</v>
      </c>
      <c r="C33" s="21" t="s">
        <v>489</v>
      </c>
      <c r="D33" s="21" t="s">
        <v>485</v>
      </c>
      <c r="E33" s="21">
        <v>2007</v>
      </c>
      <c r="F33" s="21" t="s">
        <v>466</v>
      </c>
      <c r="G33" s="161">
        <v>5021</v>
      </c>
      <c r="H33" s="163">
        <v>56.78</v>
      </c>
      <c r="I33" s="163">
        <v>0</v>
      </c>
      <c r="J33">
        <f t="shared" si="0"/>
        <v>41613.246566355927</v>
      </c>
      <c r="K33" s="15">
        <f t="shared" si="1"/>
        <v>1.0807550000000001</v>
      </c>
      <c r="L33" t="str">
        <f t="shared" si="4"/>
        <v>0Solar Central Receiver</v>
      </c>
      <c r="M33" s="9">
        <f t="shared" si="5"/>
        <v>41613.246566355927</v>
      </c>
      <c r="N33" s="9">
        <f t="shared" si="6"/>
        <v>44973.724292822008</v>
      </c>
      <c r="O33" s="19">
        <f t="shared" si="11"/>
        <v>473.6379828113304</v>
      </c>
      <c r="P33" s="19">
        <f t="shared" si="11"/>
        <v>0</v>
      </c>
      <c r="Q33" s="157"/>
      <c r="R33" s="238">
        <f t="shared" si="10"/>
        <v>1</v>
      </c>
      <c r="S33" s="164">
        <v>0.4</v>
      </c>
      <c r="T33" s="240">
        <f>T34</f>
        <v>30</v>
      </c>
      <c r="U33" s="21">
        <v>100</v>
      </c>
      <c r="V33" s="241">
        <f>V34</f>
        <v>0.04</v>
      </c>
      <c r="W33" s="21"/>
    </row>
    <row r="34" spans="1:27" ht="15">
      <c r="A34" s="190">
        <v>0</v>
      </c>
      <c r="B34" s="21" t="s">
        <v>81</v>
      </c>
      <c r="C34" s="21" t="s">
        <v>490</v>
      </c>
      <c r="D34" s="21" t="s">
        <v>486</v>
      </c>
      <c r="E34" s="21">
        <v>2007</v>
      </c>
      <c r="F34" s="21" t="s">
        <v>466</v>
      </c>
      <c r="G34" s="161">
        <v>19600</v>
      </c>
      <c r="H34" s="163">
        <v>364</v>
      </c>
      <c r="I34" s="163">
        <v>0</v>
      </c>
      <c r="J34">
        <f t="shared" si="0"/>
        <v>22077.578547801961</v>
      </c>
      <c r="K34" s="15">
        <f t="shared" si="1"/>
        <v>1.0807550000000001</v>
      </c>
      <c r="L34" t="str">
        <f t="shared" si="4"/>
        <v>0Solar Central Receiver</v>
      </c>
      <c r="M34" s="9">
        <f>IF(F34="Present Value",$J34/K34,$J34)</f>
        <v>22077.578547801961</v>
      </c>
      <c r="N34" s="9">
        <f t="shared" si="6"/>
        <v>23860.45340342971</v>
      </c>
      <c r="O34" s="19">
        <f t="shared" si="11"/>
        <v>412.67342946144879</v>
      </c>
      <c r="P34" s="19">
        <f t="shared" si="11"/>
        <v>0</v>
      </c>
      <c r="Q34" s="157"/>
      <c r="R34" s="238">
        <f t="shared" si="10"/>
        <v>1</v>
      </c>
      <c r="S34" s="164">
        <v>0.4</v>
      </c>
      <c r="T34" s="21">
        <v>30</v>
      </c>
      <c r="U34" s="21">
        <v>100</v>
      </c>
      <c r="V34" s="246">
        <v>0.04</v>
      </c>
      <c r="W34" s="21"/>
    </row>
    <row r="35" spans="1:27" ht="15">
      <c r="A35" s="190">
        <v>1</v>
      </c>
      <c r="B35" s="21" t="s">
        <v>81</v>
      </c>
      <c r="C35" s="21" t="s">
        <v>721</v>
      </c>
      <c r="D35" s="21" t="s">
        <v>485</v>
      </c>
      <c r="E35" s="21">
        <v>2007</v>
      </c>
      <c r="F35" s="21" t="s">
        <v>466</v>
      </c>
      <c r="G35" s="161">
        <f>60/40*G33</f>
        <v>7531.5</v>
      </c>
      <c r="H35" s="163">
        <f>H33</f>
        <v>56.78</v>
      </c>
      <c r="I35" s="163">
        <f>I33</f>
        <v>0</v>
      </c>
      <c r="J35">
        <f t="shared" si="0"/>
        <v>62419.869849533898</v>
      </c>
      <c r="K35" s="15">
        <f t="shared" ref="K35" si="12">SUMIF($A$89:$A$113,$B35,AC$89:AC$113)</f>
        <v>1.0807550000000001</v>
      </c>
      <c r="L35" t="str">
        <f t="shared" ref="L35" si="13">A35&amp;B35</f>
        <v>1Solar Central Receiver</v>
      </c>
      <c r="M35" s="9">
        <f>IF(F35="Present Value",$J35/K35,$J35)</f>
        <v>62419.869849533898</v>
      </c>
      <c r="N35" s="9">
        <f t="shared" ref="N35" si="14">IF(F35="Present Value",J35,$J35*K35)</f>
        <v>67460.586439233011</v>
      </c>
      <c r="O35" s="19">
        <f t="shared" si="11"/>
        <v>473.6379828113304</v>
      </c>
      <c r="P35" s="19">
        <f t="shared" si="11"/>
        <v>0</v>
      </c>
      <c r="Q35" s="157"/>
      <c r="R35" s="238">
        <f t="shared" ref="R35" si="15">IF(Q35,1/(Q35*1.055/3600),1)</f>
        <v>1</v>
      </c>
      <c r="S35" s="164">
        <v>0.6</v>
      </c>
      <c r="T35" s="21">
        <v>30</v>
      </c>
      <c r="U35" s="21">
        <v>100</v>
      </c>
      <c r="V35" s="246">
        <v>0.04</v>
      </c>
      <c r="W35" s="21"/>
    </row>
    <row r="36" spans="1:27" ht="15">
      <c r="A36" s="190">
        <v>1</v>
      </c>
      <c r="B36" s="21" t="s">
        <v>79</v>
      </c>
      <c r="C36" s="21" t="s">
        <v>489</v>
      </c>
      <c r="D36" s="21" t="s">
        <v>485</v>
      </c>
      <c r="E36" s="21">
        <v>2007</v>
      </c>
      <c r="F36" s="21" t="s">
        <v>466</v>
      </c>
      <c r="G36" s="161">
        <v>6038</v>
      </c>
      <c r="H36" s="163">
        <v>11.68</v>
      </c>
      <c r="I36" s="163">
        <v>0</v>
      </c>
      <c r="J36">
        <f t="shared" ref="J36:J43" si="16">W76</f>
        <v>50041.980236537951</v>
      </c>
      <c r="K36" s="15">
        <f t="shared" si="1"/>
        <v>1</v>
      </c>
      <c r="L36" t="str">
        <f t="shared" si="4"/>
        <v>1Solar Photovoltaic</v>
      </c>
      <c r="M36" s="9">
        <f t="shared" si="5"/>
        <v>50041.980236537951</v>
      </c>
      <c r="N36" s="9">
        <f t="shared" si="6"/>
        <v>50041.980236537951</v>
      </c>
      <c r="O36" s="19">
        <f t="shared" ref="O36:P37" si="17">X76</f>
        <v>97.430286002753405</v>
      </c>
      <c r="P36" s="19">
        <f t="shared" si="17"/>
        <v>0</v>
      </c>
      <c r="Q36" s="157"/>
      <c r="R36" s="238">
        <f t="shared" si="10"/>
        <v>1</v>
      </c>
      <c r="S36" s="164">
        <v>0.23</v>
      </c>
      <c r="T36" s="21">
        <v>15</v>
      </c>
      <c r="U36" s="21">
        <v>5</v>
      </c>
      <c r="V36" s="21"/>
      <c r="W36" s="21"/>
    </row>
    <row r="37" spans="1:27" ht="15">
      <c r="A37" s="190">
        <v>1</v>
      </c>
      <c r="B37" s="21" t="s">
        <v>82</v>
      </c>
      <c r="C37" s="21" t="s">
        <v>489</v>
      </c>
      <c r="D37" s="21" t="s">
        <v>485</v>
      </c>
      <c r="E37" s="21">
        <v>2007</v>
      </c>
      <c r="F37" s="21" t="s">
        <v>466</v>
      </c>
      <c r="G37" s="161">
        <f>G33</f>
        <v>5021</v>
      </c>
      <c r="H37" s="163">
        <f>H33</f>
        <v>56.78</v>
      </c>
      <c r="I37" s="163">
        <f>I33</f>
        <v>0</v>
      </c>
      <c r="J37">
        <f t="shared" si="16"/>
        <v>41613.246566355927</v>
      </c>
      <c r="K37" s="15">
        <f t="shared" si="1"/>
        <v>1.0807550000000001</v>
      </c>
      <c r="L37" t="str">
        <f>A37&amp;B37</f>
        <v>1Solar Parabolic Trough</v>
      </c>
      <c r="M37" s="9">
        <f>IF(F37="Present Value",$J37/K37,$J37)</f>
        <v>41613.246566355927</v>
      </c>
      <c r="N37" s="9">
        <f>IF(F37="Present Value",J37,$J37*K37)</f>
        <v>44973.724292822008</v>
      </c>
      <c r="O37" s="19">
        <f t="shared" si="17"/>
        <v>473.6379828113304</v>
      </c>
      <c r="P37" s="19">
        <f t="shared" si="17"/>
        <v>0</v>
      </c>
      <c r="Q37" s="157"/>
      <c r="R37" s="238">
        <f t="shared" si="10"/>
        <v>1</v>
      </c>
      <c r="S37" s="164">
        <v>0.4</v>
      </c>
      <c r="T37" s="240">
        <f>T34</f>
        <v>30</v>
      </c>
      <c r="U37" s="240">
        <f>U34</f>
        <v>100</v>
      </c>
      <c r="V37" s="241">
        <f>V34</f>
        <v>0.04</v>
      </c>
      <c r="W37" s="247">
        <f>W34</f>
        <v>0</v>
      </c>
    </row>
    <row r="38" spans="1:27" ht="15">
      <c r="A38" s="190">
        <v>1</v>
      </c>
      <c r="B38" s="21" t="s">
        <v>96</v>
      </c>
      <c r="C38" s="21"/>
      <c r="D38" s="21" t="s">
        <v>485</v>
      </c>
      <c r="E38" s="21">
        <v>2007</v>
      </c>
      <c r="F38" s="21" t="s">
        <v>466</v>
      </c>
      <c r="G38" s="161">
        <v>1</v>
      </c>
      <c r="H38" s="163">
        <v>1</v>
      </c>
      <c r="I38" s="163">
        <v>1</v>
      </c>
      <c r="J38">
        <f t="shared" si="16"/>
        <v>8.2878403836598142</v>
      </c>
      <c r="K38" s="15">
        <f>SUMIF($A$89:$A$113,$B38,AC$89:AC$113)</f>
        <v>1.0305</v>
      </c>
      <c r="L38" t="str">
        <f>A38&amp;B38</f>
        <v>1Wave</v>
      </c>
      <c r="M38" s="9">
        <f>IF(F38="Present Value",$J38/K38,$J38)</f>
        <v>8.2878403836598142</v>
      </c>
      <c r="N38" s="9">
        <f>IF(F38="Present Value",J38,$J38*K38)</f>
        <v>8.5406195153614384</v>
      </c>
      <c r="O38" s="19">
        <f>X78</f>
        <v>8.3416340755782024</v>
      </c>
      <c r="P38" s="19">
        <f>Y78</f>
        <v>8.3416340755782024</v>
      </c>
      <c r="Q38" s="157"/>
      <c r="R38" s="238">
        <f>IF(Q38,1/(Q38*1.055/3600),1)</f>
        <v>1</v>
      </c>
      <c r="S38" s="164">
        <f>S34</f>
        <v>0.4</v>
      </c>
      <c r="T38" s="134">
        <f t="shared" ref="T38:W38" si="18">T36</f>
        <v>15</v>
      </c>
      <c r="U38" s="240">
        <f t="shared" si="18"/>
        <v>5</v>
      </c>
      <c r="V38" s="241">
        <f t="shared" si="18"/>
        <v>0</v>
      </c>
      <c r="W38" s="247">
        <f t="shared" si="18"/>
        <v>0</v>
      </c>
    </row>
    <row r="39" spans="1:27" ht="15">
      <c r="A39" s="190">
        <v>1</v>
      </c>
      <c r="B39" s="21" t="s">
        <v>73</v>
      </c>
      <c r="C39" s="21" t="s">
        <v>489</v>
      </c>
      <c r="D39" s="21" t="s">
        <v>485</v>
      </c>
      <c r="E39" s="21">
        <v>2007</v>
      </c>
      <c r="F39" s="21" t="s">
        <v>466</v>
      </c>
      <c r="G39" s="161">
        <v>2058</v>
      </c>
      <c r="H39" s="163">
        <v>27.53</v>
      </c>
      <c r="I39" s="163">
        <v>4.59</v>
      </c>
      <c r="J39">
        <f t="shared" si="16"/>
        <v>17056.375509571895</v>
      </c>
      <c r="K39" s="15">
        <f t="shared" si="1"/>
        <v>1.1810985000000003</v>
      </c>
      <c r="L39" t="str">
        <f t="shared" si="4"/>
        <v>1Supercritical Coal</v>
      </c>
      <c r="M39" s="9">
        <f t="shared" si="5"/>
        <v>17056.375509571895</v>
      </c>
      <c r="N39" s="9">
        <f t="shared" si="6"/>
        <v>20145.259529792107</v>
      </c>
      <c r="O39" s="19">
        <f t="shared" ref="O39:P43" si="19">X79</f>
        <v>229.64518610066796</v>
      </c>
      <c r="P39" s="19">
        <f>Y79*0.75</f>
        <v>28.716075305177963</v>
      </c>
      <c r="Q39" s="9">
        <v>9200</v>
      </c>
      <c r="R39" s="238">
        <f t="shared" si="10"/>
        <v>0.37090459509581702</v>
      </c>
      <c r="S39" s="239">
        <f t="shared" si="8"/>
        <v>0.85716400000000004</v>
      </c>
      <c r="T39" s="240">
        <f>T40</f>
        <v>30</v>
      </c>
      <c r="U39" s="21">
        <v>794</v>
      </c>
      <c r="V39" s="244">
        <f>V40</f>
        <v>6.83E-2</v>
      </c>
      <c r="W39" s="241">
        <f>W40</f>
        <v>0.08</v>
      </c>
    </row>
    <row r="40" spans="1:27" ht="15">
      <c r="A40" s="190">
        <v>0</v>
      </c>
      <c r="B40" s="21" t="s">
        <v>73</v>
      </c>
      <c r="C40" s="21" t="s">
        <v>490</v>
      </c>
      <c r="D40" s="21" t="s">
        <v>486</v>
      </c>
      <c r="E40" s="21">
        <v>2007</v>
      </c>
      <c r="F40" s="21" t="s">
        <v>466</v>
      </c>
      <c r="G40" s="161">
        <v>12110</v>
      </c>
      <c r="H40" s="163">
        <v>170</v>
      </c>
      <c r="I40" s="163">
        <v>12.45</v>
      </c>
      <c r="J40">
        <f t="shared" si="16"/>
        <v>13640.789602749068</v>
      </c>
      <c r="K40" s="15">
        <f t="shared" si="1"/>
        <v>1.1810985000000003</v>
      </c>
      <c r="L40" t="str">
        <f t="shared" si="4"/>
        <v>0Supercritical Coal</v>
      </c>
      <c r="M40" s="9">
        <f t="shared" si="5"/>
        <v>13640.789602749068</v>
      </c>
      <c r="N40" s="9">
        <f t="shared" si="6"/>
        <v>16111.116138622523</v>
      </c>
      <c r="O40" s="19">
        <f t="shared" si="19"/>
        <v>192.73209617705027</v>
      </c>
      <c r="P40" s="19">
        <f t="shared" si="19"/>
        <v>14.114791749436918</v>
      </c>
      <c r="Q40" s="123">
        <v>9114</v>
      </c>
      <c r="R40" s="238">
        <f t="shared" si="10"/>
        <v>0.37440446290119789</v>
      </c>
      <c r="S40" s="239">
        <f t="shared" si="8"/>
        <v>0.85716400000000004</v>
      </c>
      <c r="T40" s="21">
        <v>30</v>
      </c>
      <c r="U40" s="21">
        <v>794</v>
      </c>
      <c r="V40" s="245">
        <v>6.83E-2</v>
      </c>
      <c r="W40" s="62">
        <v>0.08</v>
      </c>
    </row>
    <row r="41" spans="1:27" ht="15">
      <c r="A41" s="190">
        <v>0</v>
      </c>
      <c r="B41" s="21" t="s">
        <v>73</v>
      </c>
      <c r="C41" s="21"/>
      <c r="D41" s="21" t="s">
        <v>465</v>
      </c>
      <c r="E41" s="21">
        <v>2008</v>
      </c>
      <c r="F41" s="21" t="s">
        <v>466</v>
      </c>
      <c r="G41" s="232">
        <v>2</v>
      </c>
      <c r="H41" s="21">
        <v>2</v>
      </c>
      <c r="I41" s="21">
        <v>2</v>
      </c>
      <c r="J41">
        <f t="shared" si="16"/>
        <v>21.740000000000002</v>
      </c>
      <c r="K41" s="15">
        <f t="shared" si="1"/>
        <v>1.1810985000000003</v>
      </c>
      <c r="L41" t="str">
        <f t="shared" si="4"/>
        <v>0Supercritical Coal</v>
      </c>
      <c r="M41" s="9">
        <f t="shared" si="5"/>
        <v>21.740000000000002</v>
      </c>
      <c r="N41" s="9">
        <f t="shared" si="6"/>
        <v>25.677081390000009</v>
      </c>
      <c r="O41" s="19">
        <f t="shared" si="19"/>
        <v>21.74</v>
      </c>
      <c r="P41" s="19">
        <f t="shared" si="19"/>
        <v>21.74</v>
      </c>
      <c r="Q41" s="157"/>
      <c r="R41" s="238">
        <f t="shared" si="10"/>
        <v>1</v>
      </c>
      <c r="S41" s="239">
        <f t="shared" si="8"/>
        <v>1</v>
      </c>
      <c r="T41" s="21"/>
      <c r="U41" s="21"/>
      <c r="V41" s="21"/>
      <c r="W41" s="21"/>
    </row>
    <row r="42" spans="1:27" ht="15">
      <c r="A42" s="190">
        <v>1</v>
      </c>
      <c r="B42" s="21" t="s">
        <v>4</v>
      </c>
      <c r="C42" s="21" t="s">
        <v>489</v>
      </c>
      <c r="D42" s="21" t="s">
        <v>485</v>
      </c>
      <c r="E42" s="21">
        <v>2007</v>
      </c>
      <c r="F42" s="21" t="s">
        <v>466</v>
      </c>
      <c r="G42" s="161">
        <v>1923</v>
      </c>
      <c r="H42" s="163">
        <v>30.3</v>
      </c>
      <c r="I42" s="163">
        <v>0</v>
      </c>
      <c r="J42">
        <f t="shared" si="16"/>
        <v>15937.517057777823</v>
      </c>
      <c r="K42" s="15">
        <f t="shared" si="1"/>
        <v>1.0305</v>
      </c>
      <c r="L42" t="str">
        <f t="shared" si="4"/>
        <v>1Wind</v>
      </c>
      <c r="M42" s="9">
        <f t="shared" si="5"/>
        <v>15937.517057777823</v>
      </c>
      <c r="N42" s="9">
        <f t="shared" si="6"/>
        <v>16423.611328040046</v>
      </c>
      <c r="O42" s="19">
        <f t="shared" si="19"/>
        <v>252.75151249001959</v>
      </c>
      <c r="P42" s="19">
        <f t="shared" si="19"/>
        <v>0</v>
      </c>
      <c r="Q42" s="157"/>
      <c r="R42" s="238">
        <f t="shared" si="10"/>
        <v>1</v>
      </c>
      <c r="S42" s="239">
        <f t="shared" si="8"/>
        <v>1</v>
      </c>
      <c r="T42" s="21">
        <f>T43</f>
        <v>20</v>
      </c>
      <c r="U42" s="21">
        <v>1</v>
      </c>
      <c r="V42" s="21"/>
      <c r="W42" s="21"/>
    </row>
    <row r="43" spans="1:27" ht="15">
      <c r="A43" s="190">
        <v>0</v>
      </c>
      <c r="B43" s="21" t="s">
        <v>4</v>
      </c>
      <c r="C43" s="21" t="s">
        <v>490</v>
      </c>
      <c r="D43" s="21" t="s">
        <v>486</v>
      </c>
      <c r="E43" s="21">
        <v>2007</v>
      </c>
      <c r="F43" s="21" t="s">
        <v>466</v>
      </c>
      <c r="G43" s="161">
        <v>11740</v>
      </c>
      <c r="H43" s="163">
        <v>168</v>
      </c>
      <c r="I43" s="163">
        <v>0</v>
      </c>
      <c r="J43">
        <f t="shared" si="16"/>
        <v>13224.01898730587</v>
      </c>
      <c r="K43" s="15">
        <f t="shared" si="1"/>
        <v>1.0305</v>
      </c>
      <c r="L43" t="str">
        <f t="shared" si="4"/>
        <v>0Wind</v>
      </c>
      <c r="M43" s="9">
        <f t="shared" si="5"/>
        <v>13224.01898730587</v>
      </c>
      <c r="N43" s="9">
        <f t="shared" si="6"/>
        <v>13627.351566418698</v>
      </c>
      <c r="O43" s="19">
        <f t="shared" si="19"/>
        <v>190.46465975143792</v>
      </c>
      <c r="P43" s="19">
        <f t="shared" si="19"/>
        <v>0</v>
      </c>
      <c r="Q43" s="157"/>
      <c r="R43" s="238">
        <f t="shared" si="10"/>
        <v>1</v>
      </c>
      <c r="S43" s="239">
        <f t="shared" si="8"/>
        <v>1</v>
      </c>
      <c r="T43" s="21">
        <v>20</v>
      </c>
      <c r="U43" s="21">
        <v>1</v>
      </c>
      <c r="V43" s="21"/>
      <c r="W43" s="21"/>
    </row>
    <row r="44" spans="1:27">
      <c r="N44" s="21"/>
      <c r="O44" s="21"/>
      <c r="P44" s="21"/>
      <c r="Q44" s="21"/>
      <c r="R44" s="21"/>
      <c r="S44" s="21"/>
      <c r="T44" s="21"/>
      <c r="U44" s="21"/>
    </row>
    <row r="45" spans="1:27">
      <c r="N45" s="21"/>
      <c r="O45" s="21"/>
      <c r="P45" s="21"/>
      <c r="Q45" s="21"/>
      <c r="R45" s="21"/>
      <c r="S45" s="21"/>
      <c r="T45" s="21"/>
      <c r="U45" s="21"/>
    </row>
    <row r="46" spans="1:27">
      <c r="N46" s="21"/>
      <c r="O46" s="21"/>
      <c r="P46" s="21"/>
      <c r="Q46" s="21"/>
      <c r="R46" s="21"/>
      <c r="S46" s="21"/>
      <c r="T46" s="21"/>
      <c r="U46" s="21"/>
    </row>
    <row r="47" spans="1:27">
      <c r="G47" t="s">
        <v>468</v>
      </c>
      <c r="J47" t="s">
        <v>469</v>
      </c>
      <c r="N47" s="21"/>
      <c r="O47" s="21"/>
      <c r="P47" s="21"/>
      <c r="Q47" s="21"/>
      <c r="R47" s="21"/>
      <c r="S47" s="21"/>
      <c r="T47" s="21"/>
      <c r="U47" s="21"/>
    </row>
    <row r="48" spans="1:27" ht="15">
      <c r="A48" s="17" t="s">
        <v>470</v>
      </c>
      <c r="B48" s="17"/>
      <c r="C48" s="17"/>
      <c r="G48" t="s">
        <v>471</v>
      </c>
      <c r="J48" t="s">
        <v>472</v>
      </c>
      <c r="M48" t="s">
        <v>473</v>
      </c>
      <c r="N48" s="21"/>
      <c r="O48" s="21"/>
      <c r="P48" s="21" t="s">
        <v>474</v>
      </c>
      <c r="Q48" s="21"/>
      <c r="R48" s="21"/>
      <c r="S48" s="21" t="s">
        <v>473</v>
      </c>
      <c r="T48" s="21"/>
      <c r="U48" s="21"/>
      <c r="W48" t="s">
        <v>5</v>
      </c>
      <c r="AA48" t="s">
        <v>475</v>
      </c>
    </row>
    <row r="49" spans="1:29" ht="25.5">
      <c r="D49" t="s">
        <v>476</v>
      </c>
      <c r="E49" t="s">
        <v>458</v>
      </c>
      <c r="G49" s="8" t="s">
        <v>103</v>
      </c>
      <c r="H49" s="8" t="s">
        <v>64</v>
      </c>
      <c r="I49" s="8" t="s">
        <v>65</v>
      </c>
      <c r="J49" s="8" t="s">
        <v>103</v>
      </c>
      <c r="K49" s="8" t="s">
        <v>64</v>
      </c>
      <c r="L49" s="8" t="s">
        <v>65</v>
      </c>
      <c r="M49" s="8" t="s">
        <v>103</v>
      </c>
      <c r="N49" s="8" t="s">
        <v>64</v>
      </c>
      <c r="O49" s="8" t="s">
        <v>65</v>
      </c>
      <c r="P49" s="8" t="s">
        <v>103</v>
      </c>
      <c r="Q49" s="8" t="s">
        <v>64</v>
      </c>
      <c r="R49" s="8" t="s">
        <v>65</v>
      </c>
      <c r="S49" s="8" t="s">
        <v>103</v>
      </c>
      <c r="T49" s="8" t="s">
        <v>64</v>
      </c>
      <c r="U49" s="8" t="s">
        <v>65</v>
      </c>
      <c r="W49" s="8" t="s">
        <v>103</v>
      </c>
      <c r="X49" s="8" t="s">
        <v>64</v>
      </c>
      <c r="Y49" s="8" t="s">
        <v>65</v>
      </c>
      <c r="AA49" s="8" t="s">
        <v>103</v>
      </c>
      <c r="AB49" s="8" t="s">
        <v>64</v>
      </c>
      <c r="AC49" s="8" t="s">
        <v>65</v>
      </c>
    </row>
    <row r="50" spans="1:29">
      <c r="A50" t="str">
        <f t="shared" ref="A50:A74" si="20">B10</f>
        <v>Biomass</v>
      </c>
      <c r="D50">
        <f t="shared" ref="D50:D75" si="21">VLOOKUP(D10,look_col,3,FALSE)</f>
        <v>10</v>
      </c>
      <c r="E50">
        <f t="shared" ref="E50:E75" si="22">E10</f>
        <v>2007</v>
      </c>
      <c r="G50">
        <f t="shared" ref="G50:I69" si="23">G10*VLOOKUP($E50,PPI_table,$D50,FALSE)/100*G$7*sa_ppi_2008/VLOOKUP($E50,PPI_table,5,FALSE)</f>
        <v>3166.7827733333338</v>
      </c>
      <c r="H50">
        <f t="shared" si="23"/>
        <v>270.97603523809528</v>
      </c>
      <c r="I50">
        <f t="shared" si="23"/>
        <v>28.211779619047626</v>
      </c>
      <c r="J50">
        <f t="shared" ref="J50:J83" si="24">usd_ecu_split*(1-G$7)*G10*VLOOKUP($E50,PPI_table,$D50,FALSE)/VLOOKUP($E50,PPI_table,10,FALSE)</f>
        <v>3389.4</v>
      </c>
      <c r="K50">
        <f t="shared" ref="K50:K83" si="25">usd_ecu_split*(1-H$7)*H10*VLOOKUP($E50,PPI_table,$D50,FALSE)/VLOOKUP($E50,PPI_table,10,FALSE)</f>
        <v>32.225000000000001</v>
      </c>
      <c r="L50">
        <f t="shared" ref="L50:L83" si="26">usd_ecu_split*(1-I$7)*I10*VLOOKUP($E50,PPI_table,$D50,FALSE)/VLOOKUP($E50,PPI_table,10,FALSE)</f>
        <v>3.355</v>
      </c>
      <c r="M50">
        <f>us_ppi_2008/VLOOKUP($E50,PPI_table,2,FALSE)*TechnologyDataRaw!J50*US_rand_2008/100</f>
        <v>28045.224111529522</v>
      </c>
      <c r="N50">
        <f>us_ppi_2008/VLOOKUP($E50,PPI_table,2,FALSE)*TechnologyDataRaw!K50*US_rand_2008/100</f>
        <v>266.64228093291996</v>
      </c>
      <c r="O50">
        <f>us_ppi_2008/VLOOKUP($E50,PPI_table,2,FALSE)*TechnologyDataRaw!L50*US_rand_2008/100</f>
        <v>27.760585028082122</v>
      </c>
      <c r="P50" s="21">
        <f t="shared" ref="P50:P83" si="27">(1-usd_ecu_split)*(1-G$7)*G10*VLOOKUP($E50,PPI_table,$D50,FALSE)/VLOOKUP($E50,PPI_table,9,FALSE)</f>
        <v>0</v>
      </c>
      <c r="Q50" s="21">
        <f t="shared" ref="Q50:Q83" si="28">(1-usd_ecu_split)*(1-H$7)*H10*VLOOKUP($E50,PPI_table,$D50,FALSE)/VLOOKUP($E50,PPI_table,9,FALSE)</f>
        <v>0</v>
      </c>
      <c r="R50" s="21">
        <f t="shared" ref="R50:R83" si="29">(1-usd_ecu_split)*(1-I$7)*I10*VLOOKUP($E50,PPI_table,$D50,FALSE)/VLOOKUP($E50,PPI_table,9,FALSE)</f>
        <v>0</v>
      </c>
      <c r="S50" s="21">
        <f>euro_ppi_2008/VLOOKUP($E50,PPI_table,3,FALSE)*TechnologyDataRaw!P50*euro_rand_2008/100</f>
        <v>0</v>
      </c>
      <c r="T50" s="21">
        <f>euro_ppi_2008/VLOOKUP($E50,PPI_table,3,FALSE)*TechnologyDataRaw!Q50*euro_rand_2008/100</f>
        <v>0</v>
      </c>
      <c r="U50" s="21">
        <f>euro_ppi_2008/VLOOKUP($E50,PPI_table,3,FALSE)*TechnologyDataRaw!R50*euro_rand_2008/100</f>
        <v>0</v>
      </c>
      <c r="W50">
        <f>S50+M50+G50</f>
        <v>31212.006884862854</v>
      </c>
      <c r="X50">
        <f t="shared" ref="X50:Y67" si="30">T50+N50+H50</f>
        <v>537.61831617101529</v>
      </c>
      <c r="Y50">
        <f t="shared" si="30"/>
        <v>55.972364647129751</v>
      </c>
    </row>
    <row r="51" spans="1:29">
      <c r="A51" t="str">
        <f t="shared" si="20"/>
        <v>Biomass</v>
      </c>
      <c r="D51">
        <f t="shared" si="21"/>
        <v>12</v>
      </c>
      <c r="E51">
        <f t="shared" si="22"/>
        <v>2007</v>
      </c>
      <c r="G51">
        <f t="shared" si="23"/>
        <v>544.00000000000011</v>
      </c>
      <c r="H51">
        <f t="shared" si="23"/>
        <v>44.000000000000007</v>
      </c>
      <c r="I51">
        <f t="shared" si="23"/>
        <v>13.200000000000003</v>
      </c>
      <c r="J51">
        <f t="shared" si="24"/>
        <v>582.24189405299614</v>
      </c>
      <c r="K51">
        <f t="shared" si="25"/>
        <v>5.2325660413259456</v>
      </c>
      <c r="L51">
        <f t="shared" si="26"/>
        <v>1.5697698123977839</v>
      </c>
      <c r="M51">
        <f>us_ppi_2008/VLOOKUP($E51,PPI_table,2,FALSE)*TechnologyDataRaw!J51*US_rand_2008/100</f>
        <v>4817.6976473233335</v>
      </c>
      <c r="N51">
        <f>us_ppi_2008/VLOOKUP($E51,PPI_table,2,FALSE)*TechnologyDataRaw!K51*US_rand_2008/100</f>
        <v>43.296302386075702</v>
      </c>
      <c r="O51">
        <f>us_ppi_2008/VLOOKUP($E51,PPI_table,2,FALSE)*TechnologyDataRaw!L51*US_rand_2008/100</f>
        <v>12.988890715822714</v>
      </c>
      <c r="P51" s="21">
        <f t="shared" si="27"/>
        <v>0</v>
      </c>
      <c r="Q51" s="21">
        <f t="shared" si="28"/>
        <v>0</v>
      </c>
      <c r="R51" s="21">
        <f t="shared" si="29"/>
        <v>0</v>
      </c>
      <c r="S51" s="21">
        <f>euro_ppi_2008/VLOOKUP($E51,PPI_table,3,FALSE)*TechnologyDataRaw!P51*euro_rand_2008/100</f>
        <v>0</v>
      </c>
      <c r="T51" s="21">
        <f>euro_ppi_2008/VLOOKUP($E51,PPI_table,3,FALSE)*TechnologyDataRaw!Q51*euro_rand_2008/100</f>
        <v>0</v>
      </c>
      <c r="U51" s="21">
        <f>euro_ppi_2008/VLOOKUP($E51,PPI_table,3,FALSE)*TechnologyDataRaw!R51*euro_rand_2008/100</f>
        <v>0</v>
      </c>
      <c r="W51">
        <f t="shared" ref="W51:Y83" si="31">S51+M51+G51</f>
        <v>5361.6976473233335</v>
      </c>
      <c r="X51">
        <f t="shared" si="30"/>
        <v>87.296302386075709</v>
      </c>
      <c r="Y51">
        <f t="shared" si="30"/>
        <v>26.188890715822716</v>
      </c>
    </row>
    <row r="52" spans="1:29">
      <c r="A52" t="str">
        <f t="shared" si="20"/>
        <v>Combined Cycle Gas Turbine</v>
      </c>
      <c r="D52">
        <f t="shared" si="21"/>
        <v>10</v>
      </c>
      <c r="E52">
        <f t="shared" si="22"/>
        <v>2007</v>
      </c>
      <c r="G52">
        <f t="shared" si="23"/>
        <v>808.93388952380974</v>
      </c>
      <c r="H52">
        <f t="shared" si="23"/>
        <v>52.471387428571433</v>
      </c>
      <c r="I52">
        <f t="shared" si="23"/>
        <v>8.7031868571428586</v>
      </c>
      <c r="J52">
        <f t="shared" si="24"/>
        <v>865.80000000000018</v>
      </c>
      <c r="K52">
        <f t="shared" si="25"/>
        <v>6.24</v>
      </c>
      <c r="L52">
        <f t="shared" si="26"/>
        <v>1.0349999999999999</v>
      </c>
      <c r="M52">
        <f>us_ppi_2008/VLOOKUP($E52,PPI_table,2,FALSE)*TechnologyDataRaw!J52*US_rand_2008/100</f>
        <v>7163.9685595569326</v>
      </c>
      <c r="N52">
        <f>us_ppi_2008/VLOOKUP($E52,PPI_table,2,FALSE)*TechnologyDataRaw!K52*US_rand_2008/100</f>
        <v>51.632205834644544</v>
      </c>
      <c r="O52">
        <f>us_ppi_2008/VLOOKUP($E52,PPI_table,2,FALSE)*TechnologyDataRaw!L52*US_rand_2008/100</f>
        <v>8.5639956793040213</v>
      </c>
      <c r="P52" s="21">
        <f t="shared" si="27"/>
        <v>0</v>
      </c>
      <c r="Q52" s="21">
        <f t="shared" si="28"/>
        <v>0</v>
      </c>
      <c r="R52" s="21">
        <f t="shared" si="29"/>
        <v>0</v>
      </c>
      <c r="S52" s="21">
        <f>euro_ppi_2008/VLOOKUP($E52,PPI_table,3,FALSE)*TechnologyDataRaw!P52*euro_rand_2008/100</f>
        <v>0</v>
      </c>
      <c r="T52" s="21">
        <f>euro_ppi_2008/VLOOKUP($E52,PPI_table,3,FALSE)*TechnologyDataRaw!Q52*euro_rand_2008/100</f>
        <v>0</v>
      </c>
      <c r="U52" s="21">
        <f>euro_ppi_2008/VLOOKUP($E52,PPI_table,3,FALSE)*TechnologyDataRaw!R52*euro_rand_2008/100</f>
        <v>0</v>
      </c>
      <c r="W52">
        <f t="shared" si="31"/>
        <v>7972.9024490807424</v>
      </c>
      <c r="X52">
        <f t="shared" si="30"/>
        <v>104.10359326321597</v>
      </c>
      <c r="Y52">
        <f t="shared" si="30"/>
        <v>17.267182536446882</v>
      </c>
    </row>
    <row r="53" spans="1:29">
      <c r="A53" t="str">
        <f t="shared" si="20"/>
        <v>Combined Cycle Gas Turbine</v>
      </c>
      <c r="D53">
        <f t="shared" si="21"/>
        <v>12</v>
      </c>
      <c r="E53">
        <f t="shared" si="22"/>
        <v>2007</v>
      </c>
      <c r="G53">
        <f t="shared" si="23"/>
        <v>544.00000000000011</v>
      </c>
      <c r="H53">
        <f t="shared" si="23"/>
        <v>44.000000000000007</v>
      </c>
      <c r="I53">
        <f t="shared" si="23"/>
        <v>13</v>
      </c>
      <c r="J53">
        <f t="shared" si="24"/>
        <v>582.24189405299614</v>
      </c>
      <c r="K53">
        <f t="shared" si="25"/>
        <v>5.2325660413259456</v>
      </c>
      <c r="L53">
        <f t="shared" si="26"/>
        <v>1.5459854213008477</v>
      </c>
      <c r="M53">
        <f>us_ppi_2008/VLOOKUP($E53,PPI_table,2,FALSE)*TechnologyDataRaw!J53*US_rand_2008/100</f>
        <v>4817.6976473233335</v>
      </c>
      <c r="N53">
        <f>us_ppi_2008/VLOOKUP($E53,PPI_table,2,FALSE)*TechnologyDataRaw!K53*US_rand_2008/100</f>
        <v>43.296302386075702</v>
      </c>
      <c r="O53">
        <f>us_ppi_2008/VLOOKUP($E53,PPI_table,2,FALSE)*TechnologyDataRaw!L53*US_rand_2008/100</f>
        <v>12.792089341340551</v>
      </c>
      <c r="P53" s="21">
        <f t="shared" si="27"/>
        <v>0</v>
      </c>
      <c r="Q53" s="21">
        <f t="shared" si="28"/>
        <v>0</v>
      </c>
      <c r="R53" s="21">
        <f t="shared" si="29"/>
        <v>0</v>
      </c>
      <c r="S53" s="21">
        <f>euro_ppi_2008/VLOOKUP($E53,PPI_table,3,FALSE)*TechnologyDataRaw!P53*euro_rand_2008/100</f>
        <v>0</v>
      </c>
      <c r="T53" s="21">
        <f>euro_ppi_2008/VLOOKUP($E53,PPI_table,3,FALSE)*TechnologyDataRaw!Q53*euro_rand_2008/100</f>
        <v>0</v>
      </c>
      <c r="U53" s="21">
        <f>euro_ppi_2008/VLOOKUP($E53,PPI_table,3,FALSE)*TechnologyDataRaw!R53*euro_rand_2008/100</f>
        <v>0</v>
      </c>
      <c r="W53">
        <f t="shared" si="31"/>
        <v>5361.6976473233335</v>
      </c>
      <c r="X53">
        <f t="shared" si="30"/>
        <v>87.296302386075709</v>
      </c>
      <c r="Y53">
        <f t="shared" si="30"/>
        <v>25.792089341340549</v>
      </c>
    </row>
    <row r="54" spans="1:29">
      <c r="A54" t="str">
        <f t="shared" si="20"/>
        <v>Combined Cycle Gas Turbine</v>
      </c>
      <c r="D54">
        <f t="shared" si="21"/>
        <v>9</v>
      </c>
      <c r="E54">
        <f t="shared" si="22"/>
        <v>2008</v>
      </c>
      <c r="G54">
        <f t="shared" si="23"/>
        <v>2.1739999999999999</v>
      </c>
      <c r="H54">
        <f t="shared" si="23"/>
        <v>10.87</v>
      </c>
      <c r="I54">
        <f t="shared" si="23"/>
        <v>10.87</v>
      </c>
      <c r="J54">
        <f t="shared" si="24"/>
        <v>2.596555796886681</v>
      </c>
      <c r="K54">
        <f t="shared" si="25"/>
        <v>1.4425309982703782</v>
      </c>
      <c r="L54">
        <f t="shared" si="26"/>
        <v>1.4425309982703782</v>
      </c>
      <c r="M54">
        <f>us_ppi_2008/VLOOKUP($E54,PPI_table,2,FALSE)*TechnologyDataRaw!J54*US_rand_2008/100</f>
        <v>19.566000000000003</v>
      </c>
      <c r="N54">
        <f>us_ppi_2008/VLOOKUP($E54,PPI_table,2,FALSE)*TechnologyDataRaw!K54*US_rand_2008/100</f>
        <v>10.87</v>
      </c>
      <c r="O54">
        <f>us_ppi_2008/VLOOKUP($E54,PPI_table,2,FALSE)*TechnologyDataRaw!L54*US_rand_2008/100</f>
        <v>10.87</v>
      </c>
      <c r="P54" s="21">
        <f t="shared" si="27"/>
        <v>0</v>
      </c>
      <c r="Q54" s="21">
        <f t="shared" si="28"/>
        <v>0</v>
      </c>
      <c r="R54" s="21">
        <f t="shared" si="29"/>
        <v>0</v>
      </c>
      <c r="S54" s="21">
        <f>euro_ppi_2008/VLOOKUP($E54,PPI_table,3,FALSE)*TechnologyDataRaw!P54*euro_rand_2008/100</f>
        <v>0</v>
      </c>
      <c r="T54" s="21">
        <f>euro_ppi_2008/VLOOKUP($E54,PPI_table,3,FALSE)*TechnologyDataRaw!Q54*euro_rand_2008/100</f>
        <v>0</v>
      </c>
      <c r="U54" s="21">
        <f>euro_ppi_2008/VLOOKUP($E54,PPI_table,3,FALSE)*TechnologyDataRaw!R54*euro_rand_2008/100</f>
        <v>0</v>
      </c>
      <c r="W54">
        <f t="shared" si="31"/>
        <v>21.740000000000002</v>
      </c>
      <c r="X54">
        <f t="shared" si="30"/>
        <v>21.74</v>
      </c>
      <c r="Y54">
        <f t="shared" si="30"/>
        <v>21.74</v>
      </c>
    </row>
    <row r="55" spans="1:29">
      <c r="A55" t="str">
        <f t="shared" si="20"/>
        <v>Combined Cycle Gas Turbine</v>
      </c>
      <c r="D55">
        <f t="shared" si="21"/>
        <v>9</v>
      </c>
      <c r="E55">
        <f t="shared" si="22"/>
        <v>2008</v>
      </c>
      <c r="G55">
        <f t="shared" si="23"/>
        <v>2.1739999999999999</v>
      </c>
      <c r="H55">
        <f t="shared" si="23"/>
        <v>10.87</v>
      </c>
      <c r="I55">
        <f t="shared" si="23"/>
        <v>10.87</v>
      </c>
      <c r="J55">
        <f t="shared" si="24"/>
        <v>2.596555796886681</v>
      </c>
      <c r="K55">
        <f t="shared" si="25"/>
        <v>1.4425309982703782</v>
      </c>
      <c r="L55">
        <f t="shared" si="26"/>
        <v>1.4425309982703782</v>
      </c>
      <c r="M55">
        <f>us_ppi_2008/VLOOKUP($E55,PPI_table,2,FALSE)*TechnologyDataRaw!J55*US_rand_2008/100</f>
        <v>19.566000000000003</v>
      </c>
      <c r="N55">
        <f>us_ppi_2008/VLOOKUP($E55,PPI_table,2,FALSE)*TechnologyDataRaw!K55*US_rand_2008/100</f>
        <v>10.87</v>
      </c>
      <c r="O55">
        <f>us_ppi_2008/VLOOKUP($E55,PPI_table,2,FALSE)*TechnologyDataRaw!L55*US_rand_2008/100</f>
        <v>10.87</v>
      </c>
      <c r="P55" s="21">
        <f t="shared" si="27"/>
        <v>0</v>
      </c>
      <c r="Q55" s="21">
        <f t="shared" si="28"/>
        <v>0</v>
      </c>
      <c r="R55" s="21">
        <f t="shared" si="29"/>
        <v>0</v>
      </c>
      <c r="S55" s="21">
        <f>euro_ppi_2008/VLOOKUP($E55,PPI_table,3,FALSE)*TechnologyDataRaw!P55*euro_rand_2008/100</f>
        <v>0</v>
      </c>
      <c r="T55" s="21">
        <f>euro_ppi_2008/VLOOKUP($E55,PPI_table,3,FALSE)*TechnologyDataRaw!Q55*euro_rand_2008/100</f>
        <v>0</v>
      </c>
      <c r="U55" s="21">
        <f>euro_ppi_2008/VLOOKUP($E55,PPI_table,3,FALSE)*TechnologyDataRaw!R55*euro_rand_2008/100</f>
        <v>0</v>
      </c>
      <c r="W55">
        <f t="shared" si="31"/>
        <v>21.740000000000002</v>
      </c>
      <c r="X55">
        <f t="shared" si="30"/>
        <v>21.74</v>
      </c>
      <c r="Y55">
        <f t="shared" si="30"/>
        <v>21.74</v>
      </c>
    </row>
    <row r="56" spans="1:29">
      <c r="A56" t="str">
        <f t="shared" si="20"/>
        <v>Combined Cycle Gas Turbine</v>
      </c>
      <c r="D56">
        <f t="shared" si="21"/>
        <v>9</v>
      </c>
      <c r="E56">
        <f t="shared" si="22"/>
        <v>2008</v>
      </c>
      <c r="G56">
        <f t="shared" si="23"/>
        <v>2.1739999999999999</v>
      </c>
      <c r="H56">
        <f t="shared" si="23"/>
        <v>10.87</v>
      </c>
      <c r="I56">
        <f t="shared" si="23"/>
        <v>10.87</v>
      </c>
      <c r="J56">
        <f t="shared" si="24"/>
        <v>2.596555796886681</v>
      </c>
      <c r="K56">
        <f t="shared" si="25"/>
        <v>1.4425309982703782</v>
      </c>
      <c r="L56">
        <f t="shared" si="26"/>
        <v>1.4425309982703782</v>
      </c>
      <c r="M56">
        <f>us_ppi_2008/VLOOKUP($E56,PPI_table,2,FALSE)*TechnologyDataRaw!J56*US_rand_2008/100</f>
        <v>19.566000000000003</v>
      </c>
      <c r="N56">
        <f>us_ppi_2008/VLOOKUP($E56,PPI_table,2,FALSE)*TechnologyDataRaw!K56*US_rand_2008/100</f>
        <v>10.87</v>
      </c>
      <c r="O56">
        <f>us_ppi_2008/VLOOKUP($E56,PPI_table,2,FALSE)*TechnologyDataRaw!L56*US_rand_2008/100</f>
        <v>10.87</v>
      </c>
      <c r="P56" s="21">
        <f t="shared" si="27"/>
        <v>0</v>
      </c>
      <c r="Q56" s="21">
        <f t="shared" si="28"/>
        <v>0</v>
      </c>
      <c r="R56" s="21">
        <f t="shared" si="29"/>
        <v>0</v>
      </c>
      <c r="S56" s="21">
        <f>euro_ppi_2008/VLOOKUP($E56,PPI_table,3,FALSE)*TechnologyDataRaw!P56*euro_rand_2008/100</f>
        <v>0</v>
      </c>
      <c r="T56" s="21">
        <f>euro_ppi_2008/VLOOKUP($E56,PPI_table,3,FALSE)*TechnologyDataRaw!Q56*euro_rand_2008/100</f>
        <v>0</v>
      </c>
      <c r="U56" s="21">
        <f>euro_ppi_2008/VLOOKUP($E56,PPI_table,3,FALSE)*TechnologyDataRaw!R56*euro_rand_2008/100</f>
        <v>0</v>
      </c>
      <c r="W56">
        <f t="shared" si="31"/>
        <v>21.740000000000002</v>
      </c>
      <c r="X56">
        <f t="shared" si="30"/>
        <v>21.74</v>
      </c>
      <c r="Y56">
        <f t="shared" si="30"/>
        <v>21.74</v>
      </c>
    </row>
    <row r="57" spans="1:29">
      <c r="A57" t="str">
        <f t="shared" si="20"/>
        <v>Combined Cycle Gas Turbine</v>
      </c>
      <c r="D57">
        <f t="shared" si="21"/>
        <v>9</v>
      </c>
      <c r="E57">
        <f t="shared" si="22"/>
        <v>2008</v>
      </c>
      <c r="G57">
        <f t="shared" si="23"/>
        <v>2.1739999999999999</v>
      </c>
      <c r="H57">
        <f t="shared" si="23"/>
        <v>10.87</v>
      </c>
      <c r="I57">
        <f t="shared" si="23"/>
        <v>10.87</v>
      </c>
      <c r="J57">
        <f t="shared" si="24"/>
        <v>2.596555796886681</v>
      </c>
      <c r="K57">
        <f t="shared" si="25"/>
        <v>1.4425309982703782</v>
      </c>
      <c r="L57">
        <f t="shared" si="26"/>
        <v>1.4425309982703782</v>
      </c>
      <c r="M57">
        <f>us_ppi_2008/VLOOKUP($E57,PPI_table,2,FALSE)*TechnologyDataRaw!J57*US_rand_2008/100</f>
        <v>19.566000000000003</v>
      </c>
      <c r="N57">
        <f>us_ppi_2008/VLOOKUP($E57,PPI_table,2,FALSE)*TechnologyDataRaw!K57*US_rand_2008/100</f>
        <v>10.87</v>
      </c>
      <c r="O57">
        <f>us_ppi_2008/VLOOKUP($E57,PPI_table,2,FALSE)*TechnologyDataRaw!L57*US_rand_2008/100</f>
        <v>10.87</v>
      </c>
      <c r="P57" s="21">
        <f t="shared" si="27"/>
        <v>0</v>
      </c>
      <c r="Q57" s="21">
        <f t="shared" si="28"/>
        <v>0</v>
      </c>
      <c r="R57" s="21">
        <f t="shared" si="29"/>
        <v>0</v>
      </c>
      <c r="S57" s="21">
        <f>euro_ppi_2008/VLOOKUP($E57,PPI_table,3,FALSE)*TechnologyDataRaw!P57*euro_rand_2008/100</f>
        <v>0</v>
      </c>
      <c r="T57" s="21">
        <f>euro_ppi_2008/VLOOKUP($E57,PPI_table,3,FALSE)*TechnologyDataRaw!Q57*euro_rand_2008/100</f>
        <v>0</v>
      </c>
      <c r="U57" s="21">
        <f>euro_ppi_2008/VLOOKUP($E57,PPI_table,3,FALSE)*TechnologyDataRaw!R57*euro_rand_2008/100</f>
        <v>0</v>
      </c>
      <c r="W57">
        <f t="shared" si="31"/>
        <v>21.740000000000002</v>
      </c>
      <c r="X57">
        <f t="shared" si="30"/>
        <v>21.74</v>
      </c>
      <c r="Y57">
        <f t="shared" si="30"/>
        <v>21.74</v>
      </c>
    </row>
    <row r="58" spans="1:29">
      <c r="A58" t="str">
        <f t="shared" si="20"/>
        <v>Combined Cycle Gas Turbine</v>
      </c>
      <c r="D58">
        <f t="shared" si="21"/>
        <v>9</v>
      </c>
      <c r="E58">
        <f t="shared" si="22"/>
        <v>2008</v>
      </c>
      <c r="G58">
        <f t="shared" si="23"/>
        <v>2.1739999999999999</v>
      </c>
      <c r="H58">
        <f t="shared" si="23"/>
        <v>10.87</v>
      </c>
      <c r="I58">
        <f t="shared" si="23"/>
        <v>10.87</v>
      </c>
      <c r="J58">
        <f t="shared" si="24"/>
        <v>2.596555796886681</v>
      </c>
      <c r="K58">
        <f t="shared" si="25"/>
        <v>1.4425309982703782</v>
      </c>
      <c r="L58">
        <f t="shared" si="26"/>
        <v>1.4425309982703782</v>
      </c>
      <c r="M58">
        <f>us_ppi_2008/VLOOKUP($E58,PPI_table,2,FALSE)*TechnologyDataRaw!J58*US_rand_2008/100</f>
        <v>19.566000000000003</v>
      </c>
      <c r="N58">
        <f>us_ppi_2008/VLOOKUP($E58,PPI_table,2,FALSE)*TechnologyDataRaw!K58*US_rand_2008/100</f>
        <v>10.87</v>
      </c>
      <c r="O58">
        <f>us_ppi_2008/VLOOKUP($E58,PPI_table,2,FALSE)*TechnologyDataRaw!L58*US_rand_2008/100</f>
        <v>10.87</v>
      </c>
      <c r="P58" s="21">
        <f t="shared" si="27"/>
        <v>0</v>
      </c>
      <c r="Q58" s="21">
        <f t="shared" si="28"/>
        <v>0</v>
      </c>
      <c r="R58" s="21">
        <f t="shared" si="29"/>
        <v>0</v>
      </c>
      <c r="S58" s="21">
        <f>euro_ppi_2008/VLOOKUP($E58,PPI_table,3,FALSE)*TechnologyDataRaw!P58*euro_rand_2008/100</f>
        <v>0</v>
      </c>
      <c r="T58" s="21">
        <f>euro_ppi_2008/VLOOKUP($E58,PPI_table,3,FALSE)*TechnologyDataRaw!Q58*euro_rand_2008/100</f>
        <v>0</v>
      </c>
      <c r="U58" s="21">
        <f>euro_ppi_2008/VLOOKUP($E58,PPI_table,3,FALSE)*TechnologyDataRaw!R58*euro_rand_2008/100</f>
        <v>0</v>
      </c>
      <c r="W58">
        <f t="shared" si="31"/>
        <v>21.740000000000002</v>
      </c>
      <c r="X58">
        <f t="shared" si="30"/>
        <v>21.74</v>
      </c>
      <c r="Y58">
        <f t="shared" si="30"/>
        <v>21.74</v>
      </c>
    </row>
    <row r="59" spans="1:29">
      <c r="A59" t="str">
        <f t="shared" si="20"/>
        <v>Existing coal small</v>
      </c>
      <c r="D59">
        <f t="shared" si="21"/>
        <v>12</v>
      </c>
      <c r="E59">
        <f t="shared" si="22"/>
        <v>2007</v>
      </c>
      <c r="G59">
        <f t="shared" si="23"/>
        <v>716.80000000000007</v>
      </c>
      <c r="H59">
        <f t="shared" si="23"/>
        <v>138.53350468791075</v>
      </c>
      <c r="I59">
        <f t="shared" si="23"/>
        <v>4.8752390688436495</v>
      </c>
      <c r="J59">
        <f t="shared" si="24"/>
        <v>767.18931922277147</v>
      </c>
      <c r="K59">
        <f t="shared" si="25"/>
        <v>16.47467527763251</v>
      </c>
      <c r="L59">
        <f t="shared" si="26"/>
        <v>0.57977296352220009</v>
      </c>
      <c r="M59">
        <f>us_ppi_2008/VLOOKUP($E59,PPI_table,2,FALSE)*TechnologyDataRaw!J59*US_rand_2008/100</f>
        <v>6348.025135296627</v>
      </c>
      <c r="N59">
        <f>us_ppi_2008/VLOOKUP($E59,PPI_table,2,FALSE)*TechnologyDataRaw!K59*US_rand_2008/100</f>
        <v>136.31792067205953</v>
      </c>
      <c r="O59">
        <f>us_ppi_2008/VLOOKUP($E59,PPI_table,2,FALSE)*TechnologyDataRaw!L59*US_rand_2008/100</f>
        <v>4.7972687483878369</v>
      </c>
      <c r="P59" s="21">
        <f t="shared" si="27"/>
        <v>0</v>
      </c>
      <c r="Q59" s="21">
        <f t="shared" si="28"/>
        <v>0</v>
      </c>
      <c r="R59" s="21">
        <f t="shared" si="29"/>
        <v>0</v>
      </c>
      <c r="S59" s="21">
        <f>euro_ppi_2008/VLOOKUP($E59,PPI_table,3,FALSE)*TechnologyDataRaw!P59*euro_rand_2008/100</f>
        <v>0</v>
      </c>
      <c r="T59" s="21">
        <f>euro_ppi_2008/VLOOKUP($E59,PPI_table,3,FALSE)*TechnologyDataRaw!Q59*euro_rand_2008/100</f>
        <v>0</v>
      </c>
      <c r="U59" s="21">
        <f>euro_ppi_2008/VLOOKUP($E59,PPI_table,3,FALSE)*TechnologyDataRaw!R59*euro_rand_2008/100</f>
        <v>0</v>
      </c>
      <c r="W59">
        <f t="shared" si="31"/>
        <v>7064.8251352966272</v>
      </c>
      <c r="X59">
        <f t="shared" si="30"/>
        <v>274.85142535997028</v>
      </c>
      <c r="Y59">
        <f t="shared" si="30"/>
        <v>9.6725078172314873</v>
      </c>
    </row>
    <row r="60" spans="1:29">
      <c r="A60" t="str">
        <f t="shared" si="20"/>
        <v>Existing coal large</v>
      </c>
      <c r="D60">
        <f t="shared" si="21"/>
        <v>12</v>
      </c>
      <c r="E60">
        <f t="shared" si="22"/>
        <v>2007</v>
      </c>
      <c r="G60">
        <f t="shared" si="23"/>
        <v>716.80000000000007</v>
      </c>
      <c r="H60">
        <f t="shared" si="23"/>
        <v>100.0560908029649</v>
      </c>
      <c r="I60">
        <f t="shared" si="23"/>
        <v>4.1226458881278223</v>
      </c>
      <c r="J60">
        <f t="shared" si="24"/>
        <v>767.18931922277147</v>
      </c>
      <c r="K60">
        <f t="shared" si="25"/>
        <v>11.898865976441348</v>
      </c>
      <c r="L60">
        <f t="shared" si="26"/>
        <v>0.49027311078703828</v>
      </c>
      <c r="M60">
        <f>us_ppi_2008/VLOOKUP($E60,PPI_table,2,FALSE)*TechnologyDataRaw!J60*US_rand_2008/100</f>
        <v>6348.025135296627</v>
      </c>
      <c r="N60">
        <f>us_ppi_2008/VLOOKUP($E60,PPI_table,2,FALSE)*TechnologyDataRaw!K60*US_rand_2008/100</f>
        <v>98.455880976677633</v>
      </c>
      <c r="O60">
        <f>us_ppi_2008/VLOOKUP($E60,PPI_table,2,FALSE)*TechnologyDataRaw!L60*US_rand_2008/100</f>
        <v>4.0567118864339502</v>
      </c>
      <c r="P60" s="21">
        <f t="shared" si="27"/>
        <v>0</v>
      </c>
      <c r="Q60" s="21">
        <f t="shared" si="28"/>
        <v>0</v>
      </c>
      <c r="R60" s="21">
        <f t="shared" si="29"/>
        <v>0</v>
      </c>
      <c r="S60" s="21">
        <f>euro_ppi_2008/VLOOKUP($E60,PPI_table,3,FALSE)*TechnologyDataRaw!P60*euro_rand_2008/100</f>
        <v>0</v>
      </c>
      <c r="T60" s="21">
        <f>euro_ppi_2008/VLOOKUP($E60,PPI_table,3,FALSE)*TechnologyDataRaw!Q60*euro_rand_2008/100</f>
        <v>0</v>
      </c>
      <c r="U60" s="21">
        <f>euro_ppi_2008/VLOOKUP($E60,PPI_table,3,FALSE)*TechnologyDataRaw!R60*euro_rand_2008/100</f>
        <v>0</v>
      </c>
      <c r="W60">
        <f t="shared" ref="W60:Y61" si="32">S60+M60+G60</f>
        <v>7064.8251352966272</v>
      </c>
      <c r="X60">
        <f t="shared" si="32"/>
        <v>198.51197177964252</v>
      </c>
      <c r="Y60">
        <f t="shared" si="32"/>
        <v>8.1793577745617725</v>
      </c>
    </row>
    <row r="61" spans="1:29">
      <c r="A61" t="str">
        <f t="shared" si="20"/>
        <v>Hydro existing</v>
      </c>
      <c r="D61">
        <f t="shared" si="21"/>
        <v>12</v>
      </c>
      <c r="E61">
        <f t="shared" si="22"/>
        <v>2007</v>
      </c>
      <c r="G61">
        <f t="shared" si="23"/>
        <v>0</v>
      </c>
      <c r="H61">
        <f t="shared" si="23"/>
        <v>65.658431793770148</v>
      </c>
      <c r="I61">
        <f t="shared" si="23"/>
        <v>0</v>
      </c>
      <c r="J61">
        <f t="shared" si="24"/>
        <v>0</v>
      </c>
      <c r="K61">
        <f t="shared" si="25"/>
        <v>7.8082291029726694</v>
      </c>
      <c r="L61">
        <f t="shared" si="26"/>
        <v>0</v>
      </c>
      <c r="M61">
        <f>us_ppi_2008/VLOOKUP($E61,PPI_table,2,FALSE)*TechnologyDataRaw!J61*US_rand_2008/100</f>
        <v>0</v>
      </c>
      <c r="N61">
        <f>us_ppi_2008/VLOOKUP($E61,PPI_table,2,FALSE)*TechnologyDataRaw!K61*US_rand_2008/100</f>
        <v>64.60834811678636</v>
      </c>
      <c r="O61">
        <f>us_ppi_2008/VLOOKUP($E61,PPI_table,2,FALSE)*TechnologyDataRaw!L61*US_rand_2008/100</f>
        <v>0</v>
      </c>
      <c r="P61" s="21">
        <f t="shared" si="27"/>
        <v>0</v>
      </c>
      <c r="Q61" s="21">
        <f t="shared" si="28"/>
        <v>0</v>
      </c>
      <c r="R61" s="21">
        <f t="shared" si="29"/>
        <v>0</v>
      </c>
      <c r="S61" s="21">
        <f>euro_ppi_2008/VLOOKUP($E61,PPI_table,3,FALSE)*TechnologyDataRaw!P61*euro_rand_2008/100</f>
        <v>0</v>
      </c>
      <c r="T61" s="21">
        <f>euro_ppi_2008/VLOOKUP($E61,PPI_table,3,FALSE)*TechnologyDataRaw!Q61*euro_rand_2008/100</f>
        <v>0</v>
      </c>
      <c r="U61" s="21">
        <f>euro_ppi_2008/VLOOKUP($E61,PPI_table,3,FALSE)*TechnologyDataRaw!R61*euro_rand_2008/100</f>
        <v>0</v>
      </c>
      <c r="W61">
        <f t="shared" si="32"/>
        <v>0</v>
      </c>
      <c r="X61">
        <f t="shared" si="32"/>
        <v>130.26677991055652</v>
      </c>
      <c r="Y61">
        <f t="shared" si="32"/>
        <v>0</v>
      </c>
    </row>
    <row r="62" spans="1:29">
      <c r="A62" t="str">
        <f t="shared" si="20"/>
        <v>Fluidised Bed Combustion Coal</v>
      </c>
      <c r="D62">
        <f t="shared" si="21"/>
        <v>12</v>
      </c>
      <c r="E62">
        <f t="shared" si="22"/>
        <v>2007</v>
      </c>
      <c r="G62">
        <f t="shared" si="23"/>
        <v>1032.0000000000002</v>
      </c>
      <c r="H62">
        <f t="shared" si="23"/>
        <v>102.28571428571429</v>
      </c>
      <c r="I62">
        <f t="shared" si="23"/>
        <v>13.394285714285717</v>
      </c>
      <c r="J62">
        <f t="shared" si="24"/>
        <v>1104.5471225417134</v>
      </c>
      <c r="K62">
        <f t="shared" si="25"/>
        <v>12.164017161004471</v>
      </c>
      <c r="L62">
        <f t="shared" si="26"/>
        <v>1.592874649463379</v>
      </c>
      <c r="M62">
        <f>us_ppi_2008/VLOOKUP($E62,PPI_table,2,FALSE)*TechnologyDataRaw!J62*US_rand_2008/100</f>
        <v>9139.4558309516178</v>
      </c>
      <c r="N62">
        <f>us_ppi_2008/VLOOKUP($E62,PPI_table,2,FALSE)*TechnologyDataRaw!K62*US_rand_2008/100</f>
        <v>100.64984580659159</v>
      </c>
      <c r="O62">
        <f>us_ppi_2008/VLOOKUP($E62,PPI_table,2,FALSE)*TechnologyDataRaw!L62*US_rand_2008/100</f>
        <v>13.1800691938911</v>
      </c>
      <c r="P62" s="21">
        <f t="shared" si="27"/>
        <v>0</v>
      </c>
      <c r="Q62" s="21">
        <f t="shared" si="28"/>
        <v>0</v>
      </c>
      <c r="R62" s="21">
        <f t="shared" si="29"/>
        <v>0</v>
      </c>
      <c r="S62" s="21">
        <f>euro_ppi_2008/VLOOKUP($E62,PPI_table,3,FALSE)*TechnologyDataRaw!P62*euro_rand_2008/100</f>
        <v>0</v>
      </c>
      <c r="T62" s="21">
        <f>euro_ppi_2008/VLOOKUP($E62,PPI_table,3,FALSE)*TechnologyDataRaw!Q62*euro_rand_2008/100</f>
        <v>0</v>
      </c>
      <c r="U62" s="21">
        <f>euro_ppi_2008/VLOOKUP($E62,PPI_table,3,FALSE)*TechnologyDataRaw!R62*euro_rand_2008/100</f>
        <v>0</v>
      </c>
      <c r="W62">
        <f t="shared" si="31"/>
        <v>10171.455830951618</v>
      </c>
      <c r="X62">
        <f t="shared" si="30"/>
        <v>202.93556009230588</v>
      </c>
      <c r="Y62">
        <f t="shared" si="30"/>
        <v>26.574354908176815</v>
      </c>
    </row>
    <row r="63" spans="1:29">
      <c r="A63" t="str">
        <f t="shared" si="20"/>
        <v>Integrated Gasification Combined Cycle Coal</v>
      </c>
      <c r="D63">
        <f t="shared" si="21"/>
        <v>10</v>
      </c>
      <c r="E63">
        <f t="shared" si="22"/>
        <v>2007</v>
      </c>
      <c r="G63">
        <f t="shared" si="23"/>
        <v>1999.6307580952389</v>
      </c>
      <c r="H63">
        <f t="shared" si="23"/>
        <v>162.58562114285715</v>
      </c>
      <c r="I63">
        <f t="shared" si="23"/>
        <v>12.276959238095237</v>
      </c>
      <c r="J63">
        <f t="shared" si="24"/>
        <v>2140.2000000000003</v>
      </c>
      <c r="K63">
        <f t="shared" si="25"/>
        <v>19.335000000000001</v>
      </c>
      <c r="L63">
        <f t="shared" si="26"/>
        <v>1.46</v>
      </c>
      <c r="M63">
        <f>us_ppi_2008/VLOOKUP($E63,PPI_table,2,FALSE)*TechnologyDataRaw!J63*US_rand_2008/100</f>
        <v>17708.853674247803</v>
      </c>
      <c r="N63">
        <f>us_ppi_2008/VLOOKUP($E63,PPI_table,2,FALSE)*TechnologyDataRaw!K63*US_rand_2008/100</f>
        <v>159.98536855975198</v>
      </c>
      <c r="O63">
        <f>us_ppi_2008/VLOOKUP($E63,PPI_table,2,FALSE)*TechnologyDataRaw!L63*US_rand_2008/100</f>
        <v>12.080612262593116</v>
      </c>
      <c r="P63" s="21">
        <f t="shared" si="27"/>
        <v>0</v>
      </c>
      <c r="Q63" s="21">
        <f t="shared" si="28"/>
        <v>0</v>
      </c>
      <c r="R63" s="21">
        <f t="shared" si="29"/>
        <v>0</v>
      </c>
      <c r="S63" s="21">
        <f>euro_ppi_2008/VLOOKUP($E63,PPI_table,3,FALSE)*TechnologyDataRaw!P63*euro_rand_2008/100</f>
        <v>0</v>
      </c>
      <c r="T63" s="21">
        <f>euro_ppi_2008/VLOOKUP($E63,PPI_table,3,FALSE)*TechnologyDataRaw!Q63*euro_rand_2008/100</f>
        <v>0</v>
      </c>
      <c r="U63" s="21">
        <f>euro_ppi_2008/VLOOKUP($E63,PPI_table,3,FALSE)*TechnologyDataRaw!R63*euro_rand_2008/100</f>
        <v>0</v>
      </c>
      <c r="W63">
        <f t="shared" si="31"/>
        <v>19708.484432343041</v>
      </c>
      <c r="X63">
        <f t="shared" si="30"/>
        <v>322.57098970260915</v>
      </c>
      <c r="Y63">
        <f t="shared" si="30"/>
        <v>24.357571500688351</v>
      </c>
    </row>
    <row r="64" spans="1:29">
      <c r="A64" t="str">
        <f t="shared" si="20"/>
        <v>Landfill gas</v>
      </c>
      <c r="D64">
        <f t="shared" si="21"/>
        <v>10</v>
      </c>
      <c r="E64">
        <f t="shared" si="22"/>
        <v>2007</v>
      </c>
      <c r="G64">
        <f t="shared" si="23"/>
        <v>2138.3772152380952</v>
      </c>
      <c r="H64">
        <f t="shared" si="23"/>
        <v>480.35705238095244</v>
      </c>
      <c r="I64">
        <f t="shared" si="23"/>
        <v>4.2044380952380958E-2</v>
      </c>
      <c r="J64">
        <f t="shared" si="24"/>
        <v>2288.7000000000003</v>
      </c>
      <c r="K64">
        <f t="shared" si="25"/>
        <v>57.125</v>
      </c>
      <c r="L64">
        <f t="shared" si="26"/>
        <v>5.0000000000000001E-3</v>
      </c>
      <c r="M64">
        <f>us_ppi_2008/VLOOKUP($E64,PPI_table,2,FALSE)*TechnologyDataRaw!J64*US_rand_2008/100</f>
        <v>18937.600880408812</v>
      </c>
      <c r="N64">
        <f>us_ppi_2008/VLOOKUP($E64,PPI_table,2,FALSE)*TechnologyDataRaw!K64*US_rand_2008/100</f>
        <v>472.67464075385732</v>
      </c>
      <c r="O64">
        <f>us_ppi_2008/VLOOKUP($E64,PPI_table,2,FALSE)*TechnologyDataRaw!L64*US_rand_2008/100</f>
        <v>4.1371959803401082E-2</v>
      </c>
      <c r="P64" s="21">
        <f t="shared" si="27"/>
        <v>0</v>
      </c>
      <c r="Q64" s="21">
        <f t="shared" si="28"/>
        <v>0</v>
      </c>
      <c r="R64" s="21">
        <f t="shared" si="29"/>
        <v>0</v>
      </c>
      <c r="S64" s="21">
        <f>euro_ppi_2008/VLOOKUP($E64,PPI_table,3,FALSE)*TechnologyDataRaw!P64*euro_rand_2008/100</f>
        <v>0</v>
      </c>
      <c r="T64" s="21">
        <f>euro_ppi_2008/VLOOKUP($E64,PPI_table,3,FALSE)*TechnologyDataRaw!Q64*euro_rand_2008/100</f>
        <v>0</v>
      </c>
      <c r="U64" s="21">
        <f>euro_ppi_2008/VLOOKUP($E64,PPI_table,3,FALSE)*TechnologyDataRaw!R64*euro_rand_2008/100</f>
        <v>0</v>
      </c>
      <c r="W64">
        <f t="shared" si="31"/>
        <v>21075.978095646908</v>
      </c>
      <c r="X64">
        <f t="shared" si="30"/>
        <v>953.03169313480976</v>
      </c>
      <c r="Y64">
        <f t="shared" si="30"/>
        <v>8.341634075578204E-2</v>
      </c>
    </row>
    <row r="65" spans="1:25">
      <c r="A65" t="str">
        <f t="shared" si="20"/>
        <v>Nuclear Pressurised Water Reactor</v>
      </c>
      <c r="D65">
        <f t="shared" si="21"/>
        <v>10</v>
      </c>
      <c r="E65">
        <f t="shared" si="22"/>
        <v>2007</v>
      </c>
      <c r="G65">
        <f t="shared" si="23"/>
        <v>2790.0651200000007</v>
      </c>
      <c r="H65">
        <f t="shared" si="23"/>
        <v>378.48351733333334</v>
      </c>
      <c r="I65">
        <f t="shared" si="23"/>
        <v>2.0601746666666667</v>
      </c>
      <c r="J65">
        <f t="shared" si="24"/>
        <v>2986.2000000000003</v>
      </c>
      <c r="K65">
        <f t="shared" si="25"/>
        <v>45.01</v>
      </c>
      <c r="L65">
        <f t="shared" si="26"/>
        <v>0.245</v>
      </c>
      <c r="M65">
        <f>us_ppi_2008/VLOOKUP($E65,PPI_table,2,FALSE)*TechnologyDataRaw!J65*US_rand_2008/100</f>
        <v>24708.989272983265</v>
      </c>
      <c r="N65">
        <f>us_ppi_2008/VLOOKUP($E65,PPI_table,2,FALSE)*TechnologyDataRaw!K65*US_rand_2008/100</f>
        <v>372.43038215021653</v>
      </c>
      <c r="O65">
        <f>us_ppi_2008/VLOOKUP($E65,PPI_table,2,FALSE)*TechnologyDataRaw!L65*US_rand_2008/100</f>
        <v>2.0272260303666529</v>
      </c>
      <c r="P65" s="21">
        <f t="shared" si="27"/>
        <v>0</v>
      </c>
      <c r="Q65" s="21">
        <f t="shared" si="28"/>
        <v>0</v>
      </c>
      <c r="R65" s="21">
        <f t="shared" si="29"/>
        <v>0</v>
      </c>
      <c r="S65" s="21">
        <f>euro_ppi_2008/VLOOKUP($E65,PPI_table,3,FALSE)*TechnologyDataRaw!P65*euro_rand_2008/100</f>
        <v>0</v>
      </c>
      <c r="T65" s="21">
        <f>euro_ppi_2008/VLOOKUP($E65,PPI_table,3,FALSE)*TechnologyDataRaw!Q65*euro_rand_2008/100</f>
        <v>0</v>
      </c>
      <c r="U65" s="21">
        <f>euro_ppi_2008/VLOOKUP($E65,PPI_table,3,FALSE)*TechnologyDataRaw!R65*euro_rand_2008/100</f>
        <v>0</v>
      </c>
      <c r="W65">
        <f t="shared" si="31"/>
        <v>27499.054392983264</v>
      </c>
      <c r="X65">
        <f t="shared" si="30"/>
        <v>750.91389948354981</v>
      </c>
      <c r="Y65">
        <f t="shared" si="30"/>
        <v>4.0874006970333197</v>
      </c>
    </row>
    <row r="66" spans="1:25">
      <c r="A66" t="str">
        <f t="shared" si="20"/>
        <v>Nuclear Pressurised Water Reactor</v>
      </c>
      <c r="D66">
        <f t="shared" si="21"/>
        <v>12</v>
      </c>
      <c r="E66">
        <f t="shared" si="22"/>
        <v>2007</v>
      </c>
      <c r="G66">
        <f t="shared" si="23"/>
        <v>1812.4571428571433</v>
      </c>
      <c r="H66">
        <f t="shared" si="23"/>
        <v>248.00000000000006</v>
      </c>
      <c r="I66">
        <f t="shared" si="23"/>
        <v>5.5200000000000014</v>
      </c>
      <c r="J66">
        <f t="shared" si="24"/>
        <v>1939.8685289467367</v>
      </c>
      <c r="K66">
        <f t="shared" si="25"/>
        <v>29.492644960200785</v>
      </c>
      <c r="L66">
        <f t="shared" si="26"/>
        <v>0.65644919427543691</v>
      </c>
      <c r="M66">
        <f>us_ppi_2008/VLOOKUP($E66,PPI_table,2,FALSE)*TechnologyDataRaw!J66*US_rand_2008/100</f>
        <v>16051.232560693434</v>
      </c>
      <c r="N66">
        <f>us_ppi_2008/VLOOKUP($E66,PPI_table,2,FALSE)*TechnologyDataRaw!K66*US_rand_2008/100</f>
        <v>244.03370435788125</v>
      </c>
      <c r="O66">
        <f>us_ppi_2008/VLOOKUP($E66,PPI_table,2,FALSE)*TechnologyDataRaw!L66*US_rand_2008/100</f>
        <v>5.4317179357076801</v>
      </c>
      <c r="P66" s="21">
        <f t="shared" si="27"/>
        <v>0</v>
      </c>
      <c r="Q66" s="21">
        <f t="shared" si="28"/>
        <v>0</v>
      </c>
      <c r="R66" s="21">
        <f t="shared" si="29"/>
        <v>0</v>
      </c>
      <c r="S66" s="21">
        <f>euro_ppi_2008/VLOOKUP($E66,PPI_table,3,FALSE)*TechnologyDataRaw!P66*euro_rand_2008/100</f>
        <v>0</v>
      </c>
      <c r="T66" s="21">
        <f>euro_ppi_2008/VLOOKUP($E66,PPI_table,3,FALSE)*TechnologyDataRaw!Q66*euro_rand_2008/100</f>
        <v>0</v>
      </c>
      <c r="U66" s="21">
        <f>euro_ppi_2008/VLOOKUP($E66,PPI_table,3,FALSE)*TechnologyDataRaw!R66*euro_rand_2008/100</f>
        <v>0</v>
      </c>
      <c r="W66">
        <f t="shared" si="31"/>
        <v>17863.689703550575</v>
      </c>
      <c r="X66">
        <f t="shared" si="30"/>
        <v>492.03370435788133</v>
      </c>
      <c r="Y66">
        <f t="shared" si="30"/>
        <v>10.951717935707681</v>
      </c>
    </row>
    <row r="67" spans="1:25">
      <c r="A67" t="str">
        <f t="shared" si="20"/>
        <v>Nuclear Pressurised Water Reactor</v>
      </c>
      <c r="D67">
        <f t="shared" si="21"/>
        <v>9</v>
      </c>
      <c r="E67">
        <f t="shared" si="22"/>
        <v>2008</v>
      </c>
      <c r="G67">
        <f t="shared" si="23"/>
        <v>2.1739999999999999</v>
      </c>
      <c r="H67">
        <f t="shared" si="23"/>
        <v>10.87</v>
      </c>
      <c r="I67">
        <f t="shared" si="23"/>
        <v>10.87</v>
      </c>
      <c r="J67">
        <f t="shared" si="24"/>
        <v>2.596555796886681</v>
      </c>
      <c r="K67">
        <f t="shared" si="25"/>
        <v>1.4425309982703782</v>
      </c>
      <c r="L67">
        <f t="shared" si="26"/>
        <v>1.4425309982703782</v>
      </c>
      <c r="M67">
        <f>us_ppi_2008/VLOOKUP($E67,PPI_table,2,FALSE)*TechnologyDataRaw!J67*US_rand_2008/100</f>
        <v>19.566000000000003</v>
      </c>
      <c r="N67">
        <f>us_ppi_2008/VLOOKUP($E67,PPI_table,2,FALSE)*TechnologyDataRaw!K67*US_rand_2008/100</f>
        <v>10.87</v>
      </c>
      <c r="O67">
        <f>us_ppi_2008/VLOOKUP($E67,PPI_table,2,FALSE)*TechnologyDataRaw!L67*US_rand_2008/100</f>
        <v>10.87</v>
      </c>
      <c r="P67" s="21">
        <f t="shared" si="27"/>
        <v>0</v>
      </c>
      <c r="Q67" s="21">
        <f t="shared" si="28"/>
        <v>0</v>
      </c>
      <c r="R67" s="21">
        <f t="shared" si="29"/>
        <v>0</v>
      </c>
      <c r="S67" s="21">
        <f>euro_ppi_2008/VLOOKUP($E67,PPI_table,3,FALSE)*TechnologyDataRaw!P67*euro_rand_2008/100</f>
        <v>0</v>
      </c>
      <c r="T67" s="21">
        <f>euro_ppi_2008/VLOOKUP($E67,PPI_table,3,FALSE)*TechnologyDataRaw!Q67*euro_rand_2008/100</f>
        <v>0</v>
      </c>
      <c r="U67" s="21">
        <f>euro_ppi_2008/VLOOKUP($E67,PPI_table,3,FALSE)*TechnologyDataRaw!R67*euro_rand_2008/100</f>
        <v>0</v>
      </c>
      <c r="W67">
        <f t="shared" si="31"/>
        <v>21.740000000000002</v>
      </c>
      <c r="X67">
        <f t="shared" si="30"/>
        <v>21.74</v>
      </c>
      <c r="Y67">
        <f t="shared" si="30"/>
        <v>21.74</v>
      </c>
    </row>
    <row r="68" spans="1:25">
      <c r="A68" t="str">
        <f t="shared" si="20"/>
        <v>Nuclear Pressurised Water Reactor</v>
      </c>
      <c r="D68">
        <f t="shared" si="21"/>
        <v>9</v>
      </c>
      <c r="E68">
        <f t="shared" si="22"/>
        <v>2008</v>
      </c>
      <c r="G68">
        <f t="shared" si="23"/>
        <v>2.1739999999999999</v>
      </c>
      <c r="H68">
        <f t="shared" si="23"/>
        <v>10.87</v>
      </c>
      <c r="I68">
        <f t="shared" si="23"/>
        <v>10.87</v>
      </c>
      <c r="J68">
        <f t="shared" si="24"/>
        <v>2.596555796886681</v>
      </c>
      <c r="K68">
        <f t="shared" si="25"/>
        <v>1.4425309982703782</v>
      </c>
      <c r="L68">
        <f t="shared" si="26"/>
        <v>1.4425309982703782</v>
      </c>
      <c r="M68">
        <f>us_ppi_2008/VLOOKUP($E68,PPI_table,2,FALSE)*TechnologyDataRaw!J68*US_rand_2008/100</f>
        <v>19.566000000000003</v>
      </c>
      <c r="N68">
        <f>us_ppi_2008/VLOOKUP($E68,PPI_table,2,FALSE)*TechnologyDataRaw!K68*US_rand_2008/100</f>
        <v>10.87</v>
      </c>
      <c r="O68">
        <f>us_ppi_2008/VLOOKUP($E68,PPI_table,2,FALSE)*TechnologyDataRaw!L68*US_rand_2008/100</f>
        <v>10.87</v>
      </c>
      <c r="P68" s="21">
        <f t="shared" si="27"/>
        <v>0</v>
      </c>
      <c r="Q68" s="21">
        <f t="shared" si="28"/>
        <v>0</v>
      </c>
      <c r="R68" s="21">
        <f t="shared" si="29"/>
        <v>0</v>
      </c>
      <c r="S68" s="21">
        <f>euro_ppi_2008/VLOOKUP($E68,PPI_table,3,FALSE)*TechnologyDataRaw!P68*euro_rand_2008/100</f>
        <v>0</v>
      </c>
      <c r="T68" s="21">
        <f>euro_ppi_2008/VLOOKUP($E68,PPI_table,3,FALSE)*TechnologyDataRaw!Q68*euro_rand_2008/100</f>
        <v>0</v>
      </c>
      <c r="U68" s="21">
        <f>euro_ppi_2008/VLOOKUP($E68,PPI_table,3,FALSE)*TechnologyDataRaw!R68*euro_rand_2008/100</f>
        <v>0</v>
      </c>
      <c r="W68">
        <f t="shared" si="31"/>
        <v>21.740000000000002</v>
      </c>
      <c r="X68">
        <f t="shared" si="31"/>
        <v>21.74</v>
      </c>
      <c r="Y68">
        <f t="shared" si="31"/>
        <v>21.74</v>
      </c>
    </row>
    <row r="69" spans="1:25">
      <c r="A69" t="str">
        <f t="shared" si="20"/>
        <v>Nuclear Pebble-Bed Modular Reactor</v>
      </c>
      <c r="D69">
        <f t="shared" si="21"/>
        <v>12</v>
      </c>
      <c r="E69">
        <f t="shared" si="22"/>
        <v>2007</v>
      </c>
      <c r="G69">
        <f t="shared" si="23"/>
        <v>2880</v>
      </c>
      <c r="H69">
        <f t="shared" si="23"/>
        <v>77.548571428571435</v>
      </c>
      <c r="I69">
        <f t="shared" si="23"/>
        <v>13.142857142857146</v>
      </c>
      <c r="J69">
        <f t="shared" si="24"/>
        <v>3082.4570861629209</v>
      </c>
      <c r="K69">
        <f t="shared" si="25"/>
        <v>9.2222277593291437</v>
      </c>
      <c r="L69">
        <f t="shared" si="26"/>
        <v>1.5629742720843736</v>
      </c>
      <c r="M69">
        <f>us_ppi_2008/VLOOKUP($E69,PPI_table,2,FALSE)*TechnologyDataRaw!J69*US_rand_2008/100</f>
        <v>25505.458132888234</v>
      </c>
      <c r="N69">
        <f>us_ppi_2008/VLOOKUP($E69,PPI_table,2,FALSE)*TechnologyDataRaw!K69*US_rand_2008/100</f>
        <v>76.308327231354994</v>
      </c>
      <c r="O69">
        <f>us_ppi_2008/VLOOKUP($E69,PPI_table,2,FALSE)*TechnologyDataRaw!L69*US_rand_2008/100</f>
        <v>12.932661751684952</v>
      </c>
      <c r="P69" s="21">
        <f t="shared" si="27"/>
        <v>0</v>
      </c>
      <c r="Q69" s="21">
        <f t="shared" si="28"/>
        <v>0</v>
      </c>
      <c r="R69" s="21">
        <f t="shared" si="29"/>
        <v>0</v>
      </c>
      <c r="S69" s="21">
        <f>euro_ppi_2008/VLOOKUP($E69,PPI_table,3,FALSE)*TechnologyDataRaw!P69*euro_rand_2008/100</f>
        <v>0</v>
      </c>
      <c r="T69" s="21">
        <f>euro_ppi_2008/VLOOKUP($E69,PPI_table,3,FALSE)*TechnologyDataRaw!Q69*euro_rand_2008/100</f>
        <v>0</v>
      </c>
      <c r="U69" s="21">
        <f>euro_ppi_2008/VLOOKUP($E69,PPI_table,3,FALSE)*TechnologyDataRaw!R69*euro_rand_2008/100</f>
        <v>0</v>
      </c>
      <c r="W69">
        <f>S69+M69+G69</f>
        <v>28385.458132888234</v>
      </c>
      <c r="X69">
        <f>T69+N69+H69</f>
        <v>153.85689865992643</v>
      </c>
      <c r="Y69">
        <f>U69+O69+I69</f>
        <v>26.0755188945421</v>
      </c>
    </row>
    <row r="70" spans="1:25">
      <c r="A70" t="str">
        <f t="shared" si="20"/>
        <v>Open-Cycle Gas Turbine diesel</v>
      </c>
      <c r="D70">
        <f t="shared" si="21"/>
        <v>10</v>
      </c>
      <c r="E70">
        <f t="shared" si="22"/>
        <v>2007</v>
      </c>
      <c r="G70">
        <f t="shared" ref="G70:I83" si="33">G30*VLOOKUP($E70,PPI_table,$D70,FALSE)/100*G$7*sa_ppi_2008/VLOOKUP($E70,PPI_table,5,FALSE)</f>
        <v>563.3947047619049</v>
      </c>
      <c r="H70">
        <f t="shared" si="33"/>
        <v>50.915745333333327</v>
      </c>
      <c r="I70">
        <f t="shared" si="33"/>
        <v>15.009844000000001</v>
      </c>
      <c r="J70">
        <f t="shared" si="24"/>
        <v>603</v>
      </c>
      <c r="K70">
        <f t="shared" si="25"/>
        <v>6.0549999999999988</v>
      </c>
      <c r="L70">
        <f t="shared" si="26"/>
        <v>1.7849999999999999</v>
      </c>
      <c r="M70">
        <f>us_ppi_2008/VLOOKUP($E70,PPI_table,2,FALSE)*TechnologyDataRaw!J70*US_rand_2008/100</f>
        <v>4989.4583522901703</v>
      </c>
      <c r="N70">
        <f>us_ppi_2008/VLOOKUP($E70,PPI_table,2,FALSE)*TechnologyDataRaw!K70*US_rand_2008/100</f>
        <v>50.101443321918694</v>
      </c>
      <c r="O70">
        <f>us_ppi_2008/VLOOKUP($E70,PPI_table,2,FALSE)*TechnologyDataRaw!L70*US_rand_2008/100</f>
        <v>14.769789649814186</v>
      </c>
      <c r="P70" s="21">
        <f t="shared" si="27"/>
        <v>0</v>
      </c>
      <c r="Q70" s="21">
        <f t="shared" si="28"/>
        <v>0</v>
      </c>
      <c r="R70" s="21">
        <f t="shared" si="29"/>
        <v>0</v>
      </c>
      <c r="S70" s="21">
        <f>euro_ppi_2008/VLOOKUP($E70,PPI_table,3,FALSE)*TechnologyDataRaw!P70*euro_rand_2008/100</f>
        <v>0</v>
      </c>
      <c r="T70" s="21">
        <f>euro_ppi_2008/VLOOKUP($E70,PPI_table,3,FALSE)*TechnologyDataRaw!Q70*euro_rand_2008/100</f>
        <v>0</v>
      </c>
      <c r="U70" s="21">
        <f>euro_ppi_2008/VLOOKUP($E70,PPI_table,3,FALSE)*TechnologyDataRaw!R70*euro_rand_2008/100</f>
        <v>0</v>
      </c>
      <c r="W70">
        <f t="shared" si="31"/>
        <v>5552.8530570520752</v>
      </c>
      <c r="X70">
        <f t="shared" si="31"/>
        <v>101.01718865525203</v>
      </c>
      <c r="Y70">
        <f t="shared" si="31"/>
        <v>29.779633649814187</v>
      </c>
    </row>
    <row r="71" spans="1:25">
      <c r="A71" t="str">
        <f t="shared" si="20"/>
        <v>Open-Cycle Gas Turbine diesel</v>
      </c>
      <c r="D71">
        <f t="shared" si="21"/>
        <v>12</v>
      </c>
      <c r="E71">
        <f t="shared" si="22"/>
        <v>2007</v>
      </c>
      <c r="G71">
        <f t="shared" si="33"/>
        <v>368.00000000000006</v>
      </c>
      <c r="H71">
        <f t="shared" si="33"/>
        <v>60.000000000000007</v>
      </c>
      <c r="I71">
        <f t="shared" si="33"/>
        <v>8.8000000000000007</v>
      </c>
      <c r="J71">
        <f t="shared" si="24"/>
        <v>393.86951656526213</v>
      </c>
      <c r="K71">
        <f t="shared" si="25"/>
        <v>7.1353173290808352</v>
      </c>
      <c r="L71">
        <f t="shared" si="26"/>
        <v>1.0465132082651891</v>
      </c>
      <c r="M71">
        <f>us_ppi_2008/VLOOKUP($E71,PPI_table,2,FALSE)*TechnologyDataRaw!J71*US_rand_2008/100</f>
        <v>3259.030761424608</v>
      </c>
      <c r="N71">
        <f>us_ppi_2008/VLOOKUP($E71,PPI_table,2,FALSE)*TechnologyDataRaw!K71*US_rand_2008/100</f>
        <v>59.040412344648693</v>
      </c>
      <c r="O71">
        <f>us_ppi_2008/VLOOKUP($E71,PPI_table,2,FALSE)*TechnologyDataRaw!L71*US_rand_2008/100</f>
        <v>8.65926047721514</v>
      </c>
      <c r="P71" s="21">
        <f t="shared" si="27"/>
        <v>0</v>
      </c>
      <c r="Q71" s="21">
        <f t="shared" si="28"/>
        <v>0</v>
      </c>
      <c r="R71" s="21">
        <f t="shared" si="29"/>
        <v>0</v>
      </c>
      <c r="S71" s="21">
        <f>euro_ppi_2008/VLOOKUP($E71,PPI_table,3,FALSE)*TechnologyDataRaw!P71*euro_rand_2008/100</f>
        <v>0</v>
      </c>
      <c r="T71" s="21">
        <f>euro_ppi_2008/VLOOKUP($E71,PPI_table,3,FALSE)*TechnologyDataRaw!Q71*euro_rand_2008/100</f>
        <v>0</v>
      </c>
      <c r="U71" s="21">
        <f>euro_ppi_2008/VLOOKUP($E71,PPI_table,3,FALSE)*TechnologyDataRaw!R71*euro_rand_2008/100</f>
        <v>0</v>
      </c>
      <c r="W71">
        <f t="shared" si="31"/>
        <v>3627.030761424608</v>
      </c>
      <c r="X71">
        <f t="shared" si="31"/>
        <v>119.0404123446487</v>
      </c>
      <c r="Y71">
        <f t="shared" si="31"/>
        <v>17.459260477215139</v>
      </c>
    </row>
    <row r="72" spans="1:25">
      <c r="A72" t="str">
        <f t="shared" si="20"/>
        <v>Pumped Storage</v>
      </c>
      <c r="D72">
        <f t="shared" si="21"/>
        <v>12</v>
      </c>
      <c r="E72">
        <f t="shared" si="22"/>
        <v>2007</v>
      </c>
      <c r="G72">
        <f t="shared" si="33"/>
        <v>896.00000000000011</v>
      </c>
      <c r="H72">
        <f t="shared" si="33"/>
        <v>29.142857142857149</v>
      </c>
      <c r="I72">
        <f t="shared" si="33"/>
        <v>0</v>
      </c>
      <c r="J72">
        <f t="shared" si="24"/>
        <v>958.98664902846429</v>
      </c>
      <c r="K72">
        <f t="shared" si="25"/>
        <v>3.4657255598392629</v>
      </c>
      <c r="L72">
        <f t="shared" si="26"/>
        <v>0</v>
      </c>
      <c r="M72">
        <f>us_ppi_2008/VLOOKUP($E72,PPI_table,2,FALSE)*TechnologyDataRaw!J72*US_rand_2008/100</f>
        <v>7935.0314191207844</v>
      </c>
      <c r="N72">
        <f>us_ppi_2008/VLOOKUP($E72,PPI_table,2,FALSE)*TechnologyDataRaw!K72*US_rand_2008/100</f>
        <v>28.676771710257935</v>
      </c>
      <c r="O72">
        <f>us_ppi_2008/VLOOKUP($E72,PPI_table,2,FALSE)*TechnologyDataRaw!L72*US_rand_2008/100</f>
        <v>0</v>
      </c>
      <c r="P72" s="21">
        <f t="shared" si="27"/>
        <v>0</v>
      </c>
      <c r="Q72" s="21">
        <f t="shared" si="28"/>
        <v>0</v>
      </c>
      <c r="R72" s="21">
        <f t="shared" si="29"/>
        <v>0</v>
      </c>
      <c r="S72" s="21">
        <f>euro_ppi_2008/VLOOKUP($E72,PPI_table,3,FALSE)*TechnologyDataRaw!P72*euro_rand_2008/100</f>
        <v>0</v>
      </c>
      <c r="T72" s="21">
        <f>euro_ppi_2008/VLOOKUP($E72,PPI_table,3,FALSE)*TechnologyDataRaw!Q72*euro_rand_2008/100</f>
        <v>0</v>
      </c>
      <c r="U72" s="21">
        <f>euro_ppi_2008/VLOOKUP($E72,PPI_table,3,FALSE)*TechnologyDataRaw!R72*euro_rand_2008/100</f>
        <v>0</v>
      </c>
      <c r="W72">
        <f t="shared" si="31"/>
        <v>8831.0314191207854</v>
      </c>
      <c r="X72">
        <f t="shared" si="31"/>
        <v>57.819628853115084</v>
      </c>
      <c r="Y72">
        <f t="shared" si="31"/>
        <v>0</v>
      </c>
    </row>
    <row r="73" spans="1:25">
      <c r="A73" t="str">
        <f t="shared" si="20"/>
        <v>Solar Central Receiver</v>
      </c>
      <c r="D73">
        <f t="shared" si="21"/>
        <v>10</v>
      </c>
      <c r="E73">
        <f t="shared" si="22"/>
        <v>2007</v>
      </c>
      <c r="G73">
        <f t="shared" si="33"/>
        <v>4222.0967352380958</v>
      </c>
      <c r="H73">
        <f t="shared" si="33"/>
        <v>238.72799504761906</v>
      </c>
      <c r="I73">
        <f t="shared" si="33"/>
        <v>0</v>
      </c>
      <c r="J73">
        <f t="shared" si="24"/>
        <v>4518.9000000000005</v>
      </c>
      <c r="K73">
        <f t="shared" si="25"/>
        <v>28.39</v>
      </c>
      <c r="L73">
        <f t="shared" si="26"/>
        <v>0</v>
      </c>
      <c r="M73">
        <f>us_ppi_2008/VLOOKUP($E73,PPI_table,2,FALSE)*TechnologyDataRaw!J73*US_rand_2008/100</f>
        <v>37391.149831117829</v>
      </c>
      <c r="N73">
        <f>us_ppi_2008/VLOOKUP($E73,PPI_table,2,FALSE)*TechnologyDataRaw!K73*US_rand_2008/100</f>
        <v>234.90998776371131</v>
      </c>
      <c r="O73">
        <f>us_ppi_2008/VLOOKUP($E73,PPI_table,2,FALSE)*TechnologyDataRaw!L73*US_rand_2008/100</f>
        <v>0</v>
      </c>
      <c r="P73" s="21">
        <f t="shared" si="27"/>
        <v>0</v>
      </c>
      <c r="Q73" s="21">
        <f t="shared" si="28"/>
        <v>0</v>
      </c>
      <c r="R73" s="21">
        <f t="shared" si="29"/>
        <v>0</v>
      </c>
      <c r="S73" s="21">
        <f>euro_ppi_2008/VLOOKUP($E73,PPI_table,3,FALSE)*TechnologyDataRaw!P73*euro_rand_2008/100</f>
        <v>0</v>
      </c>
      <c r="T73" s="21">
        <f>euro_ppi_2008/VLOOKUP($E73,PPI_table,3,FALSE)*TechnologyDataRaw!Q73*euro_rand_2008/100</f>
        <v>0</v>
      </c>
      <c r="U73" s="21">
        <f>euro_ppi_2008/VLOOKUP($E73,PPI_table,3,FALSE)*TechnologyDataRaw!R73*euro_rand_2008/100</f>
        <v>0</v>
      </c>
      <c r="W73">
        <f t="shared" si="31"/>
        <v>41613.246566355927</v>
      </c>
      <c r="X73">
        <f t="shared" si="31"/>
        <v>473.6379828113304</v>
      </c>
      <c r="Y73">
        <f t="shared" si="31"/>
        <v>0</v>
      </c>
    </row>
    <row r="74" spans="1:25">
      <c r="A74" t="str">
        <f t="shared" si="20"/>
        <v>Solar Central Receiver</v>
      </c>
      <c r="D74">
        <f t="shared" si="21"/>
        <v>12</v>
      </c>
      <c r="E74">
        <f t="shared" si="22"/>
        <v>2007</v>
      </c>
      <c r="G74">
        <f t="shared" si="33"/>
        <v>2240</v>
      </c>
      <c r="H74">
        <f t="shared" si="33"/>
        <v>208</v>
      </c>
      <c r="I74">
        <f t="shared" si="33"/>
        <v>0</v>
      </c>
      <c r="J74">
        <f t="shared" si="24"/>
        <v>2397.4666225711608</v>
      </c>
      <c r="K74">
        <f t="shared" si="25"/>
        <v>24.735766740813563</v>
      </c>
      <c r="L74">
        <f t="shared" si="26"/>
        <v>0</v>
      </c>
      <c r="M74">
        <f>us_ppi_2008/VLOOKUP($E74,PPI_table,2,FALSE)*TechnologyDataRaw!J74*US_rand_2008/100</f>
        <v>19837.578547801961</v>
      </c>
      <c r="N74">
        <f>us_ppi_2008/VLOOKUP($E74,PPI_table,2,FALSE)*TechnologyDataRaw!K74*US_rand_2008/100</f>
        <v>204.67342946144882</v>
      </c>
      <c r="O74">
        <f>us_ppi_2008/VLOOKUP($E74,PPI_table,2,FALSE)*TechnologyDataRaw!L74*US_rand_2008/100</f>
        <v>0</v>
      </c>
      <c r="P74" s="21">
        <f t="shared" si="27"/>
        <v>0</v>
      </c>
      <c r="Q74" s="21">
        <f t="shared" si="28"/>
        <v>0</v>
      </c>
      <c r="R74" s="21">
        <f t="shared" si="29"/>
        <v>0</v>
      </c>
      <c r="S74" s="21">
        <f>euro_ppi_2008/VLOOKUP($E74,PPI_table,3,FALSE)*TechnologyDataRaw!P74*euro_rand_2008/100</f>
        <v>0</v>
      </c>
      <c r="T74" s="21">
        <f>euro_ppi_2008/VLOOKUP($E74,PPI_table,3,FALSE)*TechnologyDataRaw!Q74*euro_rand_2008/100</f>
        <v>0</v>
      </c>
      <c r="U74" s="21">
        <f>euro_ppi_2008/VLOOKUP($E74,PPI_table,3,FALSE)*TechnologyDataRaw!R74*euro_rand_2008/100</f>
        <v>0</v>
      </c>
      <c r="W74">
        <f t="shared" si="31"/>
        <v>22077.578547801961</v>
      </c>
      <c r="X74">
        <f t="shared" si="31"/>
        <v>412.67342946144879</v>
      </c>
      <c r="Y74">
        <f t="shared" si="31"/>
        <v>0</v>
      </c>
    </row>
    <row r="75" spans="1:25">
      <c r="A75" t="str">
        <f>B34</f>
        <v>Solar Central Receiver</v>
      </c>
      <c r="D75">
        <f t="shared" si="21"/>
        <v>10</v>
      </c>
      <c r="E75">
        <f t="shared" si="22"/>
        <v>2007</v>
      </c>
      <c r="G75">
        <f t="shared" si="33"/>
        <v>6333.1451028571446</v>
      </c>
      <c r="H75">
        <f t="shared" si="33"/>
        <v>238.72799504761906</v>
      </c>
      <c r="I75">
        <f t="shared" si="33"/>
        <v>0</v>
      </c>
      <c r="J75">
        <f t="shared" si="24"/>
        <v>6778.35</v>
      </c>
      <c r="K75">
        <f t="shared" si="25"/>
        <v>28.39</v>
      </c>
      <c r="L75">
        <f t="shared" si="26"/>
        <v>0</v>
      </c>
      <c r="M75">
        <f>us_ppi_2008/VLOOKUP($E75,PPI_table,2,FALSE)*TechnologyDataRaw!J75*US_rand_2008/100</f>
        <v>56086.724746676751</v>
      </c>
      <c r="N75">
        <f>us_ppi_2008/VLOOKUP($E75,PPI_table,2,FALSE)*TechnologyDataRaw!K75*US_rand_2008/100</f>
        <v>234.90998776371131</v>
      </c>
      <c r="O75">
        <f>us_ppi_2008/VLOOKUP($E75,PPI_table,2,FALSE)*TechnologyDataRaw!L75*US_rand_2008/100</f>
        <v>0</v>
      </c>
      <c r="P75" s="21">
        <f t="shared" si="27"/>
        <v>0</v>
      </c>
      <c r="Q75" s="21">
        <f t="shared" si="28"/>
        <v>0</v>
      </c>
      <c r="R75" s="21">
        <f t="shared" si="29"/>
        <v>0</v>
      </c>
      <c r="S75" s="21">
        <f>euro_ppi_2008/VLOOKUP($E75,PPI_table,3,FALSE)*TechnologyDataRaw!P75*euro_rand_2008/100</f>
        <v>0</v>
      </c>
      <c r="T75" s="21">
        <f>euro_ppi_2008/VLOOKUP($E75,PPI_table,3,FALSE)*TechnologyDataRaw!Q75*euro_rand_2008/100</f>
        <v>0</v>
      </c>
      <c r="U75" s="21">
        <f>euro_ppi_2008/VLOOKUP($E75,PPI_table,3,FALSE)*TechnologyDataRaw!R75*euro_rand_2008/100</f>
        <v>0</v>
      </c>
      <c r="W75">
        <f t="shared" ref="W75" si="34">S75+M75+G75</f>
        <v>62419.869849533898</v>
      </c>
      <c r="X75">
        <f t="shared" ref="X75" si="35">T75+N75+H75</f>
        <v>473.6379828113304</v>
      </c>
      <c r="Y75">
        <f t="shared" ref="Y75" si="36">U75+O75+I75</f>
        <v>0</v>
      </c>
    </row>
    <row r="76" spans="1:25">
      <c r="A76" t="str">
        <f t="shared" ref="A76:A77" si="37">B36</f>
        <v>Solar Photovoltaic</v>
      </c>
      <c r="D76">
        <f t="shared" ref="D76:D83" si="38">VLOOKUP(D36,look_col,3,FALSE)</f>
        <v>10</v>
      </c>
      <c r="E76">
        <f t="shared" ref="E76:E83" si="39">E36</f>
        <v>2007</v>
      </c>
      <c r="G76">
        <f t="shared" si="33"/>
        <v>5077.2794438095243</v>
      </c>
      <c r="H76">
        <f t="shared" si="33"/>
        <v>49.10783695238095</v>
      </c>
      <c r="I76">
        <f t="shared" si="33"/>
        <v>0</v>
      </c>
      <c r="J76">
        <f t="shared" si="24"/>
        <v>5434.2</v>
      </c>
      <c r="K76">
        <f t="shared" si="25"/>
        <v>5.84</v>
      </c>
      <c r="L76">
        <f t="shared" si="26"/>
        <v>0</v>
      </c>
      <c r="M76">
        <f>us_ppi_2008/VLOOKUP($E76,PPI_table,2,FALSE)*TechnologyDataRaw!J76*US_rand_2008/100</f>
        <v>44964.700792728428</v>
      </c>
      <c r="N76">
        <f>us_ppi_2008/VLOOKUP($E76,PPI_table,2,FALSE)*TechnologyDataRaw!K76*US_rand_2008/100</f>
        <v>48.322449050372462</v>
      </c>
      <c r="O76">
        <f>us_ppi_2008/VLOOKUP($E76,PPI_table,2,FALSE)*TechnologyDataRaw!L76*US_rand_2008/100</f>
        <v>0</v>
      </c>
      <c r="P76" s="21">
        <f t="shared" si="27"/>
        <v>0</v>
      </c>
      <c r="Q76" s="21">
        <f t="shared" si="28"/>
        <v>0</v>
      </c>
      <c r="R76" s="21">
        <f t="shared" si="29"/>
        <v>0</v>
      </c>
      <c r="S76" s="21">
        <f>euro_ppi_2008/VLOOKUP($E76,PPI_table,3,FALSE)*TechnologyDataRaw!P76*euro_rand_2008/100</f>
        <v>0</v>
      </c>
      <c r="T76" s="21">
        <f>euro_ppi_2008/VLOOKUP($E76,PPI_table,3,FALSE)*TechnologyDataRaw!Q76*euro_rand_2008/100</f>
        <v>0</v>
      </c>
      <c r="U76" s="21">
        <f>euro_ppi_2008/VLOOKUP($E76,PPI_table,3,FALSE)*TechnologyDataRaw!R76*euro_rand_2008/100</f>
        <v>0</v>
      </c>
      <c r="W76">
        <f t="shared" si="31"/>
        <v>50041.980236537951</v>
      </c>
      <c r="X76">
        <f t="shared" si="31"/>
        <v>97.430286002753405</v>
      </c>
      <c r="Y76">
        <f t="shared" si="31"/>
        <v>0</v>
      </c>
    </row>
    <row r="77" spans="1:25">
      <c r="A77" t="str">
        <f t="shared" si="37"/>
        <v>Solar Parabolic Trough</v>
      </c>
      <c r="D77">
        <f t="shared" si="38"/>
        <v>10</v>
      </c>
      <c r="E77">
        <f t="shared" si="39"/>
        <v>2007</v>
      </c>
      <c r="G77">
        <f t="shared" si="33"/>
        <v>4222.0967352380958</v>
      </c>
      <c r="H77">
        <f t="shared" si="33"/>
        <v>238.72799504761906</v>
      </c>
      <c r="I77">
        <f t="shared" si="33"/>
        <v>0</v>
      </c>
      <c r="J77">
        <f t="shared" si="24"/>
        <v>4518.9000000000005</v>
      </c>
      <c r="K77">
        <f t="shared" si="25"/>
        <v>28.39</v>
      </c>
      <c r="L77">
        <f t="shared" si="26"/>
        <v>0</v>
      </c>
      <c r="M77">
        <f>us_ppi_2008/VLOOKUP($E77,PPI_table,2,FALSE)*TechnologyDataRaw!J77*US_rand_2008/100</f>
        <v>37391.149831117829</v>
      </c>
      <c r="N77">
        <f>us_ppi_2008/VLOOKUP($E77,PPI_table,2,FALSE)*TechnologyDataRaw!K77*US_rand_2008/100</f>
        <v>234.90998776371131</v>
      </c>
      <c r="O77">
        <f>us_ppi_2008/VLOOKUP($E77,PPI_table,2,FALSE)*TechnologyDataRaw!L77*US_rand_2008/100</f>
        <v>0</v>
      </c>
      <c r="P77" s="21">
        <f t="shared" si="27"/>
        <v>0</v>
      </c>
      <c r="Q77" s="21">
        <f t="shared" si="28"/>
        <v>0</v>
      </c>
      <c r="R77" s="21">
        <f t="shared" si="29"/>
        <v>0</v>
      </c>
      <c r="S77" s="21">
        <f>euro_ppi_2008/VLOOKUP($E77,PPI_table,3,FALSE)*TechnologyDataRaw!P77*euro_rand_2008/100</f>
        <v>0</v>
      </c>
      <c r="T77" s="21">
        <f>euro_ppi_2008/VLOOKUP($E77,PPI_table,3,FALSE)*TechnologyDataRaw!Q77*euro_rand_2008/100</f>
        <v>0</v>
      </c>
      <c r="U77" s="21">
        <f>euro_ppi_2008/VLOOKUP($E77,PPI_table,3,FALSE)*TechnologyDataRaw!R77*euro_rand_2008/100</f>
        <v>0</v>
      </c>
      <c r="W77">
        <f t="shared" ref="W77:Y78" si="40">S77+M77+G77</f>
        <v>41613.246566355927</v>
      </c>
      <c r="X77">
        <f t="shared" si="40"/>
        <v>473.6379828113304</v>
      </c>
      <c r="Y77">
        <f t="shared" si="40"/>
        <v>0</v>
      </c>
    </row>
    <row r="78" spans="1:25">
      <c r="A78" s="11" t="s">
        <v>96</v>
      </c>
      <c r="D78">
        <f t="shared" si="38"/>
        <v>10</v>
      </c>
      <c r="E78">
        <f t="shared" si="39"/>
        <v>2007</v>
      </c>
      <c r="G78">
        <f t="shared" si="33"/>
        <v>0.84088761904761933</v>
      </c>
      <c r="H78">
        <f t="shared" si="33"/>
        <v>4.2044380952380953</v>
      </c>
      <c r="I78">
        <f t="shared" si="33"/>
        <v>4.2044380952380953</v>
      </c>
      <c r="J78">
        <f t="shared" si="24"/>
        <v>0.9</v>
      </c>
      <c r="K78">
        <f t="shared" si="25"/>
        <v>0.5</v>
      </c>
      <c r="L78">
        <f t="shared" si="26"/>
        <v>0.5</v>
      </c>
      <c r="M78">
        <f>us_ppi_2008/VLOOKUP($E78,PPI_table,2,FALSE)*TechnologyDataRaw!J78*US_rand_2008/100</f>
        <v>7.4469527646121945</v>
      </c>
      <c r="N78">
        <f>us_ppi_2008/VLOOKUP($E78,PPI_table,2,FALSE)*TechnologyDataRaw!K78*US_rand_2008/100</f>
        <v>4.1371959803401079</v>
      </c>
      <c r="O78">
        <f>us_ppi_2008/VLOOKUP($E78,PPI_table,2,FALSE)*TechnologyDataRaw!L78*US_rand_2008/100</f>
        <v>4.1371959803401079</v>
      </c>
      <c r="P78" s="21">
        <f t="shared" si="27"/>
        <v>0</v>
      </c>
      <c r="Q78" s="21">
        <f t="shared" si="28"/>
        <v>0</v>
      </c>
      <c r="R78" s="21">
        <f t="shared" si="29"/>
        <v>0</v>
      </c>
      <c r="S78" s="21">
        <f>euro_ppi_2008/VLOOKUP($E78,PPI_table,3,FALSE)*TechnologyDataRaw!P78*euro_rand_2008/100</f>
        <v>0</v>
      </c>
      <c r="T78" s="21">
        <f>euro_ppi_2008/VLOOKUP($E78,PPI_table,3,FALSE)*TechnologyDataRaw!Q78*euro_rand_2008/100</f>
        <v>0</v>
      </c>
      <c r="U78" s="21">
        <f>euro_ppi_2008/VLOOKUP($E78,PPI_table,3,FALSE)*TechnologyDataRaw!R78*euro_rand_2008/100</f>
        <v>0</v>
      </c>
      <c r="W78">
        <f t="shared" si="40"/>
        <v>8.2878403836598142</v>
      </c>
      <c r="X78">
        <f t="shared" si="40"/>
        <v>8.3416340755782024</v>
      </c>
      <c r="Y78">
        <f t="shared" si="40"/>
        <v>8.3416340755782024</v>
      </c>
    </row>
    <row r="79" spans="1:25">
      <c r="A79" t="str">
        <f>B39</f>
        <v>Supercritical Coal</v>
      </c>
      <c r="D79">
        <f t="shared" si="38"/>
        <v>10</v>
      </c>
      <c r="E79">
        <f t="shared" si="39"/>
        <v>2007</v>
      </c>
      <c r="G79">
        <f t="shared" si="33"/>
        <v>1730.5467200000003</v>
      </c>
      <c r="H79">
        <f t="shared" si="33"/>
        <v>115.74818076190476</v>
      </c>
      <c r="I79">
        <f t="shared" si="33"/>
        <v>19.29837085714286</v>
      </c>
      <c r="J79">
        <f t="shared" si="24"/>
        <v>1852.1999999999998</v>
      </c>
      <c r="K79">
        <f t="shared" si="25"/>
        <v>13.765000000000001</v>
      </c>
      <c r="L79">
        <f t="shared" si="26"/>
        <v>2.2949999999999999</v>
      </c>
      <c r="M79">
        <f>us_ppi_2008/VLOOKUP($E79,PPI_table,2,FALSE)*TechnologyDataRaw!J79*US_rand_2008/100</f>
        <v>15325.828789571893</v>
      </c>
      <c r="N79">
        <f>us_ppi_2008/VLOOKUP($E79,PPI_table,2,FALSE)*TechnologyDataRaw!K79*US_rand_2008/100</f>
        <v>113.89700533876318</v>
      </c>
      <c r="O79">
        <f>us_ppi_2008/VLOOKUP($E79,PPI_table,2,FALSE)*TechnologyDataRaw!L79*US_rand_2008/100</f>
        <v>18.989729549761094</v>
      </c>
      <c r="P79" s="21">
        <f t="shared" si="27"/>
        <v>0</v>
      </c>
      <c r="Q79" s="21">
        <f t="shared" si="28"/>
        <v>0</v>
      </c>
      <c r="R79" s="21">
        <f t="shared" si="29"/>
        <v>0</v>
      </c>
      <c r="S79" s="21">
        <f>euro_ppi_2008/VLOOKUP($E79,PPI_table,3,FALSE)*TechnologyDataRaw!P79*euro_rand_2008/100</f>
        <v>0</v>
      </c>
      <c r="T79" s="21">
        <f>euro_ppi_2008/VLOOKUP($E79,PPI_table,3,FALSE)*TechnologyDataRaw!Q79*euro_rand_2008/100</f>
        <v>0</v>
      </c>
      <c r="U79" s="21">
        <f>euro_ppi_2008/VLOOKUP($E79,PPI_table,3,FALSE)*TechnologyDataRaw!R79*euro_rand_2008/100</f>
        <v>0</v>
      </c>
      <c r="W79">
        <f t="shared" si="31"/>
        <v>17056.375509571895</v>
      </c>
      <c r="X79">
        <f t="shared" si="31"/>
        <v>229.64518610066796</v>
      </c>
      <c r="Y79">
        <f t="shared" si="31"/>
        <v>38.288100406903951</v>
      </c>
    </row>
    <row r="80" spans="1:25">
      <c r="A80" t="str">
        <f>B40</f>
        <v>Supercritical Coal</v>
      </c>
      <c r="D80">
        <f t="shared" si="38"/>
        <v>12</v>
      </c>
      <c r="E80">
        <f t="shared" si="39"/>
        <v>2007</v>
      </c>
      <c r="G80">
        <f t="shared" si="33"/>
        <v>1384.0000000000002</v>
      </c>
      <c r="H80">
        <f t="shared" si="33"/>
        <v>97.142857142857167</v>
      </c>
      <c r="I80">
        <f t="shared" si="33"/>
        <v>7.1142857142857148</v>
      </c>
      <c r="J80">
        <f t="shared" si="24"/>
        <v>1481.2918775171815</v>
      </c>
      <c r="K80">
        <f t="shared" si="25"/>
        <v>11.552418532797542</v>
      </c>
      <c r="L80">
        <f t="shared" si="26"/>
        <v>0.84604476901958481</v>
      </c>
      <c r="M80">
        <f>us_ppi_2008/VLOOKUP($E80,PPI_table,2,FALSE)*TechnologyDataRaw!J80*US_rand_2008/100</f>
        <v>12256.789602749068</v>
      </c>
      <c r="N80">
        <f>us_ppi_2008/VLOOKUP($E80,PPI_table,2,FALSE)*TechnologyDataRaw!K80*US_rand_2008/100</f>
        <v>95.589239034193099</v>
      </c>
      <c r="O80">
        <f>us_ppi_2008/VLOOKUP($E80,PPI_table,2,FALSE)*TechnologyDataRaw!L80*US_rand_2008/100</f>
        <v>7.0005060351512034</v>
      </c>
      <c r="P80" s="21">
        <f t="shared" si="27"/>
        <v>0</v>
      </c>
      <c r="Q80" s="21">
        <f t="shared" si="28"/>
        <v>0</v>
      </c>
      <c r="R80" s="21">
        <f t="shared" si="29"/>
        <v>0</v>
      </c>
      <c r="S80" s="21">
        <f>euro_ppi_2008/VLOOKUP($E80,PPI_table,3,FALSE)*TechnologyDataRaw!P80*euro_rand_2008/100</f>
        <v>0</v>
      </c>
      <c r="T80" s="21">
        <f>euro_ppi_2008/VLOOKUP($E80,PPI_table,3,FALSE)*TechnologyDataRaw!Q80*euro_rand_2008/100</f>
        <v>0</v>
      </c>
      <c r="U80" s="21">
        <f>euro_ppi_2008/VLOOKUP($E80,PPI_table,3,FALSE)*TechnologyDataRaw!R80*euro_rand_2008/100</f>
        <v>0</v>
      </c>
      <c r="W80">
        <f t="shared" si="31"/>
        <v>13640.789602749068</v>
      </c>
      <c r="X80">
        <f t="shared" si="31"/>
        <v>192.73209617705027</v>
      </c>
      <c r="Y80">
        <f t="shared" si="31"/>
        <v>14.114791749436918</v>
      </c>
    </row>
    <row r="81" spans="1:30">
      <c r="A81" t="str">
        <f>B41</f>
        <v>Supercritical Coal</v>
      </c>
      <c r="D81">
        <f t="shared" si="38"/>
        <v>9</v>
      </c>
      <c r="E81">
        <f t="shared" si="39"/>
        <v>2008</v>
      </c>
      <c r="G81">
        <f t="shared" si="33"/>
        <v>2.1739999999999999</v>
      </c>
      <c r="H81">
        <f t="shared" si="33"/>
        <v>10.87</v>
      </c>
      <c r="I81">
        <f t="shared" si="33"/>
        <v>10.87</v>
      </c>
      <c r="J81">
        <f t="shared" si="24"/>
        <v>2.596555796886681</v>
      </c>
      <c r="K81">
        <f t="shared" si="25"/>
        <v>1.4425309982703782</v>
      </c>
      <c r="L81">
        <f t="shared" si="26"/>
        <v>1.4425309982703782</v>
      </c>
      <c r="M81">
        <f>us_ppi_2008/VLOOKUP($E81,PPI_table,2,FALSE)*TechnologyDataRaw!J81*US_rand_2008/100</f>
        <v>19.566000000000003</v>
      </c>
      <c r="N81">
        <f>us_ppi_2008/VLOOKUP($E81,PPI_table,2,FALSE)*TechnologyDataRaw!K81*US_rand_2008/100</f>
        <v>10.87</v>
      </c>
      <c r="O81">
        <f>us_ppi_2008/VLOOKUP($E81,PPI_table,2,FALSE)*TechnologyDataRaw!L81*US_rand_2008/100</f>
        <v>10.87</v>
      </c>
      <c r="P81" s="21">
        <f t="shared" si="27"/>
        <v>0</v>
      </c>
      <c r="Q81" s="21">
        <f t="shared" si="28"/>
        <v>0</v>
      </c>
      <c r="R81" s="21">
        <f t="shared" si="29"/>
        <v>0</v>
      </c>
      <c r="S81" s="21">
        <f>euro_ppi_2008/VLOOKUP($E81,PPI_table,3,FALSE)*TechnologyDataRaw!P81*euro_rand_2008/100</f>
        <v>0</v>
      </c>
      <c r="T81" s="21">
        <f>euro_ppi_2008/VLOOKUP($E81,PPI_table,3,FALSE)*TechnologyDataRaw!Q81*euro_rand_2008/100</f>
        <v>0</v>
      </c>
      <c r="U81" s="21">
        <f>euro_ppi_2008/VLOOKUP($E81,PPI_table,3,FALSE)*TechnologyDataRaw!R81*euro_rand_2008/100</f>
        <v>0</v>
      </c>
      <c r="W81">
        <f t="shared" si="31"/>
        <v>21.740000000000002</v>
      </c>
      <c r="X81">
        <f t="shared" si="31"/>
        <v>21.74</v>
      </c>
      <c r="Y81">
        <f t="shared" si="31"/>
        <v>21.74</v>
      </c>
    </row>
    <row r="82" spans="1:30">
      <c r="A82" t="str">
        <f>B42</f>
        <v>Wind</v>
      </c>
      <c r="D82">
        <f t="shared" si="38"/>
        <v>10</v>
      </c>
      <c r="E82">
        <f t="shared" si="39"/>
        <v>2007</v>
      </c>
      <c r="G82">
        <f t="shared" si="33"/>
        <v>1617.0268914285718</v>
      </c>
      <c r="H82">
        <f t="shared" si="33"/>
        <v>127.39447428571431</v>
      </c>
      <c r="I82">
        <f t="shared" si="33"/>
        <v>0</v>
      </c>
      <c r="J82">
        <f t="shared" si="24"/>
        <v>1730.7</v>
      </c>
      <c r="K82">
        <f t="shared" si="25"/>
        <v>15.15</v>
      </c>
      <c r="L82">
        <f t="shared" si="26"/>
        <v>0</v>
      </c>
      <c r="M82">
        <f>us_ppi_2008/VLOOKUP($E82,PPI_table,2,FALSE)*TechnologyDataRaw!J82*US_rand_2008/100</f>
        <v>14320.490166349251</v>
      </c>
      <c r="N82">
        <f>us_ppi_2008/VLOOKUP($E82,PPI_table,2,FALSE)*TechnologyDataRaw!K82*US_rand_2008/100</f>
        <v>125.35703820430527</v>
      </c>
      <c r="O82">
        <f>us_ppi_2008/VLOOKUP($E82,PPI_table,2,FALSE)*TechnologyDataRaw!L82*US_rand_2008/100</f>
        <v>0</v>
      </c>
      <c r="P82" s="21">
        <f t="shared" si="27"/>
        <v>0</v>
      </c>
      <c r="Q82" s="21">
        <f t="shared" si="28"/>
        <v>0</v>
      </c>
      <c r="R82" s="21">
        <f t="shared" si="29"/>
        <v>0</v>
      </c>
      <c r="S82" s="21">
        <f>euro_ppi_2008/VLOOKUP($E82,PPI_table,3,FALSE)*TechnologyDataRaw!P82*euro_rand_2008/100</f>
        <v>0</v>
      </c>
      <c r="T82" s="21">
        <f>euro_ppi_2008/VLOOKUP($E82,PPI_table,3,FALSE)*TechnologyDataRaw!Q82*euro_rand_2008/100</f>
        <v>0</v>
      </c>
      <c r="U82" s="21">
        <f>euro_ppi_2008/VLOOKUP($E82,PPI_table,3,FALSE)*TechnologyDataRaw!R82*euro_rand_2008/100</f>
        <v>0</v>
      </c>
      <c r="W82">
        <f t="shared" si="31"/>
        <v>15937.517057777823</v>
      </c>
      <c r="X82">
        <f t="shared" si="31"/>
        <v>252.75151249001959</v>
      </c>
      <c r="Y82">
        <f t="shared" si="31"/>
        <v>0</v>
      </c>
    </row>
    <row r="83" spans="1:30">
      <c r="A83" t="str">
        <f>B43</f>
        <v>Wind</v>
      </c>
      <c r="D83">
        <f t="shared" si="38"/>
        <v>12</v>
      </c>
      <c r="E83">
        <f t="shared" si="39"/>
        <v>2007</v>
      </c>
      <c r="G83">
        <f t="shared" si="33"/>
        <v>1341.7142857142858</v>
      </c>
      <c r="H83">
        <f t="shared" si="33"/>
        <v>96.000000000000014</v>
      </c>
      <c r="I83">
        <f t="shared" si="33"/>
        <v>0</v>
      </c>
      <c r="J83">
        <f t="shared" si="24"/>
        <v>1436.0335790298686</v>
      </c>
      <c r="K83">
        <f t="shared" si="25"/>
        <v>11.416507726529337</v>
      </c>
      <c r="L83">
        <f t="shared" si="26"/>
        <v>0</v>
      </c>
      <c r="M83">
        <f>us_ppi_2008/VLOOKUP($E83,PPI_table,2,FALSE)*TechnologyDataRaw!J83*US_rand_2008/100</f>
        <v>11882.304701591584</v>
      </c>
      <c r="N83">
        <f>us_ppi_2008/VLOOKUP($E83,PPI_table,2,FALSE)*TechnologyDataRaw!K83*US_rand_2008/100</f>
        <v>94.464659751437921</v>
      </c>
      <c r="O83">
        <f>us_ppi_2008/VLOOKUP($E83,PPI_table,2,FALSE)*TechnologyDataRaw!L83*US_rand_2008/100</f>
        <v>0</v>
      </c>
      <c r="P83" s="21">
        <f t="shared" si="27"/>
        <v>0</v>
      </c>
      <c r="Q83" s="21">
        <f t="shared" si="28"/>
        <v>0</v>
      </c>
      <c r="R83" s="21">
        <f t="shared" si="29"/>
        <v>0</v>
      </c>
      <c r="S83" s="21">
        <f>euro_ppi_2008/VLOOKUP($E83,PPI_table,3,FALSE)*TechnologyDataRaw!P83*euro_rand_2008/100</f>
        <v>0</v>
      </c>
      <c r="T83" s="21">
        <f>euro_ppi_2008/VLOOKUP($E83,PPI_table,3,FALSE)*TechnologyDataRaw!Q83*euro_rand_2008/100</f>
        <v>0</v>
      </c>
      <c r="U83" s="21">
        <f>euro_ppi_2008/VLOOKUP($E83,PPI_table,3,FALSE)*TechnologyDataRaw!R83*euro_rand_2008/100</f>
        <v>0</v>
      </c>
      <c r="W83">
        <f t="shared" si="31"/>
        <v>13224.01898730587</v>
      </c>
      <c r="X83">
        <f t="shared" si="31"/>
        <v>190.46465975143792</v>
      </c>
      <c r="Y83">
        <f t="shared" si="31"/>
        <v>0</v>
      </c>
    </row>
    <row r="84" spans="1:30">
      <c r="N84" s="21"/>
      <c r="O84" s="21"/>
      <c r="P84" s="21"/>
      <c r="Q84" s="21"/>
      <c r="R84" s="21"/>
      <c r="S84" s="21"/>
      <c r="T84" s="21"/>
      <c r="U84" s="21"/>
    </row>
    <row r="85" spans="1:30">
      <c r="N85" s="21"/>
      <c r="O85" s="21"/>
      <c r="P85" s="21"/>
      <c r="Q85" s="21"/>
      <c r="R85" s="21"/>
      <c r="S85" s="21"/>
      <c r="T85" s="21"/>
      <c r="U85" s="21"/>
    </row>
    <row r="86" spans="1:30" ht="15">
      <c r="A86" s="17" t="s">
        <v>477</v>
      </c>
      <c r="B86" s="17"/>
      <c r="C86" s="17"/>
      <c r="N86" s="21"/>
      <c r="O86" s="21"/>
      <c r="P86" s="21"/>
      <c r="Q86" s="21"/>
      <c r="R86" s="21"/>
      <c r="S86" s="21"/>
      <c r="T86" s="21"/>
      <c r="U86" s="21"/>
      <c r="AC86" t="s">
        <v>462</v>
      </c>
    </row>
    <row r="87" spans="1:30" ht="15">
      <c r="E87" s="17" t="s">
        <v>478</v>
      </c>
      <c r="R87" s="17" t="s">
        <v>479</v>
      </c>
    </row>
    <row r="88" spans="1:30" ht="15">
      <c r="A88" s="17" t="s">
        <v>14</v>
      </c>
      <c r="B88" s="17"/>
      <c r="C88" s="17"/>
      <c r="E88" s="17">
        <v>-9</v>
      </c>
      <c r="F88" s="17">
        <v>-8</v>
      </c>
      <c r="G88" s="17">
        <v>-7</v>
      </c>
      <c r="H88" s="17">
        <v>-6</v>
      </c>
      <c r="I88" s="17">
        <v>-5</v>
      </c>
      <c r="J88" s="17">
        <v>-4</v>
      </c>
      <c r="K88" s="17">
        <v>-3</v>
      </c>
      <c r="L88" s="17">
        <v>-2</v>
      </c>
      <c r="M88" s="17">
        <v>-1</v>
      </c>
      <c r="N88" s="17">
        <v>0</v>
      </c>
      <c r="P88" s="17" t="s">
        <v>5</v>
      </c>
      <c r="R88" s="17">
        <f t="shared" ref="R88:AA88" si="41">E88</f>
        <v>-9</v>
      </c>
      <c r="S88" s="17">
        <f t="shared" si="41"/>
        <v>-8</v>
      </c>
      <c r="T88" s="17">
        <f t="shared" si="41"/>
        <v>-7</v>
      </c>
      <c r="U88" s="17">
        <f t="shared" si="41"/>
        <v>-6</v>
      </c>
      <c r="V88" s="17">
        <f t="shared" si="41"/>
        <v>-5</v>
      </c>
      <c r="W88" s="17">
        <f t="shared" si="41"/>
        <v>-4</v>
      </c>
      <c r="X88" s="17">
        <f t="shared" si="41"/>
        <v>-3</v>
      </c>
      <c r="Y88" s="17">
        <f t="shared" si="41"/>
        <v>-2</v>
      </c>
      <c r="Z88" s="17">
        <f t="shared" si="41"/>
        <v>-1</v>
      </c>
      <c r="AA88" s="17">
        <f t="shared" si="41"/>
        <v>0</v>
      </c>
      <c r="AC88" s="17" t="s">
        <v>5</v>
      </c>
    </row>
    <row r="89" spans="1:30">
      <c r="A89" t="s">
        <v>72</v>
      </c>
      <c r="D89" t="s">
        <v>175</v>
      </c>
      <c r="E89" s="26">
        <v>0</v>
      </c>
      <c r="F89" s="26">
        <v>0</v>
      </c>
      <c r="G89" s="26">
        <v>0</v>
      </c>
      <c r="H89" s="26">
        <v>0</v>
      </c>
      <c r="I89" s="26">
        <v>0</v>
      </c>
      <c r="J89" s="26">
        <v>0.05</v>
      </c>
      <c r="K89" s="26">
        <v>0.05</v>
      </c>
      <c r="L89" s="26">
        <v>0.09</v>
      </c>
      <c r="M89" s="26">
        <v>0.40500000000000003</v>
      </c>
      <c r="N89" s="26">
        <v>0.40500000000000003</v>
      </c>
      <c r="P89" s="10">
        <f t="shared" ref="P89:P113" si="42">SUM(E89:N89)</f>
        <v>1</v>
      </c>
      <c r="R89" s="26">
        <f t="shared" ref="R89:R113" si="43">E89/(1+disc_rate)^E$88</f>
        <v>0</v>
      </c>
      <c r="S89" s="26">
        <f t="shared" ref="S89:S113" si="44">F89/(1+disc_rate)^F$88</f>
        <v>0</v>
      </c>
      <c r="T89" s="26">
        <f t="shared" ref="T89:T113" si="45">G89/(1+disc_rate)^G$88</f>
        <v>0</v>
      </c>
      <c r="U89" s="26">
        <f t="shared" ref="U89:U113" si="46">H89/(1+disc_rate)^H$88</f>
        <v>0</v>
      </c>
      <c r="V89" s="26">
        <f t="shared" ref="V89:V113" si="47">I89/(1+disc_rate)^I$88</f>
        <v>0</v>
      </c>
      <c r="W89" s="26">
        <f t="shared" ref="W89:W113" si="48">J89/(1+disc_rate)^J$88</f>
        <v>7.320500000000002E-2</v>
      </c>
      <c r="X89" s="26">
        <f t="shared" ref="X89:X113" si="49">K89/(1+disc_rate)^K$88</f>
        <v>6.6550000000000026E-2</v>
      </c>
      <c r="Y89" s="26">
        <f t="shared" ref="Y89:Y113" si="50">L89/(1+disc_rate)^L$88</f>
        <v>0.10890000000000001</v>
      </c>
      <c r="Z89" s="26">
        <f t="shared" ref="Z89:Z113" si="51">M89/(1+disc_rate)^M$88</f>
        <v>0.44550000000000006</v>
      </c>
      <c r="AA89" s="26">
        <f t="shared" ref="AA89:AA113" si="52">N89/(1+disc_rate)^N$88</f>
        <v>0.40500000000000003</v>
      </c>
      <c r="AC89" s="10">
        <f t="shared" ref="AC89:AC113" si="53">SUM(R89:AA89)</f>
        <v>1.0991550000000001</v>
      </c>
      <c r="AD89" s="26"/>
    </row>
    <row r="90" spans="1:30">
      <c r="A90" t="s">
        <v>80</v>
      </c>
      <c r="D90" t="s">
        <v>175</v>
      </c>
      <c r="E90" s="26">
        <v>0</v>
      </c>
      <c r="F90" s="26">
        <v>0</v>
      </c>
      <c r="G90" s="26">
        <v>0</v>
      </c>
      <c r="H90" s="26">
        <v>0</v>
      </c>
      <c r="I90" s="26">
        <v>0</v>
      </c>
      <c r="J90" s="26">
        <v>0</v>
      </c>
      <c r="K90" s="26">
        <v>0</v>
      </c>
      <c r="L90" s="26">
        <v>0.05</v>
      </c>
      <c r="M90" s="26">
        <v>0.2</v>
      </c>
      <c r="N90" s="26">
        <v>0.75</v>
      </c>
      <c r="P90" s="10">
        <f t="shared" si="42"/>
        <v>1</v>
      </c>
      <c r="R90" s="26">
        <f t="shared" si="43"/>
        <v>0</v>
      </c>
      <c r="S90" s="26">
        <f t="shared" si="44"/>
        <v>0</v>
      </c>
      <c r="T90" s="26">
        <f t="shared" si="45"/>
        <v>0</v>
      </c>
      <c r="U90" s="26">
        <f t="shared" si="46"/>
        <v>0</v>
      </c>
      <c r="V90" s="26">
        <f t="shared" si="47"/>
        <v>0</v>
      </c>
      <c r="W90" s="26">
        <f t="shared" si="48"/>
        <v>0</v>
      </c>
      <c r="X90" s="26">
        <f t="shared" si="49"/>
        <v>0</v>
      </c>
      <c r="Y90" s="26">
        <f t="shared" si="50"/>
        <v>6.0500000000000012E-2</v>
      </c>
      <c r="Z90" s="26">
        <f t="shared" si="51"/>
        <v>0.22000000000000003</v>
      </c>
      <c r="AA90" s="26">
        <f t="shared" si="52"/>
        <v>0.75</v>
      </c>
      <c r="AC90" s="10">
        <f t="shared" si="53"/>
        <v>1.0305</v>
      </c>
      <c r="AD90" s="26"/>
    </row>
    <row r="91" spans="1:30" s="21" customFormat="1">
      <c r="A91" t="s">
        <v>95</v>
      </c>
      <c r="B91"/>
      <c r="C91"/>
      <c r="D91" t="s">
        <v>175</v>
      </c>
      <c r="E91" s="26">
        <v>0</v>
      </c>
      <c r="F91" s="26">
        <v>0</v>
      </c>
      <c r="G91" s="26">
        <v>0</v>
      </c>
      <c r="H91" s="26">
        <v>0</v>
      </c>
      <c r="I91" s="26">
        <v>0</v>
      </c>
      <c r="J91" s="26">
        <v>0</v>
      </c>
      <c r="K91" s="26">
        <v>0</v>
      </c>
      <c r="L91" s="26">
        <v>0.05</v>
      </c>
      <c r="M91" s="26">
        <v>0.2</v>
      </c>
      <c r="N91" s="26">
        <v>0.75</v>
      </c>
      <c r="O91"/>
      <c r="P91" s="10">
        <f t="shared" si="42"/>
        <v>1</v>
      </c>
      <c r="R91" s="26">
        <f t="shared" si="43"/>
        <v>0</v>
      </c>
      <c r="S91" s="26">
        <f t="shared" si="44"/>
        <v>0</v>
      </c>
      <c r="T91" s="26">
        <f t="shared" si="45"/>
        <v>0</v>
      </c>
      <c r="U91" s="26">
        <f t="shared" si="46"/>
        <v>0</v>
      </c>
      <c r="V91" s="26">
        <f t="shared" si="47"/>
        <v>0</v>
      </c>
      <c r="W91" s="26">
        <f t="shared" si="48"/>
        <v>0</v>
      </c>
      <c r="X91" s="26">
        <f t="shared" si="49"/>
        <v>0</v>
      </c>
      <c r="Y91" s="26">
        <f t="shared" si="50"/>
        <v>6.0500000000000012E-2</v>
      </c>
      <c r="Z91" s="26">
        <f t="shared" si="51"/>
        <v>0.22000000000000003</v>
      </c>
      <c r="AA91" s="26">
        <f t="shared" si="52"/>
        <v>0.75</v>
      </c>
      <c r="AC91" s="10">
        <f t="shared" si="53"/>
        <v>1.0305</v>
      </c>
      <c r="AD91" s="61"/>
    </row>
    <row r="92" spans="1:30">
      <c r="A92" t="s">
        <v>73</v>
      </c>
      <c r="D92" t="s">
        <v>176</v>
      </c>
      <c r="E92" s="26">
        <v>0</v>
      </c>
      <c r="F92" s="26">
        <v>0</v>
      </c>
      <c r="G92" s="26">
        <v>0</v>
      </c>
      <c r="H92" s="26">
        <v>0</v>
      </c>
      <c r="I92" s="26">
        <v>0.05</v>
      </c>
      <c r="J92" s="26">
        <v>0.05</v>
      </c>
      <c r="K92" s="26">
        <v>1.8000000000000002E-2</v>
      </c>
      <c r="L92" s="26">
        <v>0.35100000000000003</v>
      </c>
      <c r="M92" s="26">
        <v>0.47700000000000004</v>
      </c>
      <c r="N92" s="26">
        <v>5.3999999999999992E-2</v>
      </c>
      <c r="P92" s="10">
        <f t="shared" si="42"/>
        <v>1</v>
      </c>
      <c r="R92" s="26">
        <f t="shared" si="43"/>
        <v>0</v>
      </c>
      <c r="S92" s="26">
        <f t="shared" si="44"/>
        <v>0</v>
      </c>
      <c r="T92" s="26">
        <f t="shared" si="45"/>
        <v>0</v>
      </c>
      <c r="U92" s="26">
        <f t="shared" si="46"/>
        <v>0</v>
      </c>
      <c r="V92" s="26">
        <f t="shared" si="47"/>
        <v>8.0525500000000041E-2</v>
      </c>
      <c r="W92" s="26">
        <f t="shared" si="48"/>
        <v>7.320500000000002E-2</v>
      </c>
      <c r="X92" s="26">
        <f t="shared" si="49"/>
        <v>2.3958000000000011E-2</v>
      </c>
      <c r="Y92" s="26">
        <f t="shared" si="50"/>
        <v>0.42471000000000009</v>
      </c>
      <c r="Z92" s="26">
        <f t="shared" si="51"/>
        <v>0.52470000000000006</v>
      </c>
      <c r="AA92" s="26">
        <f t="shared" si="52"/>
        <v>5.3999999999999992E-2</v>
      </c>
      <c r="AC92" s="10">
        <f t="shared" si="53"/>
        <v>1.1810985000000003</v>
      </c>
      <c r="AD92" s="26"/>
    </row>
    <row r="93" spans="1:30">
      <c r="A93" t="s">
        <v>74</v>
      </c>
      <c r="D93" t="s">
        <v>176</v>
      </c>
      <c r="E93" s="26">
        <v>0</v>
      </c>
      <c r="F93" s="26">
        <v>0</v>
      </c>
      <c r="G93" s="26">
        <v>0</v>
      </c>
      <c r="H93" s="26">
        <v>0</v>
      </c>
      <c r="I93" s="26">
        <v>0.05</v>
      </c>
      <c r="J93" s="26">
        <v>0.05</v>
      </c>
      <c r="K93" s="26">
        <v>1.8000000000000002E-2</v>
      </c>
      <c r="L93" s="26">
        <v>0.35100000000000003</v>
      </c>
      <c r="M93" s="26">
        <v>0.47700000000000004</v>
      </c>
      <c r="N93" s="26">
        <v>5.3999999999999992E-2</v>
      </c>
      <c r="P93" s="10">
        <f t="shared" si="42"/>
        <v>1</v>
      </c>
      <c r="R93" s="26">
        <f t="shared" si="43"/>
        <v>0</v>
      </c>
      <c r="S93" s="26">
        <f t="shared" si="44"/>
        <v>0</v>
      </c>
      <c r="T93" s="26">
        <f t="shared" si="45"/>
        <v>0</v>
      </c>
      <c r="U93" s="26">
        <f t="shared" si="46"/>
        <v>0</v>
      </c>
      <c r="V93" s="26">
        <f t="shared" si="47"/>
        <v>8.0525500000000041E-2</v>
      </c>
      <c r="W93" s="26">
        <f t="shared" si="48"/>
        <v>7.320500000000002E-2</v>
      </c>
      <c r="X93" s="26">
        <f t="shared" si="49"/>
        <v>2.3958000000000011E-2</v>
      </c>
      <c r="Y93" s="26">
        <f t="shared" si="50"/>
        <v>0.42471000000000009</v>
      </c>
      <c r="Z93" s="26">
        <f t="shared" si="51"/>
        <v>0.52470000000000006</v>
      </c>
      <c r="AA93" s="26">
        <f t="shared" si="52"/>
        <v>5.3999999999999992E-2</v>
      </c>
      <c r="AC93" s="10">
        <f t="shared" si="53"/>
        <v>1.1810985000000003</v>
      </c>
      <c r="AD93" s="26"/>
    </row>
    <row r="94" spans="1:30">
      <c r="A94" t="s">
        <v>75</v>
      </c>
      <c r="D94" t="s">
        <v>177</v>
      </c>
      <c r="E94" s="26">
        <v>0</v>
      </c>
      <c r="F94" s="26">
        <v>0</v>
      </c>
      <c r="G94" s="26">
        <v>0</v>
      </c>
      <c r="H94" s="26">
        <v>0.05</v>
      </c>
      <c r="I94" s="26">
        <v>0.05</v>
      </c>
      <c r="J94" s="26">
        <v>4.4999999999999998E-2</v>
      </c>
      <c r="K94" s="26">
        <v>9.9000000000000005E-2</v>
      </c>
      <c r="L94" s="26">
        <v>0.18899999999999997</v>
      </c>
      <c r="M94" s="26">
        <v>0.252</v>
      </c>
      <c r="N94" s="26">
        <v>0.31499999999999995</v>
      </c>
      <c r="P94" s="10">
        <f t="shared" si="42"/>
        <v>1</v>
      </c>
      <c r="R94" s="26">
        <f t="shared" si="43"/>
        <v>0</v>
      </c>
      <c r="S94" s="26">
        <f t="shared" si="44"/>
        <v>0</v>
      </c>
      <c r="T94" s="26">
        <f t="shared" si="45"/>
        <v>0</v>
      </c>
      <c r="U94" s="26">
        <f t="shared" si="46"/>
        <v>8.8578050000000033E-2</v>
      </c>
      <c r="V94" s="26">
        <f t="shared" si="47"/>
        <v>8.0525500000000041E-2</v>
      </c>
      <c r="W94" s="26">
        <f t="shared" si="48"/>
        <v>6.5884500000000012E-2</v>
      </c>
      <c r="X94" s="26">
        <f t="shared" si="49"/>
        <v>0.13176900000000005</v>
      </c>
      <c r="Y94" s="26">
        <f t="shared" si="50"/>
        <v>0.22869</v>
      </c>
      <c r="Z94" s="26">
        <f t="shared" si="51"/>
        <v>0.2772</v>
      </c>
      <c r="AA94" s="26">
        <f t="shared" si="52"/>
        <v>0.31499999999999995</v>
      </c>
      <c r="AC94" s="10">
        <f t="shared" si="53"/>
        <v>1.1876470500000003</v>
      </c>
      <c r="AD94" s="26"/>
    </row>
    <row r="95" spans="1:30">
      <c r="A95" t="s">
        <v>76</v>
      </c>
      <c r="D95" t="s">
        <v>178</v>
      </c>
      <c r="E95" s="26">
        <v>0.05</v>
      </c>
      <c r="F95" s="26">
        <v>0.05</v>
      </c>
      <c r="G95" s="26">
        <v>0.05</v>
      </c>
      <c r="H95" s="26">
        <v>0.05</v>
      </c>
      <c r="I95" s="26">
        <v>0.08</v>
      </c>
      <c r="J95" s="26">
        <v>0.04</v>
      </c>
      <c r="K95" s="26">
        <v>6.4000000000000001E-2</v>
      </c>
      <c r="L95" s="26">
        <v>0.2</v>
      </c>
      <c r="M95" s="26">
        <v>0.2</v>
      </c>
      <c r="N95" s="26">
        <v>0.21600000000000003</v>
      </c>
      <c r="P95" s="10">
        <f t="shared" si="42"/>
        <v>1</v>
      </c>
      <c r="R95" s="26">
        <f t="shared" si="43"/>
        <v>0.11789738455000008</v>
      </c>
      <c r="S95" s="26">
        <f t="shared" si="44"/>
        <v>0.10717944050000007</v>
      </c>
      <c r="T95" s="26">
        <f t="shared" si="45"/>
        <v>9.7435855000000057E-2</v>
      </c>
      <c r="U95" s="26">
        <f t="shared" si="46"/>
        <v>8.8578050000000033E-2</v>
      </c>
      <c r="V95" s="26">
        <f t="shared" si="47"/>
        <v>0.12884080000000006</v>
      </c>
      <c r="W95" s="26">
        <f t="shared" si="48"/>
        <v>5.8564000000000019E-2</v>
      </c>
      <c r="X95" s="26">
        <f t="shared" si="49"/>
        <v>8.5184000000000024E-2</v>
      </c>
      <c r="Y95" s="26">
        <f t="shared" si="50"/>
        <v>0.24200000000000005</v>
      </c>
      <c r="Z95" s="26">
        <f t="shared" si="51"/>
        <v>0.22000000000000003</v>
      </c>
      <c r="AA95" s="26">
        <f t="shared" si="52"/>
        <v>0.21600000000000003</v>
      </c>
      <c r="AC95" s="10">
        <f t="shared" si="53"/>
        <v>1.3616795300500004</v>
      </c>
      <c r="AD95" s="26"/>
    </row>
    <row r="96" spans="1:30">
      <c r="A96" t="s">
        <v>77</v>
      </c>
      <c r="D96" t="s">
        <v>179</v>
      </c>
      <c r="E96" s="26">
        <v>0</v>
      </c>
      <c r="F96" s="26">
        <v>0</v>
      </c>
      <c r="G96" s="26">
        <v>0.05</v>
      </c>
      <c r="H96" s="26">
        <v>0.05</v>
      </c>
      <c r="I96" s="26">
        <v>0.05</v>
      </c>
      <c r="J96" s="26">
        <v>0.05</v>
      </c>
      <c r="K96" s="26">
        <v>0.1</v>
      </c>
      <c r="L96" s="26">
        <v>0.25</v>
      </c>
      <c r="M96" s="26">
        <v>0.25</v>
      </c>
      <c r="N96" s="26">
        <v>0.2</v>
      </c>
      <c r="P96" s="10">
        <f t="shared" si="42"/>
        <v>1</v>
      </c>
      <c r="R96" s="26">
        <f t="shared" si="43"/>
        <v>0</v>
      </c>
      <c r="S96" s="26">
        <f t="shared" si="44"/>
        <v>0</v>
      </c>
      <c r="T96" s="26">
        <f t="shared" si="45"/>
        <v>9.7435855000000057E-2</v>
      </c>
      <c r="U96" s="26">
        <f t="shared" si="46"/>
        <v>8.8578050000000033E-2</v>
      </c>
      <c r="V96" s="26">
        <f t="shared" si="47"/>
        <v>8.0525500000000041E-2</v>
      </c>
      <c r="W96" s="26">
        <f t="shared" si="48"/>
        <v>7.320500000000002E-2</v>
      </c>
      <c r="X96" s="26">
        <f t="shared" si="49"/>
        <v>0.13310000000000005</v>
      </c>
      <c r="Y96" s="26">
        <f t="shared" si="50"/>
        <v>0.30250000000000005</v>
      </c>
      <c r="Z96" s="26">
        <f t="shared" si="51"/>
        <v>0.27500000000000002</v>
      </c>
      <c r="AA96" s="26">
        <f t="shared" si="52"/>
        <v>0.2</v>
      </c>
      <c r="AC96" s="10">
        <f t="shared" si="53"/>
        <v>1.2503444050000001</v>
      </c>
      <c r="AD96" s="26"/>
    </row>
    <row r="97" spans="1:30">
      <c r="A97" s="21" t="s">
        <v>4</v>
      </c>
      <c r="B97" s="21"/>
      <c r="C97" s="21"/>
      <c r="D97" s="21" t="s">
        <v>180</v>
      </c>
      <c r="E97" s="61">
        <v>0</v>
      </c>
      <c r="F97" s="61">
        <v>0</v>
      </c>
      <c r="G97" s="61">
        <v>0</v>
      </c>
      <c r="H97" s="61">
        <v>0</v>
      </c>
      <c r="I97" s="61">
        <v>0</v>
      </c>
      <c r="J97" s="61">
        <v>0</v>
      </c>
      <c r="K97" s="61">
        <v>0</v>
      </c>
      <c r="L97" s="61">
        <v>0.05</v>
      </c>
      <c r="M97" s="61">
        <v>0.2</v>
      </c>
      <c r="N97" s="61">
        <v>0.75</v>
      </c>
      <c r="O97" s="21"/>
      <c r="P97" s="62">
        <f t="shared" si="42"/>
        <v>1</v>
      </c>
      <c r="R97" s="26">
        <f t="shared" si="43"/>
        <v>0</v>
      </c>
      <c r="S97" s="26">
        <f t="shared" si="44"/>
        <v>0</v>
      </c>
      <c r="T97" s="26">
        <f t="shared" si="45"/>
        <v>0</v>
      </c>
      <c r="U97" s="26">
        <f t="shared" si="46"/>
        <v>0</v>
      </c>
      <c r="V97" s="26">
        <f t="shared" si="47"/>
        <v>0</v>
      </c>
      <c r="W97" s="26">
        <f t="shared" si="48"/>
        <v>0</v>
      </c>
      <c r="X97" s="26">
        <f t="shared" si="49"/>
        <v>0</v>
      </c>
      <c r="Y97" s="26">
        <f t="shared" si="50"/>
        <v>6.0500000000000012E-2</v>
      </c>
      <c r="Z97" s="26">
        <f t="shared" si="51"/>
        <v>0.22000000000000003</v>
      </c>
      <c r="AA97" s="26">
        <f t="shared" si="52"/>
        <v>0.75</v>
      </c>
      <c r="AC97" s="62">
        <f t="shared" si="53"/>
        <v>1.0305</v>
      </c>
      <c r="AD97" s="26"/>
    </row>
    <row r="98" spans="1:30">
      <c r="A98" t="s">
        <v>79</v>
      </c>
      <c r="E98" s="26">
        <v>0</v>
      </c>
      <c r="F98" s="26">
        <v>0</v>
      </c>
      <c r="G98" s="26">
        <v>0</v>
      </c>
      <c r="H98" s="26">
        <v>0</v>
      </c>
      <c r="I98" s="26">
        <v>0</v>
      </c>
      <c r="J98" s="26">
        <v>0</v>
      </c>
      <c r="K98" s="26">
        <v>0</v>
      </c>
      <c r="L98" s="26">
        <v>0</v>
      </c>
      <c r="M98" s="26">
        <v>0</v>
      </c>
      <c r="N98" s="26">
        <v>1</v>
      </c>
      <c r="P98" s="10">
        <f t="shared" si="42"/>
        <v>1</v>
      </c>
      <c r="R98" s="26">
        <f t="shared" si="43"/>
        <v>0</v>
      </c>
      <c r="S98" s="26">
        <f t="shared" si="44"/>
        <v>0</v>
      </c>
      <c r="T98" s="26">
        <f t="shared" si="45"/>
        <v>0</v>
      </c>
      <c r="U98" s="26">
        <f t="shared" si="46"/>
        <v>0</v>
      </c>
      <c r="V98" s="26">
        <f t="shared" si="47"/>
        <v>0</v>
      </c>
      <c r="W98" s="26">
        <f t="shared" si="48"/>
        <v>0</v>
      </c>
      <c r="X98" s="26">
        <f t="shared" si="49"/>
        <v>0</v>
      </c>
      <c r="Y98" s="26">
        <f t="shared" si="50"/>
        <v>0</v>
      </c>
      <c r="Z98" s="26">
        <f t="shared" si="51"/>
        <v>0</v>
      </c>
      <c r="AA98" s="26">
        <f t="shared" si="52"/>
        <v>1</v>
      </c>
      <c r="AC98" s="10">
        <f t="shared" si="53"/>
        <v>1</v>
      </c>
      <c r="AD98" s="26"/>
    </row>
    <row r="99" spans="1:30">
      <c r="A99" t="s">
        <v>82</v>
      </c>
      <c r="D99" t="s">
        <v>181</v>
      </c>
      <c r="E99" s="26">
        <v>0</v>
      </c>
      <c r="F99" s="26">
        <v>0</v>
      </c>
      <c r="G99" s="26">
        <v>0</v>
      </c>
      <c r="H99" s="26">
        <v>0</v>
      </c>
      <c r="I99" s="26">
        <v>0</v>
      </c>
      <c r="J99" s="26">
        <v>0.05</v>
      </c>
      <c r="K99" s="26">
        <v>0.05</v>
      </c>
      <c r="L99" s="26">
        <v>0.1</v>
      </c>
      <c r="M99" s="26">
        <v>0.2</v>
      </c>
      <c r="N99" s="26">
        <v>0.6</v>
      </c>
      <c r="P99" s="10">
        <f t="shared" si="42"/>
        <v>1</v>
      </c>
      <c r="R99" s="26">
        <f t="shared" si="43"/>
        <v>0</v>
      </c>
      <c r="S99" s="26">
        <f t="shared" si="44"/>
        <v>0</v>
      </c>
      <c r="T99" s="26">
        <f t="shared" si="45"/>
        <v>0</v>
      </c>
      <c r="U99" s="26">
        <f t="shared" si="46"/>
        <v>0</v>
      </c>
      <c r="V99" s="26">
        <f t="shared" si="47"/>
        <v>0</v>
      </c>
      <c r="W99" s="26">
        <f t="shared" si="48"/>
        <v>7.320500000000002E-2</v>
      </c>
      <c r="X99" s="26">
        <f t="shared" si="49"/>
        <v>6.6550000000000026E-2</v>
      </c>
      <c r="Y99" s="26">
        <f t="shared" si="50"/>
        <v>0.12100000000000002</v>
      </c>
      <c r="Z99" s="26">
        <f t="shared" si="51"/>
        <v>0.22000000000000003</v>
      </c>
      <c r="AA99" s="26">
        <f t="shared" si="52"/>
        <v>0.6</v>
      </c>
      <c r="AC99" s="10">
        <f t="shared" si="53"/>
        <v>1.0807550000000001</v>
      </c>
      <c r="AD99" s="26"/>
    </row>
    <row r="100" spans="1:30">
      <c r="A100" t="s">
        <v>81</v>
      </c>
      <c r="D100" t="s">
        <v>181</v>
      </c>
      <c r="E100" s="26">
        <v>0</v>
      </c>
      <c r="F100" s="26">
        <v>0</v>
      </c>
      <c r="G100" s="26">
        <v>0</v>
      </c>
      <c r="H100" s="26">
        <v>0</v>
      </c>
      <c r="I100" s="26">
        <v>0</v>
      </c>
      <c r="J100" s="26">
        <v>0.05</v>
      </c>
      <c r="K100" s="26">
        <v>0.05</v>
      </c>
      <c r="L100" s="26">
        <v>0.1</v>
      </c>
      <c r="M100" s="26">
        <v>0.2</v>
      </c>
      <c r="N100" s="26">
        <v>0.6</v>
      </c>
      <c r="P100" s="10">
        <f t="shared" si="42"/>
        <v>1</v>
      </c>
      <c r="R100" s="26">
        <f t="shared" si="43"/>
        <v>0</v>
      </c>
      <c r="S100" s="26">
        <f t="shared" si="44"/>
        <v>0</v>
      </c>
      <c r="T100" s="26">
        <f t="shared" si="45"/>
        <v>0</v>
      </c>
      <c r="U100" s="26">
        <f t="shared" si="46"/>
        <v>0</v>
      </c>
      <c r="V100" s="26">
        <f t="shared" si="47"/>
        <v>0</v>
      </c>
      <c r="W100" s="26">
        <f t="shared" si="48"/>
        <v>7.320500000000002E-2</v>
      </c>
      <c r="X100" s="26">
        <f t="shared" si="49"/>
        <v>6.6550000000000026E-2</v>
      </c>
      <c r="Y100" s="26">
        <f t="shared" si="50"/>
        <v>0.12100000000000002</v>
      </c>
      <c r="Z100" s="26">
        <f t="shared" si="51"/>
        <v>0.22000000000000003</v>
      </c>
      <c r="AA100" s="26">
        <f t="shared" si="52"/>
        <v>0.6</v>
      </c>
      <c r="AC100" s="10">
        <f t="shared" si="53"/>
        <v>1.0807550000000001</v>
      </c>
      <c r="AD100" s="26"/>
    </row>
    <row r="101" spans="1:30">
      <c r="A101" t="s">
        <v>22</v>
      </c>
      <c r="E101" s="26">
        <v>0</v>
      </c>
      <c r="F101" s="26">
        <v>0</v>
      </c>
      <c r="G101" s="26">
        <v>0</v>
      </c>
      <c r="H101" s="26">
        <v>0</v>
      </c>
      <c r="I101" s="26">
        <v>0</v>
      </c>
      <c r="J101" s="26">
        <v>0</v>
      </c>
      <c r="K101" s="26">
        <v>0</v>
      </c>
      <c r="L101" s="26">
        <v>0</v>
      </c>
      <c r="M101" s="26">
        <v>0</v>
      </c>
      <c r="N101" s="26">
        <v>1</v>
      </c>
      <c r="P101" s="10">
        <f t="shared" si="42"/>
        <v>1</v>
      </c>
      <c r="R101" s="26">
        <f t="shared" si="43"/>
        <v>0</v>
      </c>
      <c r="S101" s="26">
        <f t="shared" si="44"/>
        <v>0</v>
      </c>
      <c r="T101" s="26">
        <f t="shared" si="45"/>
        <v>0</v>
      </c>
      <c r="U101" s="26">
        <f t="shared" si="46"/>
        <v>0</v>
      </c>
      <c r="V101" s="26">
        <f t="shared" si="47"/>
        <v>0</v>
      </c>
      <c r="W101" s="26">
        <f t="shared" si="48"/>
        <v>0</v>
      </c>
      <c r="X101" s="26">
        <f t="shared" si="49"/>
        <v>0</v>
      </c>
      <c r="Y101" s="26">
        <f t="shared" si="50"/>
        <v>0</v>
      </c>
      <c r="Z101" s="26">
        <f t="shared" si="51"/>
        <v>0</v>
      </c>
      <c r="AA101" s="26">
        <f t="shared" si="52"/>
        <v>1</v>
      </c>
      <c r="AC101" s="10">
        <f t="shared" si="53"/>
        <v>1</v>
      </c>
      <c r="AD101" s="26"/>
    </row>
    <row r="102" spans="1:30">
      <c r="A102" t="s">
        <v>96</v>
      </c>
      <c r="D102" t="s">
        <v>180</v>
      </c>
      <c r="E102" s="26">
        <v>0</v>
      </c>
      <c r="F102" s="26">
        <v>0</v>
      </c>
      <c r="G102" s="26">
        <v>0</v>
      </c>
      <c r="H102" s="26">
        <v>0</v>
      </c>
      <c r="I102" s="26">
        <v>0</v>
      </c>
      <c r="J102" s="26">
        <v>0</v>
      </c>
      <c r="K102" s="26">
        <v>0</v>
      </c>
      <c r="L102" s="26">
        <v>0.05</v>
      </c>
      <c r="M102" s="26">
        <v>0.2</v>
      </c>
      <c r="N102" s="26">
        <v>0.75</v>
      </c>
      <c r="P102" s="10">
        <f t="shared" si="42"/>
        <v>1</v>
      </c>
      <c r="R102" s="26">
        <f t="shared" si="43"/>
        <v>0</v>
      </c>
      <c r="S102" s="26">
        <f t="shared" si="44"/>
        <v>0</v>
      </c>
      <c r="T102" s="26">
        <f t="shared" si="45"/>
        <v>0</v>
      </c>
      <c r="U102" s="26">
        <f t="shared" si="46"/>
        <v>0</v>
      </c>
      <c r="V102" s="26">
        <f t="shared" si="47"/>
        <v>0</v>
      </c>
      <c r="W102" s="26">
        <f t="shared" si="48"/>
        <v>0</v>
      </c>
      <c r="X102" s="26">
        <f t="shared" si="49"/>
        <v>0</v>
      </c>
      <c r="Y102" s="26">
        <f t="shared" si="50"/>
        <v>6.0500000000000012E-2</v>
      </c>
      <c r="Z102" s="26">
        <f t="shared" si="51"/>
        <v>0.22000000000000003</v>
      </c>
      <c r="AA102" s="26">
        <f t="shared" si="52"/>
        <v>0.75</v>
      </c>
      <c r="AC102" s="10">
        <f t="shared" si="53"/>
        <v>1.0305</v>
      </c>
      <c r="AD102" s="26"/>
    </row>
    <row r="103" spans="1:30">
      <c r="A103" t="s">
        <v>105</v>
      </c>
      <c r="E103" s="26">
        <v>0</v>
      </c>
      <c r="F103" s="26">
        <v>0</v>
      </c>
      <c r="G103" s="26">
        <v>0</v>
      </c>
      <c r="H103" s="26">
        <v>0</v>
      </c>
      <c r="I103" s="26">
        <v>0</v>
      </c>
      <c r="J103" s="26">
        <v>0</v>
      </c>
      <c r="K103" s="26">
        <v>0</v>
      </c>
      <c r="L103" s="26">
        <v>0</v>
      </c>
      <c r="M103" s="26">
        <v>0</v>
      </c>
      <c r="N103" s="26">
        <v>1</v>
      </c>
      <c r="P103" s="10">
        <f t="shared" si="42"/>
        <v>1</v>
      </c>
      <c r="R103" s="26">
        <f t="shared" si="43"/>
        <v>0</v>
      </c>
      <c r="S103" s="26">
        <f t="shared" si="44"/>
        <v>0</v>
      </c>
      <c r="T103" s="26">
        <f t="shared" si="45"/>
        <v>0</v>
      </c>
      <c r="U103" s="26">
        <f t="shared" si="46"/>
        <v>0</v>
      </c>
      <c r="V103" s="26">
        <f t="shared" si="47"/>
        <v>0</v>
      </c>
      <c r="W103" s="26">
        <f t="shared" si="48"/>
        <v>0</v>
      </c>
      <c r="X103" s="26">
        <f t="shared" si="49"/>
        <v>0</v>
      </c>
      <c r="Y103" s="26">
        <f t="shared" si="50"/>
        <v>0</v>
      </c>
      <c r="Z103" s="26">
        <f t="shared" si="51"/>
        <v>0</v>
      </c>
      <c r="AA103" s="26">
        <f t="shared" si="52"/>
        <v>1</v>
      </c>
      <c r="AC103" s="10">
        <f t="shared" si="53"/>
        <v>1</v>
      </c>
      <c r="AD103" s="26"/>
    </row>
    <row r="104" spans="1:30">
      <c r="A104" t="s">
        <v>106</v>
      </c>
      <c r="E104" s="26">
        <v>0</v>
      </c>
      <c r="F104" s="26">
        <v>0</v>
      </c>
      <c r="G104" s="26">
        <v>0</v>
      </c>
      <c r="H104" s="26">
        <v>0</v>
      </c>
      <c r="I104" s="26">
        <v>0</v>
      </c>
      <c r="J104" s="26">
        <v>0</v>
      </c>
      <c r="K104" s="26">
        <v>0</v>
      </c>
      <c r="L104" s="26">
        <v>0</v>
      </c>
      <c r="M104" s="26">
        <v>0</v>
      </c>
      <c r="N104" s="26">
        <v>1</v>
      </c>
      <c r="P104" s="10">
        <f t="shared" si="42"/>
        <v>1</v>
      </c>
      <c r="R104" s="26">
        <f t="shared" si="43"/>
        <v>0</v>
      </c>
      <c r="S104" s="26">
        <f t="shared" si="44"/>
        <v>0</v>
      </c>
      <c r="T104" s="26">
        <f t="shared" si="45"/>
        <v>0</v>
      </c>
      <c r="U104" s="26">
        <f t="shared" si="46"/>
        <v>0</v>
      </c>
      <c r="V104" s="26">
        <f t="shared" si="47"/>
        <v>0</v>
      </c>
      <c r="W104" s="26">
        <f t="shared" si="48"/>
        <v>0</v>
      </c>
      <c r="X104" s="26">
        <f t="shared" si="49"/>
        <v>0</v>
      </c>
      <c r="Y104" s="26">
        <f t="shared" si="50"/>
        <v>0</v>
      </c>
      <c r="Z104" s="26">
        <f t="shared" si="51"/>
        <v>0</v>
      </c>
      <c r="AA104" s="26">
        <f t="shared" si="52"/>
        <v>1</v>
      </c>
      <c r="AC104" s="10">
        <f t="shared" si="53"/>
        <v>1</v>
      </c>
      <c r="AD104" s="26"/>
    </row>
    <row r="105" spans="1:30">
      <c r="A105" t="s">
        <v>107</v>
      </c>
      <c r="E105" s="26">
        <v>0</v>
      </c>
      <c r="F105" s="26">
        <v>0</v>
      </c>
      <c r="G105" s="26">
        <v>0</v>
      </c>
      <c r="H105" s="26">
        <v>0</v>
      </c>
      <c r="I105" s="26">
        <v>0</v>
      </c>
      <c r="J105" s="26">
        <v>0</v>
      </c>
      <c r="K105" s="26">
        <v>0</v>
      </c>
      <c r="L105" s="26">
        <v>0</v>
      </c>
      <c r="M105" s="26">
        <v>0</v>
      </c>
      <c r="N105" s="26">
        <v>1</v>
      </c>
      <c r="P105" s="10">
        <f t="shared" si="42"/>
        <v>1</v>
      </c>
      <c r="R105" s="26">
        <f t="shared" si="43"/>
        <v>0</v>
      </c>
      <c r="S105" s="26">
        <f t="shared" si="44"/>
        <v>0</v>
      </c>
      <c r="T105" s="26">
        <f t="shared" si="45"/>
        <v>0</v>
      </c>
      <c r="U105" s="26">
        <f t="shared" si="46"/>
        <v>0</v>
      </c>
      <c r="V105" s="26">
        <f t="shared" si="47"/>
        <v>0</v>
      </c>
      <c r="W105" s="26">
        <f t="shared" si="48"/>
        <v>0</v>
      </c>
      <c r="X105" s="26">
        <f t="shared" si="49"/>
        <v>0</v>
      </c>
      <c r="Y105" s="26">
        <f t="shared" si="50"/>
        <v>0</v>
      </c>
      <c r="Z105" s="26">
        <f t="shared" si="51"/>
        <v>0</v>
      </c>
      <c r="AA105" s="26">
        <f t="shared" si="52"/>
        <v>1</v>
      </c>
      <c r="AC105" s="10">
        <f t="shared" si="53"/>
        <v>1</v>
      </c>
      <c r="AD105" s="26"/>
    </row>
    <row r="106" spans="1:30">
      <c r="A106" t="s">
        <v>8</v>
      </c>
      <c r="E106" s="26">
        <v>0</v>
      </c>
      <c r="F106" s="26">
        <v>0</v>
      </c>
      <c r="G106" s="26">
        <v>0</v>
      </c>
      <c r="H106" s="26">
        <v>0</v>
      </c>
      <c r="I106" s="26">
        <v>0</v>
      </c>
      <c r="J106" s="26">
        <v>0</v>
      </c>
      <c r="K106" s="26">
        <v>0</v>
      </c>
      <c r="L106" s="26">
        <v>0</v>
      </c>
      <c r="M106" s="26">
        <v>0</v>
      </c>
      <c r="N106" s="26">
        <v>1</v>
      </c>
      <c r="P106" s="10">
        <f t="shared" si="42"/>
        <v>1</v>
      </c>
      <c r="R106" s="26">
        <f t="shared" si="43"/>
        <v>0</v>
      </c>
      <c r="S106" s="26">
        <f t="shared" si="44"/>
        <v>0</v>
      </c>
      <c r="T106" s="26">
        <f t="shared" si="45"/>
        <v>0</v>
      </c>
      <c r="U106" s="26">
        <f t="shared" si="46"/>
        <v>0</v>
      </c>
      <c r="V106" s="26">
        <f t="shared" si="47"/>
        <v>0</v>
      </c>
      <c r="W106" s="26">
        <f t="shared" si="48"/>
        <v>0</v>
      </c>
      <c r="X106" s="26">
        <f t="shared" si="49"/>
        <v>0</v>
      </c>
      <c r="Y106" s="26">
        <f t="shared" si="50"/>
        <v>0</v>
      </c>
      <c r="Z106" s="26">
        <f t="shared" si="51"/>
        <v>0</v>
      </c>
      <c r="AA106" s="26">
        <f t="shared" si="52"/>
        <v>1</v>
      </c>
      <c r="AC106" s="10">
        <f t="shared" si="53"/>
        <v>1</v>
      </c>
      <c r="AD106" s="26"/>
    </row>
    <row r="107" spans="1:30">
      <c r="A107" t="s">
        <v>99</v>
      </c>
      <c r="E107" s="26">
        <v>0</v>
      </c>
      <c r="F107" s="26">
        <v>0</v>
      </c>
      <c r="G107" s="26">
        <v>0</v>
      </c>
      <c r="H107" s="26">
        <v>0</v>
      </c>
      <c r="I107" s="26">
        <v>0</v>
      </c>
      <c r="J107" s="26">
        <v>0</v>
      </c>
      <c r="K107" s="26">
        <v>0</v>
      </c>
      <c r="L107" s="26">
        <v>0</v>
      </c>
      <c r="M107" s="26">
        <v>0</v>
      </c>
      <c r="N107" s="26">
        <v>1</v>
      </c>
      <c r="P107" s="10">
        <f t="shared" si="42"/>
        <v>1</v>
      </c>
      <c r="R107" s="26">
        <f t="shared" si="43"/>
        <v>0</v>
      </c>
      <c r="S107" s="26">
        <f t="shared" si="44"/>
        <v>0</v>
      </c>
      <c r="T107" s="26">
        <f t="shared" si="45"/>
        <v>0</v>
      </c>
      <c r="U107" s="26">
        <f t="shared" si="46"/>
        <v>0</v>
      </c>
      <c r="V107" s="26">
        <f t="shared" si="47"/>
        <v>0</v>
      </c>
      <c r="W107" s="26">
        <f t="shared" si="48"/>
        <v>0</v>
      </c>
      <c r="X107" s="26">
        <f t="shared" si="49"/>
        <v>0</v>
      </c>
      <c r="Y107" s="26">
        <f t="shared" si="50"/>
        <v>0</v>
      </c>
      <c r="Z107" s="26">
        <f t="shared" si="51"/>
        <v>0</v>
      </c>
      <c r="AA107" s="26">
        <f t="shared" si="52"/>
        <v>1</v>
      </c>
      <c r="AC107" s="10">
        <f t="shared" si="53"/>
        <v>1</v>
      </c>
      <c r="AD107" s="26"/>
    </row>
    <row r="108" spans="1:30">
      <c r="A108" t="s">
        <v>100</v>
      </c>
      <c r="E108" s="26">
        <v>0</v>
      </c>
      <c r="F108" s="26">
        <v>0</v>
      </c>
      <c r="G108" s="26">
        <v>0</v>
      </c>
      <c r="H108" s="26">
        <v>0</v>
      </c>
      <c r="I108" s="26">
        <v>0</v>
      </c>
      <c r="J108" s="26">
        <v>0</v>
      </c>
      <c r="K108" s="26">
        <v>0</v>
      </c>
      <c r="L108" s="26">
        <v>0</v>
      </c>
      <c r="M108" s="26">
        <v>0</v>
      </c>
      <c r="N108" s="26">
        <v>1</v>
      </c>
      <c r="P108" s="10">
        <f t="shared" si="42"/>
        <v>1</v>
      </c>
      <c r="R108" s="26">
        <f t="shared" si="43"/>
        <v>0</v>
      </c>
      <c r="S108" s="26">
        <f t="shared" si="44"/>
        <v>0</v>
      </c>
      <c r="T108" s="26">
        <f t="shared" si="45"/>
        <v>0</v>
      </c>
      <c r="U108" s="26">
        <f t="shared" si="46"/>
        <v>0</v>
      </c>
      <c r="V108" s="26">
        <f t="shared" si="47"/>
        <v>0</v>
      </c>
      <c r="W108" s="26">
        <f t="shared" si="48"/>
        <v>0</v>
      </c>
      <c r="X108" s="26">
        <f t="shared" si="49"/>
        <v>0</v>
      </c>
      <c r="Y108" s="26">
        <f t="shared" si="50"/>
        <v>0</v>
      </c>
      <c r="Z108" s="26">
        <f t="shared" si="51"/>
        <v>0</v>
      </c>
      <c r="AA108" s="26">
        <f t="shared" si="52"/>
        <v>1</v>
      </c>
      <c r="AC108" s="10">
        <f t="shared" si="53"/>
        <v>1</v>
      </c>
      <c r="AD108" s="26"/>
    </row>
    <row r="109" spans="1:30">
      <c r="A109" t="s">
        <v>113</v>
      </c>
      <c r="D109" t="s">
        <v>182</v>
      </c>
      <c r="E109" s="26">
        <v>0</v>
      </c>
      <c r="F109" s="26">
        <v>9.3333333333333338E-2</v>
      </c>
      <c r="G109" s="26">
        <v>9.3333333333333338E-2</v>
      </c>
      <c r="H109" s="26">
        <v>9.3333333333333338E-2</v>
      </c>
      <c r="I109" s="26">
        <v>0.12</v>
      </c>
      <c r="J109" s="26">
        <v>0.12</v>
      </c>
      <c r="K109" s="26">
        <v>0.12</v>
      </c>
      <c r="L109" s="26">
        <v>0.12</v>
      </c>
      <c r="M109" s="26">
        <v>0.12</v>
      </c>
      <c r="N109" s="26">
        <v>0.12</v>
      </c>
      <c r="P109" s="10">
        <f t="shared" si="42"/>
        <v>1</v>
      </c>
      <c r="R109" s="26">
        <f t="shared" si="43"/>
        <v>0</v>
      </c>
      <c r="S109" s="26">
        <f t="shared" si="44"/>
        <v>0.20006828893333345</v>
      </c>
      <c r="T109" s="26">
        <f t="shared" si="45"/>
        <v>0.18188026266666679</v>
      </c>
      <c r="U109" s="26">
        <f t="shared" si="46"/>
        <v>0.1653456933333334</v>
      </c>
      <c r="V109" s="26">
        <f t="shared" si="47"/>
        <v>0.19326120000000008</v>
      </c>
      <c r="W109" s="26">
        <f t="shared" si="48"/>
        <v>0.17569200000000004</v>
      </c>
      <c r="X109" s="26">
        <f t="shared" si="49"/>
        <v>0.15972000000000003</v>
      </c>
      <c r="Y109" s="26">
        <f t="shared" si="50"/>
        <v>0.14520000000000002</v>
      </c>
      <c r="Z109" s="26">
        <f t="shared" si="51"/>
        <v>0.13200000000000001</v>
      </c>
      <c r="AA109" s="26">
        <f t="shared" si="52"/>
        <v>0.12</v>
      </c>
      <c r="AC109" s="10">
        <f t="shared" si="53"/>
        <v>1.4731674449333338</v>
      </c>
      <c r="AD109" s="26"/>
    </row>
    <row r="110" spans="1:30">
      <c r="A110" t="s">
        <v>114</v>
      </c>
      <c r="E110" s="26">
        <v>0</v>
      </c>
      <c r="F110" s="26">
        <v>0</v>
      </c>
      <c r="G110" s="26">
        <v>0</v>
      </c>
      <c r="H110" s="26">
        <v>0</v>
      </c>
      <c r="I110" s="26">
        <v>0.05</v>
      </c>
      <c r="J110" s="26">
        <v>0.05</v>
      </c>
      <c r="K110" s="26">
        <v>1.8000000000000002E-2</v>
      </c>
      <c r="L110" s="26">
        <v>0.35100000000000003</v>
      </c>
      <c r="M110" s="26">
        <v>0.47700000000000004</v>
      </c>
      <c r="N110" s="26">
        <v>5.3999999999999992E-2</v>
      </c>
      <c r="P110" s="10">
        <f t="shared" si="42"/>
        <v>1</v>
      </c>
      <c r="Q110" s="26"/>
      <c r="R110" s="26">
        <f t="shared" si="43"/>
        <v>0</v>
      </c>
      <c r="S110" s="26">
        <f t="shared" si="44"/>
        <v>0</v>
      </c>
      <c r="T110" s="26">
        <f t="shared" si="45"/>
        <v>0</v>
      </c>
      <c r="U110" s="26">
        <f t="shared" si="46"/>
        <v>0</v>
      </c>
      <c r="V110" s="26">
        <f t="shared" si="47"/>
        <v>8.0525500000000041E-2</v>
      </c>
      <c r="W110" s="26">
        <f t="shared" si="48"/>
        <v>7.320500000000002E-2</v>
      </c>
      <c r="X110" s="26">
        <f t="shared" si="49"/>
        <v>2.3958000000000011E-2</v>
      </c>
      <c r="Y110" s="26">
        <f t="shared" si="50"/>
        <v>0.42471000000000009</v>
      </c>
      <c r="Z110" s="26">
        <f t="shared" si="51"/>
        <v>0.52470000000000006</v>
      </c>
      <c r="AA110" s="26">
        <f t="shared" si="52"/>
        <v>5.3999999999999992E-2</v>
      </c>
      <c r="AC110" s="10">
        <f t="shared" si="53"/>
        <v>1.1810985000000003</v>
      </c>
      <c r="AD110" s="26"/>
    </row>
    <row r="111" spans="1:30">
      <c r="A111" t="s">
        <v>115</v>
      </c>
      <c r="E111" s="26">
        <v>0</v>
      </c>
      <c r="F111" s="26">
        <v>0</v>
      </c>
      <c r="G111" s="26">
        <v>0</v>
      </c>
      <c r="H111" s="26">
        <v>0</v>
      </c>
      <c r="I111" s="26">
        <v>0.05</v>
      </c>
      <c r="J111" s="26">
        <v>0.05</v>
      </c>
      <c r="K111" s="26">
        <v>1.8000000000000002E-2</v>
      </c>
      <c r="L111" s="26">
        <v>0.35100000000000003</v>
      </c>
      <c r="M111" s="26">
        <v>0.47700000000000004</v>
      </c>
      <c r="N111" s="26">
        <v>5.3999999999999992E-2</v>
      </c>
      <c r="P111" s="10">
        <f t="shared" si="42"/>
        <v>1</v>
      </c>
      <c r="Q111" s="26"/>
      <c r="R111" s="26">
        <f t="shared" si="43"/>
        <v>0</v>
      </c>
      <c r="S111" s="26">
        <f t="shared" si="44"/>
        <v>0</v>
      </c>
      <c r="T111" s="26">
        <f t="shared" si="45"/>
        <v>0</v>
      </c>
      <c r="U111" s="26">
        <f t="shared" si="46"/>
        <v>0</v>
      </c>
      <c r="V111" s="26">
        <f t="shared" si="47"/>
        <v>8.0525500000000041E-2</v>
      </c>
      <c r="W111" s="26">
        <f t="shared" si="48"/>
        <v>7.320500000000002E-2</v>
      </c>
      <c r="X111" s="26">
        <f t="shared" si="49"/>
        <v>2.3958000000000011E-2</v>
      </c>
      <c r="Y111" s="26">
        <f t="shared" si="50"/>
        <v>0.42471000000000009</v>
      </c>
      <c r="Z111" s="26">
        <f t="shared" si="51"/>
        <v>0.52470000000000006</v>
      </c>
      <c r="AA111" s="26">
        <f t="shared" si="52"/>
        <v>5.3999999999999992E-2</v>
      </c>
      <c r="AC111" s="10">
        <f t="shared" si="53"/>
        <v>1.1810985000000003</v>
      </c>
      <c r="AD111" s="26"/>
    </row>
    <row r="112" spans="1:30">
      <c r="A112" t="s">
        <v>116</v>
      </c>
      <c r="E112" s="26">
        <v>0</v>
      </c>
      <c r="F112" s="26">
        <v>0</v>
      </c>
      <c r="G112" s="26">
        <v>0</v>
      </c>
      <c r="H112" s="26">
        <v>0.05</v>
      </c>
      <c r="I112" s="26">
        <v>0.05</v>
      </c>
      <c r="J112" s="26">
        <v>4.4999999999999998E-2</v>
      </c>
      <c r="K112" s="26">
        <v>9.9000000000000005E-2</v>
      </c>
      <c r="L112" s="26">
        <v>0.18899999999999997</v>
      </c>
      <c r="M112" s="26">
        <v>0.252</v>
      </c>
      <c r="N112" s="26">
        <v>0.31499999999999995</v>
      </c>
      <c r="P112" s="10">
        <f t="shared" si="42"/>
        <v>1</v>
      </c>
      <c r="Q112" s="26"/>
      <c r="R112" s="26">
        <f t="shared" si="43"/>
        <v>0</v>
      </c>
      <c r="S112" s="26">
        <f t="shared" si="44"/>
        <v>0</v>
      </c>
      <c r="T112" s="26">
        <f t="shared" si="45"/>
        <v>0</v>
      </c>
      <c r="U112" s="26">
        <f t="shared" si="46"/>
        <v>8.8578050000000033E-2</v>
      </c>
      <c r="V112" s="26">
        <f t="shared" si="47"/>
        <v>8.0525500000000041E-2</v>
      </c>
      <c r="W112" s="26">
        <f t="shared" si="48"/>
        <v>6.5884500000000012E-2</v>
      </c>
      <c r="X112" s="26">
        <f t="shared" si="49"/>
        <v>0.13176900000000005</v>
      </c>
      <c r="Y112" s="26">
        <f t="shared" si="50"/>
        <v>0.22869</v>
      </c>
      <c r="Z112" s="26">
        <f t="shared" si="51"/>
        <v>0.2772</v>
      </c>
      <c r="AA112" s="26">
        <f t="shared" si="52"/>
        <v>0.31499999999999995</v>
      </c>
      <c r="AC112" s="10">
        <f t="shared" si="53"/>
        <v>1.1876470500000003</v>
      </c>
      <c r="AD112" s="26"/>
    </row>
    <row r="113" spans="1:30">
      <c r="A113" t="s">
        <v>120</v>
      </c>
      <c r="E113" s="26">
        <v>0</v>
      </c>
      <c r="F113" s="26">
        <v>0</v>
      </c>
      <c r="G113" s="26">
        <v>0</v>
      </c>
      <c r="H113" s="26">
        <v>0</v>
      </c>
      <c r="I113" s="26">
        <v>0</v>
      </c>
      <c r="J113" s="26">
        <v>0</v>
      </c>
      <c r="K113" s="26">
        <v>0</v>
      </c>
      <c r="L113" s="26">
        <v>0</v>
      </c>
      <c r="M113" s="26">
        <v>0</v>
      </c>
      <c r="N113" s="26">
        <v>1</v>
      </c>
      <c r="P113" s="10">
        <f t="shared" si="42"/>
        <v>1</v>
      </c>
      <c r="Q113" s="26"/>
      <c r="R113" s="26">
        <f t="shared" si="43"/>
        <v>0</v>
      </c>
      <c r="S113" s="26">
        <f t="shared" si="44"/>
        <v>0</v>
      </c>
      <c r="T113" s="26">
        <f t="shared" si="45"/>
        <v>0</v>
      </c>
      <c r="U113" s="26">
        <f t="shared" si="46"/>
        <v>0</v>
      </c>
      <c r="V113" s="26">
        <f t="shared" si="47"/>
        <v>0</v>
      </c>
      <c r="W113" s="26">
        <f t="shared" si="48"/>
        <v>0</v>
      </c>
      <c r="X113" s="26">
        <f t="shared" si="49"/>
        <v>0</v>
      </c>
      <c r="Y113" s="26">
        <f t="shared" si="50"/>
        <v>0</v>
      </c>
      <c r="Z113" s="26">
        <f t="shared" si="51"/>
        <v>0</v>
      </c>
      <c r="AA113" s="26">
        <f t="shared" si="52"/>
        <v>1</v>
      </c>
      <c r="AC113" s="10">
        <f t="shared" si="53"/>
        <v>1</v>
      </c>
      <c r="AD113" s="26"/>
    </row>
    <row r="114" spans="1:30">
      <c r="Q114" s="26"/>
      <c r="R114" s="26"/>
      <c r="T114" s="10"/>
    </row>
    <row r="115" spans="1:30" ht="15">
      <c r="A115" s="17" t="s">
        <v>183</v>
      </c>
      <c r="B115" s="17"/>
      <c r="C115" s="17"/>
      <c r="Q115" s="26"/>
      <c r="R115" s="26"/>
      <c r="T115" s="10"/>
    </row>
    <row r="116" spans="1:30">
      <c r="Q116" s="26"/>
      <c r="R116" s="26"/>
      <c r="T116" s="10"/>
    </row>
    <row r="117" spans="1:30">
      <c r="Q117" s="26"/>
      <c r="R117" s="26"/>
      <c r="T117" s="10"/>
    </row>
    <row r="118" spans="1:30" ht="15">
      <c r="D118" s="17" t="s">
        <v>480</v>
      </c>
      <c r="E118" s="17" t="s">
        <v>481</v>
      </c>
      <c r="F118" t="s">
        <v>482</v>
      </c>
      <c r="G118" t="s">
        <v>483</v>
      </c>
      <c r="H118" s="17" t="s">
        <v>484</v>
      </c>
      <c r="Q118" s="154"/>
      <c r="R118" s="154"/>
      <c r="T118" s="10"/>
    </row>
    <row r="119" spans="1:30">
      <c r="D119" t="s">
        <v>465</v>
      </c>
      <c r="E119">
        <v>2003</v>
      </c>
      <c r="F119">
        <v>9</v>
      </c>
      <c r="G119">
        <v>3</v>
      </c>
      <c r="H119" t="s">
        <v>467</v>
      </c>
      <c r="Q119" s="26"/>
      <c r="R119" s="26"/>
      <c r="T119" s="10"/>
    </row>
    <row r="120" spans="1:30">
      <c r="D120" t="s">
        <v>485</v>
      </c>
      <c r="E120">
        <v>2004</v>
      </c>
      <c r="F120">
        <v>10</v>
      </c>
      <c r="G120">
        <v>2</v>
      </c>
      <c r="H120" t="s">
        <v>466</v>
      </c>
      <c r="Q120" s="26"/>
      <c r="R120" s="26"/>
      <c r="T120" s="10"/>
    </row>
    <row r="121" spans="1:30">
      <c r="D121" t="s">
        <v>486</v>
      </c>
      <c r="E121">
        <v>2005</v>
      </c>
      <c r="F121">
        <v>12</v>
      </c>
      <c r="G121">
        <v>5</v>
      </c>
      <c r="Q121" s="26"/>
      <c r="R121" s="26"/>
      <c r="T121" s="10"/>
    </row>
    <row r="122" spans="1:30">
      <c r="D122" t="s">
        <v>487</v>
      </c>
      <c r="E122">
        <v>2006</v>
      </c>
      <c r="F122">
        <v>11</v>
      </c>
      <c r="G122">
        <v>4</v>
      </c>
      <c r="Q122" s="26"/>
      <c r="R122" s="26"/>
      <c r="T122" s="10"/>
    </row>
    <row r="123" spans="1:30">
      <c r="E123">
        <v>2007</v>
      </c>
      <c r="Q123" s="26"/>
      <c r="R123" s="26"/>
      <c r="T123" s="10"/>
    </row>
    <row r="124" spans="1:30">
      <c r="E124">
        <v>2008</v>
      </c>
      <c r="Q124" s="26"/>
      <c r="R124" s="26"/>
      <c r="T124" s="10"/>
    </row>
    <row r="125" spans="1:30">
      <c r="Q125" s="26"/>
      <c r="R125" s="26"/>
      <c r="T125" s="10"/>
    </row>
    <row r="126" spans="1:30">
      <c r="Q126" s="26"/>
      <c r="R126" s="26"/>
      <c r="T126" s="10"/>
    </row>
    <row r="127" spans="1:30">
      <c r="A127" s="4" t="s">
        <v>488</v>
      </c>
      <c r="B127" s="4"/>
      <c r="Q127" s="26"/>
      <c r="R127" s="26"/>
      <c r="T127" s="10"/>
    </row>
    <row r="128" spans="1:30">
      <c r="A128" s="11" t="s">
        <v>490</v>
      </c>
      <c r="B128" s="11"/>
      <c r="Q128" s="26"/>
      <c r="R128" s="26"/>
      <c r="T128" s="10"/>
    </row>
    <row r="129" spans="1:20">
      <c r="A129" s="11" t="s">
        <v>502</v>
      </c>
      <c r="B129" s="11"/>
      <c r="Q129" s="26"/>
      <c r="R129" s="26"/>
      <c r="T129" s="10"/>
    </row>
    <row r="130" spans="1:20">
      <c r="A130" t="s">
        <v>489</v>
      </c>
      <c r="Q130" s="26"/>
      <c r="R130" s="26"/>
      <c r="T130" s="10"/>
    </row>
    <row r="131" spans="1:20">
      <c r="A131" t="s">
        <v>721</v>
      </c>
      <c r="Q131" s="26"/>
      <c r="R131" s="26"/>
      <c r="T131" s="10"/>
    </row>
    <row r="132" spans="1:20">
      <c r="Q132" s="26"/>
      <c r="R132" s="26"/>
      <c r="T132" s="10"/>
    </row>
    <row r="133" spans="1:20">
      <c r="Q133" s="26"/>
      <c r="R133" s="26"/>
      <c r="T133" s="10"/>
    </row>
    <row r="134" spans="1:20">
      <c r="Q134" s="26"/>
      <c r="R134" s="26"/>
      <c r="T134" s="10"/>
    </row>
    <row r="135" spans="1:20">
      <c r="Q135" s="26"/>
      <c r="R135" s="26"/>
      <c r="T135" s="10"/>
    </row>
  </sheetData>
  <conditionalFormatting sqref="A10:A43">
    <cfRule type="iconSet" priority="1">
      <iconSet iconSet="3Symbols">
        <cfvo type="percent" val="0"/>
        <cfvo type="percent" val="33"/>
        <cfvo type="percent" val="67"/>
      </iconSet>
    </cfRule>
  </conditionalFormatting>
  <dataValidations count="5">
    <dataValidation type="list" allowBlank="1" showInputMessage="1" showErrorMessage="1" sqref="F10:F43">
      <formula1>$H$119:$H$120</formula1>
    </dataValidation>
    <dataValidation type="list" allowBlank="1" showInputMessage="1" showErrorMessage="1" sqref="E10:E43">
      <formula1>$E$119:$E$124</formula1>
    </dataValidation>
    <dataValidation type="list" allowBlank="1" showInputMessage="1" showErrorMessage="1" sqref="D10:D43">
      <formula1>$D$119:$D$122</formula1>
    </dataValidation>
    <dataValidation type="list" allowBlank="1" showInputMessage="1" showErrorMessage="1" sqref="C10:C43">
      <formula1>$A$128:$A$133</formula1>
    </dataValidation>
    <dataValidation type="list" allowBlank="1" showInputMessage="1" showErrorMessage="1" sqref="B10:B43">
      <formula1>$A$89:$A$113</formula1>
    </dataValidation>
  </dataValidations>
  <pageMargins left="0.7" right="0.7" top="0.75" bottom="0.75" header="0.3" footer="0.3"/>
  <drawing r:id="rId1"/>
  <legacyDrawing r:id="rId2"/>
</worksheet>
</file>

<file path=xl/worksheets/sheet13.xml><?xml version="1.0" encoding="utf-8"?>
<worksheet xmlns="http://schemas.openxmlformats.org/spreadsheetml/2006/main" xmlns:r="http://schemas.openxmlformats.org/officeDocument/2006/relationships">
  <sheetPr codeName="Sheet1">
    <tabColor theme="8" tint="-0.499984740745262"/>
  </sheetPr>
  <dimension ref="B3:AV27"/>
  <sheetViews>
    <sheetView workbookViewId="0">
      <selection activeCell="H7" sqref="H7"/>
    </sheetView>
  </sheetViews>
  <sheetFormatPr defaultRowHeight="12.75"/>
  <cols>
    <col min="2" max="2" width="20" customWidth="1"/>
  </cols>
  <sheetData>
    <row r="3" spans="2:48" ht="20.25" thickBot="1">
      <c r="B3" s="283" t="s">
        <v>310</v>
      </c>
      <c r="C3" s="283"/>
      <c r="D3" s="283"/>
      <c r="E3" s="283"/>
      <c r="F3" s="34" t="s">
        <v>311</v>
      </c>
    </row>
    <row r="4" spans="2:48" ht="13.5" thickTop="1">
      <c r="B4" s="277"/>
      <c r="C4" s="208" t="s">
        <v>595</v>
      </c>
      <c r="D4" s="194"/>
      <c r="E4" s="194"/>
      <c r="F4" s="194"/>
      <c r="G4" s="195"/>
      <c r="H4" s="208" t="s">
        <v>596</v>
      </c>
      <c r="I4" s="194"/>
      <c r="J4" s="194"/>
      <c r="K4" s="194"/>
      <c r="L4" s="194"/>
      <c r="M4" s="194"/>
      <c r="N4" s="194"/>
      <c r="O4" s="194"/>
      <c r="P4" s="194"/>
      <c r="Q4" s="194"/>
      <c r="R4" s="194"/>
      <c r="S4" s="194"/>
      <c r="T4" s="194"/>
      <c r="U4" s="194"/>
      <c r="V4" s="194"/>
      <c r="W4" s="194"/>
      <c r="X4" s="194"/>
      <c r="Y4" s="194"/>
      <c r="Z4" s="194"/>
      <c r="AA4" s="194"/>
      <c r="AB4" s="194"/>
      <c r="AC4" s="194"/>
      <c r="AD4" s="194"/>
      <c r="AE4" s="194"/>
      <c r="AF4" s="194"/>
      <c r="AG4" s="194"/>
      <c r="AH4" s="194"/>
      <c r="AI4" s="194"/>
      <c r="AJ4" s="194"/>
      <c r="AK4" s="194"/>
      <c r="AL4" s="194"/>
      <c r="AM4" s="194"/>
      <c r="AN4" s="194"/>
      <c r="AO4" s="194"/>
      <c r="AP4" s="194"/>
      <c r="AQ4" s="194"/>
      <c r="AR4" s="194"/>
      <c r="AS4" s="194"/>
      <c r="AT4" s="194"/>
      <c r="AU4" s="194"/>
      <c r="AV4" s="195"/>
    </row>
    <row r="5" spans="2:48">
      <c r="B5" s="278"/>
      <c r="C5" s="196">
        <v>2005</v>
      </c>
      <c r="D5" s="197">
        <v>2006</v>
      </c>
      <c r="E5" s="197">
        <v>2007</v>
      </c>
      <c r="F5" s="197">
        <v>2008</v>
      </c>
      <c r="G5" s="198">
        <v>2009</v>
      </c>
      <c r="H5" s="196">
        <v>2010</v>
      </c>
      <c r="I5" s="197">
        <v>2011</v>
      </c>
      <c r="J5" s="197">
        <v>2012</v>
      </c>
      <c r="K5" s="197">
        <v>2013</v>
      </c>
      <c r="L5" s="197">
        <v>2014</v>
      </c>
      <c r="M5" s="197">
        <v>2015</v>
      </c>
      <c r="N5" s="197">
        <v>2016</v>
      </c>
      <c r="O5" s="197">
        <v>2017</v>
      </c>
      <c r="P5" s="197">
        <v>2018</v>
      </c>
      <c r="Q5" s="197">
        <v>2019</v>
      </c>
      <c r="R5" s="197">
        <v>2020</v>
      </c>
      <c r="S5" s="197">
        <v>2021</v>
      </c>
      <c r="T5" s="197">
        <v>2022</v>
      </c>
      <c r="U5" s="197">
        <v>2023</v>
      </c>
      <c r="V5" s="197">
        <v>2024</v>
      </c>
      <c r="W5" s="197">
        <v>2025</v>
      </c>
      <c r="X5" s="197">
        <v>2026</v>
      </c>
      <c r="Y5" s="197">
        <v>2027</v>
      </c>
      <c r="Z5" s="197">
        <v>2028</v>
      </c>
      <c r="AA5" s="197">
        <v>2029</v>
      </c>
      <c r="AB5" s="197">
        <v>2030</v>
      </c>
      <c r="AC5" s="197">
        <v>2031</v>
      </c>
      <c r="AD5" s="197">
        <v>2032</v>
      </c>
      <c r="AE5" s="197">
        <v>2033</v>
      </c>
      <c r="AF5" s="197">
        <v>2034</v>
      </c>
      <c r="AG5" s="197">
        <v>2035</v>
      </c>
      <c r="AH5" s="197">
        <v>2036</v>
      </c>
      <c r="AI5" s="197">
        <v>2037</v>
      </c>
      <c r="AJ5" s="197">
        <v>2038</v>
      </c>
      <c r="AK5" s="197">
        <v>2039</v>
      </c>
      <c r="AL5" s="197">
        <v>2040</v>
      </c>
      <c r="AM5" s="197">
        <v>2041</v>
      </c>
      <c r="AN5" s="197">
        <v>2042</v>
      </c>
      <c r="AO5" s="197">
        <v>2043</v>
      </c>
      <c r="AP5" s="197">
        <v>2044</v>
      </c>
      <c r="AQ5" s="197">
        <v>2045</v>
      </c>
      <c r="AR5" s="197">
        <v>2046</v>
      </c>
      <c r="AS5" s="197">
        <v>2047</v>
      </c>
      <c r="AT5" s="197">
        <v>2048</v>
      </c>
      <c r="AU5" s="197">
        <v>2049</v>
      </c>
      <c r="AV5" s="198">
        <v>2050</v>
      </c>
    </row>
    <row r="6" spans="2:48">
      <c r="B6" s="278" t="s">
        <v>59</v>
      </c>
      <c r="C6" s="199">
        <f t="shared" ref="C6:F12" si="0">D6</f>
        <v>30.471</v>
      </c>
      <c r="D6" s="200">
        <f t="shared" si="0"/>
        <v>30.471</v>
      </c>
      <c r="E6" s="200">
        <f t="shared" si="0"/>
        <v>30.471</v>
      </c>
      <c r="F6" s="200">
        <f t="shared" si="0"/>
        <v>30.471</v>
      </c>
      <c r="G6" s="201">
        <f>ExistingCapacity!J29/1000</f>
        <v>30.471</v>
      </c>
      <c r="H6" s="305">
        <f>ExistingCapacity!U29/1000</f>
        <v>0</v>
      </c>
      <c r="I6" s="305">
        <f>ExistingCapacity!V29/1000</f>
        <v>0</v>
      </c>
      <c r="J6" s="305">
        <f>ExistingCapacity!W29/1000</f>
        <v>0</v>
      </c>
      <c r="K6" s="305">
        <f>ExistingCapacity!X29/1000</f>
        <v>0</v>
      </c>
      <c r="L6" s="305">
        <f>ExistingCapacity!Y29/1000</f>
        <v>0</v>
      </c>
      <c r="M6" s="305">
        <f>ExistingCapacity!Z29/1000</f>
        <v>0</v>
      </c>
      <c r="N6" s="305">
        <f>ExistingCapacity!AA29/1000</f>
        <v>0</v>
      </c>
      <c r="O6" s="305">
        <f>ExistingCapacity!AB29/1000</f>
        <v>0</v>
      </c>
      <c r="P6" s="305">
        <f>ExistingCapacity!AC29/1000</f>
        <v>0</v>
      </c>
      <c r="Q6" s="305">
        <f>ExistingCapacity!AD29/1000</f>
        <v>0</v>
      </c>
      <c r="R6" s="305">
        <f>ExistingCapacity!AE29/1000</f>
        <v>0</v>
      </c>
      <c r="S6" s="305">
        <f>ExistingCapacity!AF29/1000</f>
        <v>0</v>
      </c>
      <c r="T6" s="305">
        <f>ExistingCapacity!AG29/1000</f>
        <v>0</v>
      </c>
      <c r="U6" s="305">
        <f>ExistingCapacity!AH29/1000</f>
        <v>0</v>
      </c>
      <c r="V6" s="305">
        <f>ExistingCapacity!AI29/1000</f>
        <v>-1.1399999999999999</v>
      </c>
      <c r="W6" s="305">
        <f>ExistingCapacity!AJ29/1000</f>
        <v>-1.1399999999999999</v>
      </c>
      <c r="X6" s="305">
        <f>ExistingCapacity!AK29/1000</f>
        <v>-1.425</v>
      </c>
      <c r="Y6" s="305">
        <f>ExistingCapacity!AL29/1000</f>
        <v>-1.425</v>
      </c>
      <c r="Z6" s="305">
        <f>ExistingCapacity!AM29/1000</f>
        <v>-1.7250000000000001</v>
      </c>
      <c r="AA6" s="305">
        <f>ExistingCapacity!AN29/1000</f>
        <v>-3.45</v>
      </c>
      <c r="AB6" s="305">
        <f>ExistingCapacity!AO29/1000</f>
        <v>-1.7250000000000001</v>
      </c>
      <c r="AC6" s="305">
        <f>ExistingCapacity!AP29/1000</f>
        <v>0</v>
      </c>
      <c r="AD6" s="305">
        <f>ExistingCapacity!AQ29/1000</f>
        <v>0</v>
      </c>
      <c r="AE6" s="305">
        <f>ExistingCapacity!AR29/1000</f>
        <v>0</v>
      </c>
      <c r="AF6" s="305">
        <f>ExistingCapacity!AS29/1000</f>
        <v>-3.5339999999999998</v>
      </c>
      <c r="AG6" s="305">
        <f>ExistingCapacity!AT29/1000</f>
        <v>-3.5339999999999998</v>
      </c>
      <c r="AH6" s="305">
        <f>ExistingCapacity!AU29/1000</f>
        <v>-1.845</v>
      </c>
      <c r="AI6" s="305">
        <f>ExistingCapacity!AV29/1000</f>
        <v>-3.7650000000000001</v>
      </c>
      <c r="AJ6" s="305">
        <f>ExistingCapacity!AW29/1000</f>
        <v>-1.92</v>
      </c>
      <c r="AK6" s="305">
        <f>ExistingCapacity!AX29/1000</f>
        <v>0</v>
      </c>
      <c r="AL6" s="305">
        <f>ExistingCapacity!AY29/1000</f>
        <v>0</v>
      </c>
      <c r="AM6" s="305">
        <f>ExistingCapacity!AZ29/1000</f>
        <v>0</v>
      </c>
      <c r="AN6" s="305">
        <f>ExistingCapacity!BA29/1000</f>
        <v>0</v>
      </c>
      <c r="AO6" s="305">
        <f>ExistingCapacity!BB29/1000</f>
        <v>0</v>
      </c>
      <c r="AP6" s="305">
        <f>ExistingCapacity!BC29/1000</f>
        <v>0</v>
      </c>
      <c r="AQ6" s="305">
        <f>ExistingCapacity!BD29/1000</f>
        <v>-1.9215</v>
      </c>
      <c r="AR6" s="305">
        <f>ExistingCapacity!BE29/1000</f>
        <v>-1.9215</v>
      </c>
      <c r="AS6" s="305">
        <f>ExistingCapacity!BF29/1000</f>
        <v>0</v>
      </c>
      <c r="AT6" s="305">
        <f>ExistingCapacity!BG29/1000</f>
        <v>0</v>
      </c>
      <c r="AU6" s="305">
        <f>ExistingCapacity!BH29/1000</f>
        <v>0</v>
      </c>
      <c r="AV6" s="305">
        <f>ExistingCapacity!BI29/1000</f>
        <v>0</v>
      </c>
    </row>
    <row r="7" spans="2:48">
      <c r="B7" s="278" t="s">
        <v>60</v>
      </c>
      <c r="C7" s="199">
        <f t="shared" si="0"/>
        <v>5.434444444444444</v>
      </c>
      <c r="D7" s="200">
        <f t="shared" si="0"/>
        <v>5.434444444444444</v>
      </c>
      <c r="E7" s="200">
        <f t="shared" si="0"/>
        <v>5.434444444444444</v>
      </c>
      <c r="F7" s="200">
        <f t="shared" si="0"/>
        <v>5.434444444444444</v>
      </c>
      <c r="G7" s="201">
        <f>ExistingCapacity!J30/1000</f>
        <v>5.434444444444444</v>
      </c>
      <c r="H7" s="305">
        <f>ExistingCapacity!U30/1000</f>
        <v>0.68300000000000005</v>
      </c>
      <c r="I7" s="305">
        <f>ExistingCapacity!V30/1000</f>
        <v>0.40400000000000003</v>
      </c>
      <c r="J7" s="305">
        <f>ExistingCapacity!W30/1000</f>
        <v>0</v>
      </c>
      <c r="K7" s="305">
        <f>ExistingCapacity!X30/1000</f>
        <v>0</v>
      </c>
      <c r="L7" s="305">
        <f>ExistingCapacity!Y30/1000</f>
        <v>0</v>
      </c>
      <c r="M7" s="305">
        <f>ExistingCapacity!Z30/1000</f>
        <v>0</v>
      </c>
      <c r="N7" s="305">
        <f>ExistingCapacity!AA30/1000</f>
        <v>-3.7499999999999999E-2</v>
      </c>
      <c r="O7" s="305">
        <f>ExistingCapacity!AB30/1000</f>
        <v>-3.7499999999999999E-2</v>
      </c>
      <c r="P7" s="305">
        <f>ExistingCapacity!AC30/1000</f>
        <v>-0.05</v>
      </c>
      <c r="Q7" s="305">
        <f>ExistingCapacity!AD30/1000</f>
        <v>-0.05</v>
      </c>
      <c r="R7" s="305">
        <f>ExistingCapacity!AE30/1000</f>
        <v>-0.95</v>
      </c>
      <c r="S7" s="305">
        <f>ExistingCapacity!AF30/1000</f>
        <v>-0.95</v>
      </c>
      <c r="T7" s="305">
        <f>ExistingCapacity!AG30/1000</f>
        <v>0</v>
      </c>
      <c r="U7" s="305">
        <f>ExistingCapacity!AH30/1000</f>
        <v>0</v>
      </c>
      <c r="V7" s="305">
        <f>ExistingCapacity!AI30/1000</f>
        <v>0</v>
      </c>
      <c r="W7" s="305">
        <f>ExistingCapacity!AJ30/1000</f>
        <v>-0.43772222222222223</v>
      </c>
      <c r="X7" s="305">
        <f>ExistingCapacity!AK30/1000</f>
        <v>-0.43772222222222223</v>
      </c>
      <c r="Y7" s="305">
        <f>ExistingCapacity!AL30/1000</f>
        <v>0</v>
      </c>
      <c r="Z7" s="305">
        <f>ExistingCapacity!AM30/1000</f>
        <v>0</v>
      </c>
      <c r="AA7" s="305">
        <f>ExistingCapacity!AN30/1000</f>
        <v>0</v>
      </c>
      <c r="AB7" s="305">
        <f>ExistingCapacity!AO30/1000</f>
        <v>0</v>
      </c>
      <c r="AC7" s="305">
        <f>ExistingCapacity!AP30/1000</f>
        <v>0</v>
      </c>
      <c r="AD7" s="305">
        <f>ExistingCapacity!AQ30/1000</f>
        <v>-0.10199999999999999</v>
      </c>
      <c r="AE7" s="305">
        <f>ExistingCapacity!AR30/1000</f>
        <v>-0.10199999999999999</v>
      </c>
      <c r="AF7" s="305">
        <f>ExistingCapacity!AS30/1000</f>
        <v>0</v>
      </c>
      <c r="AG7" s="305">
        <f>ExistingCapacity!AT30/1000</f>
        <v>0</v>
      </c>
      <c r="AH7" s="305">
        <f>ExistingCapacity!AU30/1000</f>
        <v>0</v>
      </c>
      <c r="AI7" s="305">
        <f>ExistingCapacity!AV30/1000</f>
        <v>0</v>
      </c>
      <c r="AJ7" s="305">
        <f>ExistingCapacity!AW30/1000</f>
        <v>-0.38</v>
      </c>
      <c r="AK7" s="305">
        <f>ExistingCapacity!AX30/1000</f>
        <v>-0.38</v>
      </c>
      <c r="AL7" s="305">
        <f>ExistingCapacity!AY30/1000</f>
        <v>0</v>
      </c>
      <c r="AM7" s="305">
        <f>ExistingCapacity!AZ30/1000</f>
        <v>0</v>
      </c>
      <c r="AN7" s="305">
        <f>ExistingCapacity!BA30/1000</f>
        <v>0</v>
      </c>
      <c r="AO7" s="305">
        <f>ExistingCapacity!BB30/1000</f>
        <v>0</v>
      </c>
      <c r="AP7" s="305">
        <f>ExistingCapacity!BC30/1000</f>
        <v>0</v>
      </c>
      <c r="AQ7" s="305">
        <f>ExistingCapacity!BD30/1000</f>
        <v>0</v>
      </c>
      <c r="AR7" s="305">
        <f>ExistingCapacity!BE30/1000</f>
        <v>0</v>
      </c>
      <c r="AS7" s="305">
        <f>ExistingCapacity!BF30/1000</f>
        <v>0</v>
      </c>
      <c r="AT7" s="305">
        <f>ExistingCapacity!BG30/1000</f>
        <v>0</v>
      </c>
      <c r="AU7" s="305">
        <f>ExistingCapacity!BH30/1000</f>
        <v>0</v>
      </c>
      <c r="AV7" s="305">
        <f>ExistingCapacity!BI30/1000</f>
        <v>0</v>
      </c>
    </row>
    <row r="8" spans="2:48">
      <c r="B8" s="278" t="s">
        <v>15</v>
      </c>
      <c r="C8" s="199">
        <f t="shared" si="0"/>
        <v>2.4</v>
      </c>
      <c r="D8" s="200">
        <f t="shared" si="0"/>
        <v>2.4</v>
      </c>
      <c r="E8" s="200">
        <f t="shared" si="0"/>
        <v>2.4</v>
      </c>
      <c r="F8" s="200">
        <f t="shared" si="0"/>
        <v>2.4</v>
      </c>
      <c r="G8" s="201">
        <f>ExistingCapacity!J35/1000</f>
        <v>2.4</v>
      </c>
      <c r="H8" s="305">
        <f>ExistingCapacity!U35/1000</f>
        <v>0</v>
      </c>
      <c r="I8" s="305">
        <f>ExistingCapacity!V35/1000</f>
        <v>0</v>
      </c>
      <c r="J8" s="305">
        <f>ExistingCapacity!W35/1000</f>
        <v>0</v>
      </c>
      <c r="K8" s="305">
        <f>ExistingCapacity!X35/1000</f>
        <v>0</v>
      </c>
      <c r="L8" s="305">
        <f>ExistingCapacity!Y35/1000</f>
        <v>0</v>
      </c>
      <c r="M8" s="305">
        <f>ExistingCapacity!Z35/1000</f>
        <v>0</v>
      </c>
      <c r="N8" s="305">
        <f>ExistingCapacity!AA35/1000</f>
        <v>0</v>
      </c>
      <c r="O8" s="305">
        <f>ExistingCapacity!AB35/1000</f>
        <v>0</v>
      </c>
      <c r="P8" s="305">
        <f>ExistingCapacity!AC35/1000</f>
        <v>0</v>
      </c>
      <c r="Q8" s="305">
        <f>ExistingCapacity!AD35/1000</f>
        <v>0</v>
      </c>
      <c r="R8" s="305">
        <f>ExistingCapacity!AE35/1000</f>
        <v>0</v>
      </c>
      <c r="S8" s="305">
        <f>ExistingCapacity!AF35/1000</f>
        <v>0</v>
      </c>
      <c r="T8" s="305">
        <f>ExistingCapacity!AG35/1000</f>
        <v>0</v>
      </c>
      <c r="U8" s="305">
        <f>ExistingCapacity!AH35/1000</f>
        <v>0</v>
      </c>
      <c r="V8" s="305">
        <f>ExistingCapacity!AI35/1000</f>
        <v>0</v>
      </c>
      <c r="W8" s="305">
        <f>ExistingCapacity!AJ35/1000</f>
        <v>0</v>
      </c>
      <c r="X8" s="305">
        <f>ExistingCapacity!AK35/1000</f>
        <v>0</v>
      </c>
      <c r="Y8" s="305">
        <f>ExistingCapacity!AL35/1000</f>
        <v>0</v>
      </c>
      <c r="Z8" s="305">
        <f>ExistingCapacity!AM35/1000</f>
        <v>0</v>
      </c>
      <c r="AA8" s="305">
        <f>ExistingCapacity!AN35/1000</f>
        <v>0</v>
      </c>
      <c r="AB8" s="305">
        <f>ExistingCapacity!AO35/1000</f>
        <v>-0.17100000000000001</v>
      </c>
      <c r="AC8" s="305">
        <f>ExistingCapacity!AP35/1000</f>
        <v>-1.2</v>
      </c>
      <c r="AD8" s="305">
        <f>ExistingCapacity!AQ35/1000</f>
        <v>-1.0289999999999999</v>
      </c>
      <c r="AE8" s="305">
        <f>ExistingCapacity!AR35/1000</f>
        <v>0</v>
      </c>
      <c r="AF8" s="305">
        <f>ExistingCapacity!AS35/1000</f>
        <v>0</v>
      </c>
      <c r="AG8" s="305">
        <f>ExistingCapacity!AT35/1000</f>
        <v>0</v>
      </c>
      <c r="AH8" s="305">
        <f>ExistingCapacity!AU35/1000</f>
        <v>0</v>
      </c>
      <c r="AI8" s="305">
        <f>ExistingCapacity!AV35/1000</f>
        <v>0</v>
      </c>
      <c r="AJ8" s="305">
        <f>ExistingCapacity!AW35/1000</f>
        <v>0</v>
      </c>
      <c r="AK8" s="305">
        <f>ExistingCapacity!AX35/1000</f>
        <v>0</v>
      </c>
      <c r="AL8" s="305">
        <f>ExistingCapacity!AY35/1000</f>
        <v>0</v>
      </c>
      <c r="AM8" s="305">
        <f>ExistingCapacity!AZ35/1000</f>
        <v>0</v>
      </c>
      <c r="AN8" s="305">
        <f>ExistingCapacity!BA35/1000</f>
        <v>0</v>
      </c>
      <c r="AO8" s="305">
        <f>ExistingCapacity!BB35/1000</f>
        <v>0</v>
      </c>
      <c r="AP8" s="305">
        <f>ExistingCapacity!BC35/1000</f>
        <v>0</v>
      </c>
      <c r="AQ8" s="305">
        <f>ExistingCapacity!BD35/1000</f>
        <v>0</v>
      </c>
      <c r="AR8" s="305">
        <f>ExistingCapacity!BE35/1000</f>
        <v>0</v>
      </c>
      <c r="AS8" s="305">
        <f>ExistingCapacity!BF35/1000</f>
        <v>0</v>
      </c>
      <c r="AT8" s="305">
        <f>ExistingCapacity!BG35/1000</f>
        <v>0</v>
      </c>
      <c r="AU8" s="305">
        <f>ExistingCapacity!BH35/1000</f>
        <v>0</v>
      </c>
      <c r="AV8" s="305">
        <f>ExistingCapacity!BI35/1000</f>
        <v>0</v>
      </c>
    </row>
    <row r="9" spans="2:48">
      <c r="B9" s="278" t="s">
        <v>24</v>
      </c>
      <c r="C9" s="199">
        <f t="shared" si="0"/>
        <v>1.8</v>
      </c>
      <c r="D9" s="200">
        <f t="shared" si="0"/>
        <v>1.8</v>
      </c>
      <c r="E9" s="200">
        <f t="shared" si="0"/>
        <v>1.8</v>
      </c>
      <c r="F9" s="200">
        <f t="shared" si="0"/>
        <v>1.8</v>
      </c>
      <c r="G9" s="201">
        <f>ExistingCapacity!J45/1000</f>
        <v>1.8</v>
      </c>
      <c r="H9" s="305">
        <f>ExistingCapacity!U32/1000</f>
        <v>0</v>
      </c>
      <c r="I9" s="305">
        <f>ExistingCapacity!V32/1000</f>
        <v>0</v>
      </c>
      <c r="J9" s="305">
        <f>ExistingCapacity!W32/1000</f>
        <v>0</v>
      </c>
      <c r="K9" s="305">
        <f>ExistingCapacity!X32/1000</f>
        <v>0</v>
      </c>
      <c r="L9" s="305">
        <f>ExistingCapacity!Y32/1000</f>
        <v>0</v>
      </c>
      <c r="M9" s="305">
        <f>ExistingCapacity!Z32/1000</f>
        <v>0</v>
      </c>
      <c r="N9" s="305">
        <f>ExistingCapacity!AA32/1000</f>
        <v>0</v>
      </c>
      <c r="O9" s="305">
        <f>ExistingCapacity!AB32/1000</f>
        <v>0</v>
      </c>
      <c r="P9" s="305">
        <f>ExistingCapacity!AC32/1000</f>
        <v>0</v>
      </c>
      <c r="Q9" s="305">
        <f>ExistingCapacity!AD32/1000</f>
        <v>0</v>
      </c>
      <c r="R9" s="305">
        <f>ExistingCapacity!AE32/1000</f>
        <v>0</v>
      </c>
      <c r="S9" s="305">
        <f>ExistingCapacity!AF32/1000</f>
        <v>0</v>
      </c>
      <c r="T9" s="305">
        <f>ExistingCapacity!AG32/1000</f>
        <v>0</v>
      </c>
      <c r="U9" s="305">
        <f>ExistingCapacity!AH32/1000</f>
        <v>0</v>
      </c>
      <c r="V9" s="305">
        <f>ExistingCapacity!AI32/1000</f>
        <v>0</v>
      </c>
      <c r="W9" s="305">
        <f>ExistingCapacity!AJ32/1000</f>
        <v>0</v>
      </c>
      <c r="X9" s="305">
        <f>ExistingCapacity!AK32/1000</f>
        <v>0</v>
      </c>
      <c r="Y9" s="305">
        <f>ExistingCapacity!AL32/1000</f>
        <v>0</v>
      </c>
      <c r="Z9" s="305">
        <f>ExistingCapacity!AM32/1000</f>
        <v>0</v>
      </c>
      <c r="AA9" s="305">
        <f>ExistingCapacity!AN32/1000</f>
        <v>0</v>
      </c>
      <c r="AB9" s="305">
        <f>ExistingCapacity!AO32/1000</f>
        <v>0</v>
      </c>
      <c r="AC9" s="305">
        <f>ExistingCapacity!AP32/1000</f>
        <v>-0.66149999999999998</v>
      </c>
      <c r="AD9" s="305">
        <f>ExistingCapacity!AQ32/1000</f>
        <v>-0.66149999999999998</v>
      </c>
      <c r="AE9" s="305">
        <f>ExistingCapacity!AR32/1000</f>
        <v>0</v>
      </c>
      <c r="AF9" s="305">
        <f>ExistingCapacity!AS32/1000</f>
        <v>0</v>
      </c>
      <c r="AG9" s="305">
        <f>ExistingCapacity!AT32/1000</f>
        <v>0</v>
      </c>
      <c r="AH9" s="305">
        <f>ExistingCapacity!AU32/1000</f>
        <v>0</v>
      </c>
      <c r="AI9" s="305">
        <f>ExistingCapacity!AV32/1000</f>
        <v>0</v>
      </c>
      <c r="AJ9" s="305">
        <f>ExistingCapacity!AW32/1000</f>
        <v>0</v>
      </c>
      <c r="AK9" s="305">
        <f>ExistingCapacity!AX32/1000</f>
        <v>0</v>
      </c>
      <c r="AL9" s="305">
        <f>ExistingCapacity!AY32/1000</f>
        <v>0</v>
      </c>
      <c r="AM9" s="305">
        <f>ExistingCapacity!AZ32/1000</f>
        <v>0</v>
      </c>
      <c r="AN9" s="305">
        <f>ExistingCapacity!BA32/1000</f>
        <v>0</v>
      </c>
      <c r="AO9" s="305">
        <f>ExistingCapacity!BB32/1000</f>
        <v>0</v>
      </c>
      <c r="AP9" s="305">
        <f>ExistingCapacity!BC32/1000</f>
        <v>0</v>
      </c>
      <c r="AQ9" s="305">
        <f>ExistingCapacity!BD32/1000</f>
        <v>0</v>
      </c>
      <c r="AR9" s="305">
        <f>ExistingCapacity!BE32/1000</f>
        <v>0</v>
      </c>
      <c r="AS9" s="305">
        <f>ExistingCapacity!BF32/1000</f>
        <v>0</v>
      </c>
      <c r="AT9" s="305">
        <f>ExistingCapacity!BG32/1000</f>
        <v>0</v>
      </c>
      <c r="AU9" s="305">
        <f>ExistingCapacity!BH32/1000</f>
        <v>0</v>
      </c>
      <c r="AV9" s="305">
        <f>ExistingCapacity!BI32/1000</f>
        <v>0</v>
      </c>
    </row>
    <row r="10" spans="2:48">
      <c r="B10" s="278" t="s">
        <v>3</v>
      </c>
      <c r="C10" s="199">
        <f t="shared" si="0"/>
        <v>0.66500000000000004</v>
      </c>
      <c r="D10" s="200">
        <f t="shared" si="0"/>
        <v>0.66500000000000004</v>
      </c>
      <c r="E10" s="200">
        <f t="shared" si="0"/>
        <v>0.66500000000000004</v>
      </c>
      <c r="F10" s="200">
        <f t="shared" si="0"/>
        <v>0.66500000000000004</v>
      </c>
      <c r="G10" s="201">
        <f>ExistingCapacity!J40/1000</f>
        <v>0.66500000000000004</v>
      </c>
      <c r="H10" s="305">
        <f>ExistingCapacity!U40/1000</f>
        <v>0</v>
      </c>
      <c r="I10" s="305">
        <f>ExistingCapacity!V40/1000</f>
        <v>0</v>
      </c>
      <c r="J10" s="305">
        <f>ExistingCapacity!W40/1000</f>
        <v>0</v>
      </c>
      <c r="K10" s="305">
        <f>ExistingCapacity!X40/1000</f>
        <v>0</v>
      </c>
      <c r="L10" s="305">
        <f>ExistingCapacity!Y40/1000</f>
        <v>0</v>
      </c>
      <c r="M10" s="305">
        <f>ExistingCapacity!Z40/1000</f>
        <v>0</v>
      </c>
      <c r="N10" s="305">
        <f>ExistingCapacity!AA40/1000</f>
        <v>0</v>
      </c>
      <c r="O10" s="305">
        <f>ExistingCapacity!AB40/1000</f>
        <v>0</v>
      </c>
      <c r="P10" s="305">
        <f>ExistingCapacity!AC40/1000</f>
        <v>0</v>
      </c>
      <c r="Q10" s="305">
        <f>ExistingCapacity!AD40/1000</f>
        <v>0</v>
      </c>
      <c r="R10" s="305">
        <f>ExistingCapacity!AE40/1000</f>
        <v>0</v>
      </c>
      <c r="S10" s="305">
        <f>ExistingCapacity!AF40/1000</f>
        <v>0</v>
      </c>
      <c r="T10" s="305">
        <f>ExistingCapacity!AG40/1000</f>
        <v>0</v>
      </c>
      <c r="U10" s="305">
        <f>ExistingCapacity!AH40/1000</f>
        <v>0</v>
      </c>
      <c r="V10" s="305">
        <f>ExistingCapacity!AI40/1000</f>
        <v>0</v>
      </c>
      <c r="W10" s="305">
        <f>ExistingCapacity!AJ40/1000</f>
        <v>0</v>
      </c>
      <c r="X10" s="305">
        <f>ExistingCapacity!AK40/1000</f>
        <v>0</v>
      </c>
      <c r="Y10" s="305">
        <f>ExistingCapacity!AL40/1000</f>
        <v>0</v>
      </c>
      <c r="Z10" s="305">
        <f>ExistingCapacity!AM40/1000</f>
        <v>0</v>
      </c>
      <c r="AA10" s="305">
        <f>ExistingCapacity!AN40/1000</f>
        <v>0</v>
      </c>
      <c r="AB10" s="305">
        <f>ExistingCapacity!AO40/1000</f>
        <v>0</v>
      </c>
      <c r="AC10" s="305">
        <f>ExistingCapacity!AP40/1000</f>
        <v>0</v>
      </c>
      <c r="AD10" s="305">
        <f>ExistingCapacity!AQ40/1000</f>
        <v>0</v>
      </c>
      <c r="AE10" s="305">
        <f>ExistingCapacity!AR40/1000</f>
        <v>0</v>
      </c>
      <c r="AF10" s="305">
        <f>ExistingCapacity!AS40/1000</f>
        <v>0</v>
      </c>
      <c r="AG10" s="305">
        <f>ExistingCapacity!AT40/1000</f>
        <v>0</v>
      </c>
      <c r="AH10" s="305">
        <f>ExistingCapacity!AU40/1000</f>
        <v>0</v>
      </c>
      <c r="AI10" s="305">
        <f>ExistingCapacity!AV40/1000</f>
        <v>0</v>
      </c>
      <c r="AJ10" s="305">
        <f>ExistingCapacity!AW40/1000</f>
        <v>0</v>
      </c>
      <c r="AK10" s="305">
        <f>ExistingCapacity!AX40/1000</f>
        <v>0</v>
      </c>
      <c r="AL10" s="305">
        <f>ExistingCapacity!AY40/1000</f>
        <v>0</v>
      </c>
      <c r="AM10" s="305">
        <f>ExistingCapacity!AZ40/1000</f>
        <v>0</v>
      </c>
      <c r="AN10" s="305">
        <f>ExistingCapacity!BA40/1000</f>
        <v>0</v>
      </c>
      <c r="AO10" s="305">
        <f>ExistingCapacity!BB40/1000</f>
        <v>0</v>
      </c>
      <c r="AP10" s="305">
        <f>ExistingCapacity!BC40/1000</f>
        <v>0</v>
      </c>
      <c r="AQ10" s="305">
        <f>ExistingCapacity!BD40/1000</f>
        <v>0</v>
      </c>
      <c r="AR10" s="305">
        <f>ExistingCapacity!BE40/1000</f>
        <v>0</v>
      </c>
      <c r="AS10" s="305">
        <f>ExistingCapacity!BF40/1000</f>
        <v>0</v>
      </c>
      <c r="AT10" s="305">
        <f>ExistingCapacity!BG40/1000</f>
        <v>0</v>
      </c>
      <c r="AU10" s="305">
        <f>ExistingCapacity!BH40/1000</f>
        <v>0</v>
      </c>
      <c r="AV10" s="305">
        <f>ExistingCapacity!BI40/1000</f>
        <v>0</v>
      </c>
    </row>
    <row r="11" spans="2:48">
      <c r="B11" s="278" t="s">
        <v>8</v>
      </c>
      <c r="C11" s="199">
        <f t="shared" si="0"/>
        <v>7.0000000000000007E-2</v>
      </c>
      <c r="D11" s="200">
        <f t="shared" si="0"/>
        <v>7.0000000000000007E-2</v>
      </c>
      <c r="E11" s="200">
        <f t="shared" si="0"/>
        <v>7.0000000000000007E-2</v>
      </c>
      <c r="F11" s="200">
        <f t="shared" si="0"/>
        <v>7.0000000000000007E-2</v>
      </c>
      <c r="G11" s="202">
        <v>7.0000000000000007E-2</v>
      </c>
      <c r="H11" s="199"/>
      <c r="I11" s="204"/>
      <c r="J11" s="204"/>
      <c r="K11" s="204"/>
      <c r="L11" s="204"/>
      <c r="M11" s="204"/>
      <c r="N11" s="204"/>
      <c r="O11" s="204"/>
      <c r="P11" s="204"/>
      <c r="Q11" s="204"/>
      <c r="R11" s="204"/>
      <c r="S11" s="204"/>
      <c r="T11" s="204"/>
      <c r="U11" s="204"/>
      <c r="V11" s="204"/>
      <c r="W11" s="204"/>
      <c r="X11" s="204"/>
      <c r="Y11" s="204"/>
      <c r="Z11" s="204"/>
      <c r="AA11" s="204"/>
      <c r="AB11" s="204"/>
      <c r="AC11" s="204"/>
      <c r="AD11" s="204"/>
      <c r="AE11" s="204"/>
      <c r="AF11" s="204"/>
      <c r="AG11" s="204"/>
      <c r="AH11" s="204"/>
      <c r="AI11" s="204"/>
      <c r="AJ11" s="204"/>
      <c r="AK11" s="204"/>
      <c r="AL11" s="204"/>
      <c r="AM11" s="204"/>
      <c r="AN11" s="204"/>
      <c r="AO11" s="204"/>
      <c r="AP11" s="204"/>
      <c r="AQ11" s="204"/>
      <c r="AR11" s="204"/>
      <c r="AS11" s="204"/>
      <c r="AT11" s="204"/>
      <c r="AU11" s="204"/>
      <c r="AV11" s="202"/>
    </row>
    <row r="12" spans="2:48">
      <c r="B12" s="278" t="s">
        <v>22</v>
      </c>
      <c r="C12" s="199">
        <f t="shared" si="0"/>
        <v>0.19</v>
      </c>
      <c r="D12" s="200">
        <f t="shared" si="0"/>
        <v>0.19</v>
      </c>
      <c r="E12" s="200">
        <f t="shared" si="0"/>
        <v>0.19</v>
      </c>
      <c r="F12" s="200">
        <f t="shared" si="0"/>
        <v>0.19</v>
      </c>
      <c r="G12" s="202">
        <v>0.19</v>
      </c>
      <c r="H12" s="199"/>
      <c r="I12" s="204"/>
      <c r="J12" s="204"/>
      <c r="K12" s="204"/>
      <c r="L12" s="204"/>
      <c r="M12" s="204"/>
      <c r="N12" s="204"/>
      <c r="O12" s="204"/>
      <c r="P12" s="204"/>
      <c r="Q12" s="204"/>
      <c r="R12" s="204"/>
      <c r="S12" s="204"/>
      <c r="T12" s="204"/>
      <c r="U12" s="204"/>
      <c r="V12" s="204"/>
      <c r="W12" s="204"/>
      <c r="X12" s="204"/>
      <c r="Y12" s="204"/>
      <c r="Z12" s="204"/>
      <c r="AA12" s="204"/>
      <c r="AB12" s="204"/>
      <c r="AC12" s="204"/>
      <c r="AD12" s="204"/>
      <c r="AE12" s="204"/>
      <c r="AF12" s="204"/>
      <c r="AG12" s="204"/>
      <c r="AH12" s="204"/>
      <c r="AI12" s="204"/>
      <c r="AJ12" s="204"/>
      <c r="AK12" s="204"/>
      <c r="AL12" s="204"/>
      <c r="AM12" s="204"/>
      <c r="AN12" s="204"/>
      <c r="AO12" s="204"/>
      <c r="AP12" s="204"/>
      <c r="AQ12" s="204"/>
      <c r="AR12" s="204"/>
      <c r="AS12" s="204"/>
      <c r="AT12" s="204"/>
      <c r="AU12" s="204"/>
      <c r="AV12" s="202"/>
    </row>
    <row r="13" spans="2:48">
      <c r="B13" s="279"/>
      <c r="C13" s="203"/>
      <c r="D13" s="204"/>
      <c r="E13" s="204"/>
      <c r="F13" s="204"/>
      <c r="G13" s="202"/>
      <c r="H13" s="203"/>
      <c r="I13" s="204"/>
      <c r="J13" s="204"/>
      <c r="K13" s="204"/>
      <c r="L13" s="204"/>
      <c r="M13" s="204"/>
      <c r="N13" s="204"/>
      <c r="O13" s="204"/>
      <c r="P13" s="204"/>
      <c r="Q13" s="204"/>
      <c r="R13" s="204"/>
      <c r="S13" s="204"/>
      <c r="T13" s="204"/>
      <c r="U13" s="204"/>
      <c r="V13" s="204"/>
      <c r="W13" s="204"/>
      <c r="X13" s="204"/>
      <c r="Y13" s="204"/>
      <c r="Z13" s="204"/>
      <c r="AA13" s="204"/>
      <c r="AB13" s="204"/>
      <c r="AC13" s="204"/>
      <c r="AD13" s="204"/>
      <c r="AE13" s="204"/>
      <c r="AF13" s="204"/>
      <c r="AG13" s="204"/>
      <c r="AH13" s="204"/>
      <c r="AI13" s="204"/>
      <c r="AJ13" s="204"/>
      <c r="AK13" s="204"/>
      <c r="AL13" s="204"/>
      <c r="AM13" s="204"/>
      <c r="AN13" s="204"/>
      <c r="AO13" s="204"/>
      <c r="AP13" s="204"/>
      <c r="AQ13" s="204"/>
      <c r="AR13" s="204"/>
      <c r="AS13" s="204"/>
      <c r="AT13" s="204"/>
      <c r="AU13" s="204"/>
      <c r="AV13" s="202"/>
    </row>
    <row r="14" spans="2:48">
      <c r="B14" s="279"/>
      <c r="C14" s="203"/>
      <c r="D14" s="204"/>
      <c r="E14" s="204"/>
      <c r="F14" s="204"/>
      <c r="G14" s="202"/>
      <c r="H14" s="203"/>
      <c r="I14" s="204"/>
      <c r="J14" s="204"/>
      <c r="K14" s="204"/>
      <c r="L14" s="204"/>
      <c r="M14" s="204"/>
      <c r="N14" s="204"/>
      <c r="O14" s="204"/>
      <c r="P14" s="204"/>
      <c r="Q14" s="204"/>
      <c r="R14" s="204"/>
      <c r="S14" s="204"/>
      <c r="T14" s="204"/>
      <c r="U14" s="204"/>
      <c r="V14" s="204"/>
      <c r="W14" s="204"/>
      <c r="X14" s="204"/>
      <c r="Y14" s="204"/>
      <c r="Z14" s="204"/>
      <c r="AA14" s="204"/>
      <c r="AB14" s="204"/>
      <c r="AC14" s="204"/>
      <c r="AD14" s="204"/>
      <c r="AE14" s="204"/>
      <c r="AF14" s="204"/>
      <c r="AG14" s="204"/>
      <c r="AH14" s="204"/>
      <c r="AI14" s="204"/>
      <c r="AJ14" s="204"/>
      <c r="AK14" s="204"/>
      <c r="AL14" s="204"/>
      <c r="AM14" s="204"/>
      <c r="AN14" s="204"/>
      <c r="AO14" s="204"/>
      <c r="AP14" s="204"/>
      <c r="AQ14" s="204"/>
      <c r="AR14" s="204"/>
      <c r="AS14" s="204"/>
      <c r="AT14" s="204"/>
      <c r="AU14" s="204"/>
      <c r="AV14" s="202"/>
    </row>
    <row r="15" spans="2:48">
      <c r="B15" s="279"/>
      <c r="C15" s="203"/>
      <c r="D15" s="204"/>
      <c r="E15" s="204"/>
      <c r="F15" s="204"/>
      <c r="G15" s="202"/>
      <c r="H15" s="203"/>
      <c r="I15" s="204"/>
      <c r="J15" s="204"/>
      <c r="K15" s="204"/>
      <c r="L15" s="204"/>
      <c r="M15" s="204"/>
      <c r="N15" s="204"/>
      <c r="O15" s="204"/>
      <c r="P15" s="204"/>
      <c r="Q15" s="204"/>
      <c r="R15" s="204"/>
      <c r="S15" s="204"/>
      <c r="T15" s="204"/>
      <c r="U15" s="204"/>
      <c r="V15" s="204"/>
      <c r="W15" s="204"/>
      <c r="X15" s="204"/>
      <c r="Y15" s="204"/>
      <c r="Z15" s="204"/>
      <c r="AA15" s="204"/>
      <c r="AB15" s="204"/>
      <c r="AC15" s="204"/>
      <c r="AD15" s="204"/>
      <c r="AE15" s="204"/>
      <c r="AF15" s="204"/>
      <c r="AG15" s="204"/>
      <c r="AH15" s="204"/>
      <c r="AI15" s="204"/>
      <c r="AJ15" s="204"/>
      <c r="AK15" s="204"/>
      <c r="AL15" s="204"/>
      <c r="AM15" s="204"/>
      <c r="AN15" s="204"/>
      <c r="AO15" s="204"/>
      <c r="AP15" s="204"/>
      <c r="AQ15" s="204"/>
      <c r="AR15" s="204"/>
      <c r="AS15" s="204"/>
      <c r="AT15" s="204"/>
      <c r="AU15" s="204"/>
      <c r="AV15" s="202"/>
    </row>
    <row r="16" spans="2:48">
      <c r="B16" s="279"/>
      <c r="C16" s="203"/>
      <c r="D16" s="204"/>
      <c r="E16" s="204"/>
      <c r="F16" s="204"/>
      <c r="G16" s="202"/>
      <c r="H16" s="203"/>
      <c r="I16" s="204"/>
      <c r="J16" s="204"/>
      <c r="K16" s="204"/>
      <c r="L16" s="204"/>
      <c r="M16" s="204"/>
      <c r="N16" s="204"/>
      <c r="O16" s="204"/>
      <c r="P16" s="204"/>
      <c r="Q16" s="204"/>
      <c r="R16" s="204"/>
      <c r="S16" s="204"/>
      <c r="T16" s="204"/>
      <c r="U16" s="204"/>
      <c r="V16" s="204"/>
      <c r="W16" s="204"/>
      <c r="X16" s="204"/>
      <c r="Y16" s="204"/>
      <c r="Z16" s="204"/>
      <c r="AA16" s="204"/>
      <c r="AB16" s="204"/>
      <c r="AC16" s="204"/>
      <c r="AD16" s="204"/>
      <c r="AE16" s="204"/>
      <c r="AF16" s="204"/>
      <c r="AG16" s="204"/>
      <c r="AH16" s="204"/>
      <c r="AI16" s="204"/>
      <c r="AJ16" s="204"/>
      <c r="AK16" s="204"/>
      <c r="AL16" s="204"/>
      <c r="AM16" s="204"/>
      <c r="AN16" s="204"/>
      <c r="AO16" s="204"/>
      <c r="AP16" s="204"/>
      <c r="AQ16" s="204"/>
      <c r="AR16" s="204"/>
      <c r="AS16" s="204"/>
      <c r="AT16" s="204"/>
      <c r="AU16" s="204"/>
      <c r="AV16" s="202"/>
    </row>
    <row r="17" spans="2:48">
      <c r="B17" s="279"/>
      <c r="C17" s="203"/>
      <c r="D17" s="204"/>
      <c r="E17" s="204"/>
      <c r="F17" s="204"/>
      <c r="G17" s="202"/>
      <c r="H17" s="203"/>
      <c r="I17" s="204"/>
      <c r="J17" s="204"/>
      <c r="K17" s="204"/>
      <c r="L17" s="204"/>
      <c r="M17" s="204"/>
      <c r="N17" s="204"/>
      <c r="O17" s="204"/>
      <c r="P17" s="204"/>
      <c r="Q17" s="204"/>
      <c r="R17" s="204"/>
      <c r="S17" s="204"/>
      <c r="T17" s="204"/>
      <c r="U17" s="204"/>
      <c r="V17" s="204"/>
      <c r="W17" s="204"/>
      <c r="X17" s="204"/>
      <c r="Y17" s="204"/>
      <c r="Z17" s="204"/>
      <c r="AA17" s="204"/>
      <c r="AB17" s="204"/>
      <c r="AC17" s="204"/>
      <c r="AD17" s="204"/>
      <c r="AE17" s="204"/>
      <c r="AF17" s="204"/>
      <c r="AG17" s="204"/>
      <c r="AH17" s="204"/>
      <c r="AI17" s="204"/>
      <c r="AJ17" s="204"/>
      <c r="AK17" s="204"/>
      <c r="AL17" s="204"/>
      <c r="AM17" s="204"/>
      <c r="AN17" s="204"/>
      <c r="AO17" s="204"/>
      <c r="AP17" s="204"/>
      <c r="AQ17" s="204"/>
      <c r="AR17" s="204"/>
      <c r="AS17" s="204"/>
      <c r="AT17" s="204"/>
      <c r="AU17" s="204"/>
      <c r="AV17" s="202"/>
    </row>
    <row r="18" spans="2:48">
      <c r="B18" s="279"/>
      <c r="C18" s="203"/>
      <c r="D18" s="204"/>
      <c r="E18" s="204"/>
      <c r="F18" s="204"/>
      <c r="G18" s="202"/>
      <c r="H18" s="203"/>
      <c r="I18" s="204"/>
      <c r="J18" s="204"/>
      <c r="K18" s="204"/>
      <c r="L18" s="204"/>
      <c r="M18" s="204"/>
      <c r="N18" s="204"/>
      <c r="O18" s="204"/>
      <c r="P18" s="204"/>
      <c r="Q18" s="204"/>
      <c r="R18" s="204"/>
      <c r="S18" s="204"/>
      <c r="T18" s="204"/>
      <c r="U18" s="204"/>
      <c r="V18" s="204"/>
      <c r="W18" s="204"/>
      <c r="X18" s="204"/>
      <c r="Y18" s="204"/>
      <c r="Z18" s="204"/>
      <c r="AA18" s="204"/>
      <c r="AB18" s="204"/>
      <c r="AC18" s="204"/>
      <c r="AD18" s="204"/>
      <c r="AE18" s="204"/>
      <c r="AF18" s="204"/>
      <c r="AG18" s="204"/>
      <c r="AH18" s="204"/>
      <c r="AI18" s="204"/>
      <c r="AJ18" s="204"/>
      <c r="AK18" s="204"/>
      <c r="AL18" s="204"/>
      <c r="AM18" s="204"/>
      <c r="AN18" s="204"/>
      <c r="AO18" s="204"/>
      <c r="AP18" s="204"/>
      <c r="AQ18" s="204"/>
      <c r="AR18" s="204"/>
      <c r="AS18" s="204"/>
      <c r="AT18" s="204"/>
      <c r="AU18" s="204"/>
      <c r="AV18" s="202"/>
    </row>
    <row r="19" spans="2:48">
      <c r="B19" s="279"/>
      <c r="C19" s="203"/>
      <c r="D19" s="204"/>
      <c r="E19" s="204"/>
      <c r="F19" s="204"/>
      <c r="G19" s="202"/>
      <c r="H19" s="203"/>
      <c r="I19" s="204"/>
      <c r="J19" s="204"/>
      <c r="K19" s="204"/>
      <c r="L19" s="204"/>
      <c r="M19" s="204"/>
      <c r="N19" s="204"/>
      <c r="O19" s="204"/>
      <c r="P19" s="204"/>
      <c r="Q19" s="204"/>
      <c r="R19" s="204"/>
      <c r="S19" s="204"/>
      <c r="T19" s="204"/>
      <c r="U19" s="204"/>
      <c r="V19" s="204"/>
      <c r="W19" s="204"/>
      <c r="X19" s="204"/>
      <c r="Y19" s="204"/>
      <c r="Z19" s="204"/>
      <c r="AA19" s="204"/>
      <c r="AB19" s="204"/>
      <c r="AC19" s="204"/>
      <c r="AD19" s="204"/>
      <c r="AE19" s="204"/>
      <c r="AF19" s="204"/>
      <c r="AG19" s="204"/>
      <c r="AH19" s="204"/>
      <c r="AI19" s="204"/>
      <c r="AJ19" s="204"/>
      <c r="AK19" s="204"/>
      <c r="AL19" s="204"/>
      <c r="AM19" s="204"/>
      <c r="AN19" s="204"/>
      <c r="AO19" s="204"/>
      <c r="AP19" s="204"/>
      <c r="AQ19" s="204"/>
      <c r="AR19" s="204"/>
      <c r="AS19" s="204"/>
      <c r="AT19" s="204"/>
      <c r="AU19" s="204"/>
      <c r="AV19" s="202"/>
    </row>
    <row r="20" spans="2:48">
      <c r="B20" s="279"/>
      <c r="C20" s="203"/>
      <c r="D20" s="204"/>
      <c r="E20" s="204"/>
      <c r="F20" s="204"/>
      <c r="G20" s="202"/>
      <c r="H20" s="203"/>
      <c r="I20" s="204"/>
      <c r="J20" s="204"/>
      <c r="K20" s="204"/>
      <c r="L20" s="204"/>
      <c r="M20" s="204"/>
      <c r="N20" s="204"/>
      <c r="O20" s="204"/>
      <c r="P20" s="204"/>
      <c r="Q20" s="204"/>
      <c r="R20" s="204"/>
      <c r="S20" s="204"/>
      <c r="T20" s="204"/>
      <c r="U20" s="204"/>
      <c r="V20" s="204"/>
      <c r="W20" s="204"/>
      <c r="X20" s="204"/>
      <c r="Y20" s="204"/>
      <c r="Z20" s="204"/>
      <c r="AA20" s="204"/>
      <c r="AB20" s="204"/>
      <c r="AC20" s="204"/>
      <c r="AD20" s="204"/>
      <c r="AE20" s="204"/>
      <c r="AF20" s="204"/>
      <c r="AG20" s="204"/>
      <c r="AH20" s="204"/>
      <c r="AI20" s="204"/>
      <c r="AJ20" s="204"/>
      <c r="AK20" s="204"/>
      <c r="AL20" s="204"/>
      <c r="AM20" s="204"/>
      <c r="AN20" s="204"/>
      <c r="AO20" s="204"/>
      <c r="AP20" s="204"/>
      <c r="AQ20" s="204"/>
      <c r="AR20" s="204"/>
      <c r="AS20" s="204"/>
      <c r="AT20" s="204"/>
      <c r="AU20" s="204"/>
      <c r="AV20" s="202"/>
    </row>
    <row r="21" spans="2:48">
      <c r="B21" s="279"/>
      <c r="C21" s="203"/>
      <c r="D21" s="204"/>
      <c r="E21" s="204"/>
      <c r="F21" s="204"/>
      <c r="G21" s="202"/>
      <c r="H21" s="203"/>
      <c r="I21" s="204"/>
      <c r="J21" s="204"/>
      <c r="K21" s="204"/>
      <c r="L21" s="204"/>
      <c r="M21" s="204"/>
      <c r="N21" s="204"/>
      <c r="O21" s="204"/>
      <c r="P21" s="204"/>
      <c r="Q21" s="204"/>
      <c r="R21" s="204"/>
      <c r="S21" s="204"/>
      <c r="T21" s="204"/>
      <c r="U21" s="204"/>
      <c r="V21" s="204"/>
      <c r="W21" s="204"/>
      <c r="X21" s="204"/>
      <c r="Y21" s="204"/>
      <c r="Z21" s="204"/>
      <c r="AA21" s="204"/>
      <c r="AB21" s="204"/>
      <c r="AC21" s="204"/>
      <c r="AD21" s="204"/>
      <c r="AE21" s="204"/>
      <c r="AF21" s="204"/>
      <c r="AG21" s="204"/>
      <c r="AH21" s="204"/>
      <c r="AI21" s="204"/>
      <c r="AJ21" s="204"/>
      <c r="AK21" s="204"/>
      <c r="AL21" s="204"/>
      <c r="AM21" s="204"/>
      <c r="AN21" s="204"/>
      <c r="AO21" s="204"/>
      <c r="AP21" s="204"/>
      <c r="AQ21" s="204"/>
      <c r="AR21" s="204"/>
      <c r="AS21" s="204"/>
      <c r="AT21" s="204"/>
      <c r="AU21" s="204"/>
      <c r="AV21" s="202"/>
    </row>
    <row r="22" spans="2:48">
      <c r="B22" s="279"/>
      <c r="C22" s="203"/>
      <c r="D22" s="204"/>
      <c r="E22" s="204"/>
      <c r="F22" s="204"/>
      <c r="G22" s="202"/>
      <c r="H22" s="203"/>
      <c r="I22" s="204"/>
      <c r="J22" s="204"/>
      <c r="K22" s="204"/>
      <c r="L22" s="204"/>
      <c r="M22" s="204"/>
      <c r="N22" s="204"/>
      <c r="O22" s="204"/>
      <c r="P22" s="204"/>
      <c r="Q22" s="204"/>
      <c r="R22" s="204"/>
      <c r="S22" s="204"/>
      <c r="T22" s="204"/>
      <c r="U22" s="204"/>
      <c r="V22" s="204"/>
      <c r="W22" s="204"/>
      <c r="X22" s="204"/>
      <c r="Y22" s="204"/>
      <c r="Z22" s="204"/>
      <c r="AA22" s="204"/>
      <c r="AB22" s="204"/>
      <c r="AC22" s="204"/>
      <c r="AD22" s="204"/>
      <c r="AE22" s="204"/>
      <c r="AF22" s="204"/>
      <c r="AG22" s="204"/>
      <c r="AH22" s="204"/>
      <c r="AI22" s="204"/>
      <c r="AJ22" s="204"/>
      <c r="AK22" s="204"/>
      <c r="AL22" s="204"/>
      <c r="AM22" s="204"/>
      <c r="AN22" s="204"/>
      <c r="AO22" s="204"/>
      <c r="AP22" s="204"/>
      <c r="AQ22" s="204"/>
      <c r="AR22" s="204"/>
      <c r="AS22" s="204"/>
      <c r="AT22" s="204"/>
      <c r="AU22" s="204"/>
      <c r="AV22" s="202"/>
    </row>
    <row r="23" spans="2:48">
      <c r="B23" s="279"/>
      <c r="C23" s="203"/>
      <c r="D23" s="204"/>
      <c r="E23" s="204"/>
      <c r="F23" s="204"/>
      <c r="G23" s="202"/>
      <c r="H23" s="203"/>
      <c r="I23" s="204"/>
      <c r="J23" s="204"/>
      <c r="K23" s="204"/>
      <c r="L23" s="204"/>
      <c r="M23" s="204"/>
      <c r="N23" s="204"/>
      <c r="O23" s="204"/>
      <c r="P23" s="204"/>
      <c r="Q23" s="204"/>
      <c r="R23" s="204"/>
      <c r="S23" s="204"/>
      <c r="T23" s="204"/>
      <c r="U23" s="204"/>
      <c r="V23" s="204"/>
      <c r="W23" s="204"/>
      <c r="X23" s="204"/>
      <c r="Y23" s="204"/>
      <c r="Z23" s="204"/>
      <c r="AA23" s="204"/>
      <c r="AB23" s="204"/>
      <c r="AC23" s="204"/>
      <c r="AD23" s="204"/>
      <c r="AE23" s="204"/>
      <c r="AF23" s="204"/>
      <c r="AG23" s="204"/>
      <c r="AH23" s="204"/>
      <c r="AI23" s="204"/>
      <c r="AJ23" s="204"/>
      <c r="AK23" s="204"/>
      <c r="AL23" s="204"/>
      <c r="AM23" s="204"/>
      <c r="AN23" s="204"/>
      <c r="AO23" s="204"/>
      <c r="AP23" s="204"/>
      <c r="AQ23" s="204"/>
      <c r="AR23" s="204"/>
      <c r="AS23" s="204"/>
      <c r="AT23" s="204"/>
      <c r="AU23" s="204"/>
      <c r="AV23" s="202"/>
    </row>
    <row r="24" spans="2:48">
      <c r="B24" s="279"/>
      <c r="C24" s="203"/>
      <c r="D24" s="204"/>
      <c r="E24" s="204"/>
      <c r="F24" s="204"/>
      <c r="G24" s="202"/>
      <c r="H24" s="203"/>
      <c r="I24" s="204"/>
      <c r="J24" s="204"/>
      <c r="K24" s="204"/>
      <c r="L24" s="204"/>
      <c r="M24" s="204"/>
      <c r="N24" s="204"/>
      <c r="O24" s="204"/>
      <c r="P24" s="204"/>
      <c r="Q24" s="204"/>
      <c r="R24" s="204"/>
      <c r="S24" s="204"/>
      <c r="T24" s="204"/>
      <c r="U24" s="204"/>
      <c r="V24" s="204"/>
      <c r="W24" s="204"/>
      <c r="X24" s="204"/>
      <c r="Y24" s="204"/>
      <c r="Z24" s="204"/>
      <c r="AA24" s="204"/>
      <c r="AB24" s="204"/>
      <c r="AC24" s="204"/>
      <c r="AD24" s="204"/>
      <c r="AE24" s="204"/>
      <c r="AF24" s="204"/>
      <c r="AG24" s="204"/>
      <c r="AH24" s="204"/>
      <c r="AI24" s="204"/>
      <c r="AJ24" s="204"/>
      <c r="AK24" s="204"/>
      <c r="AL24" s="204"/>
      <c r="AM24" s="204"/>
      <c r="AN24" s="204"/>
      <c r="AO24" s="204"/>
      <c r="AP24" s="204"/>
      <c r="AQ24" s="204"/>
      <c r="AR24" s="204"/>
      <c r="AS24" s="204"/>
      <c r="AT24" s="204"/>
      <c r="AU24" s="204"/>
      <c r="AV24" s="202"/>
    </row>
    <row r="25" spans="2:48">
      <c r="B25" s="280" t="s">
        <v>26</v>
      </c>
      <c r="C25" s="205">
        <v>1.5799999999999998</v>
      </c>
      <c r="D25" s="206">
        <v>1.5799999999999998</v>
      </c>
      <c r="E25" s="206">
        <v>1.5799999999999998</v>
      </c>
      <c r="F25" s="206">
        <v>1.5799999999999998</v>
      </c>
      <c r="G25" s="207">
        <v>1.5799999999999998</v>
      </c>
      <c r="H25" s="205"/>
      <c r="I25" s="206"/>
      <c r="J25" s="206"/>
      <c r="K25" s="206"/>
      <c r="L25" s="206"/>
      <c r="M25" s="206"/>
      <c r="N25" s="206"/>
      <c r="O25" s="206"/>
      <c r="P25" s="206"/>
      <c r="Q25" s="206"/>
      <c r="R25" s="206"/>
      <c r="S25" s="206"/>
      <c r="T25" s="206"/>
      <c r="U25" s="206"/>
      <c r="V25" s="206"/>
      <c r="W25" s="206"/>
      <c r="X25" s="206"/>
      <c r="Y25" s="206"/>
      <c r="Z25" s="206"/>
      <c r="AA25" s="206"/>
      <c r="AB25" s="206"/>
      <c r="AC25" s="206"/>
      <c r="AD25" s="206"/>
      <c r="AE25" s="206"/>
      <c r="AF25" s="206"/>
      <c r="AG25" s="206"/>
      <c r="AH25" s="206"/>
      <c r="AI25" s="206"/>
      <c r="AJ25" s="206"/>
      <c r="AK25" s="206"/>
      <c r="AL25" s="206"/>
      <c r="AM25" s="206"/>
      <c r="AN25" s="206"/>
      <c r="AO25" s="206"/>
      <c r="AP25" s="206"/>
      <c r="AQ25" s="206"/>
      <c r="AR25" s="206"/>
      <c r="AS25" s="206"/>
      <c r="AT25" s="206"/>
      <c r="AU25" s="206"/>
      <c r="AV25" s="207"/>
    </row>
    <row r="27" spans="2:48">
      <c r="B27" s="4" t="s">
        <v>359</v>
      </c>
      <c r="C27" s="13">
        <f t="shared" ref="C27:E27" si="1">D27</f>
        <v>2.5350000000000001</v>
      </c>
      <c r="D27" s="13">
        <f t="shared" si="1"/>
        <v>2.5350000000000001</v>
      </c>
      <c r="E27" s="13">
        <f t="shared" si="1"/>
        <v>2.5350000000000001</v>
      </c>
      <c r="F27" s="13">
        <f>G27</f>
        <v>2.5350000000000001</v>
      </c>
      <c r="G27" s="13">
        <f>ExistingCapacity!J54/1000</f>
        <v>2.5350000000000001</v>
      </c>
      <c r="H27" s="305">
        <f>ExistingCapacity!U54/1000</f>
        <v>0</v>
      </c>
      <c r="I27" s="305">
        <f>ExistingCapacity!V54/1000</f>
        <v>0</v>
      </c>
      <c r="J27" s="305">
        <f>ExistingCapacity!W54/1000</f>
        <v>0</v>
      </c>
      <c r="K27" s="305">
        <f>ExistingCapacity!X54/1000</f>
        <v>-0.55000000000000004</v>
      </c>
      <c r="L27" s="305">
        <f>ExistingCapacity!Y54/1000</f>
        <v>-0.55000000000000004</v>
      </c>
      <c r="M27" s="305">
        <f>ExistingCapacity!Z54/1000</f>
        <v>0</v>
      </c>
      <c r="N27" s="305">
        <f>ExistingCapacity!AA54/1000</f>
        <v>0</v>
      </c>
      <c r="O27" s="305">
        <f>ExistingCapacity!AB54/1000</f>
        <v>0</v>
      </c>
      <c r="P27" s="305">
        <f>ExistingCapacity!AC54/1000</f>
        <v>-2.2499999999999999E-2</v>
      </c>
      <c r="Q27" s="305">
        <f>ExistingCapacity!AD54/1000</f>
        <v>-2.2499999999999999E-2</v>
      </c>
      <c r="R27" s="305">
        <f>ExistingCapacity!AE54/1000</f>
        <v>0</v>
      </c>
      <c r="S27" s="305">
        <f>ExistingCapacity!AF54/1000</f>
        <v>0</v>
      </c>
      <c r="T27" s="305">
        <f>ExistingCapacity!AG54/1000</f>
        <v>0</v>
      </c>
      <c r="U27" s="305">
        <f>ExistingCapacity!AH54/1000</f>
        <v>0</v>
      </c>
      <c r="V27" s="305">
        <f>ExistingCapacity!AI54/1000</f>
        <v>0</v>
      </c>
      <c r="W27" s="305">
        <f>ExistingCapacity!AJ54/1000</f>
        <v>-0.4</v>
      </c>
      <c r="X27" s="305">
        <f>ExistingCapacity!AK54/1000</f>
        <v>0</v>
      </c>
      <c r="Y27" s="305">
        <f>ExistingCapacity!AL54/1000</f>
        <v>0</v>
      </c>
      <c r="Z27" s="305">
        <f>ExistingCapacity!AM54/1000</f>
        <v>0</v>
      </c>
      <c r="AA27" s="305">
        <f>ExistingCapacity!AN54/1000</f>
        <v>0</v>
      </c>
      <c r="AB27" s="305">
        <f>ExistingCapacity!AO54/1000</f>
        <v>0</v>
      </c>
      <c r="AC27" s="305">
        <f>ExistingCapacity!AP54/1000</f>
        <v>0</v>
      </c>
      <c r="AD27" s="305">
        <f>ExistingCapacity!AQ54/1000</f>
        <v>0</v>
      </c>
      <c r="AE27" s="305">
        <f>ExistingCapacity!AR54/1000</f>
        <v>0</v>
      </c>
      <c r="AF27" s="305">
        <f>ExistingCapacity!AS54/1000</f>
        <v>0</v>
      </c>
      <c r="AG27" s="305">
        <f>ExistingCapacity!AT54/1000</f>
        <v>0</v>
      </c>
      <c r="AH27" s="305">
        <f>ExistingCapacity!AU54/1000</f>
        <v>0</v>
      </c>
      <c r="AI27" s="305">
        <f>ExistingCapacity!AV54/1000</f>
        <v>0</v>
      </c>
      <c r="AJ27" s="305">
        <f>ExistingCapacity!AW54/1000</f>
        <v>0</v>
      </c>
      <c r="AK27" s="305">
        <f>ExistingCapacity!AX54/1000</f>
        <v>0</v>
      </c>
      <c r="AL27" s="305">
        <f>ExistingCapacity!AY54/1000</f>
        <v>0</v>
      </c>
      <c r="AM27" s="305">
        <f>ExistingCapacity!AZ54/1000</f>
        <v>0</v>
      </c>
      <c r="AN27" s="305">
        <f>ExistingCapacity!BA54/1000</f>
        <v>0</v>
      </c>
      <c r="AO27" s="305">
        <f>ExistingCapacity!BB54/1000</f>
        <v>0</v>
      </c>
      <c r="AP27" s="305">
        <f>ExistingCapacity!BC54/1000</f>
        <v>0</v>
      </c>
      <c r="AQ27" s="305">
        <f>ExistingCapacity!BD54/1000</f>
        <v>0</v>
      </c>
      <c r="AR27" s="305">
        <f>ExistingCapacity!BE54/1000</f>
        <v>0</v>
      </c>
      <c r="AS27" s="305">
        <f>ExistingCapacity!BF54/1000</f>
        <v>0</v>
      </c>
      <c r="AT27" s="305">
        <f>ExistingCapacity!BG54/1000</f>
        <v>0</v>
      </c>
      <c r="AU27" s="305">
        <f>ExistingCapacity!BH54/1000</f>
        <v>0</v>
      </c>
      <c r="AV27" s="305">
        <f>ExistingCapacity!BI54/1000</f>
        <v>0</v>
      </c>
    </row>
  </sheetData>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sheetPr codeName="Sheet12">
    <tabColor theme="2" tint="-0.499984740745262"/>
  </sheetPr>
  <dimension ref="A3:BK78"/>
  <sheetViews>
    <sheetView workbookViewId="0">
      <pane xSplit="1" ySplit="6" topLeftCell="E7" activePane="bottomRight" state="frozen"/>
      <selection pane="topRight" activeCell="B1" sqref="B1"/>
      <selection pane="bottomLeft" activeCell="A5" sqref="A5"/>
      <selection pane="bottomRight" activeCell="G11" sqref="G11"/>
    </sheetView>
  </sheetViews>
  <sheetFormatPr defaultRowHeight="12.75"/>
  <cols>
    <col min="1" max="1" width="20.140625" customWidth="1"/>
    <col min="2" max="2" width="10.85546875" customWidth="1"/>
    <col min="3" max="3" width="20" customWidth="1"/>
    <col min="5" max="5" width="9.28515625" bestFit="1" customWidth="1"/>
    <col min="6" max="6" width="10.28515625" bestFit="1" customWidth="1"/>
    <col min="7" max="8" width="13" customWidth="1"/>
    <col min="9" max="9" width="12.28515625" bestFit="1" customWidth="1"/>
    <col min="10" max="10" width="11" bestFit="1" customWidth="1"/>
    <col min="11" max="11" width="11.7109375" customWidth="1"/>
    <col min="12" max="12" width="11.42578125" customWidth="1"/>
    <col min="13" max="13" width="11" customWidth="1"/>
    <col min="14" max="14" width="9.28515625" bestFit="1" customWidth="1"/>
    <col min="16" max="16" width="11.28515625" bestFit="1" customWidth="1"/>
  </cols>
  <sheetData>
    <row r="3" spans="1:63" ht="20.25" thickBot="1">
      <c r="A3" s="92" t="s">
        <v>369</v>
      </c>
      <c r="B3" s="92"/>
      <c r="C3" s="92"/>
      <c r="D3" s="92"/>
      <c r="E3" s="92"/>
      <c r="F3" s="92"/>
      <c r="G3" s="92"/>
      <c r="H3" s="92"/>
      <c r="I3" s="92"/>
      <c r="J3" s="92"/>
      <c r="K3" s="92"/>
      <c r="L3" s="92"/>
      <c r="M3" s="92"/>
      <c r="N3" s="92"/>
      <c r="O3" s="92"/>
    </row>
    <row r="4" spans="1:63" ht="18" thickTop="1">
      <c r="F4" t="s">
        <v>370</v>
      </c>
      <c r="H4">
        <f>MAX(H8:H28)/2</f>
        <v>332</v>
      </c>
      <c r="J4" s="93"/>
      <c r="K4" s="93"/>
      <c r="L4" s="93"/>
      <c r="M4" s="93"/>
      <c r="N4" s="93"/>
    </row>
    <row r="5" spans="1:63" ht="30" customHeight="1">
      <c r="A5" s="94" t="s">
        <v>371</v>
      </c>
      <c r="B5" s="94" t="s">
        <v>372</v>
      </c>
      <c r="C5" s="94" t="s">
        <v>38</v>
      </c>
      <c r="D5" s="94" t="s">
        <v>373</v>
      </c>
      <c r="E5" s="94" t="s">
        <v>374</v>
      </c>
      <c r="F5" s="94" t="s">
        <v>375</v>
      </c>
      <c r="G5" s="94" t="s">
        <v>376</v>
      </c>
      <c r="H5" s="94" t="s">
        <v>377</v>
      </c>
      <c r="I5" s="94" t="s">
        <v>378</v>
      </c>
      <c r="J5" s="94" t="s">
        <v>379</v>
      </c>
      <c r="K5" s="94" t="s">
        <v>380</v>
      </c>
      <c r="L5" s="94" t="s">
        <v>381</v>
      </c>
      <c r="M5" s="94" t="s">
        <v>43</v>
      </c>
      <c r="N5" s="94" t="s">
        <v>382</v>
      </c>
      <c r="O5" s="94" t="s">
        <v>383</v>
      </c>
      <c r="P5" s="95" t="s">
        <v>384</v>
      </c>
      <c r="Q5" s="96" t="s">
        <v>385</v>
      </c>
      <c r="R5" s="97" t="s">
        <v>386</v>
      </c>
      <c r="S5" s="97" t="s">
        <v>387</v>
      </c>
      <c r="T5" s="97" t="s">
        <v>388</v>
      </c>
      <c r="U5">
        <v>2010</v>
      </c>
      <c r="V5">
        <f>U5+1</f>
        <v>2011</v>
      </c>
      <c r="W5">
        <f t="shared" ref="W5:BK5" si="0">V5+1</f>
        <v>2012</v>
      </c>
      <c r="X5">
        <f t="shared" si="0"/>
        <v>2013</v>
      </c>
      <c r="Y5">
        <f t="shared" si="0"/>
        <v>2014</v>
      </c>
      <c r="Z5">
        <f t="shared" si="0"/>
        <v>2015</v>
      </c>
      <c r="AA5">
        <f t="shared" si="0"/>
        <v>2016</v>
      </c>
      <c r="AB5">
        <f t="shared" si="0"/>
        <v>2017</v>
      </c>
      <c r="AC5">
        <f t="shared" si="0"/>
        <v>2018</v>
      </c>
      <c r="AD5">
        <f t="shared" si="0"/>
        <v>2019</v>
      </c>
      <c r="AE5">
        <f t="shared" si="0"/>
        <v>2020</v>
      </c>
      <c r="AF5">
        <f t="shared" si="0"/>
        <v>2021</v>
      </c>
      <c r="AG5">
        <f t="shared" si="0"/>
        <v>2022</v>
      </c>
      <c r="AH5">
        <f t="shared" si="0"/>
        <v>2023</v>
      </c>
      <c r="AI5">
        <f t="shared" si="0"/>
        <v>2024</v>
      </c>
      <c r="AJ5">
        <f t="shared" si="0"/>
        <v>2025</v>
      </c>
      <c r="AK5">
        <f t="shared" si="0"/>
        <v>2026</v>
      </c>
      <c r="AL5">
        <f t="shared" si="0"/>
        <v>2027</v>
      </c>
      <c r="AM5">
        <f t="shared" si="0"/>
        <v>2028</v>
      </c>
      <c r="AN5">
        <f t="shared" si="0"/>
        <v>2029</v>
      </c>
      <c r="AO5">
        <f t="shared" si="0"/>
        <v>2030</v>
      </c>
      <c r="AP5">
        <f t="shared" si="0"/>
        <v>2031</v>
      </c>
      <c r="AQ5">
        <f t="shared" si="0"/>
        <v>2032</v>
      </c>
      <c r="AR5">
        <f t="shared" si="0"/>
        <v>2033</v>
      </c>
      <c r="AS5">
        <f t="shared" si="0"/>
        <v>2034</v>
      </c>
      <c r="AT5">
        <f t="shared" si="0"/>
        <v>2035</v>
      </c>
      <c r="AU5">
        <f t="shared" si="0"/>
        <v>2036</v>
      </c>
      <c r="AV5">
        <f t="shared" si="0"/>
        <v>2037</v>
      </c>
      <c r="AW5">
        <f t="shared" si="0"/>
        <v>2038</v>
      </c>
      <c r="AX5">
        <f t="shared" si="0"/>
        <v>2039</v>
      </c>
      <c r="AY5">
        <f t="shared" si="0"/>
        <v>2040</v>
      </c>
      <c r="AZ5">
        <f t="shared" si="0"/>
        <v>2041</v>
      </c>
      <c r="BA5">
        <f t="shared" si="0"/>
        <v>2042</v>
      </c>
      <c r="BB5">
        <f t="shared" si="0"/>
        <v>2043</v>
      </c>
      <c r="BC5">
        <f>BB5+1</f>
        <v>2044</v>
      </c>
      <c r="BD5">
        <f t="shared" si="0"/>
        <v>2045</v>
      </c>
      <c r="BE5">
        <f t="shared" si="0"/>
        <v>2046</v>
      </c>
      <c r="BF5">
        <f t="shared" si="0"/>
        <v>2047</v>
      </c>
      <c r="BG5">
        <f t="shared" si="0"/>
        <v>2048</v>
      </c>
      <c r="BH5">
        <f t="shared" si="0"/>
        <v>2049</v>
      </c>
      <c r="BI5">
        <f t="shared" si="0"/>
        <v>2050</v>
      </c>
      <c r="BJ5">
        <f t="shared" si="0"/>
        <v>2051</v>
      </c>
      <c r="BK5">
        <f t="shared" si="0"/>
        <v>2052</v>
      </c>
    </row>
    <row r="6" spans="1:63" ht="15" customHeight="1">
      <c r="A6" s="94"/>
      <c r="B6" s="94" t="s">
        <v>389</v>
      </c>
      <c r="D6" s="94" t="s">
        <v>390</v>
      </c>
      <c r="E6" s="94" t="s">
        <v>32</v>
      </c>
      <c r="F6" s="94"/>
      <c r="G6" s="94"/>
      <c r="H6" s="94" t="s">
        <v>29</v>
      </c>
      <c r="I6" s="94"/>
      <c r="J6" s="94" t="s">
        <v>29</v>
      </c>
      <c r="K6" s="94"/>
      <c r="L6" s="94"/>
      <c r="M6" s="94"/>
      <c r="N6" s="94" t="s">
        <v>39</v>
      </c>
      <c r="O6" s="94"/>
      <c r="P6" s="94"/>
      <c r="Q6" s="97"/>
      <c r="R6" s="97"/>
      <c r="S6" s="97"/>
      <c r="T6" s="97"/>
    </row>
    <row r="7" spans="1:63" ht="15">
      <c r="A7" s="17" t="s">
        <v>391</v>
      </c>
      <c r="B7" s="98"/>
      <c r="C7" s="98">
        <f>(C29*J29+C30*J30)/(J29+J30)</f>
        <v>0.34377107224527315</v>
      </c>
    </row>
    <row r="8" spans="1:63" ht="15">
      <c r="A8" t="s">
        <v>33</v>
      </c>
      <c r="B8" s="99">
        <v>12214</v>
      </c>
      <c r="C8" s="100">
        <f>1/(B8*1.055/3600)</f>
        <v>0.27937794947449784</v>
      </c>
      <c r="D8" s="101">
        <v>7</v>
      </c>
      <c r="E8" s="99">
        <v>1769</v>
      </c>
      <c r="F8" s="102">
        <v>127</v>
      </c>
      <c r="G8">
        <v>8</v>
      </c>
      <c r="H8">
        <v>190</v>
      </c>
      <c r="I8" t="str">
        <f>IF(H8&lt;$H$4,"small","large")</f>
        <v>small</v>
      </c>
      <c r="J8" s="99">
        <f>H8*G8</f>
        <v>1520</v>
      </c>
      <c r="K8" s="103">
        <v>7.9600000000000004E-2</v>
      </c>
      <c r="L8" s="103">
        <v>0.1699</v>
      </c>
      <c r="M8" s="103">
        <f>(1-K8)*(1-L8)</f>
        <v>0.76402404000000002</v>
      </c>
      <c r="N8" s="104">
        <v>7.56</v>
      </c>
      <c r="O8">
        <v>2006</v>
      </c>
      <c r="P8">
        <v>2022</v>
      </c>
      <c r="Q8">
        <f>IF(P8,P8-O8+1,"")</f>
        <v>17</v>
      </c>
      <c r="R8">
        <v>2036</v>
      </c>
      <c r="S8">
        <f>R8-O8+1</f>
        <v>31</v>
      </c>
      <c r="T8">
        <f>IF(P8,P8,R8)</f>
        <v>2022</v>
      </c>
      <c r="U8">
        <f t="shared" ref="U8:BK10" si="1">IF(OR(U$5=$T8,U$5=$T8+1),-$J8/2,0)</f>
        <v>0</v>
      </c>
      <c r="V8">
        <f t="shared" si="1"/>
        <v>0</v>
      </c>
      <c r="W8">
        <f t="shared" si="1"/>
        <v>0</v>
      </c>
      <c r="X8">
        <f t="shared" si="1"/>
        <v>0</v>
      </c>
      <c r="Y8">
        <f t="shared" si="1"/>
        <v>0</v>
      </c>
      <c r="Z8">
        <f t="shared" si="1"/>
        <v>0</v>
      </c>
      <c r="AA8">
        <f t="shared" si="1"/>
        <v>0</v>
      </c>
      <c r="AB8">
        <f t="shared" si="1"/>
        <v>0</v>
      </c>
      <c r="AC8">
        <f t="shared" si="1"/>
        <v>0</v>
      </c>
      <c r="AD8">
        <f t="shared" si="1"/>
        <v>0</v>
      </c>
      <c r="AE8">
        <f t="shared" si="1"/>
        <v>0</v>
      </c>
      <c r="AF8">
        <f t="shared" si="1"/>
        <v>0</v>
      </c>
      <c r="AG8">
        <f t="shared" si="1"/>
        <v>-760</v>
      </c>
      <c r="AH8">
        <f t="shared" si="1"/>
        <v>-760</v>
      </c>
      <c r="AI8">
        <f t="shared" si="1"/>
        <v>0</v>
      </c>
      <c r="AJ8">
        <f t="shared" si="1"/>
        <v>0</v>
      </c>
      <c r="AK8">
        <f t="shared" si="1"/>
        <v>0</v>
      </c>
      <c r="AL8">
        <f t="shared" si="1"/>
        <v>0</v>
      </c>
      <c r="AM8">
        <f t="shared" si="1"/>
        <v>0</v>
      </c>
      <c r="AN8">
        <f t="shared" si="1"/>
        <v>0</v>
      </c>
      <c r="AO8">
        <f t="shared" si="1"/>
        <v>0</v>
      </c>
      <c r="AP8">
        <f t="shared" si="1"/>
        <v>0</v>
      </c>
      <c r="AQ8">
        <f t="shared" si="1"/>
        <v>0</v>
      </c>
      <c r="AR8">
        <f t="shared" si="1"/>
        <v>0</v>
      </c>
      <c r="AS8">
        <f t="shared" si="1"/>
        <v>0</v>
      </c>
      <c r="AT8">
        <f t="shared" si="1"/>
        <v>0</v>
      </c>
      <c r="AU8">
        <f t="shared" si="1"/>
        <v>0</v>
      </c>
      <c r="AV8">
        <f t="shared" si="1"/>
        <v>0</v>
      </c>
      <c r="AW8">
        <f t="shared" si="1"/>
        <v>0</v>
      </c>
      <c r="AX8">
        <f t="shared" si="1"/>
        <v>0</v>
      </c>
      <c r="AY8">
        <f t="shared" si="1"/>
        <v>0</v>
      </c>
      <c r="AZ8">
        <f t="shared" si="1"/>
        <v>0</v>
      </c>
      <c r="BA8">
        <f t="shared" si="1"/>
        <v>0</v>
      </c>
      <c r="BB8">
        <f t="shared" si="1"/>
        <v>0</v>
      </c>
      <c r="BC8">
        <f t="shared" si="1"/>
        <v>0</v>
      </c>
      <c r="BD8">
        <f t="shared" si="1"/>
        <v>0</v>
      </c>
      <c r="BE8">
        <f t="shared" si="1"/>
        <v>0</v>
      </c>
      <c r="BF8">
        <f t="shared" si="1"/>
        <v>0</v>
      </c>
      <c r="BG8">
        <f t="shared" si="1"/>
        <v>0</v>
      </c>
      <c r="BH8">
        <f t="shared" si="1"/>
        <v>0</v>
      </c>
      <c r="BI8">
        <f t="shared" si="1"/>
        <v>0</v>
      </c>
      <c r="BJ8">
        <f t="shared" si="1"/>
        <v>0</v>
      </c>
      <c r="BK8">
        <f t="shared" si="1"/>
        <v>0</v>
      </c>
    </row>
    <row r="9" spans="1:63" ht="15">
      <c r="A9" t="s">
        <v>47</v>
      </c>
      <c r="B9" s="99">
        <v>12638</v>
      </c>
      <c r="C9" s="100">
        <f t="shared" ref="C9:C22" si="2">1/(B9*1.055/3600)</f>
        <v>0.27000492758992856</v>
      </c>
      <c r="D9" s="101">
        <v>4.3899999999999997</v>
      </c>
      <c r="E9" s="99">
        <v>0</v>
      </c>
      <c r="F9" s="102">
        <v>204</v>
      </c>
      <c r="G9">
        <v>6</v>
      </c>
      <c r="H9">
        <v>190</v>
      </c>
      <c r="I9" t="str">
        <f>IF(H9&lt;$H$4,"small","large")</f>
        <v>small</v>
      </c>
      <c r="J9" s="99">
        <f>H9*4</f>
        <v>760</v>
      </c>
      <c r="K9" s="103">
        <v>7.9600000000000004E-2</v>
      </c>
      <c r="L9" s="103">
        <v>0.1699</v>
      </c>
      <c r="M9" s="103">
        <f t="shared" ref="M9:M28" si="3">(1-K9)*(1-L9)</f>
        <v>0.76402404000000002</v>
      </c>
      <c r="N9" s="104">
        <v>6.7</v>
      </c>
      <c r="O9">
        <v>2008</v>
      </c>
      <c r="Q9" t="str">
        <f>IF(P9,P9-O9+1,"")</f>
        <v/>
      </c>
      <c r="R9">
        <v>2038</v>
      </c>
      <c r="S9">
        <f>R9-O9+1</f>
        <v>31</v>
      </c>
      <c r="T9">
        <f>IF(P9,P9,R9)</f>
        <v>2038</v>
      </c>
      <c r="U9">
        <f>H9*2</f>
        <v>380</v>
      </c>
      <c r="W9">
        <f t="shared" si="1"/>
        <v>0</v>
      </c>
      <c r="X9">
        <f t="shared" si="1"/>
        <v>0</v>
      </c>
      <c r="Y9">
        <f t="shared" si="1"/>
        <v>0</v>
      </c>
      <c r="Z9">
        <f t="shared" si="1"/>
        <v>0</v>
      </c>
      <c r="AA9">
        <f t="shared" si="1"/>
        <v>0</v>
      </c>
      <c r="AB9">
        <f t="shared" si="1"/>
        <v>0</v>
      </c>
      <c r="AC9">
        <f t="shared" si="1"/>
        <v>0</v>
      </c>
      <c r="AD9">
        <f t="shared" si="1"/>
        <v>0</v>
      </c>
      <c r="AE9">
        <f t="shared" si="1"/>
        <v>0</v>
      </c>
      <c r="AF9">
        <f t="shared" si="1"/>
        <v>0</v>
      </c>
      <c r="AG9">
        <f t="shared" si="1"/>
        <v>0</v>
      </c>
      <c r="AH9">
        <f t="shared" si="1"/>
        <v>0</v>
      </c>
      <c r="AI9">
        <f t="shared" si="1"/>
        <v>0</v>
      </c>
      <c r="AJ9">
        <f t="shared" si="1"/>
        <v>0</v>
      </c>
      <c r="AK9">
        <f t="shared" si="1"/>
        <v>0</v>
      </c>
      <c r="AL9">
        <f t="shared" si="1"/>
        <v>0</v>
      </c>
      <c r="AM9">
        <f t="shared" si="1"/>
        <v>0</v>
      </c>
      <c r="AN9">
        <f t="shared" si="1"/>
        <v>0</v>
      </c>
      <c r="AO9">
        <f t="shared" si="1"/>
        <v>0</v>
      </c>
      <c r="AP9">
        <f t="shared" si="1"/>
        <v>0</v>
      </c>
      <c r="AQ9">
        <f t="shared" si="1"/>
        <v>0</v>
      </c>
      <c r="AR9">
        <f t="shared" si="1"/>
        <v>0</v>
      </c>
      <c r="AS9">
        <f t="shared" si="1"/>
        <v>0</v>
      </c>
      <c r="AT9">
        <f t="shared" si="1"/>
        <v>0</v>
      </c>
      <c r="AU9">
        <f t="shared" si="1"/>
        <v>0</v>
      </c>
      <c r="AV9">
        <f t="shared" si="1"/>
        <v>0</v>
      </c>
      <c r="AW9">
        <f t="shared" si="1"/>
        <v>-380</v>
      </c>
      <c r="AX9">
        <f t="shared" si="1"/>
        <v>-380</v>
      </c>
      <c r="AY9">
        <f t="shared" si="1"/>
        <v>0</v>
      </c>
      <c r="AZ9">
        <f t="shared" si="1"/>
        <v>0</v>
      </c>
      <c r="BA9">
        <f t="shared" si="1"/>
        <v>0</v>
      </c>
      <c r="BB9">
        <f t="shared" si="1"/>
        <v>0</v>
      </c>
      <c r="BC9">
        <f t="shared" si="1"/>
        <v>0</v>
      </c>
      <c r="BD9">
        <f t="shared" si="1"/>
        <v>0</v>
      </c>
      <c r="BE9">
        <f t="shared" si="1"/>
        <v>0</v>
      </c>
      <c r="BF9">
        <f t="shared" si="1"/>
        <v>0</v>
      </c>
      <c r="BG9">
        <f t="shared" si="1"/>
        <v>0</v>
      </c>
      <c r="BH9">
        <f t="shared" si="1"/>
        <v>0</v>
      </c>
      <c r="BI9">
        <f t="shared" si="1"/>
        <v>0</v>
      </c>
      <c r="BJ9">
        <f t="shared" si="1"/>
        <v>0</v>
      </c>
      <c r="BK9">
        <f t="shared" si="1"/>
        <v>0</v>
      </c>
    </row>
    <row r="10" spans="1:63" ht="15">
      <c r="A10" t="s">
        <v>50</v>
      </c>
      <c r="B10" s="99">
        <v>13382</v>
      </c>
      <c r="C10" s="100">
        <f t="shared" si="2"/>
        <v>0.2549934445435299</v>
      </c>
      <c r="D10" s="101">
        <v>2.65</v>
      </c>
      <c r="E10" s="99">
        <v>0</v>
      </c>
      <c r="F10" s="102">
        <v>187</v>
      </c>
      <c r="G10">
        <v>9</v>
      </c>
      <c r="H10" s="7">
        <f>(91*5+114*4)/9</f>
        <v>101.22222222222223</v>
      </c>
      <c r="I10" t="str">
        <f>IF(H10&lt;$H$4,"small","large")</f>
        <v>small</v>
      </c>
      <c r="J10" s="99">
        <f>H10*2</f>
        <v>202.44444444444446</v>
      </c>
      <c r="K10" s="103">
        <v>7.9600000000000004E-2</v>
      </c>
      <c r="L10" s="103">
        <v>0.1699</v>
      </c>
      <c r="M10" s="103">
        <f t="shared" si="3"/>
        <v>0.76402404000000002</v>
      </c>
      <c r="N10" s="104">
        <v>5.62</v>
      </c>
      <c r="O10">
        <v>2009</v>
      </c>
      <c r="P10">
        <v>2025</v>
      </c>
      <c r="Q10">
        <f>IF(P10,P10-O10+1,"")</f>
        <v>17</v>
      </c>
      <c r="R10">
        <v>2039</v>
      </c>
      <c r="S10">
        <f>R10-O10+1</f>
        <v>31</v>
      </c>
      <c r="T10">
        <f>IF(P10,P10,R10)</f>
        <v>2025</v>
      </c>
      <c r="U10" s="7">
        <v>303</v>
      </c>
      <c r="V10" s="7">
        <v>404</v>
      </c>
      <c r="W10">
        <f t="shared" si="1"/>
        <v>0</v>
      </c>
      <c r="X10">
        <f t="shared" si="1"/>
        <v>0</v>
      </c>
      <c r="Y10">
        <f t="shared" si="1"/>
        <v>0</v>
      </c>
      <c r="Z10">
        <f t="shared" si="1"/>
        <v>0</v>
      </c>
      <c r="AA10">
        <f t="shared" si="1"/>
        <v>0</v>
      </c>
      <c r="AB10">
        <f t="shared" si="1"/>
        <v>0</v>
      </c>
      <c r="AC10">
        <f t="shared" si="1"/>
        <v>0</v>
      </c>
      <c r="AD10">
        <f t="shared" si="1"/>
        <v>0</v>
      </c>
      <c r="AE10">
        <f t="shared" si="1"/>
        <v>0</v>
      </c>
      <c r="AF10">
        <f t="shared" si="1"/>
        <v>0</v>
      </c>
      <c r="AG10">
        <f t="shared" si="1"/>
        <v>0</v>
      </c>
      <c r="AH10">
        <f t="shared" si="1"/>
        <v>0</v>
      </c>
      <c r="AI10">
        <f t="shared" si="1"/>
        <v>0</v>
      </c>
      <c r="AJ10">
        <f t="shared" si="1"/>
        <v>-101.22222222222223</v>
      </c>
      <c r="AK10">
        <f t="shared" si="1"/>
        <v>-101.22222222222223</v>
      </c>
      <c r="AL10">
        <f t="shared" si="1"/>
        <v>0</v>
      </c>
      <c r="AM10">
        <f t="shared" si="1"/>
        <v>0</v>
      </c>
      <c r="AN10">
        <f t="shared" si="1"/>
        <v>0</v>
      </c>
      <c r="AO10">
        <f t="shared" si="1"/>
        <v>0</v>
      </c>
      <c r="AP10">
        <f t="shared" si="1"/>
        <v>0</v>
      </c>
      <c r="AQ10">
        <f t="shared" si="1"/>
        <v>0</v>
      </c>
      <c r="AR10">
        <f t="shared" si="1"/>
        <v>0</v>
      </c>
      <c r="AS10">
        <f t="shared" si="1"/>
        <v>0</v>
      </c>
      <c r="AT10">
        <f t="shared" si="1"/>
        <v>0</v>
      </c>
      <c r="AU10">
        <f t="shared" si="1"/>
        <v>0</v>
      </c>
      <c r="AV10">
        <f t="shared" si="1"/>
        <v>0</v>
      </c>
      <c r="AW10">
        <f t="shared" si="1"/>
        <v>0</v>
      </c>
      <c r="AX10">
        <f t="shared" si="1"/>
        <v>0</v>
      </c>
      <c r="AY10">
        <f t="shared" si="1"/>
        <v>0</v>
      </c>
      <c r="AZ10">
        <f t="shared" si="1"/>
        <v>0</v>
      </c>
      <c r="BA10">
        <f t="shared" si="1"/>
        <v>0</v>
      </c>
      <c r="BB10">
        <f t="shared" si="1"/>
        <v>0</v>
      </c>
      <c r="BC10">
        <f t="shared" si="1"/>
        <v>0</v>
      </c>
      <c r="BD10">
        <f t="shared" si="1"/>
        <v>0</v>
      </c>
      <c r="BE10">
        <f t="shared" si="1"/>
        <v>0</v>
      </c>
      <c r="BF10">
        <f t="shared" si="1"/>
        <v>0</v>
      </c>
      <c r="BG10">
        <f t="shared" si="1"/>
        <v>0</v>
      </c>
      <c r="BH10">
        <f t="shared" si="1"/>
        <v>0</v>
      </c>
      <c r="BI10">
        <f t="shared" si="1"/>
        <v>0</v>
      </c>
      <c r="BJ10">
        <f t="shared" si="1"/>
        <v>0</v>
      </c>
      <c r="BK10">
        <f t="shared" si="1"/>
        <v>0</v>
      </c>
    </row>
    <row r="11" spans="1:63" ht="15">
      <c r="A11" s="17" t="s">
        <v>392</v>
      </c>
      <c r="B11" s="99"/>
      <c r="C11" s="99"/>
      <c r="D11" s="99"/>
      <c r="E11" s="99"/>
      <c r="F11" s="99"/>
      <c r="H11" s="7"/>
      <c r="J11" s="99"/>
      <c r="K11" s="99"/>
      <c r="L11" s="99"/>
      <c r="M11" s="99"/>
      <c r="N11" s="99"/>
      <c r="U11" s="7"/>
      <c r="V11" s="7"/>
    </row>
    <row r="12" spans="1:63" ht="15">
      <c r="A12" t="s">
        <v>45</v>
      </c>
      <c r="B12" s="99">
        <v>10555</v>
      </c>
      <c r="C12" s="100">
        <f t="shared" si="2"/>
        <v>0.32328965181255487</v>
      </c>
      <c r="D12" s="101">
        <v>10</v>
      </c>
      <c r="E12" s="99">
        <v>12683</v>
      </c>
      <c r="F12" s="102">
        <v>314</v>
      </c>
      <c r="G12">
        <v>6</v>
      </c>
      <c r="H12">
        <v>380</v>
      </c>
      <c r="I12" t="str">
        <f t="shared" ref="I12:I22" si="4">IF(H12&lt;$H$4,"small","large")</f>
        <v>large</v>
      </c>
      <c r="J12" s="99">
        <f>H12*G12</f>
        <v>2280</v>
      </c>
      <c r="K12" s="103">
        <v>8.9499999999999996E-2</v>
      </c>
      <c r="L12" s="103">
        <v>7.1499999999999994E-2</v>
      </c>
      <c r="M12" s="103">
        <f t="shared" si="3"/>
        <v>0.84539924999999994</v>
      </c>
      <c r="N12" s="104">
        <v>5.47</v>
      </c>
      <c r="O12">
        <v>1975</v>
      </c>
      <c r="P12">
        <v>2024</v>
      </c>
      <c r="Q12">
        <f t="shared" ref="Q12:Q22" si="5">IF(P12,P12-O12+1,"")</f>
        <v>50</v>
      </c>
      <c r="R12">
        <v>2025</v>
      </c>
      <c r="S12">
        <f t="shared" ref="S12:S22" si="6">R12-O12+1</f>
        <v>51</v>
      </c>
      <c r="T12">
        <f>IF(P12,P12,50+O12-1)</f>
        <v>2024</v>
      </c>
      <c r="U12">
        <f t="shared" ref="U12:AJ22" si="7">IF(OR(U$5=$T12,U$5=$T12+1),-$J12/2,0)</f>
        <v>0</v>
      </c>
      <c r="V12">
        <f t="shared" si="7"/>
        <v>0</v>
      </c>
      <c r="W12">
        <f t="shared" si="7"/>
        <v>0</v>
      </c>
      <c r="X12">
        <f t="shared" si="7"/>
        <v>0</v>
      </c>
      <c r="Y12">
        <f t="shared" si="7"/>
        <v>0</v>
      </c>
      <c r="Z12">
        <f t="shared" si="7"/>
        <v>0</v>
      </c>
      <c r="AA12">
        <f t="shared" si="7"/>
        <v>0</v>
      </c>
      <c r="AB12">
        <f t="shared" si="7"/>
        <v>0</v>
      </c>
      <c r="AC12">
        <f t="shared" si="7"/>
        <v>0</v>
      </c>
      <c r="AD12">
        <f t="shared" si="7"/>
        <v>0</v>
      </c>
      <c r="AE12">
        <f t="shared" si="7"/>
        <v>0</v>
      </c>
      <c r="AF12">
        <f t="shared" si="7"/>
        <v>0</v>
      </c>
      <c r="AG12">
        <f t="shared" si="7"/>
        <v>0</v>
      </c>
      <c r="AH12">
        <f t="shared" si="7"/>
        <v>0</v>
      </c>
      <c r="AI12">
        <f t="shared" si="7"/>
        <v>-1140</v>
      </c>
      <c r="AJ12">
        <f t="shared" si="7"/>
        <v>-1140</v>
      </c>
      <c r="AK12">
        <f t="shared" ref="AK12:AZ22" si="8">IF(OR(AK$5=$T12,AK$5=$T12+1),-$J12/2,0)</f>
        <v>0</v>
      </c>
      <c r="AL12">
        <f t="shared" si="8"/>
        <v>0</v>
      </c>
      <c r="AM12">
        <f t="shared" si="8"/>
        <v>0</v>
      </c>
      <c r="AN12">
        <f t="shared" si="8"/>
        <v>0</v>
      </c>
      <c r="AO12">
        <f t="shared" si="8"/>
        <v>0</v>
      </c>
      <c r="AP12">
        <f t="shared" si="8"/>
        <v>0</v>
      </c>
      <c r="AQ12">
        <f t="shared" si="8"/>
        <v>0</v>
      </c>
      <c r="AR12">
        <f t="shared" si="8"/>
        <v>0</v>
      </c>
      <c r="AS12">
        <f t="shared" si="8"/>
        <v>0</v>
      </c>
      <c r="AT12">
        <f t="shared" si="8"/>
        <v>0</v>
      </c>
      <c r="AU12">
        <f t="shared" si="8"/>
        <v>0</v>
      </c>
      <c r="AV12">
        <f t="shared" si="8"/>
        <v>0</v>
      </c>
      <c r="AW12">
        <f t="shared" si="8"/>
        <v>0</v>
      </c>
      <c r="AX12">
        <f t="shared" si="8"/>
        <v>0</v>
      </c>
      <c r="AY12">
        <f t="shared" si="8"/>
        <v>0</v>
      </c>
      <c r="AZ12">
        <f t="shared" si="8"/>
        <v>0</v>
      </c>
      <c r="BA12">
        <f t="shared" ref="AY12:BK22" si="9">IF(OR(BA$5=$T12,BA$5=$T12+1),-$J12/2,0)</f>
        <v>0</v>
      </c>
      <c r="BB12">
        <f t="shared" si="9"/>
        <v>0</v>
      </c>
      <c r="BC12">
        <f t="shared" si="9"/>
        <v>0</v>
      </c>
      <c r="BD12">
        <f t="shared" si="9"/>
        <v>0</v>
      </c>
      <c r="BE12">
        <f t="shared" si="9"/>
        <v>0</v>
      </c>
      <c r="BF12">
        <f t="shared" si="9"/>
        <v>0</v>
      </c>
      <c r="BG12">
        <f t="shared" si="9"/>
        <v>0</v>
      </c>
      <c r="BH12">
        <f t="shared" si="9"/>
        <v>0</v>
      </c>
      <c r="BI12">
        <f t="shared" si="9"/>
        <v>0</v>
      </c>
      <c r="BJ12">
        <f t="shared" si="9"/>
        <v>0</v>
      </c>
      <c r="BK12">
        <f t="shared" si="9"/>
        <v>0</v>
      </c>
    </row>
    <row r="13" spans="1:63" ht="15">
      <c r="A13" t="s">
        <v>393</v>
      </c>
      <c r="B13" s="99">
        <v>9831</v>
      </c>
      <c r="C13" s="100">
        <f t="shared" si="2"/>
        <v>0.34709818684584648</v>
      </c>
      <c r="D13" s="101">
        <v>3</v>
      </c>
      <c r="E13" s="99">
        <v>25246</v>
      </c>
      <c r="F13" s="102">
        <v>169</v>
      </c>
      <c r="G13">
        <v>6</v>
      </c>
      <c r="H13">
        <v>575</v>
      </c>
      <c r="I13" t="str">
        <f t="shared" si="4"/>
        <v>large</v>
      </c>
      <c r="J13" s="99">
        <f t="shared" ref="J13:J53" si="10">H13*G13</f>
        <v>3450</v>
      </c>
      <c r="K13" s="103">
        <v>8.9800000000000005E-2</v>
      </c>
      <c r="L13" s="103">
        <v>4.7399999999999998E-2</v>
      </c>
      <c r="M13" s="103">
        <f t="shared" si="3"/>
        <v>0.86705652</v>
      </c>
      <c r="N13" s="104">
        <v>3.73</v>
      </c>
      <c r="O13">
        <v>1980</v>
      </c>
      <c r="Q13" t="str">
        <f t="shared" si="5"/>
        <v/>
      </c>
      <c r="R13">
        <v>2031</v>
      </c>
      <c r="S13">
        <f t="shared" si="6"/>
        <v>52</v>
      </c>
      <c r="T13">
        <f t="shared" ref="T13:T22" si="11">IF(P13,P13,50+O13-1)</f>
        <v>2029</v>
      </c>
      <c r="U13">
        <f t="shared" si="7"/>
        <v>0</v>
      </c>
      <c r="V13">
        <f t="shared" si="7"/>
        <v>0</v>
      </c>
      <c r="W13">
        <f t="shared" si="7"/>
        <v>0</v>
      </c>
      <c r="X13">
        <f t="shared" si="7"/>
        <v>0</v>
      </c>
      <c r="Y13">
        <f t="shared" si="7"/>
        <v>0</v>
      </c>
      <c r="Z13">
        <f t="shared" si="7"/>
        <v>0</v>
      </c>
      <c r="AA13">
        <f t="shared" si="7"/>
        <v>0</v>
      </c>
      <c r="AB13">
        <f t="shared" si="7"/>
        <v>0</v>
      </c>
      <c r="AC13">
        <f t="shared" si="7"/>
        <v>0</v>
      </c>
      <c r="AD13">
        <f t="shared" si="7"/>
        <v>0</v>
      </c>
      <c r="AE13">
        <f t="shared" si="7"/>
        <v>0</v>
      </c>
      <c r="AF13">
        <f t="shared" si="7"/>
        <v>0</v>
      </c>
      <c r="AG13">
        <f t="shared" si="7"/>
        <v>0</v>
      </c>
      <c r="AH13">
        <f t="shared" si="7"/>
        <v>0</v>
      </c>
      <c r="AI13">
        <f t="shared" si="7"/>
        <v>0</v>
      </c>
      <c r="AJ13">
        <f t="shared" si="7"/>
        <v>0</v>
      </c>
      <c r="AK13">
        <f t="shared" si="8"/>
        <v>0</v>
      </c>
      <c r="AL13">
        <f t="shared" si="8"/>
        <v>0</v>
      </c>
      <c r="AM13">
        <f t="shared" si="8"/>
        <v>0</v>
      </c>
      <c r="AN13">
        <f t="shared" si="8"/>
        <v>-1725</v>
      </c>
      <c r="AO13">
        <f t="shared" si="8"/>
        <v>-1725</v>
      </c>
      <c r="AP13">
        <f t="shared" si="8"/>
        <v>0</v>
      </c>
      <c r="AQ13">
        <f t="shared" si="8"/>
        <v>0</v>
      </c>
      <c r="AR13">
        <f t="shared" si="8"/>
        <v>0</v>
      </c>
      <c r="AS13">
        <f t="shared" si="8"/>
        <v>0</v>
      </c>
      <c r="AT13">
        <f t="shared" si="8"/>
        <v>0</v>
      </c>
      <c r="AU13">
        <f t="shared" si="8"/>
        <v>0</v>
      </c>
      <c r="AV13">
        <f t="shared" si="8"/>
        <v>0</v>
      </c>
      <c r="AW13">
        <f t="shared" si="8"/>
        <v>0</v>
      </c>
      <c r="AX13">
        <f t="shared" si="8"/>
        <v>0</v>
      </c>
      <c r="AY13">
        <f t="shared" si="9"/>
        <v>0</v>
      </c>
      <c r="AZ13">
        <f t="shared" si="9"/>
        <v>0</v>
      </c>
      <c r="BA13">
        <f t="shared" si="9"/>
        <v>0</v>
      </c>
      <c r="BB13">
        <f t="shared" si="9"/>
        <v>0</v>
      </c>
      <c r="BC13">
        <f t="shared" si="9"/>
        <v>0</v>
      </c>
      <c r="BD13">
        <f t="shared" si="9"/>
        <v>0</v>
      </c>
      <c r="BE13">
        <f t="shared" si="9"/>
        <v>0</v>
      </c>
      <c r="BF13">
        <f t="shared" si="9"/>
        <v>0</v>
      </c>
      <c r="BG13">
        <f t="shared" si="9"/>
        <v>0</v>
      </c>
      <c r="BH13">
        <f t="shared" si="9"/>
        <v>0</v>
      </c>
      <c r="BI13">
        <f t="shared" si="9"/>
        <v>0</v>
      </c>
      <c r="BJ13">
        <f t="shared" si="9"/>
        <v>0</v>
      </c>
      <c r="BK13">
        <f t="shared" si="9"/>
        <v>0</v>
      </c>
    </row>
    <row r="14" spans="1:63" ht="15">
      <c r="A14" t="s">
        <v>48</v>
      </c>
      <c r="B14" s="99">
        <v>10792</v>
      </c>
      <c r="C14" s="100">
        <f t="shared" si="2"/>
        <v>0.31618998099346896</v>
      </c>
      <c r="D14" s="101">
        <v>8</v>
      </c>
      <c r="E14" s="99">
        <v>11718</v>
      </c>
      <c r="F14" s="102">
        <v>351</v>
      </c>
      <c r="G14">
        <v>10</v>
      </c>
      <c r="H14">
        <v>190</v>
      </c>
      <c r="I14" t="str">
        <f t="shared" si="4"/>
        <v>small</v>
      </c>
      <c r="J14" s="99">
        <f t="shared" si="10"/>
        <v>1900</v>
      </c>
      <c r="K14" s="103">
        <v>7.3700000000000002E-2</v>
      </c>
      <c r="L14" s="103">
        <v>9.1499999999999998E-2</v>
      </c>
      <c r="M14" s="103">
        <f t="shared" si="3"/>
        <v>0.84154355000000003</v>
      </c>
      <c r="N14" s="104">
        <v>3.58</v>
      </c>
      <c r="O14">
        <v>1970</v>
      </c>
      <c r="P14">
        <v>2020</v>
      </c>
      <c r="Q14">
        <f t="shared" si="5"/>
        <v>51</v>
      </c>
      <c r="R14">
        <v>2021</v>
      </c>
      <c r="S14">
        <f t="shared" si="6"/>
        <v>52</v>
      </c>
      <c r="T14">
        <f t="shared" si="11"/>
        <v>2020</v>
      </c>
      <c r="U14">
        <f t="shared" si="7"/>
        <v>0</v>
      </c>
      <c r="V14">
        <f t="shared" si="7"/>
        <v>0</v>
      </c>
      <c r="W14">
        <f t="shared" si="7"/>
        <v>0</v>
      </c>
      <c r="X14">
        <f t="shared" si="7"/>
        <v>0</v>
      </c>
      <c r="Y14">
        <f t="shared" si="7"/>
        <v>0</v>
      </c>
      <c r="Z14">
        <f t="shared" si="7"/>
        <v>0</v>
      </c>
      <c r="AA14">
        <f t="shared" si="7"/>
        <v>0</v>
      </c>
      <c r="AB14">
        <f t="shared" si="7"/>
        <v>0</v>
      </c>
      <c r="AC14">
        <f t="shared" si="7"/>
        <v>0</v>
      </c>
      <c r="AD14">
        <f t="shared" si="7"/>
        <v>0</v>
      </c>
      <c r="AE14">
        <f t="shared" si="7"/>
        <v>-950</v>
      </c>
      <c r="AF14">
        <f t="shared" si="7"/>
        <v>-950</v>
      </c>
      <c r="AG14">
        <f t="shared" si="7"/>
        <v>0</v>
      </c>
      <c r="AH14">
        <f t="shared" si="7"/>
        <v>0</v>
      </c>
      <c r="AI14">
        <f t="shared" si="7"/>
        <v>0</v>
      </c>
      <c r="AJ14">
        <f t="shared" si="7"/>
        <v>0</v>
      </c>
      <c r="AK14">
        <f t="shared" si="8"/>
        <v>0</v>
      </c>
      <c r="AL14">
        <f t="shared" si="8"/>
        <v>0</v>
      </c>
      <c r="AM14">
        <f t="shared" si="8"/>
        <v>0</v>
      </c>
      <c r="AN14">
        <f t="shared" si="8"/>
        <v>0</v>
      </c>
      <c r="AO14">
        <f t="shared" si="8"/>
        <v>0</v>
      </c>
      <c r="AP14">
        <f t="shared" si="8"/>
        <v>0</v>
      </c>
      <c r="AQ14">
        <f t="shared" si="8"/>
        <v>0</v>
      </c>
      <c r="AR14">
        <f t="shared" si="8"/>
        <v>0</v>
      </c>
      <c r="AS14">
        <f t="shared" si="8"/>
        <v>0</v>
      </c>
      <c r="AT14">
        <f t="shared" si="8"/>
        <v>0</v>
      </c>
      <c r="AU14">
        <f t="shared" si="8"/>
        <v>0</v>
      </c>
      <c r="AV14">
        <f t="shared" si="8"/>
        <v>0</v>
      </c>
      <c r="AW14">
        <f t="shared" si="8"/>
        <v>0</v>
      </c>
      <c r="AX14">
        <f t="shared" si="8"/>
        <v>0</v>
      </c>
      <c r="AY14">
        <f t="shared" si="9"/>
        <v>0</v>
      </c>
      <c r="AZ14">
        <f t="shared" si="9"/>
        <v>0</v>
      </c>
      <c r="BA14">
        <f t="shared" si="9"/>
        <v>0</v>
      </c>
      <c r="BB14">
        <f t="shared" si="9"/>
        <v>0</v>
      </c>
      <c r="BC14">
        <f t="shared" si="9"/>
        <v>0</v>
      </c>
      <c r="BD14">
        <f t="shared" si="9"/>
        <v>0</v>
      </c>
      <c r="BE14">
        <f t="shared" si="9"/>
        <v>0</v>
      </c>
      <c r="BF14">
        <f t="shared" si="9"/>
        <v>0</v>
      </c>
      <c r="BG14">
        <f t="shared" si="9"/>
        <v>0</v>
      </c>
      <c r="BH14">
        <f t="shared" si="9"/>
        <v>0</v>
      </c>
      <c r="BI14">
        <f t="shared" si="9"/>
        <v>0</v>
      </c>
      <c r="BJ14">
        <f t="shared" si="9"/>
        <v>0</v>
      </c>
      <c r="BK14">
        <f t="shared" si="9"/>
        <v>0</v>
      </c>
    </row>
    <row r="15" spans="1:63" ht="15">
      <c r="A15" t="s">
        <v>49</v>
      </c>
      <c r="B15" s="99">
        <v>9755</v>
      </c>
      <c r="C15" s="100">
        <f t="shared" si="2"/>
        <v>0.34980238594377411</v>
      </c>
      <c r="D15" s="101">
        <v>4</v>
      </c>
      <c r="E15" s="99">
        <v>27934</v>
      </c>
      <c r="F15" s="102">
        <v>122</v>
      </c>
      <c r="G15">
        <v>6</v>
      </c>
      <c r="H15">
        <v>640</v>
      </c>
      <c r="I15" t="str">
        <f t="shared" si="4"/>
        <v>large</v>
      </c>
      <c r="J15" s="99">
        <f t="shared" si="10"/>
        <v>3840</v>
      </c>
      <c r="K15" s="103">
        <v>5.8900000000000001E-2</v>
      </c>
      <c r="L15" s="103">
        <v>3.2000000000000001E-2</v>
      </c>
      <c r="M15" s="103">
        <f t="shared" si="3"/>
        <v>0.91098480000000004</v>
      </c>
      <c r="N15" s="104">
        <v>5.0199999999999996</v>
      </c>
      <c r="O15">
        <v>1988</v>
      </c>
      <c r="Q15" t="str">
        <f t="shared" si="5"/>
        <v/>
      </c>
      <c r="R15">
        <v>2039</v>
      </c>
      <c r="S15">
        <f t="shared" si="6"/>
        <v>52</v>
      </c>
      <c r="T15">
        <f t="shared" si="11"/>
        <v>2037</v>
      </c>
      <c r="U15">
        <f t="shared" si="7"/>
        <v>0</v>
      </c>
      <c r="V15">
        <f t="shared" si="7"/>
        <v>0</v>
      </c>
      <c r="W15">
        <f t="shared" si="7"/>
        <v>0</v>
      </c>
      <c r="X15">
        <f t="shared" si="7"/>
        <v>0</v>
      </c>
      <c r="Y15">
        <f t="shared" si="7"/>
        <v>0</v>
      </c>
      <c r="Z15">
        <f t="shared" si="7"/>
        <v>0</v>
      </c>
      <c r="AA15">
        <f t="shared" si="7"/>
        <v>0</v>
      </c>
      <c r="AB15">
        <f t="shared" si="7"/>
        <v>0</v>
      </c>
      <c r="AC15">
        <f t="shared" si="7"/>
        <v>0</v>
      </c>
      <c r="AD15">
        <f t="shared" si="7"/>
        <v>0</v>
      </c>
      <c r="AE15">
        <f t="shared" si="7"/>
        <v>0</v>
      </c>
      <c r="AF15">
        <f t="shared" si="7"/>
        <v>0</v>
      </c>
      <c r="AG15">
        <f t="shared" si="7"/>
        <v>0</v>
      </c>
      <c r="AH15">
        <f t="shared" si="7"/>
        <v>0</v>
      </c>
      <c r="AI15">
        <f t="shared" si="7"/>
        <v>0</v>
      </c>
      <c r="AJ15">
        <f t="shared" si="7"/>
        <v>0</v>
      </c>
      <c r="AK15">
        <f t="shared" si="8"/>
        <v>0</v>
      </c>
      <c r="AL15">
        <f t="shared" si="8"/>
        <v>0</v>
      </c>
      <c r="AM15">
        <f t="shared" si="8"/>
        <v>0</v>
      </c>
      <c r="AN15">
        <f t="shared" si="8"/>
        <v>0</v>
      </c>
      <c r="AO15">
        <f t="shared" si="8"/>
        <v>0</v>
      </c>
      <c r="AP15">
        <f t="shared" si="8"/>
        <v>0</v>
      </c>
      <c r="AQ15">
        <f t="shared" si="8"/>
        <v>0</v>
      </c>
      <c r="AR15">
        <f t="shared" si="8"/>
        <v>0</v>
      </c>
      <c r="AS15">
        <f t="shared" si="8"/>
        <v>0</v>
      </c>
      <c r="AT15">
        <f t="shared" si="8"/>
        <v>0</v>
      </c>
      <c r="AU15">
        <f t="shared" si="8"/>
        <v>0</v>
      </c>
      <c r="AV15">
        <f t="shared" si="8"/>
        <v>-1920</v>
      </c>
      <c r="AW15">
        <f t="shared" si="8"/>
        <v>-1920</v>
      </c>
      <c r="AX15">
        <f t="shared" si="8"/>
        <v>0</v>
      </c>
      <c r="AY15">
        <f t="shared" si="9"/>
        <v>0</v>
      </c>
      <c r="AZ15">
        <f t="shared" si="9"/>
        <v>0</v>
      </c>
      <c r="BA15">
        <f t="shared" si="9"/>
        <v>0</v>
      </c>
      <c r="BB15">
        <f t="shared" si="9"/>
        <v>0</v>
      </c>
      <c r="BC15">
        <f t="shared" si="9"/>
        <v>0</v>
      </c>
      <c r="BD15">
        <f t="shared" si="9"/>
        <v>0</v>
      </c>
      <c r="BE15">
        <f t="shared" si="9"/>
        <v>0</v>
      </c>
      <c r="BF15">
        <f t="shared" si="9"/>
        <v>0</v>
      </c>
      <c r="BG15">
        <f t="shared" si="9"/>
        <v>0</v>
      </c>
      <c r="BH15">
        <f t="shared" si="9"/>
        <v>0</v>
      </c>
      <c r="BI15">
        <f t="shared" si="9"/>
        <v>0</v>
      </c>
      <c r="BJ15">
        <f t="shared" si="9"/>
        <v>0</v>
      </c>
      <c r="BK15">
        <f t="shared" si="9"/>
        <v>0</v>
      </c>
    </row>
    <row r="16" spans="1:63" ht="15">
      <c r="A16" t="s">
        <v>51</v>
      </c>
      <c r="B16" s="99">
        <v>9510</v>
      </c>
      <c r="C16" s="100">
        <f t="shared" si="2"/>
        <v>0.35881411933559587</v>
      </c>
      <c r="D16" s="101">
        <v>8</v>
      </c>
      <c r="E16" s="99">
        <v>19209</v>
      </c>
      <c r="F16" s="102">
        <v>298</v>
      </c>
      <c r="G16">
        <v>6</v>
      </c>
      <c r="H16">
        <v>475</v>
      </c>
      <c r="I16" t="str">
        <f t="shared" si="4"/>
        <v>large</v>
      </c>
      <c r="J16" s="99">
        <f t="shared" si="10"/>
        <v>2850</v>
      </c>
      <c r="K16" s="103">
        <v>6.9800000000000001E-2</v>
      </c>
      <c r="L16" s="103">
        <v>9.3799999999999994E-2</v>
      </c>
      <c r="M16" s="103">
        <f t="shared" si="3"/>
        <v>0.84294723999999999</v>
      </c>
      <c r="N16" s="104">
        <v>3.49</v>
      </c>
      <c r="O16">
        <v>1976</v>
      </c>
      <c r="P16">
        <v>2026</v>
      </c>
      <c r="Q16">
        <f t="shared" si="5"/>
        <v>51</v>
      </c>
      <c r="R16">
        <v>2027</v>
      </c>
      <c r="S16">
        <f t="shared" si="6"/>
        <v>52</v>
      </c>
      <c r="T16">
        <f t="shared" si="11"/>
        <v>2026</v>
      </c>
      <c r="U16">
        <f t="shared" si="7"/>
        <v>0</v>
      </c>
      <c r="V16">
        <f t="shared" si="7"/>
        <v>0</v>
      </c>
      <c r="W16">
        <f t="shared" si="7"/>
        <v>0</v>
      </c>
      <c r="X16">
        <f t="shared" si="7"/>
        <v>0</v>
      </c>
      <c r="Y16">
        <f t="shared" si="7"/>
        <v>0</v>
      </c>
      <c r="Z16">
        <f t="shared" si="7"/>
        <v>0</v>
      </c>
      <c r="AA16">
        <f t="shared" si="7"/>
        <v>0</v>
      </c>
      <c r="AB16">
        <f t="shared" si="7"/>
        <v>0</v>
      </c>
      <c r="AC16">
        <f t="shared" si="7"/>
        <v>0</v>
      </c>
      <c r="AD16">
        <f t="shared" si="7"/>
        <v>0</v>
      </c>
      <c r="AE16">
        <f t="shared" si="7"/>
        <v>0</v>
      </c>
      <c r="AF16">
        <f t="shared" si="7"/>
        <v>0</v>
      </c>
      <c r="AG16">
        <f t="shared" si="7"/>
        <v>0</v>
      </c>
      <c r="AH16">
        <f t="shared" si="7"/>
        <v>0</v>
      </c>
      <c r="AI16">
        <f t="shared" si="7"/>
        <v>0</v>
      </c>
      <c r="AJ16">
        <f t="shared" si="7"/>
        <v>0</v>
      </c>
      <c r="AK16">
        <f t="shared" si="8"/>
        <v>-1425</v>
      </c>
      <c r="AL16">
        <f t="shared" si="8"/>
        <v>-1425</v>
      </c>
      <c r="AM16">
        <f t="shared" si="8"/>
        <v>0</v>
      </c>
      <c r="AN16">
        <f t="shared" si="8"/>
        <v>0</v>
      </c>
      <c r="AO16">
        <f t="shared" si="8"/>
        <v>0</v>
      </c>
      <c r="AP16">
        <f t="shared" si="8"/>
        <v>0</v>
      </c>
      <c r="AQ16">
        <f t="shared" si="8"/>
        <v>0</v>
      </c>
      <c r="AR16">
        <f t="shared" si="8"/>
        <v>0</v>
      </c>
      <c r="AS16">
        <f t="shared" si="8"/>
        <v>0</v>
      </c>
      <c r="AT16">
        <f t="shared" si="8"/>
        <v>0</v>
      </c>
      <c r="AU16">
        <f t="shared" si="8"/>
        <v>0</v>
      </c>
      <c r="AV16">
        <f t="shared" si="8"/>
        <v>0</v>
      </c>
      <c r="AW16">
        <f t="shared" si="8"/>
        <v>0</v>
      </c>
      <c r="AX16">
        <f t="shared" si="8"/>
        <v>0</v>
      </c>
      <c r="AY16">
        <f t="shared" si="9"/>
        <v>0</v>
      </c>
      <c r="AZ16">
        <f t="shared" si="9"/>
        <v>0</v>
      </c>
      <c r="BA16">
        <f t="shared" si="9"/>
        <v>0</v>
      </c>
      <c r="BB16">
        <f t="shared" si="9"/>
        <v>0</v>
      </c>
      <c r="BC16">
        <f t="shared" si="9"/>
        <v>0</v>
      </c>
      <c r="BD16">
        <f t="shared" si="9"/>
        <v>0</v>
      </c>
      <c r="BE16">
        <f t="shared" si="9"/>
        <v>0</v>
      </c>
      <c r="BF16">
        <f t="shared" si="9"/>
        <v>0</v>
      </c>
      <c r="BG16">
        <f t="shared" si="9"/>
        <v>0</v>
      </c>
      <c r="BH16">
        <f t="shared" si="9"/>
        <v>0</v>
      </c>
      <c r="BI16">
        <f t="shared" si="9"/>
        <v>0</v>
      </c>
      <c r="BJ16">
        <f t="shared" si="9"/>
        <v>0</v>
      </c>
      <c r="BK16">
        <f t="shared" si="9"/>
        <v>0</v>
      </c>
    </row>
    <row r="17" spans="1:63" ht="15">
      <c r="A17" t="s">
        <v>52</v>
      </c>
      <c r="B17" s="99">
        <v>9671</v>
      </c>
      <c r="C17" s="100">
        <f t="shared" si="2"/>
        <v>0.35284068605950958</v>
      </c>
      <c r="D17" s="101">
        <v>8</v>
      </c>
      <c r="E17" s="99">
        <v>24868</v>
      </c>
      <c r="F17" s="102">
        <v>129</v>
      </c>
      <c r="G17">
        <v>6</v>
      </c>
      <c r="H17">
        <v>593</v>
      </c>
      <c r="I17" t="str">
        <f t="shared" si="4"/>
        <v>large</v>
      </c>
      <c r="J17" s="99">
        <f t="shared" si="10"/>
        <v>3558</v>
      </c>
      <c r="K17" s="103">
        <v>8.0500000000000002E-2</v>
      </c>
      <c r="L17" s="103">
        <v>6.8099999999999994E-2</v>
      </c>
      <c r="M17" s="103">
        <f t="shared" si="3"/>
        <v>0.85688204999999995</v>
      </c>
      <c r="N17" s="104">
        <v>5.14</v>
      </c>
      <c r="O17">
        <v>1985</v>
      </c>
      <c r="Q17" t="str">
        <f t="shared" si="5"/>
        <v/>
      </c>
      <c r="R17">
        <v>2036</v>
      </c>
      <c r="S17">
        <f t="shared" si="6"/>
        <v>52</v>
      </c>
      <c r="T17">
        <f t="shared" si="11"/>
        <v>2034</v>
      </c>
      <c r="U17">
        <f t="shared" si="7"/>
        <v>0</v>
      </c>
      <c r="V17">
        <f t="shared" si="7"/>
        <v>0</v>
      </c>
      <c r="W17">
        <f t="shared" si="7"/>
        <v>0</v>
      </c>
      <c r="X17">
        <f t="shared" si="7"/>
        <v>0</v>
      </c>
      <c r="Y17">
        <f t="shared" si="7"/>
        <v>0</v>
      </c>
      <c r="Z17">
        <f t="shared" si="7"/>
        <v>0</v>
      </c>
      <c r="AA17">
        <f t="shared" si="7"/>
        <v>0</v>
      </c>
      <c r="AB17">
        <f t="shared" si="7"/>
        <v>0</v>
      </c>
      <c r="AC17">
        <f t="shared" si="7"/>
        <v>0</v>
      </c>
      <c r="AD17">
        <f t="shared" si="7"/>
        <v>0</v>
      </c>
      <c r="AE17">
        <f t="shared" si="7"/>
        <v>0</v>
      </c>
      <c r="AF17">
        <f t="shared" si="7"/>
        <v>0</v>
      </c>
      <c r="AG17">
        <f t="shared" si="7"/>
        <v>0</v>
      </c>
      <c r="AH17">
        <f t="shared" si="7"/>
        <v>0</v>
      </c>
      <c r="AI17">
        <f t="shared" si="7"/>
        <v>0</v>
      </c>
      <c r="AJ17">
        <f t="shared" si="7"/>
        <v>0</v>
      </c>
      <c r="AK17">
        <f t="shared" si="8"/>
        <v>0</v>
      </c>
      <c r="AL17">
        <f t="shared" si="8"/>
        <v>0</v>
      </c>
      <c r="AM17">
        <f t="shared" si="8"/>
        <v>0</v>
      </c>
      <c r="AN17">
        <f t="shared" si="8"/>
        <v>0</v>
      </c>
      <c r="AO17">
        <f t="shared" si="8"/>
        <v>0</v>
      </c>
      <c r="AP17">
        <f t="shared" si="8"/>
        <v>0</v>
      </c>
      <c r="AQ17">
        <f t="shared" si="8"/>
        <v>0</v>
      </c>
      <c r="AR17">
        <f t="shared" si="8"/>
        <v>0</v>
      </c>
      <c r="AS17">
        <f t="shared" si="8"/>
        <v>-1779</v>
      </c>
      <c r="AT17">
        <f t="shared" si="8"/>
        <v>-1779</v>
      </c>
      <c r="AU17">
        <f t="shared" si="8"/>
        <v>0</v>
      </c>
      <c r="AV17">
        <f t="shared" si="8"/>
        <v>0</v>
      </c>
      <c r="AW17">
        <f t="shared" si="8"/>
        <v>0</v>
      </c>
      <c r="AX17">
        <f t="shared" si="8"/>
        <v>0</v>
      </c>
      <c r="AY17">
        <f t="shared" si="9"/>
        <v>0</v>
      </c>
      <c r="AZ17">
        <f t="shared" si="9"/>
        <v>0</v>
      </c>
      <c r="BA17">
        <f t="shared" si="9"/>
        <v>0</v>
      </c>
      <c r="BB17">
        <f t="shared" si="9"/>
        <v>0</v>
      </c>
      <c r="BC17">
        <f t="shared" si="9"/>
        <v>0</v>
      </c>
      <c r="BD17">
        <f t="shared" si="9"/>
        <v>0</v>
      </c>
      <c r="BE17">
        <f t="shared" si="9"/>
        <v>0</v>
      </c>
      <c r="BF17">
        <f t="shared" si="9"/>
        <v>0</v>
      </c>
      <c r="BG17">
        <f t="shared" si="9"/>
        <v>0</v>
      </c>
      <c r="BH17">
        <f t="shared" si="9"/>
        <v>0</v>
      </c>
      <c r="BI17">
        <f t="shared" si="9"/>
        <v>0</v>
      </c>
      <c r="BJ17">
        <f t="shared" si="9"/>
        <v>0</v>
      </c>
      <c r="BK17">
        <f t="shared" si="9"/>
        <v>0</v>
      </c>
    </row>
    <row r="18" spans="1:63" ht="15">
      <c r="A18" t="s">
        <v>394</v>
      </c>
      <c r="B18" s="99">
        <v>9763</v>
      </c>
      <c r="C18" s="100">
        <f t="shared" si="2"/>
        <v>0.3495157507816774</v>
      </c>
      <c r="D18" s="101">
        <v>7</v>
      </c>
      <c r="E18" s="99">
        <v>8569.6049960967994</v>
      </c>
      <c r="F18" s="102">
        <v>134</v>
      </c>
      <c r="G18">
        <v>3</v>
      </c>
      <c r="H18">
        <v>617</v>
      </c>
      <c r="I18" t="str">
        <f t="shared" si="4"/>
        <v>large</v>
      </c>
      <c r="J18" s="99">
        <f t="shared" si="10"/>
        <v>1851</v>
      </c>
      <c r="K18" s="103">
        <v>5.7799999999999997E-2</v>
      </c>
      <c r="L18" s="103">
        <v>5.7799999999999997E-2</v>
      </c>
      <c r="M18" s="103">
        <f t="shared" si="3"/>
        <v>0.88774084000000009</v>
      </c>
      <c r="N18" s="104">
        <v>6.84</v>
      </c>
      <c r="O18">
        <v>1996</v>
      </c>
      <c r="Q18" t="str">
        <f t="shared" si="5"/>
        <v/>
      </c>
      <c r="R18">
        <v>2047</v>
      </c>
      <c r="S18">
        <f t="shared" si="6"/>
        <v>52</v>
      </c>
      <c r="T18">
        <f t="shared" si="11"/>
        <v>2045</v>
      </c>
      <c r="U18">
        <f t="shared" si="7"/>
        <v>0</v>
      </c>
      <c r="V18">
        <f t="shared" si="7"/>
        <v>0</v>
      </c>
      <c r="W18">
        <f t="shared" si="7"/>
        <v>0</v>
      </c>
      <c r="X18">
        <f t="shared" si="7"/>
        <v>0</v>
      </c>
      <c r="Y18">
        <f t="shared" si="7"/>
        <v>0</v>
      </c>
      <c r="Z18">
        <f t="shared" si="7"/>
        <v>0</v>
      </c>
      <c r="AA18">
        <f t="shared" si="7"/>
        <v>0</v>
      </c>
      <c r="AB18">
        <f t="shared" si="7"/>
        <v>0</v>
      </c>
      <c r="AC18">
        <f t="shared" si="7"/>
        <v>0</v>
      </c>
      <c r="AD18">
        <f t="shared" si="7"/>
        <v>0</v>
      </c>
      <c r="AE18">
        <f t="shared" si="7"/>
        <v>0</v>
      </c>
      <c r="AF18">
        <f t="shared" si="7"/>
        <v>0</v>
      </c>
      <c r="AG18">
        <f t="shared" si="7"/>
        <v>0</v>
      </c>
      <c r="AH18">
        <f t="shared" si="7"/>
        <v>0</v>
      </c>
      <c r="AI18">
        <f t="shared" si="7"/>
        <v>0</v>
      </c>
      <c r="AJ18">
        <f t="shared" si="7"/>
        <v>0</v>
      </c>
      <c r="AK18">
        <f t="shared" si="8"/>
        <v>0</v>
      </c>
      <c r="AL18">
        <f t="shared" si="8"/>
        <v>0</v>
      </c>
      <c r="AM18">
        <f t="shared" si="8"/>
        <v>0</v>
      </c>
      <c r="AN18">
        <f t="shared" si="8"/>
        <v>0</v>
      </c>
      <c r="AO18">
        <f t="shared" si="8"/>
        <v>0</v>
      </c>
      <c r="AP18">
        <f t="shared" si="8"/>
        <v>0</v>
      </c>
      <c r="AQ18">
        <f t="shared" si="8"/>
        <v>0</v>
      </c>
      <c r="AR18">
        <f t="shared" si="8"/>
        <v>0</v>
      </c>
      <c r="AS18">
        <f t="shared" si="8"/>
        <v>0</v>
      </c>
      <c r="AT18">
        <f t="shared" si="8"/>
        <v>0</v>
      </c>
      <c r="AU18">
        <f t="shared" si="8"/>
        <v>0</v>
      </c>
      <c r="AV18">
        <f t="shared" si="8"/>
        <v>0</v>
      </c>
      <c r="AW18">
        <f t="shared" si="8"/>
        <v>0</v>
      </c>
      <c r="AX18">
        <f t="shared" si="8"/>
        <v>0</v>
      </c>
      <c r="AY18">
        <f t="shared" si="9"/>
        <v>0</v>
      </c>
      <c r="AZ18">
        <f t="shared" si="9"/>
        <v>0</v>
      </c>
      <c r="BA18">
        <f t="shared" si="9"/>
        <v>0</v>
      </c>
      <c r="BB18">
        <f t="shared" si="9"/>
        <v>0</v>
      </c>
      <c r="BC18">
        <f t="shared" si="9"/>
        <v>0</v>
      </c>
      <c r="BD18">
        <f t="shared" si="9"/>
        <v>-925.5</v>
      </c>
      <c r="BE18">
        <f t="shared" si="9"/>
        <v>-925.5</v>
      </c>
      <c r="BF18">
        <f t="shared" si="9"/>
        <v>0</v>
      </c>
      <c r="BG18">
        <f t="shared" si="9"/>
        <v>0</v>
      </c>
      <c r="BH18">
        <f t="shared" si="9"/>
        <v>0</v>
      </c>
      <c r="BI18">
        <f t="shared" si="9"/>
        <v>0</v>
      </c>
      <c r="BJ18">
        <f t="shared" si="9"/>
        <v>0</v>
      </c>
      <c r="BK18">
        <f t="shared" si="9"/>
        <v>0</v>
      </c>
    </row>
    <row r="19" spans="1:63" ht="15">
      <c r="A19" t="s">
        <v>395</v>
      </c>
      <c r="B19" s="99">
        <v>9074</v>
      </c>
      <c r="C19" s="100">
        <f t="shared" si="2"/>
        <v>0.37605491237398242</v>
      </c>
      <c r="D19" s="101">
        <v>13</v>
      </c>
      <c r="E19" s="99">
        <v>9222.3950039032006</v>
      </c>
      <c r="F19" s="102">
        <v>90</v>
      </c>
      <c r="G19">
        <v>3</v>
      </c>
      <c r="H19">
        <v>664</v>
      </c>
      <c r="I19" t="str">
        <f t="shared" si="4"/>
        <v>large</v>
      </c>
      <c r="J19" s="99">
        <f t="shared" si="10"/>
        <v>1992</v>
      </c>
      <c r="K19" s="103">
        <v>6.7799999999999999E-2</v>
      </c>
      <c r="L19" s="103">
        <v>5.8299999999999998E-2</v>
      </c>
      <c r="M19" s="103">
        <f t="shared" si="3"/>
        <v>0.87785274000000002</v>
      </c>
      <c r="N19" s="104">
        <v>6.84</v>
      </c>
      <c r="O19">
        <v>1996</v>
      </c>
      <c r="Q19" t="str">
        <f t="shared" si="5"/>
        <v/>
      </c>
      <c r="R19">
        <v>2050</v>
      </c>
      <c r="S19">
        <f t="shared" si="6"/>
        <v>55</v>
      </c>
      <c r="T19">
        <f t="shared" si="11"/>
        <v>2045</v>
      </c>
      <c r="U19">
        <f t="shared" si="7"/>
        <v>0</v>
      </c>
      <c r="V19">
        <f t="shared" si="7"/>
        <v>0</v>
      </c>
      <c r="W19">
        <f t="shared" si="7"/>
        <v>0</v>
      </c>
      <c r="X19">
        <f t="shared" si="7"/>
        <v>0</v>
      </c>
      <c r="Y19">
        <f t="shared" si="7"/>
        <v>0</v>
      </c>
      <c r="Z19">
        <f t="shared" si="7"/>
        <v>0</v>
      </c>
      <c r="AA19">
        <f t="shared" si="7"/>
        <v>0</v>
      </c>
      <c r="AB19">
        <f t="shared" si="7"/>
        <v>0</v>
      </c>
      <c r="AC19">
        <f t="shared" si="7"/>
        <v>0</v>
      </c>
      <c r="AD19">
        <f t="shared" si="7"/>
        <v>0</v>
      </c>
      <c r="AE19">
        <f t="shared" si="7"/>
        <v>0</v>
      </c>
      <c r="AF19">
        <f t="shared" si="7"/>
        <v>0</v>
      </c>
      <c r="AG19">
        <f t="shared" si="7"/>
        <v>0</v>
      </c>
      <c r="AH19">
        <f t="shared" si="7"/>
        <v>0</v>
      </c>
      <c r="AI19">
        <f t="shared" si="7"/>
        <v>0</v>
      </c>
      <c r="AJ19">
        <f t="shared" si="7"/>
        <v>0</v>
      </c>
      <c r="AK19">
        <f t="shared" si="8"/>
        <v>0</v>
      </c>
      <c r="AL19">
        <f t="shared" si="8"/>
        <v>0</v>
      </c>
      <c r="AM19">
        <f t="shared" si="8"/>
        <v>0</v>
      </c>
      <c r="AN19">
        <f t="shared" si="8"/>
        <v>0</v>
      </c>
      <c r="AO19">
        <f t="shared" si="8"/>
        <v>0</v>
      </c>
      <c r="AP19">
        <f t="shared" si="8"/>
        <v>0</v>
      </c>
      <c r="AQ19">
        <f t="shared" si="8"/>
        <v>0</v>
      </c>
      <c r="AR19">
        <f t="shared" si="8"/>
        <v>0</v>
      </c>
      <c r="AS19">
        <f t="shared" si="8"/>
        <v>0</v>
      </c>
      <c r="AT19">
        <f t="shared" si="8"/>
        <v>0</v>
      </c>
      <c r="AU19">
        <f t="shared" si="8"/>
        <v>0</v>
      </c>
      <c r="AV19">
        <f t="shared" si="8"/>
        <v>0</v>
      </c>
      <c r="AW19">
        <f t="shared" si="8"/>
        <v>0</v>
      </c>
      <c r="AX19">
        <f t="shared" si="8"/>
        <v>0</v>
      </c>
      <c r="AY19">
        <f t="shared" si="9"/>
        <v>0</v>
      </c>
      <c r="AZ19">
        <f t="shared" si="9"/>
        <v>0</v>
      </c>
      <c r="BA19">
        <f t="shared" si="9"/>
        <v>0</v>
      </c>
      <c r="BB19">
        <f t="shared" si="9"/>
        <v>0</v>
      </c>
      <c r="BC19">
        <f t="shared" si="9"/>
        <v>0</v>
      </c>
      <c r="BD19">
        <f t="shared" si="9"/>
        <v>-996</v>
      </c>
      <c r="BE19">
        <f t="shared" si="9"/>
        <v>-996</v>
      </c>
      <c r="BF19">
        <f t="shared" si="9"/>
        <v>0</v>
      </c>
      <c r="BG19">
        <f t="shared" si="9"/>
        <v>0</v>
      </c>
      <c r="BH19">
        <f t="shared" si="9"/>
        <v>0</v>
      </c>
      <c r="BI19">
        <f t="shared" si="9"/>
        <v>0</v>
      </c>
      <c r="BJ19">
        <f t="shared" si="9"/>
        <v>0</v>
      </c>
      <c r="BK19">
        <f t="shared" si="9"/>
        <v>0</v>
      </c>
    </row>
    <row r="20" spans="1:63" ht="15">
      <c r="A20" t="s">
        <v>53</v>
      </c>
      <c r="B20" s="99">
        <v>9648</v>
      </c>
      <c r="C20" s="100">
        <f t="shared" si="2"/>
        <v>0.3536818278276862</v>
      </c>
      <c r="D20" s="101">
        <v>6</v>
      </c>
      <c r="E20" s="99">
        <v>28212</v>
      </c>
      <c r="F20" s="102">
        <v>200</v>
      </c>
      <c r="G20">
        <v>6</v>
      </c>
      <c r="H20">
        <v>615</v>
      </c>
      <c r="I20" t="str">
        <f t="shared" si="4"/>
        <v>large</v>
      </c>
      <c r="J20" s="99">
        <f t="shared" si="10"/>
        <v>3690</v>
      </c>
      <c r="K20" s="103">
        <v>7.8E-2</v>
      </c>
      <c r="L20" s="103">
        <v>5.4899999999999997E-2</v>
      </c>
      <c r="M20" s="103">
        <f t="shared" si="3"/>
        <v>0.87138220000000011</v>
      </c>
      <c r="N20" s="104">
        <v>3.9</v>
      </c>
      <c r="O20">
        <v>1987</v>
      </c>
      <c r="Q20" t="str">
        <f t="shared" si="5"/>
        <v/>
      </c>
      <c r="R20">
        <v>2038</v>
      </c>
      <c r="S20">
        <f t="shared" si="6"/>
        <v>52</v>
      </c>
      <c r="T20">
        <f t="shared" si="11"/>
        <v>2036</v>
      </c>
      <c r="U20">
        <f t="shared" si="7"/>
        <v>0</v>
      </c>
      <c r="V20">
        <f t="shared" si="7"/>
        <v>0</v>
      </c>
      <c r="W20">
        <f t="shared" si="7"/>
        <v>0</v>
      </c>
      <c r="X20">
        <f t="shared" si="7"/>
        <v>0</v>
      </c>
      <c r="Y20">
        <f t="shared" si="7"/>
        <v>0</v>
      </c>
      <c r="Z20">
        <f t="shared" si="7"/>
        <v>0</v>
      </c>
      <c r="AA20">
        <f t="shared" si="7"/>
        <v>0</v>
      </c>
      <c r="AB20">
        <f t="shared" si="7"/>
        <v>0</v>
      </c>
      <c r="AC20">
        <f t="shared" si="7"/>
        <v>0</v>
      </c>
      <c r="AD20">
        <f t="shared" si="7"/>
        <v>0</v>
      </c>
      <c r="AE20">
        <f t="shared" si="7"/>
        <v>0</v>
      </c>
      <c r="AF20">
        <f t="shared" si="7"/>
        <v>0</v>
      </c>
      <c r="AG20">
        <f t="shared" si="7"/>
        <v>0</v>
      </c>
      <c r="AH20">
        <f t="shared" si="7"/>
        <v>0</v>
      </c>
      <c r="AI20">
        <f t="shared" si="7"/>
        <v>0</v>
      </c>
      <c r="AJ20">
        <f t="shared" si="7"/>
        <v>0</v>
      </c>
      <c r="AK20">
        <f t="shared" si="8"/>
        <v>0</v>
      </c>
      <c r="AL20">
        <f t="shared" si="8"/>
        <v>0</v>
      </c>
      <c r="AM20">
        <f t="shared" si="8"/>
        <v>0</v>
      </c>
      <c r="AN20">
        <f t="shared" si="8"/>
        <v>0</v>
      </c>
      <c r="AO20">
        <f t="shared" si="8"/>
        <v>0</v>
      </c>
      <c r="AP20">
        <f t="shared" si="8"/>
        <v>0</v>
      </c>
      <c r="AQ20">
        <f t="shared" si="8"/>
        <v>0</v>
      </c>
      <c r="AR20">
        <f t="shared" si="8"/>
        <v>0</v>
      </c>
      <c r="AS20">
        <f t="shared" si="8"/>
        <v>0</v>
      </c>
      <c r="AT20">
        <f t="shared" si="8"/>
        <v>0</v>
      </c>
      <c r="AU20">
        <f t="shared" si="8"/>
        <v>-1845</v>
      </c>
      <c r="AV20">
        <f t="shared" si="8"/>
        <v>-1845</v>
      </c>
      <c r="AW20">
        <f t="shared" si="8"/>
        <v>0</v>
      </c>
      <c r="AX20">
        <f t="shared" si="8"/>
        <v>0</v>
      </c>
      <c r="AY20">
        <f t="shared" si="9"/>
        <v>0</v>
      </c>
      <c r="AZ20">
        <f t="shared" si="9"/>
        <v>0</v>
      </c>
      <c r="BA20">
        <f t="shared" si="9"/>
        <v>0</v>
      </c>
      <c r="BB20">
        <f t="shared" si="9"/>
        <v>0</v>
      </c>
      <c r="BC20">
        <f t="shared" si="9"/>
        <v>0</v>
      </c>
      <c r="BD20">
        <f t="shared" si="9"/>
        <v>0</v>
      </c>
      <c r="BE20">
        <f t="shared" si="9"/>
        <v>0</v>
      </c>
      <c r="BF20">
        <f t="shared" si="9"/>
        <v>0</v>
      </c>
      <c r="BG20">
        <f t="shared" si="9"/>
        <v>0</v>
      </c>
      <c r="BH20">
        <f t="shared" si="9"/>
        <v>0</v>
      </c>
      <c r="BI20">
        <f t="shared" si="9"/>
        <v>0</v>
      </c>
      <c r="BJ20">
        <f t="shared" si="9"/>
        <v>0</v>
      </c>
      <c r="BK20">
        <f t="shared" si="9"/>
        <v>0</v>
      </c>
    </row>
    <row r="21" spans="1:63" ht="15">
      <c r="A21" t="s">
        <v>54</v>
      </c>
      <c r="B21" s="99">
        <v>9692</v>
      </c>
      <c r="C21" s="100">
        <f t="shared" si="2"/>
        <v>0.35207617363614491</v>
      </c>
      <c r="D21" s="101">
        <v>10</v>
      </c>
      <c r="E21" s="99">
        <v>25388</v>
      </c>
      <c r="F21" s="102">
        <v>188</v>
      </c>
      <c r="G21">
        <v>6</v>
      </c>
      <c r="H21">
        <v>575</v>
      </c>
      <c r="I21" t="str">
        <f t="shared" si="4"/>
        <v>large</v>
      </c>
      <c r="J21" s="99">
        <f t="shared" si="10"/>
        <v>3450</v>
      </c>
      <c r="K21" s="103">
        <v>5.4600000000000003E-2</v>
      </c>
      <c r="L21" s="103">
        <v>6.7299999999999999E-2</v>
      </c>
      <c r="M21" s="103">
        <f t="shared" si="3"/>
        <v>0.88177457999999997</v>
      </c>
      <c r="N21" s="104">
        <v>2.98</v>
      </c>
      <c r="O21">
        <v>1979</v>
      </c>
      <c r="Q21" t="str">
        <f t="shared" si="5"/>
        <v/>
      </c>
      <c r="R21">
        <v>2030</v>
      </c>
      <c r="S21">
        <f t="shared" si="6"/>
        <v>52</v>
      </c>
      <c r="T21">
        <f t="shared" si="11"/>
        <v>2028</v>
      </c>
      <c r="U21">
        <f t="shared" si="7"/>
        <v>0</v>
      </c>
      <c r="V21">
        <f t="shared" si="7"/>
        <v>0</v>
      </c>
      <c r="W21">
        <f t="shared" si="7"/>
        <v>0</v>
      </c>
      <c r="X21">
        <f t="shared" si="7"/>
        <v>0</v>
      </c>
      <c r="Y21">
        <f t="shared" si="7"/>
        <v>0</v>
      </c>
      <c r="Z21">
        <f t="shared" si="7"/>
        <v>0</v>
      </c>
      <c r="AA21">
        <f t="shared" si="7"/>
        <v>0</v>
      </c>
      <c r="AB21">
        <f t="shared" si="7"/>
        <v>0</v>
      </c>
      <c r="AC21">
        <f t="shared" si="7"/>
        <v>0</v>
      </c>
      <c r="AD21">
        <f t="shared" si="7"/>
        <v>0</v>
      </c>
      <c r="AE21">
        <f t="shared" si="7"/>
        <v>0</v>
      </c>
      <c r="AF21">
        <f t="shared" si="7"/>
        <v>0</v>
      </c>
      <c r="AG21">
        <f t="shared" si="7"/>
        <v>0</v>
      </c>
      <c r="AH21">
        <f t="shared" si="7"/>
        <v>0</v>
      </c>
      <c r="AI21">
        <f t="shared" si="7"/>
        <v>0</v>
      </c>
      <c r="AJ21">
        <f t="shared" si="7"/>
        <v>0</v>
      </c>
      <c r="AK21">
        <f t="shared" si="8"/>
        <v>0</v>
      </c>
      <c r="AL21">
        <f t="shared" si="8"/>
        <v>0</v>
      </c>
      <c r="AM21">
        <f t="shared" si="8"/>
        <v>-1725</v>
      </c>
      <c r="AN21">
        <f t="shared" si="8"/>
        <v>-1725</v>
      </c>
      <c r="AO21">
        <f t="shared" si="8"/>
        <v>0</v>
      </c>
      <c r="AP21">
        <f t="shared" si="8"/>
        <v>0</v>
      </c>
      <c r="AQ21">
        <f t="shared" si="8"/>
        <v>0</v>
      </c>
      <c r="AR21">
        <f t="shared" si="8"/>
        <v>0</v>
      </c>
      <c r="AS21">
        <f t="shared" si="8"/>
        <v>0</v>
      </c>
      <c r="AT21">
        <f t="shared" si="8"/>
        <v>0</v>
      </c>
      <c r="AU21">
        <f t="shared" si="8"/>
        <v>0</v>
      </c>
      <c r="AV21">
        <f t="shared" si="8"/>
        <v>0</v>
      </c>
      <c r="AW21">
        <f t="shared" si="8"/>
        <v>0</v>
      </c>
      <c r="AX21">
        <f t="shared" si="8"/>
        <v>0</v>
      </c>
      <c r="AY21">
        <f t="shared" si="9"/>
        <v>0</v>
      </c>
      <c r="AZ21">
        <f t="shared" si="9"/>
        <v>0</v>
      </c>
      <c r="BA21">
        <f t="shared" si="9"/>
        <v>0</v>
      </c>
      <c r="BB21">
        <f t="shared" si="9"/>
        <v>0</v>
      </c>
      <c r="BC21">
        <f t="shared" si="9"/>
        <v>0</v>
      </c>
      <c r="BD21">
        <f t="shared" si="9"/>
        <v>0</v>
      </c>
      <c r="BE21">
        <f t="shared" si="9"/>
        <v>0</v>
      </c>
      <c r="BF21">
        <f t="shared" si="9"/>
        <v>0</v>
      </c>
      <c r="BG21">
        <f t="shared" si="9"/>
        <v>0</v>
      </c>
      <c r="BH21">
        <f t="shared" si="9"/>
        <v>0</v>
      </c>
      <c r="BI21">
        <f t="shared" si="9"/>
        <v>0</v>
      </c>
      <c r="BJ21">
        <f t="shared" si="9"/>
        <v>0</v>
      </c>
      <c r="BK21">
        <f t="shared" si="9"/>
        <v>0</v>
      </c>
    </row>
    <row r="22" spans="1:63" ht="15">
      <c r="A22" t="s">
        <v>58</v>
      </c>
      <c r="B22" s="99">
        <v>9100</v>
      </c>
      <c r="C22" s="100">
        <f t="shared" si="2"/>
        <v>0.37498046976719962</v>
      </c>
      <c r="D22" s="101">
        <v>7</v>
      </c>
      <c r="E22" s="99">
        <v>18374</v>
      </c>
      <c r="F22" s="102">
        <v>127</v>
      </c>
      <c r="G22">
        <v>6</v>
      </c>
      <c r="H22">
        <v>585</v>
      </c>
      <c r="I22" t="str">
        <f t="shared" si="4"/>
        <v>large</v>
      </c>
      <c r="J22" s="99">
        <f t="shared" si="10"/>
        <v>3510</v>
      </c>
      <c r="K22" s="103">
        <v>0.1009</v>
      </c>
      <c r="L22" s="103">
        <v>4.65E-2</v>
      </c>
      <c r="M22" s="103">
        <f t="shared" si="3"/>
        <v>0.85729185000000008</v>
      </c>
      <c r="N22" s="104">
        <v>8.66</v>
      </c>
      <c r="O22">
        <v>1985</v>
      </c>
      <c r="Q22" t="str">
        <f t="shared" si="5"/>
        <v/>
      </c>
      <c r="R22">
        <v>2036</v>
      </c>
      <c r="S22">
        <f t="shared" si="6"/>
        <v>52</v>
      </c>
      <c r="T22">
        <f t="shared" si="11"/>
        <v>2034</v>
      </c>
      <c r="U22">
        <f t="shared" si="7"/>
        <v>0</v>
      </c>
      <c r="V22">
        <f t="shared" si="7"/>
        <v>0</v>
      </c>
      <c r="W22">
        <f t="shared" si="7"/>
        <v>0</v>
      </c>
      <c r="X22">
        <f t="shared" si="7"/>
        <v>0</v>
      </c>
      <c r="Y22">
        <f t="shared" si="7"/>
        <v>0</v>
      </c>
      <c r="Z22">
        <f t="shared" si="7"/>
        <v>0</v>
      </c>
      <c r="AA22">
        <f t="shared" si="7"/>
        <v>0</v>
      </c>
      <c r="AB22">
        <f t="shared" si="7"/>
        <v>0</v>
      </c>
      <c r="AC22">
        <f t="shared" si="7"/>
        <v>0</v>
      </c>
      <c r="AD22">
        <f t="shared" si="7"/>
        <v>0</v>
      </c>
      <c r="AE22">
        <f t="shared" si="7"/>
        <v>0</v>
      </c>
      <c r="AF22">
        <f t="shared" si="7"/>
        <v>0</v>
      </c>
      <c r="AG22">
        <f t="shared" si="7"/>
        <v>0</v>
      </c>
      <c r="AH22">
        <f t="shared" si="7"/>
        <v>0</v>
      </c>
      <c r="AI22">
        <f t="shared" si="7"/>
        <v>0</v>
      </c>
      <c r="AJ22">
        <f t="shared" si="7"/>
        <v>0</v>
      </c>
      <c r="AK22">
        <f t="shared" si="8"/>
        <v>0</v>
      </c>
      <c r="AL22">
        <f t="shared" si="8"/>
        <v>0</v>
      </c>
      <c r="AM22">
        <f t="shared" si="8"/>
        <v>0</v>
      </c>
      <c r="AN22">
        <f t="shared" si="8"/>
        <v>0</v>
      </c>
      <c r="AO22">
        <f t="shared" si="8"/>
        <v>0</v>
      </c>
      <c r="AP22">
        <f t="shared" si="8"/>
        <v>0</v>
      </c>
      <c r="AQ22">
        <f t="shared" si="8"/>
        <v>0</v>
      </c>
      <c r="AR22">
        <f t="shared" si="8"/>
        <v>0</v>
      </c>
      <c r="AS22">
        <f t="shared" si="8"/>
        <v>-1755</v>
      </c>
      <c r="AT22">
        <f t="shared" si="8"/>
        <v>-1755</v>
      </c>
      <c r="AU22">
        <f t="shared" si="8"/>
        <v>0</v>
      </c>
      <c r="AV22">
        <f t="shared" si="8"/>
        <v>0</v>
      </c>
      <c r="AW22">
        <f t="shared" si="8"/>
        <v>0</v>
      </c>
      <c r="AX22">
        <f t="shared" si="8"/>
        <v>0</v>
      </c>
      <c r="AY22">
        <f t="shared" si="9"/>
        <v>0</v>
      </c>
      <c r="AZ22">
        <f t="shared" si="9"/>
        <v>0</v>
      </c>
      <c r="BA22">
        <f t="shared" si="9"/>
        <v>0</v>
      </c>
      <c r="BB22">
        <f t="shared" si="9"/>
        <v>0</v>
      </c>
      <c r="BC22">
        <f t="shared" si="9"/>
        <v>0</v>
      </c>
      <c r="BD22">
        <f t="shared" si="9"/>
        <v>0</v>
      </c>
      <c r="BE22">
        <f t="shared" si="9"/>
        <v>0</v>
      </c>
      <c r="BF22">
        <f t="shared" si="9"/>
        <v>0</v>
      </c>
      <c r="BG22">
        <f t="shared" si="9"/>
        <v>0</v>
      </c>
      <c r="BH22">
        <f t="shared" si="9"/>
        <v>0</v>
      </c>
      <c r="BI22">
        <f t="shared" si="9"/>
        <v>0</v>
      </c>
      <c r="BJ22">
        <f t="shared" si="9"/>
        <v>0</v>
      </c>
      <c r="BK22">
        <f t="shared" si="9"/>
        <v>0</v>
      </c>
    </row>
    <row r="23" spans="1:63" ht="15">
      <c r="A23" s="17" t="s">
        <v>396</v>
      </c>
      <c r="B23" s="99"/>
      <c r="C23" s="98">
        <f>SUMPRODUCT(C24:C28,H24:H28)/SUM(H24:H28)</f>
        <v>0.25748793818754967</v>
      </c>
      <c r="D23" s="99"/>
      <c r="E23" s="99"/>
      <c r="F23" s="99"/>
      <c r="J23" s="99"/>
      <c r="K23" s="99"/>
      <c r="L23" s="99"/>
      <c r="M23" s="99"/>
      <c r="N23" s="99"/>
    </row>
    <row r="24" spans="1:63" ht="15">
      <c r="A24" t="s">
        <v>397</v>
      </c>
      <c r="B24" s="99">
        <v>14239</v>
      </c>
      <c r="C24" s="241">
        <f>1/(B24*1.055/3600)*1.04</f>
        <v>0.24923205041623553</v>
      </c>
      <c r="D24" s="101">
        <v>18</v>
      </c>
      <c r="E24" s="99">
        <v>230.76909448818898</v>
      </c>
      <c r="F24" s="102">
        <v>371</v>
      </c>
      <c r="G24">
        <v>3</v>
      </c>
      <c r="H24">
        <v>25</v>
      </c>
      <c r="I24" t="str">
        <f>IF(H24&lt;$H$4,"small","large")</f>
        <v>small</v>
      </c>
      <c r="J24" s="99">
        <f t="shared" si="10"/>
        <v>75</v>
      </c>
      <c r="K24" s="103">
        <v>0.1009</v>
      </c>
      <c r="L24" s="103">
        <v>9.3799999999999994E-2</v>
      </c>
      <c r="M24" s="103">
        <f t="shared" si="3"/>
        <v>0.81476442000000004</v>
      </c>
      <c r="N24" s="104">
        <v>5.46</v>
      </c>
      <c r="O24">
        <v>1955</v>
      </c>
      <c r="P24">
        <v>2016</v>
      </c>
      <c r="Q24">
        <f>IF(P24,P24-O24+1,"")</f>
        <v>62</v>
      </c>
      <c r="R24">
        <v>2032</v>
      </c>
      <c r="S24">
        <f>R24-O24+1</f>
        <v>78</v>
      </c>
      <c r="T24">
        <f>IF(P24,P24,R24)</f>
        <v>2016</v>
      </c>
      <c r="U24">
        <f t="shared" ref="U24:AJ28" si="12">IF(OR(U$5=$T24,U$5=$T24+1),-$J24/2,0)</f>
        <v>0</v>
      </c>
      <c r="V24">
        <f t="shared" si="12"/>
        <v>0</v>
      </c>
      <c r="W24">
        <f t="shared" si="12"/>
        <v>0</v>
      </c>
      <c r="X24">
        <f t="shared" si="12"/>
        <v>0</v>
      </c>
      <c r="Y24">
        <f t="shared" si="12"/>
        <v>0</v>
      </c>
      <c r="Z24">
        <f t="shared" si="12"/>
        <v>0</v>
      </c>
      <c r="AA24">
        <f t="shared" si="12"/>
        <v>-37.5</v>
      </c>
      <c r="AB24">
        <f t="shared" si="12"/>
        <v>-37.5</v>
      </c>
      <c r="AC24">
        <f t="shared" si="12"/>
        <v>0</v>
      </c>
      <c r="AD24">
        <f t="shared" si="12"/>
        <v>0</v>
      </c>
      <c r="AE24">
        <f t="shared" si="12"/>
        <v>0</v>
      </c>
      <c r="AF24">
        <f t="shared" si="12"/>
        <v>0</v>
      </c>
      <c r="AG24">
        <f t="shared" si="12"/>
        <v>0</v>
      </c>
      <c r="AH24">
        <f t="shared" si="12"/>
        <v>0</v>
      </c>
      <c r="AI24">
        <f t="shared" si="12"/>
        <v>0</v>
      </c>
      <c r="AJ24">
        <f t="shared" si="12"/>
        <v>0</v>
      </c>
      <c r="AK24">
        <f t="shared" ref="AK24:AZ28" si="13">IF(OR(AK$5=$T24,AK$5=$T24+1),-$J24/2,0)</f>
        <v>0</v>
      </c>
      <c r="AL24">
        <f t="shared" si="13"/>
        <v>0</v>
      </c>
      <c r="AM24">
        <f t="shared" si="13"/>
        <v>0</v>
      </c>
      <c r="AN24">
        <f t="shared" si="13"/>
        <v>0</v>
      </c>
      <c r="AO24">
        <f t="shared" si="13"/>
        <v>0</v>
      </c>
      <c r="AP24">
        <f t="shared" si="13"/>
        <v>0</v>
      </c>
      <c r="AQ24">
        <f t="shared" si="13"/>
        <v>0</v>
      </c>
      <c r="AR24">
        <f t="shared" si="13"/>
        <v>0</v>
      </c>
      <c r="AS24">
        <f t="shared" si="13"/>
        <v>0</v>
      </c>
      <c r="AT24">
        <f t="shared" si="13"/>
        <v>0</v>
      </c>
      <c r="AU24">
        <f t="shared" si="13"/>
        <v>0</v>
      </c>
      <c r="AV24">
        <f t="shared" si="13"/>
        <v>0</v>
      </c>
      <c r="AW24">
        <f t="shared" si="13"/>
        <v>0</v>
      </c>
      <c r="AX24">
        <f t="shared" si="13"/>
        <v>0</v>
      </c>
      <c r="AY24">
        <f t="shared" si="13"/>
        <v>0</v>
      </c>
      <c r="AZ24">
        <f t="shared" si="13"/>
        <v>0</v>
      </c>
      <c r="BA24">
        <f t="shared" ref="AY24:BK28" si="14">IF(OR(BA$5=$T24,BA$5=$T24+1),-$J24/2,0)</f>
        <v>0</v>
      </c>
      <c r="BB24">
        <f t="shared" si="14"/>
        <v>0</v>
      </c>
      <c r="BC24">
        <f t="shared" si="14"/>
        <v>0</v>
      </c>
      <c r="BD24">
        <f t="shared" si="14"/>
        <v>0</v>
      </c>
      <c r="BE24">
        <f t="shared" si="14"/>
        <v>0</v>
      </c>
      <c r="BF24">
        <f t="shared" si="14"/>
        <v>0</v>
      </c>
      <c r="BG24">
        <f t="shared" si="14"/>
        <v>0</v>
      </c>
      <c r="BH24">
        <f t="shared" si="14"/>
        <v>0</v>
      </c>
      <c r="BI24">
        <f t="shared" si="14"/>
        <v>0</v>
      </c>
      <c r="BJ24">
        <f t="shared" si="14"/>
        <v>0</v>
      </c>
      <c r="BK24">
        <f t="shared" si="14"/>
        <v>0</v>
      </c>
    </row>
    <row r="25" spans="1:63" ht="15">
      <c r="A25" s="8" t="s">
        <v>398</v>
      </c>
      <c r="B25" s="99">
        <v>13688</v>
      </c>
      <c r="C25" s="241">
        <f>1/(B25*1.055/3600)*1.04</f>
        <v>0.25926469651349926</v>
      </c>
      <c r="D25" s="101">
        <v>18</v>
      </c>
      <c r="E25" s="99">
        <v>941.537905511811</v>
      </c>
      <c r="F25" s="102">
        <v>302</v>
      </c>
      <c r="G25">
        <v>3</v>
      </c>
      <c r="H25">
        <v>51</v>
      </c>
      <c r="I25" t="str">
        <f>IF(H25&lt;$H$4,"small","large")</f>
        <v>small</v>
      </c>
      <c r="J25" s="99">
        <f t="shared" si="10"/>
        <v>153</v>
      </c>
      <c r="K25" s="103">
        <v>0.1009</v>
      </c>
      <c r="L25" s="103">
        <v>9.3799999999999994E-2</v>
      </c>
      <c r="M25" s="103">
        <f t="shared" si="3"/>
        <v>0.81476442000000004</v>
      </c>
      <c r="N25" s="104">
        <v>5.95</v>
      </c>
      <c r="O25">
        <f>O24</f>
        <v>1955</v>
      </c>
      <c r="P25">
        <v>2025</v>
      </c>
      <c r="Q25">
        <f>IF(P25,P25-O25+1,"")</f>
        <v>71</v>
      </c>
      <c r="R25">
        <v>2032</v>
      </c>
      <c r="S25">
        <f>R25-O25+1</f>
        <v>78</v>
      </c>
      <c r="T25">
        <f>IF(P25,P25,R25)</f>
        <v>2025</v>
      </c>
      <c r="U25">
        <f t="shared" si="12"/>
        <v>0</v>
      </c>
      <c r="V25">
        <f t="shared" si="12"/>
        <v>0</v>
      </c>
      <c r="W25">
        <f t="shared" si="12"/>
        <v>0</v>
      </c>
      <c r="X25">
        <f t="shared" si="12"/>
        <v>0</v>
      </c>
      <c r="Y25">
        <f t="shared" si="12"/>
        <v>0</v>
      </c>
      <c r="Z25">
        <f t="shared" si="12"/>
        <v>0</v>
      </c>
      <c r="AA25">
        <f t="shared" si="12"/>
        <v>0</v>
      </c>
      <c r="AB25">
        <f t="shared" si="12"/>
        <v>0</v>
      </c>
      <c r="AC25">
        <f t="shared" si="12"/>
        <v>0</v>
      </c>
      <c r="AD25">
        <f t="shared" si="12"/>
        <v>0</v>
      </c>
      <c r="AE25">
        <f t="shared" si="12"/>
        <v>0</v>
      </c>
      <c r="AF25">
        <f t="shared" si="12"/>
        <v>0</v>
      </c>
      <c r="AG25">
        <f t="shared" si="12"/>
        <v>0</v>
      </c>
      <c r="AH25">
        <f t="shared" si="12"/>
        <v>0</v>
      </c>
      <c r="AI25">
        <f t="shared" si="12"/>
        <v>0</v>
      </c>
      <c r="AJ25">
        <f t="shared" si="12"/>
        <v>-76.5</v>
      </c>
      <c r="AK25">
        <f t="shared" si="13"/>
        <v>-76.5</v>
      </c>
      <c r="AL25">
        <f t="shared" si="13"/>
        <v>0</v>
      </c>
      <c r="AM25">
        <f t="shared" si="13"/>
        <v>0</v>
      </c>
      <c r="AN25">
        <f t="shared" si="13"/>
        <v>0</v>
      </c>
      <c r="AO25">
        <f t="shared" si="13"/>
        <v>0</v>
      </c>
      <c r="AP25">
        <f t="shared" si="13"/>
        <v>0</v>
      </c>
      <c r="AQ25">
        <f t="shared" si="13"/>
        <v>0</v>
      </c>
      <c r="AR25">
        <f t="shared" si="13"/>
        <v>0</v>
      </c>
      <c r="AS25">
        <f t="shared" si="13"/>
        <v>0</v>
      </c>
      <c r="AT25">
        <f t="shared" si="13"/>
        <v>0</v>
      </c>
      <c r="AU25">
        <f t="shared" si="13"/>
        <v>0</v>
      </c>
      <c r="AV25">
        <f t="shared" si="13"/>
        <v>0</v>
      </c>
      <c r="AW25">
        <f t="shared" si="13"/>
        <v>0</v>
      </c>
      <c r="AX25">
        <f t="shared" si="13"/>
        <v>0</v>
      </c>
      <c r="AY25">
        <f t="shared" si="14"/>
        <v>0</v>
      </c>
      <c r="AZ25">
        <f t="shared" si="14"/>
        <v>0</v>
      </c>
      <c r="BA25">
        <f t="shared" si="14"/>
        <v>0</v>
      </c>
      <c r="BB25">
        <f t="shared" si="14"/>
        <v>0</v>
      </c>
      <c r="BC25">
        <f t="shared" si="14"/>
        <v>0</v>
      </c>
      <c r="BD25">
        <f t="shared" si="14"/>
        <v>0</v>
      </c>
      <c r="BE25">
        <f t="shared" si="14"/>
        <v>0</v>
      </c>
      <c r="BF25">
        <f t="shared" si="14"/>
        <v>0</v>
      </c>
      <c r="BG25">
        <f t="shared" si="14"/>
        <v>0</v>
      </c>
      <c r="BH25">
        <f t="shared" si="14"/>
        <v>0</v>
      </c>
      <c r="BI25">
        <f t="shared" si="14"/>
        <v>0</v>
      </c>
      <c r="BJ25">
        <f t="shared" si="14"/>
        <v>0</v>
      </c>
      <c r="BK25">
        <f t="shared" si="14"/>
        <v>0</v>
      </c>
    </row>
    <row r="26" spans="1:63" ht="15">
      <c r="A26" t="s">
        <v>399</v>
      </c>
      <c r="B26" s="99">
        <v>14545</v>
      </c>
      <c r="C26" s="241">
        <f>1/(B26*1.055/3600)*1.04</f>
        <v>0.24398866729988161</v>
      </c>
      <c r="D26" s="101">
        <v>18</v>
      </c>
      <c r="E26" s="99">
        <v>130</v>
      </c>
      <c r="F26" s="102">
        <v>697</v>
      </c>
      <c r="G26">
        <v>4</v>
      </c>
      <c r="H26">
        <v>25</v>
      </c>
      <c r="I26" t="str">
        <f>IF(H26&lt;$H$4,"small","large")</f>
        <v>small</v>
      </c>
      <c r="J26" s="99">
        <f t="shared" si="10"/>
        <v>100</v>
      </c>
      <c r="K26" s="103">
        <v>0.1009</v>
      </c>
      <c r="L26" s="103">
        <v>9.3799999999999994E-2</v>
      </c>
      <c r="M26" s="103">
        <f t="shared" si="3"/>
        <v>0.81476442000000004</v>
      </c>
      <c r="N26" s="104">
        <v>5.12</v>
      </c>
      <c r="O26">
        <v>1952</v>
      </c>
      <c r="P26">
        <v>2018</v>
      </c>
      <c r="Q26">
        <f>IF(P26,P26-O26+1,"")</f>
        <v>67</v>
      </c>
      <c r="R26">
        <v>2032</v>
      </c>
      <c r="S26">
        <f>R26-O26+1</f>
        <v>81</v>
      </c>
      <c r="T26">
        <f>IF(P26,P26,R26)</f>
        <v>2018</v>
      </c>
      <c r="U26">
        <f t="shared" si="12"/>
        <v>0</v>
      </c>
      <c r="V26">
        <f t="shared" si="12"/>
        <v>0</v>
      </c>
      <c r="W26">
        <f t="shared" si="12"/>
        <v>0</v>
      </c>
      <c r="X26">
        <f t="shared" si="12"/>
        <v>0</v>
      </c>
      <c r="Y26">
        <f t="shared" si="12"/>
        <v>0</v>
      </c>
      <c r="Z26">
        <f t="shared" si="12"/>
        <v>0</v>
      </c>
      <c r="AA26">
        <f t="shared" si="12"/>
        <v>0</v>
      </c>
      <c r="AB26">
        <f t="shared" si="12"/>
        <v>0</v>
      </c>
      <c r="AC26">
        <f t="shared" si="12"/>
        <v>-50</v>
      </c>
      <c r="AD26">
        <f t="shared" si="12"/>
        <v>-50</v>
      </c>
      <c r="AE26">
        <f t="shared" si="12"/>
        <v>0</v>
      </c>
      <c r="AF26">
        <f t="shared" si="12"/>
        <v>0</v>
      </c>
      <c r="AG26">
        <f t="shared" si="12"/>
        <v>0</v>
      </c>
      <c r="AH26">
        <f t="shared" si="12"/>
        <v>0</v>
      </c>
      <c r="AI26">
        <f t="shared" si="12"/>
        <v>0</v>
      </c>
      <c r="AJ26">
        <f t="shared" si="12"/>
        <v>0</v>
      </c>
      <c r="AK26">
        <f t="shared" si="13"/>
        <v>0</v>
      </c>
      <c r="AL26">
        <f t="shared" si="13"/>
        <v>0</v>
      </c>
      <c r="AM26">
        <f t="shared" si="13"/>
        <v>0</v>
      </c>
      <c r="AN26">
        <f t="shared" si="13"/>
        <v>0</v>
      </c>
      <c r="AO26">
        <f t="shared" si="13"/>
        <v>0</v>
      </c>
      <c r="AP26">
        <f t="shared" si="13"/>
        <v>0</v>
      </c>
      <c r="AQ26">
        <f t="shared" si="13"/>
        <v>0</v>
      </c>
      <c r="AR26">
        <f t="shared" si="13"/>
        <v>0</v>
      </c>
      <c r="AS26">
        <f t="shared" si="13"/>
        <v>0</v>
      </c>
      <c r="AT26">
        <f t="shared" si="13"/>
        <v>0</v>
      </c>
      <c r="AU26">
        <f t="shared" si="13"/>
        <v>0</v>
      </c>
      <c r="AV26">
        <f t="shared" si="13"/>
        <v>0</v>
      </c>
      <c r="AW26">
        <f t="shared" si="13"/>
        <v>0</v>
      </c>
      <c r="AX26">
        <f t="shared" si="13"/>
        <v>0</v>
      </c>
      <c r="AY26">
        <f t="shared" si="14"/>
        <v>0</v>
      </c>
      <c r="AZ26">
        <f t="shared" si="14"/>
        <v>0</v>
      </c>
      <c r="BA26">
        <f t="shared" si="14"/>
        <v>0</v>
      </c>
      <c r="BB26">
        <f t="shared" si="14"/>
        <v>0</v>
      </c>
      <c r="BC26">
        <f t="shared" si="14"/>
        <v>0</v>
      </c>
      <c r="BD26">
        <f t="shared" si="14"/>
        <v>0</v>
      </c>
      <c r="BE26">
        <f t="shared" si="14"/>
        <v>0</v>
      </c>
      <c r="BF26">
        <f t="shared" si="14"/>
        <v>0</v>
      </c>
      <c r="BG26">
        <f t="shared" si="14"/>
        <v>0</v>
      </c>
      <c r="BH26">
        <f t="shared" si="14"/>
        <v>0</v>
      </c>
      <c r="BI26">
        <f t="shared" si="14"/>
        <v>0</v>
      </c>
      <c r="BJ26">
        <f t="shared" si="14"/>
        <v>0</v>
      </c>
      <c r="BK26">
        <f t="shared" si="14"/>
        <v>0</v>
      </c>
    </row>
    <row r="27" spans="1:63" ht="15">
      <c r="A27" t="s">
        <v>400</v>
      </c>
      <c r="B27" s="99">
        <v>13688</v>
      </c>
      <c r="C27" s="241">
        <f>1/(B27*1.055/3600)*1.04</f>
        <v>0.25926469651349926</v>
      </c>
      <c r="D27" s="101">
        <v>17</v>
      </c>
      <c r="E27" s="99">
        <v>816</v>
      </c>
      <c r="F27" s="102">
        <v>241</v>
      </c>
      <c r="G27">
        <v>4</v>
      </c>
      <c r="H27">
        <v>51</v>
      </c>
      <c r="I27" t="str">
        <f>IF(H27&lt;$H$4,"small","large")</f>
        <v>small</v>
      </c>
      <c r="J27" s="99">
        <f t="shared" si="10"/>
        <v>204</v>
      </c>
      <c r="K27" s="103">
        <v>0.1009</v>
      </c>
      <c r="L27" s="103">
        <v>9.3799999999999994E-2</v>
      </c>
      <c r="M27" s="103">
        <f t="shared" si="3"/>
        <v>0.81476442000000004</v>
      </c>
      <c r="N27" s="104">
        <v>5.12</v>
      </c>
      <c r="O27">
        <v>1968</v>
      </c>
      <c r="Q27" t="str">
        <f>IF(P27,P27-O27+1,"")</f>
        <v/>
      </c>
      <c r="R27">
        <v>2032</v>
      </c>
      <c r="S27">
        <f>R27-O27+1</f>
        <v>65</v>
      </c>
      <c r="T27">
        <f>IF(P27,P27,R27)</f>
        <v>2032</v>
      </c>
      <c r="U27">
        <f t="shared" si="12"/>
        <v>0</v>
      </c>
      <c r="V27">
        <f t="shared" si="12"/>
        <v>0</v>
      </c>
      <c r="W27">
        <f t="shared" si="12"/>
        <v>0</v>
      </c>
      <c r="X27">
        <f t="shared" si="12"/>
        <v>0</v>
      </c>
      <c r="Y27">
        <f t="shared" si="12"/>
        <v>0</v>
      </c>
      <c r="Z27">
        <f t="shared" si="12"/>
        <v>0</v>
      </c>
      <c r="AA27">
        <f t="shared" si="12"/>
        <v>0</v>
      </c>
      <c r="AB27">
        <f t="shared" si="12"/>
        <v>0</v>
      </c>
      <c r="AC27">
        <f t="shared" si="12"/>
        <v>0</v>
      </c>
      <c r="AD27">
        <f t="shared" si="12"/>
        <v>0</v>
      </c>
      <c r="AE27">
        <f t="shared" si="12"/>
        <v>0</v>
      </c>
      <c r="AF27">
        <f t="shared" si="12"/>
        <v>0</v>
      </c>
      <c r="AG27">
        <f t="shared" si="12"/>
        <v>0</v>
      </c>
      <c r="AH27">
        <f t="shared" si="12"/>
        <v>0</v>
      </c>
      <c r="AI27">
        <f t="shared" si="12"/>
        <v>0</v>
      </c>
      <c r="AJ27">
        <f t="shared" si="12"/>
        <v>0</v>
      </c>
      <c r="AK27">
        <f t="shared" si="13"/>
        <v>0</v>
      </c>
      <c r="AL27">
        <f t="shared" si="13"/>
        <v>0</v>
      </c>
      <c r="AM27">
        <f t="shared" si="13"/>
        <v>0</v>
      </c>
      <c r="AN27">
        <f t="shared" si="13"/>
        <v>0</v>
      </c>
      <c r="AO27">
        <f t="shared" si="13"/>
        <v>0</v>
      </c>
      <c r="AP27">
        <f t="shared" si="13"/>
        <v>0</v>
      </c>
      <c r="AQ27">
        <f t="shared" si="13"/>
        <v>-102</v>
      </c>
      <c r="AR27">
        <f t="shared" si="13"/>
        <v>-102</v>
      </c>
      <c r="AS27">
        <f t="shared" si="13"/>
        <v>0</v>
      </c>
      <c r="AT27">
        <f t="shared" si="13"/>
        <v>0</v>
      </c>
      <c r="AU27">
        <f t="shared" si="13"/>
        <v>0</v>
      </c>
      <c r="AV27">
        <f t="shared" si="13"/>
        <v>0</v>
      </c>
      <c r="AW27">
        <f t="shared" si="13"/>
        <v>0</v>
      </c>
      <c r="AX27">
        <f t="shared" si="13"/>
        <v>0</v>
      </c>
      <c r="AY27">
        <f t="shared" si="14"/>
        <v>0</v>
      </c>
      <c r="AZ27">
        <f t="shared" si="14"/>
        <v>0</v>
      </c>
      <c r="BA27">
        <f t="shared" si="14"/>
        <v>0</v>
      </c>
      <c r="BB27">
        <f t="shared" si="14"/>
        <v>0</v>
      </c>
      <c r="BC27">
        <f t="shared" si="14"/>
        <v>0</v>
      </c>
      <c r="BD27">
        <f t="shared" si="14"/>
        <v>0</v>
      </c>
      <c r="BE27">
        <f t="shared" si="14"/>
        <v>0</v>
      </c>
      <c r="BF27">
        <f t="shared" si="14"/>
        <v>0</v>
      </c>
      <c r="BG27">
        <f t="shared" si="14"/>
        <v>0</v>
      </c>
      <c r="BH27">
        <f t="shared" si="14"/>
        <v>0</v>
      </c>
      <c r="BI27">
        <f t="shared" si="14"/>
        <v>0</v>
      </c>
      <c r="BJ27">
        <f t="shared" si="14"/>
        <v>0</v>
      </c>
      <c r="BK27">
        <f t="shared" si="14"/>
        <v>0</v>
      </c>
    </row>
    <row r="28" spans="1:63" ht="15">
      <c r="A28" t="s">
        <v>401</v>
      </c>
      <c r="B28" s="99">
        <v>13419</v>
      </c>
      <c r="C28" s="241">
        <f>1/(B28*1.055/3600)*1.04</f>
        <v>0.26446196928808235</v>
      </c>
      <c r="D28" s="101">
        <v>14</v>
      </c>
      <c r="E28" s="99">
        <v>4513</v>
      </c>
      <c r="F28" s="102">
        <v>138</v>
      </c>
      <c r="G28">
        <v>10</v>
      </c>
      <c r="H28">
        <v>52</v>
      </c>
      <c r="I28" t="str">
        <f>IF(H28&lt;$H$4,"small","large")</f>
        <v>small</v>
      </c>
      <c r="J28" s="99">
        <f t="shared" si="10"/>
        <v>520</v>
      </c>
      <c r="K28" s="103">
        <v>8.9800000000000005E-2</v>
      </c>
      <c r="L28" s="103">
        <v>7.1499999999999994E-2</v>
      </c>
      <c r="M28" s="103">
        <f t="shared" si="3"/>
        <v>0.84512069999999995</v>
      </c>
      <c r="N28" s="104">
        <v>5.72</v>
      </c>
      <c r="O28">
        <f>2005-29</f>
        <v>1976</v>
      </c>
      <c r="P28">
        <v>2025</v>
      </c>
      <c r="Q28">
        <f>IF(P28,P28-O28+1,"")</f>
        <v>50</v>
      </c>
      <c r="R28">
        <v>2032</v>
      </c>
      <c r="S28">
        <f>R28-O28+1</f>
        <v>57</v>
      </c>
      <c r="T28">
        <f>IF(P28,P28,R28)</f>
        <v>2025</v>
      </c>
      <c r="U28">
        <f t="shared" si="12"/>
        <v>0</v>
      </c>
      <c r="V28">
        <f t="shared" si="12"/>
        <v>0</v>
      </c>
      <c r="W28">
        <f t="shared" si="12"/>
        <v>0</v>
      </c>
      <c r="X28">
        <f t="shared" si="12"/>
        <v>0</v>
      </c>
      <c r="Y28">
        <f t="shared" si="12"/>
        <v>0</v>
      </c>
      <c r="Z28">
        <f t="shared" si="12"/>
        <v>0</v>
      </c>
      <c r="AA28">
        <f t="shared" si="12"/>
        <v>0</v>
      </c>
      <c r="AB28">
        <f t="shared" si="12"/>
        <v>0</v>
      </c>
      <c r="AC28">
        <f t="shared" si="12"/>
        <v>0</v>
      </c>
      <c r="AD28">
        <f t="shared" si="12"/>
        <v>0</v>
      </c>
      <c r="AE28">
        <f t="shared" si="12"/>
        <v>0</v>
      </c>
      <c r="AF28">
        <f t="shared" si="12"/>
        <v>0</v>
      </c>
      <c r="AG28">
        <f t="shared" si="12"/>
        <v>0</v>
      </c>
      <c r="AH28">
        <f t="shared" si="12"/>
        <v>0</v>
      </c>
      <c r="AI28">
        <f t="shared" si="12"/>
        <v>0</v>
      </c>
      <c r="AJ28">
        <f t="shared" si="12"/>
        <v>-260</v>
      </c>
      <c r="AK28">
        <f t="shared" si="13"/>
        <v>-260</v>
      </c>
      <c r="AL28">
        <f t="shared" si="13"/>
        <v>0</v>
      </c>
      <c r="AM28">
        <f t="shared" si="13"/>
        <v>0</v>
      </c>
      <c r="AN28">
        <f t="shared" si="13"/>
        <v>0</v>
      </c>
      <c r="AO28">
        <f t="shared" si="13"/>
        <v>0</v>
      </c>
      <c r="AP28">
        <f t="shared" si="13"/>
        <v>0</v>
      </c>
      <c r="AQ28">
        <f t="shared" si="13"/>
        <v>0</v>
      </c>
      <c r="AR28">
        <f t="shared" si="13"/>
        <v>0</v>
      </c>
      <c r="AS28">
        <f t="shared" si="13"/>
        <v>0</v>
      </c>
      <c r="AT28">
        <f t="shared" si="13"/>
        <v>0</v>
      </c>
      <c r="AU28">
        <f t="shared" si="13"/>
        <v>0</v>
      </c>
      <c r="AV28">
        <f t="shared" si="13"/>
        <v>0</v>
      </c>
      <c r="AW28">
        <f t="shared" si="13"/>
        <v>0</v>
      </c>
      <c r="AX28">
        <f t="shared" si="13"/>
        <v>0</v>
      </c>
      <c r="AY28">
        <f t="shared" si="14"/>
        <v>0</v>
      </c>
      <c r="AZ28">
        <f t="shared" si="14"/>
        <v>0</v>
      </c>
      <c r="BA28">
        <f t="shared" si="14"/>
        <v>0</v>
      </c>
      <c r="BB28">
        <f t="shared" si="14"/>
        <v>0</v>
      </c>
      <c r="BC28">
        <f t="shared" si="14"/>
        <v>0</v>
      </c>
      <c r="BD28">
        <f t="shared" si="14"/>
        <v>0</v>
      </c>
      <c r="BE28">
        <f t="shared" si="14"/>
        <v>0</v>
      </c>
      <c r="BF28">
        <f t="shared" si="14"/>
        <v>0</v>
      </c>
      <c r="BG28">
        <f t="shared" si="14"/>
        <v>0</v>
      </c>
      <c r="BH28">
        <f t="shared" si="14"/>
        <v>0</v>
      </c>
      <c r="BI28">
        <f t="shared" si="14"/>
        <v>0</v>
      </c>
      <c r="BJ28">
        <f t="shared" si="14"/>
        <v>0</v>
      </c>
      <c r="BK28">
        <f t="shared" si="14"/>
        <v>0</v>
      </c>
    </row>
    <row r="29" spans="1:63" s="111" customFormat="1" ht="15">
      <c r="A29" s="105" t="s">
        <v>59</v>
      </c>
      <c r="B29" s="106">
        <f>C29*EskomCoalEfficiency!$D$11/C7</f>
        <v>0.34905939650497231</v>
      </c>
      <c r="C29" s="107">
        <f>SUMPRODUCT(--($I$8:$I$28="large"),C$8:C$28,$J$8:$J$28)/$J$29</f>
        <v>0.35403639350985072</v>
      </c>
      <c r="D29" s="108">
        <f>SUMPRODUCT(--($I$8:$I$28="large"),D$8:D$28,$J$8:$J$28)/$J$29</f>
        <v>7.2146303042236877</v>
      </c>
      <c r="E29" s="109">
        <f>SUMIF($I8:$I28,"Large",E8:E28)</f>
        <v>199706</v>
      </c>
      <c r="F29" s="109">
        <f>SUMPRODUCT(--($I$8:$I$28="large"),F$8:F$28,$J$8:$J$28)/$J$29</f>
        <v>175.09815890518854</v>
      </c>
      <c r="G29" s="109">
        <f>SUMIF($I8:$I28,"Large",G8:G28)</f>
        <v>54</v>
      </c>
      <c r="H29" s="110">
        <f>SUMPRODUCT(--($I8:$I28="large"),H8:H28,G8:G28)/G29</f>
        <v>564.27777777777783</v>
      </c>
      <c r="I29" s="111">
        <f>COUNTIF(I8:I28,"large")</f>
        <v>10</v>
      </c>
      <c r="J29" s="109">
        <f>SUMIF($I8:$I28,"large",J8:J28)</f>
        <v>30471</v>
      </c>
      <c r="K29" s="112">
        <f>SUMPRODUCT(--($I$8:$I$28="large"),K$8:K$28,$J$8:$J$28)/$J$29</f>
        <v>7.5409057792655318E-2</v>
      </c>
      <c r="L29" s="112">
        <f>SUMPRODUCT(--($I$8:$I$28="large"),L$8:L$28,$J$8:$J$28)/$J$29</f>
        <v>5.8421522102983153E-2</v>
      </c>
      <c r="M29" s="112">
        <f>SUMPRODUCT(--($I$8:$I$28="large"),M$8:M$28,$J$8:$J$28)/$J$29</f>
        <v>0.87055662266811062</v>
      </c>
      <c r="N29" s="113">
        <f>SUMPRODUCT(--($I8:$I28="large"),N8:N28,J8:J28)/J29</f>
        <v>5.0607541596928227</v>
      </c>
      <c r="U29" s="109">
        <f t="shared" ref="U29:BK29" si="15">SUMIF($I8:$I28,"Large",U8:U28)</f>
        <v>0</v>
      </c>
      <c r="V29" s="109">
        <f t="shared" si="15"/>
        <v>0</v>
      </c>
      <c r="W29" s="109">
        <f t="shared" si="15"/>
        <v>0</v>
      </c>
      <c r="X29" s="109">
        <f t="shared" si="15"/>
        <v>0</v>
      </c>
      <c r="Y29" s="109">
        <f t="shared" si="15"/>
        <v>0</v>
      </c>
      <c r="Z29" s="109">
        <f t="shared" si="15"/>
        <v>0</v>
      </c>
      <c r="AA29" s="109">
        <f t="shared" si="15"/>
        <v>0</v>
      </c>
      <c r="AB29" s="109">
        <f t="shared" si="15"/>
        <v>0</v>
      </c>
      <c r="AC29" s="109">
        <f t="shared" si="15"/>
        <v>0</v>
      </c>
      <c r="AD29" s="109">
        <f t="shared" si="15"/>
        <v>0</v>
      </c>
      <c r="AE29" s="109">
        <f t="shared" si="15"/>
        <v>0</v>
      </c>
      <c r="AF29" s="109">
        <f t="shared" si="15"/>
        <v>0</v>
      </c>
      <c r="AG29" s="109">
        <f t="shared" si="15"/>
        <v>0</v>
      </c>
      <c r="AH29" s="109">
        <f t="shared" si="15"/>
        <v>0</v>
      </c>
      <c r="AI29" s="109">
        <f t="shared" si="15"/>
        <v>-1140</v>
      </c>
      <c r="AJ29" s="109">
        <f t="shared" si="15"/>
        <v>-1140</v>
      </c>
      <c r="AK29" s="109">
        <f t="shared" si="15"/>
        <v>-1425</v>
      </c>
      <c r="AL29" s="109">
        <f t="shared" si="15"/>
        <v>-1425</v>
      </c>
      <c r="AM29" s="109">
        <f t="shared" si="15"/>
        <v>-1725</v>
      </c>
      <c r="AN29" s="109">
        <f t="shared" si="15"/>
        <v>-3450</v>
      </c>
      <c r="AO29" s="109">
        <f t="shared" si="15"/>
        <v>-1725</v>
      </c>
      <c r="AP29" s="109">
        <f t="shared" si="15"/>
        <v>0</v>
      </c>
      <c r="AQ29" s="109">
        <f t="shared" si="15"/>
        <v>0</v>
      </c>
      <c r="AR29" s="109">
        <f t="shared" si="15"/>
        <v>0</v>
      </c>
      <c r="AS29" s="109">
        <f t="shared" si="15"/>
        <v>-3534</v>
      </c>
      <c r="AT29" s="109">
        <f t="shared" si="15"/>
        <v>-3534</v>
      </c>
      <c r="AU29" s="109">
        <f t="shared" si="15"/>
        <v>-1845</v>
      </c>
      <c r="AV29" s="109">
        <f t="shared" si="15"/>
        <v>-3765</v>
      </c>
      <c r="AW29" s="109">
        <f t="shared" si="15"/>
        <v>-1920</v>
      </c>
      <c r="AX29" s="109">
        <f t="shared" si="15"/>
        <v>0</v>
      </c>
      <c r="AY29" s="109">
        <f t="shared" si="15"/>
        <v>0</v>
      </c>
      <c r="AZ29" s="109">
        <f t="shared" si="15"/>
        <v>0</v>
      </c>
      <c r="BA29" s="109">
        <f t="shared" si="15"/>
        <v>0</v>
      </c>
      <c r="BB29" s="109">
        <f t="shared" si="15"/>
        <v>0</v>
      </c>
      <c r="BC29" s="109">
        <f t="shared" si="15"/>
        <v>0</v>
      </c>
      <c r="BD29" s="109">
        <f t="shared" si="15"/>
        <v>-1921.5</v>
      </c>
      <c r="BE29" s="109">
        <f t="shared" si="15"/>
        <v>-1921.5</v>
      </c>
      <c r="BF29" s="109">
        <f t="shared" si="15"/>
        <v>0</v>
      </c>
      <c r="BG29" s="109">
        <f t="shared" si="15"/>
        <v>0</v>
      </c>
      <c r="BH29" s="109">
        <f t="shared" si="15"/>
        <v>0</v>
      </c>
      <c r="BI29" s="109">
        <f t="shared" si="15"/>
        <v>0</v>
      </c>
      <c r="BJ29" s="109">
        <f t="shared" si="15"/>
        <v>0</v>
      </c>
      <c r="BK29" s="109">
        <f t="shared" si="15"/>
        <v>0</v>
      </c>
    </row>
    <row r="30" spans="1:63" s="120" customFormat="1" ht="15.75" thickBot="1">
      <c r="A30" s="114" t="s">
        <v>60</v>
      </c>
      <c r="B30" s="115">
        <f>C30*EskomCoalEfficiency!$D$11/C7</f>
        <v>0.28218973503210287</v>
      </c>
      <c r="C30" s="116">
        <f>SUMPRODUCT(--($I$8:$I$28="small"),C$8:C$28,$J$8:$J$28)/$J$30</f>
        <v>0.2862132836892215</v>
      </c>
      <c r="D30" s="117">
        <f>SUMPRODUCT(--($I$8:$I$28="small"),D$8:D$28,$J$8:$J$28)/$J$30</f>
        <v>8.5316683704763854</v>
      </c>
      <c r="E30" s="118">
        <f>SUMIF($I8:$I28,"small",E8:E28)</f>
        <v>20118.307000000001</v>
      </c>
      <c r="F30" s="118">
        <f>SUMPRODUCT(--($I$8:$I$28="small"),F$8:F$28,$J$8:$J$28)/$J$30</f>
        <v>242.43363320384378</v>
      </c>
      <c r="G30" s="118">
        <f>SUMIF($I8:$I28,"small",G8:G28)</f>
        <v>57</v>
      </c>
      <c r="H30" s="119">
        <f>SUMPRODUCT(--(I8:I28="small"),H8:H28,G8:G28)/G30</f>
        <v>114.43859649122807</v>
      </c>
      <c r="I30" s="120">
        <f>COUNTIF(I8:I28,"small")</f>
        <v>9</v>
      </c>
      <c r="J30" s="118">
        <f>SUMIF($I8:$I29,"small",J8:J29)</f>
        <v>5434.4444444444443</v>
      </c>
      <c r="K30" s="121">
        <f>SUMPRODUCT(--($I$8:$I$28="small"),K$8:K$28,$J$8:$J$28)/$J$30</f>
        <v>8.0598372520956862E-2</v>
      </c>
      <c r="L30" s="121">
        <f>SUMPRODUCT(--($I$8:$I$28="small"),L$8:L$28,$J$8:$J$28)/$J$30</f>
        <v>0.1256244162747904</v>
      </c>
      <c r="M30" s="121">
        <f>SUMPRODUCT(--($I$8:$I$28="small"),M$8:M$28,$J$8:$J$28)/$J$30</f>
        <v>0.80385354172234735</v>
      </c>
      <c r="N30" s="122">
        <f>SUMPRODUCT(--($I8:$I28="small"),N8:N28,J8:J28)/J30</f>
        <v>5.5891026374974437</v>
      </c>
      <c r="U30" s="118">
        <f t="shared" ref="U30:BK30" si="16">SUMIF($I9:$I29,"Small",U9:U29)</f>
        <v>683</v>
      </c>
      <c r="V30" s="118">
        <f t="shared" si="16"/>
        <v>404</v>
      </c>
      <c r="W30" s="118">
        <f t="shared" si="16"/>
        <v>0</v>
      </c>
      <c r="X30" s="118">
        <f t="shared" si="16"/>
        <v>0</v>
      </c>
      <c r="Y30" s="118">
        <f t="shared" si="16"/>
        <v>0</v>
      </c>
      <c r="Z30" s="118">
        <f t="shared" si="16"/>
        <v>0</v>
      </c>
      <c r="AA30" s="118">
        <f t="shared" si="16"/>
        <v>-37.5</v>
      </c>
      <c r="AB30" s="118">
        <f t="shared" si="16"/>
        <v>-37.5</v>
      </c>
      <c r="AC30" s="118">
        <f t="shared" si="16"/>
        <v>-50</v>
      </c>
      <c r="AD30" s="118">
        <f t="shared" si="16"/>
        <v>-50</v>
      </c>
      <c r="AE30" s="118">
        <f t="shared" si="16"/>
        <v>-950</v>
      </c>
      <c r="AF30" s="118">
        <f t="shared" si="16"/>
        <v>-950</v>
      </c>
      <c r="AG30" s="118">
        <f t="shared" si="16"/>
        <v>0</v>
      </c>
      <c r="AH30" s="118">
        <f t="shared" si="16"/>
        <v>0</v>
      </c>
      <c r="AI30" s="118">
        <f t="shared" si="16"/>
        <v>0</v>
      </c>
      <c r="AJ30" s="118">
        <f t="shared" si="16"/>
        <v>-437.72222222222223</v>
      </c>
      <c r="AK30" s="118">
        <f t="shared" si="16"/>
        <v>-437.72222222222223</v>
      </c>
      <c r="AL30" s="118">
        <f t="shared" si="16"/>
        <v>0</v>
      </c>
      <c r="AM30" s="118">
        <f t="shared" si="16"/>
        <v>0</v>
      </c>
      <c r="AN30" s="118">
        <f t="shared" si="16"/>
        <v>0</v>
      </c>
      <c r="AO30" s="118">
        <f t="shared" si="16"/>
        <v>0</v>
      </c>
      <c r="AP30" s="118">
        <f t="shared" si="16"/>
        <v>0</v>
      </c>
      <c r="AQ30" s="118">
        <f t="shared" si="16"/>
        <v>-102</v>
      </c>
      <c r="AR30" s="118">
        <f t="shared" si="16"/>
        <v>-102</v>
      </c>
      <c r="AS30" s="118">
        <f t="shared" si="16"/>
        <v>0</v>
      </c>
      <c r="AT30" s="118">
        <f t="shared" si="16"/>
        <v>0</v>
      </c>
      <c r="AU30" s="118">
        <f t="shared" si="16"/>
        <v>0</v>
      </c>
      <c r="AV30" s="118">
        <f t="shared" si="16"/>
        <v>0</v>
      </c>
      <c r="AW30" s="118">
        <f t="shared" si="16"/>
        <v>-380</v>
      </c>
      <c r="AX30" s="118">
        <f t="shared" si="16"/>
        <v>-380</v>
      </c>
      <c r="AY30" s="118">
        <f t="shared" si="16"/>
        <v>0</v>
      </c>
      <c r="AZ30" s="118">
        <f t="shared" si="16"/>
        <v>0</v>
      </c>
      <c r="BA30" s="118">
        <f t="shared" si="16"/>
        <v>0</v>
      </c>
      <c r="BB30" s="118">
        <f t="shared" si="16"/>
        <v>0</v>
      </c>
      <c r="BC30" s="118">
        <f t="shared" si="16"/>
        <v>0</v>
      </c>
      <c r="BD30" s="118">
        <f t="shared" si="16"/>
        <v>0</v>
      </c>
      <c r="BE30" s="118">
        <f t="shared" si="16"/>
        <v>0</v>
      </c>
      <c r="BF30" s="118">
        <f t="shared" si="16"/>
        <v>0</v>
      </c>
      <c r="BG30" s="118">
        <f t="shared" si="16"/>
        <v>0</v>
      </c>
      <c r="BH30" s="118">
        <f t="shared" si="16"/>
        <v>0</v>
      </c>
      <c r="BI30" s="118">
        <f t="shared" si="16"/>
        <v>0</v>
      </c>
      <c r="BJ30" s="118">
        <f t="shared" si="16"/>
        <v>0</v>
      </c>
      <c r="BK30" s="118">
        <f t="shared" si="16"/>
        <v>0</v>
      </c>
    </row>
    <row r="31" spans="1:63" ht="15.75" thickTop="1">
      <c r="A31" t="s">
        <v>57</v>
      </c>
      <c r="B31" s="123">
        <v>12186</v>
      </c>
      <c r="C31" s="100">
        <f>1/(B31*1.055/3600)</f>
        <v>0.28001988141158024</v>
      </c>
      <c r="D31" s="101">
        <v>101</v>
      </c>
      <c r="E31" s="99">
        <v>36</v>
      </c>
      <c r="F31" s="102">
        <v>67</v>
      </c>
      <c r="G31">
        <v>3</v>
      </c>
      <c r="H31">
        <v>57</v>
      </c>
      <c r="J31">
        <f>H31*G31</f>
        <v>171</v>
      </c>
      <c r="K31" s="103">
        <v>3.4799999999999998E-2</v>
      </c>
      <c r="L31" s="103">
        <v>4.5499999999999999E-2</v>
      </c>
      <c r="M31" s="103">
        <v>0.06</v>
      </c>
      <c r="N31" s="104">
        <v>72.2</v>
      </c>
      <c r="O31">
        <v>1976</v>
      </c>
      <c r="Q31" t="str">
        <f>IF(P31,P31-O31+1,"")</f>
        <v/>
      </c>
      <c r="R31">
        <v>2032</v>
      </c>
      <c r="S31">
        <f>R31-O31+1</f>
        <v>57</v>
      </c>
      <c r="T31">
        <f>IF(P31,P31,55+O31-1)</f>
        <v>2030</v>
      </c>
      <c r="U31">
        <f t="shared" ref="U31:AJ34" si="17">IF(OR(U$5=$T31,U$5=$T31+1),-$J31/2,0)</f>
        <v>0</v>
      </c>
      <c r="V31">
        <f t="shared" si="17"/>
        <v>0</v>
      </c>
      <c r="W31">
        <f t="shared" si="17"/>
        <v>0</v>
      </c>
      <c r="X31">
        <f t="shared" si="17"/>
        <v>0</v>
      </c>
      <c r="Y31">
        <f t="shared" si="17"/>
        <v>0</v>
      </c>
      <c r="Z31">
        <f t="shared" si="17"/>
        <v>0</v>
      </c>
      <c r="AA31">
        <f t="shared" si="17"/>
        <v>0</v>
      </c>
      <c r="AB31">
        <f t="shared" si="17"/>
        <v>0</v>
      </c>
      <c r="AC31">
        <f t="shared" si="17"/>
        <v>0</v>
      </c>
      <c r="AD31">
        <f t="shared" si="17"/>
        <v>0</v>
      </c>
      <c r="AE31">
        <f t="shared" si="17"/>
        <v>0</v>
      </c>
      <c r="AF31">
        <f t="shared" si="17"/>
        <v>0</v>
      </c>
      <c r="AG31">
        <f t="shared" si="17"/>
        <v>0</v>
      </c>
      <c r="AH31">
        <f t="shared" si="17"/>
        <v>0</v>
      </c>
      <c r="AI31">
        <f t="shared" si="17"/>
        <v>0</v>
      </c>
      <c r="AJ31">
        <f t="shared" si="17"/>
        <v>0</v>
      </c>
      <c r="AK31">
        <f t="shared" ref="AK31:AZ34" si="18">IF(OR(AK$5=$T31,AK$5=$T31+1),-$J31/2,0)</f>
        <v>0</v>
      </c>
      <c r="AL31">
        <f t="shared" si="18"/>
        <v>0</v>
      </c>
      <c r="AM31">
        <f t="shared" si="18"/>
        <v>0</v>
      </c>
      <c r="AN31">
        <f t="shared" si="18"/>
        <v>0</v>
      </c>
      <c r="AO31">
        <f t="shared" si="18"/>
        <v>-85.5</v>
      </c>
      <c r="AP31">
        <f t="shared" si="18"/>
        <v>-85.5</v>
      </c>
      <c r="AQ31">
        <f t="shared" si="18"/>
        <v>0</v>
      </c>
      <c r="AR31">
        <f t="shared" si="18"/>
        <v>0</v>
      </c>
      <c r="AS31">
        <f t="shared" si="18"/>
        <v>0</v>
      </c>
      <c r="AT31">
        <f t="shared" si="18"/>
        <v>0</v>
      </c>
      <c r="AU31">
        <f t="shared" si="18"/>
        <v>0</v>
      </c>
      <c r="AV31">
        <f t="shared" si="18"/>
        <v>0</v>
      </c>
      <c r="AW31">
        <f t="shared" si="18"/>
        <v>0</v>
      </c>
      <c r="AX31">
        <f t="shared" si="18"/>
        <v>0</v>
      </c>
      <c r="AY31">
        <f t="shared" si="18"/>
        <v>0</v>
      </c>
      <c r="AZ31">
        <f t="shared" si="18"/>
        <v>0</v>
      </c>
      <c r="BA31">
        <f t="shared" ref="AY31:BK34" si="19">IF(OR(BA$5=$T31,BA$5=$T31+1),-$J31/2,0)</f>
        <v>0</v>
      </c>
      <c r="BB31">
        <f t="shared" si="19"/>
        <v>0</v>
      </c>
      <c r="BC31">
        <f t="shared" si="19"/>
        <v>0</v>
      </c>
      <c r="BD31">
        <f t="shared" si="19"/>
        <v>0</v>
      </c>
      <c r="BE31">
        <f t="shared" si="19"/>
        <v>0</v>
      </c>
      <c r="BF31">
        <f t="shared" si="19"/>
        <v>0</v>
      </c>
      <c r="BG31">
        <f t="shared" si="19"/>
        <v>0</v>
      </c>
      <c r="BH31">
        <f t="shared" si="19"/>
        <v>0</v>
      </c>
      <c r="BI31">
        <f t="shared" si="19"/>
        <v>0</v>
      </c>
      <c r="BJ31">
        <f t="shared" si="19"/>
        <v>0</v>
      </c>
      <c r="BK31">
        <f t="shared" si="19"/>
        <v>0</v>
      </c>
    </row>
    <row r="32" spans="1:63" ht="15">
      <c r="A32" t="s">
        <v>402</v>
      </c>
      <c r="B32" s="123">
        <v>10432</v>
      </c>
      <c r="C32" s="100">
        <f>1/(B32*1.055/3600)</f>
        <v>0.32710144506149508</v>
      </c>
      <c r="D32" s="101">
        <v>268</v>
      </c>
      <c r="E32" s="99">
        <v>0</v>
      </c>
      <c r="F32" s="102">
        <v>65</v>
      </c>
      <c r="G32">
        <v>9</v>
      </c>
      <c r="H32">
        <v>147</v>
      </c>
      <c r="J32">
        <f>H32*G32</f>
        <v>1323</v>
      </c>
      <c r="K32" s="103">
        <v>7.3599999999999999E-2</v>
      </c>
      <c r="L32" s="103">
        <v>5.2499999999999998E-2</v>
      </c>
      <c r="M32" s="103">
        <v>0.06</v>
      </c>
      <c r="N32" s="124">
        <f>N31</f>
        <v>72.2</v>
      </c>
      <c r="O32">
        <v>2007</v>
      </c>
      <c r="Q32" t="str">
        <f>IF(P32,P32-O32+1,"")</f>
        <v/>
      </c>
      <c r="R32">
        <v>2033</v>
      </c>
      <c r="S32">
        <f>R32-O32+1</f>
        <v>27</v>
      </c>
      <c r="T32">
        <f>IF(P32,P32,25+O32-1)</f>
        <v>2031</v>
      </c>
      <c r="U32">
        <f t="shared" si="17"/>
        <v>0</v>
      </c>
      <c r="V32">
        <f t="shared" si="17"/>
        <v>0</v>
      </c>
      <c r="W32">
        <f t="shared" si="17"/>
        <v>0</v>
      </c>
      <c r="X32">
        <f t="shared" si="17"/>
        <v>0</v>
      </c>
      <c r="Y32">
        <f t="shared" si="17"/>
        <v>0</v>
      </c>
      <c r="Z32">
        <f t="shared" si="17"/>
        <v>0</v>
      </c>
      <c r="AA32">
        <f t="shared" si="17"/>
        <v>0</v>
      </c>
      <c r="AB32">
        <f t="shared" si="17"/>
        <v>0</v>
      </c>
      <c r="AC32">
        <f t="shared" si="17"/>
        <v>0</v>
      </c>
      <c r="AD32">
        <f t="shared" si="17"/>
        <v>0</v>
      </c>
      <c r="AE32">
        <f t="shared" si="17"/>
        <v>0</v>
      </c>
      <c r="AF32">
        <f t="shared" si="17"/>
        <v>0</v>
      </c>
      <c r="AG32">
        <f t="shared" si="17"/>
        <v>0</v>
      </c>
      <c r="AH32">
        <f t="shared" si="17"/>
        <v>0</v>
      </c>
      <c r="AI32">
        <f t="shared" si="17"/>
        <v>0</v>
      </c>
      <c r="AJ32">
        <f t="shared" si="17"/>
        <v>0</v>
      </c>
      <c r="AK32">
        <f t="shared" si="18"/>
        <v>0</v>
      </c>
      <c r="AL32">
        <f t="shared" si="18"/>
        <v>0</v>
      </c>
      <c r="AM32">
        <f t="shared" si="18"/>
        <v>0</v>
      </c>
      <c r="AN32">
        <f t="shared" si="18"/>
        <v>0</v>
      </c>
      <c r="AO32">
        <f t="shared" si="18"/>
        <v>0</v>
      </c>
      <c r="AP32">
        <f t="shared" si="18"/>
        <v>-661.5</v>
      </c>
      <c r="AQ32">
        <f t="shared" si="18"/>
        <v>-661.5</v>
      </c>
      <c r="AR32">
        <f t="shared" si="18"/>
        <v>0</v>
      </c>
      <c r="AS32">
        <f t="shared" si="18"/>
        <v>0</v>
      </c>
      <c r="AT32">
        <f t="shared" si="18"/>
        <v>0</v>
      </c>
      <c r="AU32">
        <f t="shared" si="18"/>
        <v>0</v>
      </c>
      <c r="AV32">
        <f t="shared" si="18"/>
        <v>0</v>
      </c>
      <c r="AW32">
        <f t="shared" si="18"/>
        <v>0</v>
      </c>
      <c r="AX32">
        <f t="shared" si="18"/>
        <v>0</v>
      </c>
      <c r="AY32">
        <f t="shared" si="19"/>
        <v>0</v>
      </c>
      <c r="AZ32">
        <f t="shared" si="19"/>
        <v>0</v>
      </c>
      <c r="BA32">
        <f t="shared" si="19"/>
        <v>0</v>
      </c>
      <c r="BB32">
        <f t="shared" si="19"/>
        <v>0</v>
      </c>
      <c r="BC32">
        <f t="shared" si="19"/>
        <v>0</v>
      </c>
      <c r="BD32">
        <f t="shared" si="19"/>
        <v>0</v>
      </c>
      <c r="BE32">
        <f t="shared" si="19"/>
        <v>0</v>
      </c>
      <c r="BF32">
        <f t="shared" si="19"/>
        <v>0</v>
      </c>
      <c r="BG32">
        <f t="shared" si="19"/>
        <v>0</v>
      </c>
      <c r="BH32">
        <f t="shared" si="19"/>
        <v>0</v>
      </c>
      <c r="BI32">
        <f t="shared" si="19"/>
        <v>0</v>
      </c>
      <c r="BJ32">
        <f t="shared" si="19"/>
        <v>0</v>
      </c>
      <c r="BK32">
        <f t="shared" si="19"/>
        <v>0</v>
      </c>
    </row>
    <row r="33" spans="1:63" ht="15">
      <c r="A33" t="s">
        <v>403</v>
      </c>
      <c r="B33" s="123">
        <v>10177</v>
      </c>
      <c r="C33" s="100">
        <f>1/(B33*1.055/3600)</f>
        <v>0.33529746240360786</v>
      </c>
      <c r="D33" s="101">
        <v>268</v>
      </c>
      <c r="E33" s="99">
        <v>0</v>
      </c>
      <c r="F33" s="102">
        <v>67</v>
      </c>
      <c r="G33">
        <v>5</v>
      </c>
      <c r="H33">
        <v>147</v>
      </c>
      <c r="J33">
        <f>H33*G33</f>
        <v>735</v>
      </c>
      <c r="K33" s="103">
        <v>7.3599999999999999E-2</v>
      </c>
      <c r="L33" s="103">
        <v>5.2499999999999998E-2</v>
      </c>
      <c r="M33" s="103">
        <v>0.06</v>
      </c>
      <c r="N33" s="124">
        <f>N32</f>
        <v>72.2</v>
      </c>
      <c r="O33">
        <v>2007</v>
      </c>
      <c r="Q33" t="str">
        <f>IF(P33,P33-O33+1,"")</f>
        <v/>
      </c>
      <c r="R33">
        <v>2033</v>
      </c>
      <c r="S33">
        <f>R33-O33+1</f>
        <v>27</v>
      </c>
      <c r="T33">
        <f>IF(P33,P33,25+O33-1)</f>
        <v>2031</v>
      </c>
      <c r="U33">
        <f t="shared" si="17"/>
        <v>0</v>
      </c>
      <c r="V33">
        <f t="shared" si="17"/>
        <v>0</v>
      </c>
      <c r="W33">
        <f t="shared" si="17"/>
        <v>0</v>
      </c>
      <c r="X33">
        <f t="shared" si="17"/>
        <v>0</v>
      </c>
      <c r="Y33">
        <f t="shared" si="17"/>
        <v>0</v>
      </c>
      <c r="Z33">
        <f t="shared" si="17"/>
        <v>0</v>
      </c>
      <c r="AA33">
        <f t="shared" si="17"/>
        <v>0</v>
      </c>
      <c r="AB33">
        <f t="shared" si="17"/>
        <v>0</v>
      </c>
      <c r="AC33">
        <f t="shared" si="17"/>
        <v>0</v>
      </c>
      <c r="AD33">
        <f t="shared" si="17"/>
        <v>0</v>
      </c>
      <c r="AE33">
        <f t="shared" si="17"/>
        <v>0</v>
      </c>
      <c r="AF33">
        <f t="shared" si="17"/>
        <v>0</v>
      </c>
      <c r="AG33">
        <f t="shared" si="17"/>
        <v>0</v>
      </c>
      <c r="AH33">
        <f t="shared" si="17"/>
        <v>0</v>
      </c>
      <c r="AI33">
        <f t="shared" si="17"/>
        <v>0</v>
      </c>
      <c r="AJ33">
        <f t="shared" si="17"/>
        <v>0</v>
      </c>
      <c r="AK33">
        <f t="shared" si="18"/>
        <v>0</v>
      </c>
      <c r="AL33">
        <f t="shared" si="18"/>
        <v>0</v>
      </c>
      <c r="AM33">
        <f t="shared" si="18"/>
        <v>0</v>
      </c>
      <c r="AN33">
        <f t="shared" si="18"/>
        <v>0</v>
      </c>
      <c r="AO33">
        <f t="shared" si="18"/>
        <v>0</v>
      </c>
      <c r="AP33">
        <f t="shared" si="18"/>
        <v>-367.5</v>
      </c>
      <c r="AQ33">
        <f t="shared" si="18"/>
        <v>-367.5</v>
      </c>
      <c r="AR33">
        <f t="shared" si="18"/>
        <v>0</v>
      </c>
      <c r="AS33">
        <f t="shared" si="18"/>
        <v>0</v>
      </c>
      <c r="AT33">
        <f t="shared" si="18"/>
        <v>0</v>
      </c>
      <c r="AU33">
        <f t="shared" si="18"/>
        <v>0</v>
      </c>
      <c r="AV33">
        <f t="shared" si="18"/>
        <v>0</v>
      </c>
      <c r="AW33">
        <f t="shared" si="18"/>
        <v>0</v>
      </c>
      <c r="AX33">
        <f t="shared" si="18"/>
        <v>0</v>
      </c>
      <c r="AY33">
        <f t="shared" si="19"/>
        <v>0</v>
      </c>
      <c r="AZ33">
        <f t="shared" si="19"/>
        <v>0</v>
      </c>
      <c r="BA33">
        <f t="shared" si="19"/>
        <v>0</v>
      </c>
      <c r="BB33">
        <f t="shared" si="19"/>
        <v>0</v>
      </c>
      <c r="BC33">
        <f t="shared" si="19"/>
        <v>0</v>
      </c>
      <c r="BD33">
        <f t="shared" si="19"/>
        <v>0</v>
      </c>
      <c r="BE33">
        <f t="shared" si="19"/>
        <v>0</v>
      </c>
      <c r="BF33">
        <f t="shared" si="19"/>
        <v>0</v>
      </c>
      <c r="BG33">
        <f t="shared" si="19"/>
        <v>0</v>
      </c>
      <c r="BH33">
        <f t="shared" si="19"/>
        <v>0</v>
      </c>
      <c r="BI33">
        <f t="shared" si="19"/>
        <v>0</v>
      </c>
      <c r="BJ33">
        <f t="shared" si="19"/>
        <v>0</v>
      </c>
      <c r="BK33">
        <f t="shared" si="19"/>
        <v>0</v>
      </c>
    </row>
    <row r="34" spans="1:63" ht="15">
      <c r="A34" t="s">
        <v>56</v>
      </c>
      <c r="B34" s="123">
        <v>12186</v>
      </c>
      <c r="C34" s="100">
        <f>1/(B34*1.055/3600)</f>
        <v>0.28001988141158024</v>
      </c>
      <c r="D34" s="101">
        <v>106</v>
      </c>
      <c r="E34" s="99">
        <v>22</v>
      </c>
      <c r="F34" s="102">
        <v>71</v>
      </c>
      <c r="G34">
        <v>3</v>
      </c>
      <c r="H34">
        <v>57</v>
      </c>
      <c r="J34">
        <f>H34*G34</f>
        <v>171</v>
      </c>
      <c r="K34" s="103">
        <v>3.2599999999999997E-2</v>
      </c>
      <c r="L34" s="103">
        <v>4.3499999999999997E-2</v>
      </c>
      <c r="M34" s="103">
        <v>0.06</v>
      </c>
      <c r="N34" s="124">
        <f>N33</f>
        <v>72.2</v>
      </c>
      <c r="O34">
        <v>1976</v>
      </c>
      <c r="Q34" t="str">
        <f>IF(P34,P34-O34+1,"")</f>
        <v/>
      </c>
      <c r="R34">
        <v>2032</v>
      </c>
      <c r="S34">
        <f>R34-O34+1</f>
        <v>57</v>
      </c>
      <c r="T34">
        <f>IF(P34,P34,55+O34-1)</f>
        <v>2030</v>
      </c>
      <c r="U34">
        <f t="shared" si="17"/>
        <v>0</v>
      </c>
      <c r="V34">
        <f t="shared" si="17"/>
        <v>0</v>
      </c>
      <c r="W34">
        <f t="shared" si="17"/>
        <v>0</v>
      </c>
      <c r="X34">
        <f t="shared" si="17"/>
        <v>0</v>
      </c>
      <c r="Y34">
        <f t="shared" si="17"/>
        <v>0</v>
      </c>
      <c r="Z34">
        <f t="shared" si="17"/>
        <v>0</v>
      </c>
      <c r="AA34">
        <f t="shared" si="17"/>
        <v>0</v>
      </c>
      <c r="AB34">
        <f t="shared" si="17"/>
        <v>0</v>
      </c>
      <c r="AC34">
        <f t="shared" si="17"/>
        <v>0</v>
      </c>
      <c r="AD34">
        <f t="shared" si="17"/>
        <v>0</v>
      </c>
      <c r="AE34">
        <f t="shared" si="17"/>
        <v>0</v>
      </c>
      <c r="AF34">
        <f t="shared" si="17"/>
        <v>0</v>
      </c>
      <c r="AG34">
        <f t="shared" si="17"/>
        <v>0</v>
      </c>
      <c r="AH34">
        <f t="shared" si="17"/>
        <v>0</v>
      </c>
      <c r="AI34">
        <f t="shared" si="17"/>
        <v>0</v>
      </c>
      <c r="AJ34">
        <f t="shared" si="17"/>
        <v>0</v>
      </c>
      <c r="AK34">
        <f t="shared" si="18"/>
        <v>0</v>
      </c>
      <c r="AL34">
        <f t="shared" si="18"/>
        <v>0</v>
      </c>
      <c r="AM34">
        <f t="shared" si="18"/>
        <v>0</v>
      </c>
      <c r="AN34">
        <f t="shared" si="18"/>
        <v>0</v>
      </c>
      <c r="AO34">
        <f t="shared" si="18"/>
        <v>-85.5</v>
      </c>
      <c r="AP34">
        <f t="shared" si="18"/>
        <v>-85.5</v>
      </c>
      <c r="AQ34">
        <f t="shared" si="18"/>
        <v>0</v>
      </c>
      <c r="AR34">
        <f t="shared" si="18"/>
        <v>0</v>
      </c>
      <c r="AS34">
        <f t="shared" si="18"/>
        <v>0</v>
      </c>
      <c r="AT34">
        <f t="shared" si="18"/>
        <v>0</v>
      </c>
      <c r="AU34">
        <f t="shared" si="18"/>
        <v>0</v>
      </c>
      <c r="AV34">
        <f t="shared" si="18"/>
        <v>0</v>
      </c>
      <c r="AW34">
        <f t="shared" si="18"/>
        <v>0</v>
      </c>
      <c r="AX34">
        <f t="shared" si="18"/>
        <v>0</v>
      </c>
      <c r="AY34">
        <f t="shared" si="19"/>
        <v>0</v>
      </c>
      <c r="AZ34">
        <f t="shared" si="19"/>
        <v>0</v>
      </c>
      <c r="BA34">
        <f t="shared" si="19"/>
        <v>0</v>
      </c>
      <c r="BB34">
        <f t="shared" si="19"/>
        <v>0</v>
      </c>
      <c r="BC34">
        <f t="shared" si="19"/>
        <v>0</v>
      </c>
      <c r="BD34">
        <f t="shared" si="19"/>
        <v>0</v>
      </c>
      <c r="BE34">
        <f t="shared" si="19"/>
        <v>0</v>
      </c>
      <c r="BF34">
        <f t="shared" si="19"/>
        <v>0</v>
      </c>
      <c r="BG34">
        <f t="shared" si="19"/>
        <v>0</v>
      </c>
      <c r="BH34">
        <f t="shared" si="19"/>
        <v>0</v>
      </c>
      <c r="BI34">
        <f t="shared" si="19"/>
        <v>0</v>
      </c>
      <c r="BJ34">
        <f t="shared" si="19"/>
        <v>0</v>
      </c>
      <c r="BK34">
        <f t="shared" si="19"/>
        <v>0</v>
      </c>
    </row>
    <row r="35" spans="1:63" s="128" customFormat="1" ht="15.75" thickBot="1">
      <c r="A35" s="125" t="s">
        <v>15</v>
      </c>
      <c r="B35" s="125"/>
      <c r="C35" s="126">
        <f>SUMPRODUCT(C31:C34,$J31:$J34)/$J35</f>
        <v>0.32290235255240424</v>
      </c>
      <c r="D35" s="127">
        <f>SUMPRODUCT(D31:D34,$J31:$J34)/$J35</f>
        <v>244.55875</v>
      </c>
      <c r="E35" s="125"/>
      <c r="F35" s="127">
        <f>SUMPRODUCT(F31:F34,$J31:$J34)/$J35</f>
        <v>66.182500000000005</v>
      </c>
      <c r="G35" s="128">
        <f>SUM(G31:G34)</f>
        <v>20</v>
      </c>
      <c r="H35" s="129">
        <f>SUMPRODUCT(H31:H34,G31:G34)/G35</f>
        <v>120</v>
      </c>
      <c r="J35" s="128">
        <f>SUM(J31:J34)</f>
        <v>2400</v>
      </c>
      <c r="L35" s="126">
        <f>SUMPRODUCT(L31:L34,$J31:$J34)/$J35</f>
        <v>5.1360000000000003E-2</v>
      </c>
      <c r="M35" s="126">
        <f>SUMPRODUCT(M31:M34,$J31:$J34)/$J35</f>
        <v>0.06</v>
      </c>
      <c r="N35" s="130">
        <f>N31</f>
        <v>72.2</v>
      </c>
      <c r="U35" s="128">
        <f>SUM(U31:U34)</f>
        <v>0</v>
      </c>
      <c r="V35" s="128">
        <f t="shared" ref="V35:BK35" si="20">SUM(V31:V34)</f>
        <v>0</v>
      </c>
      <c r="W35" s="128">
        <f t="shared" si="20"/>
        <v>0</v>
      </c>
      <c r="X35" s="128">
        <f t="shared" si="20"/>
        <v>0</v>
      </c>
      <c r="Y35" s="128">
        <f t="shared" si="20"/>
        <v>0</v>
      </c>
      <c r="Z35" s="128">
        <f t="shared" si="20"/>
        <v>0</v>
      </c>
      <c r="AA35" s="128">
        <f t="shared" si="20"/>
        <v>0</v>
      </c>
      <c r="AB35" s="128">
        <f t="shared" si="20"/>
        <v>0</v>
      </c>
      <c r="AC35" s="128">
        <f t="shared" si="20"/>
        <v>0</v>
      </c>
      <c r="AD35" s="128">
        <f t="shared" si="20"/>
        <v>0</v>
      </c>
      <c r="AE35" s="128">
        <f t="shared" si="20"/>
        <v>0</v>
      </c>
      <c r="AF35" s="128">
        <f t="shared" si="20"/>
        <v>0</v>
      </c>
      <c r="AG35" s="128">
        <f t="shared" si="20"/>
        <v>0</v>
      </c>
      <c r="AH35" s="128">
        <f t="shared" si="20"/>
        <v>0</v>
      </c>
      <c r="AI35" s="128">
        <f t="shared" si="20"/>
        <v>0</v>
      </c>
      <c r="AJ35" s="128">
        <f t="shared" si="20"/>
        <v>0</v>
      </c>
      <c r="AK35" s="128">
        <f t="shared" si="20"/>
        <v>0</v>
      </c>
      <c r="AL35" s="128">
        <f t="shared" si="20"/>
        <v>0</v>
      </c>
      <c r="AM35" s="128">
        <f t="shared" si="20"/>
        <v>0</v>
      </c>
      <c r="AN35" s="128">
        <f t="shared" si="20"/>
        <v>0</v>
      </c>
      <c r="AO35" s="128">
        <f t="shared" si="20"/>
        <v>-171</v>
      </c>
      <c r="AP35" s="128">
        <f t="shared" si="20"/>
        <v>-1200</v>
      </c>
      <c r="AQ35" s="128">
        <f t="shared" si="20"/>
        <v>-1029</v>
      </c>
      <c r="AR35" s="128">
        <f t="shared" si="20"/>
        <v>0</v>
      </c>
      <c r="AS35" s="128">
        <f t="shared" si="20"/>
        <v>0</v>
      </c>
      <c r="AT35" s="128">
        <f t="shared" si="20"/>
        <v>0</v>
      </c>
      <c r="AU35" s="128">
        <f t="shared" si="20"/>
        <v>0</v>
      </c>
      <c r="AV35" s="128">
        <f t="shared" si="20"/>
        <v>0</v>
      </c>
      <c r="AW35" s="128">
        <f t="shared" si="20"/>
        <v>0</v>
      </c>
      <c r="AX35" s="128">
        <f t="shared" si="20"/>
        <v>0</v>
      </c>
      <c r="AY35" s="128">
        <f t="shared" si="20"/>
        <v>0</v>
      </c>
      <c r="AZ35" s="128">
        <f t="shared" si="20"/>
        <v>0</v>
      </c>
      <c r="BA35" s="128">
        <f t="shared" si="20"/>
        <v>0</v>
      </c>
      <c r="BB35" s="128">
        <f t="shared" si="20"/>
        <v>0</v>
      </c>
      <c r="BC35" s="128">
        <f t="shared" si="20"/>
        <v>0</v>
      </c>
      <c r="BD35" s="128">
        <f t="shared" si="20"/>
        <v>0</v>
      </c>
      <c r="BE35" s="128">
        <f t="shared" si="20"/>
        <v>0</v>
      </c>
      <c r="BF35" s="128">
        <f t="shared" si="20"/>
        <v>0</v>
      </c>
      <c r="BG35" s="128">
        <f t="shared" si="20"/>
        <v>0</v>
      </c>
      <c r="BH35" s="128">
        <f t="shared" si="20"/>
        <v>0</v>
      </c>
      <c r="BI35" s="128">
        <f t="shared" si="20"/>
        <v>0</v>
      </c>
      <c r="BJ35" s="128">
        <f t="shared" si="20"/>
        <v>0</v>
      </c>
      <c r="BK35" s="128">
        <f t="shared" si="20"/>
        <v>0</v>
      </c>
    </row>
    <row r="36" spans="1:63" s="35" customFormat="1" ht="15.75" thickTop="1">
      <c r="A36" s="35" t="s">
        <v>404</v>
      </c>
      <c r="G36" s="35">
        <v>4</v>
      </c>
      <c r="H36" s="35">
        <v>285</v>
      </c>
      <c r="J36" s="35">
        <f>H36*G36</f>
        <v>1140</v>
      </c>
      <c r="K36" s="131">
        <v>2.4E-2</v>
      </c>
      <c r="L36" s="131">
        <v>0.1734</v>
      </c>
      <c r="O36" s="35">
        <v>1984</v>
      </c>
      <c r="Q36" s="35" t="str">
        <f>IF(P36,P36-O36+1,"")</f>
        <v/>
      </c>
      <c r="R36" s="35">
        <f>O36+55-1</f>
        <v>2038</v>
      </c>
      <c r="S36" s="35">
        <f>R36-O36+1</f>
        <v>55</v>
      </c>
      <c r="T36" s="132">
        <f>IF(P36,P36,R36)</f>
        <v>2038</v>
      </c>
      <c r="U36" s="35">
        <f t="shared" ref="U36:AJ39" si="21">IF(OR(U$5=$T36,U$5=$T36+1),-$J36/2,0)</f>
        <v>0</v>
      </c>
      <c r="V36" s="35">
        <f t="shared" si="21"/>
        <v>0</v>
      </c>
      <c r="W36" s="35">
        <f t="shared" si="21"/>
        <v>0</v>
      </c>
      <c r="X36" s="35">
        <f t="shared" si="21"/>
        <v>0</v>
      </c>
      <c r="Y36" s="35">
        <f t="shared" si="21"/>
        <v>0</v>
      </c>
      <c r="Z36" s="35">
        <f t="shared" si="21"/>
        <v>0</v>
      </c>
      <c r="AA36" s="35">
        <f t="shared" si="21"/>
        <v>0</v>
      </c>
      <c r="AB36" s="35">
        <f t="shared" si="21"/>
        <v>0</v>
      </c>
      <c r="AC36" s="35">
        <f t="shared" si="21"/>
        <v>0</v>
      </c>
      <c r="AD36" s="35">
        <f t="shared" si="21"/>
        <v>0</v>
      </c>
      <c r="AE36" s="35">
        <f t="shared" si="21"/>
        <v>0</v>
      </c>
      <c r="AF36" s="35">
        <f t="shared" si="21"/>
        <v>0</v>
      </c>
      <c r="AG36" s="35">
        <f t="shared" si="21"/>
        <v>0</v>
      </c>
      <c r="AH36" s="35">
        <f t="shared" si="21"/>
        <v>0</v>
      </c>
      <c r="AI36" s="35">
        <f t="shared" si="21"/>
        <v>0</v>
      </c>
      <c r="AJ36" s="35">
        <f t="shared" si="21"/>
        <v>0</v>
      </c>
      <c r="AK36" s="35">
        <f t="shared" ref="AK36:AZ39" si="22">IF(OR(AK$5=$T36,AK$5=$T36+1),-$J36/2,0)</f>
        <v>0</v>
      </c>
      <c r="AL36" s="35">
        <f t="shared" si="22"/>
        <v>0</v>
      </c>
      <c r="AM36" s="35">
        <f t="shared" si="22"/>
        <v>0</v>
      </c>
      <c r="AN36" s="35">
        <f t="shared" si="22"/>
        <v>0</v>
      </c>
      <c r="AO36" s="35">
        <f t="shared" si="22"/>
        <v>0</v>
      </c>
      <c r="AP36" s="35">
        <f t="shared" si="22"/>
        <v>0</v>
      </c>
      <c r="AQ36" s="35">
        <f t="shared" si="22"/>
        <v>0</v>
      </c>
      <c r="AR36" s="35">
        <f t="shared" si="22"/>
        <v>0</v>
      </c>
      <c r="AS36" s="35">
        <f t="shared" si="22"/>
        <v>0</v>
      </c>
      <c r="AT36" s="35">
        <f t="shared" si="22"/>
        <v>0</v>
      </c>
      <c r="AU36" s="35">
        <f t="shared" si="22"/>
        <v>0</v>
      </c>
      <c r="AV36" s="35">
        <f t="shared" si="22"/>
        <v>0</v>
      </c>
      <c r="AW36" s="35">
        <f t="shared" si="22"/>
        <v>-570</v>
      </c>
      <c r="AX36" s="35">
        <f t="shared" si="22"/>
        <v>-570</v>
      </c>
      <c r="AY36" s="35">
        <f t="shared" si="22"/>
        <v>0</v>
      </c>
      <c r="AZ36" s="35">
        <f t="shared" si="22"/>
        <v>0</v>
      </c>
      <c r="BA36" s="35">
        <f t="shared" ref="AY36:BK39" si="23">IF(OR(BA$5=$T36,BA$5=$T36+1),-$J36/2,0)</f>
        <v>0</v>
      </c>
      <c r="BB36" s="35">
        <f t="shared" si="23"/>
        <v>0</v>
      </c>
      <c r="BC36" s="35">
        <f t="shared" si="23"/>
        <v>0</v>
      </c>
      <c r="BD36" s="35">
        <f t="shared" si="23"/>
        <v>0</v>
      </c>
      <c r="BE36" s="35">
        <f t="shared" si="23"/>
        <v>0</v>
      </c>
      <c r="BF36" s="35">
        <f t="shared" si="23"/>
        <v>0</v>
      </c>
      <c r="BG36" s="35">
        <f t="shared" si="23"/>
        <v>0</v>
      </c>
      <c r="BH36" s="35">
        <f t="shared" si="23"/>
        <v>0</v>
      </c>
      <c r="BI36" s="35">
        <f t="shared" si="23"/>
        <v>0</v>
      </c>
      <c r="BJ36" s="35">
        <f t="shared" si="23"/>
        <v>0</v>
      </c>
      <c r="BK36" s="35">
        <f t="shared" si="23"/>
        <v>0</v>
      </c>
    </row>
    <row r="37" spans="1:63" ht="15">
      <c r="A37" t="s">
        <v>405</v>
      </c>
      <c r="C37" s="100"/>
      <c r="D37" s="101"/>
      <c r="E37" s="133" t="s">
        <v>17</v>
      </c>
      <c r="F37" s="102">
        <v>114</v>
      </c>
      <c r="G37">
        <v>1</v>
      </c>
      <c r="H37">
        <v>65</v>
      </c>
      <c r="J37">
        <f>H37*G37</f>
        <v>65</v>
      </c>
      <c r="K37" s="103">
        <v>3.9100000000000003E-2</v>
      </c>
      <c r="L37" s="103">
        <v>8.5000000000000006E-2</v>
      </c>
      <c r="M37" s="23">
        <v>0.13780000000000001</v>
      </c>
      <c r="N37" s="23"/>
      <c r="O37">
        <f>2005-29</f>
        <v>1976</v>
      </c>
      <c r="R37">
        <v>2052</v>
      </c>
      <c r="S37">
        <f>R37-O37+1</f>
        <v>77</v>
      </c>
      <c r="T37">
        <f>O37+100</f>
        <v>2076</v>
      </c>
      <c r="U37">
        <f t="shared" si="21"/>
        <v>0</v>
      </c>
      <c r="V37">
        <f t="shared" si="21"/>
        <v>0</v>
      </c>
      <c r="W37">
        <f t="shared" si="21"/>
        <v>0</v>
      </c>
      <c r="X37">
        <f t="shared" si="21"/>
        <v>0</v>
      </c>
      <c r="Y37">
        <f t="shared" si="21"/>
        <v>0</v>
      </c>
      <c r="Z37">
        <f t="shared" si="21"/>
        <v>0</v>
      </c>
      <c r="AA37">
        <f t="shared" si="21"/>
        <v>0</v>
      </c>
      <c r="AB37">
        <f t="shared" si="21"/>
        <v>0</v>
      </c>
      <c r="AC37">
        <f t="shared" si="21"/>
        <v>0</v>
      </c>
      <c r="AD37">
        <f t="shared" si="21"/>
        <v>0</v>
      </c>
      <c r="AE37">
        <f t="shared" si="21"/>
        <v>0</v>
      </c>
      <c r="AF37">
        <f t="shared" si="21"/>
        <v>0</v>
      </c>
      <c r="AG37">
        <f t="shared" si="21"/>
        <v>0</v>
      </c>
      <c r="AH37">
        <f t="shared" si="21"/>
        <v>0</v>
      </c>
      <c r="AI37">
        <f t="shared" si="21"/>
        <v>0</v>
      </c>
      <c r="AJ37">
        <f t="shared" si="21"/>
        <v>0</v>
      </c>
      <c r="AK37">
        <f t="shared" si="22"/>
        <v>0</v>
      </c>
      <c r="AL37">
        <f t="shared" si="22"/>
        <v>0</v>
      </c>
      <c r="AM37">
        <f t="shared" si="22"/>
        <v>0</v>
      </c>
      <c r="AN37">
        <f t="shared" si="22"/>
        <v>0</v>
      </c>
      <c r="AO37">
        <f t="shared" si="22"/>
        <v>0</v>
      </c>
      <c r="AP37">
        <f t="shared" si="22"/>
        <v>0</v>
      </c>
      <c r="AQ37">
        <f t="shared" si="22"/>
        <v>0</v>
      </c>
      <c r="AR37">
        <f t="shared" si="22"/>
        <v>0</v>
      </c>
      <c r="AS37">
        <f t="shared" si="22"/>
        <v>0</v>
      </c>
      <c r="AT37">
        <f t="shared" si="22"/>
        <v>0</v>
      </c>
      <c r="AU37">
        <f t="shared" si="22"/>
        <v>0</v>
      </c>
      <c r="AV37">
        <f t="shared" si="22"/>
        <v>0</v>
      </c>
      <c r="AW37">
        <f t="shared" si="22"/>
        <v>0</v>
      </c>
      <c r="AX37">
        <f t="shared" si="22"/>
        <v>0</v>
      </c>
      <c r="AY37">
        <f t="shared" si="23"/>
        <v>0</v>
      </c>
      <c r="AZ37">
        <f t="shared" si="23"/>
        <v>0</v>
      </c>
      <c r="BA37">
        <f t="shared" si="23"/>
        <v>0</v>
      </c>
      <c r="BB37">
        <f t="shared" si="23"/>
        <v>0</v>
      </c>
      <c r="BC37">
        <f t="shared" si="23"/>
        <v>0</v>
      </c>
      <c r="BD37">
        <f t="shared" si="23"/>
        <v>0</v>
      </c>
      <c r="BE37">
        <f t="shared" si="23"/>
        <v>0</v>
      </c>
      <c r="BF37">
        <f t="shared" si="23"/>
        <v>0</v>
      </c>
      <c r="BG37">
        <f t="shared" si="23"/>
        <v>0</v>
      </c>
      <c r="BH37">
        <f t="shared" si="23"/>
        <v>0</v>
      </c>
      <c r="BI37">
        <f t="shared" si="23"/>
        <v>0</v>
      </c>
      <c r="BJ37">
        <f t="shared" si="23"/>
        <v>0</v>
      </c>
      <c r="BK37">
        <f t="shared" si="23"/>
        <v>0</v>
      </c>
    </row>
    <row r="38" spans="1:63" ht="15">
      <c r="A38" t="s">
        <v>46</v>
      </c>
      <c r="C38" s="100"/>
      <c r="D38" s="101"/>
      <c r="E38" s="99">
        <v>1325</v>
      </c>
      <c r="F38" s="102">
        <v>115</v>
      </c>
      <c r="G38">
        <v>4</v>
      </c>
      <c r="H38">
        <v>90</v>
      </c>
      <c r="J38">
        <f>H38*G38</f>
        <v>360</v>
      </c>
      <c r="K38" s="103">
        <v>4.8500000000000001E-2</v>
      </c>
      <c r="L38" s="103">
        <v>4.99E-2</v>
      </c>
      <c r="M38" s="23">
        <v>0.127</v>
      </c>
      <c r="N38" s="23"/>
      <c r="O38">
        <v>1971</v>
      </c>
      <c r="P38">
        <v>2025</v>
      </c>
      <c r="Q38">
        <f>IF(P38,P38-O38+1,"")</f>
        <v>55</v>
      </c>
      <c r="R38">
        <v>2052</v>
      </c>
      <c r="S38">
        <f>R38-O38+1</f>
        <v>82</v>
      </c>
      <c r="T38" s="134">
        <f>O38+100</f>
        <v>2071</v>
      </c>
      <c r="U38">
        <f t="shared" si="21"/>
        <v>0</v>
      </c>
      <c r="V38">
        <f t="shared" si="21"/>
        <v>0</v>
      </c>
      <c r="W38">
        <f t="shared" si="21"/>
        <v>0</v>
      </c>
      <c r="X38">
        <f t="shared" si="21"/>
        <v>0</v>
      </c>
      <c r="Y38">
        <f t="shared" si="21"/>
        <v>0</v>
      </c>
      <c r="Z38">
        <f t="shared" si="21"/>
        <v>0</v>
      </c>
      <c r="AA38">
        <f t="shared" si="21"/>
        <v>0</v>
      </c>
      <c r="AB38">
        <f t="shared" si="21"/>
        <v>0</v>
      </c>
      <c r="AC38">
        <f t="shared" si="21"/>
        <v>0</v>
      </c>
      <c r="AD38">
        <f t="shared" si="21"/>
        <v>0</v>
      </c>
      <c r="AE38">
        <f t="shared" si="21"/>
        <v>0</v>
      </c>
      <c r="AF38">
        <f t="shared" si="21"/>
        <v>0</v>
      </c>
      <c r="AG38">
        <f t="shared" si="21"/>
        <v>0</v>
      </c>
      <c r="AH38">
        <f t="shared" si="21"/>
        <v>0</v>
      </c>
      <c r="AI38">
        <f t="shared" si="21"/>
        <v>0</v>
      </c>
      <c r="AJ38">
        <f t="shared" si="21"/>
        <v>0</v>
      </c>
      <c r="AK38">
        <f t="shared" si="22"/>
        <v>0</v>
      </c>
      <c r="AL38">
        <f t="shared" si="22"/>
        <v>0</v>
      </c>
      <c r="AM38">
        <f t="shared" si="22"/>
        <v>0</v>
      </c>
      <c r="AN38">
        <f t="shared" si="22"/>
        <v>0</v>
      </c>
      <c r="AO38">
        <f t="shared" si="22"/>
        <v>0</v>
      </c>
      <c r="AP38">
        <f t="shared" si="22"/>
        <v>0</v>
      </c>
      <c r="AQ38">
        <f t="shared" si="22"/>
        <v>0</v>
      </c>
      <c r="AR38">
        <f t="shared" si="22"/>
        <v>0</v>
      </c>
      <c r="AS38">
        <f t="shared" si="22"/>
        <v>0</v>
      </c>
      <c r="AT38">
        <f t="shared" si="22"/>
        <v>0</v>
      </c>
      <c r="AU38">
        <f t="shared" si="22"/>
        <v>0</v>
      </c>
      <c r="AV38">
        <f t="shared" si="22"/>
        <v>0</v>
      </c>
      <c r="AW38">
        <f t="shared" si="22"/>
        <v>0</v>
      </c>
      <c r="AX38">
        <f t="shared" si="22"/>
        <v>0</v>
      </c>
      <c r="AY38">
        <f t="shared" si="23"/>
        <v>0</v>
      </c>
      <c r="AZ38">
        <f t="shared" si="23"/>
        <v>0</v>
      </c>
      <c r="BA38">
        <f t="shared" si="23"/>
        <v>0</v>
      </c>
      <c r="BB38">
        <f t="shared" si="23"/>
        <v>0</v>
      </c>
      <c r="BC38">
        <f t="shared" si="23"/>
        <v>0</v>
      </c>
      <c r="BD38">
        <f t="shared" si="23"/>
        <v>0</v>
      </c>
      <c r="BE38">
        <f t="shared" si="23"/>
        <v>0</v>
      </c>
      <c r="BF38">
        <f t="shared" si="23"/>
        <v>0</v>
      </c>
      <c r="BG38">
        <f t="shared" si="23"/>
        <v>0</v>
      </c>
      <c r="BH38">
        <f t="shared" si="23"/>
        <v>0</v>
      </c>
      <c r="BI38">
        <f t="shared" si="23"/>
        <v>0</v>
      </c>
      <c r="BJ38">
        <f t="shared" si="23"/>
        <v>0</v>
      </c>
      <c r="BK38">
        <f t="shared" si="23"/>
        <v>0</v>
      </c>
    </row>
    <row r="39" spans="1:63" ht="15">
      <c r="A39" t="s">
        <v>406</v>
      </c>
      <c r="C39" s="100"/>
      <c r="D39" s="101"/>
      <c r="E39" s="99">
        <v>1409</v>
      </c>
      <c r="F39" s="102">
        <v>115</v>
      </c>
      <c r="G39">
        <v>2</v>
      </c>
      <c r="H39">
        <v>120</v>
      </c>
      <c r="J39">
        <f>H39*G39</f>
        <v>240</v>
      </c>
      <c r="K39" s="103">
        <v>3.9100000000000003E-2</v>
      </c>
      <c r="L39" s="103">
        <v>8.5000000000000006E-2</v>
      </c>
      <c r="M39" s="10">
        <v>0.19</v>
      </c>
      <c r="N39" s="10"/>
      <c r="O39">
        <v>1977</v>
      </c>
      <c r="R39">
        <v>2052</v>
      </c>
      <c r="S39">
        <f>R39-O39+1</f>
        <v>76</v>
      </c>
      <c r="T39">
        <f>O39+100</f>
        <v>2077</v>
      </c>
      <c r="U39">
        <f t="shared" si="21"/>
        <v>0</v>
      </c>
      <c r="V39">
        <f t="shared" si="21"/>
        <v>0</v>
      </c>
      <c r="W39">
        <f t="shared" si="21"/>
        <v>0</v>
      </c>
      <c r="X39">
        <f t="shared" si="21"/>
        <v>0</v>
      </c>
      <c r="Y39">
        <f t="shared" si="21"/>
        <v>0</v>
      </c>
      <c r="Z39">
        <f t="shared" si="21"/>
        <v>0</v>
      </c>
      <c r="AA39">
        <f t="shared" si="21"/>
        <v>0</v>
      </c>
      <c r="AB39">
        <f t="shared" si="21"/>
        <v>0</v>
      </c>
      <c r="AC39">
        <f t="shared" si="21"/>
        <v>0</v>
      </c>
      <c r="AD39">
        <f t="shared" si="21"/>
        <v>0</v>
      </c>
      <c r="AE39">
        <f t="shared" si="21"/>
        <v>0</v>
      </c>
      <c r="AF39">
        <f t="shared" si="21"/>
        <v>0</v>
      </c>
      <c r="AG39">
        <f t="shared" si="21"/>
        <v>0</v>
      </c>
      <c r="AH39">
        <f t="shared" si="21"/>
        <v>0</v>
      </c>
      <c r="AI39">
        <f t="shared" si="21"/>
        <v>0</v>
      </c>
      <c r="AJ39">
        <f t="shared" si="21"/>
        <v>0</v>
      </c>
      <c r="AK39">
        <f t="shared" si="22"/>
        <v>0</v>
      </c>
      <c r="AL39">
        <f t="shared" si="22"/>
        <v>0</v>
      </c>
      <c r="AM39">
        <f t="shared" si="22"/>
        <v>0</v>
      </c>
      <c r="AN39">
        <f t="shared" si="22"/>
        <v>0</v>
      </c>
      <c r="AO39">
        <f t="shared" si="22"/>
        <v>0</v>
      </c>
      <c r="AP39">
        <f t="shared" si="22"/>
        <v>0</v>
      </c>
      <c r="AQ39">
        <f t="shared" si="22"/>
        <v>0</v>
      </c>
      <c r="AR39">
        <f t="shared" si="22"/>
        <v>0</v>
      </c>
      <c r="AS39">
        <f t="shared" si="22"/>
        <v>0</v>
      </c>
      <c r="AT39">
        <f t="shared" si="22"/>
        <v>0</v>
      </c>
      <c r="AU39">
        <f t="shared" si="22"/>
        <v>0</v>
      </c>
      <c r="AV39">
        <f t="shared" si="22"/>
        <v>0</v>
      </c>
      <c r="AW39">
        <f t="shared" si="22"/>
        <v>0</v>
      </c>
      <c r="AX39">
        <f t="shared" si="22"/>
        <v>0</v>
      </c>
      <c r="AY39">
        <f t="shared" si="23"/>
        <v>0</v>
      </c>
      <c r="AZ39">
        <f t="shared" si="23"/>
        <v>0</v>
      </c>
      <c r="BA39">
        <f t="shared" si="23"/>
        <v>0</v>
      </c>
      <c r="BB39">
        <f t="shared" si="23"/>
        <v>0</v>
      </c>
      <c r="BC39">
        <f t="shared" si="23"/>
        <v>0</v>
      </c>
      <c r="BD39">
        <f t="shared" si="23"/>
        <v>0</v>
      </c>
      <c r="BE39">
        <f t="shared" si="23"/>
        <v>0</v>
      </c>
      <c r="BF39">
        <f t="shared" si="23"/>
        <v>0</v>
      </c>
      <c r="BG39">
        <f t="shared" si="23"/>
        <v>0</v>
      </c>
      <c r="BH39">
        <f t="shared" si="23"/>
        <v>0</v>
      </c>
      <c r="BI39">
        <f t="shared" si="23"/>
        <v>0</v>
      </c>
      <c r="BJ39">
        <f t="shared" si="23"/>
        <v>0</v>
      </c>
      <c r="BK39">
        <f t="shared" si="23"/>
        <v>0</v>
      </c>
    </row>
    <row r="40" spans="1:63" s="128" customFormat="1" ht="15.75" thickBot="1">
      <c r="A40" s="125" t="s">
        <v>3</v>
      </c>
      <c r="B40" s="125"/>
      <c r="C40" s="125"/>
      <c r="D40" s="125"/>
      <c r="E40" s="135">
        <f>SUM(E37:E39)</f>
        <v>2734</v>
      </c>
      <c r="F40" s="136">
        <f>SUMPRODUCT(F37:F39,$J37:$J39)/$J40</f>
        <v>114.90225563909775</v>
      </c>
      <c r="G40" s="128">
        <f>SUM(G37:G39)</f>
        <v>7</v>
      </c>
      <c r="H40" s="129">
        <f>SUMPRODUCT(H37:H39,G37:G39)/G40</f>
        <v>95</v>
      </c>
      <c r="J40" s="128">
        <f>SUM(J37:J39)</f>
        <v>665</v>
      </c>
      <c r="L40" s="126">
        <f>SUMPRODUCT(L37:L39,J37:J39)/J40</f>
        <v>6.5998496240601501E-2</v>
      </c>
      <c r="M40" s="126">
        <f>SUMPRODUCT(M37:M39,J37:J39)/J40</f>
        <v>0.15079248120300753</v>
      </c>
      <c r="N40" s="126"/>
      <c r="P40" s="128" t="s">
        <v>407</v>
      </c>
      <c r="Q40" s="137">
        <v>0.1</v>
      </c>
    </row>
    <row r="41" spans="1:63" ht="15.75" thickTop="1">
      <c r="A41" t="s">
        <v>408</v>
      </c>
      <c r="C41" s="100"/>
      <c r="D41" s="101">
        <v>3</v>
      </c>
      <c r="E41" s="99">
        <v>2033</v>
      </c>
      <c r="F41" s="102">
        <v>60</v>
      </c>
      <c r="G41">
        <v>4</v>
      </c>
      <c r="H41">
        <v>250</v>
      </c>
      <c r="J41">
        <f>H41*G41</f>
        <v>1000</v>
      </c>
      <c r="K41" s="103">
        <v>5.5100000000000003E-2</v>
      </c>
      <c r="L41" s="103">
        <v>7.8E-2</v>
      </c>
      <c r="M41" s="23">
        <f>E41/(J41*8.76)</f>
        <v>0.23207762557077627</v>
      </c>
      <c r="N41" s="23"/>
      <c r="O41">
        <v>1981</v>
      </c>
      <c r="Q41" t="str">
        <f>IF(P41,P41-O41+1,"")</f>
        <v/>
      </c>
      <c r="R41">
        <v>2034</v>
      </c>
      <c r="S41">
        <f>R41-O41+1</f>
        <v>54</v>
      </c>
      <c r="T41">
        <f>IF(P41,P41,R41)</f>
        <v>2034</v>
      </c>
      <c r="U41">
        <f t="shared" ref="U41:AJ53" si="24">IF(OR(U$5=$T41,U$5=$T41+1),-$J41/2,0)</f>
        <v>0</v>
      </c>
      <c r="V41">
        <f t="shared" si="24"/>
        <v>0</v>
      </c>
      <c r="W41">
        <f t="shared" si="24"/>
        <v>0</v>
      </c>
      <c r="X41">
        <f t="shared" si="24"/>
        <v>0</v>
      </c>
      <c r="Y41">
        <f t="shared" si="24"/>
        <v>0</v>
      </c>
      <c r="Z41">
        <f t="shared" si="24"/>
        <v>0</v>
      </c>
      <c r="AA41">
        <f t="shared" si="24"/>
        <v>0</v>
      </c>
      <c r="AB41">
        <f t="shared" si="24"/>
        <v>0</v>
      </c>
      <c r="AC41">
        <f t="shared" si="24"/>
        <v>0</v>
      </c>
      <c r="AD41">
        <f t="shared" si="24"/>
        <v>0</v>
      </c>
      <c r="AE41">
        <f t="shared" si="24"/>
        <v>0</v>
      </c>
      <c r="AF41">
        <f t="shared" si="24"/>
        <v>0</v>
      </c>
      <c r="AG41">
        <f t="shared" si="24"/>
        <v>0</v>
      </c>
      <c r="AH41">
        <f t="shared" si="24"/>
        <v>0</v>
      </c>
      <c r="AI41">
        <f t="shared" si="24"/>
        <v>0</v>
      </c>
      <c r="AJ41">
        <f t="shared" si="24"/>
        <v>0</v>
      </c>
      <c r="AK41">
        <f t="shared" ref="AK41:AZ53" si="25">IF(OR(AK$5=$T41,AK$5=$T41+1),-$J41/2,0)</f>
        <v>0</v>
      </c>
      <c r="AL41">
        <f t="shared" si="25"/>
        <v>0</v>
      </c>
      <c r="AM41">
        <f t="shared" si="25"/>
        <v>0</v>
      </c>
      <c r="AN41">
        <f t="shared" si="25"/>
        <v>0</v>
      </c>
      <c r="AO41">
        <f t="shared" si="25"/>
        <v>0</v>
      </c>
      <c r="AP41">
        <f t="shared" si="25"/>
        <v>0</v>
      </c>
      <c r="AQ41">
        <f t="shared" si="25"/>
        <v>0</v>
      </c>
      <c r="AR41">
        <f t="shared" si="25"/>
        <v>0</v>
      </c>
      <c r="AS41">
        <f t="shared" si="25"/>
        <v>-500</v>
      </c>
      <c r="AT41">
        <f t="shared" si="25"/>
        <v>-500</v>
      </c>
      <c r="AU41">
        <f t="shared" si="25"/>
        <v>0</v>
      </c>
      <c r="AV41">
        <f t="shared" si="25"/>
        <v>0</v>
      </c>
      <c r="AW41">
        <f t="shared" si="25"/>
        <v>0</v>
      </c>
      <c r="AX41">
        <f t="shared" si="25"/>
        <v>0</v>
      </c>
      <c r="AY41">
        <f t="shared" si="25"/>
        <v>0</v>
      </c>
      <c r="AZ41">
        <f t="shared" si="25"/>
        <v>0</v>
      </c>
      <c r="BA41">
        <f t="shared" ref="AY41:BK53" si="26">IF(OR(BA$5=$T41,BA$5=$T41+1),-$J41/2,0)</f>
        <v>0</v>
      </c>
      <c r="BB41">
        <f t="shared" si="26"/>
        <v>0</v>
      </c>
      <c r="BC41">
        <f t="shared" si="26"/>
        <v>0</v>
      </c>
      <c r="BD41">
        <f t="shared" si="26"/>
        <v>0</v>
      </c>
      <c r="BE41">
        <f t="shared" si="26"/>
        <v>0</v>
      </c>
      <c r="BF41">
        <f t="shared" si="26"/>
        <v>0</v>
      </c>
      <c r="BG41">
        <f t="shared" si="26"/>
        <v>0</v>
      </c>
      <c r="BH41">
        <f t="shared" si="26"/>
        <v>0</v>
      </c>
      <c r="BI41">
        <f t="shared" si="26"/>
        <v>0</v>
      </c>
      <c r="BJ41">
        <f t="shared" si="26"/>
        <v>0</v>
      </c>
      <c r="BK41">
        <f t="shared" si="26"/>
        <v>0</v>
      </c>
    </row>
    <row r="42" spans="1:63" ht="15">
      <c r="A42" t="s">
        <v>55</v>
      </c>
      <c r="C42" s="100"/>
      <c r="D42" s="101">
        <v>4</v>
      </c>
      <c r="E42" s="99">
        <v>900</v>
      </c>
      <c r="F42" s="102">
        <v>64</v>
      </c>
      <c r="G42">
        <v>2</v>
      </c>
      <c r="H42">
        <v>200</v>
      </c>
      <c r="J42">
        <f>H42*G42</f>
        <v>400</v>
      </c>
      <c r="K42" s="103">
        <v>0.04</v>
      </c>
      <c r="L42" s="103">
        <v>3.8600000000000002E-2</v>
      </c>
      <c r="M42" s="23">
        <f t="shared" ref="M42:M43" si="27">E42/(J42*8.76)</f>
        <v>0.25684931506849318</v>
      </c>
      <c r="N42" s="23"/>
      <c r="O42">
        <v>1988</v>
      </c>
      <c r="Q42" t="str">
        <f>IF(P42,P42-O42+1,"")</f>
        <v/>
      </c>
      <c r="R42">
        <v>2039</v>
      </c>
      <c r="S42">
        <f>R42-O42+1</f>
        <v>52</v>
      </c>
      <c r="T42">
        <f>IF(P42,P42,R42)</f>
        <v>2039</v>
      </c>
      <c r="U42">
        <f t="shared" si="24"/>
        <v>0</v>
      </c>
      <c r="V42">
        <f t="shared" si="24"/>
        <v>0</v>
      </c>
      <c r="W42">
        <f t="shared" si="24"/>
        <v>0</v>
      </c>
      <c r="X42">
        <f t="shared" si="24"/>
        <v>0</v>
      </c>
      <c r="Y42">
        <f t="shared" si="24"/>
        <v>0</v>
      </c>
      <c r="Z42">
        <f t="shared" si="24"/>
        <v>0</v>
      </c>
      <c r="AA42">
        <f t="shared" si="24"/>
        <v>0</v>
      </c>
      <c r="AB42">
        <f t="shared" si="24"/>
        <v>0</v>
      </c>
      <c r="AC42">
        <f t="shared" si="24"/>
        <v>0</v>
      </c>
      <c r="AD42">
        <f t="shared" si="24"/>
        <v>0</v>
      </c>
      <c r="AE42">
        <f t="shared" si="24"/>
        <v>0</v>
      </c>
      <c r="AF42">
        <f t="shared" si="24"/>
        <v>0</v>
      </c>
      <c r="AG42">
        <f t="shared" si="24"/>
        <v>0</v>
      </c>
      <c r="AH42">
        <f t="shared" si="24"/>
        <v>0</v>
      </c>
      <c r="AI42">
        <f t="shared" si="24"/>
        <v>0</v>
      </c>
      <c r="AJ42">
        <f t="shared" si="24"/>
        <v>0</v>
      </c>
      <c r="AK42">
        <f t="shared" si="25"/>
        <v>0</v>
      </c>
      <c r="AL42">
        <f t="shared" si="25"/>
        <v>0</v>
      </c>
      <c r="AM42">
        <f t="shared" si="25"/>
        <v>0</v>
      </c>
      <c r="AN42">
        <f t="shared" si="25"/>
        <v>0</v>
      </c>
      <c r="AO42">
        <f t="shared" si="25"/>
        <v>0</v>
      </c>
      <c r="AP42">
        <f t="shared" si="25"/>
        <v>0</v>
      </c>
      <c r="AQ42">
        <f t="shared" si="25"/>
        <v>0</v>
      </c>
      <c r="AR42">
        <f t="shared" si="25"/>
        <v>0</v>
      </c>
      <c r="AS42">
        <f t="shared" si="25"/>
        <v>0</v>
      </c>
      <c r="AT42">
        <f t="shared" si="25"/>
        <v>0</v>
      </c>
      <c r="AU42">
        <f t="shared" si="25"/>
        <v>0</v>
      </c>
      <c r="AV42">
        <f t="shared" si="25"/>
        <v>0</v>
      </c>
      <c r="AW42">
        <f t="shared" si="25"/>
        <v>0</v>
      </c>
      <c r="AX42">
        <f t="shared" si="25"/>
        <v>-200</v>
      </c>
      <c r="AY42">
        <f t="shared" si="26"/>
        <v>-200</v>
      </c>
      <c r="AZ42">
        <f t="shared" si="26"/>
        <v>0</v>
      </c>
      <c r="BA42">
        <f t="shared" si="26"/>
        <v>0</v>
      </c>
      <c r="BB42">
        <f t="shared" si="26"/>
        <v>0</v>
      </c>
      <c r="BC42">
        <f t="shared" si="26"/>
        <v>0</v>
      </c>
      <c r="BD42">
        <f t="shared" si="26"/>
        <v>0</v>
      </c>
      <c r="BE42">
        <f t="shared" si="26"/>
        <v>0</v>
      </c>
      <c r="BF42">
        <f t="shared" si="26"/>
        <v>0</v>
      </c>
      <c r="BG42">
        <f t="shared" si="26"/>
        <v>0</v>
      </c>
      <c r="BH42">
        <f t="shared" si="26"/>
        <v>0</v>
      </c>
      <c r="BI42">
        <f t="shared" si="26"/>
        <v>0</v>
      </c>
      <c r="BJ42">
        <f t="shared" si="26"/>
        <v>0</v>
      </c>
      <c r="BK42">
        <f t="shared" si="26"/>
        <v>0</v>
      </c>
    </row>
    <row r="43" spans="1:63" ht="15">
      <c r="A43" t="s">
        <v>409</v>
      </c>
      <c r="C43" s="100"/>
      <c r="D43" s="101">
        <v>4</v>
      </c>
      <c r="E43" s="99">
        <v>163</v>
      </c>
      <c r="F43" s="102">
        <v>46</v>
      </c>
      <c r="G43">
        <v>3</v>
      </c>
      <c r="H43">
        <v>60</v>
      </c>
      <c r="J43">
        <f>H43*G43</f>
        <v>180</v>
      </c>
      <c r="K43" s="103">
        <v>5.5100000000000003E-2</v>
      </c>
      <c r="L43" s="23">
        <v>7.8E-2</v>
      </c>
      <c r="M43" s="23">
        <f t="shared" si="27"/>
        <v>0.10337392186707256</v>
      </c>
      <c r="N43" s="23"/>
      <c r="O43">
        <f>2005-34</f>
        <v>1971</v>
      </c>
      <c r="P43">
        <v>2023</v>
      </c>
      <c r="Q43">
        <f>IF(P43,P43-O43+1,"")</f>
        <v>53</v>
      </c>
      <c r="R43">
        <v>2022</v>
      </c>
      <c r="S43">
        <f>R43-O43+1</f>
        <v>52</v>
      </c>
      <c r="U43">
        <f t="shared" si="24"/>
        <v>0</v>
      </c>
      <c r="V43">
        <f t="shared" si="24"/>
        <v>0</v>
      </c>
      <c r="W43">
        <f t="shared" si="24"/>
        <v>0</v>
      </c>
      <c r="X43">
        <f t="shared" si="24"/>
        <v>0</v>
      </c>
      <c r="Y43">
        <f t="shared" si="24"/>
        <v>0</v>
      </c>
      <c r="Z43">
        <f t="shared" si="24"/>
        <v>0</v>
      </c>
      <c r="AA43">
        <f t="shared" si="24"/>
        <v>0</v>
      </c>
      <c r="AB43">
        <f t="shared" si="24"/>
        <v>0</v>
      </c>
      <c r="AC43">
        <f t="shared" si="24"/>
        <v>0</v>
      </c>
      <c r="AD43">
        <f t="shared" si="24"/>
        <v>0</v>
      </c>
      <c r="AE43">
        <f t="shared" si="24"/>
        <v>0</v>
      </c>
      <c r="AF43">
        <f t="shared" si="24"/>
        <v>0</v>
      </c>
      <c r="AG43">
        <f t="shared" si="24"/>
        <v>0</v>
      </c>
      <c r="AH43">
        <f t="shared" si="24"/>
        <v>0</v>
      </c>
      <c r="AI43">
        <f t="shared" si="24"/>
        <v>0</v>
      </c>
      <c r="AJ43">
        <f t="shared" si="24"/>
        <v>0</v>
      </c>
      <c r="AK43">
        <f t="shared" si="25"/>
        <v>0</v>
      </c>
      <c r="AL43">
        <f t="shared" si="25"/>
        <v>0</v>
      </c>
      <c r="AM43">
        <f t="shared" si="25"/>
        <v>0</v>
      </c>
      <c r="AN43">
        <f t="shared" si="25"/>
        <v>0</v>
      </c>
      <c r="AO43">
        <f t="shared" si="25"/>
        <v>0</v>
      </c>
      <c r="AP43">
        <f t="shared" si="25"/>
        <v>0</v>
      </c>
      <c r="AQ43">
        <f t="shared" si="25"/>
        <v>0</v>
      </c>
      <c r="AR43">
        <f t="shared" si="25"/>
        <v>0</v>
      </c>
      <c r="AS43">
        <f t="shared" si="25"/>
        <v>0</v>
      </c>
      <c r="AT43">
        <f t="shared" si="25"/>
        <v>0</v>
      </c>
      <c r="AU43">
        <f t="shared" si="25"/>
        <v>0</v>
      </c>
      <c r="AV43">
        <f t="shared" si="25"/>
        <v>0</v>
      </c>
      <c r="AW43">
        <f t="shared" si="25"/>
        <v>0</v>
      </c>
      <c r="AX43">
        <f t="shared" si="25"/>
        <v>0</v>
      </c>
      <c r="AY43">
        <f t="shared" si="26"/>
        <v>0</v>
      </c>
      <c r="AZ43">
        <f t="shared" si="26"/>
        <v>0</v>
      </c>
      <c r="BA43">
        <f t="shared" si="26"/>
        <v>0</v>
      </c>
      <c r="BB43">
        <f t="shared" si="26"/>
        <v>0</v>
      </c>
      <c r="BC43">
        <f t="shared" si="26"/>
        <v>0</v>
      </c>
      <c r="BD43">
        <f t="shared" si="26"/>
        <v>0</v>
      </c>
      <c r="BE43">
        <f t="shared" si="26"/>
        <v>0</v>
      </c>
      <c r="BF43">
        <f t="shared" si="26"/>
        <v>0</v>
      </c>
      <c r="BG43">
        <f t="shared" si="26"/>
        <v>0</v>
      </c>
      <c r="BH43">
        <f t="shared" si="26"/>
        <v>0</v>
      </c>
      <c r="BI43">
        <f t="shared" si="26"/>
        <v>0</v>
      </c>
      <c r="BJ43">
        <f t="shared" si="26"/>
        <v>0</v>
      </c>
      <c r="BK43">
        <f t="shared" si="26"/>
        <v>0</v>
      </c>
    </row>
    <row r="44" spans="1:63" s="111" customFormat="1" ht="15">
      <c r="A44" s="111" t="s">
        <v>26</v>
      </c>
      <c r="C44" s="138">
        <f>76%*(1-3.95%)</f>
        <v>0.72998000000000007</v>
      </c>
      <c r="D44" s="139">
        <f>SUMPRODUCT(D41:D43,$J41:$J43)/$J44</f>
        <v>3.3670886075949369</v>
      </c>
      <c r="E44" s="140">
        <f>SUM(E41:E43)</f>
        <v>3096</v>
      </c>
      <c r="F44" s="139">
        <f>SUMPRODUCT(F41:F43,$J41:$J43)/$J44</f>
        <v>59.417721518987342</v>
      </c>
      <c r="G44" s="111">
        <f>SUM(G41:G43)</f>
        <v>9</v>
      </c>
      <c r="H44" s="141">
        <f>SUMPRODUCT(H41:H43,G41:G43)/G44</f>
        <v>175.55555555555554</v>
      </c>
      <c r="J44" s="111">
        <f>SUM(J41:J43)</f>
        <v>1580</v>
      </c>
      <c r="K44" s="112">
        <f>SUMPRODUCT(K41:K43,$J41:$J43)/$J44</f>
        <v>5.1277215189873417E-2</v>
      </c>
      <c r="L44" s="112">
        <f>SUMPRODUCT(L41:L43,$J41:$J43)/$J44</f>
        <v>6.8025316455696191E-2</v>
      </c>
      <c r="M44" s="112">
        <f>SUMPRODUCT(M41:M43,$J41:$J43)/$J44</f>
        <v>0.22368649211028269</v>
      </c>
      <c r="N44" s="112"/>
      <c r="U44" s="111">
        <f t="shared" si="24"/>
        <v>0</v>
      </c>
      <c r="V44" s="111">
        <f t="shared" si="24"/>
        <v>0</v>
      </c>
      <c r="W44" s="111">
        <f t="shared" si="24"/>
        <v>0</v>
      </c>
      <c r="X44" s="111">
        <f t="shared" si="24"/>
        <v>0</v>
      </c>
      <c r="Y44" s="111">
        <f t="shared" si="24"/>
        <v>0</v>
      </c>
      <c r="Z44" s="111">
        <f t="shared" si="24"/>
        <v>0</v>
      </c>
      <c r="AA44" s="111">
        <f t="shared" si="24"/>
        <v>0</v>
      </c>
      <c r="AB44" s="111">
        <f t="shared" si="24"/>
        <v>0</v>
      </c>
      <c r="AC44" s="111">
        <f t="shared" si="24"/>
        <v>0</v>
      </c>
      <c r="AD44" s="111">
        <f t="shared" si="24"/>
        <v>0</v>
      </c>
      <c r="AE44" s="111">
        <f t="shared" si="24"/>
        <v>0</v>
      </c>
      <c r="AF44" s="111">
        <f t="shared" si="24"/>
        <v>0</v>
      </c>
      <c r="AG44" s="111">
        <f t="shared" si="24"/>
        <v>0</v>
      </c>
      <c r="AH44" s="111">
        <f t="shared" si="24"/>
        <v>0</v>
      </c>
      <c r="AI44" s="111">
        <f t="shared" si="24"/>
        <v>0</v>
      </c>
      <c r="AJ44" s="111">
        <f t="shared" si="24"/>
        <v>0</v>
      </c>
      <c r="AK44" s="111">
        <f t="shared" si="25"/>
        <v>0</v>
      </c>
      <c r="AL44" s="111">
        <f t="shared" si="25"/>
        <v>0</v>
      </c>
      <c r="AM44" s="111">
        <f t="shared" si="25"/>
        <v>0</v>
      </c>
      <c r="AN44" s="111">
        <f t="shared" si="25"/>
        <v>0</v>
      </c>
      <c r="AO44" s="111">
        <f t="shared" si="25"/>
        <v>0</v>
      </c>
      <c r="AP44" s="111">
        <f t="shared" si="25"/>
        <v>0</v>
      </c>
      <c r="AQ44" s="111">
        <f t="shared" si="25"/>
        <v>0</v>
      </c>
      <c r="AR44" s="111">
        <f t="shared" si="25"/>
        <v>0</v>
      </c>
      <c r="AS44" s="111">
        <f t="shared" si="25"/>
        <v>0</v>
      </c>
      <c r="AT44" s="111">
        <f t="shared" si="25"/>
        <v>0</v>
      </c>
      <c r="AU44" s="111">
        <f t="shared" si="25"/>
        <v>0</v>
      </c>
      <c r="AV44" s="111">
        <f t="shared" si="25"/>
        <v>0</v>
      </c>
      <c r="AW44" s="111">
        <f t="shared" si="25"/>
        <v>0</v>
      </c>
      <c r="AX44" s="111">
        <f t="shared" si="25"/>
        <v>0</v>
      </c>
      <c r="AY44" s="111">
        <f t="shared" si="26"/>
        <v>0</v>
      </c>
      <c r="AZ44" s="111">
        <f t="shared" si="26"/>
        <v>0</v>
      </c>
      <c r="BA44" s="111">
        <f t="shared" si="26"/>
        <v>0</v>
      </c>
      <c r="BB44" s="111">
        <f t="shared" si="26"/>
        <v>0</v>
      </c>
      <c r="BC44" s="111">
        <f t="shared" si="26"/>
        <v>0</v>
      </c>
      <c r="BD44" s="111">
        <f t="shared" si="26"/>
        <v>0</v>
      </c>
      <c r="BE44" s="111">
        <f t="shared" si="26"/>
        <v>0</v>
      </c>
      <c r="BF44" s="111">
        <f t="shared" si="26"/>
        <v>0</v>
      </c>
      <c r="BG44" s="111">
        <f t="shared" si="26"/>
        <v>0</v>
      </c>
      <c r="BH44" s="111">
        <f t="shared" si="26"/>
        <v>0</v>
      </c>
      <c r="BI44" s="111">
        <f t="shared" si="26"/>
        <v>0</v>
      </c>
      <c r="BJ44" s="111">
        <f t="shared" si="26"/>
        <v>0</v>
      </c>
      <c r="BK44" s="111">
        <f t="shared" si="26"/>
        <v>0</v>
      </c>
    </row>
    <row r="45" spans="1:63" s="128" customFormat="1" ht="15.75" thickBot="1">
      <c r="A45" s="125" t="s">
        <v>24</v>
      </c>
      <c r="B45" s="125"/>
      <c r="C45" s="142"/>
      <c r="D45" s="127">
        <v>10</v>
      </c>
      <c r="E45" s="118">
        <v>13668</v>
      </c>
      <c r="F45" s="143">
        <v>416</v>
      </c>
      <c r="G45" s="128">
        <v>2</v>
      </c>
      <c r="H45" s="128">
        <v>900</v>
      </c>
      <c r="J45" s="128">
        <f>H45*G45</f>
        <v>1800</v>
      </c>
      <c r="K45" s="126">
        <v>0.1123</v>
      </c>
      <c r="L45" s="126">
        <v>8.7099999999999997E-2</v>
      </c>
      <c r="M45" s="144">
        <f>(1-K45)*(1-L45)</f>
        <v>0.81038133000000012</v>
      </c>
      <c r="N45" s="145">
        <v>3.01</v>
      </c>
      <c r="O45" s="128">
        <v>1984</v>
      </c>
      <c r="Q45" s="128" t="str">
        <f>IF(P45,P45-O45+1,"")</f>
        <v/>
      </c>
      <c r="R45" s="128">
        <v>2035</v>
      </c>
      <c r="S45" s="128">
        <f>R45-O45+1</f>
        <v>52</v>
      </c>
      <c r="T45" s="128">
        <f>IF(P45,P45,50+O45-1)</f>
        <v>2033</v>
      </c>
      <c r="U45" s="128">
        <f t="shared" si="24"/>
        <v>0</v>
      </c>
      <c r="V45" s="128">
        <f t="shared" si="24"/>
        <v>0</v>
      </c>
      <c r="W45" s="128">
        <f t="shared" si="24"/>
        <v>0</v>
      </c>
      <c r="X45" s="128">
        <f t="shared" si="24"/>
        <v>0</v>
      </c>
      <c r="Y45" s="128">
        <f t="shared" si="24"/>
        <v>0</v>
      </c>
      <c r="Z45" s="128">
        <f t="shared" si="24"/>
        <v>0</v>
      </c>
      <c r="AA45" s="128">
        <f t="shared" si="24"/>
        <v>0</v>
      </c>
      <c r="AB45" s="128">
        <f t="shared" si="24"/>
        <v>0</v>
      </c>
      <c r="AC45" s="128">
        <f t="shared" si="24"/>
        <v>0</v>
      </c>
      <c r="AD45" s="128">
        <f t="shared" si="24"/>
        <v>0</v>
      </c>
      <c r="AE45" s="128">
        <f t="shared" si="24"/>
        <v>0</v>
      </c>
      <c r="AF45" s="128">
        <f t="shared" si="24"/>
        <v>0</v>
      </c>
      <c r="AG45" s="128">
        <f t="shared" si="24"/>
        <v>0</v>
      </c>
      <c r="AH45" s="128">
        <f t="shared" si="24"/>
        <v>0</v>
      </c>
      <c r="AI45" s="128">
        <f t="shared" si="24"/>
        <v>0</v>
      </c>
      <c r="AJ45" s="128">
        <f t="shared" si="24"/>
        <v>0</v>
      </c>
      <c r="AK45" s="128">
        <f t="shared" si="25"/>
        <v>0</v>
      </c>
      <c r="AL45" s="128">
        <f t="shared" si="25"/>
        <v>0</v>
      </c>
      <c r="AM45" s="128">
        <f t="shared" si="25"/>
        <v>0</v>
      </c>
      <c r="AN45" s="128">
        <f t="shared" si="25"/>
        <v>0</v>
      </c>
      <c r="AO45" s="128">
        <f t="shared" si="25"/>
        <v>0</v>
      </c>
      <c r="AP45" s="128">
        <f t="shared" si="25"/>
        <v>0</v>
      </c>
      <c r="AQ45" s="128">
        <f t="shared" si="25"/>
        <v>0</v>
      </c>
      <c r="AR45" s="128">
        <f t="shared" si="25"/>
        <v>-900</v>
      </c>
      <c r="AS45" s="128">
        <f t="shared" si="25"/>
        <v>-900</v>
      </c>
      <c r="AT45" s="128">
        <f t="shared" si="25"/>
        <v>0</v>
      </c>
      <c r="AU45" s="128">
        <f t="shared" si="25"/>
        <v>0</v>
      </c>
      <c r="AV45" s="128">
        <f t="shared" si="25"/>
        <v>0</v>
      </c>
      <c r="AW45" s="128">
        <f t="shared" si="25"/>
        <v>0</v>
      </c>
      <c r="AX45" s="128">
        <f t="shared" si="25"/>
        <v>0</v>
      </c>
      <c r="AY45" s="128">
        <f t="shared" si="26"/>
        <v>0</v>
      </c>
      <c r="AZ45" s="128">
        <f t="shared" si="26"/>
        <v>0</v>
      </c>
      <c r="BA45" s="128">
        <f t="shared" si="26"/>
        <v>0</v>
      </c>
      <c r="BB45" s="128">
        <f t="shared" si="26"/>
        <v>0</v>
      </c>
      <c r="BC45" s="128">
        <f t="shared" si="26"/>
        <v>0</v>
      </c>
      <c r="BD45" s="128">
        <f t="shared" si="26"/>
        <v>0</v>
      </c>
      <c r="BE45" s="128">
        <f t="shared" si="26"/>
        <v>0</v>
      </c>
      <c r="BF45" s="128">
        <f t="shared" si="26"/>
        <v>0</v>
      </c>
      <c r="BG45" s="128">
        <f t="shared" si="26"/>
        <v>0</v>
      </c>
      <c r="BH45" s="128">
        <f t="shared" si="26"/>
        <v>0</v>
      </c>
      <c r="BI45" s="128">
        <f t="shared" si="26"/>
        <v>0</v>
      </c>
      <c r="BJ45" s="128">
        <f t="shared" si="26"/>
        <v>0</v>
      </c>
      <c r="BK45" s="128">
        <f t="shared" si="26"/>
        <v>0</v>
      </c>
    </row>
    <row r="46" spans="1:63" ht="15.75" thickTop="1">
      <c r="A46" t="s">
        <v>410</v>
      </c>
      <c r="C46" s="100"/>
      <c r="D46" s="101">
        <v>119</v>
      </c>
      <c r="E46" s="101"/>
      <c r="F46" s="102"/>
      <c r="G46">
        <v>1</v>
      </c>
      <c r="H46">
        <v>300</v>
      </c>
      <c r="J46">
        <f t="shared" si="10"/>
        <v>300</v>
      </c>
      <c r="O46">
        <v>1992</v>
      </c>
      <c r="U46">
        <f t="shared" si="24"/>
        <v>0</v>
      </c>
      <c r="V46">
        <f t="shared" si="24"/>
        <v>0</v>
      </c>
      <c r="W46">
        <f t="shared" si="24"/>
        <v>0</v>
      </c>
      <c r="X46">
        <f t="shared" si="24"/>
        <v>0</v>
      </c>
      <c r="Y46">
        <f t="shared" si="24"/>
        <v>0</v>
      </c>
      <c r="Z46">
        <f t="shared" si="24"/>
        <v>0</v>
      </c>
      <c r="AA46">
        <f t="shared" si="24"/>
        <v>0</v>
      </c>
      <c r="AB46">
        <f t="shared" si="24"/>
        <v>0</v>
      </c>
      <c r="AC46">
        <f t="shared" si="24"/>
        <v>0</v>
      </c>
      <c r="AD46">
        <f t="shared" si="24"/>
        <v>0</v>
      </c>
      <c r="AE46">
        <f t="shared" si="24"/>
        <v>0</v>
      </c>
      <c r="AF46">
        <f t="shared" si="24"/>
        <v>0</v>
      </c>
      <c r="AG46">
        <f t="shared" si="24"/>
        <v>0</v>
      </c>
      <c r="AH46">
        <f t="shared" si="24"/>
        <v>0</v>
      </c>
      <c r="AI46">
        <f t="shared" si="24"/>
        <v>0</v>
      </c>
      <c r="AJ46">
        <f t="shared" si="24"/>
        <v>0</v>
      </c>
      <c r="AK46">
        <f t="shared" si="25"/>
        <v>0</v>
      </c>
      <c r="AL46">
        <f t="shared" si="25"/>
        <v>0</v>
      </c>
      <c r="AM46">
        <f t="shared" si="25"/>
        <v>0</v>
      </c>
      <c r="AN46">
        <f t="shared" si="25"/>
        <v>0</v>
      </c>
      <c r="AO46">
        <f t="shared" si="25"/>
        <v>0</v>
      </c>
      <c r="AP46">
        <f t="shared" si="25"/>
        <v>0</v>
      </c>
      <c r="AQ46">
        <f t="shared" si="25"/>
        <v>0</v>
      </c>
      <c r="AR46">
        <f t="shared" si="25"/>
        <v>0</v>
      </c>
      <c r="AS46">
        <f t="shared" si="25"/>
        <v>0</v>
      </c>
      <c r="AT46">
        <f t="shared" si="25"/>
        <v>0</v>
      </c>
      <c r="AU46">
        <f t="shared" si="25"/>
        <v>0</v>
      </c>
      <c r="AV46">
        <f t="shared" si="25"/>
        <v>0</v>
      </c>
      <c r="AW46">
        <f t="shared" si="25"/>
        <v>0</v>
      </c>
      <c r="AX46">
        <f t="shared" si="25"/>
        <v>0</v>
      </c>
      <c r="AY46">
        <f t="shared" si="26"/>
        <v>0</v>
      </c>
      <c r="AZ46">
        <f t="shared" si="26"/>
        <v>0</v>
      </c>
      <c r="BA46">
        <f t="shared" si="26"/>
        <v>0</v>
      </c>
      <c r="BB46">
        <f t="shared" si="26"/>
        <v>0</v>
      </c>
      <c r="BC46">
        <f t="shared" si="26"/>
        <v>0</v>
      </c>
      <c r="BD46">
        <f t="shared" si="26"/>
        <v>0</v>
      </c>
      <c r="BE46">
        <f t="shared" si="26"/>
        <v>0</v>
      </c>
      <c r="BF46">
        <f t="shared" si="26"/>
        <v>0</v>
      </c>
      <c r="BG46">
        <f t="shared" si="26"/>
        <v>0</v>
      </c>
      <c r="BH46">
        <f t="shared" si="26"/>
        <v>0</v>
      </c>
      <c r="BI46">
        <f t="shared" si="26"/>
        <v>0</v>
      </c>
      <c r="BJ46">
        <f t="shared" si="26"/>
        <v>0</v>
      </c>
      <c r="BK46">
        <f t="shared" si="26"/>
        <v>0</v>
      </c>
    </row>
    <row r="47" spans="1:63" ht="15">
      <c r="A47" t="s">
        <v>411</v>
      </c>
      <c r="C47" s="100"/>
      <c r="D47" s="101">
        <v>118</v>
      </c>
      <c r="E47" s="101"/>
      <c r="F47" s="102"/>
      <c r="G47" s="134">
        <v>1</v>
      </c>
      <c r="H47">
        <v>400</v>
      </c>
      <c r="J47">
        <f t="shared" si="10"/>
        <v>400</v>
      </c>
      <c r="O47">
        <v>1992</v>
      </c>
      <c r="U47">
        <f t="shared" si="24"/>
        <v>0</v>
      </c>
      <c r="V47">
        <f t="shared" si="24"/>
        <v>0</v>
      </c>
      <c r="W47">
        <f t="shared" si="24"/>
        <v>0</v>
      </c>
      <c r="X47">
        <f t="shared" si="24"/>
        <v>0</v>
      </c>
      <c r="Y47">
        <f t="shared" si="24"/>
        <v>0</v>
      </c>
      <c r="Z47">
        <f t="shared" si="24"/>
        <v>0</v>
      </c>
      <c r="AA47">
        <f t="shared" si="24"/>
        <v>0</v>
      </c>
      <c r="AB47">
        <f t="shared" si="24"/>
        <v>0</v>
      </c>
      <c r="AC47">
        <f t="shared" si="24"/>
        <v>0</v>
      </c>
      <c r="AD47">
        <f t="shared" si="24"/>
        <v>0</v>
      </c>
      <c r="AE47">
        <f t="shared" si="24"/>
        <v>0</v>
      </c>
      <c r="AF47">
        <f t="shared" si="24"/>
        <v>0</v>
      </c>
      <c r="AG47">
        <f t="shared" si="24"/>
        <v>0</v>
      </c>
      <c r="AH47">
        <f t="shared" si="24"/>
        <v>0</v>
      </c>
      <c r="AI47">
        <f t="shared" si="24"/>
        <v>0</v>
      </c>
      <c r="AJ47">
        <f t="shared" si="24"/>
        <v>0</v>
      </c>
      <c r="AK47">
        <f t="shared" si="25"/>
        <v>0</v>
      </c>
      <c r="AL47">
        <f t="shared" si="25"/>
        <v>0</v>
      </c>
      <c r="AM47">
        <f t="shared" si="25"/>
        <v>0</v>
      </c>
      <c r="AN47">
        <f t="shared" si="25"/>
        <v>0</v>
      </c>
      <c r="AO47">
        <f t="shared" si="25"/>
        <v>0</v>
      </c>
      <c r="AP47">
        <f t="shared" si="25"/>
        <v>0</v>
      </c>
      <c r="AQ47">
        <f t="shared" si="25"/>
        <v>0</v>
      </c>
      <c r="AR47">
        <f t="shared" si="25"/>
        <v>0</v>
      </c>
      <c r="AS47">
        <f t="shared" si="25"/>
        <v>0</v>
      </c>
      <c r="AT47">
        <f t="shared" si="25"/>
        <v>0</v>
      </c>
      <c r="AU47">
        <f t="shared" si="25"/>
        <v>0</v>
      </c>
      <c r="AV47">
        <f t="shared" si="25"/>
        <v>0</v>
      </c>
      <c r="AW47">
        <f t="shared" si="25"/>
        <v>0</v>
      </c>
      <c r="AX47">
        <f t="shared" si="25"/>
        <v>0</v>
      </c>
      <c r="AY47">
        <f t="shared" si="26"/>
        <v>0</v>
      </c>
      <c r="AZ47">
        <f t="shared" si="26"/>
        <v>0</v>
      </c>
      <c r="BA47">
        <f t="shared" si="26"/>
        <v>0</v>
      </c>
      <c r="BB47">
        <f t="shared" si="26"/>
        <v>0</v>
      </c>
      <c r="BC47">
        <f t="shared" si="26"/>
        <v>0</v>
      </c>
      <c r="BD47">
        <f t="shared" si="26"/>
        <v>0</v>
      </c>
      <c r="BE47">
        <f t="shared" si="26"/>
        <v>0</v>
      </c>
      <c r="BF47">
        <f t="shared" si="26"/>
        <v>0</v>
      </c>
      <c r="BG47">
        <f t="shared" si="26"/>
        <v>0</v>
      </c>
      <c r="BH47">
        <f t="shared" si="26"/>
        <v>0</v>
      </c>
      <c r="BI47">
        <f t="shared" si="26"/>
        <v>0</v>
      </c>
      <c r="BJ47">
        <f t="shared" si="26"/>
        <v>0</v>
      </c>
      <c r="BK47">
        <f t="shared" si="26"/>
        <v>0</v>
      </c>
    </row>
    <row r="48" spans="1:63" ht="15">
      <c r="A48" t="s">
        <v>411</v>
      </c>
      <c r="C48" s="100"/>
      <c r="D48" s="101">
        <v>118</v>
      </c>
      <c r="E48" s="101"/>
      <c r="F48" s="102"/>
      <c r="G48">
        <v>1</v>
      </c>
      <c r="H48" s="134">
        <v>400</v>
      </c>
      <c r="J48">
        <f t="shared" si="10"/>
        <v>400</v>
      </c>
      <c r="O48">
        <v>2001</v>
      </c>
      <c r="U48">
        <f t="shared" si="24"/>
        <v>0</v>
      </c>
      <c r="V48">
        <f t="shared" si="24"/>
        <v>0</v>
      </c>
      <c r="W48">
        <f t="shared" si="24"/>
        <v>0</v>
      </c>
      <c r="X48">
        <f t="shared" si="24"/>
        <v>0</v>
      </c>
      <c r="Y48">
        <f t="shared" si="24"/>
        <v>0</v>
      </c>
      <c r="Z48">
        <f t="shared" si="24"/>
        <v>0</v>
      </c>
      <c r="AA48">
        <f t="shared" si="24"/>
        <v>0</v>
      </c>
      <c r="AB48">
        <f t="shared" si="24"/>
        <v>0</v>
      </c>
      <c r="AC48">
        <f t="shared" si="24"/>
        <v>0</v>
      </c>
      <c r="AD48">
        <f t="shared" si="24"/>
        <v>0</v>
      </c>
      <c r="AE48">
        <f t="shared" si="24"/>
        <v>0</v>
      </c>
      <c r="AF48">
        <f t="shared" si="24"/>
        <v>0</v>
      </c>
      <c r="AG48">
        <f t="shared" si="24"/>
        <v>0</v>
      </c>
      <c r="AH48">
        <f t="shared" si="24"/>
        <v>0</v>
      </c>
      <c r="AI48">
        <f t="shared" si="24"/>
        <v>0</v>
      </c>
      <c r="AJ48">
        <f t="shared" si="24"/>
        <v>0</v>
      </c>
      <c r="AK48">
        <f t="shared" si="25"/>
        <v>0</v>
      </c>
      <c r="AL48">
        <f t="shared" si="25"/>
        <v>0</v>
      </c>
      <c r="AM48">
        <f t="shared" si="25"/>
        <v>0</v>
      </c>
      <c r="AN48">
        <f t="shared" si="25"/>
        <v>0</v>
      </c>
      <c r="AO48">
        <f t="shared" si="25"/>
        <v>0</v>
      </c>
      <c r="AP48">
        <f t="shared" si="25"/>
        <v>0</v>
      </c>
      <c r="AQ48">
        <f t="shared" si="25"/>
        <v>0</v>
      </c>
      <c r="AR48">
        <f t="shared" si="25"/>
        <v>0</v>
      </c>
      <c r="AS48">
        <f t="shared" si="25"/>
        <v>0</v>
      </c>
      <c r="AT48">
        <f t="shared" si="25"/>
        <v>0</v>
      </c>
      <c r="AU48">
        <f t="shared" si="25"/>
        <v>0</v>
      </c>
      <c r="AV48">
        <f t="shared" si="25"/>
        <v>0</v>
      </c>
      <c r="AW48">
        <f t="shared" si="25"/>
        <v>0</v>
      </c>
      <c r="AX48">
        <f t="shared" si="25"/>
        <v>0</v>
      </c>
      <c r="AY48">
        <f t="shared" si="26"/>
        <v>0</v>
      </c>
      <c r="AZ48">
        <f t="shared" si="26"/>
        <v>0</v>
      </c>
      <c r="BA48">
        <f t="shared" si="26"/>
        <v>0</v>
      </c>
      <c r="BB48">
        <f t="shared" si="26"/>
        <v>0</v>
      </c>
      <c r="BC48">
        <f t="shared" si="26"/>
        <v>0</v>
      </c>
      <c r="BD48">
        <f t="shared" si="26"/>
        <v>0</v>
      </c>
      <c r="BE48">
        <f t="shared" si="26"/>
        <v>0</v>
      </c>
      <c r="BF48">
        <f t="shared" si="26"/>
        <v>0</v>
      </c>
      <c r="BG48">
        <f t="shared" si="26"/>
        <v>0</v>
      </c>
      <c r="BH48">
        <f t="shared" si="26"/>
        <v>0</v>
      </c>
      <c r="BI48">
        <f t="shared" si="26"/>
        <v>0</v>
      </c>
      <c r="BJ48">
        <f t="shared" si="26"/>
        <v>0</v>
      </c>
      <c r="BK48">
        <f t="shared" si="26"/>
        <v>0</v>
      </c>
    </row>
    <row r="49" spans="1:63" ht="15">
      <c r="A49" t="s">
        <v>412</v>
      </c>
      <c r="C49" s="100"/>
      <c r="D49" s="101">
        <v>53</v>
      </c>
      <c r="E49" s="101"/>
      <c r="F49" s="102"/>
      <c r="G49">
        <v>1</v>
      </c>
      <c r="H49">
        <v>400</v>
      </c>
      <c r="J49">
        <f t="shared" si="10"/>
        <v>400</v>
      </c>
      <c r="O49">
        <v>2000</v>
      </c>
      <c r="U49">
        <f t="shared" si="24"/>
        <v>0</v>
      </c>
      <c r="V49">
        <f t="shared" si="24"/>
        <v>0</v>
      </c>
      <c r="W49">
        <f t="shared" si="24"/>
        <v>0</v>
      </c>
      <c r="X49">
        <f t="shared" si="24"/>
        <v>0</v>
      </c>
      <c r="Y49">
        <f t="shared" si="24"/>
        <v>0</v>
      </c>
      <c r="Z49">
        <f t="shared" si="24"/>
        <v>0</v>
      </c>
      <c r="AA49">
        <f t="shared" si="24"/>
        <v>0</v>
      </c>
      <c r="AB49">
        <f t="shared" si="24"/>
        <v>0</v>
      </c>
      <c r="AC49">
        <f t="shared" si="24"/>
        <v>0</v>
      </c>
      <c r="AD49">
        <f t="shared" si="24"/>
        <v>0</v>
      </c>
      <c r="AE49">
        <f t="shared" si="24"/>
        <v>0</v>
      </c>
      <c r="AF49">
        <f t="shared" si="24"/>
        <v>0</v>
      </c>
      <c r="AG49">
        <f t="shared" si="24"/>
        <v>0</v>
      </c>
      <c r="AH49">
        <f t="shared" si="24"/>
        <v>0</v>
      </c>
      <c r="AI49">
        <f t="shared" si="24"/>
        <v>0</v>
      </c>
      <c r="AJ49">
        <f t="shared" si="24"/>
        <v>0</v>
      </c>
      <c r="AK49">
        <f t="shared" si="25"/>
        <v>0</v>
      </c>
      <c r="AL49">
        <f t="shared" si="25"/>
        <v>0</v>
      </c>
      <c r="AM49">
        <f t="shared" si="25"/>
        <v>0</v>
      </c>
      <c r="AN49">
        <f t="shared" si="25"/>
        <v>0</v>
      </c>
      <c r="AO49">
        <f t="shared" si="25"/>
        <v>0</v>
      </c>
      <c r="AP49">
        <f t="shared" si="25"/>
        <v>0</v>
      </c>
      <c r="AQ49">
        <f t="shared" si="25"/>
        <v>0</v>
      </c>
      <c r="AR49">
        <f t="shared" si="25"/>
        <v>0</v>
      </c>
      <c r="AS49">
        <f t="shared" si="25"/>
        <v>0</v>
      </c>
      <c r="AT49">
        <f t="shared" si="25"/>
        <v>0</v>
      </c>
      <c r="AU49">
        <f t="shared" si="25"/>
        <v>0</v>
      </c>
      <c r="AV49">
        <f t="shared" si="25"/>
        <v>0</v>
      </c>
      <c r="AW49">
        <f t="shared" si="25"/>
        <v>0</v>
      </c>
      <c r="AX49">
        <f t="shared" si="25"/>
        <v>0</v>
      </c>
      <c r="AY49">
        <f t="shared" si="26"/>
        <v>0</v>
      </c>
      <c r="AZ49">
        <f t="shared" si="26"/>
        <v>0</v>
      </c>
      <c r="BA49">
        <f t="shared" si="26"/>
        <v>0</v>
      </c>
      <c r="BB49">
        <f t="shared" si="26"/>
        <v>0</v>
      </c>
      <c r="BC49">
        <f t="shared" si="26"/>
        <v>0</v>
      </c>
      <c r="BD49">
        <f t="shared" si="26"/>
        <v>0</v>
      </c>
      <c r="BE49">
        <f t="shared" si="26"/>
        <v>0</v>
      </c>
      <c r="BF49">
        <f t="shared" si="26"/>
        <v>0</v>
      </c>
      <c r="BG49">
        <f t="shared" si="26"/>
        <v>0</v>
      </c>
      <c r="BH49">
        <f t="shared" si="26"/>
        <v>0</v>
      </c>
      <c r="BI49">
        <f t="shared" si="26"/>
        <v>0</v>
      </c>
      <c r="BJ49">
        <f t="shared" si="26"/>
        <v>0</v>
      </c>
      <c r="BK49">
        <f t="shared" si="26"/>
        <v>0</v>
      </c>
    </row>
    <row r="50" spans="1:63" ht="15">
      <c r="A50" t="s">
        <v>413</v>
      </c>
      <c r="C50" s="100"/>
      <c r="D50" s="101">
        <v>53</v>
      </c>
      <c r="E50" s="101"/>
      <c r="F50" s="102"/>
      <c r="G50">
        <v>1</v>
      </c>
      <c r="H50">
        <v>400</v>
      </c>
      <c r="J50">
        <f t="shared" si="10"/>
        <v>400</v>
      </c>
      <c r="O50">
        <v>2003</v>
      </c>
      <c r="U50">
        <f t="shared" si="24"/>
        <v>0</v>
      </c>
      <c r="V50">
        <f t="shared" si="24"/>
        <v>0</v>
      </c>
      <c r="W50">
        <f t="shared" si="24"/>
        <v>0</v>
      </c>
      <c r="X50">
        <f t="shared" si="24"/>
        <v>0</v>
      </c>
      <c r="Y50">
        <f t="shared" si="24"/>
        <v>0</v>
      </c>
      <c r="Z50">
        <f t="shared" si="24"/>
        <v>0</v>
      </c>
      <c r="AA50">
        <f t="shared" si="24"/>
        <v>0</v>
      </c>
      <c r="AB50">
        <f t="shared" si="24"/>
        <v>0</v>
      </c>
      <c r="AC50">
        <f t="shared" si="24"/>
        <v>0</v>
      </c>
      <c r="AD50">
        <f t="shared" si="24"/>
        <v>0</v>
      </c>
      <c r="AE50">
        <f t="shared" si="24"/>
        <v>0</v>
      </c>
      <c r="AF50">
        <f t="shared" si="24"/>
        <v>0</v>
      </c>
      <c r="AG50">
        <f t="shared" si="24"/>
        <v>0</v>
      </c>
      <c r="AH50">
        <f t="shared" si="24"/>
        <v>0</v>
      </c>
      <c r="AI50">
        <f t="shared" si="24"/>
        <v>0</v>
      </c>
      <c r="AJ50">
        <f t="shared" si="24"/>
        <v>0</v>
      </c>
      <c r="AK50">
        <f t="shared" si="25"/>
        <v>0</v>
      </c>
      <c r="AL50">
        <f t="shared" si="25"/>
        <v>0</v>
      </c>
      <c r="AM50">
        <f t="shared" si="25"/>
        <v>0</v>
      </c>
      <c r="AN50">
        <f t="shared" si="25"/>
        <v>0</v>
      </c>
      <c r="AO50">
        <f t="shared" si="25"/>
        <v>0</v>
      </c>
      <c r="AP50">
        <f t="shared" si="25"/>
        <v>0</v>
      </c>
      <c r="AQ50">
        <f t="shared" si="25"/>
        <v>0</v>
      </c>
      <c r="AR50">
        <f t="shared" si="25"/>
        <v>0</v>
      </c>
      <c r="AS50">
        <f t="shared" si="25"/>
        <v>0</v>
      </c>
      <c r="AT50">
        <f t="shared" si="25"/>
        <v>0</v>
      </c>
      <c r="AU50">
        <f t="shared" si="25"/>
        <v>0</v>
      </c>
      <c r="AV50">
        <f t="shared" si="25"/>
        <v>0</v>
      </c>
      <c r="AW50">
        <f t="shared" si="25"/>
        <v>0</v>
      </c>
      <c r="AX50">
        <f t="shared" si="25"/>
        <v>0</v>
      </c>
      <c r="AY50">
        <f t="shared" si="26"/>
        <v>0</v>
      </c>
      <c r="AZ50">
        <f t="shared" si="26"/>
        <v>0</v>
      </c>
      <c r="BA50">
        <f t="shared" si="26"/>
        <v>0</v>
      </c>
      <c r="BB50">
        <f t="shared" si="26"/>
        <v>0</v>
      </c>
      <c r="BC50">
        <f t="shared" si="26"/>
        <v>0</v>
      </c>
      <c r="BD50">
        <f t="shared" si="26"/>
        <v>0</v>
      </c>
      <c r="BE50">
        <f t="shared" si="26"/>
        <v>0</v>
      </c>
      <c r="BF50">
        <f t="shared" si="26"/>
        <v>0</v>
      </c>
      <c r="BG50">
        <f t="shared" si="26"/>
        <v>0</v>
      </c>
      <c r="BH50">
        <f t="shared" si="26"/>
        <v>0</v>
      </c>
      <c r="BI50">
        <f t="shared" si="26"/>
        <v>0</v>
      </c>
      <c r="BJ50">
        <f t="shared" si="26"/>
        <v>0</v>
      </c>
      <c r="BK50">
        <f t="shared" si="26"/>
        <v>0</v>
      </c>
    </row>
    <row r="51" spans="1:63" ht="15">
      <c r="A51" t="s">
        <v>414</v>
      </c>
      <c r="C51" s="100"/>
      <c r="D51" s="101">
        <v>115</v>
      </c>
      <c r="E51" s="101"/>
      <c r="F51" s="102"/>
      <c r="G51">
        <v>1</v>
      </c>
      <c r="H51">
        <v>45</v>
      </c>
      <c r="J51">
        <f t="shared" si="10"/>
        <v>45</v>
      </c>
      <c r="O51">
        <v>2000</v>
      </c>
      <c r="U51">
        <f t="shared" si="24"/>
        <v>0</v>
      </c>
      <c r="V51">
        <f t="shared" si="24"/>
        <v>0</v>
      </c>
      <c r="W51">
        <f t="shared" si="24"/>
        <v>0</v>
      </c>
      <c r="X51">
        <f t="shared" si="24"/>
        <v>0</v>
      </c>
      <c r="Y51">
        <f t="shared" si="24"/>
        <v>0</v>
      </c>
      <c r="Z51">
        <f t="shared" si="24"/>
        <v>0</v>
      </c>
      <c r="AA51">
        <f t="shared" si="24"/>
        <v>0</v>
      </c>
      <c r="AB51">
        <f t="shared" si="24"/>
        <v>0</v>
      </c>
      <c r="AC51">
        <f t="shared" si="24"/>
        <v>0</v>
      </c>
      <c r="AD51">
        <f t="shared" si="24"/>
        <v>0</v>
      </c>
      <c r="AE51">
        <f t="shared" si="24"/>
        <v>0</v>
      </c>
      <c r="AF51">
        <f t="shared" si="24"/>
        <v>0</v>
      </c>
      <c r="AG51">
        <f t="shared" si="24"/>
        <v>0</v>
      </c>
      <c r="AH51">
        <f t="shared" si="24"/>
        <v>0</v>
      </c>
      <c r="AI51">
        <f t="shared" si="24"/>
        <v>0</v>
      </c>
      <c r="AJ51">
        <f t="shared" si="24"/>
        <v>0</v>
      </c>
      <c r="AK51">
        <f t="shared" si="25"/>
        <v>0</v>
      </c>
      <c r="AL51">
        <f t="shared" si="25"/>
        <v>0</v>
      </c>
      <c r="AM51">
        <f t="shared" si="25"/>
        <v>0</v>
      </c>
      <c r="AN51">
        <f t="shared" si="25"/>
        <v>0</v>
      </c>
      <c r="AO51">
        <f t="shared" si="25"/>
        <v>0</v>
      </c>
      <c r="AP51">
        <f t="shared" si="25"/>
        <v>0</v>
      </c>
      <c r="AQ51">
        <f t="shared" si="25"/>
        <v>0</v>
      </c>
      <c r="AR51">
        <f t="shared" si="25"/>
        <v>0</v>
      </c>
      <c r="AS51">
        <f t="shared" si="25"/>
        <v>0</v>
      </c>
      <c r="AT51">
        <f t="shared" si="25"/>
        <v>0</v>
      </c>
      <c r="AU51">
        <f t="shared" si="25"/>
        <v>0</v>
      </c>
      <c r="AV51">
        <f t="shared" si="25"/>
        <v>0</v>
      </c>
      <c r="AW51">
        <f t="shared" si="25"/>
        <v>0</v>
      </c>
      <c r="AX51">
        <f t="shared" si="25"/>
        <v>0</v>
      </c>
      <c r="AY51">
        <f t="shared" si="26"/>
        <v>0</v>
      </c>
      <c r="AZ51">
        <f t="shared" si="26"/>
        <v>0</v>
      </c>
      <c r="BA51">
        <f t="shared" si="26"/>
        <v>0</v>
      </c>
      <c r="BB51">
        <f t="shared" si="26"/>
        <v>0</v>
      </c>
      <c r="BC51">
        <f t="shared" si="26"/>
        <v>0</v>
      </c>
      <c r="BD51">
        <f t="shared" si="26"/>
        <v>0</v>
      </c>
      <c r="BE51">
        <f t="shared" si="26"/>
        <v>0</v>
      </c>
      <c r="BF51">
        <f t="shared" si="26"/>
        <v>0</v>
      </c>
      <c r="BG51">
        <f t="shared" si="26"/>
        <v>0</v>
      </c>
      <c r="BH51">
        <f t="shared" si="26"/>
        <v>0</v>
      </c>
      <c r="BI51">
        <f t="shared" si="26"/>
        <v>0</v>
      </c>
      <c r="BJ51">
        <f t="shared" si="26"/>
        <v>0</v>
      </c>
      <c r="BK51">
        <f t="shared" si="26"/>
        <v>0</v>
      </c>
    </row>
    <row r="52" spans="1:63" ht="15">
      <c r="A52" t="s">
        <v>415</v>
      </c>
      <c r="C52" s="100"/>
      <c r="D52" s="101">
        <v>823</v>
      </c>
      <c r="E52" s="101"/>
      <c r="F52" s="102"/>
      <c r="G52">
        <v>1</v>
      </c>
      <c r="H52">
        <v>405</v>
      </c>
      <c r="J52">
        <f t="shared" si="10"/>
        <v>405</v>
      </c>
      <c r="U52">
        <f t="shared" si="24"/>
        <v>0</v>
      </c>
      <c r="V52">
        <f t="shared" si="24"/>
        <v>0</v>
      </c>
      <c r="W52">
        <f t="shared" si="24"/>
        <v>0</v>
      </c>
      <c r="X52">
        <f t="shared" si="24"/>
        <v>0</v>
      </c>
      <c r="Y52">
        <f t="shared" si="24"/>
        <v>0</v>
      </c>
      <c r="Z52">
        <f t="shared" si="24"/>
        <v>0</v>
      </c>
      <c r="AA52">
        <f t="shared" si="24"/>
        <v>0</v>
      </c>
      <c r="AB52">
        <f t="shared" si="24"/>
        <v>0</v>
      </c>
      <c r="AC52">
        <f t="shared" si="24"/>
        <v>0</v>
      </c>
      <c r="AD52">
        <f t="shared" si="24"/>
        <v>0</v>
      </c>
      <c r="AE52">
        <f t="shared" si="24"/>
        <v>0</v>
      </c>
      <c r="AF52">
        <f t="shared" si="24"/>
        <v>0</v>
      </c>
      <c r="AG52">
        <f t="shared" si="24"/>
        <v>0</v>
      </c>
      <c r="AH52">
        <f t="shared" si="24"/>
        <v>0</v>
      </c>
      <c r="AI52">
        <f t="shared" si="24"/>
        <v>0</v>
      </c>
      <c r="AJ52">
        <f t="shared" si="24"/>
        <v>0</v>
      </c>
      <c r="AK52">
        <f t="shared" si="25"/>
        <v>0</v>
      </c>
      <c r="AL52">
        <f t="shared" si="25"/>
        <v>0</v>
      </c>
      <c r="AM52">
        <f t="shared" si="25"/>
        <v>0</v>
      </c>
      <c r="AN52">
        <f t="shared" si="25"/>
        <v>0</v>
      </c>
      <c r="AO52">
        <f t="shared" si="25"/>
        <v>0</v>
      </c>
      <c r="AP52">
        <f t="shared" si="25"/>
        <v>0</v>
      </c>
      <c r="AQ52">
        <f t="shared" si="25"/>
        <v>0</v>
      </c>
      <c r="AR52">
        <f t="shared" si="25"/>
        <v>0</v>
      </c>
      <c r="AS52">
        <f t="shared" si="25"/>
        <v>0</v>
      </c>
      <c r="AT52">
        <f t="shared" si="25"/>
        <v>0</v>
      </c>
      <c r="AU52">
        <f t="shared" si="25"/>
        <v>0</v>
      </c>
      <c r="AV52">
        <f t="shared" si="25"/>
        <v>0</v>
      </c>
      <c r="AW52">
        <f t="shared" si="25"/>
        <v>0</v>
      </c>
      <c r="AX52">
        <f t="shared" si="25"/>
        <v>0</v>
      </c>
      <c r="AY52">
        <f t="shared" si="26"/>
        <v>0</v>
      </c>
      <c r="AZ52">
        <f t="shared" si="26"/>
        <v>0</v>
      </c>
      <c r="BA52">
        <f t="shared" si="26"/>
        <v>0</v>
      </c>
      <c r="BB52">
        <f t="shared" si="26"/>
        <v>0</v>
      </c>
      <c r="BC52">
        <f t="shared" si="26"/>
        <v>0</v>
      </c>
      <c r="BD52">
        <f t="shared" si="26"/>
        <v>0</v>
      </c>
      <c r="BE52">
        <f t="shared" si="26"/>
        <v>0</v>
      </c>
      <c r="BF52">
        <f t="shared" si="26"/>
        <v>0</v>
      </c>
      <c r="BG52">
        <f t="shared" si="26"/>
        <v>0</v>
      </c>
      <c r="BH52">
        <f t="shared" si="26"/>
        <v>0</v>
      </c>
      <c r="BI52">
        <f t="shared" si="26"/>
        <v>0</v>
      </c>
      <c r="BJ52">
        <f t="shared" si="26"/>
        <v>0</v>
      </c>
      <c r="BK52">
        <f t="shared" si="26"/>
        <v>0</v>
      </c>
    </row>
    <row r="53" spans="1:63" ht="15">
      <c r="A53" t="s">
        <v>416</v>
      </c>
      <c r="C53" s="100"/>
      <c r="D53" s="101">
        <v>617</v>
      </c>
      <c r="E53" s="101"/>
      <c r="F53" s="102"/>
      <c r="G53">
        <v>1</v>
      </c>
      <c r="H53">
        <v>185</v>
      </c>
      <c r="J53">
        <f t="shared" si="10"/>
        <v>185</v>
      </c>
      <c r="U53">
        <f t="shared" si="24"/>
        <v>0</v>
      </c>
      <c r="V53">
        <f t="shared" si="24"/>
        <v>0</v>
      </c>
      <c r="W53">
        <f t="shared" si="24"/>
        <v>0</v>
      </c>
      <c r="X53">
        <f t="shared" si="24"/>
        <v>0</v>
      </c>
      <c r="Y53">
        <f t="shared" si="24"/>
        <v>0</v>
      </c>
      <c r="Z53">
        <f t="shared" si="24"/>
        <v>0</v>
      </c>
      <c r="AA53">
        <f t="shared" si="24"/>
        <v>0</v>
      </c>
      <c r="AB53">
        <f t="shared" si="24"/>
        <v>0</v>
      </c>
      <c r="AC53">
        <f t="shared" si="24"/>
        <v>0</v>
      </c>
      <c r="AD53">
        <f t="shared" si="24"/>
        <v>0</v>
      </c>
      <c r="AE53">
        <f t="shared" si="24"/>
        <v>0</v>
      </c>
      <c r="AF53">
        <f t="shared" si="24"/>
        <v>0</v>
      </c>
      <c r="AG53">
        <f t="shared" si="24"/>
        <v>0</v>
      </c>
      <c r="AH53">
        <f t="shared" si="24"/>
        <v>0</v>
      </c>
      <c r="AI53">
        <f t="shared" si="24"/>
        <v>0</v>
      </c>
      <c r="AJ53">
        <f t="shared" si="24"/>
        <v>0</v>
      </c>
      <c r="AK53">
        <f t="shared" si="25"/>
        <v>0</v>
      </c>
      <c r="AL53">
        <f t="shared" si="25"/>
        <v>0</v>
      </c>
      <c r="AM53">
        <f t="shared" si="25"/>
        <v>0</v>
      </c>
      <c r="AN53">
        <f t="shared" si="25"/>
        <v>0</v>
      </c>
      <c r="AO53">
        <f t="shared" si="25"/>
        <v>0</v>
      </c>
      <c r="AP53">
        <f t="shared" si="25"/>
        <v>0</v>
      </c>
      <c r="AQ53">
        <f t="shared" si="25"/>
        <v>0</v>
      </c>
      <c r="AR53">
        <f t="shared" si="25"/>
        <v>0</v>
      </c>
      <c r="AS53">
        <f t="shared" si="25"/>
        <v>0</v>
      </c>
      <c r="AT53">
        <f t="shared" si="25"/>
        <v>0</v>
      </c>
      <c r="AU53">
        <f t="shared" si="25"/>
        <v>0</v>
      </c>
      <c r="AV53">
        <f t="shared" si="25"/>
        <v>0</v>
      </c>
      <c r="AW53">
        <f t="shared" si="25"/>
        <v>0</v>
      </c>
      <c r="AX53">
        <f t="shared" si="25"/>
        <v>0</v>
      </c>
      <c r="AY53">
        <f t="shared" si="26"/>
        <v>0</v>
      </c>
      <c r="AZ53">
        <f t="shared" si="26"/>
        <v>0</v>
      </c>
      <c r="BA53">
        <f t="shared" si="26"/>
        <v>0</v>
      </c>
      <c r="BB53">
        <f t="shared" si="26"/>
        <v>0</v>
      </c>
      <c r="BC53">
        <f t="shared" si="26"/>
        <v>0</v>
      </c>
      <c r="BD53">
        <f t="shared" si="26"/>
        <v>0</v>
      </c>
      <c r="BE53">
        <f t="shared" si="26"/>
        <v>0</v>
      </c>
      <c r="BF53">
        <f t="shared" si="26"/>
        <v>0</v>
      </c>
      <c r="BG53">
        <f t="shared" si="26"/>
        <v>0</v>
      </c>
      <c r="BH53">
        <f t="shared" si="26"/>
        <v>0</v>
      </c>
      <c r="BI53">
        <f t="shared" si="26"/>
        <v>0</v>
      </c>
      <c r="BJ53">
        <f t="shared" si="26"/>
        <v>0</v>
      </c>
      <c r="BK53">
        <f t="shared" si="26"/>
        <v>0</v>
      </c>
    </row>
    <row r="54" spans="1:63" s="128" customFormat="1" ht="15.75" thickBot="1">
      <c r="A54" s="146" t="s">
        <v>417</v>
      </c>
      <c r="B54" s="146"/>
      <c r="C54" s="146"/>
      <c r="D54" s="147">
        <f>SUMPRODUCT(D46:D53,J46:J53)/J54</f>
        <v>246.60157790927022</v>
      </c>
      <c r="E54" s="146"/>
      <c r="F54" s="146"/>
      <c r="J54" s="128">
        <f>SUM(J46:J53)</f>
        <v>2535</v>
      </c>
      <c r="M54" s="137">
        <v>0.01</v>
      </c>
      <c r="U54" s="128">
        <v>0</v>
      </c>
      <c r="V54" s="128">
        <v>0</v>
      </c>
      <c r="W54" s="128">
        <v>0</v>
      </c>
      <c r="X54" s="128">
        <f>-1100/2</f>
        <v>-550</v>
      </c>
      <c r="Y54" s="128">
        <f>X54</f>
        <v>-550</v>
      </c>
      <c r="Z54" s="128">
        <v>0</v>
      </c>
      <c r="AA54" s="128">
        <v>0</v>
      </c>
      <c r="AB54" s="128">
        <v>0</v>
      </c>
      <c r="AC54" s="128">
        <f>-45/2</f>
        <v>-22.5</v>
      </c>
      <c r="AD54" s="128">
        <f>AC54</f>
        <v>-22.5</v>
      </c>
      <c r="AE54" s="128">
        <v>0</v>
      </c>
      <c r="AF54" s="128">
        <v>0</v>
      </c>
      <c r="AG54" s="128">
        <v>0</v>
      </c>
      <c r="AH54" s="128">
        <v>0</v>
      </c>
      <c r="AI54" s="128">
        <v>0</v>
      </c>
      <c r="AJ54" s="128">
        <v>-400</v>
      </c>
      <c r="AK54" s="128">
        <v>0</v>
      </c>
      <c r="AL54" s="128">
        <v>0</v>
      </c>
      <c r="AM54" s="128">
        <v>0</v>
      </c>
      <c r="AN54" s="128">
        <v>0</v>
      </c>
      <c r="AO54" s="128">
        <v>0</v>
      </c>
      <c r="AP54" s="128">
        <v>0</v>
      </c>
      <c r="AQ54" s="128">
        <v>0</v>
      </c>
      <c r="AR54" s="128">
        <v>0</v>
      </c>
      <c r="AS54" s="128">
        <v>0</v>
      </c>
      <c r="AT54" s="128">
        <v>0</v>
      </c>
      <c r="AU54" s="128">
        <v>0</v>
      </c>
      <c r="AV54" s="128">
        <v>0</v>
      </c>
      <c r="AW54" s="128">
        <v>0</v>
      </c>
      <c r="AX54" s="128">
        <v>0</v>
      </c>
      <c r="AY54" s="128">
        <v>0</v>
      </c>
      <c r="AZ54" s="128">
        <v>0</v>
      </c>
      <c r="BA54" s="128">
        <v>0</v>
      </c>
      <c r="BB54" s="128">
        <v>0</v>
      </c>
      <c r="BC54" s="128">
        <v>0</v>
      </c>
      <c r="BD54" s="128">
        <v>0</v>
      </c>
      <c r="BE54" s="128">
        <v>0</v>
      </c>
      <c r="BF54" s="128">
        <v>0</v>
      </c>
      <c r="BG54" s="128">
        <v>0</v>
      </c>
      <c r="BH54" s="128">
        <v>0</v>
      </c>
      <c r="BI54" s="128">
        <v>0</v>
      </c>
      <c r="BJ54" s="128">
        <v>0</v>
      </c>
      <c r="BK54" s="128">
        <v>0</v>
      </c>
    </row>
    <row r="55" spans="1:63" ht="13.5" thickTop="1"/>
    <row r="56" spans="1:63">
      <c r="J56" s="24">
        <f>J45+J44+J40+J35+J30+J29</f>
        <v>42350.444444444445</v>
      </c>
    </row>
    <row r="57" spans="1:63">
      <c r="J57" s="24">
        <f>J56+1500</f>
        <v>43850.444444444445</v>
      </c>
    </row>
    <row r="72" spans="1:6">
      <c r="A72" s="8"/>
      <c r="B72" s="8"/>
      <c r="C72" s="8"/>
      <c r="D72" s="8"/>
      <c r="E72" s="8"/>
      <c r="F72" s="8"/>
    </row>
    <row r="73" spans="1:6">
      <c r="A73" s="8"/>
      <c r="B73" s="8"/>
      <c r="C73" s="8"/>
      <c r="D73" s="8"/>
      <c r="E73" s="8"/>
      <c r="F73" s="8"/>
    </row>
    <row r="74" spans="1:6">
      <c r="A74" s="8"/>
      <c r="B74" s="8"/>
      <c r="C74" s="8"/>
      <c r="D74" s="8"/>
      <c r="E74" s="8"/>
      <c r="F74" s="8"/>
    </row>
    <row r="75" spans="1:6">
      <c r="A75" s="8"/>
      <c r="B75" s="8"/>
      <c r="C75" s="8"/>
      <c r="D75" s="8"/>
      <c r="E75" s="8"/>
      <c r="F75" s="8"/>
    </row>
    <row r="77" spans="1:6">
      <c r="A77" s="8"/>
      <c r="B77" s="8"/>
      <c r="C77" s="8"/>
      <c r="D77" s="8"/>
      <c r="E77" s="8"/>
      <c r="F77" s="8"/>
    </row>
    <row r="78" spans="1:6">
      <c r="A78" s="8"/>
      <c r="B78" s="8"/>
      <c r="C78" s="8"/>
      <c r="D78" s="8"/>
      <c r="E78" s="8"/>
      <c r="F78" s="8"/>
    </row>
  </sheetData>
  <pageMargins left="0.7" right="0.7" top="0.75" bottom="0.75" header="0.3" footer="0.3"/>
  <drawing r:id="rId1"/>
  <legacyDrawing r:id="rId2"/>
</worksheet>
</file>

<file path=xl/worksheets/sheet15.xml><?xml version="1.0" encoding="utf-8"?>
<worksheet xmlns="http://schemas.openxmlformats.org/spreadsheetml/2006/main" xmlns:r="http://schemas.openxmlformats.org/officeDocument/2006/relationships">
  <sheetPr codeName="Sheet13">
    <tabColor theme="2" tint="-0.499984740745262"/>
  </sheetPr>
  <dimension ref="B3:G11"/>
  <sheetViews>
    <sheetView workbookViewId="0">
      <selection activeCell="C22" sqref="C22"/>
    </sheetView>
  </sheetViews>
  <sheetFormatPr defaultRowHeight="12.75"/>
  <cols>
    <col min="2" max="2" width="21" customWidth="1"/>
    <col min="3" max="3" width="10.5703125" customWidth="1"/>
    <col min="4" max="4" width="11.28515625" bestFit="1" customWidth="1"/>
    <col min="5" max="7" width="9.5703125" bestFit="1" customWidth="1"/>
  </cols>
  <sheetData>
    <row r="3" spans="2:7" ht="20.25" thickBot="1">
      <c r="B3" s="283" t="s">
        <v>607</v>
      </c>
      <c r="C3" s="283"/>
      <c r="D3" s="283"/>
      <c r="E3" s="283"/>
      <c r="F3" s="283"/>
      <c r="G3" s="16" t="s">
        <v>608</v>
      </c>
    </row>
    <row r="4" spans="2:7" ht="13.5" thickTop="1">
      <c r="B4" s="18"/>
      <c r="C4" s="18"/>
      <c r="D4" s="18">
        <v>2009</v>
      </c>
      <c r="E4" s="18">
        <v>2008</v>
      </c>
      <c r="F4" s="18">
        <v>2007</v>
      </c>
      <c r="G4" s="18">
        <v>2006</v>
      </c>
    </row>
    <row r="5" spans="2:7">
      <c r="B5" s="18" t="s">
        <v>418</v>
      </c>
      <c r="C5" s="18" t="s">
        <v>419</v>
      </c>
      <c r="D5" s="16">
        <v>19.100000000000001</v>
      </c>
      <c r="E5" s="16">
        <v>18.510000000000002</v>
      </c>
      <c r="F5" s="16">
        <v>19.059999999999999</v>
      </c>
      <c r="G5" s="16">
        <v>19.579999999999998</v>
      </c>
    </row>
    <row r="6" spans="2:7">
      <c r="B6" s="18" t="s">
        <v>420</v>
      </c>
      <c r="C6" s="18" t="s">
        <v>421</v>
      </c>
      <c r="D6" s="16">
        <v>121.2</v>
      </c>
      <c r="E6" s="16">
        <v>125.3</v>
      </c>
      <c r="F6" s="16">
        <v>119.1</v>
      </c>
      <c r="G6" s="16">
        <v>112.1</v>
      </c>
    </row>
    <row r="7" spans="2:7" ht="15">
      <c r="B7" s="18" t="s">
        <v>422</v>
      </c>
      <c r="C7" s="18" t="s">
        <v>31</v>
      </c>
      <c r="D7" s="148">
        <f>D6*D5</f>
        <v>2314.92</v>
      </c>
      <c r="E7" s="148">
        <f>E6*E5</f>
        <v>2319.3030000000003</v>
      </c>
      <c r="F7" s="148">
        <f>F6*F5</f>
        <v>2270.0459999999998</v>
      </c>
      <c r="G7" s="148">
        <f>G6*G5</f>
        <v>2194.9179999999997</v>
      </c>
    </row>
    <row r="8" spans="2:7" ht="15">
      <c r="B8" s="18" t="s">
        <v>423</v>
      </c>
      <c r="C8" s="18" t="s">
        <v>32</v>
      </c>
      <c r="D8" s="28">
        <v>211941</v>
      </c>
      <c r="E8" s="149">
        <v>222908</v>
      </c>
      <c r="F8" s="149">
        <v>215211</v>
      </c>
      <c r="G8" s="149">
        <v>206606</v>
      </c>
    </row>
    <row r="9" spans="2:7" ht="15">
      <c r="B9" s="18" t="s">
        <v>423</v>
      </c>
      <c r="C9" s="18" t="s">
        <v>31</v>
      </c>
      <c r="D9" s="148">
        <f>D8*3.6/1000</f>
        <v>762.98759999999993</v>
      </c>
      <c r="E9" s="148">
        <f>E8*3.6/1000</f>
        <v>802.4688000000001</v>
      </c>
      <c r="F9" s="148">
        <f>F8*3.6/1000</f>
        <v>774.75959999999998</v>
      </c>
      <c r="G9" s="148">
        <f>G8*3.6/1000</f>
        <v>743.78160000000003</v>
      </c>
    </row>
    <row r="10" spans="2:7" ht="15">
      <c r="B10" s="18" t="s">
        <v>424</v>
      </c>
      <c r="C10" s="18"/>
      <c r="D10" s="150">
        <f>D9/D7</f>
        <v>0.32959566637291998</v>
      </c>
      <c r="E10" s="150">
        <f>E9/E7</f>
        <v>0.34599567197558923</v>
      </c>
      <c r="F10" s="150">
        <f>F9/F7</f>
        <v>0.34129687239818052</v>
      </c>
      <c r="G10" s="150">
        <f>G9/G7</f>
        <v>0.33886532435380279</v>
      </c>
    </row>
    <row r="11" spans="2:7">
      <c r="B11" s="18" t="s">
        <v>425</v>
      </c>
      <c r="C11" s="16"/>
      <c r="D11" s="151">
        <f>AVERAGE(D10:G10)</f>
        <v>0.33893838377512309</v>
      </c>
      <c r="E11" s="16"/>
      <c r="F11" s="16"/>
      <c r="G11" s="16"/>
    </row>
  </sheetData>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sheetPr codeName="Sheet9">
    <tabColor theme="7" tint="0.39997558519241921"/>
  </sheetPr>
  <dimension ref="A3:M33"/>
  <sheetViews>
    <sheetView workbookViewId="0"/>
  </sheetViews>
  <sheetFormatPr defaultRowHeight="12.75"/>
  <sheetData>
    <row r="3" spans="1:6" ht="20.25" thickBot="1">
      <c r="A3" s="283" t="s">
        <v>609</v>
      </c>
      <c r="B3" s="283"/>
      <c r="C3" s="283"/>
      <c r="D3" s="283"/>
      <c r="E3" s="283"/>
      <c r="F3" s="283"/>
    </row>
    <row r="4" spans="1:6" ht="13.5" thickTop="1"/>
    <row r="5" spans="1:6">
      <c r="A5" t="s">
        <v>428</v>
      </c>
    </row>
    <row r="6" spans="1:6">
      <c r="A6" t="s">
        <v>429</v>
      </c>
    </row>
    <row r="8" spans="1:6">
      <c r="A8" t="s">
        <v>430</v>
      </c>
    </row>
    <row r="10" spans="1:6">
      <c r="A10" t="s">
        <v>431</v>
      </c>
    </row>
    <row r="12" spans="1:6">
      <c r="A12" t="s">
        <v>432</v>
      </c>
    </row>
    <row r="14" spans="1:6">
      <c r="A14" t="s">
        <v>433</v>
      </c>
    </row>
    <row r="16" spans="1:6">
      <c r="A16" t="s">
        <v>434</v>
      </c>
    </row>
    <row r="19" spans="2:13">
      <c r="B19">
        <v>1</v>
      </c>
      <c r="C19">
        <v>2</v>
      </c>
      <c r="D19">
        <v>3</v>
      </c>
      <c r="E19">
        <v>4</v>
      </c>
      <c r="F19">
        <v>5</v>
      </c>
      <c r="G19">
        <v>6</v>
      </c>
      <c r="H19">
        <v>7</v>
      </c>
      <c r="I19">
        <v>8</v>
      </c>
      <c r="J19">
        <v>9</v>
      </c>
      <c r="K19">
        <v>10</v>
      </c>
      <c r="L19">
        <v>11</v>
      </c>
      <c r="M19">
        <v>12</v>
      </c>
    </row>
    <row r="20" spans="2:13">
      <c r="C20" t="s">
        <v>435</v>
      </c>
      <c r="G20" t="s">
        <v>436</v>
      </c>
      <c r="J20" t="s">
        <v>437</v>
      </c>
    </row>
    <row r="21" spans="2:13">
      <c r="C21" t="s">
        <v>438</v>
      </c>
      <c r="D21" t="s">
        <v>439</v>
      </c>
      <c r="E21" t="s">
        <v>440</v>
      </c>
      <c r="F21" t="s">
        <v>441</v>
      </c>
      <c r="G21" t="s">
        <v>442</v>
      </c>
      <c r="H21" t="s">
        <v>443</v>
      </c>
      <c r="I21" t="s">
        <v>444</v>
      </c>
      <c r="J21" t="s">
        <v>442</v>
      </c>
      <c r="K21" t="s">
        <v>443</v>
      </c>
      <c r="L21" t="s">
        <v>444</v>
      </c>
      <c r="M21" t="s">
        <v>445</v>
      </c>
    </row>
    <row r="22" spans="2:13">
      <c r="B22">
        <v>1998</v>
      </c>
      <c r="H22">
        <v>553.16</v>
      </c>
      <c r="I22">
        <v>916.33</v>
      </c>
    </row>
    <row r="23" spans="2:13">
      <c r="B23">
        <v>1999</v>
      </c>
      <c r="H23">
        <v>611.30999999999995</v>
      </c>
      <c r="I23">
        <v>989.21</v>
      </c>
    </row>
    <row r="24" spans="2:13" ht="14.25">
      <c r="B24">
        <v>2000</v>
      </c>
      <c r="C24">
        <v>132.7416666666667</v>
      </c>
      <c r="E24" s="152">
        <v>96</v>
      </c>
      <c r="G24">
        <v>639.26</v>
      </c>
      <c r="H24">
        <v>693.53</v>
      </c>
      <c r="I24" s="5">
        <v>1048.6300000000001</v>
      </c>
    </row>
    <row r="25" spans="2:13" ht="14.25">
      <c r="B25">
        <v>2001</v>
      </c>
      <c r="C25">
        <v>134.19166666666663</v>
      </c>
      <c r="E25" s="152">
        <v>95.8</v>
      </c>
      <c r="G25">
        <v>770.56</v>
      </c>
      <c r="H25">
        <v>860.31</v>
      </c>
      <c r="I25" s="5">
        <v>1239.1500000000001</v>
      </c>
    </row>
    <row r="26" spans="2:13" ht="14.25">
      <c r="B26">
        <v>2002</v>
      </c>
      <c r="C26">
        <v>131.11666666666665</v>
      </c>
      <c r="E26" s="268">
        <v>95.8</v>
      </c>
      <c r="G26">
        <v>990.31</v>
      </c>
      <c r="H26" s="5">
        <v>1051.6500000000001</v>
      </c>
      <c r="I26" s="5">
        <v>1575.84</v>
      </c>
    </row>
    <row r="27" spans="2:13" ht="14.25">
      <c r="B27" s="269">
        <v>2003</v>
      </c>
      <c r="C27" s="270">
        <v>138.125</v>
      </c>
      <c r="D27" s="270">
        <v>93.936666666666682</v>
      </c>
      <c r="E27" s="271">
        <v>96.8</v>
      </c>
      <c r="F27" s="270">
        <v>124.8</v>
      </c>
      <c r="G27" s="270">
        <v>853.06</v>
      </c>
      <c r="H27" s="270">
        <v>756.47</v>
      </c>
      <c r="I27" s="272">
        <v>1234.04</v>
      </c>
      <c r="J27">
        <f>AVERAGE(G26:G28)</f>
        <v>881.57333333333327</v>
      </c>
      <c r="K27">
        <f>AVERAGE(H26:H28)</f>
        <v>817.70333333333338</v>
      </c>
      <c r="L27">
        <f>AVERAGE(I26:I28)</f>
        <v>1330.22</v>
      </c>
      <c r="M27">
        <v>100</v>
      </c>
    </row>
    <row r="28" spans="2:13" ht="14.25">
      <c r="B28" s="203">
        <v>2004</v>
      </c>
      <c r="C28" s="204">
        <v>146.67500000000004</v>
      </c>
      <c r="D28" s="204">
        <v>96.098333333333358</v>
      </c>
      <c r="E28" s="273">
        <v>98.2</v>
      </c>
      <c r="F28" s="204">
        <v>127.7</v>
      </c>
      <c r="G28" s="204">
        <v>801.35</v>
      </c>
      <c r="H28" s="204">
        <v>644.99</v>
      </c>
      <c r="I28" s="274">
        <v>1180.78</v>
      </c>
      <c r="J28">
        <f t="shared" ref="J28:L32" si="0">AVERAGE(G27:G29)</f>
        <v>815.23333333333323</v>
      </c>
      <c r="K28">
        <f t="shared" si="0"/>
        <v>679.23</v>
      </c>
      <c r="L28">
        <f t="shared" si="0"/>
        <v>1190.5566666666666</v>
      </c>
      <c r="M28">
        <v>100</v>
      </c>
    </row>
    <row r="29" spans="2:13" ht="14.25">
      <c r="B29" s="203">
        <v>2005</v>
      </c>
      <c r="C29" s="204">
        <v>157.4</v>
      </c>
      <c r="D29" s="204">
        <v>99.999166666666667</v>
      </c>
      <c r="E29" s="273">
        <v>100</v>
      </c>
      <c r="F29" s="204">
        <v>132.4</v>
      </c>
      <c r="G29" s="204">
        <v>791.29</v>
      </c>
      <c r="H29" s="204">
        <v>636.23</v>
      </c>
      <c r="I29" s="274">
        <v>1156.8499999999999</v>
      </c>
      <c r="J29">
        <f t="shared" si="0"/>
        <v>814.73666666666668</v>
      </c>
      <c r="K29">
        <f t="shared" si="0"/>
        <v>652.64666666666665</v>
      </c>
      <c r="L29">
        <f t="shared" si="0"/>
        <v>1195.7566666666669</v>
      </c>
      <c r="M29">
        <v>100</v>
      </c>
    </row>
    <row r="30" spans="2:13" ht="14.25">
      <c r="B30" s="203">
        <v>2006</v>
      </c>
      <c r="C30" s="204">
        <v>164.75000000000003</v>
      </c>
      <c r="D30" s="204">
        <v>105.07666666666665</v>
      </c>
      <c r="E30" s="273">
        <v>102.2</v>
      </c>
      <c r="F30" s="204">
        <v>142.6</v>
      </c>
      <c r="G30" s="204">
        <v>851.57</v>
      </c>
      <c r="H30" s="204">
        <v>676.72</v>
      </c>
      <c r="I30" s="274">
        <v>1249.6400000000001</v>
      </c>
      <c r="J30">
        <f t="shared" si="0"/>
        <v>869.56333333333339</v>
      </c>
      <c r="K30">
        <f t="shared" si="0"/>
        <v>672.79666666666674</v>
      </c>
      <c r="L30">
        <f t="shared" si="0"/>
        <v>1272.6499999999999</v>
      </c>
      <c r="M30">
        <v>100</v>
      </c>
    </row>
    <row r="31" spans="2:13" ht="14.25">
      <c r="B31" s="203">
        <v>2007</v>
      </c>
      <c r="C31" s="204">
        <v>172.65833333333333</v>
      </c>
      <c r="D31" s="204">
        <v>107.89916666666666</v>
      </c>
      <c r="E31" s="273">
        <v>104.8</v>
      </c>
      <c r="F31" s="204">
        <v>158.19999999999999</v>
      </c>
      <c r="G31" s="204">
        <v>965.83</v>
      </c>
      <c r="H31" s="204">
        <v>705.44</v>
      </c>
      <c r="I31" s="274">
        <v>1411.46</v>
      </c>
      <c r="J31">
        <f t="shared" si="0"/>
        <v>1007.5233333333334</v>
      </c>
      <c r="K31">
        <f t="shared" si="0"/>
        <v>735.77666666666664</v>
      </c>
      <c r="L31">
        <f t="shared" si="0"/>
        <v>1391.2133333333334</v>
      </c>
      <c r="M31">
        <v>100</v>
      </c>
    </row>
    <row r="32" spans="2:13" ht="14.25">
      <c r="B32" s="203">
        <v>2008</v>
      </c>
      <c r="C32" s="204">
        <v>189.5916666666667</v>
      </c>
      <c r="D32" s="204">
        <v>114.42416666666668</v>
      </c>
      <c r="E32" s="273">
        <v>112.5</v>
      </c>
      <c r="F32" s="204">
        <v>180.8</v>
      </c>
      <c r="G32" s="275">
        <v>1205.17</v>
      </c>
      <c r="H32" s="204">
        <v>825.17</v>
      </c>
      <c r="I32" s="274">
        <v>1512.54</v>
      </c>
      <c r="J32">
        <f t="shared" si="0"/>
        <v>1087</v>
      </c>
      <c r="K32">
        <f t="shared" si="0"/>
        <v>753.53666666666675</v>
      </c>
      <c r="L32">
        <f t="shared" si="0"/>
        <v>1378</v>
      </c>
      <c r="M32">
        <v>100</v>
      </c>
    </row>
    <row r="33" spans="2:9">
      <c r="B33" s="205" t="s">
        <v>446</v>
      </c>
      <c r="C33" s="206"/>
      <c r="D33" s="206"/>
      <c r="E33" s="206"/>
      <c r="F33" s="206"/>
      <c r="G33" s="206">
        <v>1090</v>
      </c>
      <c r="H33" s="206">
        <v>730</v>
      </c>
      <c r="I33" s="276">
        <v>1210</v>
      </c>
    </row>
  </sheetData>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sheetPr codeName="Sheet27">
    <tabColor theme="7" tint="0.39997558519241921"/>
  </sheetPr>
  <dimension ref="B3:K28"/>
  <sheetViews>
    <sheetView workbookViewId="0">
      <selection activeCell="C6" sqref="C6"/>
    </sheetView>
  </sheetViews>
  <sheetFormatPr defaultRowHeight="12.75"/>
  <cols>
    <col min="2" max="2" width="22.7109375" customWidth="1"/>
    <col min="4" max="4" width="10" customWidth="1"/>
    <col min="5" max="6" width="10.7109375" customWidth="1"/>
    <col min="9" max="9" width="12.7109375" customWidth="1"/>
  </cols>
  <sheetData>
    <row r="3" spans="2:11" ht="20.25" thickBot="1">
      <c r="B3" s="283" t="s">
        <v>610</v>
      </c>
      <c r="C3" s="283"/>
      <c r="D3" s="283"/>
      <c r="E3" s="283"/>
      <c r="F3" s="283"/>
    </row>
    <row r="4" spans="2:11" ht="13.5" thickTop="1"/>
    <row r="5" spans="2:11" ht="15">
      <c r="B5" s="11" t="s">
        <v>611</v>
      </c>
      <c r="C5" s="230">
        <v>100000</v>
      </c>
      <c r="E5" s="17" t="s">
        <v>326</v>
      </c>
      <c r="F5" s="80" t="s">
        <v>327</v>
      </c>
      <c r="G5">
        <f>SUMPRODUCT(F7:F16,G7:G16)</f>
        <v>0.43709999999999993</v>
      </c>
      <c r="I5" s="17" t="s">
        <v>328</v>
      </c>
      <c r="J5" s="80" t="s">
        <v>327</v>
      </c>
      <c r="K5">
        <f>SUMPRODUCT(J7:J16,K7:K16)</f>
        <v>0.38874999999999993</v>
      </c>
    </row>
    <row r="6" spans="2:11" ht="15">
      <c r="E6" s="51" t="s">
        <v>159</v>
      </c>
      <c r="F6" s="51" t="s">
        <v>161</v>
      </c>
      <c r="G6" s="51" t="s">
        <v>160</v>
      </c>
      <c r="I6" s="51" t="s">
        <v>159</v>
      </c>
      <c r="J6" s="51" t="s">
        <v>161</v>
      </c>
    </row>
    <row r="7" spans="2:11">
      <c r="E7">
        <v>1</v>
      </c>
      <c r="F7" s="229">
        <v>0</v>
      </c>
      <c r="G7" s="230">
        <v>0.05</v>
      </c>
      <c r="I7">
        <v>1</v>
      </c>
      <c r="J7" s="230">
        <v>1.61E-2</v>
      </c>
      <c r="K7" s="230">
        <v>0.05</v>
      </c>
    </row>
    <row r="8" spans="2:11">
      <c r="E8">
        <f t="shared" ref="E8:E16" si="0">E7+1</f>
        <v>2</v>
      </c>
      <c r="F8" s="229">
        <v>0.1129</v>
      </c>
      <c r="G8" s="230">
        <v>0.15</v>
      </c>
      <c r="I8">
        <f t="shared" ref="I8:I16" si="1">I7+1</f>
        <v>2</v>
      </c>
      <c r="J8" s="230">
        <v>0.1613</v>
      </c>
      <c r="K8" s="230">
        <v>0.15</v>
      </c>
    </row>
    <row r="9" spans="2:11">
      <c r="E9">
        <f t="shared" si="0"/>
        <v>3</v>
      </c>
      <c r="F9" s="229">
        <v>0.2258</v>
      </c>
      <c r="G9" s="230">
        <v>0.25</v>
      </c>
      <c r="I9">
        <f t="shared" si="1"/>
        <v>3</v>
      </c>
      <c r="J9" s="230">
        <v>0.129</v>
      </c>
      <c r="K9" s="230">
        <v>0.25</v>
      </c>
    </row>
    <row r="10" spans="2:11">
      <c r="E10">
        <f t="shared" si="0"/>
        <v>4</v>
      </c>
      <c r="F10" s="229">
        <v>9.6799999999999997E-2</v>
      </c>
      <c r="G10" s="230">
        <f>G9+0.1</f>
        <v>0.35</v>
      </c>
      <c r="I10">
        <f t="shared" si="1"/>
        <v>4</v>
      </c>
      <c r="J10" s="230">
        <v>0.19350000000000001</v>
      </c>
      <c r="K10" s="230">
        <f>K9+0.1</f>
        <v>0.35</v>
      </c>
    </row>
    <row r="11" spans="2:11">
      <c r="E11">
        <f t="shared" si="0"/>
        <v>5</v>
      </c>
      <c r="F11" s="229">
        <v>0.129</v>
      </c>
      <c r="G11" s="230">
        <f t="shared" ref="G11:G16" si="2">G10+0.1</f>
        <v>0.44999999999999996</v>
      </c>
      <c r="I11">
        <f t="shared" si="1"/>
        <v>5</v>
      </c>
      <c r="J11" s="230">
        <v>0.2742</v>
      </c>
      <c r="K11" s="230">
        <f t="shared" ref="K11:K16" si="3">K10+0.1</f>
        <v>0.44999999999999996</v>
      </c>
    </row>
    <row r="12" spans="2:11">
      <c r="E12">
        <f t="shared" si="0"/>
        <v>6</v>
      </c>
      <c r="F12" s="229">
        <v>0.2097</v>
      </c>
      <c r="G12" s="230">
        <f t="shared" si="2"/>
        <v>0.54999999999999993</v>
      </c>
      <c r="I12">
        <f t="shared" si="1"/>
        <v>6</v>
      </c>
      <c r="J12" s="230">
        <v>9.6799999999999997E-2</v>
      </c>
      <c r="K12" s="230">
        <f t="shared" si="3"/>
        <v>0.54999999999999993</v>
      </c>
    </row>
    <row r="13" spans="2:11">
      <c r="E13">
        <f t="shared" si="0"/>
        <v>7</v>
      </c>
      <c r="F13" s="229">
        <v>0.129</v>
      </c>
      <c r="G13" s="230">
        <f t="shared" si="2"/>
        <v>0.64999999999999991</v>
      </c>
      <c r="I13">
        <f t="shared" si="1"/>
        <v>7</v>
      </c>
      <c r="J13" s="230">
        <v>9.6799999999999997E-2</v>
      </c>
      <c r="K13" s="230">
        <f t="shared" si="3"/>
        <v>0.64999999999999991</v>
      </c>
    </row>
    <row r="14" spans="2:11">
      <c r="E14">
        <f t="shared" si="0"/>
        <v>8</v>
      </c>
      <c r="F14" s="229">
        <v>9.6799999999999997E-2</v>
      </c>
      <c r="G14" s="230">
        <f t="shared" si="2"/>
        <v>0.74999999999999989</v>
      </c>
      <c r="I14">
        <f t="shared" si="1"/>
        <v>8</v>
      </c>
      <c r="J14" s="230">
        <v>3.2300000000000002E-2</v>
      </c>
      <c r="K14" s="230">
        <f t="shared" si="3"/>
        <v>0.74999999999999989</v>
      </c>
    </row>
    <row r="15" spans="2:11">
      <c r="E15">
        <f t="shared" si="0"/>
        <v>9</v>
      </c>
      <c r="F15" s="229">
        <v>0</v>
      </c>
      <c r="G15" s="230">
        <f t="shared" si="2"/>
        <v>0.84999999999999987</v>
      </c>
      <c r="I15">
        <f t="shared" si="1"/>
        <v>9</v>
      </c>
      <c r="J15" s="230">
        <v>0</v>
      </c>
      <c r="K15" s="230">
        <f t="shared" si="3"/>
        <v>0.84999999999999987</v>
      </c>
    </row>
    <row r="16" spans="2:11">
      <c r="E16">
        <f t="shared" si="0"/>
        <v>10</v>
      </c>
      <c r="F16" s="229">
        <v>0</v>
      </c>
      <c r="G16" s="230">
        <f t="shared" si="2"/>
        <v>0.94999999999999984</v>
      </c>
      <c r="I16">
        <f t="shared" si="1"/>
        <v>10</v>
      </c>
      <c r="J16" s="230">
        <v>0</v>
      </c>
      <c r="K16" s="230">
        <f t="shared" si="3"/>
        <v>0.94999999999999984</v>
      </c>
    </row>
    <row r="19" spans="7:7">
      <c r="G19" s="52"/>
    </row>
    <row r="20" spans="7:7">
      <c r="G20" s="52"/>
    </row>
    <row r="21" spans="7:7">
      <c r="G21" s="52"/>
    </row>
    <row r="22" spans="7:7">
      <c r="G22" s="52"/>
    </row>
    <row r="23" spans="7:7">
      <c r="G23" s="52"/>
    </row>
    <row r="24" spans="7:7">
      <c r="G24" s="52"/>
    </row>
    <row r="25" spans="7:7">
      <c r="G25" s="52"/>
    </row>
    <row r="26" spans="7:7">
      <c r="G26" s="52"/>
    </row>
    <row r="27" spans="7:7">
      <c r="G27" s="52"/>
    </row>
    <row r="28" spans="7:7">
      <c r="G28" s="52"/>
    </row>
  </sheetData>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sheetPr codeName="Sheet2"/>
  <dimension ref="B1:Y63"/>
  <sheetViews>
    <sheetView topLeftCell="A17" workbookViewId="0">
      <selection activeCell="D29" sqref="D29:O29"/>
    </sheetView>
  </sheetViews>
  <sheetFormatPr defaultRowHeight="12.75"/>
  <cols>
    <col min="2" max="2" width="21.7109375" customWidth="1"/>
    <col min="4" max="24" width="4.140625" customWidth="1"/>
  </cols>
  <sheetData>
    <row r="1" spans="2:25">
      <c r="B1" s="4" t="s">
        <v>720</v>
      </c>
      <c r="D1" s="58">
        <v>2010</v>
      </c>
      <c r="E1" s="58">
        <f>D1+1</f>
        <v>2011</v>
      </c>
      <c r="F1" s="58">
        <f t="shared" ref="F1:X1" si="0">E1+1</f>
        <v>2012</v>
      </c>
      <c r="G1" s="58">
        <f t="shared" si="0"/>
        <v>2013</v>
      </c>
      <c r="H1" s="58">
        <f t="shared" si="0"/>
        <v>2014</v>
      </c>
      <c r="I1" s="58">
        <f t="shared" si="0"/>
        <v>2015</v>
      </c>
      <c r="J1" s="58">
        <f t="shared" si="0"/>
        <v>2016</v>
      </c>
      <c r="K1" s="58">
        <f t="shared" si="0"/>
        <v>2017</v>
      </c>
      <c r="L1" s="58">
        <f t="shared" si="0"/>
        <v>2018</v>
      </c>
      <c r="M1" s="58">
        <f t="shared" si="0"/>
        <v>2019</v>
      </c>
      <c r="N1" s="58">
        <f t="shared" si="0"/>
        <v>2020</v>
      </c>
      <c r="O1" s="58">
        <f t="shared" si="0"/>
        <v>2021</v>
      </c>
      <c r="P1" s="58">
        <f t="shared" si="0"/>
        <v>2022</v>
      </c>
      <c r="Q1" s="58">
        <f t="shared" si="0"/>
        <v>2023</v>
      </c>
      <c r="R1" s="58">
        <f t="shared" si="0"/>
        <v>2024</v>
      </c>
      <c r="S1" s="58">
        <f t="shared" si="0"/>
        <v>2025</v>
      </c>
      <c r="T1" s="58">
        <f t="shared" si="0"/>
        <v>2026</v>
      </c>
      <c r="U1" s="58">
        <f t="shared" si="0"/>
        <v>2027</v>
      </c>
      <c r="V1" s="58">
        <f t="shared" si="0"/>
        <v>2028</v>
      </c>
      <c r="W1" s="58">
        <f t="shared" si="0"/>
        <v>2029</v>
      </c>
      <c r="X1" s="58">
        <f t="shared" si="0"/>
        <v>2030</v>
      </c>
    </row>
    <row r="2" spans="2:25">
      <c r="B2" s="56" t="s">
        <v>15</v>
      </c>
      <c r="C2" s="60">
        <v>120</v>
      </c>
      <c r="D2" s="186">
        <v>0</v>
      </c>
      <c r="E2" s="186">
        <v>9</v>
      </c>
      <c r="F2" s="186">
        <v>0</v>
      </c>
      <c r="G2" s="186">
        <v>0</v>
      </c>
      <c r="H2" s="186">
        <v>0</v>
      </c>
      <c r="I2" s="186">
        <v>0</v>
      </c>
      <c r="J2" s="186">
        <v>0</v>
      </c>
      <c r="K2" s="186">
        <v>0</v>
      </c>
      <c r="L2" s="186">
        <v>0</v>
      </c>
      <c r="M2" s="186">
        <v>0</v>
      </c>
      <c r="N2" s="186">
        <v>0</v>
      </c>
      <c r="O2" s="186">
        <v>3</v>
      </c>
      <c r="P2" s="186">
        <v>5</v>
      </c>
      <c r="Q2" s="186">
        <v>5</v>
      </c>
      <c r="R2" s="186">
        <v>5</v>
      </c>
      <c r="S2" s="186">
        <v>5</v>
      </c>
      <c r="T2" s="186">
        <v>5</v>
      </c>
      <c r="U2" s="186">
        <v>5</v>
      </c>
      <c r="V2" s="186">
        <v>5</v>
      </c>
      <c r="W2" s="186">
        <v>0</v>
      </c>
      <c r="X2" s="186">
        <v>0</v>
      </c>
      <c r="Y2" s="338">
        <f>SUM(D2:X2)*C2/1000</f>
        <v>5.64</v>
      </c>
    </row>
    <row r="3" spans="2:25">
      <c r="B3" s="56" t="s">
        <v>24</v>
      </c>
      <c r="C3" s="60">
        <v>1350</v>
      </c>
      <c r="D3" s="186">
        <v>0</v>
      </c>
      <c r="E3" s="186">
        <v>0</v>
      </c>
      <c r="F3" s="186">
        <v>0</v>
      </c>
      <c r="G3" s="186">
        <v>0</v>
      </c>
      <c r="H3" s="186">
        <v>0</v>
      </c>
      <c r="I3" s="186">
        <v>0</v>
      </c>
      <c r="J3" s="186">
        <v>0</v>
      </c>
      <c r="K3" s="186">
        <v>0</v>
      </c>
      <c r="L3" s="186">
        <v>0</v>
      </c>
      <c r="M3" s="186">
        <v>0</v>
      </c>
      <c r="N3" s="186">
        <v>0</v>
      </c>
      <c r="O3" s="186">
        <v>1</v>
      </c>
      <c r="P3" s="186">
        <v>2</v>
      </c>
      <c r="Q3" s="186">
        <v>2</v>
      </c>
      <c r="R3" s="186">
        <v>2</v>
      </c>
      <c r="S3" s="186">
        <v>2</v>
      </c>
      <c r="T3" s="186">
        <v>2</v>
      </c>
      <c r="U3" s="186">
        <v>3</v>
      </c>
      <c r="V3" s="186">
        <v>2</v>
      </c>
      <c r="W3" s="186">
        <v>4</v>
      </c>
      <c r="X3" s="186">
        <v>4</v>
      </c>
      <c r="Y3" s="338">
        <f t="shared" ref="Y3:Y20" si="1">SUM(D3:X3)*C3/1000</f>
        <v>32.4</v>
      </c>
    </row>
    <row r="4" spans="2:25">
      <c r="B4" s="56" t="s">
        <v>3</v>
      </c>
      <c r="C4" s="60">
        <v>95</v>
      </c>
      <c r="D4" s="186">
        <v>0</v>
      </c>
      <c r="E4" s="186">
        <v>0</v>
      </c>
      <c r="F4" s="186">
        <v>0</v>
      </c>
      <c r="G4" s="186">
        <v>0</v>
      </c>
      <c r="H4" s="186">
        <v>0</v>
      </c>
      <c r="I4" s="186">
        <v>0</v>
      </c>
      <c r="J4" s="186">
        <v>0</v>
      </c>
      <c r="K4" s="186">
        <v>0</v>
      </c>
      <c r="L4" s="186">
        <v>0</v>
      </c>
      <c r="M4" s="186">
        <v>0</v>
      </c>
      <c r="N4" s="186">
        <v>0</v>
      </c>
      <c r="O4" s="186">
        <v>0</v>
      </c>
      <c r="P4" s="186">
        <v>0</v>
      </c>
      <c r="Q4" s="186">
        <v>0</v>
      </c>
      <c r="R4" s="186">
        <v>0</v>
      </c>
      <c r="S4" s="186">
        <v>0</v>
      </c>
      <c r="T4" s="186">
        <v>0</v>
      </c>
      <c r="U4" s="186">
        <v>0</v>
      </c>
      <c r="V4" s="186">
        <v>0</v>
      </c>
      <c r="W4" s="186">
        <v>0</v>
      </c>
      <c r="X4" s="186">
        <v>0</v>
      </c>
      <c r="Y4" s="338">
        <f t="shared" si="1"/>
        <v>0</v>
      </c>
    </row>
    <row r="5" spans="2:25">
      <c r="B5" s="56" t="s">
        <v>8</v>
      </c>
      <c r="C5" s="60">
        <v>30</v>
      </c>
      <c r="D5" s="186">
        <v>0</v>
      </c>
      <c r="E5" s="186">
        <v>0</v>
      </c>
      <c r="F5" s="186">
        <v>0</v>
      </c>
      <c r="G5" s="186">
        <v>0</v>
      </c>
      <c r="H5" s="186">
        <v>0</v>
      </c>
      <c r="I5" s="186">
        <v>0</v>
      </c>
      <c r="J5" s="186">
        <v>0</v>
      </c>
      <c r="K5" s="186">
        <v>0</v>
      </c>
      <c r="L5" s="186">
        <v>0</v>
      </c>
      <c r="M5" s="186">
        <v>0</v>
      </c>
      <c r="N5" s="186">
        <v>0</v>
      </c>
      <c r="O5" s="186">
        <v>0</v>
      </c>
      <c r="P5" s="186">
        <v>0</v>
      </c>
      <c r="Q5" s="186">
        <v>0</v>
      </c>
      <c r="R5" s="186">
        <v>0</v>
      </c>
      <c r="S5" s="186">
        <v>0</v>
      </c>
      <c r="T5" s="186">
        <v>0</v>
      </c>
      <c r="U5" s="186">
        <v>0</v>
      </c>
      <c r="V5" s="186">
        <v>0</v>
      </c>
      <c r="W5" s="186">
        <v>0</v>
      </c>
      <c r="X5" s="186">
        <v>0</v>
      </c>
      <c r="Y5" s="338">
        <f t="shared" si="1"/>
        <v>0</v>
      </c>
    </row>
    <row r="6" spans="2:25">
      <c r="B6" s="56" t="s">
        <v>22</v>
      </c>
      <c r="C6" s="60">
        <v>80</v>
      </c>
      <c r="D6" s="186">
        <v>0</v>
      </c>
      <c r="E6" s="186">
        <v>0</v>
      </c>
      <c r="F6" s="186">
        <v>0</v>
      </c>
      <c r="G6" s="186">
        <v>0</v>
      </c>
      <c r="H6" s="186">
        <v>0</v>
      </c>
      <c r="I6" s="186">
        <v>0</v>
      </c>
      <c r="J6" s="186">
        <v>0</v>
      </c>
      <c r="K6" s="186">
        <v>0</v>
      </c>
      <c r="L6" s="186">
        <v>0</v>
      </c>
      <c r="M6" s="186">
        <v>0</v>
      </c>
      <c r="N6" s="186">
        <v>0</v>
      </c>
      <c r="O6" s="186">
        <v>0</v>
      </c>
      <c r="P6" s="186">
        <v>0</v>
      </c>
      <c r="Q6" s="186">
        <v>0</v>
      </c>
      <c r="R6" s="186">
        <v>0</v>
      </c>
      <c r="S6" s="186">
        <v>0</v>
      </c>
      <c r="T6" s="186">
        <v>0</v>
      </c>
      <c r="U6" s="186">
        <v>0</v>
      </c>
      <c r="V6" s="186">
        <v>0</v>
      </c>
      <c r="W6" s="186">
        <v>0</v>
      </c>
      <c r="X6" s="186">
        <v>0</v>
      </c>
      <c r="Y6" s="338">
        <f t="shared" si="1"/>
        <v>0</v>
      </c>
    </row>
    <row r="7" spans="2:25">
      <c r="B7" s="56" t="s">
        <v>101</v>
      </c>
      <c r="C7" s="60">
        <v>794</v>
      </c>
      <c r="D7" s="186">
        <v>0</v>
      </c>
      <c r="E7" s="186">
        <v>0</v>
      </c>
      <c r="F7" s="186">
        <v>1</v>
      </c>
      <c r="G7" s="186">
        <v>2</v>
      </c>
      <c r="H7" s="186">
        <v>3</v>
      </c>
      <c r="I7" s="186">
        <v>3</v>
      </c>
      <c r="J7" s="186">
        <v>2</v>
      </c>
      <c r="K7" s="186">
        <v>2</v>
      </c>
      <c r="L7" s="186">
        <v>3</v>
      </c>
      <c r="M7" s="186">
        <v>3</v>
      </c>
      <c r="N7" s="186">
        <v>3</v>
      </c>
      <c r="O7" s="186">
        <v>2</v>
      </c>
      <c r="P7" s="186">
        <v>0</v>
      </c>
      <c r="Q7" s="186">
        <v>0</v>
      </c>
      <c r="R7" s="186">
        <v>0</v>
      </c>
      <c r="S7" s="186">
        <v>0</v>
      </c>
      <c r="T7" s="186">
        <v>0</v>
      </c>
      <c r="U7" s="186">
        <v>0</v>
      </c>
      <c r="V7" s="186">
        <v>0</v>
      </c>
      <c r="W7" s="186">
        <v>0</v>
      </c>
      <c r="X7" s="186">
        <v>0</v>
      </c>
      <c r="Y7" s="338">
        <f t="shared" si="1"/>
        <v>19.056000000000001</v>
      </c>
    </row>
    <row r="8" spans="2:25">
      <c r="B8" s="56" t="s">
        <v>108</v>
      </c>
      <c r="C8" s="60">
        <v>1</v>
      </c>
      <c r="D8" s="186">
        <v>0</v>
      </c>
      <c r="E8" s="186">
        <v>0</v>
      </c>
      <c r="F8" s="186">
        <v>100</v>
      </c>
      <c r="G8" s="186">
        <v>0</v>
      </c>
      <c r="H8" s="186">
        <v>0</v>
      </c>
      <c r="I8" s="186">
        <v>0</v>
      </c>
      <c r="J8" s="186">
        <v>0</v>
      </c>
      <c r="K8" s="186">
        <v>0</v>
      </c>
      <c r="L8" s="186">
        <v>0</v>
      </c>
      <c r="M8" s="186">
        <v>0</v>
      </c>
      <c r="N8" s="186">
        <v>0</v>
      </c>
      <c r="O8" s="186">
        <v>0</v>
      </c>
      <c r="P8" s="186">
        <v>0</v>
      </c>
      <c r="Q8" s="186">
        <v>0</v>
      </c>
      <c r="R8" s="186">
        <v>0</v>
      </c>
      <c r="S8" s="186">
        <v>0</v>
      </c>
      <c r="T8" s="186">
        <v>0</v>
      </c>
      <c r="U8" s="186">
        <v>0</v>
      </c>
      <c r="V8" s="186">
        <v>0</v>
      </c>
      <c r="W8" s="186">
        <v>0</v>
      </c>
      <c r="X8" s="186">
        <v>0</v>
      </c>
      <c r="Y8" s="338">
        <f t="shared" si="1"/>
        <v>0.1</v>
      </c>
    </row>
    <row r="9" spans="2:25">
      <c r="B9" s="56" t="s">
        <v>109</v>
      </c>
      <c r="C9" s="60">
        <v>1</v>
      </c>
      <c r="D9" s="186">
        <v>0</v>
      </c>
      <c r="E9" s="186">
        <v>0</v>
      </c>
      <c r="F9" s="186">
        <v>0</v>
      </c>
      <c r="G9" s="186">
        <v>0</v>
      </c>
      <c r="H9" s="186">
        <v>0</v>
      </c>
      <c r="I9" s="186">
        <v>0</v>
      </c>
      <c r="J9" s="186">
        <v>0</v>
      </c>
      <c r="K9" s="186">
        <v>0</v>
      </c>
      <c r="L9" s="186">
        <v>0</v>
      </c>
      <c r="M9" s="186">
        <v>0</v>
      </c>
      <c r="N9" s="186">
        <v>0</v>
      </c>
      <c r="O9" s="186">
        <v>0</v>
      </c>
      <c r="P9" s="186">
        <v>0</v>
      </c>
      <c r="Q9" s="186">
        <v>0</v>
      </c>
      <c r="R9" s="186">
        <v>0</v>
      </c>
      <c r="S9" s="186">
        <v>0</v>
      </c>
      <c r="T9" s="186">
        <v>0</v>
      </c>
      <c r="U9" s="186">
        <v>0</v>
      </c>
      <c r="V9" s="186">
        <v>0</v>
      </c>
      <c r="W9" s="186">
        <v>0</v>
      </c>
      <c r="X9" s="186">
        <v>0</v>
      </c>
      <c r="Y9" s="338">
        <f t="shared" si="1"/>
        <v>0</v>
      </c>
    </row>
    <row r="10" spans="2:25">
      <c r="B10" s="56" t="s">
        <v>110</v>
      </c>
      <c r="C10" s="60">
        <v>100</v>
      </c>
      <c r="D10" s="186">
        <v>0</v>
      </c>
      <c r="E10" s="186">
        <v>0</v>
      </c>
      <c r="F10" s="186">
        <v>0</v>
      </c>
      <c r="G10" s="186">
        <v>0</v>
      </c>
      <c r="H10" s="186">
        <v>0</v>
      </c>
      <c r="I10" s="186">
        <v>0</v>
      </c>
      <c r="J10" s="186">
        <v>0</v>
      </c>
      <c r="K10" s="186">
        <v>0</v>
      </c>
      <c r="L10" s="186">
        <v>0</v>
      </c>
      <c r="M10" s="186">
        <v>0</v>
      </c>
      <c r="N10" s="186">
        <v>0</v>
      </c>
      <c r="O10" s="186">
        <v>0</v>
      </c>
      <c r="P10" s="186">
        <v>0</v>
      </c>
      <c r="Q10" s="186">
        <v>0</v>
      </c>
      <c r="R10" s="186">
        <v>0</v>
      </c>
      <c r="S10" s="186">
        <v>0</v>
      </c>
      <c r="T10" s="186">
        <v>0</v>
      </c>
      <c r="U10" s="186">
        <v>0</v>
      </c>
      <c r="V10" s="186">
        <v>0</v>
      </c>
      <c r="W10" s="186">
        <v>0</v>
      </c>
      <c r="X10" s="186">
        <v>0</v>
      </c>
      <c r="Y10" s="338">
        <f t="shared" si="1"/>
        <v>0</v>
      </c>
    </row>
    <row r="11" spans="2:25">
      <c r="B11" s="56" t="s">
        <v>111</v>
      </c>
      <c r="C11" s="60">
        <v>100</v>
      </c>
      <c r="D11" s="186">
        <v>0</v>
      </c>
      <c r="E11" s="186">
        <v>0</v>
      </c>
      <c r="F11" s="186">
        <v>0</v>
      </c>
      <c r="G11" s="186">
        <v>0</v>
      </c>
      <c r="H11" s="186">
        <v>0</v>
      </c>
      <c r="I11" s="186">
        <v>0</v>
      </c>
      <c r="J11" s="186">
        <v>0</v>
      </c>
      <c r="K11" s="186">
        <v>0</v>
      </c>
      <c r="L11" s="186">
        <v>0</v>
      </c>
      <c r="M11" s="186">
        <v>0</v>
      </c>
      <c r="N11" s="186">
        <v>0</v>
      </c>
      <c r="O11" s="186">
        <v>0</v>
      </c>
      <c r="P11" s="186">
        <v>0</v>
      </c>
      <c r="Q11" s="186">
        <v>0</v>
      </c>
      <c r="R11" s="186">
        <v>0</v>
      </c>
      <c r="S11" s="186">
        <v>0</v>
      </c>
      <c r="T11" s="186">
        <v>0</v>
      </c>
      <c r="U11" s="186">
        <v>0</v>
      </c>
      <c r="V11" s="186">
        <v>0</v>
      </c>
      <c r="W11" s="186">
        <v>0</v>
      </c>
      <c r="X11" s="186">
        <v>0</v>
      </c>
      <c r="Y11" s="338">
        <f t="shared" si="1"/>
        <v>0</v>
      </c>
    </row>
    <row r="12" spans="2:25">
      <c r="B12" s="56" t="s">
        <v>112</v>
      </c>
      <c r="C12" s="60">
        <v>5</v>
      </c>
      <c r="D12" s="186">
        <v>0</v>
      </c>
      <c r="E12" s="186">
        <v>0</v>
      </c>
      <c r="F12" s="186">
        <v>0</v>
      </c>
      <c r="G12" s="186">
        <v>0</v>
      </c>
      <c r="H12" s="186">
        <v>0</v>
      </c>
      <c r="I12" s="186">
        <v>0</v>
      </c>
      <c r="J12" s="186">
        <v>0</v>
      </c>
      <c r="K12" s="186">
        <v>0</v>
      </c>
      <c r="L12" s="186">
        <v>0</v>
      </c>
      <c r="M12" s="186">
        <v>0</v>
      </c>
      <c r="N12" s="186">
        <v>0</v>
      </c>
      <c r="O12" s="186">
        <v>0</v>
      </c>
      <c r="P12" s="186">
        <v>0</v>
      </c>
      <c r="Q12" s="186">
        <v>0</v>
      </c>
      <c r="R12" s="186">
        <v>0</v>
      </c>
      <c r="S12" s="186">
        <v>0</v>
      </c>
      <c r="T12" s="186">
        <v>0</v>
      </c>
      <c r="U12" s="186">
        <v>0</v>
      </c>
      <c r="V12" s="186">
        <v>0</v>
      </c>
      <c r="W12" s="186">
        <v>0</v>
      </c>
      <c r="X12" s="186">
        <v>0</v>
      </c>
      <c r="Y12" s="338">
        <f t="shared" si="1"/>
        <v>0</v>
      </c>
    </row>
    <row r="13" spans="2:25">
      <c r="B13" s="56" t="s">
        <v>118</v>
      </c>
      <c r="C13" s="60">
        <v>387</v>
      </c>
      <c r="D13" s="186">
        <v>0</v>
      </c>
      <c r="E13" s="186">
        <v>0</v>
      </c>
      <c r="F13" s="186">
        <v>0</v>
      </c>
      <c r="G13" s="186">
        <v>0</v>
      </c>
      <c r="H13" s="186">
        <v>0</v>
      </c>
      <c r="I13" s="186">
        <v>0</v>
      </c>
      <c r="J13" s="186">
        <v>0</v>
      </c>
      <c r="K13" s="186">
        <v>0</v>
      </c>
      <c r="L13" s="186">
        <v>0</v>
      </c>
      <c r="M13" s="186">
        <v>0</v>
      </c>
      <c r="N13" s="186">
        <v>0</v>
      </c>
      <c r="O13" s="186">
        <v>0</v>
      </c>
      <c r="P13" s="186">
        <v>0</v>
      </c>
      <c r="Q13" s="186">
        <v>0</v>
      </c>
      <c r="R13" s="186">
        <v>0</v>
      </c>
      <c r="S13" s="186">
        <v>0</v>
      </c>
      <c r="T13" s="186">
        <v>0</v>
      </c>
      <c r="U13" s="186">
        <v>0</v>
      </c>
      <c r="V13" s="186">
        <v>0</v>
      </c>
      <c r="W13" s="186">
        <v>0</v>
      </c>
      <c r="X13" s="186">
        <v>0</v>
      </c>
      <c r="Y13" s="338">
        <f t="shared" si="1"/>
        <v>0</v>
      </c>
    </row>
    <row r="14" spans="2:25">
      <c r="B14" s="56" t="s">
        <v>25</v>
      </c>
      <c r="C14" s="60">
        <v>165</v>
      </c>
      <c r="D14" s="186">
        <v>0</v>
      </c>
      <c r="E14" s="186">
        <v>0</v>
      </c>
      <c r="F14" s="186">
        <v>0</v>
      </c>
      <c r="G14" s="186">
        <v>0</v>
      </c>
      <c r="H14" s="186">
        <v>0</v>
      </c>
      <c r="I14" s="186">
        <v>0</v>
      </c>
      <c r="J14" s="186">
        <v>0</v>
      </c>
      <c r="K14" s="186">
        <v>0</v>
      </c>
      <c r="L14" s="186">
        <v>0</v>
      </c>
      <c r="M14" s="186">
        <v>0</v>
      </c>
      <c r="N14" s="186">
        <v>0</v>
      </c>
      <c r="O14" s="186">
        <v>0</v>
      </c>
      <c r="P14" s="186">
        <v>0</v>
      </c>
      <c r="Q14" s="186">
        <v>0</v>
      </c>
      <c r="R14" s="186">
        <v>0</v>
      </c>
      <c r="S14" s="186">
        <v>0</v>
      </c>
      <c r="T14" s="186">
        <v>0</v>
      </c>
      <c r="U14" s="186">
        <v>0</v>
      </c>
      <c r="V14" s="186">
        <v>0</v>
      </c>
      <c r="W14" s="186">
        <v>0</v>
      </c>
      <c r="X14" s="186">
        <v>0</v>
      </c>
      <c r="Y14" s="338">
        <f t="shared" si="1"/>
        <v>0</v>
      </c>
    </row>
    <row r="15" spans="2:25">
      <c r="B15" s="56" t="s">
        <v>27</v>
      </c>
      <c r="C15" s="60">
        <v>550</v>
      </c>
      <c r="D15" s="186"/>
      <c r="E15" s="186"/>
      <c r="F15" s="186"/>
      <c r="G15" s="186"/>
      <c r="H15" s="186"/>
      <c r="I15" s="186"/>
      <c r="J15" s="186"/>
      <c r="K15" s="186"/>
      <c r="L15" s="186"/>
      <c r="M15" s="186"/>
      <c r="N15" s="186"/>
      <c r="O15" s="186"/>
      <c r="P15" s="186"/>
      <c r="Q15" s="186"/>
      <c r="R15" s="186"/>
      <c r="S15" s="186"/>
      <c r="T15" s="186"/>
      <c r="U15" s="186"/>
      <c r="V15" s="186"/>
      <c r="W15" s="186"/>
      <c r="X15" s="186"/>
      <c r="Y15" s="338">
        <f t="shared" si="1"/>
        <v>0</v>
      </c>
    </row>
    <row r="16" spans="2:25">
      <c r="B16" s="56" t="s">
        <v>17</v>
      </c>
      <c r="C16" s="60">
        <v>0</v>
      </c>
      <c r="D16" s="186"/>
      <c r="E16" s="186"/>
      <c r="F16" s="186"/>
      <c r="G16" s="186"/>
      <c r="H16" s="186"/>
      <c r="I16" s="186"/>
      <c r="J16" s="186"/>
      <c r="K16" s="186"/>
      <c r="L16" s="186"/>
      <c r="M16" s="186"/>
      <c r="N16" s="186"/>
      <c r="O16" s="186"/>
      <c r="P16" s="186"/>
      <c r="Q16" s="186"/>
      <c r="R16" s="186"/>
      <c r="S16" s="186"/>
      <c r="T16" s="186"/>
      <c r="U16" s="186"/>
      <c r="V16" s="186"/>
      <c r="W16" s="186"/>
      <c r="X16" s="186"/>
      <c r="Y16" s="338">
        <f t="shared" si="1"/>
        <v>0</v>
      </c>
    </row>
    <row r="17" spans="2:25">
      <c r="B17" s="56" t="s">
        <v>17</v>
      </c>
      <c r="C17" s="60">
        <v>0</v>
      </c>
      <c r="D17" s="186"/>
      <c r="E17" s="186"/>
      <c r="F17" s="186"/>
      <c r="G17" s="186"/>
      <c r="H17" s="186"/>
      <c r="I17" s="186"/>
      <c r="J17" s="186"/>
      <c r="K17" s="186"/>
      <c r="L17" s="186"/>
      <c r="M17" s="186"/>
      <c r="N17" s="186"/>
      <c r="O17" s="186"/>
      <c r="P17" s="186"/>
      <c r="Q17" s="186"/>
      <c r="R17" s="186"/>
      <c r="S17" s="186"/>
      <c r="T17" s="186"/>
      <c r="U17" s="186"/>
      <c r="V17" s="186"/>
      <c r="W17" s="186"/>
      <c r="X17" s="186"/>
      <c r="Y17" s="338">
        <f t="shared" si="1"/>
        <v>0</v>
      </c>
    </row>
    <row r="18" spans="2:25">
      <c r="B18" s="56" t="s">
        <v>17</v>
      </c>
      <c r="C18" s="60">
        <v>0</v>
      </c>
      <c r="D18" s="186"/>
      <c r="E18" s="186"/>
      <c r="F18" s="186"/>
      <c r="G18" s="186"/>
      <c r="H18" s="186"/>
      <c r="I18" s="186"/>
      <c r="J18" s="186"/>
      <c r="K18" s="186"/>
      <c r="L18" s="186"/>
      <c r="M18" s="186"/>
      <c r="N18" s="186"/>
      <c r="O18" s="186"/>
      <c r="P18" s="186"/>
      <c r="Q18" s="186"/>
      <c r="R18" s="186"/>
      <c r="S18" s="186"/>
      <c r="T18" s="186"/>
      <c r="U18" s="186"/>
      <c r="V18" s="186"/>
      <c r="W18" s="186"/>
      <c r="X18" s="186"/>
      <c r="Y18" s="338">
        <f t="shared" si="1"/>
        <v>0</v>
      </c>
    </row>
    <row r="19" spans="2:25">
      <c r="B19" s="56" t="s">
        <v>26</v>
      </c>
      <c r="C19" s="60">
        <v>333</v>
      </c>
      <c r="D19" s="186">
        <v>0</v>
      </c>
      <c r="E19" s="186">
        <v>0</v>
      </c>
      <c r="F19" s="186">
        <v>0</v>
      </c>
      <c r="G19" s="186">
        <v>2</v>
      </c>
      <c r="H19" s="186">
        <v>2</v>
      </c>
      <c r="I19" s="186">
        <v>0</v>
      </c>
      <c r="J19" s="186">
        <v>0</v>
      </c>
      <c r="K19" s="186">
        <v>0</v>
      </c>
      <c r="L19" s="186">
        <v>0</v>
      </c>
      <c r="M19" s="186">
        <v>0</v>
      </c>
      <c r="N19" s="186">
        <v>0</v>
      </c>
      <c r="O19" s="186">
        <v>0</v>
      </c>
      <c r="P19" s="186">
        <v>0</v>
      </c>
      <c r="Q19" s="186">
        <v>0</v>
      </c>
      <c r="R19" s="186">
        <v>0</v>
      </c>
      <c r="S19" s="186">
        <v>0</v>
      </c>
      <c r="T19" s="186">
        <v>0</v>
      </c>
      <c r="U19" s="186">
        <v>0</v>
      </c>
      <c r="V19" s="186">
        <v>0</v>
      </c>
      <c r="W19" s="186">
        <v>0</v>
      </c>
      <c r="X19" s="186">
        <v>0</v>
      </c>
      <c r="Y19" s="338">
        <f t="shared" si="1"/>
        <v>1.3320000000000001</v>
      </c>
    </row>
    <row r="20" spans="2:25">
      <c r="B20" s="56" t="s">
        <v>248</v>
      </c>
      <c r="C20" s="56">
        <v>1</v>
      </c>
      <c r="D20" s="186">
        <v>0</v>
      </c>
      <c r="E20" s="186">
        <f>D20</f>
        <v>0</v>
      </c>
      <c r="F20" s="186">
        <f t="shared" ref="F20:X20" si="2">E20</f>
        <v>0</v>
      </c>
      <c r="G20" s="186">
        <f t="shared" si="2"/>
        <v>0</v>
      </c>
      <c r="H20" s="186">
        <f t="shared" si="2"/>
        <v>0</v>
      </c>
      <c r="I20" s="186">
        <f t="shared" si="2"/>
        <v>0</v>
      </c>
      <c r="J20" s="186">
        <f t="shared" si="2"/>
        <v>0</v>
      </c>
      <c r="K20" s="186">
        <f t="shared" si="2"/>
        <v>0</v>
      </c>
      <c r="L20" s="186">
        <f t="shared" si="2"/>
        <v>0</v>
      </c>
      <c r="M20" s="186">
        <f t="shared" si="2"/>
        <v>0</v>
      </c>
      <c r="N20" s="186">
        <f t="shared" si="2"/>
        <v>0</v>
      </c>
      <c r="O20" s="186">
        <f t="shared" si="2"/>
        <v>0</v>
      </c>
      <c r="P20" s="186">
        <f t="shared" si="2"/>
        <v>0</v>
      </c>
      <c r="Q20" s="186">
        <f t="shared" si="2"/>
        <v>0</v>
      </c>
      <c r="R20" s="186">
        <f t="shared" si="2"/>
        <v>0</v>
      </c>
      <c r="S20" s="186">
        <f t="shared" si="2"/>
        <v>0</v>
      </c>
      <c r="T20" s="186">
        <f t="shared" si="2"/>
        <v>0</v>
      </c>
      <c r="U20" s="186">
        <f t="shared" si="2"/>
        <v>0</v>
      </c>
      <c r="V20" s="186">
        <f t="shared" si="2"/>
        <v>0</v>
      </c>
      <c r="W20" s="186">
        <f t="shared" si="2"/>
        <v>0</v>
      </c>
      <c r="X20" s="186">
        <f t="shared" si="2"/>
        <v>0</v>
      </c>
      <c r="Y20" s="338">
        <f t="shared" si="1"/>
        <v>0</v>
      </c>
    </row>
    <row r="22" spans="2:25">
      <c r="B22" s="4" t="s">
        <v>723</v>
      </c>
    </row>
    <row r="23" spans="2:25">
      <c r="B23" s="56" t="s">
        <v>15</v>
      </c>
      <c r="C23" s="60">
        <v>120</v>
      </c>
      <c r="D23" s="186">
        <v>0</v>
      </c>
      <c r="E23" s="186">
        <v>9</v>
      </c>
      <c r="F23" s="186">
        <v>0</v>
      </c>
      <c r="G23" s="186">
        <v>0</v>
      </c>
      <c r="H23" s="186">
        <v>0</v>
      </c>
      <c r="I23" s="186">
        <v>0</v>
      </c>
      <c r="J23" s="186">
        <v>0</v>
      </c>
      <c r="K23" s="186">
        <v>0</v>
      </c>
      <c r="L23" s="186">
        <v>0</v>
      </c>
      <c r="M23" s="186">
        <v>0</v>
      </c>
      <c r="N23" s="186">
        <v>0</v>
      </c>
      <c r="O23" s="186">
        <v>0</v>
      </c>
      <c r="P23" s="186">
        <v>0</v>
      </c>
      <c r="Q23" s="186">
        <v>0</v>
      </c>
      <c r="R23" s="186">
        <v>0</v>
      </c>
      <c r="S23" s="186">
        <v>0</v>
      </c>
      <c r="T23" s="186">
        <v>0</v>
      </c>
      <c r="U23" s="186">
        <v>0</v>
      </c>
      <c r="V23" s="186">
        <v>0</v>
      </c>
      <c r="W23" s="186">
        <v>0</v>
      </c>
      <c r="X23" s="186">
        <v>0</v>
      </c>
    </row>
    <row r="24" spans="2:25">
      <c r="B24" s="56" t="s">
        <v>24</v>
      </c>
      <c r="C24" s="60">
        <v>1350</v>
      </c>
      <c r="D24" s="186">
        <v>0</v>
      </c>
      <c r="E24" s="186">
        <v>0</v>
      </c>
      <c r="F24" s="186">
        <v>0</v>
      </c>
      <c r="G24" s="186">
        <v>0</v>
      </c>
      <c r="H24" s="186">
        <v>0</v>
      </c>
      <c r="I24" s="186">
        <v>0</v>
      </c>
      <c r="J24" s="186">
        <v>0</v>
      </c>
      <c r="K24" s="186">
        <v>0</v>
      </c>
      <c r="L24" s="186">
        <v>0</v>
      </c>
      <c r="M24" s="186">
        <v>0</v>
      </c>
      <c r="N24" s="186">
        <v>0</v>
      </c>
      <c r="O24" s="186">
        <v>0</v>
      </c>
      <c r="P24" s="186">
        <v>0</v>
      </c>
      <c r="Q24" s="186">
        <v>0</v>
      </c>
      <c r="R24" s="186">
        <v>0</v>
      </c>
      <c r="S24" s="186">
        <v>0</v>
      </c>
      <c r="T24" s="186">
        <v>0</v>
      </c>
      <c r="U24" s="186">
        <v>0</v>
      </c>
      <c r="V24" s="186">
        <v>0</v>
      </c>
      <c r="W24" s="186">
        <v>0</v>
      </c>
      <c r="X24" s="186">
        <v>0</v>
      </c>
    </row>
    <row r="25" spans="2:25">
      <c r="B25" s="56" t="s">
        <v>3</v>
      </c>
      <c r="C25" s="60">
        <v>95</v>
      </c>
      <c r="D25" s="186">
        <v>0</v>
      </c>
      <c r="E25" s="186">
        <v>0</v>
      </c>
      <c r="F25" s="186">
        <v>0</v>
      </c>
      <c r="G25" s="186">
        <v>0</v>
      </c>
      <c r="H25" s="186">
        <v>0</v>
      </c>
      <c r="I25" s="186">
        <v>0</v>
      </c>
      <c r="J25" s="186">
        <v>0</v>
      </c>
      <c r="K25" s="186">
        <v>0</v>
      </c>
      <c r="L25" s="186">
        <v>0</v>
      </c>
      <c r="M25" s="186">
        <v>0</v>
      </c>
      <c r="N25" s="186">
        <v>0</v>
      </c>
      <c r="O25" s="186">
        <v>0</v>
      </c>
      <c r="P25" s="186">
        <v>0</v>
      </c>
      <c r="Q25" s="186">
        <v>0</v>
      </c>
      <c r="R25" s="186">
        <v>0</v>
      </c>
      <c r="S25" s="186">
        <v>0</v>
      </c>
      <c r="T25" s="186">
        <v>0</v>
      </c>
      <c r="U25" s="186">
        <v>0</v>
      </c>
      <c r="V25" s="186">
        <v>0</v>
      </c>
      <c r="W25" s="186">
        <v>0</v>
      </c>
      <c r="X25" s="186">
        <v>0</v>
      </c>
    </row>
    <row r="26" spans="2:25">
      <c r="B26" s="56" t="s">
        <v>8</v>
      </c>
      <c r="C26" s="60">
        <v>30</v>
      </c>
      <c r="D26" s="186">
        <v>0</v>
      </c>
      <c r="E26" s="186">
        <v>0</v>
      </c>
      <c r="F26" s="186">
        <v>0</v>
      </c>
      <c r="G26" s="186">
        <v>0</v>
      </c>
      <c r="H26" s="186">
        <v>0</v>
      </c>
      <c r="I26" s="186">
        <v>0</v>
      </c>
      <c r="J26" s="186">
        <v>0</v>
      </c>
      <c r="K26" s="186">
        <v>0</v>
      </c>
      <c r="L26" s="186">
        <v>0</v>
      </c>
      <c r="M26" s="186">
        <v>0</v>
      </c>
      <c r="N26" s="186">
        <v>0</v>
      </c>
      <c r="O26" s="186">
        <v>0</v>
      </c>
      <c r="P26" s="186">
        <v>0</v>
      </c>
      <c r="Q26" s="186">
        <v>0</v>
      </c>
      <c r="R26" s="186">
        <v>0</v>
      </c>
      <c r="S26" s="186">
        <v>0</v>
      </c>
      <c r="T26" s="186">
        <v>0</v>
      </c>
      <c r="U26" s="186">
        <v>0</v>
      </c>
      <c r="V26" s="186">
        <v>0</v>
      </c>
      <c r="W26" s="186">
        <v>0</v>
      </c>
      <c r="X26" s="186">
        <v>0</v>
      </c>
    </row>
    <row r="27" spans="2:25">
      <c r="B27" s="56" t="s">
        <v>22</v>
      </c>
      <c r="C27" s="60">
        <v>80</v>
      </c>
      <c r="D27" s="186">
        <v>0</v>
      </c>
      <c r="E27" s="186">
        <v>0</v>
      </c>
      <c r="F27" s="186">
        <v>0</v>
      </c>
      <c r="G27" s="186">
        <v>0</v>
      </c>
      <c r="H27" s="186">
        <v>0</v>
      </c>
      <c r="I27" s="186">
        <v>0</v>
      </c>
      <c r="J27" s="186">
        <v>0</v>
      </c>
      <c r="K27" s="186">
        <v>0</v>
      </c>
      <c r="L27" s="186">
        <v>0</v>
      </c>
      <c r="M27" s="186">
        <v>0</v>
      </c>
      <c r="N27" s="186">
        <v>0</v>
      </c>
      <c r="O27" s="186">
        <v>0</v>
      </c>
      <c r="P27" s="186">
        <v>0</v>
      </c>
      <c r="Q27" s="186">
        <v>0</v>
      </c>
      <c r="R27" s="186">
        <v>0</v>
      </c>
      <c r="S27" s="186">
        <v>0</v>
      </c>
      <c r="T27" s="186">
        <v>0</v>
      </c>
      <c r="U27" s="186">
        <v>0</v>
      </c>
      <c r="V27" s="186">
        <v>0</v>
      </c>
      <c r="W27" s="186">
        <v>0</v>
      </c>
      <c r="X27" s="186">
        <v>0</v>
      </c>
    </row>
    <row r="28" spans="2:25">
      <c r="B28" s="56" t="s">
        <v>101</v>
      </c>
      <c r="C28" s="60">
        <v>794</v>
      </c>
      <c r="D28" s="186">
        <v>0</v>
      </c>
      <c r="E28" s="186">
        <v>0</v>
      </c>
      <c r="F28" s="186">
        <v>1</v>
      </c>
      <c r="G28" s="186">
        <v>2</v>
      </c>
      <c r="H28" s="186">
        <v>3</v>
      </c>
      <c r="I28" s="186">
        <v>2</v>
      </c>
      <c r="J28" s="186">
        <v>2</v>
      </c>
      <c r="K28" s="186">
        <v>2</v>
      </c>
      <c r="L28" s="186">
        <v>0</v>
      </c>
      <c r="M28" s="186">
        <v>0</v>
      </c>
      <c r="N28" s="186">
        <v>0</v>
      </c>
      <c r="O28" s="186">
        <v>0</v>
      </c>
      <c r="P28" s="186">
        <v>0</v>
      </c>
      <c r="Q28" s="186">
        <v>0</v>
      </c>
      <c r="R28" s="186">
        <v>0</v>
      </c>
      <c r="S28" s="186">
        <v>0</v>
      </c>
      <c r="T28" s="186">
        <v>0</v>
      </c>
      <c r="U28" s="186">
        <v>0</v>
      </c>
      <c r="V28" s="186">
        <v>0</v>
      </c>
      <c r="W28" s="186">
        <v>0</v>
      </c>
      <c r="X28" s="186">
        <v>0</v>
      </c>
    </row>
    <row r="29" spans="2:25">
      <c r="B29" s="56" t="s">
        <v>108</v>
      </c>
      <c r="C29" s="60">
        <v>1</v>
      </c>
      <c r="D29" s="186">
        <v>100</v>
      </c>
      <c r="E29" s="186">
        <v>200</v>
      </c>
      <c r="F29" s="186">
        <v>200</v>
      </c>
      <c r="G29" s="186">
        <v>400</v>
      </c>
      <c r="H29" s="186">
        <v>400</v>
      </c>
      <c r="I29" s="186">
        <v>800</v>
      </c>
      <c r="J29" s="186">
        <v>800</v>
      </c>
      <c r="K29" s="186">
        <v>1000</v>
      </c>
      <c r="L29" s="186">
        <v>1000</v>
      </c>
      <c r="M29" s="186">
        <v>1500</v>
      </c>
      <c r="N29" s="186">
        <v>1500</v>
      </c>
      <c r="O29" s="186">
        <v>2000</v>
      </c>
      <c r="P29" s="186">
        <v>0</v>
      </c>
      <c r="Q29" s="186">
        <v>0</v>
      </c>
      <c r="R29" s="186">
        <v>0</v>
      </c>
      <c r="S29" s="186">
        <v>0</v>
      </c>
      <c r="T29" s="186">
        <v>0</v>
      </c>
      <c r="U29" s="186">
        <v>0</v>
      </c>
      <c r="V29" s="186">
        <v>0</v>
      </c>
      <c r="W29" s="186">
        <v>0</v>
      </c>
      <c r="X29" s="186">
        <v>0</v>
      </c>
    </row>
    <row r="30" spans="2:25">
      <c r="B30" s="56" t="s">
        <v>109</v>
      </c>
      <c r="C30" s="60">
        <v>1</v>
      </c>
      <c r="D30" s="186">
        <v>0</v>
      </c>
      <c r="E30" s="186">
        <v>0</v>
      </c>
      <c r="F30" s="186">
        <v>0</v>
      </c>
      <c r="G30" s="186">
        <v>0</v>
      </c>
      <c r="H30" s="186">
        <v>0</v>
      </c>
      <c r="I30" s="186">
        <v>0</v>
      </c>
      <c r="J30" s="186">
        <v>0</v>
      </c>
      <c r="K30" s="186">
        <v>0</v>
      </c>
      <c r="L30" s="186">
        <v>0</v>
      </c>
      <c r="M30" s="186">
        <v>0</v>
      </c>
      <c r="N30" s="186">
        <v>0</v>
      </c>
      <c r="O30" s="186">
        <v>0</v>
      </c>
      <c r="P30" s="186">
        <v>1000</v>
      </c>
      <c r="Q30" s="186">
        <v>1000</v>
      </c>
      <c r="R30" s="186">
        <v>1000</v>
      </c>
      <c r="S30" s="186">
        <v>1000</v>
      </c>
      <c r="T30" s="186">
        <v>1000</v>
      </c>
      <c r="U30" s="186">
        <v>1000</v>
      </c>
      <c r="V30" s="186">
        <v>2000</v>
      </c>
      <c r="W30" s="186">
        <v>2000</v>
      </c>
      <c r="X30" s="186">
        <v>2000</v>
      </c>
    </row>
    <row r="31" spans="2:25">
      <c r="B31" s="56" t="s">
        <v>110</v>
      </c>
      <c r="C31" s="60">
        <v>100</v>
      </c>
      <c r="D31" s="186">
        <v>0</v>
      </c>
      <c r="E31" s="186">
        <v>0</v>
      </c>
      <c r="F31" s="186">
        <v>0</v>
      </c>
      <c r="G31" s="186">
        <v>0</v>
      </c>
      <c r="H31" s="186">
        <v>0</v>
      </c>
      <c r="I31" s="186">
        <v>1</v>
      </c>
      <c r="J31" s="186">
        <v>2</v>
      </c>
      <c r="K31" s="186">
        <v>4</v>
      </c>
      <c r="L31" s="186">
        <v>8</v>
      </c>
      <c r="M31" s="186">
        <v>12</v>
      </c>
      <c r="N31" s="186">
        <v>18</v>
      </c>
      <c r="O31" s="186">
        <v>24</v>
      </c>
      <c r="P31" s="186">
        <v>20</v>
      </c>
      <c r="Q31" s="186">
        <v>20</v>
      </c>
      <c r="R31" s="186">
        <v>30</v>
      </c>
      <c r="S31" s="186">
        <v>30</v>
      </c>
      <c r="T31" s="186">
        <v>30</v>
      </c>
      <c r="U31" s="186">
        <v>30</v>
      </c>
      <c r="V31" s="186">
        <v>30</v>
      </c>
      <c r="W31" s="186">
        <v>30</v>
      </c>
      <c r="X31" s="186">
        <v>30</v>
      </c>
    </row>
    <row r="32" spans="2:25">
      <c r="B32" s="56" t="s">
        <v>111</v>
      </c>
      <c r="C32" s="60">
        <v>100</v>
      </c>
      <c r="D32" s="186">
        <v>0</v>
      </c>
      <c r="E32" s="186">
        <v>0</v>
      </c>
      <c r="F32" s="186">
        <v>0</v>
      </c>
      <c r="G32" s="186">
        <v>0</v>
      </c>
      <c r="H32" s="186">
        <v>0</v>
      </c>
      <c r="I32" s="186">
        <v>0</v>
      </c>
      <c r="J32" s="186">
        <v>0</v>
      </c>
      <c r="K32" s="186">
        <v>0</v>
      </c>
      <c r="L32" s="186">
        <v>0</v>
      </c>
      <c r="M32" s="186">
        <v>0</v>
      </c>
      <c r="N32" s="186">
        <v>0</v>
      </c>
      <c r="O32" s="186">
        <v>0</v>
      </c>
      <c r="P32" s="186">
        <v>0</v>
      </c>
      <c r="Q32" s="186">
        <v>0</v>
      </c>
      <c r="R32" s="186">
        <v>0</v>
      </c>
      <c r="S32" s="186">
        <v>0</v>
      </c>
      <c r="T32" s="186">
        <v>0</v>
      </c>
      <c r="U32" s="186">
        <v>0</v>
      </c>
      <c r="V32" s="186">
        <v>0</v>
      </c>
      <c r="W32" s="186">
        <v>0</v>
      </c>
      <c r="X32" s="186">
        <v>0</v>
      </c>
    </row>
    <row r="33" spans="2:24">
      <c r="B33" s="56" t="s">
        <v>112</v>
      </c>
      <c r="C33" s="60">
        <v>5</v>
      </c>
      <c r="D33" s="186">
        <v>0</v>
      </c>
      <c r="E33" s="186">
        <v>0</v>
      </c>
      <c r="F33" s="186">
        <v>0</v>
      </c>
      <c r="G33" s="186">
        <v>0</v>
      </c>
      <c r="H33" s="186">
        <v>0</v>
      </c>
      <c r="I33" s="186">
        <v>0</v>
      </c>
      <c r="J33" s="186">
        <v>0</v>
      </c>
      <c r="K33" s="186">
        <v>0</v>
      </c>
      <c r="L33" s="186">
        <v>0</v>
      </c>
      <c r="M33" s="186">
        <v>0</v>
      </c>
      <c r="N33" s="186">
        <v>0</v>
      </c>
      <c r="O33" s="186">
        <v>0</v>
      </c>
      <c r="P33" s="186">
        <v>0</v>
      </c>
      <c r="Q33" s="186">
        <v>0</v>
      </c>
      <c r="R33" s="186">
        <v>0</v>
      </c>
      <c r="S33" s="186">
        <v>0</v>
      </c>
      <c r="T33" s="186">
        <v>0</v>
      </c>
      <c r="U33" s="186">
        <v>0</v>
      </c>
      <c r="V33" s="186">
        <v>0</v>
      </c>
      <c r="W33" s="186">
        <v>0</v>
      </c>
      <c r="X33" s="186">
        <v>0</v>
      </c>
    </row>
    <row r="34" spans="2:24">
      <c r="B34" s="56" t="s">
        <v>118</v>
      </c>
      <c r="C34" s="60">
        <v>387</v>
      </c>
      <c r="D34" s="186">
        <v>0</v>
      </c>
      <c r="E34" s="186">
        <v>0</v>
      </c>
      <c r="F34" s="186">
        <v>0</v>
      </c>
      <c r="G34" s="186">
        <v>0</v>
      </c>
      <c r="H34" s="186">
        <v>0</v>
      </c>
      <c r="I34" s="186">
        <v>0</v>
      </c>
      <c r="J34" s="186">
        <v>0</v>
      </c>
      <c r="K34" s="186">
        <v>0</v>
      </c>
      <c r="L34" s="186">
        <v>0</v>
      </c>
      <c r="M34" s="186">
        <v>0</v>
      </c>
      <c r="N34" s="186">
        <v>0</v>
      </c>
      <c r="O34" s="186">
        <v>0</v>
      </c>
      <c r="P34" s="186">
        <v>0</v>
      </c>
      <c r="Q34" s="186">
        <v>0</v>
      </c>
      <c r="R34" s="186">
        <v>0</v>
      </c>
      <c r="S34" s="186">
        <v>0</v>
      </c>
      <c r="T34" s="186">
        <v>0</v>
      </c>
      <c r="U34" s="186">
        <v>2</v>
      </c>
      <c r="V34" s="186">
        <v>2</v>
      </c>
      <c r="W34" s="186">
        <v>2</v>
      </c>
      <c r="X34" s="186">
        <v>2</v>
      </c>
    </row>
    <row r="35" spans="2:24">
      <c r="B35" s="56" t="s">
        <v>25</v>
      </c>
      <c r="C35" s="60">
        <v>165</v>
      </c>
      <c r="D35" s="186">
        <v>0</v>
      </c>
      <c r="E35" s="186">
        <v>0</v>
      </c>
      <c r="F35" s="186">
        <v>0</v>
      </c>
      <c r="G35" s="186">
        <v>0</v>
      </c>
      <c r="H35" s="186">
        <v>0</v>
      </c>
      <c r="I35" s="186">
        <v>0</v>
      </c>
      <c r="J35" s="186">
        <v>0</v>
      </c>
      <c r="K35" s="186">
        <v>0</v>
      </c>
      <c r="L35" s="186">
        <v>0</v>
      </c>
      <c r="M35" s="186">
        <v>0</v>
      </c>
      <c r="N35" s="186">
        <v>0</v>
      </c>
      <c r="O35" s="186">
        <v>0</v>
      </c>
      <c r="P35" s="186">
        <v>0</v>
      </c>
      <c r="Q35" s="186">
        <v>0</v>
      </c>
      <c r="R35" s="186">
        <v>0</v>
      </c>
      <c r="S35" s="186">
        <v>0</v>
      </c>
      <c r="T35" s="186">
        <v>0</v>
      </c>
      <c r="U35" s="186">
        <v>0</v>
      </c>
      <c r="V35" s="186">
        <v>0</v>
      </c>
      <c r="W35" s="186">
        <v>0</v>
      </c>
      <c r="X35" s="186">
        <v>0</v>
      </c>
    </row>
    <row r="36" spans="2:24">
      <c r="B36" s="56" t="s">
        <v>27</v>
      </c>
      <c r="C36" s="60">
        <v>550</v>
      </c>
      <c r="D36" s="186">
        <v>0</v>
      </c>
      <c r="E36" s="186">
        <v>0</v>
      </c>
      <c r="F36" s="186">
        <v>0</v>
      </c>
      <c r="G36" s="186">
        <v>0</v>
      </c>
      <c r="H36" s="186">
        <v>0</v>
      </c>
      <c r="I36" s="186">
        <v>0</v>
      </c>
      <c r="J36" s="186">
        <v>0</v>
      </c>
      <c r="K36" s="186">
        <v>0</v>
      </c>
      <c r="L36" s="186">
        <v>0</v>
      </c>
      <c r="M36" s="186">
        <v>0</v>
      </c>
      <c r="N36" s="186">
        <v>0</v>
      </c>
      <c r="O36" s="186">
        <v>0</v>
      </c>
      <c r="P36" s="186">
        <v>0</v>
      </c>
      <c r="Q36" s="186">
        <v>0</v>
      </c>
      <c r="R36" s="186">
        <v>0</v>
      </c>
      <c r="S36" s="186">
        <v>0</v>
      </c>
      <c r="T36" s="186">
        <v>0</v>
      </c>
      <c r="U36" s="186">
        <v>1</v>
      </c>
      <c r="V36" s="186">
        <v>2</v>
      </c>
      <c r="W36" s="186">
        <v>3</v>
      </c>
      <c r="X36" s="186">
        <v>0</v>
      </c>
    </row>
    <row r="37" spans="2:24">
      <c r="B37" s="56" t="s">
        <v>17</v>
      </c>
      <c r="C37" s="60">
        <v>0</v>
      </c>
      <c r="D37" s="186"/>
      <c r="E37" s="186"/>
      <c r="F37" s="186"/>
      <c r="G37" s="186"/>
      <c r="H37" s="186"/>
      <c r="I37" s="186"/>
      <c r="J37" s="186"/>
      <c r="K37" s="186"/>
      <c r="L37" s="186"/>
      <c r="M37" s="186"/>
      <c r="N37" s="186"/>
      <c r="O37" s="186"/>
      <c r="P37" s="186"/>
      <c r="Q37" s="186"/>
      <c r="R37" s="186"/>
      <c r="S37" s="186"/>
      <c r="T37" s="186"/>
      <c r="U37" s="186"/>
      <c r="V37" s="186"/>
      <c r="W37" s="186"/>
      <c r="X37" s="186"/>
    </row>
    <row r="38" spans="2:24">
      <c r="B38" s="56" t="s">
        <v>17</v>
      </c>
      <c r="C38" s="60">
        <v>0</v>
      </c>
      <c r="D38" s="186"/>
      <c r="E38" s="186"/>
      <c r="F38" s="186"/>
      <c r="G38" s="186"/>
      <c r="H38" s="186"/>
      <c r="I38" s="186"/>
      <c r="J38" s="186"/>
      <c r="K38" s="186"/>
      <c r="L38" s="186"/>
      <c r="M38" s="186"/>
      <c r="N38" s="186"/>
      <c r="O38" s="186"/>
      <c r="P38" s="186"/>
      <c r="Q38" s="186"/>
      <c r="R38" s="186"/>
      <c r="S38" s="186"/>
      <c r="T38" s="186"/>
      <c r="U38" s="186"/>
      <c r="V38" s="186"/>
      <c r="W38" s="186"/>
      <c r="X38" s="186"/>
    </row>
    <row r="39" spans="2:24">
      <c r="B39" s="56" t="s">
        <v>17</v>
      </c>
      <c r="C39" s="60">
        <v>0</v>
      </c>
      <c r="D39" s="186"/>
      <c r="E39" s="186"/>
      <c r="F39" s="186"/>
      <c r="G39" s="186"/>
      <c r="H39" s="186"/>
      <c r="I39" s="186"/>
      <c r="J39" s="186"/>
      <c r="K39" s="186"/>
      <c r="L39" s="186"/>
      <c r="M39" s="186"/>
      <c r="N39" s="186"/>
      <c r="O39" s="186"/>
      <c r="P39" s="186"/>
      <c r="Q39" s="186"/>
      <c r="R39" s="186"/>
      <c r="S39" s="186"/>
      <c r="T39" s="186"/>
      <c r="U39" s="186"/>
      <c r="V39" s="186"/>
      <c r="W39" s="186"/>
      <c r="X39" s="186"/>
    </row>
    <row r="40" spans="2:24">
      <c r="B40" s="56" t="s">
        <v>26</v>
      </c>
      <c r="C40" s="60">
        <v>333</v>
      </c>
      <c r="D40" s="186">
        <v>0</v>
      </c>
      <c r="E40" s="186">
        <v>0</v>
      </c>
      <c r="F40" s="186">
        <v>0</v>
      </c>
      <c r="G40" s="186">
        <v>2</v>
      </c>
      <c r="H40" s="186">
        <v>2</v>
      </c>
      <c r="I40" s="186">
        <v>0</v>
      </c>
      <c r="J40" s="186">
        <v>0</v>
      </c>
      <c r="K40" s="186">
        <v>0</v>
      </c>
      <c r="L40" s="186">
        <v>2</v>
      </c>
      <c r="M40" s="186">
        <v>2</v>
      </c>
      <c r="N40" s="186">
        <v>0</v>
      </c>
      <c r="O40" s="186">
        <v>0</v>
      </c>
      <c r="P40" s="186">
        <v>0</v>
      </c>
      <c r="Q40" s="186">
        <v>0</v>
      </c>
      <c r="R40" s="186">
        <v>0</v>
      </c>
      <c r="S40" s="186">
        <v>0</v>
      </c>
      <c r="T40" s="186">
        <v>0</v>
      </c>
      <c r="U40" s="186">
        <v>0</v>
      </c>
      <c r="V40" s="186">
        <v>0</v>
      </c>
      <c r="W40" s="186">
        <v>0</v>
      </c>
      <c r="X40" s="186">
        <v>0</v>
      </c>
    </row>
    <row r="41" spans="2:24">
      <c r="B41" s="56" t="s">
        <v>248</v>
      </c>
      <c r="C41" s="56">
        <v>1</v>
      </c>
      <c r="D41" s="186">
        <v>0</v>
      </c>
      <c r="E41" s="186">
        <v>0</v>
      </c>
      <c r="F41" s="186">
        <v>0</v>
      </c>
      <c r="G41" s="186">
        <v>0</v>
      </c>
      <c r="H41" s="186">
        <v>0</v>
      </c>
      <c r="I41" s="186">
        <v>0</v>
      </c>
      <c r="J41" s="186">
        <v>0</v>
      </c>
      <c r="K41" s="186">
        <v>0</v>
      </c>
      <c r="L41" s="186">
        <v>0</v>
      </c>
      <c r="M41" s="186">
        <v>0</v>
      </c>
      <c r="N41" s="186">
        <v>0</v>
      </c>
      <c r="O41" s="186">
        <v>0</v>
      </c>
      <c r="P41" s="186">
        <v>0</v>
      </c>
      <c r="Q41" s="186">
        <v>0</v>
      </c>
      <c r="R41" s="186">
        <v>0</v>
      </c>
      <c r="S41" s="186">
        <v>0</v>
      </c>
      <c r="T41" s="186">
        <v>0</v>
      </c>
      <c r="U41" s="186">
        <v>0</v>
      </c>
      <c r="V41" s="186">
        <v>0</v>
      </c>
      <c r="W41" s="186">
        <v>0</v>
      </c>
      <c r="X41" s="186">
        <v>0</v>
      </c>
    </row>
    <row r="45" spans="2:24">
      <c r="C45" s="60">
        <v>120</v>
      </c>
      <c r="D45" s="186">
        <v>0</v>
      </c>
      <c r="E45" s="186">
        <v>9</v>
      </c>
      <c r="F45" s="186">
        <v>0</v>
      </c>
      <c r="G45" s="186">
        <v>0</v>
      </c>
      <c r="H45" s="186">
        <v>0</v>
      </c>
      <c r="I45" s="186">
        <v>0</v>
      </c>
      <c r="J45" s="186">
        <v>0</v>
      </c>
      <c r="K45" s="186">
        <v>0</v>
      </c>
      <c r="L45" s="186">
        <v>0</v>
      </c>
      <c r="M45" s="186">
        <v>0</v>
      </c>
      <c r="N45" s="186">
        <v>0</v>
      </c>
      <c r="O45" s="186">
        <v>0</v>
      </c>
      <c r="P45" s="186">
        <v>0</v>
      </c>
      <c r="Q45" s="186">
        <v>6</v>
      </c>
      <c r="R45" s="186">
        <v>0</v>
      </c>
      <c r="S45" s="186">
        <v>0</v>
      </c>
      <c r="T45" s="186">
        <v>6</v>
      </c>
      <c r="U45" s="186">
        <v>0</v>
      </c>
      <c r="V45" s="186">
        <v>0</v>
      </c>
      <c r="W45" s="186">
        <v>6</v>
      </c>
      <c r="X45" s="186">
        <v>0</v>
      </c>
    </row>
    <row r="46" spans="2:24">
      <c r="C46" s="60">
        <v>1350</v>
      </c>
      <c r="D46" s="186">
        <v>0</v>
      </c>
      <c r="E46" s="186">
        <v>0</v>
      </c>
      <c r="F46" s="186">
        <v>0</v>
      </c>
      <c r="G46" s="186">
        <v>0</v>
      </c>
      <c r="H46" s="186">
        <v>0</v>
      </c>
      <c r="I46" s="186">
        <v>0</v>
      </c>
      <c r="J46" s="186">
        <v>0</v>
      </c>
      <c r="K46" s="186">
        <v>0</v>
      </c>
      <c r="L46" s="186">
        <v>0</v>
      </c>
      <c r="M46" s="186">
        <v>0</v>
      </c>
      <c r="N46" s="186">
        <v>0</v>
      </c>
      <c r="O46" s="186">
        <v>0</v>
      </c>
      <c r="P46" s="186">
        <v>0</v>
      </c>
      <c r="Q46" s="186">
        <v>0</v>
      </c>
      <c r="R46" s="186">
        <v>0</v>
      </c>
      <c r="S46" s="186">
        <v>0</v>
      </c>
      <c r="T46" s="186">
        <v>0</v>
      </c>
      <c r="U46" s="186">
        <v>0</v>
      </c>
      <c r="V46" s="186">
        <v>0</v>
      </c>
      <c r="W46" s="186">
        <v>0</v>
      </c>
      <c r="X46" s="186">
        <v>0</v>
      </c>
    </row>
    <row r="47" spans="2:24">
      <c r="C47" s="60">
        <v>95</v>
      </c>
      <c r="D47" s="186">
        <v>0</v>
      </c>
      <c r="E47" s="186">
        <v>0</v>
      </c>
      <c r="F47" s="186">
        <v>0</v>
      </c>
      <c r="G47" s="186">
        <v>0</v>
      </c>
      <c r="H47" s="186">
        <v>0</v>
      </c>
      <c r="I47" s="186">
        <v>0</v>
      </c>
      <c r="J47" s="186">
        <v>0</v>
      </c>
      <c r="K47" s="186">
        <v>0</v>
      </c>
      <c r="L47" s="186">
        <v>0</v>
      </c>
      <c r="M47" s="186">
        <v>0</v>
      </c>
      <c r="N47" s="186">
        <v>0</v>
      </c>
      <c r="O47" s="186">
        <v>0</v>
      </c>
      <c r="P47" s="186">
        <v>0</v>
      </c>
      <c r="Q47" s="186">
        <v>0</v>
      </c>
      <c r="R47" s="186">
        <v>0</v>
      </c>
      <c r="S47" s="186">
        <v>0</v>
      </c>
      <c r="T47" s="186">
        <v>0</v>
      </c>
      <c r="U47" s="186">
        <v>0</v>
      </c>
      <c r="V47" s="186">
        <v>0</v>
      </c>
      <c r="W47" s="186">
        <v>0</v>
      </c>
      <c r="X47" s="186">
        <v>0</v>
      </c>
    </row>
    <row r="48" spans="2:24">
      <c r="C48" s="60">
        <v>30</v>
      </c>
      <c r="D48" s="186">
        <v>0</v>
      </c>
      <c r="E48" s="186">
        <v>0</v>
      </c>
      <c r="F48" s="186">
        <v>0</v>
      </c>
      <c r="G48" s="186">
        <v>0</v>
      </c>
      <c r="H48" s="186">
        <v>0</v>
      </c>
      <c r="I48" s="186">
        <v>0</v>
      </c>
      <c r="J48" s="186">
        <v>0</v>
      </c>
      <c r="K48" s="186">
        <v>0</v>
      </c>
      <c r="L48" s="186">
        <v>0</v>
      </c>
      <c r="M48" s="186">
        <v>0</v>
      </c>
      <c r="N48" s="186">
        <v>0</v>
      </c>
      <c r="O48" s="186">
        <v>0</v>
      </c>
      <c r="P48" s="186">
        <v>0</v>
      </c>
      <c r="Q48" s="186">
        <v>0</v>
      </c>
      <c r="R48" s="186">
        <v>0</v>
      </c>
      <c r="S48" s="186">
        <v>0</v>
      </c>
      <c r="T48" s="186">
        <v>0</v>
      </c>
      <c r="U48" s="186">
        <v>0</v>
      </c>
      <c r="V48" s="186">
        <v>0</v>
      </c>
      <c r="W48" s="186">
        <v>0</v>
      </c>
      <c r="X48" s="186">
        <v>0</v>
      </c>
    </row>
    <row r="49" spans="3:24">
      <c r="C49" s="60">
        <v>80</v>
      </c>
      <c r="D49" s="186">
        <v>0</v>
      </c>
      <c r="E49" s="186">
        <v>0</v>
      </c>
      <c r="F49" s="186">
        <v>0</v>
      </c>
      <c r="G49" s="186">
        <v>0</v>
      </c>
      <c r="H49" s="186">
        <v>0</v>
      </c>
      <c r="I49" s="186">
        <v>0</v>
      </c>
      <c r="J49" s="186">
        <v>0</v>
      </c>
      <c r="K49" s="186">
        <v>0</v>
      </c>
      <c r="L49" s="186">
        <v>0</v>
      </c>
      <c r="M49" s="186">
        <v>0</v>
      </c>
      <c r="N49" s="186">
        <v>0</v>
      </c>
      <c r="O49" s="186">
        <v>0</v>
      </c>
      <c r="P49" s="186">
        <v>0</v>
      </c>
      <c r="Q49" s="186">
        <v>0</v>
      </c>
      <c r="R49" s="186">
        <v>0</v>
      </c>
      <c r="S49" s="186">
        <v>0</v>
      </c>
      <c r="T49" s="186">
        <v>0</v>
      </c>
      <c r="U49" s="186">
        <v>0</v>
      </c>
      <c r="V49" s="186">
        <v>0</v>
      </c>
      <c r="W49" s="186">
        <v>0</v>
      </c>
      <c r="X49" s="186">
        <v>0</v>
      </c>
    </row>
    <row r="50" spans="3:24">
      <c r="C50" s="60">
        <v>794</v>
      </c>
      <c r="D50" s="186">
        <v>0</v>
      </c>
      <c r="E50" s="186">
        <v>0</v>
      </c>
      <c r="F50" s="186">
        <v>1</v>
      </c>
      <c r="G50" s="186">
        <v>2</v>
      </c>
      <c r="H50" s="186">
        <v>3</v>
      </c>
      <c r="I50" s="186">
        <v>3</v>
      </c>
      <c r="J50" s="186">
        <v>2</v>
      </c>
      <c r="K50" s="186">
        <v>2</v>
      </c>
      <c r="L50" s="186">
        <v>3</v>
      </c>
      <c r="M50" s="186">
        <v>3</v>
      </c>
      <c r="N50" s="186">
        <v>3</v>
      </c>
      <c r="O50" s="186">
        <v>4</v>
      </c>
      <c r="P50" s="186">
        <v>4</v>
      </c>
      <c r="Q50" s="186">
        <v>3</v>
      </c>
      <c r="R50" s="186">
        <v>4</v>
      </c>
      <c r="S50" s="186">
        <v>4</v>
      </c>
      <c r="T50" s="186">
        <v>5</v>
      </c>
      <c r="U50" s="186">
        <v>5</v>
      </c>
      <c r="V50" s="186">
        <v>5</v>
      </c>
      <c r="W50" s="186">
        <v>6</v>
      </c>
      <c r="X50" s="186">
        <v>6</v>
      </c>
    </row>
    <row r="51" spans="3:24">
      <c r="C51" s="60">
        <v>1</v>
      </c>
      <c r="D51" s="186">
        <v>100</v>
      </c>
      <c r="E51" s="186">
        <v>200</v>
      </c>
      <c r="F51" s="186">
        <v>200</v>
      </c>
      <c r="G51" s="186">
        <v>0</v>
      </c>
      <c r="H51" s="186">
        <v>0</v>
      </c>
      <c r="I51" s="186">
        <v>0</v>
      </c>
      <c r="J51" s="186">
        <v>0</v>
      </c>
      <c r="K51" s="186">
        <v>0</v>
      </c>
      <c r="L51" s="186">
        <v>0</v>
      </c>
      <c r="M51" s="186">
        <v>0</v>
      </c>
      <c r="N51" s="186">
        <v>0</v>
      </c>
      <c r="O51" s="186">
        <v>0</v>
      </c>
      <c r="P51" s="186">
        <v>0</v>
      </c>
      <c r="Q51" s="186">
        <v>0</v>
      </c>
      <c r="R51" s="186">
        <v>0</v>
      </c>
      <c r="S51" s="186">
        <v>0</v>
      </c>
      <c r="T51" s="186">
        <v>0</v>
      </c>
      <c r="U51" s="186">
        <v>0</v>
      </c>
      <c r="V51" s="186">
        <v>0</v>
      </c>
      <c r="W51" s="186">
        <v>0</v>
      </c>
      <c r="X51" s="186">
        <v>0</v>
      </c>
    </row>
    <row r="52" spans="3:24">
      <c r="C52" s="60">
        <v>1</v>
      </c>
      <c r="D52" s="186">
        <v>0</v>
      </c>
      <c r="E52" s="186">
        <v>0</v>
      </c>
      <c r="F52" s="186">
        <v>0</v>
      </c>
      <c r="G52" s="186">
        <v>0</v>
      </c>
      <c r="H52" s="186">
        <v>0</v>
      </c>
      <c r="I52" s="186">
        <v>0</v>
      </c>
      <c r="J52" s="186">
        <v>0</v>
      </c>
      <c r="K52" s="186">
        <v>0</v>
      </c>
      <c r="L52" s="186">
        <v>0</v>
      </c>
      <c r="M52" s="186">
        <v>0</v>
      </c>
      <c r="N52" s="186">
        <v>0</v>
      </c>
      <c r="O52" s="186">
        <v>0</v>
      </c>
      <c r="P52" s="186">
        <v>0</v>
      </c>
      <c r="Q52" s="186">
        <v>0</v>
      </c>
      <c r="R52" s="186">
        <v>0</v>
      </c>
      <c r="S52" s="186">
        <v>0</v>
      </c>
      <c r="T52" s="186">
        <v>0</v>
      </c>
      <c r="U52" s="186">
        <v>0</v>
      </c>
      <c r="V52" s="186">
        <v>0</v>
      </c>
      <c r="W52" s="186">
        <v>0</v>
      </c>
      <c r="X52" s="186">
        <v>0</v>
      </c>
    </row>
    <row r="53" spans="3:24">
      <c r="C53" s="60">
        <v>100</v>
      </c>
      <c r="D53" s="186">
        <v>0</v>
      </c>
      <c r="E53" s="186">
        <v>0</v>
      </c>
      <c r="F53" s="186">
        <v>0</v>
      </c>
      <c r="G53" s="186">
        <v>0</v>
      </c>
      <c r="H53" s="186">
        <v>0</v>
      </c>
      <c r="I53" s="186">
        <v>0</v>
      </c>
      <c r="J53" s="186">
        <v>0</v>
      </c>
      <c r="K53" s="186">
        <v>0</v>
      </c>
      <c r="L53" s="186">
        <v>0</v>
      </c>
      <c r="M53" s="186">
        <v>0</v>
      </c>
      <c r="N53" s="186">
        <v>0</v>
      </c>
      <c r="O53" s="186">
        <v>0</v>
      </c>
      <c r="P53" s="186">
        <v>0</v>
      </c>
      <c r="Q53" s="186">
        <v>0</v>
      </c>
      <c r="R53" s="186">
        <v>0</v>
      </c>
      <c r="S53" s="186">
        <v>0</v>
      </c>
      <c r="T53" s="186">
        <v>0</v>
      </c>
      <c r="U53" s="186">
        <v>0</v>
      </c>
      <c r="V53" s="186">
        <v>0</v>
      </c>
      <c r="W53" s="186">
        <v>0</v>
      </c>
      <c r="X53" s="186">
        <v>0</v>
      </c>
    </row>
    <row r="54" spans="3:24">
      <c r="C54" s="60">
        <v>100</v>
      </c>
      <c r="D54" s="186">
        <v>0</v>
      </c>
      <c r="E54" s="186">
        <v>0</v>
      </c>
      <c r="F54" s="186">
        <v>0</v>
      </c>
      <c r="G54" s="186">
        <v>0</v>
      </c>
      <c r="H54" s="186">
        <v>0</v>
      </c>
      <c r="I54" s="186">
        <v>0</v>
      </c>
      <c r="J54" s="186">
        <v>0</v>
      </c>
      <c r="K54" s="186">
        <v>0</v>
      </c>
      <c r="L54" s="186">
        <v>0</v>
      </c>
      <c r="M54" s="186">
        <v>0</v>
      </c>
      <c r="N54" s="186">
        <v>0</v>
      </c>
      <c r="O54" s="186">
        <v>0</v>
      </c>
      <c r="P54" s="186">
        <v>0</v>
      </c>
      <c r="Q54" s="186">
        <v>0</v>
      </c>
      <c r="R54" s="186">
        <v>0</v>
      </c>
      <c r="S54" s="186">
        <v>0</v>
      </c>
      <c r="T54" s="186">
        <v>0</v>
      </c>
      <c r="U54" s="186">
        <v>0</v>
      </c>
      <c r="V54" s="186">
        <v>0</v>
      </c>
      <c r="W54" s="186">
        <v>0</v>
      </c>
      <c r="X54" s="186">
        <v>0</v>
      </c>
    </row>
    <row r="55" spans="3:24">
      <c r="C55" s="60">
        <v>5</v>
      </c>
      <c r="D55" s="186">
        <v>0</v>
      </c>
      <c r="E55" s="186">
        <v>0</v>
      </c>
      <c r="F55" s="186">
        <v>0</v>
      </c>
      <c r="G55" s="186">
        <v>0</v>
      </c>
      <c r="H55" s="186">
        <v>0</v>
      </c>
      <c r="I55" s="186">
        <v>0</v>
      </c>
      <c r="J55" s="186">
        <v>0</v>
      </c>
      <c r="K55" s="186">
        <v>0</v>
      </c>
      <c r="L55" s="186">
        <v>0</v>
      </c>
      <c r="M55" s="186">
        <v>0</v>
      </c>
      <c r="N55" s="186">
        <v>0</v>
      </c>
      <c r="O55" s="186">
        <v>0</v>
      </c>
      <c r="P55" s="186">
        <v>0</v>
      </c>
      <c r="Q55" s="186">
        <v>0</v>
      </c>
      <c r="R55" s="186">
        <v>0</v>
      </c>
      <c r="S55" s="186">
        <v>0</v>
      </c>
      <c r="T55" s="186">
        <v>0</v>
      </c>
      <c r="U55" s="186">
        <v>0</v>
      </c>
      <c r="V55" s="186">
        <v>0</v>
      </c>
      <c r="W55" s="186">
        <v>0</v>
      </c>
      <c r="X55" s="186">
        <v>0</v>
      </c>
    </row>
    <row r="56" spans="3:24">
      <c r="C56" s="60">
        <v>387</v>
      </c>
      <c r="D56" s="186">
        <v>0</v>
      </c>
      <c r="E56" s="186">
        <v>0</v>
      </c>
      <c r="F56" s="186">
        <v>0</v>
      </c>
      <c r="G56" s="186">
        <v>0</v>
      </c>
      <c r="H56" s="186">
        <v>0</v>
      </c>
      <c r="I56" s="186">
        <v>0</v>
      </c>
      <c r="J56" s="186">
        <v>0</v>
      </c>
      <c r="K56" s="186">
        <v>0</v>
      </c>
      <c r="L56" s="186">
        <v>0</v>
      </c>
      <c r="M56" s="186">
        <v>0</v>
      </c>
      <c r="N56" s="186">
        <v>0</v>
      </c>
      <c r="O56" s="186">
        <v>0</v>
      </c>
      <c r="P56" s="186">
        <v>0</v>
      </c>
      <c r="Q56" s="186">
        <v>0</v>
      </c>
      <c r="R56" s="186">
        <v>0</v>
      </c>
      <c r="S56" s="186">
        <v>0</v>
      </c>
      <c r="T56" s="186">
        <v>0</v>
      </c>
      <c r="U56" s="186">
        <v>0</v>
      </c>
      <c r="V56" s="186">
        <v>0</v>
      </c>
      <c r="W56" s="186">
        <v>0</v>
      </c>
      <c r="X56" s="186">
        <v>0</v>
      </c>
    </row>
    <row r="57" spans="3:24">
      <c r="C57" s="60">
        <v>165</v>
      </c>
      <c r="D57" s="186">
        <v>0</v>
      </c>
      <c r="E57" s="186">
        <v>0</v>
      </c>
      <c r="F57" s="186">
        <v>0</v>
      </c>
      <c r="G57" s="186">
        <v>0</v>
      </c>
      <c r="H57" s="186">
        <v>0</v>
      </c>
      <c r="I57" s="186">
        <v>0</v>
      </c>
      <c r="J57" s="186">
        <v>0</v>
      </c>
      <c r="K57" s="186">
        <v>0</v>
      </c>
      <c r="L57" s="186">
        <v>0</v>
      </c>
      <c r="M57" s="186">
        <v>0</v>
      </c>
      <c r="N57" s="186">
        <v>0</v>
      </c>
      <c r="O57" s="186">
        <v>0</v>
      </c>
      <c r="P57" s="186">
        <v>0</v>
      </c>
      <c r="Q57" s="186">
        <v>0</v>
      </c>
      <c r="R57" s="186">
        <v>0</v>
      </c>
      <c r="S57" s="186">
        <v>0</v>
      </c>
      <c r="T57" s="186">
        <v>0</v>
      </c>
      <c r="U57" s="186">
        <v>0</v>
      </c>
      <c r="V57" s="186">
        <v>0</v>
      </c>
      <c r="W57" s="186">
        <v>0</v>
      </c>
      <c r="X57" s="186">
        <v>0</v>
      </c>
    </row>
    <row r="58" spans="3:24">
      <c r="C58" s="60">
        <v>550</v>
      </c>
      <c r="D58" s="186"/>
      <c r="E58" s="186"/>
      <c r="F58" s="186"/>
      <c r="G58" s="186"/>
      <c r="H58" s="186"/>
      <c r="I58" s="186"/>
      <c r="J58" s="186"/>
      <c r="K58" s="186"/>
      <c r="L58" s="186"/>
      <c r="M58" s="186"/>
      <c r="N58" s="186"/>
      <c r="O58" s="186"/>
      <c r="P58" s="186"/>
      <c r="Q58" s="186"/>
      <c r="R58" s="186"/>
      <c r="S58" s="186"/>
      <c r="T58" s="186"/>
      <c r="U58" s="186"/>
      <c r="V58" s="186"/>
      <c r="W58" s="186"/>
      <c r="X58" s="186"/>
    </row>
    <row r="59" spans="3:24">
      <c r="C59" s="60">
        <v>0</v>
      </c>
      <c r="D59" s="186"/>
      <c r="E59" s="186"/>
      <c r="F59" s="186"/>
      <c r="G59" s="186"/>
      <c r="H59" s="186"/>
      <c r="I59" s="186"/>
      <c r="J59" s="186"/>
      <c r="K59" s="186"/>
      <c r="L59" s="186"/>
      <c r="M59" s="186"/>
      <c r="N59" s="186"/>
      <c r="O59" s="186"/>
      <c r="P59" s="186"/>
      <c r="Q59" s="186"/>
      <c r="R59" s="186"/>
      <c r="S59" s="186"/>
      <c r="T59" s="186"/>
      <c r="U59" s="186"/>
      <c r="V59" s="186"/>
      <c r="W59" s="186"/>
      <c r="X59" s="186"/>
    </row>
    <row r="60" spans="3:24">
      <c r="C60" s="60">
        <v>0</v>
      </c>
      <c r="D60" s="186"/>
      <c r="E60" s="186"/>
      <c r="F60" s="186"/>
      <c r="G60" s="186"/>
      <c r="H60" s="186"/>
      <c r="I60" s="186"/>
      <c r="J60" s="186"/>
      <c r="K60" s="186"/>
      <c r="L60" s="186"/>
      <c r="M60" s="186"/>
      <c r="N60" s="186"/>
      <c r="O60" s="186"/>
      <c r="P60" s="186"/>
      <c r="Q60" s="186"/>
      <c r="R60" s="186"/>
      <c r="S60" s="186"/>
      <c r="T60" s="186"/>
      <c r="U60" s="186"/>
      <c r="V60" s="186"/>
      <c r="W60" s="186"/>
      <c r="X60" s="186"/>
    </row>
    <row r="61" spans="3:24">
      <c r="C61" s="60">
        <v>0</v>
      </c>
      <c r="D61" s="186"/>
      <c r="E61" s="186"/>
      <c r="F61" s="186"/>
      <c r="G61" s="186"/>
      <c r="H61" s="186"/>
      <c r="I61" s="186"/>
      <c r="J61" s="186"/>
      <c r="K61" s="186"/>
      <c r="L61" s="186"/>
      <c r="M61" s="186"/>
      <c r="N61" s="186"/>
      <c r="O61" s="186"/>
      <c r="P61" s="186"/>
      <c r="Q61" s="186"/>
      <c r="R61" s="186"/>
      <c r="S61" s="186"/>
      <c r="T61" s="186"/>
      <c r="U61" s="186"/>
      <c r="V61" s="186"/>
      <c r="W61" s="186"/>
      <c r="X61" s="186"/>
    </row>
    <row r="62" spans="3:24">
      <c r="C62" s="60">
        <v>333</v>
      </c>
      <c r="D62" s="186">
        <v>0</v>
      </c>
      <c r="E62" s="186">
        <v>0</v>
      </c>
      <c r="F62" s="186">
        <v>0</v>
      </c>
      <c r="G62" s="186">
        <v>2</v>
      </c>
      <c r="H62" s="186">
        <v>2</v>
      </c>
      <c r="I62" s="186">
        <v>0</v>
      </c>
      <c r="J62" s="186">
        <v>0</v>
      </c>
      <c r="K62" s="186">
        <v>0</v>
      </c>
      <c r="L62" s="186">
        <v>0</v>
      </c>
      <c r="M62" s="186">
        <v>0</v>
      </c>
      <c r="N62" s="186">
        <v>0</v>
      </c>
      <c r="O62" s="186">
        <v>0</v>
      </c>
      <c r="P62" s="186">
        <v>0</v>
      </c>
      <c r="Q62" s="186">
        <v>0</v>
      </c>
      <c r="R62" s="186">
        <v>0</v>
      </c>
      <c r="S62" s="186">
        <v>0</v>
      </c>
      <c r="T62" s="186">
        <v>0</v>
      </c>
      <c r="U62" s="186">
        <v>0</v>
      </c>
      <c r="V62" s="186">
        <v>0</v>
      </c>
      <c r="W62" s="186">
        <v>0</v>
      </c>
      <c r="X62" s="186">
        <v>0</v>
      </c>
    </row>
    <row r="63" spans="3:24">
      <c r="C63" s="56">
        <v>1</v>
      </c>
      <c r="D63" s="186">
        <v>0</v>
      </c>
      <c r="E63" s="186">
        <v>0</v>
      </c>
      <c r="F63" s="186">
        <v>0</v>
      </c>
      <c r="G63" s="186">
        <v>0</v>
      </c>
      <c r="H63" s="186">
        <v>0</v>
      </c>
      <c r="I63" s="186">
        <v>0</v>
      </c>
      <c r="J63" s="186">
        <v>0</v>
      </c>
      <c r="K63" s="186">
        <v>0</v>
      </c>
      <c r="L63" s="186">
        <v>0</v>
      </c>
      <c r="M63" s="186">
        <v>0</v>
      </c>
      <c r="N63" s="186">
        <v>0</v>
      </c>
      <c r="O63" s="186">
        <v>0</v>
      </c>
      <c r="P63" s="186">
        <v>0</v>
      </c>
      <c r="Q63" s="186">
        <v>0</v>
      </c>
      <c r="R63" s="186">
        <v>0</v>
      </c>
      <c r="S63" s="186">
        <v>0</v>
      </c>
      <c r="T63" s="186">
        <v>0</v>
      </c>
      <c r="U63" s="186">
        <v>0</v>
      </c>
      <c r="V63" s="186">
        <v>0</v>
      </c>
      <c r="W63" s="186">
        <v>0</v>
      </c>
      <c r="X63" s="186">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18</vt:i4>
      </vt:variant>
      <vt:variant>
        <vt:lpstr>Named Ranges</vt:lpstr>
      </vt:variant>
      <vt:variant>
        <vt:i4>38</vt:i4>
      </vt:variant>
    </vt:vector>
  </HeadingPairs>
  <TitlesOfParts>
    <vt:vector size="56" baseType="lpstr">
      <vt:lpstr>Main menu</vt:lpstr>
      <vt:lpstr>Elec Demand</vt:lpstr>
      <vt:lpstr>Tech Parameters</vt:lpstr>
      <vt:lpstr>Fuel Costs</vt:lpstr>
      <vt:lpstr>Cost Curves</vt:lpstr>
      <vt:lpstr>Investment Plan</vt:lpstr>
      <vt:lpstr>Costs graphs</vt:lpstr>
      <vt:lpstr>Environmental Impacts</vt:lpstr>
      <vt:lpstr>Output tables</vt:lpstr>
      <vt:lpstr>Ref scen Calcs</vt:lpstr>
      <vt:lpstr>Alt scen Calcs</vt:lpstr>
      <vt:lpstr>TechnologyDataRaw</vt:lpstr>
      <vt:lpstr>RetiringCapacity</vt:lpstr>
      <vt:lpstr>ExistingCapacity</vt:lpstr>
      <vt:lpstr>EskomCoalEfficiency</vt:lpstr>
      <vt:lpstr>CurrencyConversion</vt:lpstr>
      <vt:lpstr>LOLP_parameters</vt:lpstr>
      <vt:lpstr>Plan Archive</vt:lpstr>
      <vt:lpstr>'Tech Parameters'!derate</vt:lpstr>
      <vt:lpstr>disc_rate</vt:lpstr>
      <vt:lpstr>discount_rate</vt:lpstr>
      <vt:lpstr>emissions_factors_fuel</vt:lpstr>
      <vt:lpstr>eps</vt:lpstr>
      <vt:lpstr>euro_ppi_2008</vt:lpstr>
      <vt:lpstr>euro_rand_2008</vt:lpstr>
      <vt:lpstr>FOR</vt:lpstr>
      <vt:lpstr>fuel_types</vt:lpstr>
      <vt:lpstr>look_col</vt:lpstr>
      <vt:lpstr>PDF_1</vt:lpstr>
      <vt:lpstr>PDF_2</vt:lpstr>
      <vt:lpstr>place_complete_main</vt:lpstr>
      <vt:lpstr>place_costs_BAU</vt:lpstr>
      <vt:lpstr>place_costs_compare</vt:lpstr>
      <vt:lpstr>place_costs_scenario</vt:lpstr>
      <vt:lpstr>place_demand</vt:lpstr>
      <vt:lpstr>place_env_bau</vt:lpstr>
      <vt:lpstr>place_env_compare</vt:lpstr>
      <vt:lpstr>place_env_scenario</vt:lpstr>
      <vt:lpstr>place_ES_BAU</vt:lpstr>
      <vt:lpstr>place_ES_compare</vt:lpstr>
      <vt:lpstr>place_ES_scenario</vt:lpstr>
      <vt:lpstr>place_fuel_costs</vt:lpstr>
      <vt:lpstr>place_levellised_costs</vt:lpstr>
      <vt:lpstr>place_main_menu</vt:lpstr>
      <vt:lpstr>place_plant_costs</vt:lpstr>
      <vt:lpstr>plant_descriptions</vt:lpstr>
      <vt:lpstr>PPI_table</vt:lpstr>
      <vt:lpstr>sa_ppi_2008</vt:lpstr>
      <vt:lpstr>Simulations</vt:lpstr>
      <vt:lpstr>technology_learning_index</vt:lpstr>
      <vt:lpstr>technology_type</vt:lpstr>
      <vt:lpstr>UnitSize</vt:lpstr>
      <vt:lpstr>us_ppi_2008</vt:lpstr>
      <vt:lpstr>US_rand_2008</vt:lpstr>
      <vt:lpstr>usd_ecu_split</vt:lpstr>
      <vt:lpstr>yorn</vt:lpstr>
    </vt:vector>
  </TitlesOfParts>
  <Company>University of Cape Town</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Marquard</dc:creator>
  <cp:lastModifiedBy>Andrew Marquard</cp:lastModifiedBy>
  <dcterms:created xsi:type="dcterms:W3CDTF">2007-07-02T07:50:24Z</dcterms:created>
  <dcterms:modified xsi:type="dcterms:W3CDTF">2009-11-19T09:26:10Z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aveCode">
    <vt:r8>180243372917175</vt:r8>
  </property>
</Properties>
</file>